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drawings/drawing11.xml" ContentType="application/vnd.openxmlformats-officedocument.drawingml.chartshapes+xml"/>
  <Override PartName="/xl/charts/chart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4.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ml.chartshapes+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ml.chartshapes+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7.xml" ContentType="application/vnd.openxmlformats-officedocument.drawingml.chartshapes+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8.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T:\rvo\IV_Processpecialisten_RB\Opdrachten 2026\Opmaak PDF\Sana\"/>
    </mc:Choice>
  </mc:AlternateContent>
  <xr:revisionPtr revIDLastSave="0" documentId="14_{87469245-07F3-460E-AA19-C208B49CADC4}" xr6:coauthVersionLast="47" xr6:coauthVersionMax="47" xr10:uidLastSave="{00000000-0000-0000-0000-000000000000}"/>
  <workbookProtection workbookAlgorithmName="SHA-512" workbookHashValue="bFvYVFTPMZ3l946fOPRxkP3mvgD5WkM994m62gLh3xqeFrURPwEVJQ9u81UjusJvhVtq/aQJPe7HEAYWrBWvXw==" workbookSaltValue="VFYTYE2D5jOyvi9jnnxsTQ==" workbookSpinCount="100000" lockStructure="1"/>
  <bookViews>
    <workbookView xWindow="-120" yWindow="-120" windowWidth="21840" windowHeight="13020" tabRatio="913" xr2:uid="{434445CB-0D07-44F6-8454-EF7E35844DF4}"/>
  </bookViews>
  <sheets>
    <sheet name="disclaimer" sheetId="15" r:id="rId1"/>
    <sheet name="handleiding" sheetId="30" r:id="rId2"/>
    <sheet name="woningen|utiliteit" sheetId="43" r:id="rId3"/>
    <sheet name="variant 1" sheetId="55" r:id="rId4"/>
    <sheet name="variant 2" sheetId="72" r:id="rId5"/>
    <sheet name="variant 3" sheetId="73" r:id="rId6"/>
    <sheet name="variant 4" sheetId="74" r:id="rId7"/>
    <sheet name="variant 5" sheetId="75" r:id="rId8"/>
    <sheet name="variant 6" sheetId="76" r:id="rId9"/>
    <sheet name="resultaten" sheetId="23" r:id="rId10"/>
    <sheet name="bibliotheek" sheetId="24" r:id="rId11"/>
    <sheet name="Energiebehoefte algemeen" sheetId="61" r:id="rId12"/>
  </sheets>
  <externalReferences>
    <externalReference r:id="rId13"/>
  </externalReferences>
  <definedNames>
    <definedName name="_xlnm._FilterDatabase" localSheetId="10" hidden="1">bibliotheek!$B$8:$B$546</definedName>
    <definedName name="_xlnm._FilterDatabase" localSheetId="9" hidden="1">resultaten!$B$8:$B$306</definedName>
    <definedName name="_xlnm._FilterDatabase" localSheetId="3" hidden="1">'variant 1'!$B$8:$C$376</definedName>
    <definedName name="_xlnm._FilterDatabase" localSheetId="4" hidden="1">'variant 2'!$B$8:$C$376</definedName>
    <definedName name="_xlnm._FilterDatabase" localSheetId="5" hidden="1">'variant 3'!$B$8:$C$376</definedName>
    <definedName name="_xlnm._FilterDatabase" localSheetId="6" hidden="1">'variant 4'!$B$8:$C$376</definedName>
    <definedName name="_xlnm._FilterDatabase" localSheetId="7" hidden="1">'variant 5'!$B$8:$C$376</definedName>
    <definedName name="_xlnm._FilterDatabase" localSheetId="8" hidden="1">'variant 6'!$B$8:$C$376</definedName>
    <definedName name="_xlnm._FilterDatabase" localSheetId="2" hidden="1">'woningen|utiliteit'!$B$7:$B$78</definedName>
    <definedName name="aardgas">bibliotheek!$K$259</definedName>
    <definedName name="_xlnm.Print_Area" localSheetId="10">bibliotheek!$E$53:$AG$542</definedName>
    <definedName name="_xlnm.Print_Area" localSheetId="0">disclaimer!$E$4:$F$80</definedName>
    <definedName name="_xlnm.Print_Area" localSheetId="1">handleiding!$C$2:$C$39</definedName>
    <definedName name="_xlnm.Print_Area" localSheetId="9">resultaten!$E$1:$R$303</definedName>
    <definedName name="_xlnm.Print_Area" localSheetId="3">'variant 1'!$C$1:$BH$376</definedName>
    <definedName name="_xlnm.Print_Area" localSheetId="4">'variant 2'!$C$1:$BH$376</definedName>
    <definedName name="_xlnm.Print_Area" localSheetId="5">'variant 3'!$C$1:$BH$376</definedName>
    <definedName name="_xlnm.Print_Area" localSheetId="6">'variant 4'!$C$1:$BH$376</definedName>
    <definedName name="_xlnm.Print_Area" localSheetId="7">'variant 5'!$C$1:$BH$376</definedName>
    <definedName name="_xlnm.Print_Area" localSheetId="8">'variant 6'!$C$1:$BH$376</definedName>
    <definedName name="_xlnm.Print_Titles" localSheetId="10">bibliotheek!$2:$7</definedName>
    <definedName name="_xlnm.Print_Titles" localSheetId="1">handleiding!$2:$3</definedName>
    <definedName name="aftapwarmte">bibliotheek!$L$259</definedName>
    <definedName name="BACS_keuzes">bibliotheek!$H$520:$L$520</definedName>
    <definedName name="BACS_waarden_f_BACS">bibliotheek!$H$521:$L$521</definedName>
    <definedName name="BENG_gebruiksfuncties">bibliotheek!$E$447:$U$447</definedName>
    <definedName name="BENG1_eis_Als_deeldoor_Ag_kleiner_dan_grenswaarde_1">bibliotheek!$E$452:$U$452</definedName>
    <definedName name="BENG1_eis_C1">bibliotheek!$E$454:$U$454</definedName>
    <definedName name="BENG1_eis_C2">bibliotheek!$E$455:$U$455</definedName>
    <definedName name="BENG1_eis_C3">bibliotheek!$E$456:$U$456</definedName>
    <definedName name="BENG1_eis_C4">bibliotheek!$E$458:$U$458</definedName>
    <definedName name="BENG1_eis_C5">bibliotheek!$E$459:$U$459</definedName>
    <definedName name="BENG1_eis_C6">bibliotheek!$E$460:$U$460</definedName>
    <definedName name="BENG1_eis_grenswaarde_1">bibliotheek!$E$449:$U$449</definedName>
    <definedName name="BENG1_eis_grenswaarde_2">bibliotheek!$E$450:$U$450</definedName>
    <definedName name="BENG1_ventilatiesysteem">[1]bibliotheek!$I$366</definedName>
    <definedName name="BENG2_eis">bibliotheek!$E$462:$U$462</definedName>
    <definedName name="BENG3_eis">bibliotheek!$E$467:$U$467</definedName>
    <definedName name="beschikbare_fitformules_NTA8800">bibliotheek!$H$421:$L$421</definedName>
    <definedName name="bestaand">bibliotheek!$I$533</definedName>
    <definedName name="bestaand_nieuw">bibliotheek!$I$533:$I$534</definedName>
    <definedName name="bijdrage_thermische_zonne_energie_RV">bibliotheek!$I$224</definedName>
    <definedName name="bijdrage_thermische_zonne_energie_TAP">bibliotheek!$I$223</definedName>
    <definedName name="biomassa">bibliotheek!$O$259</definedName>
    <definedName name="bioolie">bibliotheek!$N$259</definedName>
    <definedName name="centraal">bibliotheek!$K$530</definedName>
    <definedName name="correctiefactor_C1">bibliotheek!$I$327</definedName>
    <definedName name="correctiefactor_C2">bibliotheek!$I$328</definedName>
    <definedName name="Correctiefactoren">bibliotheek!$E$326:$U$328</definedName>
    <definedName name="DWTW_C_W_sh_rcd_T">bibliotheek!$I$184</definedName>
    <definedName name="DWTW_correctiefactor_manier_aansluiten">bibliotheek!$H$181:$N$181</definedName>
    <definedName name="DWTW_fprac">bibliotheek!$I$183</definedName>
    <definedName name="DWTW_namen">bibliotheek!$H$179:$N$179</definedName>
    <definedName name="DWTW_thermisch_rendement">bibliotheek!$H$180:$N$180</definedName>
    <definedName name="eindnorm_utiliteit_energielabel">bibliotheek!$I$464:$T$464</definedName>
    <definedName name="elektriciteit">bibliotheek!$J$259</definedName>
    <definedName name="elektriciteit_primaire_energiefactor">bibliotheek!$E$304:$S$313</definedName>
    <definedName name="energiedrager_elektriciteit_CO2_emissiecoëfficiënt">bibliotheek!$E$311:$S$311</definedName>
    <definedName name="energiedrager_elektriciteit_CO2_emissiecoëfficiënt_export">bibliotheek!$E$312:$S$312</definedName>
    <definedName name="energiedrager_elektriciteit_kopregel">bibliotheek!$E$304:$S$304</definedName>
    <definedName name="energiedrager_invoer">[1]bibliotheek!$H$227:$AC$227</definedName>
    <definedName name="ENERGIEDRAGERS">bibliotheek!$E$259:$AQ$266</definedName>
    <definedName name="energiedragers_CO2_emissiefactor">bibliotheek!$E$264:$AQ$264</definedName>
    <definedName name="energiedragers_fPren">bibliotheek!$H$272:$AQ$272</definedName>
    <definedName name="energiedragers_gebouwaansluiting">bibliotheek!$I$528:$L$528</definedName>
    <definedName name="energiedragers_geschikt_voor_KOEL">bibliotheek!$H$279:$AQ$279</definedName>
    <definedName name="energiedragers_geschikt_voor_RV">bibliotheek!$H$278:$AQ$278</definedName>
    <definedName name="energiedragers_geschikt_voor_TAP">bibliotheek!$H$280:$AQ$280</definedName>
    <definedName name="energiedragers_index_fPren">bibliotheek!$H$269:$AQ$269</definedName>
    <definedName name="energiedragers_kopregel">bibliotheek!$E$259:$AQ$259</definedName>
    <definedName name="energiedragers_namen">bibliotheek!$H$259:$AQ$259</definedName>
    <definedName name="energiedragers_primaire_energiefactor">bibliotheek!$E$261:$AQ$261</definedName>
    <definedName name="energielabels_grenswaarden">bibliotheek!$E$488:$U$501</definedName>
    <definedName name="energielabels_grenswaarden_gebruiksfuncties">bibliotheek!$E$488:$U$488</definedName>
    <definedName name="energielabels_labelnamen">bibliotheek!$E$488:$E$501</definedName>
    <definedName name="energieprestatie_werkelijk">bibliotheek!$I$540:$J$540</definedName>
    <definedName name="EP">bibliotheek!$I$14</definedName>
    <definedName name="eta_BAT">bibliotheek!$I$231</definedName>
    <definedName name="f_P_rencold">bibliotheek!$L$251</definedName>
    <definedName name="f_P_renelect">bibliotheek!$J$251</definedName>
    <definedName name="f_P_renheat">bibliotheek!$K$251</definedName>
    <definedName name="factor_warmtapwaterbehoefte_MWA">bibliotheek!$H$339:$U$339</definedName>
    <definedName name="fdu_el_nren">bibliotheek!$I$230</definedName>
    <definedName name="fdu_el_ren_onderwijs">bibliotheek!$I$239</definedName>
    <definedName name="fdu_el_ren_utiliteit_overig">bibliotheek!$I$240</definedName>
    <definedName name="fdu_el_ren_woning">bibliotheek!$I$238</definedName>
    <definedName name="financieel_PV_euro_per_WP">bibliotheek!#REF!</definedName>
    <definedName name="financieel_PV_kWh_per_Wp_per_jaar">bibliotheek!#REF!</definedName>
    <definedName name="financieel_PV_omvormer_onderhoud">bibliotheek!#REF!</definedName>
    <definedName name="fit_a0">bibliotheek!$E$395</definedName>
    <definedName name="fit_a1">bibliotheek!$E$396</definedName>
    <definedName name="fit_a2">bibliotheek!$E$397</definedName>
    <definedName name="fit_a3">bibliotheek!$E$398</definedName>
    <definedName name="fit_a4">bibliotheek!$E$399</definedName>
    <definedName name="fit_n1">bibliotheek!$E$400</definedName>
    <definedName name="fit_n2">bibliotheek!$E$401</definedName>
    <definedName name="fit_n3">bibliotheek!$E$402</definedName>
    <definedName name="fit_n4">bibliotheek!$E$403</definedName>
    <definedName name="fitcurves_NTA8800">bibliotheek!$E$393:$AOW$404</definedName>
    <definedName name="fitformule_Ehc_nd_EP">bibliotheek!$K$421</definedName>
    <definedName name="fitformule_QC_nd">bibliotheek!$J$421</definedName>
    <definedName name="fitformule_QH_nd">bibliotheek!$I$421</definedName>
    <definedName name="gebied">bibliotheek!$J$530</definedName>
    <definedName name="gebouw">bibliotheek!$I$530</definedName>
    <definedName name="gebruiksfunctie_aandeel_doucheverbruik">bibliotheek!$H$173:$U$173</definedName>
    <definedName name="gebruiksfunctie_naam_doucheverbruik">bibliotheek!$H$172:$U$172</definedName>
    <definedName name="gebruiksfuncties_fitcurve_NTA8800">bibliotheek!$H$320:$U$320</definedName>
    <definedName name="gebruiksfuncties_namen">bibliotheek!$H$319:$U$319</definedName>
    <definedName name="gebruiksfuncties_namen_MWA_warmtapwater">bibliotheek!$H$334:$U$334</definedName>
    <definedName name="gederfde_elektriciteit">bibliotheek!$V$259</definedName>
    <definedName name="geen">bibliotheek!$I$538</definedName>
    <definedName name="geografische_niveaus_installaties">bibliotheek!$I$530:$K$530</definedName>
    <definedName name="GJ">bibliotheek!$K$528</definedName>
    <definedName name="hernieuwbare_energiebron_getalswaarde">bibliotheek!$H$251:$R$251</definedName>
    <definedName name="hernieuwbare_energiebron_getalswaarde_bij_toestellen">bibliotheek!$H$252:$R$252</definedName>
    <definedName name="hernieuwbare_energiebron_index">bibliotheek!$H$250:$R$250</definedName>
    <definedName name="hernieuwbare_energiebron_namen">bibliotheek!$H$248:$R$248</definedName>
    <definedName name="hoog_laag">bibliotheek!$I$536:$J$536</definedName>
    <definedName name="installaties_RV_investering">bibliotheek!#REF!</definedName>
    <definedName name="installaties_RV_onderhoud">bibliotheek!#REF!</definedName>
    <definedName name="installaties_RV_verlies_elek_prod_aftapwarmte">bibliotheek!$E$102:$BE$102</definedName>
    <definedName name="installaties_RV_vervanging_na_15_jaar">bibliotheek!#REF!</definedName>
    <definedName name="installaties_TAP_verlies_elek_prod_aftapwarmte">bibliotheek!$E$158:$BB$158</definedName>
    <definedName name="isolatiepakketten_gebouwschil_namen">bibliotheek!$H$41:$W$41</definedName>
    <definedName name="koken_aardgas_per_m2">bibliotheek!$I$360</definedName>
    <definedName name="koken_elektriciteit">bibliotheek!$I$355</definedName>
    <definedName name="koken_elektriciteit_per_m2">bibliotheek!$I$356</definedName>
    <definedName name="koken_gas">bibliotheek!$I$359</definedName>
    <definedName name="koudebehoefte_koeling_ondergrens">bibliotheek!$I$384</definedName>
    <definedName name="kWh">bibliotheek!$J$528</definedName>
    <definedName name="m3gas">bibliotheek!$I$528</definedName>
    <definedName name="MWA">bibliotheek!$J$14</definedName>
    <definedName name="niet_gebouwgebonden_elektriciteitgebruik_woningen_per_m2">bibliotheek!$I$375</definedName>
    <definedName name="nieuw">bibliotheek!$I$534</definedName>
    <definedName name="NTA_8800">bibliotheek!$I$304</definedName>
    <definedName name="NulEen">bibliotheek!$I$537:$J$537</definedName>
    <definedName name="nvt">bibliotheek!$L$528</definedName>
    <definedName name="onderwijs">bibliotheek!$L$319</definedName>
    <definedName name="opwekking_elektriciteit">bibliotheek!$I$304:$R$304</definedName>
    <definedName name="parameters_fitformule">bibliotheek!$E$393:$E$404</definedName>
    <definedName name="primaire_totale_energiefactor">bibliotheek!$E$262:$AQ$262</definedName>
    <definedName name="referentie_koeling">bibliotheek!$I$190</definedName>
    <definedName name="referentie_verwarming">bibliotheek!$I$83</definedName>
    <definedName name="referentie_warmtapwater">bibliotheek!$I$139</definedName>
    <definedName name="referentiepakketten_bij_gebouwen">bibliotheek!$H$24:$FC$24</definedName>
    <definedName name="rekenmethode_EP_MWA">bibliotheek!$H$14:$K$14</definedName>
    <definedName name="restwarmte">bibliotheek!$M$259</definedName>
    <definedName name="specifiek_niet_gebouwgebonden_elektriciteitsgebruik_gebruiksfuncties">bibliotheek!$E$346:$U$346</definedName>
    <definedName name="specifiek_niet_gebouwgebonden_elektriciteitsgebruik_waarden">bibliotheek!$E$348:$U$348</definedName>
    <definedName name="specifieke_interne_warmtecapaciteit">bibliotheek!$H$514:$K$514</definedName>
    <definedName name="standaardwaarde_basis">bibliotheek!$E$477:$M$477</definedName>
    <definedName name="standaardwaarde_extra_vraag_boven_grenswaarde_vormfactor">bibliotheek!$E$480:$M$480</definedName>
    <definedName name="standaardwaarde_grens_vormfactor">bibliotheek!$E$479:$M$479</definedName>
    <definedName name="standaardwaarden_gebruiksfuncties">bibliotheek!$E$474:$M$474</definedName>
    <definedName name="toestellen_KOEL">bibliotheek!$E$190:$AC$210</definedName>
    <definedName name="toestellen_KOEL_invoer">bibliotheek!$H$190:$AC$190</definedName>
    <definedName name="toestellen_KOEL_kopregel">bibliotheek!$E$190:$AC$190</definedName>
    <definedName name="toestellen_RV">bibliotheek!$E$83:$BE$119</definedName>
    <definedName name="toestellen_RV_invoer">bibliotheek!$H$83:$BE$83</definedName>
    <definedName name="toestellen_RV_kopregel">bibliotheek!$E$83:$BE$83</definedName>
    <definedName name="toestellen_TAP">bibliotheek!$E$139:$BB$167</definedName>
    <definedName name="toestellen_TAP_invoer">bibliotheek!$H$139:$BB$139</definedName>
    <definedName name="toestellen_TAP_kopregel">bibliotheek!$E$139:$BB$139</definedName>
    <definedName name="ventilatie_A">bibliotheek!$I$58</definedName>
    <definedName name="ventilatie_investering">bibliotheek!#REF!</definedName>
    <definedName name="ventilatie_onderhoud">bibliotheek!#REF!</definedName>
    <definedName name="ventilatiesystemen_code">bibliotheek!$H$59:$R$59</definedName>
    <definedName name="ventilatiesystemen_kenmerken">bibliotheek!$E$58:$R$59</definedName>
    <definedName name="ventilatiesystemen_kenmerken_kopregel">bibliotheek!$E$58:$R$58</definedName>
    <definedName name="ventilatiesystemen_namen">bibliotheek!$H$58:$R$58</definedName>
    <definedName name="ventilatoren_typen">bibliotheek!$E$67:$E$70</definedName>
    <definedName name="ventilatorenergie_ventilatiesysteem_B_C">bibliotheek!$E$66:$U$70</definedName>
    <definedName name="ventilatorenergie_ventilatiesysteem_B_C_kopregel">bibliotheek!$E$66:$U$66</definedName>
    <definedName name="ventilatorenergie_ventilatiesysteem_D">bibliotheek!$E$72:$U$76</definedName>
    <definedName name="ventilatorenergie_ventilatiesysteem_D_kopregel">bibliotheek!$E$72:$U$72</definedName>
    <definedName name="verlichting_parameters_a">bibliotheek!$E$428:$U$428</definedName>
    <definedName name="verlichting_parameters_b">bibliotheek!$E$429:$U$429</definedName>
    <definedName name="verlichting_parameters_gebruiksfuncties">bibliotheek!$E$427:$U$427</definedName>
    <definedName name="verlichting_vermogen_forfaitair">bibliotheek!$E$430:$U$430</definedName>
    <definedName name="verlichtingsregeling_kopregel">bibliotheek!$E$439:$N$439</definedName>
    <definedName name="verlichtingsregeling_namen">bibliotheek!$H$439:$N$439</definedName>
    <definedName name="verlichtingsregeling_waarden">bibliotheek!$E$440:$N$440</definedName>
    <definedName name="waardering_opslag_hernieuwbaar">bibliotheek!$I$232</definedName>
    <definedName name="WaarOnwaar">bibliotheek!$I$539:$J$539</definedName>
    <definedName name="warmtapwater_specifieke_warmtebehoefte_gebruiksfuncties">bibliotheek!$E$334:$U$334</definedName>
    <definedName name="warmtapwater_specifieke_warmtebehoefte_waarden">bibliotheek!$E$335:$U$335</definedName>
    <definedName name="warmtebehoefte_verwarming_CONSTANTE">[1]bibliotheek!$E$321:$U$325</definedName>
    <definedName name="warmtebehoefte_verwarming_MACHT">[1]bibliotheek!$E$333:$U$337</definedName>
    <definedName name="warmtebehoefte_verwarming_ondergrens">bibliotheek!$I$383</definedName>
    <definedName name="warmtebehoefte_verwarming_VARIABELE_X">[1]bibliotheek!$E$327:$U$331</definedName>
    <definedName name="warmtenetten_NL_CO2_emissiecoefficient">bibliotheek!$H$296:$DE$296</definedName>
    <definedName name="warmtenetten_NL_codes">bibliotheek!$H$291:$DE$291</definedName>
    <definedName name="warmtenetten_NL_fp_del">bibliotheek!$H$292:$DE$292</definedName>
    <definedName name="warmtenetten_NL_fp_ren">bibliotheek!$H$295:$DE$295</definedName>
    <definedName name="warmtenetten_NL_namen">bibliotheek!$H$287:$DE$287</definedName>
    <definedName name="warmtenetten_NL_voor_KOEL">bibliotheek!$H$289:$DE$289</definedName>
    <definedName name="warmtenetten_NL_voor_RV">bibliotheek!$H$288:$DE$288</definedName>
    <definedName name="warmtenetten_NL_voor_TAP">bibliotheek!$H$290:$DE$290</definedName>
    <definedName name="weegfactor_primaire_totale_energiefactor">bibliotheek!$E$263:$AQ$263</definedName>
    <definedName name="woning">bibliotheek!$S$319</definedName>
    <definedName name="woningen_gebouwen_gegevens">bibliotheek!$E$20:$FC$35</definedName>
    <definedName name="woningen_gebouwen_namen">bibliotheek!$H$20:$FC$20</definedName>
    <definedName name="woongebouw">bibliotheek!$T$319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69" i="76" l="1"/>
  <c r="E368" i="76"/>
  <c r="E367" i="76"/>
  <c r="E366" i="76"/>
  <c r="E365" i="76"/>
  <c r="AY363" i="76"/>
  <c r="AW363" i="76"/>
  <c r="AM363" i="76"/>
  <c r="AK363" i="76"/>
  <c r="AA363" i="76"/>
  <c r="Y363" i="76"/>
  <c r="O363" i="76"/>
  <c r="M363" i="76"/>
  <c r="H363" i="76"/>
  <c r="E352" i="76"/>
  <c r="E351" i="76"/>
  <c r="E350" i="76"/>
  <c r="E349" i="76"/>
  <c r="E348" i="76"/>
  <c r="E347" i="76"/>
  <c r="E346" i="76"/>
  <c r="E345" i="76"/>
  <c r="AY343" i="76"/>
  <c r="AW343" i="76"/>
  <c r="AM343" i="76"/>
  <c r="AK343" i="76"/>
  <c r="AA343" i="76"/>
  <c r="Y343" i="76"/>
  <c r="O343" i="76"/>
  <c r="M343" i="76"/>
  <c r="J343" i="76"/>
  <c r="AY320" i="76"/>
  <c r="AW320" i="76"/>
  <c r="AM320" i="76"/>
  <c r="AK320" i="76"/>
  <c r="AA320" i="76"/>
  <c r="Y320" i="76"/>
  <c r="O320" i="76"/>
  <c r="M320" i="76"/>
  <c r="H320" i="76"/>
  <c r="AY302" i="76"/>
  <c r="AW302" i="76"/>
  <c r="AM302" i="76"/>
  <c r="AK302" i="76"/>
  <c r="AA302" i="76"/>
  <c r="Y302" i="76"/>
  <c r="O302" i="76"/>
  <c r="M302" i="76"/>
  <c r="J302" i="76"/>
  <c r="E289" i="76"/>
  <c r="E288" i="76"/>
  <c r="E287" i="76"/>
  <c r="E286" i="76"/>
  <c r="E285" i="76"/>
  <c r="E284" i="76"/>
  <c r="E283" i="76"/>
  <c r="E282" i="76"/>
  <c r="AY280" i="76"/>
  <c r="AW280" i="76"/>
  <c r="AM280" i="76"/>
  <c r="AK280" i="76"/>
  <c r="AA280" i="76"/>
  <c r="Y280" i="76"/>
  <c r="O280" i="76"/>
  <c r="M280" i="76"/>
  <c r="J280" i="76"/>
  <c r="E267" i="76"/>
  <c r="P263" i="76"/>
  <c r="Q262" i="76"/>
  <c r="P262" i="76"/>
  <c r="O262" i="76"/>
  <c r="AY261" i="76"/>
  <c r="AM261" i="76"/>
  <c r="AA261" i="76"/>
  <c r="O261" i="76"/>
  <c r="W250" i="76"/>
  <c r="Q250" i="76"/>
  <c r="P250" i="76"/>
  <c r="O250" i="76"/>
  <c r="AY249" i="76"/>
  <c r="AM249" i="76"/>
  <c r="AA249" i="76"/>
  <c r="O249" i="76"/>
  <c r="BG244" i="76"/>
  <c r="BF244" i="76"/>
  <c r="BE244" i="76"/>
  <c r="BD244" i="76"/>
  <c r="BC244" i="76"/>
  <c r="BB244" i="76"/>
  <c r="BA244" i="76"/>
  <c r="AZ244" i="76"/>
  <c r="AY244" i="76"/>
  <c r="AU244" i="76"/>
  <c r="AT244" i="76"/>
  <c r="AS244" i="76"/>
  <c r="AR244" i="76"/>
  <c r="AQ244" i="76"/>
  <c r="AP244" i="76"/>
  <c r="AO244" i="76"/>
  <c r="AN244" i="76"/>
  <c r="AM244" i="76"/>
  <c r="AI244" i="76"/>
  <c r="AH244" i="76"/>
  <c r="AG244" i="76"/>
  <c r="AF244" i="76"/>
  <c r="AE244" i="76"/>
  <c r="AD244" i="76"/>
  <c r="AC244" i="76"/>
  <c r="AB244" i="76"/>
  <c r="AA244" i="76"/>
  <c r="W244" i="76"/>
  <c r="V244" i="76"/>
  <c r="U244" i="76"/>
  <c r="T244" i="76"/>
  <c r="S244" i="76"/>
  <c r="R244" i="76"/>
  <c r="Q244" i="76"/>
  <c r="P244" i="76"/>
  <c r="O244" i="76"/>
  <c r="W239" i="76"/>
  <c r="V239" i="76"/>
  <c r="U239" i="76"/>
  <c r="T239" i="76"/>
  <c r="S239" i="76"/>
  <c r="R239" i="76"/>
  <c r="Q239" i="76"/>
  <c r="P239" i="76"/>
  <c r="O239" i="76"/>
  <c r="AY238" i="76"/>
  <c r="AM238" i="76"/>
  <c r="AA238" i="76"/>
  <c r="O238" i="76"/>
  <c r="W232" i="76"/>
  <c r="V232" i="76"/>
  <c r="U232" i="76"/>
  <c r="T232" i="76"/>
  <c r="S232" i="76"/>
  <c r="R232" i="76"/>
  <c r="Q232" i="76"/>
  <c r="P232" i="76"/>
  <c r="O232" i="76"/>
  <c r="H231" i="76"/>
  <c r="H230" i="76"/>
  <c r="H229" i="76"/>
  <c r="W228" i="76"/>
  <c r="V228" i="76"/>
  <c r="U228" i="76"/>
  <c r="T228" i="76"/>
  <c r="S228" i="76"/>
  <c r="R228" i="76"/>
  <c r="Q228" i="76"/>
  <c r="P228" i="76"/>
  <c r="O228" i="76"/>
  <c r="AY227" i="76"/>
  <c r="AM227" i="76"/>
  <c r="AA227" i="76"/>
  <c r="O227" i="76"/>
  <c r="Y223" i="76"/>
  <c r="W221" i="76"/>
  <c r="Q221" i="76"/>
  <c r="P221" i="76"/>
  <c r="O221" i="76"/>
  <c r="AW219" i="76"/>
  <c r="AK219" i="76"/>
  <c r="Y219" i="76"/>
  <c r="M219" i="76"/>
  <c r="AW217" i="76"/>
  <c r="AK217" i="76"/>
  <c r="Y217" i="76"/>
  <c r="M217" i="76"/>
  <c r="AW216" i="76"/>
  <c r="AK216" i="76"/>
  <c r="Y216" i="76"/>
  <c r="M216" i="76"/>
  <c r="W215" i="76"/>
  <c r="Q215" i="76"/>
  <c r="P215" i="76"/>
  <c r="O215" i="76"/>
  <c r="AW213" i="76"/>
  <c r="AK213" i="76"/>
  <c r="Y213" i="76"/>
  <c r="M213" i="76"/>
  <c r="W211" i="76"/>
  <c r="Q211" i="76"/>
  <c r="P211" i="76"/>
  <c r="O211" i="76"/>
  <c r="W204" i="76"/>
  <c r="V204" i="76"/>
  <c r="U204" i="76"/>
  <c r="S204" i="76"/>
  <c r="R204" i="76"/>
  <c r="Q204" i="76"/>
  <c r="P204" i="76"/>
  <c r="O204" i="76"/>
  <c r="W199" i="76"/>
  <c r="V199" i="76"/>
  <c r="U199" i="76"/>
  <c r="S199" i="76"/>
  <c r="R199" i="76"/>
  <c r="Q199" i="76"/>
  <c r="P199" i="76"/>
  <c r="O199" i="76"/>
  <c r="AW198" i="76"/>
  <c r="AK198" i="76"/>
  <c r="Y198" i="76"/>
  <c r="M198" i="76"/>
  <c r="W193" i="76"/>
  <c r="V193" i="76"/>
  <c r="U193" i="76"/>
  <c r="S193" i="76"/>
  <c r="R193" i="76"/>
  <c r="Q193" i="76"/>
  <c r="P193" i="76"/>
  <c r="O193" i="76"/>
  <c r="W189" i="76"/>
  <c r="V189" i="76"/>
  <c r="U189" i="76"/>
  <c r="S189" i="76"/>
  <c r="R189" i="76"/>
  <c r="Q189" i="76"/>
  <c r="P189" i="76"/>
  <c r="O189" i="76"/>
  <c r="W185" i="76"/>
  <c r="V185" i="76"/>
  <c r="U185" i="76"/>
  <c r="T185" i="76"/>
  <c r="S185" i="76"/>
  <c r="R185" i="76"/>
  <c r="Q185" i="76"/>
  <c r="P185" i="76"/>
  <c r="O185" i="76"/>
  <c r="AY184" i="76"/>
  <c r="AM184" i="76"/>
  <c r="AA184" i="76"/>
  <c r="O184" i="76"/>
  <c r="V179" i="76"/>
  <c r="U179" i="76"/>
  <c r="T179" i="76"/>
  <c r="S179" i="76"/>
  <c r="R179" i="76"/>
  <c r="Q179" i="76"/>
  <c r="P179" i="76"/>
  <c r="O179" i="76"/>
  <c r="BF177" i="76"/>
  <c r="BE177" i="76"/>
  <c r="BD177" i="76"/>
  <c r="BC177" i="76"/>
  <c r="BB177" i="76"/>
  <c r="BA177" i="76"/>
  <c r="AZ177" i="76"/>
  <c r="AY177" i="76"/>
  <c r="AT177" i="76"/>
  <c r="AS177" i="76"/>
  <c r="AR177" i="76"/>
  <c r="AQ177" i="76"/>
  <c r="AP177" i="76"/>
  <c r="AO177" i="76"/>
  <c r="AN177" i="76"/>
  <c r="AM177" i="76"/>
  <c r="AH177" i="76"/>
  <c r="AG177" i="76"/>
  <c r="AF177" i="76"/>
  <c r="AE177" i="76"/>
  <c r="AD177" i="76"/>
  <c r="AC177" i="76"/>
  <c r="AB177" i="76"/>
  <c r="AA177" i="76"/>
  <c r="V177" i="76"/>
  <c r="U177" i="76"/>
  <c r="T177" i="76"/>
  <c r="S177" i="76"/>
  <c r="R177" i="76"/>
  <c r="Q177" i="76"/>
  <c r="P177" i="76"/>
  <c r="O177" i="76"/>
  <c r="BF176" i="76"/>
  <c r="BE176" i="76"/>
  <c r="BD176" i="76"/>
  <c r="BC176" i="76"/>
  <c r="BB176" i="76"/>
  <c r="BA176" i="76"/>
  <c r="AZ176" i="76"/>
  <c r="AY176" i="76"/>
  <c r="AT176" i="76"/>
  <c r="AS176" i="76"/>
  <c r="AR176" i="76"/>
  <c r="AQ176" i="76"/>
  <c r="AP176" i="76"/>
  <c r="AO176" i="76"/>
  <c r="AN176" i="76"/>
  <c r="AM176" i="76"/>
  <c r="AH176" i="76"/>
  <c r="AG176" i="76"/>
  <c r="AF176" i="76"/>
  <c r="AE176" i="76"/>
  <c r="AD176" i="76"/>
  <c r="AC176" i="76"/>
  <c r="AB176" i="76"/>
  <c r="AA176" i="76"/>
  <c r="V176" i="76"/>
  <c r="U176" i="76"/>
  <c r="T176" i="76"/>
  <c r="S176" i="76"/>
  <c r="R176" i="76"/>
  <c r="Q176" i="76"/>
  <c r="P176" i="76"/>
  <c r="O176" i="76"/>
  <c r="V175" i="76"/>
  <c r="U175" i="76"/>
  <c r="T175" i="76"/>
  <c r="S175" i="76"/>
  <c r="R175" i="76"/>
  <c r="Q175" i="76"/>
  <c r="P175" i="76"/>
  <c r="O175" i="76"/>
  <c r="BD173" i="76"/>
  <c r="AR173" i="76"/>
  <c r="AF173" i="76"/>
  <c r="T173" i="76"/>
  <c r="V172" i="76"/>
  <c r="U172" i="76"/>
  <c r="T172" i="76"/>
  <c r="S172" i="76"/>
  <c r="R172" i="76"/>
  <c r="Q172" i="76"/>
  <c r="P172" i="76"/>
  <c r="O172" i="76"/>
  <c r="BA166" i="76"/>
  <c r="AZ166" i="76"/>
  <c r="AY166" i="76"/>
  <c r="AO166" i="76"/>
  <c r="AN166" i="76"/>
  <c r="AM166" i="76"/>
  <c r="AC166" i="76"/>
  <c r="AB166" i="76"/>
  <c r="AA166" i="76"/>
  <c r="Q166" i="76"/>
  <c r="P166" i="76"/>
  <c r="O166" i="76"/>
  <c r="V165" i="76"/>
  <c r="U165" i="76"/>
  <c r="T165" i="76"/>
  <c r="S165" i="76"/>
  <c r="R165" i="76"/>
  <c r="Q165" i="76"/>
  <c r="P165" i="76"/>
  <c r="O165" i="76"/>
  <c r="AY164" i="76"/>
  <c r="AM164" i="76"/>
  <c r="AA164" i="76"/>
  <c r="O164" i="76"/>
  <c r="Q158" i="76"/>
  <c r="P158" i="76"/>
  <c r="O158" i="76"/>
  <c r="Q152" i="76"/>
  <c r="P152" i="76"/>
  <c r="O152" i="76"/>
  <c r="Q148" i="76"/>
  <c r="P148" i="76"/>
  <c r="O148" i="76"/>
  <c r="BA145" i="76"/>
  <c r="AZ145" i="76"/>
  <c r="AZ147" i="76" s="1"/>
  <c r="AY145" i="76"/>
  <c r="AO145" i="76"/>
  <c r="AN145" i="76"/>
  <c r="AN147" i="76" s="1"/>
  <c r="AM145" i="76"/>
  <c r="AC145" i="76"/>
  <c r="AB145" i="76"/>
  <c r="AB147" i="76" s="1"/>
  <c r="AA145" i="76"/>
  <c r="Q145" i="76"/>
  <c r="P145" i="76"/>
  <c r="P147" i="76" s="1"/>
  <c r="O145" i="76"/>
  <c r="Q139" i="76"/>
  <c r="P139" i="76"/>
  <c r="O139" i="76"/>
  <c r="AY138" i="76"/>
  <c r="AM138" i="76"/>
  <c r="AA138" i="76"/>
  <c r="O138" i="76"/>
  <c r="BA134" i="76"/>
  <c r="AZ134" i="76"/>
  <c r="AY134" i="76"/>
  <c r="AO134" i="76"/>
  <c r="AN134" i="76"/>
  <c r="AM134" i="76"/>
  <c r="AC134" i="76"/>
  <c r="AB134" i="76"/>
  <c r="AA134" i="76"/>
  <c r="Q134" i="76"/>
  <c r="P134" i="76"/>
  <c r="O134" i="76"/>
  <c r="BA133" i="76"/>
  <c r="AZ133" i="76"/>
  <c r="AY133" i="76"/>
  <c r="AO133" i="76"/>
  <c r="AN133" i="76"/>
  <c r="AM133" i="76"/>
  <c r="AC133" i="76"/>
  <c r="AB133" i="76"/>
  <c r="AA133" i="76"/>
  <c r="Q133" i="76"/>
  <c r="P133" i="76"/>
  <c r="O133" i="76"/>
  <c r="Q131" i="76"/>
  <c r="P131" i="76"/>
  <c r="O131" i="76"/>
  <c r="Q127" i="76"/>
  <c r="P127" i="76"/>
  <c r="O127" i="76"/>
  <c r="Q121" i="76"/>
  <c r="P121" i="76"/>
  <c r="O121" i="76"/>
  <c r="Q117" i="76"/>
  <c r="P117" i="76"/>
  <c r="O117" i="76"/>
  <c r="AZ115" i="76"/>
  <c r="AN115" i="76"/>
  <c r="AB115" i="76"/>
  <c r="P115" i="76"/>
  <c r="BA114" i="76"/>
  <c r="AY114" i="76"/>
  <c r="AO114" i="76"/>
  <c r="AM114" i="76"/>
  <c r="AC114" i="76"/>
  <c r="AA114" i="76"/>
  <c r="Q114" i="76"/>
  <c r="O114" i="76"/>
  <c r="BA111" i="76"/>
  <c r="AZ111" i="76"/>
  <c r="AY111" i="76"/>
  <c r="AO111" i="76"/>
  <c r="AN111" i="76"/>
  <c r="AM111" i="76"/>
  <c r="AC111" i="76"/>
  <c r="AB111" i="76"/>
  <c r="AA111" i="76"/>
  <c r="Q111" i="76"/>
  <c r="P111" i="76"/>
  <c r="O111" i="76"/>
  <c r="BA108" i="76"/>
  <c r="BA143" i="76" s="1"/>
  <c r="AZ108" i="76"/>
  <c r="AZ143" i="76" s="1"/>
  <c r="AY108" i="76"/>
  <c r="AY140" i="76" s="1"/>
  <c r="AO108" i="76"/>
  <c r="AN108" i="76"/>
  <c r="AN143" i="76" s="1"/>
  <c r="AM108" i="76"/>
  <c r="AM143" i="76" s="1"/>
  <c r="AC108" i="76"/>
  <c r="AC143" i="76" s="1"/>
  <c r="AB108" i="76"/>
  <c r="AB143" i="76" s="1"/>
  <c r="AA108" i="76"/>
  <c r="Q108" i="76"/>
  <c r="Q140" i="76" s="1"/>
  <c r="Q141" i="76" s="1"/>
  <c r="P108" i="76"/>
  <c r="P143" i="76" s="1"/>
  <c r="O108" i="76"/>
  <c r="Q107" i="76"/>
  <c r="P107" i="76"/>
  <c r="O107" i="76"/>
  <c r="BA105" i="76"/>
  <c r="BA240" i="76" s="1"/>
  <c r="AZ105" i="76"/>
  <c r="AZ240" i="76" s="1"/>
  <c r="AY105" i="76"/>
  <c r="AY240" i="76" s="1"/>
  <c r="AO105" i="76"/>
  <c r="AO240" i="76" s="1"/>
  <c r="AN105" i="76"/>
  <c r="AN240" i="76" s="1"/>
  <c r="AM105" i="76"/>
  <c r="AM240" i="76" s="1"/>
  <c r="AC105" i="76"/>
  <c r="AC240" i="76" s="1"/>
  <c r="AB105" i="76"/>
  <c r="AA105" i="76"/>
  <c r="AA240" i="76" s="1"/>
  <c r="Q105" i="76"/>
  <c r="P105" i="76"/>
  <c r="P240" i="76" s="1"/>
  <c r="O105" i="76"/>
  <c r="O240" i="76" s="1"/>
  <c r="BA104" i="76"/>
  <c r="BA113" i="76" s="1"/>
  <c r="AZ104" i="76"/>
  <c r="AY104" i="76"/>
  <c r="AY113" i="76" s="1"/>
  <c r="AO104" i="76"/>
  <c r="AO113" i="76" s="1"/>
  <c r="AN104" i="76"/>
  <c r="AN140" i="76" s="1"/>
  <c r="AM104" i="76"/>
  <c r="AM113" i="76" s="1"/>
  <c r="AM122" i="76" s="1"/>
  <c r="AC104" i="76"/>
  <c r="AC113" i="76" s="1"/>
  <c r="AB104" i="76"/>
  <c r="AB140" i="76" s="1"/>
  <c r="AA104" i="76"/>
  <c r="AA113" i="76" s="1"/>
  <c r="Q104" i="76"/>
  <c r="Q113" i="76" s="1"/>
  <c r="P104" i="76"/>
  <c r="O104" i="76"/>
  <c r="O113" i="76" s="1"/>
  <c r="Q103" i="76"/>
  <c r="P103" i="76"/>
  <c r="O103" i="76"/>
  <c r="AY102" i="76"/>
  <c r="AM102" i="76"/>
  <c r="AA102" i="76"/>
  <c r="O102" i="76"/>
  <c r="Q96" i="76"/>
  <c r="P96" i="76"/>
  <c r="O96" i="76"/>
  <c r="Q92" i="76"/>
  <c r="P92" i="76"/>
  <c r="O92" i="76"/>
  <c r="Q89" i="76"/>
  <c r="P89" i="76"/>
  <c r="O89" i="76"/>
  <c r="BA86" i="76"/>
  <c r="AZ86" i="76"/>
  <c r="AY86" i="76"/>
  <c r="AO86" i="76"/>
  <c r="AN86" i="76"/>
  <c r="AM86" i="76"/>
  <c r="AC86" i="76"/>
  <c r="AB86" i="76"/>
  <c r="AA86" i="76"/>
  <c r="Q86" i="76"/>
  <c r="O86" i="76"/>
  <c r="Q85" i="76"/>
  <c r="P85" i="76"/>
  <c r="O85" i="76"/>
  <c r="AZ84" i="76"/>
  <c r="AZ263" i="76" s="1"/>
  <c r="AN84" i="76"/>
  <c r="AN263" i="76" s="1"/>
  <c r="AB84" i="76"/>
  <c r="AB263" i="76" s="1"/>
  <c r="P84" i="76"/>
  <c r="E84" i="76"/>
  <c r="Q82" i="76"/>
  <c r="P82" i="76"/>
  <c r="O82" i="76"/>
  <c r="AY81" i="76"/>
  <c r="AM81" i="76"/>
  <c r="AA81" i="76"/>
  <c r="O81" i="76"/>
  <c r="W77" i="76"/>
  <c r="V77" i="76"/>
  <c r="U77" i="76"/>
  <c r="T77" i="76"/>
  <c r="S77" i="76"/>
  <c r="R77" i="76"/>
  <c r="Q77" i="76"/>
  <c r="P77" i="76"/>
  <c r="O77" i="76"/>
  <c r="O76" i="76"/>
  <c r="M76" i="76"/>
  <c r="E71" i="76"/>
  <c r="E69" i="76"/>
  <c r="E68" i="76"/>
  <c r="E67" i="76"/>
  <c r="E66" i="76"/>
  <c r="E65" i="76"/>
  <c r="E64" i="76"/>
  <c r="E62" i="76"/>
  <c r="AM60" i="76"/>
  <c r="AY59" i="76"/>
  <c r="AM59" i="76"/>
  <c r="AA59" i="76"/>
  <c r="O59" i="76"/>
  <c r="M59" i="76"/>
  <c r="J59" i="76"/>
  <c r="V51" i="76"/>
  <c r="AA38" i="76"/>
  <c r="AE37" i="76"/>
  <c r="AY36" i="76"/>
  <c r="AM36" i="76"/>
  <c r="AA36" i="76"/>
  <c r="O36" i="76"/>
  <c r="M36" i="76"/>
  <c r="J36" i="76"/>
  <c r="W33" i="76"/>
  <c r="BG28" i="76"/>
  <c r="BF28" i="76"/>
  <c r="BE28" i="76"/>
  <c r="BD28" i="76"/>
  <c r="BC28" i="76"/>
  <c r="BB28" i="76"/>
  <c r="BA28" i="76"/>
  <c r="AZ28" i="76"/>
  <c r="AY28" i="76"/>
  <c r="AU28" i="76"/>
  <c r="AT28" i="76"/>
  <c r="AS28" i="76"/>
  <c r="AR28" i="76"/>
  <c r="AQ28" i="76"/>
  <c r="AP28" i="76"/>
  <c r="AO28" i="76"/>
  <c r="AN28" i="76"/>
  <c r="AM28" i="76"/>
  <c r="AI28" i="76"/>
  <c r="AH28" i="76"/>
  <c r="AG28" i="76"/>
  <c r="AF28" i="76"/>
  <c r="AE28" i="76"/>
  <c r="AD28" i="76"/>
  <c r="AC28" i="76"/>
  <c r="AB28" i="76"/>
  <c r="AA28" i="76"/>
  <c r="AX27" i="76"/>
  <c r="BG22" i="76"/>
  <c r="BF22" i="76"/>
  <c r="BE22" i="76"/>
  <c r="BD22" i="76"/>
  <c r="BC22" i="76"/>
  <c r="BB22" i="76"/>
  <c r="BA22" i="76"/>
  <c r="AZ22" i="76"/>
  <c r="AY22" i="76"/>
  <c r="AU22" i="76"/>
  <c r="AT22" i="76"/>
  <c r="AS22" i="76"/>
  <c r="AR22" i="76"/>
  <c r="AQ22" i="76"/>
  <c r="AP22" i="76"/>
  <c r="AO22" i="76"/>
  <c r="AN22" i="76"/>
  <c r="AM22" i="76"/>
  <c r="AI22" i="76"/>
  <c r="AH22" i="76"/>
  <c r="AG22" i="76"/>
  <c r="AF22" i="76"/>
  <c r="AF52" i="76" s="1"/>
  <c r="AE22" i="76"/>
  <c r="AD22" i="76"/>
  <c r="AC22" i="76"/>
  <c r="AB22" i="76"/>
  <c r="AA22" i="76"/>
  <c r="W22" i="76"/>
  <c r="V22" i="76"/>
  <c r="U22" i="76"/>
  <c r="T22" i="76"/>
  <c r="S22" i="76"/>
  <c r="R22" i="76"/>
  <c r="Q22" i="76"/>
  <c r="P22" i="76"/>
  <c r="O22" i="76"/>
  <c r="BG21" i="76"/>
  <c r="BF21" i="76"/>
  <c r="BE21" i="76"/>
  <c r="BD21" i="76"/>
  <c r="BC21" i="76"/>
  <c r="BB21" i="76"/>
  <c r="BA21" i="76"/>
  <c r="AZ21" i="76"/>
  <c r="AY21" i="76"/>
  <c r="AU21" i="76"/>
  <c r="AT21" i="76"/>
  <c r="AS21" i="76"/>
  <c r="AR21" i="76"/>
  <c r="AQ21" i="76"/>
  <c r="AP21" i="76"/>
  <c r="AO21" i="76"/>
  <c r="AN21" i="76"/>
  <c r="AM21" i="76"/>
  <c r="AI21" i="76"/>
  <c r="AH21" i="76"/>
  <c r="AG21" i="76"/>
  <c r="AF21" i="76"/>
  <c r="AE21" i="76"/>
  <c r="AD21" i="76"/>
  <c r="AC21" i="76"/>
  <c r="AB21" i="76"/>
  <c r="AA21" i="76"/>
  <c r="BF20" i="76"/>
  <c r="BD20" i="76"/>
  <c r="AH20" i="76"/>
  <c r="O20" i="76"/>
  <c r="BG18" i="76"/>
  <c r="BF18" i="76"/>
  <c r="BE18" i="76"/>
  <c r="BD18" i="76"/>
  <c r="BC18" i="76"/>
  <c r="BB18" i="76"/>
  <c r="BA18" i="76"/>
  <c r="AZ18" i="76"/>
  <c r="AY18" i="76"/>
  <c r="AU18" i="76"/>
  <c r="AT18" i="76"/>
  <c r="AS18" i="76"/>
  <c r="AR18" i="76"/>
  <c r="AQ18" i="76"/>
  <c r="AP18" i="76"/>
  <c r="AO18" i="76"/>
  <c r="AN18" i="76"/>
  <c r="AM18" i="76"/>
  <c r="AI18" i="76"/>
  <c r="AH18" i="76"/>
  <c r="AG18" i="76"/>
  <c r="AF18" i="76"/>
  <c r="AE18" i="76"/>
  <c r="AD18" i="76"/>
  <c r="AC18" i="76"/>
  <c r="AB18" i="76"/>
  <c r="AA18" i="76"/>
  <c r="W18" i="76"/>
  <c r="V18" i="76"/>
  <c r="U18" i="76"/>
  <c r="T18" i="76"/>
  <c r="S18" i="76"/>
  <c r="R18" i="76"/>
  <c r="Q18" i="76"/>
  <c r="P18" i="76"/>
  <c r="O18" i="76"/>
  <c r="BG17" i="76"/>
  <c r="BG19" i="76" s="1"/>
  <c r="BF17" i="76"/>
  <c r="BF72" i="76" s="1"/>
  <c r="BE17" i="76"/>
  <c r="BD17" i="76"/>
  <c r="BC17" i="76"/>
  <c r="BB17" i="76"/>
  <c r="BA17" i="76"/>
  <c r="BA53" i="76" s="1"/>
  <c r="AZ17" i="76"/>
  <c r="AZ53" i="76" s="1"/>
  <c r="AY17" i="76"/>
  <c r="AU17" i="76"/>
  <c r="AU60" i="76" s="1"/>
  <c r="AT17" i="76"/>
  <c r="AT69" i="76" s="1"/>
  <c r="AS17" i="76"/>
  <c r="AS60" i="76" s="1"/>
  <c r="AR17" i="76"/>
  <c r="AQ17" i="76"/>
  <c r="AQ70" i="76" s="1"/>
  <c r="AP17" i="76"/>
  <c r="AP51" i="76" s="1"/>
  <c r="AO17" i="76"/>
  <c r="AN17" i="76"/>
  <c r="AN19" i="76" s="1"/>
  <c r="AM17" i="76"/>
  <c r="AM70" i="76" s="1"/>
  <c r="AI17" i="76"/>
  <c r="AI38" i="76" s="1"/>
  <c r="AH17" i="76"/>
  <c r="AH33" i="76" s="1"/>
  <c r="AG17" i="76"/>
  <c r="AG51" i="76" s="1"/>
  <c r="AF17" i="76"/>
  <c r="AF29" i="76" s="1"/>
  <c r="AE17" i="76"/>
  <c r="AE29" i="76" s="1"/>
  <c r="AD17" i="76"/>
  <c r="AD69" i="76" s="1"/>
  <c r="AC17" i="76"/>
  <c r="AC19" i="76" s="1"/>
  <c r="AB17" i="76"/>
  <c r="AB72" i="76" s="1"/>
  <c r="AA17" i="76"/>
  <c r="AA29" i="76" s="1"/>
  <c r="W17" i="76"/>
  <c r="W72" i="76" s="1"/>
  <c r="V17" i="76"/>
  <c r="U17" i="76"/>
  <c r="U60" i="76" s="1"/>
  <c r="T17" i="76"/>
  <c r="T60" i="76" s="1"/>
  <c r="S17" i="76"/>
  <c r="R17" i="76"/>
  <c r="R21" i="76" s="1"/>
  <c r="Q17" i="76"/>
  <c r="Q60" i="76" s="1"/>
  <c r="P17" i="76"/>
  <c r="P67" i="76" s="1"/>
  <c r="O17" i="76"/>
  <c r="O51" i="76" s="1"/>
  <c r="AY16" i="76"/>
  <c r="AW16" i="76"/>
  <c r="AM16" i="76"/>
  <c r="AK16" i="76"/>
  <c r="AA16" i="76"/>
  <c r="O16" i="76"/>
  <c r="M16" i="76"/>
  <c r="BG10" i="76"/>
  <c r="BF10" i="76"/>
  <c r="BE10" i="76"/>
  <c r="BD10" i="76"/>
  <c r="BC10" i="76"/>
  <c r="BB10" i="76"/>
  <c r="BB175" i="76" s="1"/>
  <c r="BA10" i="76"/>
  <c r="AZ10" i="76"/>
  <c r="AY10" i="76"/>
  <c r="AW10" i="76"/>
  <c r="AW59" i="76" s="1"/>
  <c r="AU10" i="76"/>
  <c r="AT10" i="76"/>
  <c r="AS10" i="76"/>
  <c r="AS179" i="76" s="1"/>
  <c r="AR10" i="76"/>
  <c r="AQ10" i="76"/>
  <c r="AP10" i="76"/>
  <c r="AO10" i="76"/>
  <c r="AN10" i="76"/>
  <c r="AN127" i="76" s="1"/>
  <c r="AM10" i="76"/>
  <c r="AM131" i="76" s="1"/>
  <c r="AK10" i="76"/>
  <c r="AK102" i="76" s="1"/>
  <c r="AI10" i="76"/>
  <c r="AH10" i="76"/>
  <c r="AH185" i="76" s="1"/>
  <c r="AG10" i="76"/>
  <c r="AF10" i="76"/>
  <c r="AE10" i="76"/>
  <c r="AD10" i="76"/>
  <c r="AC10" i="76"/>
  <c r="AC96" i="76" s="1"/>
  <c r="AB10" i="76"/>
  <c r="AB121" i="76" s="1"/>
  <c r="AA10" i="76"/>
  <c r="AA172" i="76" s="1"/>
  <c r="Y10" i="76"/>
  <c r="Y76" i="76" s="1"/>
  <c r="M10" i="76"/>
  <c r="J10" i="76"/>
  <c r="G6" i="76"/>
  <c r="H5" i="76"/>
  <c r="G5" i="76"/>
  <c r="BA173" i="76" s="1"/>
  <c r="E3" i="76"/>
  <c r="E2" i="76"/>
  <c r="E1" i="76"/>
  <c r="E369" i="75"/>
  <c r="E368" i="75"/>
  <c r="E367" i="75"/>
  <c r="E366" i="75"/>
  <c r="E365" i="75"/>
  <c r="AY363" i="75"/>
  <c r="AW363" i="75"/>
  <c r="AM363" i="75"/>
  <c r="AK363" i="75"/>
  <c r="AA363" i="75"/>
  <c r="Y363" i="75"/>
  <c r="O363" i="75"/>
  <c r="M363" i="75"/>
  <c r="H363" i="75"/>
  <c r="E352" i="75"/>
  <c r="E351" i="75"/>
  <c r="E350" i="75"/>
  <c r="E349" i="75"/>
  <c r="E348" i="75"/>
  <c r="E347" i="75"/>
  <c r="E346" i="75"/>
  <c r="E345" i="75"/>
  <c r="AY343" i="75"/>
  <c r="AW343" i="75"/>
  <c r="AM343" i="75"/>
  <c r="AK343" i="75"/>
  <c r="AA343" i="75"/>
  <c r="Y343" i="75"/>
  <c r="O343" i="75"/>
  <c r="M343" i="75"/>
  <c r="J343" i="75"/>
  <c r="AY320" i="75"/>
  <c r="AW320" i="75"/>
  <c r="AM320" i="75"/>
  <c r="AK320" i="75"/>
  <c r="AA320" i="75"/>
  <c r="Y320" i="75"/>
  <c r="O320" i="75"/>
  <c r="M320" i="75"/>
  <c r="H320" i="75"/>
  <c r="AY302" i="75"/>
  <c r="AW302" i="75"/>
  <c r="AM302" i="75"/>
  <c r="AK302" i="75"/>
  <c r="AA302" i="75"/>
  <c r="Y302" i="75"/>
  <c r="O302" i="75"/>
  <c r="M302" i="75"/>
  <c r="J302" i="75"/>
  <c r="E289" i="75"/>
  <c r="E288" i="75"/>
  <c r="E287" i="75"/>
  <c r="E286" i="75"/>
  <c r="E285" i="75"/>
  <c r="E284" i="75"/>
  <c r="E283" i="75"/>
  <c r="E282" i="75"/>
  <c r="AY280" i="75"/>
  <c r="AW280" i="75"/>
  <c r="AM280" i="75"/>
  <c r="AK280" i="75"/>
  <c r="AA280" i="75"/>
  <c r="Y280" i="75"/>
  <c r="O280" i="75"/>
  <c r="M280" i="75"/>
  <c r="J280" i="75"/>
  <c r="E267" i="75"/>
  <c r="O267" i="75" s="1"/>
  <c r="AB263" i="75"/>
  <c r="Q262" i="75"/>
  <c r="P262" i="75"/>
  <c r="O262" i="75"/>
  <c r="AY261" i="75"/>
  <c r="AM261" i="75"/>
  <c r="AA261" i="75"/>
  <c r="O261" i="75"/>
  <c r="W250" i="75"/>
  <c r="Q250" i="75"/>
  <c r="P250" i="75"/>
  <c r="O250" i="75"/>
  <c r="AY249" i="75"/>
  <c r="AM249" i="75"/>
  <c r="AA249" i="75"/>
  <c r="O249" i="75"/>
  <c r="BG244" i="75"/>
  <c r="BF244" i="75"/>
  <c r="BE244" i="75"/>
  <c r="BD244" i="75"/>
  <c r="BC244" i="75"/>
  <c r="BB244" i="75"/>
  <c r="BA244" i="75"/>
  <c r="AZ244" i="75"/>
  <c r="AY244" i="75"/>
  <c r="AU244" i="75"/>
  <c r="AT244" i="75"/>
  <c r="AS244" i="75"/>
  <c r="AR244" i="75"/>
  <c r="AQ244" i="75"/>
  <c r="AP244" i="75"/>
  <c r="AO244" i="75"/>
  <c r="AN244" i="75"/>
  <c r="AM244" i="75"/>
  <c r="AI244" i="75"/>
  <c r="AH244" i="75"/>
  <c r="AG244" i="75"/>
  <c r="AF244" i="75"/>
  <c r="AE244" i="75"/>
  <c r="AD244" i="75"/>
  <c r="AC244" i="75"/>
  <c r="AB244" i="75"/>
  <c r="AA244" i="75"/>
  <c r="W244" i="75"/>
  <c r="V244" i="75"/>
  <c r="U244" i="75"/>
  <c r="T244" i="75"/>
  <c r="S244" i="75"/>
  <c r="R244" i="75"/>
  <c r="Q244" i="75"/>
  <c r="P244" i="75"/>
  <c r="O244" i="75"/>
  <c r="W239" i="75"/>
  <c r="V239" i="75"/>
  <c r="U239" i="75"/>
  <c r="T239" i="75"/>
  <c r="S239" i="75"/>
  <c r="R239" i="75"/>
  <c r="Q239" i="75"/>
  <c r="P239" i="75"/>
  <c r="O239" i="75"/>
  <c r="AY238" i="75"/>
  <c r="AM238" i="75"/>
  <c r="AA238" i="75"/>
  <c r="O238" i="75"/>
  <c r="W232" i="75"/>
  <c r="V232" i="75"/>
  <c r="U232" i="75"/>
  <c r="T232" i="75"/>
  <c r="S232" i="75"/>
  <c r="R232" i="75"/>
  <c r="Q232" i="75"/>
  <c r="P232" i="75"/>
  <c r="O232" i="75"/>
  <c r="H231" i="75"/>
  <c r="H230" i="75"/>
  <c r="H229" i="75"/>
  <c r="W228" i="75"/>
  <c r="V228" i="75"/>
  <c r="U228" i="75"/>
  <c r="T228" i="75"/>
  <c r="S228" i="75"/>
  <c r="R228" i="75"/>
  <c r="Q228" i="75"/>
  <c r="P228" i="75"/>
  <c r="O228" i="75"/>
  <c r="AY227" i="75"/>
  <c r="AM227" i="75"/>
  <c r="AA227" i="75"/>
  <c r="O227" i="75"/>
  <c r="W221" i="75"/>
  <c r="Q221" i="75"/>
  <c r="P221" i="75"/>
  <c r="O221" i="75"/>
  <c r="AW219" i="75"/>
  <c r="AK219" i="75"/>
  <c r="Y219" i="75"/>
  <c r="M219" i="75"/>
  <c r="AW217" i="75"/>
  <c r="AK217" i="75"/>
  <c r="Y217" i="75"/>
  <c r="M217" i="75"/>
  <c r="AW216" i="75"/>
  <c r="AK216" i="75"/>
  <c r="Y216" i="75"/>
  <c r="M216" i="75"/>
  <c r="W215" i="75"/>
  <c r="Q215" i="75"/>
  <c r="P215" i="75"/>
  <c r="O215" i="75"/>
  <c r="AW213" i="75"/>
  <c r="AK213" i="75"/>
  <c r="Y213" i="75"/>
  <c r="M213" i="75"/>
  <c r="W211" i="75"/>
  <c r="Q211" i="75"/>
  <c r="P211" i="75"/>
  <c r="O211" i="75"/>
  <c r="W204" i="75"/>
  <c r="V204" i="75"/>
  <c r="U204" i="75"/>
  <c r="S204" i="75"/>
  <c r="R204" i="75"/>
  <c r="Q204" i="75"/>
  <c r="P204" i="75"/>
  <c r="O204" i="75"/>
  <c r="W199" i="75"/>
  <c r="V199" i="75"/>
  <c r="U199" i="75"/>
  <c r="S199" i="75"/>
  <c r="R199" i="75"/>
  <c r="Q199" i="75"/>
  <c r="P199" i="75"/>
  <c r="O199" i="75"/>
  <c r="AW198" i="75"/>
  <c r="AK198" i="75"/>
  <c r="Y198" i="75"/>
  <c r="M198" i="75"/>
  <c r="W193" i="75"/>
  <c r="V193" i="75"/>
  <c r="U193" i="75"/>
  <c r="S193" i="75"/>
  <c r="R193" i="75"/>
  <c r="Q193" i="75"/>
  <c r="P193" i="75"/>
  <c r="O193" i="75"/>
  <c r="W189" i="75"/>
  <c r="V189" i="75"/>
  <c r="U189" i="75"/>
  <c r="S189" i="75"/>
  <c r="R189" i="75"/>
  <c r="Q189" i="75"/>
  <c r="P189" i="75"/>
  <c r="O189" i="75"/>
  <c r="W185" i="75"/>
  <c r="V185" i="75"/>
  <c r="U185" i="75"/>
  <c r="T185" i="75"/>
  <c r="S185" i="75"/>
  <c r="R185" i="75"/>
  <c r="Q185" i="75"/>
  <c r="P185" i="75"/>
  <c r="O185" i="75"/>
  <c r="AY184" i="75"/>
  <c r="AM184" i="75"/>
  <c r="AA184" i="75"/>
  <c r="O184" i="75"/>
  <c r="V179" i="75"/>
  <c r="U179" i="75"/>
  <c r="T179" i="75"/>
  <c r="S179" i="75"/>
  <c r="R179" i="75"/>
  <c r="Q179" i="75"/>
  <c r="P179" i="75"/>
  <c r="O179" i="75"/>
  <c r="BF177" i="75"/>
  <c r="BE177" i="75"/>
  <c r="BD177" i="75"/>
  <c r="BC177" i="75"/>
  <c r="BB177" i="75"/>
  <c r="BA177" i="75"/>
  <c r="AZ177" i="75"/>
  <c r="AY177" i="75"/>
  <c r="AT177" i="75"/>
  <c r="AS177" i="75"/>
  <c r="AR177" i="75"/>
  <c r="AQ177" i="75"/>
  <c r="AP177" i="75"/>
  <c r="AO177" i="75"/>
  <c r="AN177" i="75"/>
  <c r="AM177" i="75"/>
  <c r="AH177" i="75"/>
  <c r="AG177" i="75"/>
  <c r="AF177" i="75"/>
  <c r="AE177" i="75"/>
  <c r="AD177" i="75"/>
  <c r="AC177" i="75"/>
  <c r="AB177" i="75"/>
  <c r="AA177" i="75"/>
  <c r="V177" i="75"/>
  <c r="U177" i="75"/>
  <c r="T177" i="75"/>
  <c r="S177" i="75"/>
  <c r="R177" i="75"/>
  <c r="Q177" i="75"/>
  <c r="P177" i="75"/>
  <c r="O177" i="75"/>
  <c r="BF176" i="75"/>
  <c r="BE176" i="75"/>
  <c r="BD176" i="75"/>
  <c r="BC176" i="75"/>
  <c r="BB176" i="75"/>
  <c r="BA176" i="75"/>
  <c r="AZ176" i="75"/>
  <c r="AY176" i="75"/>
  <c r="AT176" i="75"/>
  <c r="AS176" i="75"/>
  <c r="AR176" i="75"/>
  <c r="AQ176" i="75"/>
  <c r="AP176" i="75"/>
  <c r="AO176" i="75"/>
  <c r="AN176" i="75"/>
  <c r="AM176" i="75"/>
  <c r="AH176" i="75"/>
  <c r="AG176" i="75"/>
  <c r="AF176" i="75"/>
  <c r="AE176" i="75"/>
  <c r="AD176" i="75"/>
  <c r="AC176" i="75"/>
  <c r="AB176" i="75"/>
  <c r="AA176" i="75"/>
  <c r="V176" i="75"/>
  <c r="U176" i="75"/>
  <c r="T176" i="75"/>
  <c r="S176" i="75"/>
  <c r="R176" i="75"/>
  <c r="Q176" i="75"/>
  <c r="P176" i="75"/>
  <c r="O176" i="75"/>
  <c r="V175" i="75"/>
  <c r="U175" i="75"/>
  <c r="T175" i="75"/>
  <c r="S175" i="75"/>
  <c r="R175" i="75"/>
  <c r="Q175" i="75"/>
  <c r="P175" i="75"/>
  <c r="O175" i="75"/>
  <c r="BD173" i="75"/>
  <c r="AR173" i="75"/>
  <c r="AF173" i="75"/>
  <c r="T173" i="75"/>
  <c r="V172" i="75"/>
  <c r="U172" i="75"/>
  <c r="T172" i="75"/>
  <c r="S172" i="75"/>
  <c r="R172" i="75"/>
  <c r="Q172" i="75"/>
  <c r="P172" i="75"/>
  <c r="O172" i="75"/>
  <c r="BA166" i="75"/>
  <c r="AZ166" i="75"/>
  <c r="AY166" i="75"/>
  <c r="AO166" i="75"/>
  <c r="AN166" i="75"/>
  <c r="AM166" i="75"/>
  <c r="AC166" i="75"/>
  <c r="AB166" i="75"/>
  <c r="AA166" i="75"/>
  <c r="Q166" i="75"/>
  <c r="P166" i="75"/>
  <c r="O166" i="75"/>
  <c r="V165" i="75"/>
  <c r="U165" i="75"/>
  <c r="T165" i="75"/>
  <c r="S165" i="75"/>
  <c r="R165" i="75"/>
  <c r="Q165" i="75"/>
  <c r="P165" i="75"/>
  <c r="O165" i="75"/>
  <c r="AY164" i="75"/>
  <c r="AM164" i="75"/>
  <c r="AA164" i="75"/>
  <c r="O164" i="75"/>
  <c r="Q158" i="75"/>
  <c r="P158" i="75"/>
  <c r="O158" i="75"/>
  <c r="Q152" i="75"/>
  <c r="P152" i="75"/>
  <c r="O152" i="75"/>
  <c r="Q148" i="75"/>
  <c r="P148" i="75"/>
  <c r="O148" i="75"/>
  <c r="BA145" i="75"/>
  <c r="AZ145" i="75"/>
  <c r="AZ147" i="75" s="1"/>
  <c r="AY145" i="75"/>
  <c r="AO145" i="75"/>
  <c r="AN145" i="75"/>
  <c r="AN147" i="75" s="1"/>
  <c r="AM145" i="75"/>
  <c r="AC145" i="75"/>
  <c r="AB145" i="75"/>
  <c r="AB147" i="75" s="1"/>
  <c r="AA145" i="75"/>
  <c r="Q145" i="75"/>
  <c r="P145" i="75"/>
  <c r="P147" i="75" s="1"/>
  <c r="O145" i="75"/>
  <c r="Q139" i="75"/>
  <c r="P139" i="75"/>
  <c r="O139" i="75"/>
  <c r="AY138" i="75"/>
  <c r="AM138" i="75"/>
  <c r="AA138" i="75"/>
  <c r="O138" i="75"/>
  <c r="BA134" i="75"/>
  <c r="AZ134" i="75"/>
  <c r="AY134" i="75"/>
  <c r="AO134" i="75"/>
  <c r="AN134" i="75"/>
  <c r="AM134" i="75"/>
  <c r="AC134" i="75"/>
  <c r="AB134" i="75"/>
  <c r="AA134" i="75"/>
  <c r="Q134" i="75"/>
  <c r="P134" i="75"/>
  <c r="O134" i="75"/>
  <c r="BA133" i="75"/>
  <c r="AZ133" i="75"/>
  <c r="AY133" i="75"/>
  <c r="AO133" i="75"/>
  <c r="AN133" i="75"/>
  <c r="AM133" i="75"/>
  <c r="AC133" i="75"/>
  <c r="AB133" i="75"/>
  <c r="AA133" i="75"/>
  <c r="Q133" i="75"/>
  <c r="P133" i="75"/>
  <c r="O133" i="75"/>
  <c r="Q131" i="75"/>
  <c r="P131" i="75"/>
  <c r="O131" i="75"/>
  <c r="Q127" i="75"/>
  <c r="P127" i="75"/>
  <c r="O127" i="75"/>
  <c r="Q121" i="75"/>
  <c r="P121" i="75"/>
  <c r="O121" i="75"/>
  <c r="Q117" i="75"/>
  <c r="P117" i="75"/>
  <c r="O117" i="75"/>
  <c r="AZ115" i="75"/>
  <c r="AN115" i="75"/>
  <c r="AB115" i="75"/>
  <c r="P115" i="75"/>
  <c r="BA114" i="75"/>
  <c r="AY114" i="75"/>
  <c r="AO114" i="75"/>
  <c r="AM114" i="75"/>
  <c r="AC114" i="75"/>
  <c r="AA114" i="75"/>
  <c r="Q114" i="75"/>
  <c r="O114" i="75"/>
  <c r="BA111" i="75"/>
  <c r="AZ111" i="75"/>
  <c r="AY111" i="75"/>
  <c r="AO111" i="75"/>
  <c r="AN111" i="75"/>
  <c r="AM111" i="75"/>
  <c r="AC111" i="75"/>
  <c r="AB111" i="75"/>
  <c r="AA111" i="75"/>
  <c r="Q111" i="75"/>
  <c r="P111" i="75"/>
  <c r="O111" i="75"/>
  <c r="BA108" i="75"/>
  <c r="BA143" i="75" s="1"/>
  <c r="AZ108" i="75"/>
  <c r="AZ143" i="75" s="1"/>
  <c r="AY108" i="75"/>
  <c r="AY143" i="75" s="1"/>
  <c r="AO108" i="75"/>
  <c r="AO140" i="75" s="1"/>
  <c r="AN108" i="75"/>
  <c r="AN143" i="75" s="1"/>
  <c r="AM108" i="75"/>
  <c r="AM140" i="75" s="1"/>
  <c r="AC108" i="75"/>
  <c r="AC140" i="75" s="1"/>
  <c r="AC141" i="75" s="1"/>
  <c r="AB108" i="75"/>
  <c r="AB143" i="75" s="1"/>
  <c r="AA108" i="75"/>
  <c r="AA143" i="75" s="1"/>
  <c r="Q108" i="75"/>
  <c r="Q140" i="75" s="1"/>
  <c r="Q141" i="75" s="1"/>
  <c r="P108" i="75"/>
  <c r="P143" i="75" s="1"/>
  <c r="O108" i="75"/>
  <c r="O140" i="75" s="1"/>
  <c r="Q107" i="75"/>
  <c r="P107" i="75"/>
  <c r="O107" i="75"/>
  <c r="BA105" i="75"/>
  <c r="BA240" i="75" s="1"/>
  <c r="AZ105" i="75"/>
  <c r="AY105" i="75"/>
  <c r="AY240" i="75" s="1"/>
  <c r="AO105" i="75"/>
  <c r="AO240" i="75" s="1"/>
  <c r="AN105" i="75"/>
  <c r="AN240" i="75" s="1"/>
  <c r="AM105" i="75"/>
  <c r="AM240" i="75" s="1"/>
  <c r="AC105" i="75"/>
  <c r="AB105" i="75"/>
  <c r="AB240" i="75" s="1"/>
  <c r="AA105" i="75"/>
  <c r="AA240" i="75" s="1"/>
  <c r="Q105" i="75"/>
  <c r="P105" i="75"/>
  <c r="P240" i="75" s="1"/>
  <c r="O105" i="75"/>
  <c r="O240" i="75" s="1"/>
  <c r="BA104" i="75"/>
  <c r="BA113" i="75" s="1"/>
  <c r="AZ104" i="75"/>
  <c r="AY104" i="75"/>
  <c r="AY113" i="75" s="1"/>
  <c r="AO104" i="75"/>
  <c r="AO113" i="75" s="1"/>
  <c r="AN104" i="75"/>
  <c r="AM104" i="75"/>
  <c r="AM113" i="75" s="1"/>
  <c r="AC104" i="75"/>
  <c r="AC113" i="75" s="1"/>
  <c r="AB104" i="75"/>
  <c r="AA104" i="75"/>
  <c r="AA113" i="75" s="1"/>
  <c r="Q104" i="75"/>
  <c r="Q113" i="75" s="1"/>
  <c r="P104" i="75"/>
  <c r="O104" i="75"/>
  <c r="O113" i="75" s="1"/>
  <c r="Q103" i="75"/>
  <c r="P103" i="75"/>
  <c r="O103" i="75"/>
  <c r="AY102" i="75"/>
  <c r="AM102" i="75"/>
  <c r="AA102" i="75"/>
  <c r="O102" i="75"/>
  <c r="Q96" i="75"/>
  <c r="P96" i="75"/>
  <c r="O96" i="75"/>
  <c r="Q92" i="75"/>
  <c r="P92" i="75"/>
  <c r="O92" i="75"/>
  <c r="Q89" i="75"/>
  <c r="P89" i="75"/>
  <c r="O89" i="75"/>
  <c r="BA86" i="75"/>
  <c r="AZ86" i="75"/>
  <c r="AY86" i="75"/>
  <c r="AO86" i="75"/>
  <c r="AN86" i="75"/>
  <c r="AM86" i="75"/>
  <c r="AC86" i="75"/>
  <c r="AB86" i="75"/>
  <c r="AA86" i="75"/>
  <c r="Q86" i="75"/>
  <c r="O86" i="75"/>
  <c r="Q85" i="75"/>
  <c r="P85" i="75"/>
  <c r="O85" i="75"/>
  <c r="AZ84" i="75"/>
  <c r="AZ263" i="75" s="1"/>
  <c r="AN84" i="75"/>
  <c r="AN263" i="75" s="1"/>
  <c r="AB84" i="75"/>
  <c r="P84" i="75"/>
  <c r="P263" i="75" s="1"/>
  <c r="E84" i="75"/>
  <c r="Q82" i="75"/>
  <c r="P82" i="75"/>
  <c r="O82" i="75"/>
  <c r="AY81" i="75"/>
  <c r="AM81" i="75"/>
  <c r="AA81" i="75"/>
  <c r="O81" i="75"/>
  <c r="W77" i="75"/>
  <c r="V77" i="75"/>
  <c r="U77" i="75"/>
  <c r="T77" i="75"/>
  <c r="S77" i="75"/>
  <c r="R77" i="75"/>
  <c r="Q77" i="75"/>
  <c r="P77" i="75"/>
  <c r="O77" i="75"/>
  <c r="O76" i="75"/>
  <c r="E71" i="75"/>
  <c r="E69" i="75"/>
  <c r="E68" i="75"/>
  <c r="E67" i="75"/>
  <c r="E66" i="75"/>
  <c r="E65" i="75"/>
  <c r="E64" i="75"/>
  <c r="E62" i="75"/>
  <c r="U60" i="75"/>
  <c r="AY59" i="75"/>
  <c r="AM59" i="75"/>
  <c r="AA59" i="75"/>
  <c r="O59" i="75"/>
  <c r="M59" i="75"/>
  <c r="J59" i="75"/>
  <c r="T51" i="75"/>
  <c r="BF37" i="75"/>
  <c r="AY36" i="75"/>
  <c r="AM36" i="75"/>
  <c r="AA36" i="75"/>
  <c r="O36" i="75"/>
  <c r="M36" i="75"/>
  <c r="J36" i="75"/>
  <c r="BF29" i="75"/>
  <c r="AB29" i="75"/>
  <c r="BG28" i="75"/>
  <c r="BF28" i="75"/>
  <c r="BE28" i="75"/>
  <c r="BD28" i="75"/>
  <c r="BC28" i="75"/>
  <c r="BB28" i="75"/>
  <c r="BA28" i="75"/>
  <c r="AZ28" i="75"/>
  <c r="AY28" i="75"/>
  <c r="AU28" i="75"/>
  <c r="AT28" i="75"/>
  <c r="AS28" i="75"/>
  <c r="AR28" i="75"/>
  <c r="AQ28" i="75"/>
  <c r="AP28" i="75"/>
  <c r="AO28" i="75"/>
  <c r="AN28" i="75"/>
  <c r="AM28" i="75"/>
  <c r="AI28" i="75"/>
  <c r="AH28" i="75"/>
  <c r="AG28" i="75"/>
  <c r="AF28" i="75"/>
  <c r="AE28" i="75"/>
  <c r="AD28" i="75"/>
  <c r="AC28" i="75"/>
  <c r="AB28" i="75"/>
  <c r="AA28" i="75"/>
  <c r="AX27" i="75"/>
  <c r="BG22" i="75"/>
  <c r="BF22" i="75"/>
  <c r="BE22" i="75"/>
  <c r="BD22" i="75"/>
  <c r="BC22" i="75"/>
  <c r="BB22" i="75"/>
  <c r="BA22" i="75"/>
  <c r="AZ22" i="75"/>
  <c r="AY22" i="75"/>
  <c r="AU22" i="75"/>
  <c r="AT22" i="75"/>
  <c r="AS22" i="75"/>
  <c r="AR22" i="75"/>
  <c r="AQ22" i="75"/>
  <c r="AP22" i="75"/>
  <c r="AO22" i="75"/>
  <c r="AN22" i="75"/>
  <c r="AM22" i="75"/>
  <c r="AI22" i="75"/>
  <c r="AH22" i="75"/>
  <c r="AG22" i="75"/>
  <c r="AF22" i="75"/>
  <c r="AE22" i="75"/>
  <c r="AD22" i="75"/>
  <c r="AC22" i="75"/>
  <c r="AB22" i="75"/>
  <c r="AA22" i="75"/>
  <c r="W22" i="75"/>
  <c r="V22" i="75"/>
  <c r="U22" i="75"/>
  <c r="T22" i="75"/>
  <c r="S22" i="75"/>
  <c r="R22" i="75"/>
  <c r="Q22" i="75"/>
  <c r="P22" i="75"/>
  <c r="O22" i="75"/>
  <c r="BG21" i="75"/>
  <c r="BF21" i="75"/>
  <c r="BE21" i="75"/>
  <c r="BD21" i="75"/>
  <c r="BC21" i="75"/>
  <c r="BB21" i="75"/>
  <c r="BA21" i="75"/>
  <c r="AZ21" i="75"/>
  <c r="AY21" i="75"/>
  <c r="AU21" i="75"/>
  <c r="AT21" i="75"/>
  <c r="AS21" i="75"/>
  <c r="AR21" i="75"/>
  <c r="AQ21" i="75"/>
  <c r="AP21" i="75"/>
  <c r="AO21" i="75"/>
  <c r="AN21" i="75"/>
  <c r="AM21" i="75"/>
  <c r="AI21" i="75"/>
  <c r="AH21" i="75"/>
  <c r="AG21" i="75"/>
  <c r="AF21" i="75"/>
  <c r="AE21" i="75"/>
  <c r="AD21" i="75"/>
  <c r="AC21" i="75"/>
  <c r="AB21" i="75"/>
  <c r="AA21" i="75"/>
  <c r="Q21" i="75"/>
  <c r="AU20" i="75"/>
  <c r="U20" i="75"/>
  <c r="AU19" i="75"/>
  <c r="AU61" i="75" s="1"/>
  <c r="AM19" i="75"/>
  <c r="AM24" i="75" s="1"/>
  <c r="AF19" i="75"/>
  <c r="AF24" i="75" s="1"/>
  <c r="BG18" i="75"/>
  <c r="BF18" i="75"/>
  <c r="BE18" i="75"/>
  <c r="BD18" i="75"/>
  <c r="BC18" i="75"/>
  <c r="BB18" i="75"/>
  <c r="BA18" i="75"/>
  <c r="AZ18" i="75"/>
  <c r="AY18" i="75"/>
  <c r="AU18" i="75"/>
  <c r="AT18" i="75"/>
  <c r="AS18" i="75"/>
  <c r="AR18" i="75"/>
  <c r="AQ18" i="75"/>
  <c r="AP18" i="75"/>
  <c r="AO18" i="75"/>
  <c r="AN18" i="75"/>
  <c r="AM18" i="75"/>
  <c r="AI18" i="75"/>
  <c r="AH18" i="75"/>
  <c r="AG18" i="75"/>
  <c r="AF18" i="75"/>
  <c r="AE18" i="75"/>
  <c r="AD18" i="75"/>
  <c r="AC18" i="75"/>
  <c r="AB18" i="75"/>
  <c r="AA18" i="75"/>
  <c r="W18" i="75"/>
  <c r="V18" i="75"/>
  <c r="U18" i="75"/>
  <c r="T18" i="75"/>
  <c r="S18" i="75"/>
  <c r="R18" i="75"/>
  <c r="Q18" i="75"/>
  <c r="P18" i="75"/>
  <c r="O18" i="75"/>
  <c r="BG17" i="75"/>
  <c r="BG19" i="75" s="1"/>
  <c r="BF17" i="75"/>
  <c r="BE17" i="75"/>
  <c r="BD17" i="75"/>
  <c r="BC17" i="75"/>
  <c r="BC29" i="75" s="1"/>
  <c r="BB17" i="75"/>
  <c r="BB19" i="75" s="1"/>
  <c r="BB24" i="75" s="1"/>
  <c r="BA17" i="75"/>
  <c r="BA72" i="75" s="1"/>
  <c r="AZ17" i="75"/>
  <c r="AZ19" i="75" s="1"/>
  <c r="AZ61" i="75" s="1"/>
  <c r="AY17" i="75"/>
  <c r="AU17" i="75"/>
  <c r="AU69" i="75" s="1"/>
  <c r="AT17" i="75"/>
  <c r="AT20" i="75" s="1"/>
  <c r="AS17" i="75"/>
  <c r="AS60" i="75" s="1"/>
  <c r="AR17" i="75"/>
  <c r="AQ17" i="75"/>
  <c r="AQ38" i="75" s="1"/>
  <c r="AQ62" i="75" s="1"/>
  <c r="AP17" i="75"/>
  <c r="AP19" i="75" s="1"/>
  <c r="AO17" i="75"/>
  <c r="AO38" i="75" s="1"/>
  <c r="AO54" i="75" s="1"/>
  <c r="AN17" i="75"/>
  <c r="AN67" i="75" s="1"/>
  <c r="AM17" i="75"/>
  <c r="AM20" i="75" s="1"/>
  <c r="AI17" i="75"/>
  <c r="AI20" i="75" s="1"/>
  <c r="AH17" i="75"/>
  <c r="AG17" i="75"/>
  <c r="AG29" i="75" s="1"/>
  <c r="AF17" i="75"/>
  <c r="AE17" i="75"/>
  <c r="AE19" i="75" s="1"/>
  <c r="AD17" i="75"/>
  <c r="AD19" i="75" s="1"/>
  <c r="AD25" i="75" s="1"/>
  <c r="AC17" i="75"/>
  <c r="AC67" i="75" s="1"/>
  <c r="AB17" i="75"/>
  <c r="AB19" i="75" s="1"/>
  <c r="AB61" i="75" s="1"/>
  <c r="AA17" i="75"/>
  <c r="AA20" i="75" s="1"/>
  <c r="W17" i="75"/>
  <c r="W20" i="75" s="1"/>
  <c r="V17" i="75"/>
  <c r="V70" i="75" s="1"/>
  <c r="U17" i="75"/>
  <c r="U28" i="75" s="1"/>
  <c r="T17" i="75"/>
  <c r="T33" i="75" s="1"/>
  <c r="S17" i="75"/>
  <c r="S20" i="75" s="1"/>
  <c r="R17" i="75"/>
  <c r="Q17" i="75"/>
  <c r="Q72" i="75" s="1"/>
  <c r="P17" i="75"/>
  <c r="P28" i="75" s="1"/>
  <c r="O17" i="75"/>
  <c r="O28" i="75" s="1"/>
  <c r="AY16" i="75"/>
  <c r="AM16" i="75"/>
  <c r="AA16" i="75"/>
  <c r="O16" i="75"/>
  <c r="M16" i="75"/>
  <c r="BG10" i="75"/>
  <c r="BF10" i="75"/>
  <c r="BE10" i="75"/>
  <c r="BD10" i="75"/>
  <c r="BC10" i="75"/>
  <c r="BB10" i="75"/>
  <c r="BA10" i="75"/>
  <c r="AZ10" i="75"/>
  <c r="AY10" i="75"/>
  <c r="AY199" i="75" s="1"/>
  <c r="AW10" i="75"/>
  <c r="AW16" i="75" s="1"/>
  <c r="AU10" i="75"/>
  <c r="AT10" i="75"/>
  <c r="AS10" i="75"/>
  <c r="AR10" i="75"/>
  <c r="AQ10" i="75"/>
  <c r="AP10" i="75"/>
  <c r="AO10" i="75"/>
  <c r="AN10" i="75"/>
  <c r="AM10" i="75"/>
  <c r="AK10" i="75"/>
  <c r="AK16" i="75" s="1"/>
  <c r="AI10" i="75"/>
  <c r="AH10" i="75"/>
  <c r="AG10" i="75"/>
  <c r="AF10" i="75"/>
  <c r="AE10" i="75"/>
  <c r="AD10" i="75"/>
  <c r="AD76" i="75" s="1"/>
  <c r="AC10" i="75"/>
  <c r="AB10" i="75"/>
  <c r="AA10" i="75"/>
  <c r="Y10" i="75"/>
  <c r="M10" i="75"/>
  <c r="J10" i="75"/>
  <c r="G6" i="75"/>
  <c r="H5" i="75"/>
  <c r="G5" i="75"/>
  <c r="O173" i="75" s="1"/>
  <c r="E3" i="75"/>
  <c r="E2" i="75"/>
  <c r="E1" i="75"/>
  <c r="E369" i="74"/>
  <c r="E368" i="74"/>
  <c r="E367" i="74"/>
  <c r="E366" i="74"/>
  <c r="E365" i="74"/>
  <c r="AY363" i="74"/>
  <c r="AW363" i="74"/>
  <c r="AM363" i="74"/>
  <c r="AK363" i="74"/>
  <c r="AA363" i="74"/>
  <c r="Y363" i="74"/>
  <c r="O363" i="74"/>
  <c r="M363" i="74"/>
  <c r="H363" i="74"/>
  <c r="E352" i="74"/>
  <c r="E351" i="74"/>
  <c r="E350" i="74"/>
  <c r="E349" i="74"/>
  <c r="E348" i="74"/>
  <c r="E347" i="74"/>
  <c r="E346" i="74"/>
  <c r="E345" i="74"/>
  <c r="AY343" i="74"/>
  <c r="AW343" i="74"/>
  <c r="AM343" i="74"/>
  <c r="AK343" i="74"/>
  <c r="AA343" i="74"/>
  <c r="Y343" i="74"/>
  <c r="O343" i="74"/>
  <c r="M343" i="74"/>
  <c r="J343" i="74"/>
  <c r="AY320" i="74"/>
  <c r="AW320" i="74"/>
  <c r="AM320" i="74"/>
  <c r="AK320" i="74"/>
  <c r="AA320" i="74"/>
  <c r="Y320" i="74"/>
  <c r="O320" i="74"/>
  <c r="M320" i="74"/>
  <c r="H320" i="74"/>
  <c r="AY302" i="74"/>
  <c r="AW302" i="74"/>
  <c r="AM302" i="74"/>
  <c r="AK302" i="74"/>
  <c r="AA302" i="74"/>
  <c r="Y302" i="74"/>
  <c r="O302" i="74"/>
  <c r="M302" i="74"/>
  <c r="J302" i="74"/>
  <c r="E289" i="74"/>
  <c r="E288" i="74"/>
  <c r="E287" i="74"/>
  <c r="E286" i="74"/>
  <c r="E285" i="74"/>
  <c r="E284" i="74"/>
  <c r="E283" i="74"/>
  <c r="E282" i="74"/>
  <c r="AY280" i="74"/>
  <c r="AW280" i="74"/>
  <c r="AM280" i="74"/>
  <c r="AK280" i="74"/>
  <c r="AA280" i="74"/>
  <c r="Y280" i="74"/>
  <c r="O280" i="74"/>
  <c r="M280" i="74"/>
  <c r="J280" i="74"/>
  <c r="AA267" i="74"/>
  <c r="E267" i="74"/>
  <c r="E268" i="74" s="1"/>
  <c r="AN263" i="74"/>
  <c r="Q262" i="74"/>
  <c r="P262" i="74"/>
  <c r="O262" i="74"/>
  <c r="AY261" i="74"/>
  <c r="AM261" i="74"/>
  <c r="AA261" i="74"/>
  <c r="O261" i="74"/>
  <c r="W250" i="74"/>
  <c r="Q250" i="74"/>
  <c r="P250" i="74"/>
  <c r="O250" i="74"/>
  <c r="AY249" i="74"/>
  <c r="AM249" i="74"/>
  <c r="AA249" i="74"/>
  <c r="O249" i="74"/>
  <c r="BG244" i="74"/>
  <c r="BF244" i="74"/>
  <c r="BE244" i="74"/>
  <c r="BD244" i="74"/>
  <c r="BC244" i="74"/>
  <c r="BB244" i="74"/>
  <c r="BA244" i="74"/>
  <c r="AZ244" i="74"/>
  <c r="AY244" i="74"/>
  <c r="AU244" i="74"/>
  <c r="AT244" i="74"/>
  <c r="AS244" i="74"/>
  <c r="AR244" i="74"/>
  <c r="AQ244" i="74"/>
  <c r="AP244" i="74"/>
  <c r="AO244" i="74"/>
  <c r="AN244" i="74"/>
  <c r="AM244" i="74"/>
  <c r="AI244" i="74"/>
  <c r="AH244" i="74"/>
  <c r="AG244" i="74"/>
  <c r="AF244" i="74"/>
  <c r="AE244" i="74"/>
  <c r="AD244" i="74"/>
  <c r="AC244" i="74"/>
  <c r="AB244" i="74"/>
  <c r="AA244" i="74"/>
  <c r="W244" i="74"/>
  <c r="V244" i="74"/>
  <c r="U244" i="74"/>
  <c r="T244" i="74"/>
  <c r="S244" i="74"/>
  <c r="R244" i="74"/>
  <c r="Q244" i="74"/>
  <c r="P244" i="74"/>
  <c r="O244" i="74"/>
  <c r="W239" i="74"/>
  <c r="V239" i="74"/>
  <c r="U239" i="74"/>
  <c r="T239" i="74"/>
  <c r="S239" i="74"/>
  <c r="R239" i="74"/>
  <c r="Q239" i="74"/>
  <c r="P239" i="74"/>
  <c r="O239" i="74"/>
  <c r="AY238" i="74"/>
  <c r="AM238" i="74"/>
  <c r="AA238" i="74"/>
  <c r="O238" i="74"/>
  <c r="W232" i="74"/>
  <c r="V232" i="74"/>
  <c r="U232" i="74"/>
  <c r="T232" i="74"/>
  <c r="S232" i="74"/>
  <c r="R232" i="74"/>
  <c r="Q232" i="74"/>
  <c r="P232" i="74"/>
  <c r="O232" i="74"/>
  <c r="H231" i="74"/>
  <c r="H230" i="74"/>
  <c r="H229" i="74"/>
  <c r="W228" i="74"/>
  <c r="V228" i="74"/>
  <c r="U228" i="74"/>
  <c r="T228" i="74"/>
  <c r="S228" i="74"/>
  <c r="R228" i="74"/>
  <c r="Q228" i="74"/>
  <c r="P228" i="74"/>
  <c r="O228" i="74"/>
  <c r="AY227" i="74"/>
  <c r="AM227" i="74"/>
  <c r="AA227" i="74"/>
  <c r="O227" i="74"/>
  <c r="W221" i="74"/>
  <c r="Q221" i="74"/>
  <c r="P221" i="74"/>
  <c r="O221" i="74"/>
  <c r="AW219" i="74"/>
  <c r="AK219" i="74"/>
  <c r="Y219" i="74"/>
  <c r="M219" i="74"/>
  <c r="AW217" i="74"/>
  <c r="AK217" i="74"/>
  <c r="Y217" i="74"/>
  <c r="M217" i="74"/>
  <c r="AW216" i="74"/>
  <c r="AK216" i="74"/>
  <c r="Y216" i="74"/>
  <c r="M216" i="74"/>
  <c r="W215" i="74"/>
  <c r="Q215" i="74"/>
  <c r="P215" i="74"/>
  <c r="O215" i="74"/>
  <c r="AW213" i="74"/>
  <c r="AK213" i="74"/>
  <c r="Y213" i="74"/>
  <c r="M213" i="74"/>
  <c r="W211" i="74"/>
  <c r="Q211" i="74"/>
  <c r="P211" i="74"/>
  <c r="O211" i="74"/>
  <c r="W204" i="74"/>
  <c r="V204" i="74"/>
  <c r="U204" i="74"/>
  <c r="S204" i="74"/>
  <c r="R204" i="74"/>
  <c r="Q204" i="74"/>
  <c r="P204" i="74"/>
  <c r="O204" i="74"/>
  <c r="W199" i="74"/>
  <c r="V199" i="74"/>
  <c r="U199" i="74"/>
  <c r="S199" i="74"/>
  <c r="R199" i="74"/>
  <c r="Q199" i="74"/>
  <c r="P199" i="74"/>
  <c r="O199" i="74"/>
  <c r="AW198" i="74"/>
  <c r="AK198" i="74"/>
  <c r="Y198" i="74"/>
  <c r="M198" i="74"/>
  <c r="W193" i="74"/>
  <c r="V193" i="74"/>
  <c r="U193" i="74"/>
  <c r="S193" i="74"/>
  <c r="R193" i="74"/>
  <c r="Q193" i="74"/>
  <c r="P193" i="74"/>
  <c r="O193" i="74"/>
  <c r="W189" i="74"/>
  <c r="V189" i="74"/>
  <c r="U189" i="74"/>
  <c r="S189" i="74"/>
  <c r="R189" i="74"/>
  <c r="Q189" i="74"/>
  <c r="P189" i="74"/>
  <c r="O189" i="74"/>
  <c r="W185" i="74"/>
  <c r="V185" i="74"/>
  <c r="U185" i="74"/>
  <c r="T185" i="74"/>
  <c r="S185" i="74"/>
  <c r="R185" i="74"/>
  <c r="Q185" i="74"/>
  <c r="P185" i="74"/>
  <c r="O185" i="74"/>
  <c r="AY184" i="74"/>
  <c r="AM184" i="74"/>
  <c r="AA184" i="74"/>
  <c r="O184" i="74"/>
  <c r="V179" i="74"/>
  <c r="U179" i="74"/>
  <c r="T179" i="74"/>
  <c r="S179" i="74"/>
  <c r="R179" i="74"/>
  <c r="Q179" i="74"/>
  <c r="P179" i="74"/>
  <c r="O179" i="74"/>
  <c r="BF177" i="74"/>
  <c r="BE177" i="74"/>
  <c r="BD177" i="74"/>
  <c r="BC177" i="74"/>
  <c r="BB177" i="74"/>
  <c r="BA177" i="74"/>
  <c r="AZ177" i="74"/>
  <c r="AY177" i="74"/>
  <c r="AT177" i="74"/>
  <c r="AS177" i="74"/>
  <c r="AR177" i="74"/>
  <c r="AQ177" i="74"/>
  <c r="AP177" i="74"/>
  <c r="AO177" i="74"/>
  <c r="AN177" i="74"/>
  <c r="AM177" i="74"/>
  <c r="AH177" i="74"/>
  <c r="AG177" i="74"/>
  <c r="AF177" i="74"/>
  <c r="AE177" i="74"/>
  <c r="AD177" i="74"/>
  <c r="AC177" i="74"/>
  <c r="AB177" i="74"/>
  <c r="AA177" i="74"/>
  <c r="V177" i="74"/>
  <c r="U177" i="74"/>
  <c r="T177" i="74"/>
  <c r="S177" i="74"/>
  <c r="R177" i="74"/>
  <c r="Q177" i="74"/>
  <c r="P177" i="74"/>
  <c r="O177" i="74"/>
  <c r="BF176" i="74"/>
  <c r="BE176" i="74"/>
  <c r="BD176" i="74"/>
  <c r="BC176" i="74"/>
  <c r="BB176" i="74"/>
  <c r="BA176" i="74"/>
  <c r="AZ176" i="74"/>
  <c r="AY176" i="74"/>
  <c r="AT176" i="74"/>
  <c r="AS176" i="74"/>
  <c r="AR176" i="74"/>
  <c r="AQ176" i="74"/>
  <c r="AP176" i="74"/>
  <c r="AO176" i="74"/>
  <c r="AN176" i="74"/>
  <c r="AM176" i="74"/>
  <c r="AH176" i="74"/>
  <c r="AG176" i="74"/>
  <c r="AF176" i="74"/>
  <c r="AE176" i="74"/>
  <c r="AD176" i="74"/>
  <c r="AC176" i="74"/>
  <c r="AB176" i="74"/>
  <c r="AA176" i="74"/>
  <c r="V176" i="74"/>
  <c r="U176" i="74"/>
  <c r="T176" i="74"/>
  <c r="S176" i="74"/>
  <c r="R176" i="74"/>
  <c r="Q176" i="74"/>
  <c r="P176" i="74"/>
  <c r="O176" i="74"/>
  <c r="V175" i="74"/>
  <c r="U175" i="74"/>
  <c r="T175" i="74"/>
  <c r="S175" i="74"/>
  <c r="R175" i="74"/>
  <c r="Q175" i="74"/>
  <c r="P175" i="74"/>
  <c r="O175" i="74"/>
  <c r="BD173" i="74"/>
  <c r="AR173" i="74"/>
  <c r="AF173" i="74"/>
  <c r="T173" i="74"/>
  <c r="V172" i="74"/>
  <c r="U172" i="74"/>
  <c r="T172" i="74"/>
  <c r="S172" i="74"/>
  <c r="R172" i="74"/>
  <c r="Q172" i="74"/>
  <c r="P172" i="74"/>
  <c r="O172" i="74"/>
  <c r="BA166" i="74"/>
  <c r="AZ166" i="74"/>
  <c r="AY166" i="74"/>
  <c r="AO166" i="74"/>
  <c r="AN166" i="74"/>
  <c r="AM166" i="74"/>
  <c r="AC166" i="74"/>
  <c r="AB166" i="74"/>
  <c r="AA166" i="74"/>
  <c r="Q166" i="74"/>
  <c r="P166" i="74"/>
  <c r="O166" i="74"/>
  <c r="V165" i="74"/>
  <c r="U165" i="74"/>
  <c r="T165" i="74"/>
  <c r="S165" i="74"/>
  <c r="R165" i="74"/>
  <c r="Q165" i="74"/>
  <c r="P165" i="74"/>
  <c r="O165" i="74"/>
  <c r="AY164" i="74"/>
  <c r="AM164" i="74"/>
  <c r="AA164" i="74"/>
  <c r="O164" i="74"/>
  <c r="Q158" i="74"/>
  <c r="P158" i="74"/>
  <c r="O158" i="74"/>
  <c r="Q152" i="74"/>
  <c r="P152" i="74"/>
  <c r="O152" i="74"/>
  <c r="Q148" i="74"/>
  <c r="P148" i="74"/>
  <c r="O148" i="74"/>
  <c r="BA145" i="74"/>
  <c r="AZ145" i="74"/>
  <c r="AZ147" i="74" s="1"/>
  <c r="AY145" i="74"/>
  <c r="AO145" i="74"/>
  <c r="AN145" i="74"/>
  <c r="AN147" i="74" s="1"/>
  <c r="AM145" i="74"/>
  <c r="AC145" i="74"/>
  <c r="AB145" i="74"/>
  <c r="AB147" i="74" s="1"/>
  <c r="AA145" i="74"/>
  <c r="Q145" i="74"/>
  <c r="P145" i="74"/>
  <c r="P147" i="74" s="1"/>
  <c r="O145" i="74"/>
  <c r="Q139" i="74"/>
  <c r="P139" i="74"/>
  <c r="O139" i="74"/>
  <c r="AY138" i="74"/>
  <c r="AM138" i="74"/>
  <c r="AA138" i="74"/>
  <c r="O138" i="74"/>
  <c r="BA134" i="74"/>
  <c r="AZ134" i="74"/>
  <c r="AY134" i="74"/>
  <c r="AO134" i="74"/>
  <c r="AN134" i="74"/>
  <c r="AM134" i="74"/>
  <c r="AC134" i="74"/>
  <c r="AB134" i="74"/>
  <c r="AA134" i="74"/>
  <c r="Q134" i="74"/>
  <c r="P134" i="74"/>
  <c r="O134" i="74"/>
  <c r="BA133" i="74"/>
  <c r="AZ133" i="74"/>
  <c r="AY133" i="74"/>
  <c r="AO133" i="74"/>
  <c r="AN133" i="74"/>
  <c r="AM133" i="74"/>
  <c r="AC133" i="74"/>
  <c r="AB133" i="74"/>
  <c r="AA133" i="74"/>
  <c r="Q133" i="74"/>
  <c r="P133" i="74"/>
  <c r="O133" i="74"/>
  <c r="Q131" i="74"/>
  <c r="P131" i="74"/>
  <c r="O131" i="74"/>
  <c r="Q127" i="74"/>
  <c r="P127" i="74"/>
  <c r="O127" i="74"/>
  <c r="Q121" i="74"/>
  <c r="P121" i="74"/>
  <c r="O121" i="74"/>
  <c r="Q117" i="74"/>
  <c r="P117" i="74"/>
  <c r="O117" i="74"/>
  <c r="AZ115" i="74"/>
  <c r="AN115" i="74"/>
  <c r="AB115" i="74"/>
  <c r="P115" i="74"/>
  <c r="BA114" i="74"/>
  <c r="AY114" i="74"/>
  <c r="AO114" i="74"/>
  <c r="AM114" i="74"/>
  <c r="AC114" i="74"/>
  <c r="AA114" i="74"/>
  <c r="Q114" i="74"/>
  <c r="O114" i="74"/>
  <c r="BA111" i="74"/>
  <c r="AZ111" i="74"/>
  <c r="AY111" i="74"/>
  <c r="AO111" i="74"/>
  <c r="AN111" i="74"/>
  <c r="AM111" i="74"/>
  <c r="AC111" i="74"/>
  <c r="AB111" i="74"/>
  <c r="AA111" i="74"/>
  <c r="Q111" i="74"/>
  <c r="P111" i="74"/>
  <c r="O111" i="74"/>
  <c r="BA108" i="74"/>
  <c r="BA143" i="74" s="1"/>
  <c r="AZ108" i="74"/>
  <c r="AZ143" i="74" s="1"/>
  <c r="AY108" i="74"/>
  <c r="AY140" i="74" s="1"/>
  <c r="AO108" i="74"/>
  <c r="AO140" i="74" s="1"/>
  <c r="AN108" i="74"/>
  <c r="AN143" i="74" s="1"/>
  <c r="AM108" i="74"/>
  <c r="AM143" i="74" s="1"/>
  <c r="AC108" i="74"/>
  <c r="AC143" i="74" s="1"/>
  <c r="AB108" i="74"/>
  <c r="AB143" i="74" s="1"/>
  <c r="AA108" i="74"/>
  <c r="Q108" i="74"/>
  <c r="Q140" i="74" s="1"/>
  <c r="P108" i="74"/>
  <c r="P143" i="74" s="1"/>
  <c r="O108" i="74"/>
  <c r="O140" i="74" s="1"/>
  <c r="Q107" i="74"/>
  <c r="P107" i="74"/>
  <c r="O107" i="74"/>
  <c r="BA105" i="74"/>
  <c r="BA240" i="74" s="1"/>
  <c r="AZ105" i="74"/>
  <c r="AZ240" i="74" s="1"/>
  <c r="AY105" i="74"/>
  <c r="AY240" i="74" s="1"/>
  <c r="AO105" i="74"/>
  <c r="AN105" i="74"/>
  <c r="AM105" i="74"/>
  <c r="AM240" i="74" s="1"/>
  <c r="AC105" i="74"/>
  <c r="AC240" i="74" s="1"/>
  <c r="AB105" i="74"/>
  <c r="AB240" i="74" s="1"/>
  <c r="AA105" i="74"/>
  <c r="AA240" i="74" s="1"/>
  <c r="Q105" i="74"/>
  <c r="Q240" i="74" s="1"/>
  <c r="P105" i="74"/>
  <c r="P240" i="74" s="1"/>
  <c r="O105" i="74"/>
  <c r="BA104" i="74"/>
  <c r="BA113" i="74" s="1"/>
  <c r="AZ104" i="74"/>
  <c r="AY104" i="74"/>
  <c r="AY113" i="74" s="1"/>
  <c r="AO104" i="74"/>
  <c r="AO113" i="74" s="1"/>
  <c r="AN104" i="74"/>
  <c r="AM104" i="74"/>
  <c r="AM113" i="74" s="1"/>
  <c r="AC104" i="74"/>
  <c r="AC113" i="74" s="1"/>
  <c r="AB104" i="74"/>
  <c r="AA104" i="74"/>
  <c r="AA113" i="74" s="1"/>
  <c r="Q104" i="74"/>
  <c r="Q113" i="74" s="1"/>
  <c r="P104" i="74"/>
  <c r="O104" i="74"/>
  <c r="O113" i="74" s="1"/>
  <c r="Q103" i="74"/>
  <c r="P103" i="74"/>
  <c r="O103" i="74"/>
  <c r="AY102" i="74"/>
  <c r="AM102" i="74"/>
  <c r="AA102" i="74"/>
  <c r="O102" i="74"/>
  <c r="J102" i="74"/>
  <c r="Q96" i="74"/>
  <c r="P96" i="74"/>
  <c r="O96" i="74"/>
  <c r="Q92" i="74"/>
  <c r="P92" i="74"/>
  <c r="O92" i="74"/>
  <c r="Q89" i="74"/>
  <c r="P89" i="74"/>
  <c r="O89" i="74"/>
  <c r="BA86" i="74"/>
  <c r="AZ86" i="74"/>
  <c r="AY86" i="74"/>
  <c r="AO86" i="74"/>
  <c r="AN86" i="74"/>
  <c r="AM86" i="74"/>
  <c r="AC86" i="74"/>
  <c r="AB86" i="74"/>
  <c r="AA86" i="74"/>
  <c r="Q86" i="74"/>
  <c r="O86" i="74"/>
  <c r="Q85" i="74"/>
  <c r="P85" i="74"/>
  <c r="O85" i="74"/>
  <c r="AZ84" i="74"/>
  <c r="AZ263" i="74" s="1"/>
  <c r="AN84" i="74"/>
  <c r="AB84" i="74"/>
  <c r="AB263" i="74" s="1"/>
  <c r="P84" i="74"/>
  <c r="P263" i="74" s="1"/>
  <c r="E84" i="74"/>
  <c r="Q82" i="74"/>
  <c r="P82" i="74"/>
  <c r="O82" i="74"/>
  <c r="AY81" i="74"/>
  <c r="AM81" i="74"/>
  <c r="AA81" i="74"/>
  <c r="O81" i="74"/>
  <c r="W77" i="74"/>
  <c r="V77" i="74"/>
  <c r="U77" i="74"/>
  <c r="T77" i="74"/>
  <c r="S77" i="74"/>
  <c r="R77" i="74"/>
  <c r="Q77" i="74"/>
  <c r="P77" i="74"/>
  <c r="O77" i="74"/>
  <c r="O76" i="74"/>
  <c r="E71" i="74"/>
  <c r="E69" i="74"/>
  <c r="E68" i="74"/>
  <c r="E67" i="74"/>
  <c r="E66" i="74"/>
  <c r="E65" i="74"/>
  <c r="E64" i="74"/>
  <c r="E62" i="74"/>
  <c r="AY59" i="74"/>
  <c r="AM59" i="74"/>
  <c r="AA59" i="74"/>
  <c r="O59" i="74"/>
  <c r="M59" i="74"/>
  <c r="J59" i="74"/>
  <c r="AQ38" i="74"/>
  <c r="AY36" i="74"/>
  <c r="AM36" i="74"/>
  <c r="AA36" i="74"/>
  <c r="O36" i="74"/>
  <c r="M36" i="74"/>
  <c r="J36" i="74"/>
  <c r="BG28" i="74"/>
  <c r="BF28" i="74"/>
  <c r="BE28" i="74"/>
  <c r="BD28" i="74"/>
  <c r="BC28" i="74"/>
  <c r="BB28" i="74"/>
  <c r="BA28" i="74"/>
  <c r="AZ28" i="74"/>
  <c r="AY28" i="74"/>
  <c r="AU28" i="74"/>
  <c r="AT28" i="74"/>
  <c r="AS28" i="74"/>
  <c r="AR28" i="74"/>
  <c r="AQ28" i="74"/>
  <c r="AP28" i="74"/>
  <c r="AO28" i="74"/>
  <c r="AN28" i="74"/>
  <c r="AM28" i="74"/>
  <c r="AI28" i="74"/>
  <c r="AH28" i="74"/>
  <c r="AG28" i="74"/>
  <c r="AF28" i="74"/>
  <c r="AE28" i="74"/>
  <c r="AD28" i="74"/>
  <c r="AC28" i="74"/>
  <c r="AB28" i="74"/>
  <c r="AA28" i="74"/>
  <c r="AX27" i="74"/>
  <c r="BG22" i="74"/>
  <c r="BF22" i="74"/>
  <c r="BE22" i="74"/>
  <c r="BD22" i="74"/>
  <c r="BC22" i="74"/>
  <c r="BB22" i="74"/>
  <c r="BA22" i="74"/>
  <c r="AZ22" i="74"/>
  <c r="AY22" i="74"/>
  <c r="AU22" i="74"/>
  <c r="AT22" i="74"/>
  <c r="AS22" i="74"/>
  <c r="AR22" i="74"/>
  <c r="AQ22" i="74"/>
  <c r="AP22" i="74"/>
  <c r="AO22" i="74"/>
  <c r="AN22" i="74"/>
  <c r="AM22" i="74"/>
  <c r="AI22" i="74"/>
  <c r="AH22" i="74"/>
  <c r="AG22" i="74"/>
  <c r="AF22" i="74"/>
  <c r="AE22" i="74"/>
  <c r="AD22" i="74"/>
  <c r="AC22" i="74"/>
  <c r="AB22" i="74"/>
  <c r="AA22" i="74"/>
  <c r="W22" i="74"/>
  <c r="V22" i="74"/>
  <c r="U22" i="74"/>
  <c r="T22" i="74"/>
  <c r="S22" i="74"/>
  <c r="R22" i="74"/>
  <c r="Q22" i="74"/>
  <c r="P22" i="74"/>
  <c r="O22" i="74"/>
  <c r="BG21" i="74"/>
  <c r="BF21" i="74"/>
  <c r="BE21" i="74"/>
  <c r="BD21" i="74"/>
  <c r="BC21" i="74"/>
  <c r="BB21" i="74"/>
  <c r="BA21" i="74"/>
  <c r="AZ21" i="74"/>
  <c r="AY21" i="74"/>
  <c r="AU21" i="74"/>
  <c r="AT21" i="74"/>
  <c r="AS21" i="74"/>
  <c r="AR21" i="74"/>
  <c r="AQ21" i="74"/>
  <c r="AP21" i="74"/>
  <c r="AO21" i="74"/>
  <c r="AN21" i="74"/>
  <c r="AM21" i="74"/>
  <c r="AI21" i="74"/>
  <c r="AH21" i="74"/>
  <c r="AG21" i="74"/>
  <c r="AF21" i="74"/>
  <c r="AE21" i="74"/>
  <c r="AD21" i="74"/>
  <c r="AC21" i="74"/>
  <c r="AB21" i="74"/>
  <c r="AA21" i="74"/>
  <c r="Q21" i="74"/>
  <c r="R20" i="74"/>
  <c r="BG18" i="74"/>
  <c r="BF18" i="74"/>
  <c r="BE18" i="74"/>
  <c r="BD18" i="74"/>
  <c r="BC18" i="74"/>
  <c r="BB18" i="74"/>
  <c r="BA18" i="74"/>
  <c r="AZ18" i="74"/>
  <c r="AY18" i="74"/>
  <c r="AU18" i="74"/>
  <c r="AT18" i="74"/>
  <c r="AS18" i="74"/>
  <c r="AR18" i="74"/>
  <c r="AQ18" i="74"/>
  <c r="AP18" i="74"/>
  <c r="AO18" i="74"/>
  <c r="AN18" i="74"/>
  <c r="AM18" i="74"/>
  <c r="AI18" i="74"/>
  <c r="AH18" i="74"/>
  <c r="AG18" i="74"/>
  <c r="AF18" i="74"/>
  <c r="AE18" i="74"/>
  <c r="AD18" i="74"/>
  <c r="AC18" i="74"/>
  <c r="AB18" i="74"/>
  <c r="AA18" i="74"/>
  <c r="W18" i="74"/>
  <c r="V18" i="74"/>
  <c r="U18" i="74"/>
  <c r="T18" i="74"/>
  <c r="S18" i="74"/>
  <c r="R18" i="74"/>
  <c r="Q18" i="74"/>
  <c r="P18" i="74"/>
  <c r="O18" i="74"/>
  <c r="BG17" i="74"/>
  <c r="BF17" i="74"/>
  <c r="BE17" i="74"/>
  <c r="BD17" i="74"/>
  <c r="BD60" i="74" s="1"/>
  <c r="BC17" i="74"/>
  <c r="BC29" i="74" s="1"/>
  <c r="BB17" i="74"/>
  <c r="BB20" i="74" s="1"/>
  <c r="BA17" i="74"/>
  <c r="AZ17" i="74"/>
  <c r="AZ20" i="74" s="1"/>
  <c r="AY17" i="74"/>
  <c r="AU17" i="74"/>
  <c r="AT17" i="74"/>
  <c r="AS17" i="74"/>
  <c r="AS29" i="74" s="1"/>
  <c r="AR17" i="74"/>
  <c r="AR20" i="74" s="1"/>
  <c r="AQ17" i="74"/>
  <c r="AP17" i="74"/>
  <c r="AO17" i="74"/>
  <c r="AN17" i="74"/>
  <c r="AM17" i="74"/>
  <c r="AM37" i="74" s="1"/>
  <c r="AI17" i="74"/>
  <c r="AH17" i="74"/>
  <c r="AH72" i="74" s="1"/>
  <c r="AG17" i="74"/>
  <c r="AG20" i="74" s="1"/>
  <c r="AF17" i="74"/>
  <c r="AF20" i="74" s="1"/>
  <c r="AE17" i="74"/>
  <c r="AD17" i="74"/>
  <c r="AC17" i="74"/>
  <c r="AC29" i="74" s="1"/>
  <c r="AC30" i="74" s="1"/>
  <c r="AB17" i="74"/>
  <c r="AB51" i="74" s="1"/>
  <c r="AA17" i="74"/>
  <c r="AA19" i="74" s="1"/>
  <c r="W17" i="74"/>
  <c r="W60" i="74" s="1"/>
  <c r="V17" i="74"/>
  <c r="U17" i="74"/>
  <c r="U20" i="74" s="1"/>
  <c r="T17" i="74"/>
  <c r="S17" i="74"/>
  <c r="R17" i="74"/>
  <c r="Q17" i="74"/>
  <c r="Q20" i="74" s="1"/>
  <c r="P17" i="74"/>
  <c r="O17" i="74"/>
  <c r="O28" i="74" s="1"/>
  <c r="AY16" i="74"/>
  <c r="AW16" i="74"/>
  <c r="AM16" i="74"/>
  <c r="AK16" i="74"/>
  <c r="AA16" i="74"/>
  <c r="O16" i="74"/>
  <c r="M16" i="74"/>
  <c r="BG10" i="74"/>
  <c r="BF10" i="74"/>
  <c r="BE10" i="74"/>
  <c r="BD10" i="74"/>
  <c r="BC10" i="74"/>
  <c r="BB10" i="74"/>
  <c r="BA10" i="74"/>
  <c r="AZ10" i="74"/>
  <c r="AY10" i="74"/>
  <c r="AW10" i="74"/>
  <c r="AU10" i="74"/>
  <c r="AT10" i="74"/>
  <c r="AS10" i="74"/>
  <c r="AR10" i="74"/>
  <c r="AQ10" i="74"/>
  <c r="AP10" i="74"/>
  <c r="AO10" i="74"/>
  <c r="AN10" i="74"/>
  <c r="AM10" i="74"/>
  <c r="AK10" i="74"/>
  <c r="AI10" i="74"/>
  <c r="AH10" i="74"/>
  <c r="AG10" i="74"/>
  <c r="AF10" i="74"/>
  <c r="AE10" i="74"/>
  <c r="AD10" i="74"/>
  <c r="AC10" i="74"/>
  <c r="AB10" i="74"/>
  <c r="AB152" i="74" s="1"/>
  <c r="AA10" i="74"/>
  <c r="AA175" i="74" s="1"/>
  <c r="Y10" i="74"/>
  <c r="Y16" i="74" s="1"/>
  <c r="M10" i="74"/>
  <c r="J10" i="74"/>
  <c r="G6" i="74"/>
  <c r="H5" i="74"/>
  <c r="G5" i="74"/>
  <c r="E3" i="74"/>
  <c r="E2" i="74"/>
  <c r="E1" i="74"/>
  <c r="E369" i="73"/>
  <c r="E368" i="73"/>
  <c r="E367" i="73"/>
  <c r="E366" i="73"/>
  <c r="E365" i="73"/>
  <c r="AY363" i="73"/>
  <c r="AW363" i="73"/>
  <c r="AM363" i="73"/>
  <c r="AK363" i="73"/>
  <c r="AA363" i="73"/>
  <c r="Y363" i="73"/>
  <c r="O363" i="73"/>
  <c r="M363" i="73"/>
  <c r="H363" i="73"/>
  <c r="E352" i="73"/>
  <c r="E351" i="73"/>
  <c r="E350" i="73"/>
  <c r="E349" i="73"/>
  <c r="E348" i="73"/>
  <c r="E347" i="73"/>
  <c r="E346" i="73"/>
  <c r="E345" i="73"/>
  <c r="AY343" i="73"/>
  <c r="AW343" i="73"/>
  <c r="AM343" i="73"/>
  <c r="AK343" i="73"/>
  <c r="AA343" i="73"/>
  <c r="Y343" i="73"/>
  <c r="O343" i="73"/>
  <c r="M343" i="73"/>
  <c r="J343" i="73"/>
  <c r="AY320" i="73"/>
  <c r="AW320" i="73"/>
  <c r="AM320" i="73"/>
  <c r="AK320" i="73"/>
  <c r="AA320" i="73"/>
  <c r="Y320" i="73"/>
  <c r="O320" i="73"/>
  <c r="M320" i="73"/>
  <c r="H320" i="73"/>
  <c r="AY302" i="73"/>
  <c r="AW302" i="73"/>
  <c r="AM302" i="73"/>
  <c r="AK302" i="73"/>
  <c r="AA302" i="73"/>
  <c r="Y302" i="73"/>
  <c r="O302" i="73"/>
  <c r="M302" i="73"/>
  <c r="J302" i="73"/>
  <c r="E289" i="73"/>
  <c r="E288" i="73"/>
  <c r="E287" i="73"/>
  <c r="E286" i="73"/>
  <c r="E285" i="73"/>
  <c r="E284" i="73"/>
  <c r="E283" i="73"/>
  <c r="E282" i="73"/>
  <c r="AY280" i="73"/>
  <c r="AW280" i="73"/>
  <c r="AM280" i="73"/>
  <c r="AK280" i="73"/>
  <c r="AA280" i="73"/>
  <c r="Y280" i="73"/>
  <c r="O280" i="73"/>
  <c r="M280" i="73"/>
  <c r="J280" i="73"/>
  <c r="E267" i="73"/>
  <c r="O267" i="73" s="1"/>
  <c r="Q262" i="73"/>
  <c r="P262" i="73"/>
  <c r="O262" i="73"/>
  <c r="AY261" i="73"/>
  <c r="AM261" i="73"/>
  <c r="AA261" i="73"/>
  <c r="O261" i="73"/>
  <c r="W250" i="73"/>
  <c r="Q250" i="73"/>
  <c r="P250" i="73"/>
  <c r="O250" i="73"/>
  <c r="AY249" i="73"/>
  <c r="AM249" i="73"/>
  <c r="AA249" i="73"/>
  <c r="O249" i="73"/>
  <c r="BG244" i="73"/>
  <c r="BF244" i="73"/>
  <c r="BE244" i="73"/>
  <c r="BD244" i="73"/>
  <c r="BC244" i="73"/>
  <c r="BB244" i="73"/>
  <c r="BA244" i="73"/>
  <c r="AZ244" i="73"/>
  <c r="AY244" i="73"/>
  <c r="AU244" i="73"/>
  <c r="AT244" i="73"/>
  <c r="AS244" i="73"/>
  <c r="AR244" i="73"/>
  <c r="AQ244" i="73"/>
  <c r="AP244" i="73"/>
  <c r="AO244" i="73"/>
  <c r="AN244" i="73"/>
  <c r="AM244" i="73"/>
  <c r="AI244" i="73"/>
  <c r="AH244" i="73"/>
  <c r="AG244" i="73"/>
  <c r="AF244" i="73"/>
  <c r="AE244" i="73"/>
  <c r="AD244" i="73"/>
  <c r="AC244" i="73"/>
  <c r="AB244" i="73"/>
  <c r="AA244" i="73"/>
  <c r="W244" i="73"/>
  <c r="V244" i="73"/>
  <c r="U244" i="73"/>
  <c r="T244" i="73"/>
  <c r="S244" i="73"/>
  <c r="R244" i="73"/>
  <c r="Q244" i="73"/>
  <c r="P244" i="73"/>
  <c r="O244" i="73"/>
  <c r="W239" i="73"/>
  <c r="V239" i="73"/>
  <c r="U239" i="73"/>
  <c r="T239" i="73"/>
  <c r="S239" i="73"/>
  <c r="R239" i="73"/>
  <c r="Q239" i="73"/>
  <c r="P239" i="73"/>
  <c r="O239" i="73"/>
  <c r="AY238" i="73"/>
  <c r="AM238" i="73"/>
  <c r="AA238" i="73"/>
  <c r="O238" i="73"/>
  <c r="W232" i="73"/>
  <c r="V232" i="73"/>
  <c r="U232" i="73"/>
  <c r="T232" i="73"/>
  <c r="S232" i="73"/>
  <c r="R232" i="73"/>
  <c r="Q232" i="73"/>
  <c r="P232" i="73"/>
  <c r="O232" i="73"/>
  <c r="H231" i="73"/>
  <c r="H230" i="73"/>
  <c r="H229" i="73"/>
  <c r="W228" i="73"/>
  <c r="V228" i="73"/>
  <c r="U228" i="73"/>
  <c r="T228" i="73"/>
  <c r="S228" i="73"/>
  <c r="R228" i="73"/>
  <c r="Q228" i="73"/>
  <c r="P228" i="73"/>
  <c r="O228" i="73"/>
  <c r="AY227" i="73"/>
  <c r="AM227" i="73"/>
  <c r="AA227" i="73"/>
  <c r="O227" i="73"/>
  <c r="AW223" i="73"/>
  <c r="W221" i="73"/>
  <c r="Q221" i="73"/>
  <c r="P221" i="73"/>
  <c r="O221" i="73"/>
  <c r="AW219" i="73"/>
  <c r="AK219" i="73"/>
  <c r="Y219" i="73"/>
  <c r="M219" i="73"/>
  <c r="AW217" i="73"/>
  <c r="AK217" i="73"/>
  <c r="Y217" i="73"/>
  <c r="M217" i="73"/>
  <c r="AW216" i="73"/>
  <c r="AK216" i="73"/>
  <c r="Y216" i="73"/>
  <c r="M216" i="73"/>
  <c r="W215" i="73"/>
  <c r="Q215" i="73"/>
  <c r="P215" i="73"/>
  <c r="O215" i="73"/>
  <c r="AW213" i="73"/>
  <c r="AK213" i="73"/>
  <c r="Y213" i="73"/>
  <c r="M213" i="73"/>
  <c r="W211" i="73"/>
  <c r="Q211" i="73"/>
  <c r="P211" i="73"/>
  <c r="O211" i="73"/>
  <c r="W204" i="73"/>
  <c r="V204" i="73"/>
  <c r="U204" i="73"/>
  <c r="S204" i="73"/>
  <c r="R204" i="73"/>
  <c r="Q204" i="73"/>
  <c r="P204" i="73"/>
  <c r="O204" i="73"/>
  <c r="W199" i="73"/>
  <c r="V199" i="73"/>
  <c r="U199" i="73"/>
  <c r="S199" i="73"/>
  <c r="R199" i="73"/>
  <c r="Q199" i="73"/>
  <c r="P199" i="73"/>
  <c r="O199" i="73"/>
  <c r="AW198" i="73"/>
  <c r="AK198" i="73"/>
  <c r="Y198" i="73"/>
  <c r="M198" i="73"/>
  <c r="W193" i="73"/>
  <c r="V193" i="73"/>
  <c r="U193" i="73"/>
  <c r="S193" i="73"/>
  <c r="R193" i="73"/>
  <c r="Q193" i="73"/>
  <c r="P193" i="73"/>
  <c r="O193" i="73"/>
  <c r="W189" i="73"/>
  <c r="V189" i="73"/>
  <c r="U189" i="73"/>
  <c r="S189" i="73"/>
  <c r="R189" i="73"/>
  <c r="Q189" i="73"/>
  <c r="P189" i="73"/>
  <c r="O189" i="73"/>
  <c r="W185" i="73"/>
  <c r="V185" i="73"/>
  <c r="U185" i="73"/>
  <c r="T185" i="73"/>
  <c r="S185" i="73"/>
  <c r="R185" i="73"/>
  <c r="Q185" i="73"/>
  <c r="P185" i="73"/>
  <c r="O185" i="73"/>
  <c r="AY184" i="73"/>
  <c r="AM184" i="73"/>
  <c r="AA184" i="73"/>
  <c r="O184" i="73"/>
  <c r="V179" i="73"/>
  <c r="U179" i="73"/>
  <c r="T179" i="73"/>
  <c r="S179" i="73"/>
  <c r="R179" i="73"/>
  <c r="Q179" i="73"/>
  <c r="P179" i="73"/>
  <c r="O179" i="73"/>
  <c r="BF177" i="73"/>
  <c r="BE177" i="73"/>
  <c r="BD177" i="73"/>
  <c r="BC177" i="73"/>
  <c r="BB177" i="73"/>
  <c r="BA177" i="73"/>
  <c r="AZ177" i="73"/>
  <c r="AY177" i="73"/>
  <c r="AT177" i="73"/>
  <c r="AS177" i="73"/>
  <c r="AR177" i="73"/>
  <c r="AQ177" i="73"/>
  <c r="AP177" i="73"/>
  <c r="AO177" i="73"/>
  <c r="AN177" i="73"/>
  <c r="AM177" i="73"/>
  <c r="AH177" i="73"/>
  <c r="AG177" i="73"/>
  <c r="AF177" i="73"/>
  <c r="AE177" i="73"/>
  <c r="AD177" i="73"/>
  <c r="AC177" i="73"/>
  <c r="AB177" i="73"/>
  <c r="AA177" i="73"/>
  <c r="V177" i="73"/>
  <c r="U177" i="73"/>
  <c r="T177" i="73"/>
  <c r="S177" i="73"/>
  <c r="R177" i="73"/>
  <c r="Q177" i="73"/>
  <c r="P177" i="73"/>
  <c r="O177" i="73"/>
  <c r="BF176" i="73"/>
  <c r="BE176" i="73"/>
  <c r="BD176" i="73"/>
  <c r="BC176" i="73"/>
  <c r="BB176" i="73"/>
  <c r="BA176" i="73"/>
  <c r="AZ176" i="73"/>
  <c r="AY176" i="73"/>
  <c r="AT176" i="73"/>
  <c r="AS176" i="73"/>
  <c r="AR176" i="73"/>
  <c r="AQ176" i="73"/>
  <c r="AP176" i="73"/>
  <c r="AO176" i="73"/>
  <c r="AN176" i="73"/>
  <c r="AM176" i="73"/>
  <c r="AH176" i="73"/>
  <c r="AG176" i="73"/>
  <c r="AF176" i="73"/>
  <c r="AE176" i="73"/>
  <c r="AD176" i="73"/>
  <c r="AC176" i="73"/>
  <c r="AB176" i="73"/>
  <c r="AA176" i="73"/>
  <c r="V176" i="73"/>
  <c r="U176" i="73"/>
  <c r="T176" i="73"/>
  <c r="S176" i="73"/>
  <c r="R176" i="73"/>
  <c r="Q176" i="73"/>
  <c r="P176" i="73"/>
  <c r="O176" i="73"/>
  <c r="V175" i="73"/>
  <c r="U175" i="73"/>
  <c r="T175" i="73"/>
  <c r="S175" i="73"/>
  <c r="R175" i="73"/>
  <c r="Q175" i="73"/>
  <c r="P175" i="73"/>
  <c r="O175" i="73"/>
  <c r="BD173" i="73"/>
  <c r="AR173" i="73"/>
  <c r="AF173" i="73"/>
  <c r="T173" i="73"/>
  <c r="V172" i="73"/>
  <c r="U172" i="73"/>
  <c r="T172" i="73"/>
  <c r="S172" i="73"/>
  <c r="R172" i="73"/>
  <c r="Q172" i="73"/>
  <c r="P172" i="73"/>
  <c r="O172" i="73"/>
  <c r="BA166" i="73"/>
  <c r="AZ166" i="73"/>
  <c r="AY166" i="73"/>
  <c r="AO166" i="73"/>
  <c r="AN166" i="73"/>
  <c r="AM166" i="73"/>
  <c r="AC166" i="73"/>
  <c r="AB166" i="73"/>
  <c r="AA166" i="73"/>
  <c r="Q166" i="73"/>
  <c r="P166" i="73"/>
  <c r="O166" i="73"/>
  <c r="V165" i="73"/>
  <c r="U165" i="73"/>
  <c r="T165" i="73"/>
  <c r="S165" i="73"/>
  <c r="R165" i="73"/>
  <c r="Q165" i="73"/>
  <c r="P165" i="73"/>
  <c r="O165" i="73"/>
  <c r="AY164" i="73"/>
  <c r="AM164" i="73"/>
  <c r="AA164" i="73"/>
  <c r="O164" i="73"/>
  <c r="Q158" i="73"/>
  <c r="P158" i="73"/>
  <c r="O158" i="73"/>
  <c r="Q152" i="73"/>
  <c r="P152" i="73"/>
  <c r="O152" i="73"/>
  <c r="Q148" i="73"/>
  <c r="P148" i="73"/>
  <c r="O148" i="73"/>
  <c r="BA145" i="73"/>
  <c r="AZ145" i="73"/>
  <c r="AZ147" i="73" s="1"/>
  <c r="AY145" i="73"/>
  <c r="AO145" i="73"/>
  <c r="AN145" i="73"/>
  <c r="AN147" i="73" s="1"/>
  <c r="AM145" i="73"/>
  <c r="AC145" i="73"/>
  <c r="AB145" i="73"/>
  <c r="AB147" i="73" s="1"/>
  <c r="AA145" i="73"/>
  <c r="Q145" i="73"/>
  <c r="P145" i="73"/>
  <c r="P147" i="73" s="1"/>
  <c r="O145" i="73"/>
  <c r="Q139" i="73"/>
  <c r="P139" i="73"/>
  <c r="O139" i="73"/>
  <c r="AY138" i="73"/>
  <c r="AM138" i="73"/>
  <c r="AA138" i="73"/>
  <c r="O138" i="73"/>
  <c r="BA134" i="73"/>
  <c r="AZ134" i="73"/>
  <c r="AY134" i="73"/>
  <c r="AO134" i="73"/>
  <c r="AN134" i="73"/>
  <c r="AM134" i="73"/>
  <c r="AC134" i="73"/>
  <c r="AB134" i="73"/>
  <c r="AA134" i="73"/>
  <c r="Q134" i="73"/>
  <c r="P134" i="73"/>
  <c r="O134" i="73"/>
  <c r="BA133" i="73"/>
  <c r="AZ133" i="73"/>
  <c r="AY133" i="73"/>
  <c r="AO133" i="73"/>
  <c r="AN133" i="73"/>
  <c r="AM133" i="73"/>
  <c r="AC133" i="73"/>
  <c r="AB133" i="73"/>
  <c r="AA133" i="73"/>
  <c r="Q133" i="73"/>
  <c r="P133" i="73"/>
  <c r="O133" i="73"/>
  <c r="Q131" i="73"/>
  <c r="P131" i="73"/>
  <c r="O131" i="73"/>
  <c r="Q127" i="73"/>
  <c r="P127" i="73"/>
  <c r="O127" i="73"/>
  <c r="Q121" i="73"/>
  <c r="P121" i="73"/>
  <c r="O121" i="73"/>
  <c r="Q117" i="73"/>
  <c r="P117" i="73"/>
  <c r="O117" i="73"/>
  <c r="AZ115" i="73"/>
  <c r="AN115" i="73"/>
  <c r="AB115" i="73"/>
  <c r="P115" i="73"/>
  <c r="BA114" i="73"/>
  <c r="AY114" i="73"/>
  <c r="AO114" i="73"/>
  <c r="AM114" i="73"/>
  <c r="AC114" i="73"/>
  <c r="AA114" i="73"/>
  <c r="Q114" i="73"/>
  <c r="O114" i="73"/>
  <c r="BA111" i="73"/>
  <c r="AZ111" i="73"/>
  <c r="AY111" i="73"/>
  <c r="AO111" i="73"/>
  <c r="AN111" i="73"/>
  <c r="AM111" i="73"/>
  <c r="AC111" i="73"/>
  <c r="AB111" i="73"/>
  <c r="AA111" i="73"/>
  <c r="Q111" i="73"/>
  <c r="P111" i="73"/>
  <c r="O111" i="73"/>
  <c r="BA108" i="73"/>
  <c r="BA143" i="73" s="1"/>
  <c r="AZ108" i="73"/>
  <c r="AZ143" i="73" s="1"/>
  <c r="AY108" i="73"/>
  <c r="AY140" i="73" s="1"/>
  <c r="AO108" i="73"/>
  <c r="AO140" i="73" s="1"/>
  <c r="AN108" i="73"/>
  <c r="AN143" i="73" s="1"/>
  <c r="AM108" i="73"/>
  <c r="AM140" i="73" s="1"/>
  <c r="AC108" i="73"/>
  <c r="AC143" i="73" s="1"/>
  <c r="AB108" i="73"/>
  <c r="AB143" i="73" s="1"/>
  <c r="AA108" i="73"/>
  <c r="Q108" i="73"/>
  <c r="P108" i="73"/>
  <c r="P143" i="73" s="1"/>
  <c r="O108" i="73"/>
  <c r="O140" i="73" s="1"/>
  <c r="Q107" i="73"/>
  <c r="P107" i="73"/>
  <c r="O107" i="73"/>
  <c r="BA105" i="73"/>
  <c r="BA240" i="73" s="1"/>
  <c r="AZ105" i="73"/>
  <c r="AZ240" i="73" s="1"/>
  <c r="AY105" i="73"/>
  <c r="AY240" i="73" s="1"/>
  <c r="AO105" i="73"/>
  <c r="AO240" i="73" s="1"/>
  <c r="AN105" i="73"/>
  <c r="AM105" i="73"/>
  <c r="AC105" i="73"/>
  <c r="AC240" i="73" s="1"/>
  <c r="AB105" i="73"/>
  <c r="AA105" i="73"/>
  <c r="AA240" i="73" s="1"/>
  <c r="Q105" i="73"/>
  <c r="Q240" i="73" s="1"/>
  <c r="P105" i="73"/>
  <c r="P240" i="73" s="1"/>
  <c r="O105" i="73"/>
  <c r="O240" i="73" s="1"/>
  <c r="BA104" i="73"/>
  <c r="BA113" i="73" s="1"/>
  <c r="AZ104" i="73"/>
  <c r="AY104" i="73"/>
  <c r="AY113" i="73" s="1"/>
  <c r="AO104" i="73"/>
  <c r="AO113" i="73" s="1"/>
  <c r="AN104" i="73"/>
  <c r="AM104" i="73"/>
  <c r="AM113" i="73" s="1"/>
  <c r="AC104" i="73"/>
  <c r="AC113" i="73" s="1"/>
  <c r="AB104" i="73"/>
  <c r="AA104" i="73"/>
  <c r="AA113" i="73" s="1"/>
  <c r="Q104" i="73"/>
  <c r="Q113" i="73" s="1"/>
  <c r="P104" i="73"/>
  <c r="O104" i="73"/>
  <c r="O113" i="73" s="1"/>
  <c r="Q103" i="73"/>
  <c r="P103" i="73"/>
  <c r="O103" i="73"/>
  <c r="AY102" i="73"/>
  <c r="AM102" i="73"/>
  <c r="AA102" i="73"/>
  <c r="O102" i="73"/>
  <c r="Q96" i="73"/>
  <c r="P96" i="73"/>
  <c r="O96" i="73"/>
  <c r="Q92" i="73"/>
  <c r="P92" i="73"/>
  <c r="O92" i="73"/>
  <c r="Q89" i="73"/>
  <c r="P89" i="73"/>
  <c r="O89" i="73"/>
  <c r="BA86" i="73"/>
  <c r="AZ86" i="73"/>
  <c r="AY86" i="73"/>
  <c r="AO86" i="73"/>
  <c r="AN86" i="73"/>
  <c r="AM86" i="73"/>
  <c r="AC86" i="73"/>
  <c r="AB86" i="73"/>
  <c r="AA86" i="73"/>
  <c r="Q86" i="73"/>
  <c r="O86" i="73"/>
  <c r="Q85" i="73"/>
  <c r="P85" i="73"/>
  <c r="O85" i="73"/>
  <c r="AZ84" i="73"/>
  <c r="AZ263" i="73" s="1"/>
  <c r="AN84" i="73"/>
  <c r="AN263" i="73" s="1"/>
  <c r="AB84" i="73"/>
  <c r="AB263" i="73" s="1"/>
  <c r="P84" i="73"/>
  <c r="P263" i="73" s="1"/>
  <c r="E84" i="73"/>
  <c r="Q82" i="73"/>
  <c r="P82" i="73"/>
  <c r="O82" i="73"/>
  <c r="AY81" i="73"/>
  <c r="AM81" i="73"/>
  <c r="AA81" i="73"/>
  <c r="O81" i="73"/>
  <c r="W77" i="73"/>
  <c r="V77" i="73"/>
  <c r="U77" i="73"/>
  <c r="T77" i="73"/>
  <c r="S77" i="73"/>
  <c r="R77" i="73"/>
  <c r="Q77" i="73"/>
  <c r="P77" i="73"/>
  <c r="O77" i="73"/>
  <c r="O76" i="73"/>
  <c r="BE72" i="73"/>
  <c r="E71" i="73"/>
  <c r="E69" i="73"/>
  <c r="E68" i="73"/>
  <c r="V67" i="73"/>
  <c r="E67" i="73"/>
  <c r="E66" i="73"/>
  <c r="E65" i="73"/>
  <c r="E64" i="73"/>
  <c r="E62" i="73"/>
  <c r="AF60" i="73"/>
  <c r="AY59" i="73"/>
  <c r="AM59" i="73"/>
  <c r="AA59" i="73"/>
  <c r="O59" i="73"/>
  <c r="M59" i="73"/>
  <c r="J59" i="73"/>
  <c r="BC51" i="73"/>
  <c r="V51" i="73"/>
  <c r="R38" i="73"/>
  <c r="R62" i="73" s="1"/>
  <c r="AG37" i="73"/>
  <c r="AY36" i="73"/>
  <c r="AM36" i="73"/>
  <c r="AA36" i="73"/>
  <c r="O36" i="73"/>
  <c r="M36" i="73"/>
  <c r="J36" i="73"/>
  <c r="BG29" i="73"/>
  <c r="AR29" i="73"/>
  <c r="AG29" i="73"/>
  <c r="BG28" i="73"/>
  <c r="BF28" i="73"/>
  <c r="BE28" i="73"/>
  <c r="BD28" i="73"/>
  <c r="BC28" i="73"/>
  <c r="BB28" i="73"/>
  <c r="BA28" i="73"/>
  <c r="AZ28" i="73"/>
  <c r="AY28" i="73"/>
  <c r="AU28" i="73"/>
  <c r="AT28" i="73"/>
  <c r="AS28" i="73"/>
  <c r="AR28" i="73"/>
  <c r="AQ28" i="73"/>
  <c r="AP28" i="73"/>
  <c r="AO28" i="73"/>
  <c r="AN28" i="73"/>
  <c r="AM28" i="73"/>
  <c r="AI28" i="73"/>
  <c r="AH28" i="73"/>
  <c r="AG28" i="73"/>
  <c r="AF28" i="73"/>
  <c r="AE28" i="73"/>
  <c r="AD28" i="73"/>
  <c r="AC28" i="73"/>
  <c r="AB28" i="73"/>
  <c r="AA28" i="73"/>
  <c r="AX27" i="73"/>
  <c r="BG22" i="73"/>
  <c r="BF22" i="73"/>
  <c r="BE22" i="73"/>
  <c r="BD22" i="73"/>
  <c r="BC22" i="73"/>
  <c r="BB22" i="73"/>
  <c r="BB52" i="73" s="1"/>
  <c r="BA22" i="73"/>
  <c r="AZ22" i="73"/>
  <c r="AY22" i="73"/>
  <c r="AU22" i="73"/>
  <c r="AT22" i="73"/>
  <c r="AS22" i="73"/>
  <c r="AR22" i="73"/>
  <c r="AQ22" i="73"/>
  <c r="AP22" i="73"/>
  <c r="AO22" i="73"/>
  <c r="AN22" i="73"/>
  <c r="AM22" i="73"/>
  <c r="AI22" i="73"/>
  <c r="AH22" i="73"/>
  <c r="AG22" i="73"/>
  <c r="AF22" i="73"/>
  <c r="AE22" i="73"/>
  <c r="AD22" i="73"/>
  <c r="AC22" i="73"/>
  <c r="AB22" i="73"/>
  <c r="AA22" i="73"/>
  <c r="W22" i="73"/>
  <c r="V22" i="73"/>
  <c r="U22" i="73"/>
  <c r="T22" i="73"/>
  <c r="S22" i="73"/>
  <c r="R22" i="73"/>
  <c r="Q22" i="73"/>
  <c r="P22" i="73"/>
  <c r="O22" i="73"/>
  <c r="BG21" i="73"/>
  <c r="BF21" i="73"/>
  <c r="BE21" i="73"/>
  <c r="BD21" i="73"/>
  <c r="BC21" i="73"/>
  <c r="BB21" i="73"/>
  <c r="BA21" i="73"/>
  <c r="AZ21" i="73"/>
  <c r="AY21" i="73"/>
  <c r="AU21" i="73"/>
  <c r="AT21" i="73"/>
  <c r="AS21" i="73"/>
  <c r="AR21" i="73"/>
  <c r="AQ21" i="73"/>
  <c r="AP21" i="73"/>
  <c r="AO21" i="73"/>
  <c r="AN21" i="73"/>
  <c r="AM21" i="73"/>
  <c r="AI21" i="73"/>
  <c r="AH21" i="73"/>
  <c r="AG21" i="73"/>
  <c r="AF21" i="73"/>
  <c r="AE21" i="73"/>
  <c r="AD21" i="73"/>
  <c r="AC21" i="73"/>
  <c r="AB21" i="73"/>
  <c r="AA21" i="73"/>
  <c r="AT20" i="73"/>
  <c r="AR20" i="73"/>
  <c r="AA20" i="73"/>
  <c r="V20" i="73"/>
  <c r="BG18" i="73"/>
  <c r="BF18" i="73"/>
  <c r="BE18" i="73"/>
  <c r="BD18" i="73"/>
  <c r="BC18" i="73"/>
  <c r="BB18" i="73"/>
  <c r="BA18" i="73"/>
  <c r="AZ18" i="73"/>
  <c r="AY18" i="73"/>
  <c r="AU18" i="73"/>
  <c r="AT18" i="73"/>
  <c r="AS18" i="73"/>
  <c r="AR18" i="73"/>
  <c r="AQ18" i="73"/>
  <c r="AP18" i="73"/>
  <c r="AO18" i="73"/>
  <c r="AN18" i="73"/>
  <c r="AM18" i="73"/>
  <c r="AI18" i="73"/>
  <c r="AH18" i="73"/>
  <c r="AG18" i="73"/>
  <c r="AF18" i="73"/>
  <c r="AE18" i="73"/>
  <c r="AD18" i="73"/>
  <c r="AC18" i="73"/>
  <c r="AB18" i="73"/>
  <c r="AA18" i="73"/>
  <c r="W18" i="73"/>
  <c r="V18" i="73"/>
  <c r="U18" i="73"/>
  <c r="T18" i="73"/>
  <c r="S18" i="73"/>
  <c r="R18" i="73"/>
  <c r="Q18" i="73"/>
  <c r="P18" i="73"/>
  <c r="O18" i="73"/>
  <c r="BG17" i="73"/>
  <c r="BG70" i="73" s="1"/>
  <c r="BF17" i="73"/>
  <c r="BF20" i="73" s="1"/>
  <c r="BE17" i="73"/>
  <c r="BE20" i="73" s="1"/>
  <c r="BD17" i="73"/>
  <c r="BD51" i="73" s="1"/>
  <c r="BC17" i="73"/>
  <c r="BB17" i="73"/>
  <c r="BA17" i="73"/>
  <c r="AZ17" i="73"/>
  <c r="AZ20" i="73" s="1"/>
  <c r="AY17" i="73"/>
  <c r="AY67" i="73" s="1"/>
  <c r="AU17" i="73"/>
  <c r="AU37" i="73" s="1"/>
  <c r="AT17" i="73"/>
  <c r="AT69" i="73" s="1"/>
  <c r="AS17" i="73"/>
  <c r="AS69" i="73" s="1"/>
  <c r="AR17" i="73"/>
  <c r="AR33" i="73" s="1"/>
  <c r="AQ17" i="73"/>
  <c r="AQ38" i="73" s="1"/>
  <c r="AQ54" i="73" s="1"/>
  <c r="AP17" i="73"/>
  <c r="AO17" i="73"/>
  <c r="AO33" i="73" s="1"/>
  <c r="AN17" i="73"/>
  <c r="AM17" i="73"/>
  <c r="AM72" i="73" s="1"/>
  <c r="AI17" i="73"/>
  <c r="AI72" i="73" s="1"/>
  <c r="AH17" i="73"/>
  <c r="AG17" i="73"/>
  <c r="AG20" i="73" s="1"/>
  <c r="AF17" i="73"/>
  <c r="AE17" i="73"/>
  <c r="AE33" i="73" s="1"/>
  <c r="AD17" i="73"/>
  <c r="AC17" i="73"/>
  <c r="AC70" i="73" s="1"/>
  <c r="AB17" i="73"/>
  <c r="AB53" i="73" s="1"/>
  <c r="AA17" i="73"/>
  <c r="AA29" i="73" s="1"/>
  <c r="W17" i="73"/>
  <c r="W20" i="73" s="1"/>
  <c r="V17" i="73"/>
  <c r="V29" i="73" s="1"/>
  <c r="U17" i="73"/>
  <c r="T17" i="73"/>
  <c r="T21" i="73" s="1"/>
  <c r="S17" i="73"/>
  <c r="R17" i="73"/>
  <c r="R70" i="73" s="1"/>
  <c r="Q17" i="73"/>
  <c r="P17" i="73"/>
  <c r="P52" i="73" s="1"/>
  <c r="O17" i="73"/>
  <c r="O37" i="73" s="1"/>
  <c r="AY16" i="73"/>
  <c r="AW16" i="73"/>
  <c r="AM16" i="73"/>
  <c r="AK16" i="73"/>
  <c r="AA16" i="73"/>
  <c r="O16" i="73"/>
  <c r="M16" i="73"/>
  <c r="BG10" i="73"/>
  <c r="BF10" i="73"/>
  <c r="BE10" i="73"/>
  <c r="BD10" i="73"/>
  <c r="BD172" i="73" s="1"/>
  <c r="BC10" i="73"/>
  <c r="BB10" i="73"/>
  <c r="BA10" i="73"/>
  <c r="BA76" i="73" s="1"/>
  <c r="AZ10" i="73"/>
  <c r="AY10" i="73"/>
  <c r="AY131" i="73" s="1"/>
  <c r="AW10" i="73"/>
  <c r="AW102" i="73" s="1"/>
  <c r="AU10" i="73"/>
  <c r="AT10" i="73"/>
  <c r="AS10" i="73"/>
  <c r="AR10" i="73"/>
  <c r="AQ10" i="73"/>
  <c r="AQ76" i="73" s="1"/>
  <c r="AP10" i="73"/>
  <c r="AO10" i="73"/>
  <c r="AO117" i="73" s="1"/>
  <c r="AN10" i="73"/>
  <c r="AN107" i="73" s="1"/>
  <c r="AM10" i="73"/>
  <c r="AK10" i="73"/>
  <c r="AI10" i="73"/>
  <c r="AH10" i="73"/>
  <c r="AG10" i="73"/>
  <c r="AF10" i="73"/>
  <c r="AF179" i="73" s="1"/>
  <c r="AE10" i="73"/>
  <c r="AE165" i="73" s="1"/>
  <c r="AD10" i="73"/>
  <c r="AC10" i="73"/>
  <c r="AC82" i="73" s="1"/>
  <c r="AB10" i="73"/>
  <c r="AB152" i="73" s="1"/>
  <c r="AA10" i="73"/>
  <c r="Y10" i="73"/>
  <c r="M10" i="73"/>
  <c r="J10" i="73"/>
  <c r="J16" i="73" s="1"/>
  <c r="G6" i="73"/>
  <c r="H5" i="73"/>
  <c r="AQ180" i="73" s="1"/>
  <c r="G5" i="73"/>
  <c r="BC173" i="73" s="1"/>
  <c r="E3" i="73"/>
  <c r="E2" i="73"/>
  <c r="E1" i="73"/>
  <c r="E369" i="72"/>
  <c r="E368" i="72"/>
  <c r="E367" i="72"/>
  <c r="E366" i="72"/>
  <c r="E365" i="72"/>
  <c r="AY363" i="72"/>
  <c r="AW363" i="72"/>
  <c r="AM363" i="72"/>
  <c r="AK363" i="72"/>
  <c r="AA363" i="72"/>
  <c r="Y363" i="72"/>
  <c r="O363" i="72"/>
  <c r="M363" i="72"/>
  <c r="H363" i="72"/>
  <c r="E352" i="72"/>
  <c r="E351" i="72"/>
  <c r="E350" i="72"/>
  <c r="E349" i="72"/>
  <c r="E348" i="72"/>
  <c r="E347" i="72"/>
  <c r="E346" i="72"/>
  <c r="E345" i="72"/>
  <c r="AY343" i="72"/>
  <c r="AW343" i="72"/>
  <c r="AM343" i="72"/>
  <c r="AK343" i="72"/>
  <c r="AA343" i="72"/>
  <c r="Y343" i="72"/>
  <c r="O343" i="72"/>
  <c r="M343" i="72"/>
  <c r="J343" i="72"/>
  <c r="AY320" i="72"/>
  <c r="AW320" i="72"/>
  <c r="AM320" i="72"/>
  <c r="AK320" i="72"/>
  <c r="AA320" i="72"/>
  <c r="Y320" i="72"/>
  <c r="O320" i="72"/>
  <c r="M320" i="72"/>
  <c r="H320" i="72"/>
  <c r="AY302" i="72"/>
  <c r="AW302" i="72"/>
  <c r="AM302" i="72"/>
  <c r="AK302" i="72"/>
  <c r="AA302" i="72"/>
  <c r="Y302" i="72"/>
  <c r="O302" i="72"/>
  <c r="M302" i="72"/>
  <c r="J302" i="72"/>
  <c r="E289" i="72"/>
  <c r="E288" i="72"/>
  <c r="E287" i="72"/>
  <c r="E286" i="72"/>
  <c r="E285" i="72"/>
  <c r="E284" i="72"/>
  <c r="E283" i="72"/>
  <c r="E282" i="72"/>
  <c r="AY280" i="72"/>
  <c r="AW280" i="72"/>
  <c r="AM280" i="72"/>
  <c r="AK280" i="72"/>
  <c r="AA280" i="72"/>
  <c r="Y280" i="72"/>
  <c r="O280" i="72"/>
  <c r="M280" i="72"/>
  <c r="J280" i="72"/>
  <c r="E267" i="72"/>
  <c r="AM267" i="72" s="1"/>
  <c r="Q262" i="72"/>
  <c r="P262" i="72"/>
  <c r="O262" i="72"/>
  <c r="AY261" i="72"/>
  <c r="AM261" i="72"/>
  <c r="AA261" i="72"/>
  <c r="O261" i="72"/>
  <c r="W250" i="72"/>
  <c r="Q250" i="72"/>
  <c r="P250" i="72"/>
  <c r="O250" i="72"/>
  <c r="AY249" i="72"/>
  <c r="AM249" i="72"/>
  <c r="AA249" i="72"/>
  <c r="O249" i="72"/>
  <c r="BG244" i="72"/>
  <c r="BF244" i="72"/>
  <c r="BE244" i="72"/>
  <c r="BD244" i="72"/>
  <c r="BC244" i="72"/>
  <c r="BB244" i="72"/>
  <c r="BA244" i="72"/>
  <c r="AZ244" i="72"/>
  <c r="AY244" i="72"/>
  <c r="AU244" i="72"/>
  <c r="AT244" i="72"/>
  <c r="AS244" i="72"/>
  <c r="AR244" i="72"/>
  <c r="AQ244" i="72"/>
  <c r="AP244" i="72"/>
  <c r="AO244" i="72"/>
  <c r="AN244" i="72"/>
  <c r="AM244" i="72"/>
  <c r="AI244" i="72"/>
  <c r="AH244" i="72"/>
  <c r="AG244" i="72"/>
  <c r="AF244" i="72"/>
  <c r="AE244" i="72"/>
  <c r="AD244" i="72"/>
  <c r="AC244" i="72"/>
  <c r="AB244" i="72"/>
  <c r="AA244" i="72"/>
  <c r="W244" i="72"/>
  <c r="V244" i="72"/>
  <c r="U244" i="72"/>
  <c r="T244" i="72"/>
  <c r="S244" i="72"/>
  <c r="R244" i="72"/>
  <c r="Q244" i="72"/>
  <c r="P244" i="72"/>
  <c r="O244" i="72"/>
  <c r="W239" i="72"/>
  <c r="V239" i="72"/>
  <c r="U239" i="72"/>
  <c r="T239" i="72"/>
  <c r="S239" i="72"/>
  <c r="R239" i="72"/>
  <c r="Q239" i="72"/>
  <c r="P239" i="72"/>
  <c r="O239" i="72"/>
  <c r="AY238" i="72"/>
  <c r="AM238" i="72"/>
  <c r="AA238" i="72"/>
  <c r="O238" i="72"/>
  <c r="W232" i="72"/>
  <c r="V232" i="72"/>
  <c r="U232" i="72"/>
  <c r="T232" i="72"/>
  <c r="S232" i="72"/>
  <c r="R232" i="72"/>
  <c r="Q232" i="72"/>
  <c r="P232" i="72"/>
  <c r="O232" i="72"/>
  <c r="H231" i="72"/>
  <c r="H230" i="72"/>
  <c r="H229" i="72"/>
  <c r="W228" i="72"/>
  <c r="V228" i="72"/>
  <c r="U228" i="72"/>
  <c r="T228" i="72"/>
  <c r="S228" i="72"/>
  <c r="R228" i="72"/>
  <c r="Q228" i="72"/>
  <c r="P228" i="72"/>
  <c r="O228" i="72"/>
  <c r="AY227" i="72"/>
  <c r="AM227" i="72"/>
  <c r="AA227" i="72"/>
  <c r="O227" i="72"/>
  <c r="Y223" i="72"/>
  <c r="W221" i="72"/>
  <c r="Q221" i="72"/>
  <c r="P221" i="72"/>
  <c r="O221" i="72"/>
  <c r="AW219" i="72"/>
  <c r="AK219" i="72"/>
  <c r="Y219" i="72"/>
  <c r="M219" i="72"/>
  <c r="AW217" i="72"/>
  <c r="AK217" i="72"/>
  <c r="Y217" i="72"/>
  <c r="M217" i="72"/>
  <c r="AW216" i="72"/>
  <c r="AK216" i="72"/>
  <c r="Y216" i="72"/>
  <c r="M216" i="72"/>
  <c r="W215" i="72"/>
  <c r="Q215" i="72"/>
  <c r="P215" i="72"/>
  <c r="O215" i="72"/>
  <c r="AW213" i="72"/>
  <c r="AK213" i="72"/>
  <c r="Y213" i="72"/>
  <c r="M213" i="72"/>
  <c r="W211" i="72"/>
  <c r="Q211" i="72"/>
  <c r="P211" i="72"/>
  <c r="O211" i="72"/>
  <c r="W204" i="72"/>
  <c r="V204" i="72"/>
  <c r="U204" i="72"/>
  <c r="S204" i="72"/>
  <c r="R204" i="72"/>
  <c r="Q204" i="72"/>
  <c r="P204" i="72"/>
  <c r="O204" i="72"/>
  <c r="W199" i="72"/>
  <c r="V199" i="72"/>
  <c r="U199" i="72"/>
  <c r="S199" i="72"/>
  <c r="R199" i="72"/>
  <c r="Q199" i="72"/>
  <c r="P199" i="72"/>
  <c r="O199" i="72"/>
  <c r="AW198" i="72"/>
  <c r="AK198" i="72"/>
  <c r="Y198" i="72"/>
  <c r="M198" i="72"/>
  <c r="W193" i="72"/>
  <c r="V193" i="72"/>
  <c r="U193" i="72"/>
  <c r="S193" i="72"/>
  <c r="R193" i="72"/>
  <c r="Q193" i="72"/>
  <c r="P193" i="72"/>
  <c r="O193" i="72"/>
  <c r="W189" i="72"/>
  <c r="V189" i="72"/>
  <c r="U189" i="72"/>
  <c r="S189" i="72"/>
  <c r="R189" i="72"/>
  <c r="Q189" i="72"/>
  <c r="P189" i="72"/>
  <c r="O189" i="72"/>
  <c r="W185" i="72"/>
  <c r="V185" i="72"/>
  <c r="U185" i="72"/>
  <c r="T185" i="72"/>
  <c r="S185" i="72"/>
  <c r="R185" i="72"/>
  <c r="Q185" i="72"/>
  <c r="P185" i="72"/>
  <c r="O185" i="72"/>
  <c r="AY184" i="72"/>
  <c r="AM184" i="72"/>
  <c r="AA184" i="72"/>
  <c r="O184" i="72"/>
  <c r="V179" i="72"/>
  <c r="U179" i="72"/>
  <c r="T179" i="72"/>
  <c r="S179" i="72"/>
  <c r="R179" i="72"/>
  <c r="Q179" i="72"/>
  <c r="P179" i="72"/>
  <c r="O179" i="72"/>
  <c r="BF177" i="72"/>
  <c r="BE177" i="72"/>
  <c r="BD177" i="72"/>
  <c r="BC177" i="72"/>
  <c r="BB177" i="72"/>
  <c r="BA177" i="72"/>
  <c r="AZ177" i="72"/>
  <c r="AY177" i="72"/>
  <c r="AT177" i="72"/>
  <c r="AS177" i="72"/>
  <c r="AR177" i="72"/>
  <c r="AQ177" i="72"/>
  <c r="AP177" i="72"/>
  <c r="AO177" i="72"/>
  <c r="AN177" i="72"/>
  <c r="AM177" i="72"/>
  <c r="AH177" i="72"/>
  <c r="AG177" i="72"/>
  <c r="AF177" i="72"/>
  <c r="AE177" i="72"/>
  <c r="AD177" i="72"/>
  <c r="AC177" i="72"/>
  <c r="AB177" i="72"/>
  <c r="AA177" i="72"/>
  <c r="V177" i="72"/>
  <c r="U177" i="72"/>
  <c r="T177" i="72"/>
  <c r="S177" i="72"/>
  <c r="R177" i="72"/>
  <c r="Q177" i="72"/>
  <c r="P177" i="72"/>
  <c r="O177" i="72"/>
  <c r="BF176" i="72"/>
  <c r="BE176" i="72"/>
  <c r="BD176" i="72"/>
  <c r="BC176" i="72"/>
  <c r="BB176" i="72"/>
  <c r="BA176" i="72"/>
  <c r="AZ176" i="72"/>
  <c r="AY176" i="72"/>
  <c r="AT176" i="72"/>
  <c r="AS176" i="72"/>
  <c r="AR176" i="72"/>
  <c r="AQ176" i="72"/>
  <c r="AP176" i="72"/>
  <c r="AO176" i="72"/>
  <c r="AN176" i="72"/>
  <c r="AM176" i="72"/>
  <c r="AH176" i="72"/>
  <c r="AG176" i="72"/>
  <c r="AF176" i="72"/>
  <c r="AE176" i="72"/>
  <c r="AD176" i="72"/>
  <c r="AC176" i="72"/>
  <c r="AB176" i="72"/>
  <c r="AA176" i="72"/>
  <c r="V176" i="72"/>
  <c r="U176" i="72"/>
  <c r="T176" i="72"/>
  <c r="S176" i="72"/>
  <c r="R176" i="72"/>
  <c r="Q176" i="72"/>
  <c r="P176" i="72"/>
  <c r="O176" i="72"/>
  <c r="V175" i="72"/>
  <c r="U175" i="72"/>
  <c r="T175" i="72"/>
  <c r="S175" i="72"/>
  <c r="R175" i="72"/>
  <c r="Q175" i="72"/>
  <c r="P175" i="72"/>
  <c r="O175" i="72"/>
  <c r="BD173" i="72"/>
  <c r="AR173" i="72"/>
  <c r="AF173" i="72"/>
  <c r="T173" i="72"/>
  <c r="V172" i="72"/>
  <c r="U172" i="72"/>
  <c r="T172" i="72"/>
  <c r="S172" i="72"/>
  <c r="R172" i="72"/>
  <c r="Q172" i="72"/>
  <c r="P172" i="72"/>
  <c r="O172" i="72"/>
  <c r="BA166" i="72"/>
  <c r="AZ166" i="72"/>
  <c r="AY166" i="72"/>
  <c r="AO166" i="72"/>
  <c r="AN166" i="72"/>
  <c r="AM166" i="72"/>
  <c r="AC166" i="72"/>
  <c r="AB166" i="72"/>
  <c r="AA166" i="72"/>
  <c r="Q166" i="72"/>
  <c r="P166" i="72"/>
  <c r="O166" i="72"/>
  <c r="V165" i="72"/>
  <c r="U165" i="72"/>
  <c r="T165" i="72"/>
  <c r="S165" i="72"/>
  <c r="R165" i="72"/>
  <c r="Q165" i="72"/>
  <c r="P165" i="72"/>
  <c r="O165" i="72"/>
  <c r="AY164" i="72"/>
  <c r="AM164" i="72"/>
  <c r="AA164" i="72"/>
  <c r="O164" i="72"/>
  <c r="Q158" i="72"/>
  <c r="P158" i="72"/>
  <c r="O158" i="72"/>
  <c r="Q152" i="72"/>
  <c r="P152" i="72"/>
  <c r="O152" i="72"/>
  <c r="Q148" i="72"/>
  <c r="P148" i="72"/>
  <c r="O148" i="72"/>
  <c r="BA145" i="72"/>
  <c r="AZ145" i="72"/>
  <c r="AZ147" i="72" s="1"/>
  <c r="AY145" i="72"/>
  <c r="AO145" i="72"/>
  <c r="AN145" i="72"/>
  <c r="AN147" i="72" s="1"/>
  <c r="AM145" i="72"/>
  <c r="AC145" i="72"/>
  <c r="AB145" i="72"/>
  <c r="AB147" i="72" s="1"/>
  <c r="AA145" i="72"/>
  <c r="Q145" i="72"/>
  <c r="P145" i="72"/>
  <c r="P147" i="72" s="1"/>
  <c r="O145" i="72"/>
  <c r="Q139" i="72"/>
  <c r="P139" i="72"/>
  <c r="O139" i="72"/>
  <c r="AY138" i="72"/>
  <c r="AM138" i="72"/>
  <c r="AA138" i="72"/>
  <c r="O138" i="72"/>
  <c r="BA134" i="72"/>
  <c r="AZ134" i="72"/>
  <c r="AY134" i="72"/>
  <c r="AO134" i="72"/>
  <c r="AN134" i="72"/>
  <c r="AM134" i="72"/>
  <c r="AC134" i="72"/>
  <c r="AB134" i="72"/>
  <c r="AA134" i="72"/>
  <c r="Q134" i="72"/>
  <c r="P134" i="72"/>
  <c r="O134" i="72"/>
  <c r="BA133" i="72"/>
  <c r="AZ133" i="72"/>
  <c r="AY133" i="72"/>
  <c r="AO133" i="72"/>
  <c r="AN133" i="72"/>
  <c r="AM133" i="72"/>
  <c r="AC133" i="72"/>
  <c r="AB133" i="72"/>
  <c r="AA133" i="72"/>
  <c r="Q133" i="72"/>
  <c r="P133" i="72"/>
  <c r="O133" i="72"/>
  <c r="Q131" i="72"/>
  <c r="P131" i="72"/>
  <c r="O131" i="72"/>
  <c r="Q127" i="72"/>
  <c r="P127" i="72"/>
  <c r="O127" i="72"/>
  <c r="Q121" i="72"/>
  <c r="P121" i="72"/>
  <c r="O121" i="72"/>
  <c r="Q117" i="72"/>
  <c r="P117" i="72"/>
  <c r="O117" i="72"/>
  <c r="AZ115" i="72"/>
  <c r="AN115" i="72"/>
  <c r="AB115" i="72"/>
  <c r="P115" i="72"/>
  <c r="BA114" i="72"/>
  <c r="AY114" i="72"/>
  <c r="AO114" i="72"/>
  <c r="AM114" i="72"/>
  <c r="AC114" i="72"/>
  <c r="AA114" i="72"/>
  <c r="Q114" i="72"/>
  <c r="O114" i="72"/>
  <c r="BA111" i="72"/>
  <c r="AZ111" i="72"/>
  <c r="AY111" i="72"/>
  <c r="AO111" i="72"/>
  <c r="AN111" i="72"/>
  <c r="AM111" i="72"/>
  <c r="AC111" i="72"/>
  <c r="AB111" i="72"/>
  <c r="AA111" i="72"/>
  <c r="Q111" i="72"/>
  <c r="P111" i="72"/>
  <c r="O111" i="72"/>
  <c r="BA108" i="72"/>
  <c r="BA143" i="72" s="1"/>
  <c r="AZ108" i="72"/>
  <c r="AZ143" i="72" s="1"/>
  <c r="AY108" i="72"/>
  <c r="AY143" i="72" s="1"/>
  <c r="AO108" i="72"/>
  <c r="AO140" i="72" s="1"/>
  <c r="AN108" i="72"/>
  <c r="AM108" i="72"/>
  <c r="AM140" i="72" s="1"/>
  <c r="AC108" i="72"/>
  <c r="AC140" i="72" s="1"/>
  <c r="AB108" i="72"/>
  <c r="AB143" i="72" s="1"/>
  <c r="AA108" i="72"/>
  <c r="AA143" i="72" s="1"/>
  <c r="Q108" i="72"/>
  <c r="Q140" i="72" s="1"/>
  <c r="P108" i="72"/>
  <c r="O108" i="72"/>
  <c r="O140" i="72" s="1"/>
  <c r="Q107" i="72"/>
  <c r="P107" i="72"/>
  <c r="O107" i="72"/>
  <c r="BA105" i="72"/>
  <c r="BA240" i="72" s="1"/>
  <c r="AZ105" i="72"/>
  <c r="AZ240" i="72" s="1"/>
  <c r="AY105" i="72"/>
  <c r="AY240" i="72" s="1"/>
  <c r="AO105" i="72"/>
  <c r="AO240" i="72" s="1"/>
  <c r="AN105" i="72"/>
  <c r="AN240" i="72" s="1"/>
  <c r="AM105" i="72"/>
  <c r="AM240" i="72" s="1"/>
  <c r="AC105" i="72"/>
  <c r="AB105" i="72"/>
  <c r="AB240" i="72" s="1"/>
  <c r="AA105" i="72"/>
  <c r="Q105" i="72"/>
  <c r="Q240" i="72" s="1"/>
  <c r="P105" i="72"/>
  <c r="O105" i="72"/>
  <c r="O240" i="72" s="1"/>
  <c r="BA104" i="72"/>
  <c r="BA113" i="72" s="1"/>
  <c r="AZ104" i="72"/>
  <c r="AY104" i="72"/>
  <c r="AY113" i="72" s="1"/>
  <c r="AO104" i="72"/>
  <c r="AO113" i="72" s="1"/>
  <c r="AN104" i="72"/>
  <c r="AM104" i="72"/>
  <c r="AM113" i="72" s="1"/>
  <c r="AC104" i="72"/>
  <c r="AC113" i="72" s="1"/>
  <c r="AB104" i="72"/>
  <c r="AA104" i="72"/>
  <c r="AA113" i="72" s="1"/>
  <c r="Q104" i="72"/>
  <c r="Q113" i="72" s="1"/>
  <c r="P104" i="72"/>
  <c r="O104" i="72"/>
  <c r="O113" i="72" s="1"/>
  <c r="Q103" i="72"/>
  <c r="P103" i="72"/>
  <c r="O103" i="72"/>
  <c r="AY102" i="72"/>
  <c r="AM102" i="72"/>
  <c r="AA102" i="72"/>
  <c r="O102" i="72"/>
  <c r="Q96" i="72"/>
  <c r="P96" i="72"/>
  <c r="O96" i="72"/>
  <c r="Q92" i="72"/>
  <c r="P92" i="72"/>
  <c r="O92" i="72"/>
  <c r="Q89" i="72"/>
  <c r="P89" i="72"/>
  <c r="O89" i="72"/>
  <c r="BA86" i="72"/>
  <c r="AZ86" i="72"/>
  <c r="AY86" i="72"/>
  <c r="AO86" i="72"/>
  <c r="AN86" i="72"/>
  <c r="AM86" i="72"/>
  <c r="AC86" i="72"/>
  <c r="AB86" i="72"/>
  <c r="AA86" i="72"/>
  <c r="Q86" i="72"/>
  <c r="O86" i="72"/>
  <c r="Q85" i="72"/>
  <c r="P85" i="72"/>
  <c r="O85" i="72"/>
  <c r="AZ84" i="72"/>
  <c r="AZ263" i="72" s="1"/>
  <c r="AN84" i="72"/>
  <c r="AN263" i="72" s="1"/>
  <c r="AB84" i="72"/>
  <c r="AB263" i="72" s="1"/>
  <c r="P84" i="72"/>
  <c r="P263" i="72" s="1"/>
  <c r="E84" i="72"/>
  <c r="Q82" i="72"/>
  <c r="P82" i="72"/>
  <c r="O82" i="72"/>
  <c r="AY81" i="72"/>
  <c r="AM81" i="72"/>
  <c r="AA81" i="72"/>
  <c r="O81" i="72"/>
  <c r="W77" i="72"/>
  <c r="V77" i="72"/>
  <c r="U77" i="72"/>
  <c r="T77" i="72"/>
  <c r="S77" i="72"/>
  <c r="R77" i="72"/>
  <c r="Q77" i="72"/>
  <c r="P77" i="72"/>
  <c r="O77" i="72"/>
  <c r="O76" i="72"/>
  <c r="E71" i="72"/>
  <c r="AS70" i="72"/>
  <c r="E69" i="72"/>
  <c r="E68" i="72"/>
  <c r="E67" i="72"/>
  <c r="E66" i="72"/>
  <c r="E65" i="72"/>
  <c r="E64" i="72"/>
  <c r="E62" i="72"/>
  <c r="AQ60" i="72"/>
  <c r="AY59" i="72"/>
  <c r="AM59" i="72"/>
  <c r="AA59" i="72"/>
  <c r="O59" i="72"/>
  <c r="M59" i="72"/>
  <c r="J59" i="72"/>
  <c r="AR53" i="72"/>
  <c r="BB38" i="72"/>
  <c r="AH38" i="72"/>
  <c r="BD37" i="72"/>
  <c r="AY36" i="72"/>
  <c r="AM36" i="72"/>
  <c r="AA36" i="72"/>
  <c r="O36" i="72"/>
  <c r="M36" i="72"/>
  <c r="J36" i="72"/>
  <c r="BD29" i="72"/>
  <c r="AI29" i="72"/>
  <c r="BG28" i="72"/>
  <c r="BF28" i="72"/>
  <c r="BE28" i="72"/>
  <c r="BD28" i="72"/>
  <c r="BC28" i="72"/>
  <c r="BB28" i="72"/>
  <c r="BA28" i="72"/>
  <c r="AZ28" i="72"/>
  <c r="AY28" i="72"/>
  <c r="AU28" i="72"/>
  <c r="AT28" i="72"/>
  <c r="AS28" i="72"/>
  <c r="AR28" i="72"/>
  <c r="AQ28" i="72"/>
  <c r="AP28" i="72"/>
  <c r="AO28" i="72"/>
  <c r="AN28" i="72"/>
  <c r="AM28" i="72"/>
  <c r="AI28" i="72"/>
  <c r="AH28" i="72"/>
  <c r="AG28" i="72"/>
  <c r="AF28" i="72"/>
  <c r="AE28" i="72"/>
  <c r="AD28" i="72"/>
  <c r="AC28" i="72"/>
  <c r="AB28" i="72"/>
  <c r="AA28" i="72"/>
  <c r="W28" i="72"/>
  <c r="O28" i="72"/>
  <c r="AX27" i="72"/>
  <c r="BG22" i="72"/>
  <c r="BF22" i="72"/>
  <c r="BE22" i="72"/>
  <c r="BD22" i="72"/>
  <c r="BC22" i="72"/>
  <c r="BB22" i="72"/>
  <c r="BA22" i="72"/>
  <c r="AZ22" i="72"/>
  <c r="AY22" i="72"/>
  <c r="AU22" i="72"/>
  <c r="AT22" i="72"/>
  <c r="AS22" i="72"/>
  <c r="AS52" i="72" s="1"/>
  <c r="AR22" i="72"/>
  <c r="AQ22" i="72"/>
  <c r="AP22" i="72"/>
  <c r="AO22" i="72"/>
  <c r="AN22" i="72"/>
  <c r="AM22" i="72"/>
  <c r="AI22" i="72"/>
  <c r="AH22" i="72"/>
  <c r="AG22" i="72"/>
  <c r="AF22" i="72"/>
  <c r="AE22" i="72"/>
  <c r="AD22" i="72"/>
  <c r="AC22" i="72"/>
  <c r="AB22" i="72"/>
  <c r="AA22" i="72"/>
  <c r="W22" i="72"/>
  <c r="V22" i="72"/>
  <c r="U22" i="72"/>
  <c r="T22" i="72"/>
  <c r="S22" i="72"/>
  <c r="R22" i="72"/>
  <c r="Q22" i="72"/>
  <c r="P22" i="72"/>
  <c r="O22" i="72"/>
  <c r="BG21" i="72"/>
  <c r="BF21" i="72"/>
  <c r="BE21" i="72"/>
  <c r="BD21" i="72"/>
  <c r="BC21" i="72"/>
  <c r="BB21" i="72"/>
  <c r="BA21" i="72"/>
  <c r="AZ21" i="72"/>
  <c r="AY21" i="72"/>
  <c r="AU21" i="72"/>
  <c r="AT21" i="72"/>
  <c r="AS21" i="72"/>
  <c r="AR21" i="72"/>
  <c r="AQ21" i="72"/>
  <c r="AP21" i="72"/>
  <c r="AO21" i="72"/>
  <c r="AN21" i="72"/>
  <c r="AM21" i="72"/>
  <c r="AI21" i="72"/>
  <c r="AH21" i="72"/>
  <c r="AG21" i="72"/>
  <c r="AF21" i="72"/>
  <c r="AE21" i="72"/>
  <c r="AD21" i="72"/>
  <c r="AC21" i="72"/>
  <c r="AB21" i="72"/>
  <c r="AA21" i="72"/>
  <c r="AT20" i="72"/>
  <c r="AS20" i="72"/>
  <c r="AA20" i="72"/>
  <c r="W20" i="72"/>
  <c r="BG18" i="72"/>
  <c r="BF18" i="72"/>
  <c r="BE18" i="72"/>
  <c r="BD18" i="72"/>
  <c r="BC18" i="72"/>
  <c r="BB18" i="72"/>
  <c r="BA18" i="72"/>
  <c r="AZ18" i="72"/>
  <c r="AY18" i="72"/>
  <c r="AU18" i="72"/>
  <c r="AT18" i="72"/>
  <c r="AS18" i="72"/>
  <c r="AR18" i="72"/>
  <c r="AQ18" i="72"/>
  <c r="AP18" i="72"/>
  <c r="AO18" i="72"/>
  <c r="AN18" i="72"/>
  <c r="AM18" i="72"/>
  <c r="AI18" i="72"/>
  <c r="AH18" i="72"/>
  <c r="AG18" i="72"/>
  <c r="AF18" i="72"/>
  <c r="AE18" i="72"/>
  <c r="AD18" i="72"/>
  <c r="AC18" i="72"/>
  <c r="AB18" i="72"/>
  <c r="AA18" i="72"/>
  <c r="W18" i="72"/>
  <c r="V18" i="72"/>
  <c r="U18" i="72"/>
  <c r="T18" i="72"/>
  <c r="S18" i="72"/>
  <c r="R18" i="72"/>
  <c r="Q18" i="72"/>
  <c r="P18" i="72"/>
  <c r="O18" i="72"/>
  <c r="BG17" i="72"/>
  <c r="BG53" i="72" s="1"/>
  <c r="BF17" i="72"/>
  <c r="BF60" i="72" s="1"/>
  <c r="BE17" i="72"/>
  <c r="BE20" i="72" s="1"/>
  <c r="BD17" i="72"/>
  <c r="BD70" i="72" s="1"/>
  <c r="BC17" i="72"/>
  <c r="BB17" i="72"/>
  <c r="BA17" i="72"/>
  <c r="BA29" i="72" s="1"/>
  <c r="BA30" i="72" s="1"/>
  <c r="AZ17" i="72"/>
  <c r="AZ51" i="72" s="1"/>
  <c r="AY17" i="72"/>
  <c r="AY20" i="72" s="1"/>
  <c r="AU17" i="72"/>
  <c r="AU51" i="72" s="1"/>
  <c r="AT17" i="72"/>
  <c r="AT33" i="72" s="1"/>
  <c r="AS17" i="72"/>
  <c r="AS60" i="72" s="1"/>
  <c r="AR17" i="72"/>
  <c r="AQ17" i="72"/>
  <c r="AQ19" i="72" s="1"/>
  <c r="AP17" i="72"/>
  <c r="AO17" i="72"/>
  <c r="AO38" i="72" s="1"/>
  <c r="AN17" i="72"/>
  <c r="AN53" i="72" s="1"/>
  <c r="AM17" i="72"/>
  <c r="AM51" i="72" s="1"/>
  <c r="AI17" i="72"/>
  <c r="AI33" i="72" s="1"/>
  <c r="AH17" i="72"/>
  <c r="AH20" i="72" s="1"/>
  <c r="AG17" i="72"/>
  <c r="AG19" i="72" s="1"/>
  <c r="AF17" i="72"/>
  <c r="AF33" i="72" s="1"/>
  <c r="AE17" i="72"/>
  <c r="AE33" i="72" s="1"/>
  <c r="AD17" i="72"/>
  <c r="AC17" i="72"/>
  <c r="AC20" i="72" s="1"/>
  <c r="AB17" i="72"/>
  <c r="AB67" i="72" s="1"/>
  <c r="AA17" i="72"/>
  <c r="W17" i="72"/>
  <c r="W60" i="72" s="1"/>
  <c r="V17" i="72"/>
  <c r="V21" i="72" s="1"/>
  <c r="U17" i="72"/>
  <c r="U72" i="72" s="1"/>
  <c r="T17" i="72"/>
  <c r="S17" i="72"/>
  <c r="R17" i="72"/>
  <c r="R53" i="72" s="1"/>
  <c r="Q17" i="72"/>
  <c r="Q28" i="72" s="1"/>
  <c r="P17" i="72"/>
  <c r="P28" i="72" s="1"/>
  <c r="O17" i="72"/>
  <c r="O33" i="72" s="1"/>
  <c r="AY16" i="72"/>
  <c r="AW16" i="72"/>
  <c r="AM16" i="72"/>
  <c r="AK16" i="72"/>
  <c r="AA16" i="72"/>
  <c r="O16" i="72"/>
  <c r="M16" i="72"/>
  <c r="BG10" i="72"/>
  <c r="BF10" i="72"/>
  <c r="BE10" i="72"/>
  <c r="BD10" i="72"/>
  <c r="BC10" i="72"/>
  <c r="BB10" i="72"/>
  <c r="BA10" i="72"/>
  <c r="AZ10" i="72"/>
  <c r="AY10" i="72"/>
  <c r="AY82" i="72" s="1"/>
  <c r="AW10" i="72"/>
  <c r="AU10" i="72"/>
  <c r="AT10" i="72"/>
  <c r="AS10" i="72"/>
  <c r="AR10" i="72"/>
  <c r="AQ10" i="72"/>
  <c r="AP10" i="72"/>
  <c r="AO10" i="72"/>
  <c r="AN10" i="72"/>
  <c r="AM10" i="72"/>
  <c r="AK10" i="72"/>
  <c r="AK76" i="72" s="1"/>
  <c r="AI10" i="72"/>
  <c r="AH10" i="72"/>
  <c r="AG10" i="72"/>
  <c r="AF10" i="72"/>
  <c r="AE10" i="72"/>
  <c r="AD10" i="72"/>
  <c r="AC10" i="72"/>
  <c r="AB10" i="72"/>
  <c r="AB179" i="72" s="1"/>
  <c r="AA10" i="72"/>
  <c r="Y10" i="72"/>
  <c r="M10" i="72"/>
  <c r="J10" i="72"/>
  <c r="J16" i="72" s="1"/>
  <c r="G6" i="72"/>
  <c r="H5" i="72"/>
  <c r="G5" i="72"/>
  <c r="E3" i="72"/>
  <c r="E2" i="72"/>
  <c r="E1" i="72"/>
  <c r="H363" i="55"/>
  <c r="H320" i="55"/>
  <c r="K306" i="24"/>
  <c r="J312" i="24"/>
  <c r="M223" i="76" s="1"/>
  <c r="K312" i="24"/>
  <c r="K313" i="24"/>
  <c r="AS106" i="24"/>
  <c r="AS97" i="24"/>
  <c r="AK223" i="72" l="1"/>
  <c r="M223" i="74"/>
  <c r="AK223" i="76"/>
  <c r="AW223" i="72"/>
  <c r="Y223" i="74"/>
  <c r="AW223" i="76"/>
  <c r="AK223" i="74"/>
  <c r="BA122" i="74"/>
  <c r="AW223" i="74"/>
  <c r="M223" i="75"/>
  <c r="M223" i="73"/>
  <c r="Y223" i="75"/>
  <c r="Y223" i="73"/>
  <c r="AK223" i="75"/>
  <c r="M223" i="72"/>
  <c r="AK223" i="73"/>
  <c r="AW223" i="75"/>
  <c r="AA30" i="76"/>
  <c r="BE52" i="76"/>
  <c r="BB76" i="76"/>
  <c r="BB52" i="76"/>
  <c r="AB103" i="76"/>
  <c r="AZ140" i="75"/>
  <c r="AB82" i="73"/>
  <c r="AY122" i="75"/>
  <c r="AA128" i="76"/>
  <c r="AZ140" i="74"/>
  <c r="P140" i="76"/>
  <c r="P141" i="76" s="1"/>
  <c r="BC52" i="76"/>
  <c r="BD52" i="76"/>
  <c r="O122" i="76"/>
  <c r="AO122" i="76"/>
  <c r="V52" i="76"/>
  <c r="AZ140" i="76"/>
  <c r="AC124" i="75"/>
  <c r="AN140" i="75"/>
  <c r="E268" i="75"/>
  <c r="AZ128" i="75"/>
  <c r="P140" i="75"/>
  <c r="P242" i="75" s="1"/>
  <c r="P243" i="75" s="1"/>
  <c r="AB128" i="75"/>
  <c r="AC143" i="75"/>
  <c r="P140" i="74"/>
  <c r="AB140" i="74"/>
  <c r="O124" i="74"/>
  <c r="O267" i="74"/>
  <c r="AC140" i="73"/>
  <c r="AA267" i="73"/>
  <c r="Q52" i="73"/>
  <c r="AM267" i="73"/>
  <c r="AB128" i="73"/>
  <c r="AZ140" i="73"/>
  <c r="BC52" i="73"/>
  <c r="AH52" i="73"/>
  <c r="O267" i="72"/>
  <c r="AA267" i="72"/>
  <c r="S52" i="72"/>
  <c r="E268" i="72"/>
  <c r="AF30" i="76"/>
  <c r="AD29" i="76"/>
  <c r="AD315" i="76" s="1"/>
  <c r="AB20" i="72"/>
  <c r="AU20" i="72"/>
  <c r="O51" i="72"/>
  <c r="AB20" i="73"/>
  <c r="AU20" i="73"/>
  <c r="AH37" i="73"/>
  <c r="AA52" i="73"/>
  <c r="P72" i="73"/>
  <c r="O20" i="74"/>
  <c r="W28" i="74"/>
  <c r="AB20" i="75"/>
  <c r="AZ20" i="75"/>
  <c r="AM51" i="75"/>
  <c r="Q20" i="76"/>
  <c r="AM20" i="76"/>
  <c r="AB33" i="76"/>
  <c r="AG37" i="76"/>
  <c r="AG38" i="76"/>
  <c r="AG329" i="76" s="1"/>
  <c r="AE51" i="76"/>
  <c r="AP52" i="76"/>
  <c r="BB60" i="76"/>
  <c r="AD67" i="76"/>
  <c r="AM72" i="76"/>
  <c r="AH33" i="72"/>
  <c r="Q37" i="72"/>
  <c r="AH51" i="72"/>
  <c r="BC20" i="73"/>
  <c r="W29" i="73"/>
  <c r="W313" i="73" s="1"/>
  <c r="BF37" i="73"/>
  <c r="AC52" i="73"/>
  <c r="Q72" i="73"/>
  <c r="AC52" i="74"/>
  <c r="AE20" i="75"/>
  <c r="BA20" i="75"/>
  <c r="AM33" i="75"/>
  <c r="AE37" i="75"/>
  <c r="AU51" i="75"/>
  <c r="T20" i="76"/>
  <c r="AP20" i="76"/>
  <c r="AZ29" i="76"/>
  <c r="AZ304" i="76" s="1"/>
  <c r="AP37" i="76"/>
  <c r="AZ52" i="76"/>
  <c r="BB67" i="76"/>
  <c r="W37" i="72"/>
  <c r="O20" i="73"/>
  <c r="AH20" i="73"/>
  <c r="BD20" i="73"/>
  <c r="Y22" i="73"/>
  <c r="AF52" i="75"/>
  <c r="AQ19" i="75"/>
  <c r="AQ25" i="75" s="1"/>
  <c r="AF20" i="75"/>
  <c r="BC20" i="75"/>
  <c r="V29" i="75"/>
  <c r="V313" i="75" s="1"/>
  <c r="AU33" i="75"/>
  <c r="AU37" i="75"/>
  <c r="AA52" i="75"/>
  <c r="V20" i="76"/>
  <c r="AR20" i="76"/>
  <c r="BD29" i="76"/>
  <c r="BD30" i="76" s="1"/>
  <c r="AM33" i="76"/>
  <c r="AR37" i="76"/>
  <c r="AR38" i="76"/>
  <c r="AR54" i="76" s="1"/>
  <c r="P53" i="76"/>
  <c r="O20" i="72"/>
  <c r="BD20" i="72"/>
  <c r="AS33" i="72"/>
  <c r="AS51" i="72"/>
  <c r="AA52" i="72"/>
  <c r="P20" i="72"/>
  <c r="AI20" i="72"/>
  <c r="AK22" i="72"/>
  <c r="AA29" i="72"/>
  <c r="AA30" i="72" s="1"/>
  <c r="AS37" i="72"/>
  <c r="AM52" i="72"/>
  <c r="P20" i="73"/>
  <c r="AI20" i="73"/>
  <c r="AH29" i="73"/>
  <c r="BF72" i="73"/>
  <c r="AG20" i="75"/>
  <c r="AZ52" i="75"/>
  <c r="R19" i="76"/>
  <c r="W20" i="76"/>
  <c r="AS20" i="76"/>
  <c r="BF29" i="76"/>
  <c r="BF306" i="76" s="1"/>
  <c r="AS33" i="76"/>
  <c r="BA37" i="76"/>
  <c r="AT38" i="76"/>
  <c r="AT55" i="76" s="1"/>
  <c r="AR51" i="76"/>
  <c r="W53" i="76"/>
  <c r="Q20" i="73"/>
  <c r="AM20" i="73"/>
  <c r="AU53" i="73"/>
  <c r="AA19" i="75"/>
  <c r="AA63" i="75" s="1"/>
  <c r="S21" i="75"/>
  <c r="AD29" i="75"/>
  <c r="AD30" i="75" s="1"/>
  <c r="AD38" i="75"/>
  <c r="AE53" i="75"/>
  <c r="AF60" i="75"/>
  <c r="AI55" i="76"/>
  <c r="AB20" i="76"/>
  <c r="AU20" i="76"/>
  <c r="T29" i="76"/>
  <c r="T317" i="76" s="1"/>
  <c r="AU33" i="76"/>
  <c r="BC37" i="76"/>
  <c r="BC38" i="76"/>
  <c r="BC55" i="76" s="1"/>
  <c r="BA51" i="76"/>
  <c r="AB53" i="76"/>
  <c r="AR33" i="74"/>
  <c r="Q20" i="72"/>
  <c r="AM20" i="72"/>
  <c r="BF20" i="72"/>
  <c r="BD67" i="72"/>
  <c r="R20" i="72"/>
  <c r="AN20" i="72"/>
  <c r="BG20" i="72"/>
  <c r="AM29" i="72"/>
  <c r="AM30" i="72" s="1"/>
  <c r="W38" i="72"/>
  <c r="O60" i="72"/>
  <c r="AS29" i="73"/>
  <c r="AS30" i="73" s="1"/>
  <c r="W51" i="73"/>
  <c r="AY53" i="73"/>
  <c r="AI69" i="73"/>
  <c r="AM29" i="74"/>
  <c r="AO20" i="75"/>
  <c r="U21" i="75"/>
  <c r="AW22" i="75"/>
  <c r="AF38" i="75"/>
  <c r="AE20" i="76"/>
  <c r="BA20" i="76"/>
  <c r="V29" i="76"/>
  <c r="V30" i="76" s="1"/>
  <c r="O33" i="76"/>
  <c r="BD33" i="76"/>
  <c r="T37" i="76"/>
  <c r="P38" i="76"/>
  <c r="P54" i="76" s="1"/>
  <c r="BE38" i="76"/>
  <c r="BE64" i="76" s="1"/>
  <c r="BC51" i="76"/>
  <c r="AU53" i="76"/>
  <c r="BD65" i="76"/>
  <c r="BD69" i="76"/>
  <c r="AS20" i="73"/>
  <c r="AU29" i="73"/>
  <c r="AU30" i="73" s="1"/>
  <c r="AU51" i="73"/>
  <c r="BC20" i="74"/>
  <c r="AB65" i="75"/>
  <c r="AM52" i="75"/>
  <c r="AQ20" i="75"/>
  <c r="AQ29" i="75"/>
  <c r="AQ68" i="75" s="1"/>
  <c r="AG20" i="76"/>
  <c r="BC20" i="76"/>
  <c r="AB29" i="76"/>
  <c r="AB30" i="76" s="1"/>
  <c r="Q33" i="76"/>
  <c r="BF33" i="76"/>
  <c r="V37" i="76"/>
  <c r="V38" i="76"/>
  <c r="V62" i="76" s="1"/>
  <c r="T51" i="76"/>
  <c r="R368" i="76"/>
  <c r="R61" i="76"/>
  <c r="R24" i="76"/>
  <c r="R26" i="76" s="1"/>
  <c r="R334" i="76" s="1"/>
  <c r="R63" i="76"/>
  <c r="R25" i="76"/>
  <c r="T367" i="76"/>
  <c r="T284" i="76"/>
  <c r="T285" i="76"/>
  <c r="M71" i="76"/>
  <c r="AE239" i="76"/>
  <c r="AE228" i="76"/>
  <c r="AE189" i="76"/>
  <c r="AE193" i="76"/>
  <c r="AE179" i="76"/>
  <c r="AE204" i="76"/>
  <c r="AE185" i="76"/>
  <c r="AE172" i="76"/>
  <c r="AE165" i="76"/>
  <c r="AE232" i="76"/>
  <c r="AE199" i="76"/>
  <c r="AE175" i="76"/>
  <c r="AE76" i="76"/>
  <c r="AO250" i="76"/>
  <c r="AO232" i="76"/>
  <c r="AO262" i="76"/>
  <c r="AO239" i="76"/>
  <c r="AO228" i="76"/>
  <c r="AO221" i="76"/>
  <c r="AO199" i="76"/>
  <c r="AO175" i="76"/>
  <c r="AO215" i="76"/>
  <c r="AO158" i="76"/>
  <c r="AO189" i="76"/>
  <c r="AO193" i="76"/>
  <c r="AO185" i="76"/>
  <c r="AO179" i="76"/>
  <c r="AO204" i="76"/>
  <c r="AO211" i="76"/>
  <c r="AO152" i="76"/>
  <c r="AO92" i="76"/>
  <c r="AO139" i="76"/>
  <c r="AO82" i="76"/>
  <c r="AO76" i="76"/>
  <c r="AO148" i="76"/>
  <c r="AO121" i="76"/>
  <c r="AO107" i="76"/>
  <c r="AO103" i="76"/>
  <c r="AO172" i="76"/>
  <c r="AO117" i="76"/>
  <c r="AO96" i="76"/>
  <c r="AO89" i="76"/>
  <c r="AO131" i="76"/>
  <c r="AO165" i="76"/>
  <c r="AO127" i="76"/>
  <c r="AO85" i="76"/>
  <c r="AY228" i="76"/>
  <c r="AY262" i="76"/>
  <c r="AY239" i="76"/>
  <c r="AY250" i="76"/>
  <c r="AY158" i="76"/>
  <c r="AY199" i="76"/>
  <c r="AY175" i="76"/>
  <c r="AY211" i="76"/>
  <c r="AY189" i="76"/>
  <c r="AY185" i="76"/>
  <c r="AY193" i="76"/>
  <c r="AY179" i="76"/>
  <c r="AY221" i="76"/>
  <c r="AY204" i="76"/>
  <c r="AY148" i="76"/>
  <c r="AY139" i="76"/>
  <c r="AY82" i="76"/>
  <c r="AY232" i="76"/>
  <c r="AY121" i="76"/>
  <c r="AY107" i="76"/>
  <c r="AY103" i="76"/>
  <c r="AY76" i="76"/>
  <c r="AY172" i="76"/>
  <c r="AY117" i="76"/>
  <c r="AY96" i="76"/>
  <c r="AY89" i="76"/>
  <c r="AY215" i="76"/>
  <c r="AY152" i="76"/>
  <c r="AY131" i="76"/>
  <c r="AY165" i="76"/>
  <c r="AY127" i="76"/>
  <c r="AY85" i="76"/>
  <c r="AY92" i="76"/>
  <c r="BG228" i="76"/>
  <c r="BG239" i="76"/>
  <c r="BG211" i="76"/>
  <c r="BG232" i="76"/>
  <c r="BG221" i="76"/>
  <c r="BG199" i="76"/>
  <c r="BG215" i="76"/>
  <c r="BG185" i="76"/>
  <c r="BG189" i="76"/>
  <c r="BG193" i="76"/>
  <c r="BG250" i="76"/>
  <c r="BG204" i="76"/>
  <c r="BG76" i="76"/>
  <c r="AC368" i="76"/>
  <c r="AC61" i="76"/>
  <c r="AC63" i="76"/>
  <c r="AC24" i="76"/>
  <c r="AC25" i="76"/>
  <c r="AN368" i="76"/>
  <c r="AN61" i="76"/>
  <c r="AN63" i="76"/>
  <c r="AN25" i="76"/>
  <c r="AN24" i="76"/>
  <c r="R358" i="76"/>
  <c r="R364" i="76"/>
  <c r="R344" i="76"/>
  <c r="R354" i="76"/>
  <c r="R316" i="76"/>
  <c r="R338" i="76"/>
  <c r="R323" i="76"/>
  <c r="R321" i="76"/>
  <c r="R335" i="76"/>
  <c r="R332" i="76"/>
  <c r="R312" i="76"/>
  <c r="R314" i="76"/>
  <c r="R327" i="76"/>
  <c r="R293" i="76"/>
  <c r="R303" i="76"/>
  <c r="R291" i="76"/>
  <c r="R269" i="76"/>
  <c r="R270" i="76"/>
  <c r="R268" i="76"/>
  <c r="R297" i="76"/>
  <c r="R305" i="76"/>
  <c r="R281" i="76"/>
  <c r="R72" i="76"/>
  <c r="R274" i="76"/>
  <c r="R70" i="76"/>
  <c r="R60" i="76"/>
  <c r="R67" i="76"/>
  <c r="R51" i="76"/>
  <c r="R37" i="76"/>
  <c r="R29" i="76"/>
  <c r="R30" i="76" s="1"/>
  <c r="R66" i="76"/>
  <c r="R69" i="76"/>
  <c r="R52" i="76"/>
  <c r="R20" i="76"/>
  <c r="R53" i="76"/>
  <c r="R38" i="76"/>
  <c r="R55" i="76" s="1"/>
  <c r="R33" i="76"/>
  <c r="R28" i="76"/>
  <c r="AC358" i="76"/>
  <c r="AC364" i="76"/>
  <c r="AC354" i="76"/>
  <c r="AC344" i="76"/>
  <c r="AC335" i="76"/>
  <c r="AC332" i="76"/>
  <c r="AC316" i="76"/>
  <c r="AC323" i="76"/>
  <c r="AC321" i="76"/>
  <c r="AC312" i="76"/>
  <c r="AC338" i="76"/>
  <c r="AC327" i="76"/>
  <c r="AC314" i="76"/>
  <c r="AC305" i="76"/>
  <c r="AC293" i="76"/>
  <c r="AC303" i="76"/>
  <c r="AC291" i="76"/>
  <c r="AC269" i="76"/>
  <c r="AC297" i="76"/>
  <c r="AC270" i="76"/>
  <c r="AC268" i="76"/>
  <c r="AC281" i="76"/>
  <c r="AC274" i="76"/>
  <c r="AC72" i="76"/>
  <c r="AC69" i="76"/>
  <c r="AC70" i="76"/>
  <c r="AC67" i="76"/>
  <c r="AC60" i="76"/>
  <c r="AC66" i="76"/>
  <c r="AC29" i="76"/>
  <c r="AC310" i="76" s="1"/>
  <c r="AC51" i="76"/>
  <c r="AC37" i="76"/>
  <c r="AC52" i="76"/>
  <c r="AC20" i="76"/>
  <c r="AC38" i="76"/>
  <c r="AC53" i="76"/>
  <c r="AC33" i="76"/>
  <c r="AN358" i="76"/>
  <c r="AN364" i="76"/>
  <c r="AN354" i="76"/>
  <c r="AN335" i="76"/>
  <c r="AN332" i="76"/>
  <c r="AN316" i="76"/>
  <c r="AN323" i="76"/>
  <c r="AN321" i="76"/>
  <c r="AN344" i="76"/>
  <c r="AN338" i="76"/>
  <c r="AN327" i="76"/>
  <c r="AN312" i="76"/>
  <c r="AN314" i="76"/>
  <c r="AN293" i="76"/>
  <c r="AN305" i="76"/>
  <c r="AN303" i="76"/>
  <c r="AN291" i="76"/>
  <c r="AN269" i="76"/>
  <c r="AN297" i="76"/>
  <c r="AN270" i="76"/>
  <c r="AN268" i="76"/>
  <c r="AN281" i="76"/>
  <c r="AN274" i="76"/>
  <c r="AN72" i="76"/>
  <c r="AN70" i="76"/>
  <c r="AN60" i="76"/>
  <c r="AN66" i="76"/>
  <c r="AN53" i="76"/>
  <c r="AN52" i="76"/>
  <c r="AN51" i="76"/>
  <c r="AN37" i="76"/>
  <c r="AN20" i="76"/>
  <c r="AN69" i="76"/>
  <c r="AN67" i="76"/>
  <c r="AN38" i="76"/>
  <c r="AN329" i="76" s="1"/>
  <c r="AN29" i="76"/>
  <c r="AN317" i="76" s="1"/>
  <c r="AN33" i="76"/>
  <c r="AY358" i="76"/>
  <c r="AY364" i="76"/>
  <c r="AY354" i="76"/>
  <c r="AY344" i="76"/>
  <c r="AY316" i="76"/>
  <c r="AY338" i="76"/>
  <c r="AY335" i="76"/>
  <c r="AY332" i="76"/>
  <c r="AY323" i="76"/>
  <c r="AY321" i="76"/>
  <c r="AY327" i="76"/>
  <c r="AY312" i="76"/>
  <c r="AY314" i="76"/>
  <c r="AY293" i="76"/>
  <c r="AY305" i="76"/>
  <c r="AY303" i="76"/>
  <c r="AY291" i="76"/>
  <c r="AY269" i="76"/>
  <c r="AY270" i="76"/>
  <c r="AY268" i="76"/>
  <c r="AY281" i="76"/>
  <c r="AY297" i="76"/>
  <c r="AY274" i="76"/>
  <c r="AY72" i="76"/>
  <c r="AY70" i="76"/>
  <c r="AY67" i="76"/>
  <c r="AY60" i="76"/>
  <c r="AY69" i="76"/>
  <c r="AY53" i="76"/>
  <c r="AY52" i="76"/>
  <c r="AY51" i="76"/>
  <c r="AY37" i="76"/>
  <c r="AY20" i="76"/>
  <c r="AY38" i="76"/>
  <c r="AY329" i="76" s="1"/>
  <c r="AY33" i="76"/>
  <c r="AY29" i="76"/>
  <c r="AY307" i="76" s="1"/>
  <c r="BG358" i="76"/>
  <c r="BG364" i="76"/>
  <c r="BG354" i="76"/>
  <c r="BG338" i="76"/>
  <c r="BG316" i="76"/>
  <c r="BG344" i="76"/>
  <c r="BG323" i="76"/>
  <c r="BG321" i="76"/>
  <c r="BG332" i="76"/>
  <c r="BG335" i="76"/>
  <c r="BG312" i="76"/>
  <c r="BG327" i="76"/>
  <c r="BG314" i="76"/>
  <c r="BG293" i="76"/>
  <c r="BG305" i="76"/>
  <c r="BG291" i="76"/>
  <c r="BG303" i="76"/>
  <c r="BG269" i="76"/>
  <c r="BG270" i="76"/>
  <c r="BG268" i="76"/>
  <c r="BG297" i="76"/>
  <c r="BG281" i="76"/>
  <c r="BG274" i="76"/>
  <c r="BG72" i="76"/>
  <c r="BG70" i="76"/>
  <c r="BG67" i="76"/>
  <c r="BG66" i="76"/>
  <c r="BG60" i="76"/>
  <c r="BG69" i="76"/>
  <c r="BG53" i="76"/>
  <c r="BG52" i="76"/>
  <c r="BG51" i="76"/>
  <c r="BG37" i="76"/>
  <c r="BG20" i="76"/>
  <c r="BG38" i="76"/>
  <c r="BG33" i="76"/>
  <c r="BG29" i="76"/>
  <c r="BG315" i="76" s="1"/>
  <c r="AY19" i="76"/>
  <c r="AY66" i="76" s="1"/>
  <c r="BG368" i="76"/>
  <c r="BG61" i="76"/>
  <c r="BG63" i="76"/>
  <c r="BG25" i="76"/>
  <c r="BG24" i="76"/>
  <c r="BG26" i="76" s="1"/>
  <c r="BG334" i="76" s="1"/>
  <c r="AW22" i="76"/>
  <c r="AD65" i="76"/>
  <c r="AN242" i="76"/>
  <c r="AN243" i="76" s="1"/>
  <c r="AN141" i="76"/>
  <c r="AZ63" i="75"/>
  <c r="Q143" i="75"/>
  <c r="J238" i="76"/>
  <c r="J261" i="76"/>
  <c r="J184" i="76"/>
  <c r="J164" i="76"/>
  <c r="J273" i="76"/>
  <c r="J249" i="76"/>
  <c r="J138" i="76"/>
  <c r="J227" i="76"/>
  <c r="J76" i="76"/>
  <c r="J102" i="76"/>
  <c r="AF232" i="76"/>
  <c r="AF179" i="76"/>
  <c r="AF185" i="76"/>
  <c r="AF172" i="76"/>
  <c r="AF165" i="76"/>
  <c r="AF239" i="76"/>
  <c r="AF228" i="76"/>
  <c r="AF175" i="76"/>
  <c r="AP239" i="76"/>
  <c r="AP228" i="76"/>
  <c r="AP189" i="76"/>
  <c r="AP232" i="76"/>
  <c r="AP193" i="76"/>
  <c r="AP185" i="76"/>
  <c r="AP179" i="76"/>
  <c r="AP204" i="76"/>
  <c r="AP172" i="76"/>
  <c r="AP165" i="76"/>
  <c r="AP199" i="76"/>
  <c r="AP175" i="76"/>
  <c r="AZ232" i="76"/>
  <c r="AZ250" i="76"/>
  <c r="AZ262" i="76"/>
  <c r="AZ199" i="76"/>
  <c r="AZ175" i="76"/>
  <c r="AZ211" i="76"/>
  <c r="AZ189" i="76"/>
  <c r="AZ185" i="76"/>
  <c r="AZ239" i="76"/>
  <c r="AZ228" i="76"/>
  <c r="AZ193" i="76"/>
  <c r="AZ179" i="76"/>
  <c r="AZ152" i="76"/>
  <c r="AZ221" i="76"/>
  <c r="AZ204" i="76"/>
  <c r="AZ215" i="76"/>
  <c r="AZ172" i="76"/>
  <c r="AZ165" i="76"/>
  <c r="AZ121" i="76"/>
  <c r="AZ107" i="76"/>
  <c r="AZ103" i="76"/>
  <c r="AZ148" i="76"/>
  <c r="AZ117" i="76"/>
  <c r="AZ96" i="76"/>
  <c r="AZ89" i="76"/>
  <c r="AZ131" i="76"/>
  <c r="AZ127" i="76"/>
  <c r="AZ85" i="76"/>
  <c r="AZ92" i="76"/>
  <c r="S354" i="76"/>
  <c r="S364" i="76"/>
  <c r="S358" i="76"/>
  <c r="S335" i="76"/>
  <c r="S344" i="76"/>
  <c r="S338" i="76"/>
  <c r="S332" i="76"/>
  <c r="S327" i="76"/>
  <c r="S321" i="76"/>
  <c r="S316" i="76"/>
  <c r="S314" i="76"/>
  <c r="S323" i="76"/>
  <c r="S297" i="76"/>
  <c r="S303" i="76"/>
  <c r="S291" i="76"/>
  <c r="S312" i="76"/>
  <c r="S305" i="76"/>
  <c r="S274" i="76"/>
  <c r="S281" i="76"/>
  <c r="S293" i="76"/>
  <c r="S269" i="76"/>
  <c r="S270" i="76"/>
  <c r="S69" i="76"/>
  <c r="S67" i="76"/>
  <c r="S268" i="76"/>
  <c r="AD354" i="76"/>
  <c r="AD364" i="76"/>
  <c r="AD358" i="76"/>
  <c r="AD335" i="76"/>
  <c r="AD344" i="76"/>
  <c r="AD338" i="76"/>
  <c r="AD332" i="76"/>
  <c r="AD330" i="76"/>
  <c r="AD327" i="76"/>
  <c r="AD314" i="76"/>
  <c r="AD321" i="76"/>
  <c r="AD297" i="76"/>
  <c r="AD303" i="76"/>
  <c r="AD316" i="76"/>
  <c r="AD312" i="76"/>
  <c r="AD291" i="76"/>
  <c r="AD274" i="76"/>
  <c r="AD293" i="76"/>
  <c r="AD323" i="76"/>
  <c r="AD305" i="76"/>
  <c r="AD281" i="76"/>
  <c r="AD270" i="76"/>
  <c r="AD268" i="76"/>
  <c r="AD269" i="76"/>
  <c r="AO354" i="76"/>
  <c r="AO364" i="76"/>
  <c r="AO358" i="76"/>
  <c r="AO335" i="76"/>
  <c r="AO344" i="76"/>
  <c r="AO338" i="76"/>
  <c r="AO332" i="76"/>
  <c r="AO327" i="76"/>
  <c r="AO323" i="76"/>
  <c r="AO314" i="76"/>
  <c r="AO312" i="76"/>
  <c r="AO305" i="76"/>
  <c r="AO297" i="76"/>
  <c r="AO316" i="76"/>
  <c r="AO303" i="76"/>
  <c r="AO291" i="76"/>
  <c r="AO321" i="76"/>
  <c r="AO293" i="76"/>
  <c r="AO274" i="76"/>
  <c r="AO281" i="76"/>
  <c r="AO268" i="76"/>
  <c r="AO269" i="76"/>
  <c r="AO270" i="76"/>
  <c r="AO67" i="76"/>
  <c r="AO69" i="76"/>
  <c r="AZ354" i="76"/>
  <c r="AZ364" i="76"/>
  <c r="AZ358" i="76"/>
  <c r="AZ335" i="76"/>
  <c r="AZ338" i="76"/>
  <c r="AZ332" i="76"/>
  <c r="AZ327" i="76"/>
  <c r="AZ344" i="76"/>
  <c r="AZ309" i="76"/>
  <c r="AZ321" i="76"/>
  <c r="AZ316" i="76"/>
  <c r="AZ314" i="76"/>
  <c r="AZ297" i="76"/>
  <c r="AZ305" i="76"/>
  <c r="AZ323" i="76"/>
  <c r="AZ303" i="76"/>
  <c r="AZ291" i="76"/>
  <c r="AZ312" i="76"/>
  <c r="AZ274" i="76"/>
  <c r="AZ293" i="76"/>
  <c r="AZ281" i="76"/>
  <c r="AZ269" i="76"/>
  <c r="AZ270" i="76"/>
  <c r="AZ268" i="76"/>
  <c r="AZ69" i="76"/>
  <c r="S19" i="76"/>
  <c r="S66" i="76" s="1"/>
  <c r="AD19" i="76"/>
  <c r="AO19" i="76"/>
  <c r="AO66" i="76" s="1"/>
  <c r="AZ19" i="76"/>
  <c r="AZ66" i="76" s="1"/>
  <c r="S21" i="76"/>
  <c r="U367" i="76"/>
  <c r="U284" i="76"/>
  <c r="U285" i="76"/>
  <c r="AE367" i="76"/>
  <c r="AE284" i="76"/>
  <c r="AE282" i="76"/>
  <c r="AE285" i="76"/>
  <c r="AO367" i="76"/>
  <c r="AO284" i="76"/>
  <c r="AO282" i="76"/>
  <c r="AO285" i="76"/>
  <c r="AY367" i="76"/>
  <c r="AY284" i="76"/>
  <c r="AY282" i="76"/>
  <c r="AY285" i="76"/>
  <c r="BG78" i="76"/>
  <c r="BG186" i="76" s="1"/>
  <c r="BF78" i="76"/>
  <c r="BF169" i="76" s="1"/>
  <c r="BF178" i="76" s="1"/>
  <c r="AW73" i="76"/>
  <c r="BG257" i="76" s="1"/>
  <c r="AW71" i="76"/>
  <c r="BG367" i="76"/>
  <c r="BG284" i="76"/>
  <c r="BG282" i="76"/>
  <c r="BG285" i="76"/>
  <c r="S28" i="76"/>
  <c r="U29" i="76"/>
  <c r="U30" i="76" s="1"/>
  <c r="AO29" i="76"/>
  <c r="AO30" i="76" s="1"/>
  <c r="AW36" i="76"/>
  <c r="U37" i="76"/>
  <c r="AF37" i="76"/>
  <c r="AQ37" i="76"/>
  <c r="BB37" i="76"/>
  <c r="Q38" i="76"/>
  <c r="Q55" i="76" s="1"/>
  <c r="AB38" i="76"/>
  <c r="AB55" i="76" s="1"/>
  <c r="AM38" i="76"/>
  <c r="AM55" i="76" s="1"/>
  <c r="AU38" i="76"/>
  <c r="AU64" i="76" s="1"/>
  <c r="BF38" i="76"/>
  <c r="BF64" i="76" s="1"/>
  <c r="U51" i="76"/>
  <c r="AF51" i="76"/>
  <c r="AQ51" i="76"/>
  <c r="BB51" i="76"/>
  <c r="O52" i="76"/>
  <c r="W52" i="76"/>
  <c r="AG52" i="76"/>
  <c r="AQ52" i="76"/>
  <c r="BA52" i="76"/>
  <c r="Q53" i="76"/>
  <c r="AO53" i="76"/>
  <c r="AK59" i="76"/>
  <c r="AO60" i="76"/>
  <c r="BD60" i="76"/>
  <c r="AF67" i="76"/>
  <c r="BF67" i="76"/>
  <c r="AH69" i="76"/>
  <c r="BF69" i="76"/>
  <c r="AO70" i="76"/>
  <c r="O72" i="76"/>
  <c r="AO72" i="76"/>
  <c r="AB240" i="76"/>
  <c r="AB122" i="76"/>
  <c r="AB118" i="76"/>
  <c r="AB128" i="76"/>
  <c r="AN367" i="76"/>
  <c r="AN284" i="76"/>
  <c r="AN282" i="76"/>
  <c r="AN285" i="76"/>
  <c r="M267" i="76"/>
  <c r="M273" i="76"/>
  <c r="M249" i="76"/>
  <c r="M261" i="76"/>
  <c r="M238" i="76"/>
  <c r="M227" i="76"/>
  <c r="M138" i="76"/>
  <c r="M102" i="76"/>
  <c r="M184" i="76"/>
  <c r="M81" i="76"/>
  <c r="AG239" i="76"/>
  <c r="AG228" i="76"/>
  <c r="AG193" i="76"/>
  <c r="AG185" i="76"/>
  <c r="AG204" i="76"/>
  <c r="AG172" i="76"/>
  <c r="AG165" i="76"/>
  <c r="AG175" i="76"/>
  <c r="AG232" i="76"/>
  <c r="AG199" i="76"/>
  <c r="AG179" i="76"/>
  <c r="AG76" i="76"/>
  <c r="AG189" i="76"/>
  <c r="AQ232" i="76"/>
  <c r="AQ189" i="76"/>
  <c r="AQ193" i="76"/>
  <c r="AQ185" i="76"/>
  <c r="AQ179" i="76"/>
  <c r="AQ204" i="76"/>
  <c r="AQ172" i="76"/>
  <c r="AQ165" i="76"/>
  <c r="AQ199" i="76"/>
  <c r="AQ175" i="76"/>
  <c r="AQ76" i="76"/>
  <c r="AQ228" i="76"/>
  <c r="AQ239" i="76"/>
  <c r="BA262" i="76"/>
  <c r="BA239" i="76"/>
  <c r="BA250" i="76"/>
  <c r="BA228" i="76"/>
  <c r="BA199" i="76"/>
  <c r="BA175" i="76"/>
  <c r="BA211" i="76"/>
  <c r="BA189" i="76"/>
  <c r="BA185" i="76"/>
  <c r="BA193" i="76"/>
  <c r="BA179" i="76"/>
  <c r="BA152" i="76"/>
  <c r="BA221" i="76"/>
  <c r="BA204" i="76"/>
  <c r="BA148" i="76"/>
  <c r="BA215" i="76"/>
  <c r="BA232" i="76"/>
  <c r="BA158" i="76"/>
  <c r="BA121" i="76"/>
  <c r="BA107" i="76"/>
  <c r="BA103" i="76"/>
  <c r="BA76" i="76"/>
  <c r="BA117" i="76"/>
  <c r="BA96" i="76"/>
  <c r="BA89" i="76"/>
  <c r="BA172" i="76"/>
  <c r="BA131" i="76"/>
  <c r="BA127" i="76"/>
  <c r="BA165" i="76"/>
  <c r="BA85" i="76"/>
  <c r="BA92" i="76"/>
  <c r="BA139" i="76"/>
  <c r="BA82" i="76"/>
  <c r="T358" i="76"/>
  <c r="T364" i="76"/>
  <c r="T344" i="76"/>
  <c r="T338" i="76"/>
  <c r="T332" i="76"/>
  <c r="T354" i="76"/>
  <c r="T323" i="76"/>
  <c r="T321" i="76"/>
  <c r="T335" i="76"/>
  <c r="T327" i="76"/>
  <c r="T303" i="76"/>
  <c r="T316" i="76"/>
  <c r="T308" i="76"/>
  <c r="T314" i="76"/>
  <c r="T312" i="76"/>
  <c r="T305" i="76"/>
  <c r="T293" i="76"/>
  <c r="T274" i="76"/>
  <c r="T291" i="76"/>
  <c r="T270" i="76"/>
  <c r="T268" i="76"/>
  <c r="T297" i="76"/>
  <c r="T281" i="76"/>
  <c r="T269" i="76"/>
  <c r="T70" i="76"/>
  <c r="T72" i="76"/>
  <c r="AE358" i="76"/>
  <c r="AE354" i="76"/>
  <c r="AE344" i="76"/>
  <c r="AE364" i="76"/>
  <c r="AE338" i="76"/>
  <c r="AE332" i="76"/>
  <c r="AE330" i="76"/>
  <c r="AE323" i="76"/>
  <c r="AE321" i="76"/>
  <c r="AE310" i="76"/>
  <c r="AE303" i="76"/>
  <c r="AE307" i="76"/>
  <c r="AE335" i="76"/>
  <c r="AE314" i="76"/>
  <c r="AE327" i="76"/>
  <c r="AE315" i="76"/>
  <c r="AE317" i="76"/>
  <c r="AE316" i="76"/>
  <c r="AE311" i="76"/>
  <c r="AE312" i="76"/>
  <c r="AE308" i="76"/>
  <c r="AE313" i="76"/>
  <c r="AE306" i="76"/>
  <c r="AE309" i="76"/>
  <c r="AE305" i="76"/>
  <c r="AE293" i="76"/>
  <c r="AE304" i="76"/>
  <c r="AE274" i="76"/>
  <c r="AE297" i="76"/>
  <c r="AE270" i="76"/>
  <c r="AE268" i="76"/>
  <c r="AE281" i="76"/>
  <c r="AE322" i="76"/>
  <c r="AE291" i="76"/>
  <c r="AE269" i="76"/>
  <c r="AE70" i="76"/>
  <c r="AE67" i="76"/>
  <c r="AE72" i="76"/>
  <c r="AE69" i="76"/>
  <c r="AE65" i="76"/>
  <c r="AP358" i="76"/>
  <c r="AP344" i="76"/>
  <c r="AP364" i="76"/>
  <c r="AP354" i="76"/>
  <c r="AP338" i="76"/>
  <c r="AP332" i="76"/>
  <c r="AP323" i="76"/>
  <c r="AP321" i="76"/>
  <c r="AP303" i="76"/>
  <c r="AP335" i="76"/>
  <c r="AP314" i="76"/>
  <c r="AP316" i="76"/>
  <c r="AP327" i="76"/>
  <c r="AP293" i="76"/>
  <c r="AP297" i="76"/>
  <c r="AP312" i="76"/>
  <c r="AP274" i="76"/>
  <c r="AP291" i="76"/>
  <c r="AP270" i="76"/>
  <c r="AP268" i="76"/>
  <c r="AP305" i="76"/>
  <c r="AP281" i="76"/>
  <c r="AP269" i="76"/>
  <c r="AP70" i="76"/>
  <c r="AP69" i="76"/>
  <c r="AP72" i="76"/>
  <c r="BA358" i="76"/>
  <c r="BA354" i="76"/>
  <c r="BA364" i="76"/>
  <c r="BA344" i="76"/>
  <c r="BA338" i="76"/>
  <c r="BA332" i="76"/>
  <c r="BA323" i="76"/>
  <c r="BA321" i="76"/>
  <c r="BA335" i="76"/>
  <c r="BA303" i="76"/>
  <c r="BA316" i="76"/>
  <c r="BA314" i="76"/>
  <c r="BA305" i="76"/>
  <c r="BA327" i="76"/>
  <c r="BA312" i="76"/>
  <c r="BA293" i="76"/>
  <c r="BA274" i="76"/>
  <c r="BA270" i="76"/>
  <c r="BA268" i="76"/>
  <c r="BA281" i="76"/>
  <c r="BA297" i="76"/>
  <c r="BA291" i="76"/>
  <c r="BA269" i="76"/>
  <c r="BA70" i="76"/>
  <c r="BA67" i="76"/>
  <c r="BA69" i="76"/>
  <c r="BA72" i="76"/>
  <c r="T19" i="76"/>
  <c r="AE19" i="76"/>
  <c r="AE66" i="76" s="1"/>
  <c r="AP19" i="76"/>
  <c r="BA19" i="76"/>
  <c r="BA66" i="76" s="1"/>
  <c r="P20" i="76"/>
  <c r="AA20" i="76"/>
  <c r="AI20" i="76"/>
  <c r="AT20" i="76"/>
  <c r="BE20" i="76"/>
  <c r="T21" i="76"/>
  <c r="M22" i="76"/>
  <c r="V367" i="76"/>
  <c r="V285" i="76"/>
  <c r="V284" i="76"/>
  <c r="AF367" i="76"/>
  <c r="AF285" i="76"/>
  <c r="AF282" i="76"/>
  <c r="AF284" i="76"/>
  <c r="AP367" i="76"/>
  <c r="AP285" i="76"/>
  <c r="AP284" i="76"/>
  <c r="AP282" i="76"/>
  <c r="AZ367" i="76"/>
  <c r="AZ285" i="76"/>
  <c r="AZ284" i="76"/>
  <c r="AZ282" i="76"/>
  <c r="T28" i="76"/>
  <c r="AP29" i="76"/>
  <c r="AP330" i="76" s="1"/>
  <c r="S33" i="76"/>
  <c r="AD33" i="76"/>
  <c r="AO33" i="76"/>
  <c r="AZ33" i="76"/>
  <c r="P52" i="76"/>
  <c r="AH52" i="76"/>
  <c r="AR52" i="76"/>
  <c r="AD53" i="76"/>
  <c r="AP53" i="76"/>
  <c r="BC53" i="76"/>
  <c r="BC54" i="76"/>
  <c r="AR55" i="76"/>
  <c r="W60" i="76"/>
  <c r="AP60" i="76"/>
  <c r="BF60" i="76"/>
  <c r="AA62" i="76"/>
  <c r="AR62" i="76"/>
  <c r="AH67" i="76"/>
  <c r="Q70" i="76"/>
  <c r="Q72" i="76"/>
  <c r="AS72" i="76"/>
  <c r="AC89" i="76"/>
  <c r="P242" i="76"/>
  <c r="P243" i="76" s="1"/>
  <c r="AM165" i="76"/>
  <c r="BF367" i="76"/>
  <c r="BF285" i="76"/>
  <c r="BF284" i="76"/>
  <c r="BF282" i="76"/>
  <c r="AA122" i="74"/>
  <c r="Y249" i="76"/>
  <c r="Y273" i="76"/>
  <c r="Y267" i="76"/>
  <c r="Y261" i="76"/>
  <c r="Y238" i="76"/>
  <c r="Y227" i="76"/>
  <c r="Y184" i="76"/>
  <c r="Y102" i="76"/>
  <c r="Y164" i="76"/>
  <c r="Y138" i="76"/>
  <c r="AH232" i="76"/>
  <c r="AH204" i="76"/>
  <c r="AH172" i="76"/>
  <c r="AH165" i="76"/>
  <c r="AH239" i="76"/>
  <c r="AH228" i="76"/>
  <c r="AH175" i="76"/>
  <c r="AH199" i="76"/>
  <c r="AH189" i="76"/>
  <c r="AH179" i="76"/>
  <c r="AH193" i="76"/>
  <c r="AR239" i="76"/>
  <c r="AR228" i="76"/>
  <c r="AR185" i="76"/>
  <c r="AR179" i="76"/>
  <c r="AR232" i="76"/>
  <c r="AR172" i="76"/>
  <c r="AR165" i="76"/>
  <c r="AR175" i="76"/>
  <c r="BB232" i="76"/>
  <c r="BB189" i="76"/>
  <c r="BB185" i="76"/>
  <c r="BB193" i="76"/>
  <c r="BB179" i="76"/>
  <c r="BB239" i="76"/>
  <c r="BB228" i="76"/>
  <c r="BB204" i="76"/>
  <c r="BB172" i="76"/>
  <c r="BB165" i="76"/>
  <c r="BB199" i="76"/>
  <c r="U354" i="76"/>
  <c r="U364" i="76"/>
  <c r="U358" i="76"/>
  <c r="U338" i="76"/>
  <c r="U332" i="76"/>
  <c r="U335" i="76"/>
  <c r="U316" i="76"/>
  <c r="U344" i="76"/>
  <c r="U327" i="76"/>
  <c r="U312" i="76"/>
  <c r="U314" i="76"/>
  <c r="U323" i="76"/>
  <c r="U303" i="76"/>
  <c r="U321" i="76"/>
  <c r="U305" i="76"/>
  <c r="U293" i="76"/>
  <c r="U297" i="76"/>
  <c r="U274" i="76"/>
  <c r="U291" i="76"/>
  <c r="U269" i="76"/>
  <c r="U270" i="76"/>
  <c r="U281" i="76"/>
  <c r="U268" i="76"/>
  <c r="U67" i="76"/>
  <c r="U72" i="76"/>
  <c r="U69" i="76"/>
  <c r="U53" i="76"/>
  <c r="AF354" i="76"/>
  <c r="AF364" i="76"/>
  <c r="AF358" i="76"/>
  <c r="AF344" i="76"/>
  <c r="AF338" i="76"/>
  <c r="AF332" i="76"/>
  <c r="AF330" i="76"/>
  <c r="AF335" i="76"/>
  <c r="AF316" i="76"/>
  <c r="AF327" i="76"/>
  <c r="AF323" i="76"/>
  <c r="AF312" i="76"/>
  <c r="AF309" i="76"/>
  <c r="AF304" i="76"/>
  <c r="AF314" i="76"/>
  <c r="AF315" i="76"/>
  <c r="AF321" i="76"/>
  <c r="AF317" i="76"/>
  <c r="AF322" i="76"/>
  <c r="AF311" i="76"/>
  <c r="AF310" i="76"/>
  <c r="AF303" i="76"/>
  <c r="AF308" i="76"/>
  <c r="AF313" i="76"/>
  <c r="AF306" i="76"/>
  <c r="AF305" i="76"/>
  <c r="AF293" i="76"/>
  <c r="AF297" i="76"/>
  <c r="AF274" i="76"/>
  <c r="AF307" i="76"/>
  <c r="AF291" i="76"/>
  <c r="AF269" i="76"/>
  <c r="AF270" i="76"/>
  <c r="AF268" i="76"/>
  <c r="AF281" i="76"/>
  <c r="AF72" i="76"/>
  <c r="AF69" i="76"/>
  <c r="AF65" i="76"/>
  <c r="AF53" i="76"/>
  <c r="AQ354" i="76"/>
  <c r="AQ364" i="76"/>
  <c r="AQ358" i="76"/>
  <c r="AQ338" i="76"/>
  <c r="AQ332" i="76"/>
  <c r="AQ344" i="76"/>
  <c r="AQ335" i="76"/>
  <c r="AQ316" i="76"/>
  <c r="AQ327" i="76"/>
  <c r="AQ321" i="76"/>
  <c r="AQ312" i="76"/>
  <c r="AQ323" i="76"/>
  <c r="AQ314" i="76"/>
  <c r="AQ303" i="76"/>
  <c r="AQ293" i="76"/>
  <c r="AQ305" i="76"/>
  <c r="AQ297" i="76"/>
  <c r="AQ274" i="76"/>
  <c r="AQ291" i="76"/>
  <c r="AQ269" i="76"/>
  <c r="AQ268" i="76"/>
  <c r="AQ281" i="76"/>
  <c r="AQ270" i="76"/>
  <c r="AQ67" i="76"/>
  <c r="AQ69" i="76"/>
  <c r="AQ72" i="76"/>
  <c r="AQ53" i="76"/>
  <c r="BB354" i="76"/>
  <c r="BB364" i="76"/>
  <c r="BB338" i="76"/>
  <c r="BB358" i="76"/>
  <c r="BB332" i="76"/>
  <c r="BB344" i="76"/>
  <c r="BB335" i="76"/>
  <c r="BB316" i="76"/>
  <c r="BB327" i="76"/>
  <c r="BB312" i="76"/>
  <c r="BB321" i="76"/>
  <c r="BB314" i="76"/>
  <c r="BB323" i="76"/>
  <c r="BB303" i="76"/>
  <c r="BB293" i="76"/>
  <c r="BB297" i="76"/>
  <c r="BB274" i="76"/>
  <c r="BB270" i="76"/>
  <c r="BB305" i="76"/>
  <c r="BB291" i="76"/>
  <c r="BB269" i="76"/>
  <c r="BB281" i="76"/>
  <c r="BB268" i="76"/>
  <c r="BB72" i="76"/>
  <c r="BB53" i="76"/>
  <c r="U19" i="76"/>
  <c r="AF19" i="76"/>
  <c r="AF66" i="76" s="1"/>
  <c r="AQ19" i="76"/>
  <c r="AQ66" i="76" s="1"/>
  <c r="BB19" i="76"/>
  <c r="U21" i="76"/>
  <c r="O367" i="76"/>
  <c r="O285" i="76"/>
  <c r="O284" i="76"/>
  <c r="W78" i="76"/>
  <c r="W186" i="76" s="1"/>
  <c r="M73" i="76"/>
  <c r="W367" i="76"/>
  <c r="W285" i="76"/>
  <c r="W284" i="76"/>
  <c r="AG367" i="76"/>
  <c r="AG282" i="76"/>
  <c r="AG285" i="76"/>
  <c r="AG284" i="76"/>
  <c r="AQ367" i="76"/>
  <c r="AQ282" i="76"/>
  <c r="AQ285" i="76"/>
  <c r="AQ284" i="76"/>
  <c r="BA367" i="76"/>
  <c r="BA282" i="76"/>
  <c r="BA285" i="76"/>
  <c r="BA284" i="76"/>
  <c r="AN26" i="76"/>
  <c r="AN334" i="76" s="1"/>
  <c r="U28" i="76"/>
  <c r="O29" i="76"/>
  <c r="O30" i="76" s="1"/>
  <c r="W29" i="76"/>
  <c r="W30" i="76" s="1"/>
  <c r="AG29" i="76"/>
  <c r="AG322" i="76" s="1"/>
  <c r="AQ29" i="76"/>
  <c r="AQ30" i="76" s="1"/>
  <c r="BA29" i="76"/>
  <c r="BA307" i="76" s="1"/>
  <c r="T33" i="76"/>
  <c r="AE33" i="76"/>
  <c r="AP33" i="76"/>
  <c r="BA33" i="76"/>
  <c r="O37" i="76"/>
  <c r="W37" i="76"/>
  <c r="AH37" i="76"/>
  <c r="AS37" i="76"/>
  <c r="BD37" i="76"/>
  <c r="S38" i="76"/>
  <c r="S329" i="76" s="1"/>
  <c r="AD38" i="76"/>
  <c r="AD64" i="76" s="1"/>
  <c r="AO38" i="76"/>
  <c r="AZ38" i="76"/>
  <c r="AZ329" i="76" s="1"/>
  <c r="W51" i="76"/>
  <c r="AH51" i="76"/>
  <c r="AS51" i="76"/>
  <c r="BD51" i="76"/>
  <c r="Q52" i="76"/>
  <c r="AA52" i="76"/>
  <c r="AI52" i="76"/>
  <c r="AS52" i="76"/>
  <c r="S53" i="76"/>
  <c r="AE53" i="76"/>
  <c r="AR53" i="76"/>
  <c r="BD53" i="76"/>
  <c r="AB60" i="76"/>
  <c r="AQ60" i="76"/>
  <c r="P69" i="76"/>
  <c r="S70" i="76"/>
  <c r="AU70" i="76"/>
  <c r="S72" i="76"/>
  <c r="AU72" i="76"/>
  <c r="AF76" i="76"/>
  <c r="V78" i="76"/>
  <c r="V169" i="76" s="1"/>
  <c r="AZ242" i="76"/>
  <c r="AZ243" i="76" s="1"/>
  <c r="AZ141" i="76"/>
  <c r="AC117" i="76"/>
  <c r="O143" i="74"/>
  <c r="AA262" i="76"/>
  <c r="AA228" i="76"/>
  <c r="AA250" i="76"/>
  <c r="AA239" i="76"/>
  <c r="AA232" i="76"/>
  <c r="AA199" i="76"/>
  <c r="AA175" i="76"/>
  <c r="AA152" i="76"/>
  <c r="AA211" i="76"/>
  <c r="AA189" i="76"/>
  <c r="AA148" i="76"/>
  <c r="AA193" i="76"/>
  <c r="AA179" i="76"/>
  <c r="AA221" i="76"/>
  <c r="AA204" i="76"/>
  <c r="AA185" i="76"/>
  <c r="AA158" i="76"/>
  <c r="AA121" i="76"/>
  <c r="AA107" i="76"/>
  <c r="AA103" i="76"/>
  <c r="AA165" i="76"/>
  <c r="AA117" i="76"/>
  <c r="AA96" i="76"/>
  <c r="AA89" i="76"/>
  <c r="AA131" i="76"/>
  <c r="AA127" i="76"/>
  <c r="AA85" i="76"/>
  <c r="AA215" i="76"/>
  <c r="AA139" i="76"/>
  <c r="AA92" i="76"/>
  <c r="AA82" i="76"/>
  <c r="AA76" i="76"/>
  <c r="AI228" i="76"/>
  <c r="AI239" i="76"/>
  <c r="AI211" i="76"/>
  <c r="AI250" i="76"/>
  <c r="AI221" i="76"/>
  <c r="AI199" i="76"/>
  <c r="AI232" i="76"/>
  <c r="AI215" i="76"/>
  <c r="AI189" i="76"/>
  <c r="AI193" i="76"/>
  <c r="AI185" i="76"/>
  <c r="AI204" i="76"/>
  <c r="AI76" i="76"/>
  <c r="AS232" i="76"/>
  <c r="AS193" i="76"/>
  <c r="AS204" i="76"/>
  <c r="AS172" i="76"/>
  <c r="AS165" i="76"/>
  <c r="AS175" i="76"/>
  <c r="AS199" i="76"/>
  <c r="AS239" i="76"/>
  <c r="AS228" i="76"/>
  <c r="AS189" i="76"/>
  <c r="AS185" i="76"/>
  <c r="AS76" i="76"/>
  <c r="BC239" i="76"/>
  <c r="BC228" i="76"/>
  <c r="BC189" i="76"/>
  <c r="BC185" i="76"/>
  <c r="BC193" i="76"/>
  <c r="BC179" i="76"/>
  <c r="BC204" i="76"/>
  <c r="BC172" i="76"/>
  <c r="BC165" i="76"/>
  <c r="BC232" i="76"/>
  <c r="BC199" i="76"/>
  <c r="BC175" i="76"/>
  <c r="BC76" i="76"/>
  <c r="J16" i="76"/>
  <c r="V358" i="76"/>
  <c r="V364" i="76"/>
  <c r="V354" i="76"/>
  <c r="V344" i="76"/>
  <c r="V330" i="76"/>
  <c r="V338" i="76"/>
  <c r="V335" i="76"/>
  <c r="V332" i="76"/>
  <c r="V329" i="76"/>
  <c r="V327" i="76"/>
  <c r="V322" i="76"/>
  <c r="V340" i="76" s="1"/>
  <c r="V309" i="76"/>
  <c r="V304" i="76"/>
  <c r="V323" i="76"/>
  <c r="V315" i="76"/>
  <c r="V311" i="76"/>
  <c r="V314" i="76"/>
  <c r="V321" i="76"/>
  <c r="V306" i="76"/>
  <c r="V305" i="76"/>
  <c r="V317" i="76"/>
  <c r="V312" i="76"/>
  <c r="V307" i="76"/>
  <c r="V293" i="76"/>
  <c r="V316" i="76"/>
  <c r="V310" i="76"/>
  <c r="V297" i="76"/>
  <c r="V313" i="76"/>
  <c r="V308" i="76"/>
  <c r="V291" i="76"/>
  <c r="V270" i="76"/>
  <c r="V268" i="76"/>
  <c r="V281" i="76"/>
  <c r="V269" i="76"/>
  <c r="V303" i="76"/>
  <c r="V274" i="76"/>
  <c r="V60" i="76"/>
  <c r="V72" i="76"/>
  <c r="V69" i="76"/>
  <c r="V65" i="76"/>
  <c r="V70" i="76"/>
  <c r="AG358" i="76"/>
  <c r="AG364" i="76"/>
  <c r="AG354" i="76"/>
  <c r="AG327" i="76"/>
  <c r="AG344" i="76"/>
  <c r="AG335" i="76"/>
  <c r="AG332" i="76"/>
  <c r="AG338" i="76"/>
  <c r="AG321" i="76"/>
  <c r="AG316" i="76"/>
  <c r="AG303" i="76"/>
  <c r="AG312" i="76"/>
  <c r="AG305" i="76"/>
  <c r="AG293" i="76"/>
  <c r="AG314" i="76"/>
  <c r="AG297" i="76"/>
  <c r="AG323" i="76"/>
  <c r="AG270" i="76"/>
  <c r="AG268" i="76"/>
  <c r="AG281" i="76"/>
  <c r="AG291" i="76"/>
  <c r="AG269" i="76"/>
  <c r="AG274" i="76"/>
  <c r="AG67" i="76"/>
  <c r="AG60" i="76"/>
  <c r="AG72" i="76"/>
  <c r="AG69" i="76"/>
  <c r="AG70" i="76"/>
  <c r="AR358" i="76"/>
  <c r="AR364" i="76"/>
  <c r="AR354" i="76"/>
  <c r="AR344" i="76"/>
  <c r="AR327" i="76"/>
  <c r="AR338" i="76"/>
  <c r="AR335" i="76"/>
  <c r="AR329" i="76"/>
  <c r="AR316" i="76"/>
  <c r="AR332" i="76"/>
  <c r="AR303" i="76"/>
  <c r="AR314" i="76"/>
  <c r="AR293" i="76"/>
  <c r="AR323" i="76"/>
  <c r="AR321" i="76"/>
  <c r="AR305" i="76"/>
  <c r="AR297" i="76"/>
  <c r="AR312" i="76"/>
  <c r="AR291" i="76"/>
  <c r="AR270" i="76"/>
  <c r="AR268" i="76"/>
  <c r="AR281" i="76"/>
  <c r="AR269" i="76"/>
  <c r="AR274" i="76"/>
  <c r="AR60" i="76"/>
  <c r="AR72" i="76"/>
  <c r="AR64" i="76"/>
  <c r="AR70" i="76"/>
  <c r="BC358" i="76"/>
  <c r="BC364" i="76"/>
  <c r="BC354" i="76"/>
  <c r="BC338" i="76"/>
  <c r="BC344" i="76"/>
  <c r="BC335" i="76"/>
  <c r="BC332" i="76"/>
  <c r="BC329" i="76"/>
  <c r="BC327" i="76"/>
  <c r="BC316" i="76"/>
  <c r="BC323" i="76"/>
  <c r="BC303" i="76"/>
  <c r="BC312" i="76"/>
  <c r="BC321" i="76"/>
  <c r="BC293" i="76"/>
  <c r="BC297" i="76"/>
  <c r="BC305" i="76"/>
  <c r="BC270" i="76"/>
  <c r="BC268" i="76"/>
  <c r="BC281" i="76"/>
  <c r="BC291" i="76"/>
  <c r="BC269" i="76"/>
  <c r="BC314" i="76"/>
  <c r="BC274" i="76"/>
  <c r="BC60" i="76"/>
  <c r="BC69" i="76"/>
  <c r="BC72" i="76"/>
  <c r="BC64" i="76"/>
  <c r="BC70" i="76"/>
  <c r="BC67" i="76"/>
  <c r="V19" i="76"/>
  <c r="AG19" i="76"/>
  <c r="AR19" i="76"/>
  <c r="BC19" i="76"/>
  <c r="V21" i="76"/>
  <c r="P367" i="76"/>
  <c r="P285" i="76"/>
  <c r="P284" i="76"/>
  <c r="Y22" i="76"/>
  <c r="AH367" i="76"/>
  <c r="AH282" i="76"/>
  <c r="AH285" i="76"/>
  <c r="AH284" i="76"/>
  <c r="AR367" i="76"/>
  <c r="AR282" i="76"/>
  <c r="AR285" i="76"/>
  <c r="AR284" i="76"/>
  <c r="BB367" i="76"/>
  <c r="BB282" i="76"/>
  <c r="BB285" i="76"/>
  <c r="BB284" i="76"/>
  <c r="V28" i="76"/>
  <c r="P29" i="76"/>
  <c r="P30" i="76" s="1"/>
  <c r="AH29" i="76"/>
  <c r="AH30" i="76" s="1"/>
  <c r="AR29" i="76"/>
  <c r="AR30" i="76" s="1"/>
  <c r="BB29" i="76"/>
  <c r="U33" i="76"/>
  <c r="AF33" i="76"/>
  <c r="AQ33" i="76"/>
  <c r="BB33" i="76"/>
  <c r="P37" i="76"/>
  <c r="AA37" i="76"/>
  <c r="AI37" i="76"/>
  <c r="AT37" i="76"/>
  <c r="BE37" i="76"/>
  <c r="T38" i="76"/>
  <c r="T55" i="76" s="1"/>
  <c r="AE38" i="76"/>
  <c r="AE55" i="76" s="1"/>
  <c r="AP38" i="76"/>
  <c r="AP55" i="76" s="1"/>
  <c r="BA38" i="76"/>
  <c r="BA54" i="76" s="1"/>
  <c r="P51" i="76"/>
  <c r="AA51" i="76"/>
  <c r="AI51" i="76"/>
  <c r="AT51" i="76"/>
  <c r="BE51" i="76"/>
  <c r="AB52" i="76"/>
  <c r="AT52" i="76"/>
  <c r="T53" i="76"/>
  <c r="AG53" i="76"/>
  <c r="AS53" i="76"/>
  <c r="BE53" i="76"/>
  <c r="V55" i="76"/>
  <c r="AD60" i="76"/>
  <c r="AP67" i="76"/>
  <c r="AR69" i="76"/>
  <c r="U70" i="76"/>
  <c r="AZ70" i="76"/>
  <c r="AZ72" i="76"/>
  <c r="AH76" i="76"/>
  <c r="P118" i="76"/>
  <c r="AZ158" i="76"/>
  <c r="AD367" i="76"/>
  <c r="AD284" i="76"/>
  <c r="AD282" i="76"/>
  <c r="AD285" i="76"/>
  <c r="AB25" i="75"/>
  <c r="AB140" i="75"/>
  <c r="AB232" i="76"/>
  <c r="AB250" i="76"/>
  <c r="AB199" i="76"/>
  <c r="AB175" i="76"/>
  <c r="AB152" i="76"/>
  <c r="AB262" i="76"/>
  <c r="AB211" i="76"/>
  <c r="AB189" i="76"/>
  <c r="AB148" i="76"/>
  <c r="AB193" i="76"/>
  <c r="AB179" i="76"/>
  <c r="AB239" i="76"/>
  <c r="AB228" i="76"/>
  <c r="AB221" i="76"/>
  <c r="AB204" i="76"/>
  <c r="AB185" i="76"/>
  <c r="AB215" i="76"/>
  <c r="AB172" i="76"/>
  <c r="AB165" i="76"/>
  <c r="AB158" i="76"/>
  <c r="AB117" i="76"/>
  <c r="AB96" i="76"/>
  <c r="AB89" i="76"/>
  <c r="AB131" i="76"/>
  <c r="AB127" i="76"/>
  <c r="AB85" i="76"/>
  <c r="AB139" i="76"/>
  <c r="AB92" i="76"/>
  <c r="AB82" i="76"/>
  <c r="AB76" i="76"/>
  <c r="AK273" i="76"/>
  <c r="AK267" i="76"/>
  <c r="AK249" i="76"/>
  <c r="AK261" i="76"/>
  <c r="AK238" i="76"/>
  <c r="AK227" i="76"/>
  <c r="AK184" i="76"/>
  <c r="AK164" i="76"/>
  <c r="AK138" i="76"/>
  <c r="AK76" i="76"/>
  <c r="AT228" i="76"/>
  <c r="AT239" i="76"/>
  <c r="AT232" i="76"/>
  <c r="AT204" i="76"/>
  <c r="AT172" i="76"/>
  <c r="AT165" i="76"/>
  <c r="AT175" i="76"/>
  <c r="AT199" i="76"/>
  <c r="AT189" i="76"/>
  <c r="AT185" i="76"/>
  <c r="AT179" i="76"/>
  <c r="AT193" i="76"/>
  <c r="AT76" i="76"/>
  <c r="BD232" i="76"/>
  <c r="BD179" i="76"/>
  <c r="BD239" i="76"/>
  <c r="BD228" i="76"/>
  <c r="BD172" i="76"/>
  <c r="BD165" i="76"/>
  <c r="BD185" i="76"/>
  <c r="BD76" i="76"/>
  <c r="BD175" i="76"/>
  <c r="O364" i="76"/>
  <c r="O354" i="76"/>
  <c r="O358" i="76"/>
  <c r="O338" i="76"/>
  <c r="O332" i="76"/>
  <c r="O330" i="76"/>
  <c r="O335" i="76"/>
  <c r="O344" i="76"/>
  <c r="O323" i="76"/>
  <c r="O321" i="76"/>
  <c r="O317" i="76"/>
  <c r="O327" i="76"/>
  <c r="O313" i="76"/>
  <c r="O308" i="76"/>
  <c r="O305" i="76"/>
  <c r="O315" i="76"/>
  <c r="O312" i="76"/>
  <c r="O310" i="76"/>
  <c r="O307" i="76"/>
  <c r="O306" i="76"/>
  <c r="O291" i="76"/>
  <c r="O314" i="76"/>
  <c r="O304" i="76"/>
  <c r="O297" i="76"/>
  <c r="O309" i="76"/>
  <c r="O303" i="76"/>
  <c r="O316" i="76"/>
  <c r="O293" i="76"/>
  <c r="O281" i="76"/>
  <c r="O274" i="76"/>
  <c r="O268" i="76"/>
  <c r="O269" i="76"/>
  <c r="O270" i="76"/>
  <c r="O67" i="76"/>
  <c r="O69" i="76"/>
  <c r="O65" i="76"/>
  <c r="O70" i="76"/>
  <c r="W364" i="76"/>
  <c r="W354" i="76"/>
  <c r="W338" i="76"/>
  <c r="W332" i="76"/>
  <c r="W358" i="76"/>
  <c r="W335" i="76"/>
  <c r="W323" i="76"/>
  <c r="W321" i="76"/>
  <c r="W344" i="76"/>
  <c r="W327" i="76"/>
  <c r="W305" i="76"/>
  <c r="W312" i="76"/>
  <c r="W291" i="76"/>
  <c r="W307" i="76"/>
  <c r="W316" i="76"/>
  <c r="W297" i="76"/>
  <c r="W303" i="76"/>
  <c r="W281" i="76"/>
  <c r="W293" i="76"/>
  <c r="W314" i="76"/>
  <c r="W274" i="76"/>
  <c r="W269" i="76"/>
  <c r="W270" i="76"/>
  <c r="W268" i="76"/>
  <c r="W67" i="76"/>
  <c r="W69" i="76"/>
  <c r="W70" i="76"/>
  <c r="AH364" i="76"/>
  <c r="AH354" i="76"/>
  <c r="AH358" i="76"/>
  <c r="AH344" i="76"/>
  <c r="AH338" i="76"/>
  <c r="AH332" i="76"/>
  <c r="AH335" i="76"/>
  <c r="AH323" i="76"/>
  <c r="AH321" i="76"/>
  <c r="AH327" i="76"/>
  <c r="AH305" i="76"/>
  <c r="AH317" i="76"/>
  <c r="AH316" i="76"/>
  <c r="AH312" i="76"/>
  <c r="AH291" i="76"/>
  <c r="AH306" i="76"/>
  <c r="AH313" i="76"/>
  <c r="AH314" i="76"/>
  <c r="AH297" i="76"/>
  <c r="AH304" i="76"/>
  <c r="AH281" i="76"/>
  <c r="AH293" i="76"/>
  <c r="AH303" i="76"/>
  <c r="AH274" i="76"/>
  <c r="AH268" i="76"/>
  <c r="AH269" i="76"/>
  <c r="AH270" i="76"/>
  <c r="AH70" i="76"/>
  <c r="AS364" i="76"/>
  <c r="AS354" i="76"/>
  <c r="AS358" i="76"/>
  <c r="AS338" i="76"/>
  <c r="AS332" i="76"/>
  <c r="AS344" i="76"/>
  <c r="AS335" i="76"/>
  <c r="AS323" i="76"/>
  <c r="AS321" i="76"/>
  <c r="AS327" i="76"/>
  <c r="AS305" i="76"/>
  <c r="AS312" i="76"/>
  <c r="AS316" i="76"/>
  <c r="AS303" i="76"/>
  <c r="AS291" i="76"/>
  <c r="AS314" i="76"/>
  <c r="AS297" i="76"/>
  <c r="AS281" i="76"/>
  <c r="AS274" i="76"/>
  <c r="AS269" i="76"/>
  <c r="AS270" i="76"/>
  <c r="AS69" i="76"/>
  <c r="AS293" i="76"/>
  <c r="AS268" i="76"/>
  <c r="AS70" i="76"/>
  <c r="AS67" i="76"/>
  <c r="BD364" i="76"/>
  <c r="BD354" i="76"/>
  <c r="BD358" i="76"/>
  <c r="BD332" i="76"/>
  <c r="BD330" i="76"/>
  <c r="BD344" i="76"/>
  <c r="BD335" i="76"/>
  <c r="BD323" i="76"/>
  <c r="BD321" i="76"/>
  <c r="BD338" i="76"/>
  <c r="BD327" i="76"/>
  <c r="BD317" i="76"/>
  <c r="BD305" i="76"/>
  <c r="BD322" i="76"/>
  <c r="BD310" i="76"/>
  <c r="BD309" i="76"/>
  <c r="BD313" i="76"/>
  <c r="BD308" i="76"/>
  <c r="BD312" i="76"/>
  <c r="BD315" i="76"/>
  <c r="BD291" i="76"/>
  <c r="BD311" i="76"/>
  <c r="BD303" i="76"/>
  <c r="BD307" i="76"/>
  <c r="BD306" i="76"/>
  <c r="BD297" i="76"/>
  <c r="BD304" i="76"/>
  <c r="BD314" i="76"/>
  <c r="BD281" i="76"/>
  <c r="BD316" i="76"/>
  <c r="BD293" i="76"/>
  <c r="BD274" i="76"/>
  <c r="BD270" i="76"/>
  <c r="BD268" i="76"/>
  <c r="BD269" i="76"/>
  <c r="BD70" i="76"/>
  <c r="BD67" i="76"/>
  <c r="O19" i="76"/>
  <c r="O66" i="76" s="1"/>
  <c r="W19" i="76"/>
  <c r="W68" i="76" s="1"/>
  <c r="AH19" i="76"/>
  <c r="AS19" i="76"/>
  <c r="BD19" i="76"/>
  <c r="S20" i="76"/>
  <c r="AD20" i="76"/>
  <c r="AO20" i="76"/>
  <c r="AZ20" i="76"/>
  <c r="O21" i="76"/>
  <c r="W21" i="76"/>
  <c r="Q367" i="76"/>
  <c r="Q285" i="76"/>
  <c r="Q284" i="76"/>
  <c r="AA367" i="76"/>
  <c r="AA282" i="76"/>
  <c r="AA285" i="76"/>
  <c r="AA284" i="76"/>
  <c r="AI78" i="76"/>
  <c r="AI186" i="76" s="1"/>
  <c r="AH78" i="76"/>
  <c r="AH169" i="76" s="1"/>
  <c r="Y73" i="76"/>
  <c r="AI257" i="76" s="1"/>
  <c r="Y71" i="76"/>
  <c r="AI367" i="76"/>
  <c r="AI282" i="76"/>
  <c r="AI285" i="76"/>
  <c r="AI284" i="76"/>
  <c r="AS367" i="76"/>
  <c r="AS282" i="76"/>
  <c r="AS285" i="76"/>
  <c r="AS284" i="76"/>
  <c r="BC367" i="76"/>
  <c r="BC285" i="76"/>
  <c r="BC282" i="76"/>
  <c r="BC284" i="76"/>
  <c r="O28" i="76"/>
  <c r="W28" i="76"/>
  <c r="Q29" i="76"/>
  <c r="AI29" i="76"/>
  <c r="AI30" i="76" s="1"/>
  <c r="AS29" i="76"/>
  <c r="AS30" i="76" s="1"/>
  <c r="BC29" i="76"/>
  <c r="AY30" i="76"/>
  <c r="V33" i="76"/>
  <c r="AG33" i="76"/>
  <c r="AR33" i="76"/>
  <c r="BC33" i="76"/>
  <c r="Y36" i="76"/>
  <c r="Q37" i="76"/>
  <c r="AB37" i="76"/>
  <c r="AM37" i="76"/>
  <c r="AU37" i="76"/>
  <c r="BF37" i="76"/>
  <c r="U38" i="76"/>
  <c r="AF38" i="76"/>
  <c r="AF64" i="76" s="1"/>
  <c r="AQ38" i="76"/>
  <c r="AQ329" i="76" s="1"/>
  <c r="BB38" i="76"/>
  <c r="BB54" i="76" s="1"/>
  <c r="Q51" i="76"/>
  <c r="AB51" i="76"/>
  <c r="AM51" i="76"/>
  <c r="AU51" i="76"/>
  <c r="BF51" i="76"/>
  <c r="S52" i="76"/>
  <c r="AM52" i="76"/>
  <c r="AU52" i="76"/>
  <c r="V53" i="76"/>
  <c r="AH53" i="76"/>
  <c r="AT53" i="76"/>
  <c r="BF53" i="76"/>
  <c r="V54" i="76"/>
  <c r="O60" i="76"/>
  <c r="AE60" i="76"/>
  <c r="Q62" i="76"/>
  <c r="AR66" i="76"/>
  <c r="T67" i="76"/>
  <c r="AR67" i="76"/>
  <c r="T68" i="76"/>
  <c r="T69" i="76"/>
  <c r="AB70" i="76"/>
  <c r="BB70" i="76"/>
  <c r="BD72" i="76"/>
  <c r="AP76" i="76"/>
  <c r="AB242" i="76"/>
  <c r="AB243" i="76" s="1"/>
  <c r="AB141" i="76"/>
  <c r="AY118" i="76"/>
  <c r="M164" i="76"/>
  <c r="AC143" i="72"/>
  <c r="M212" i="76"/>
  <c r="BF173" i="76"/>
  <c r="AT173" i="76"/>
  <c r="AH173" i="76"/>
  <c r="V173" i="76"/>
  <c r="V174" i="76" s="1"/>
  <c r="V11" i="76" s="1"/>
  <c r="BE173" i="76"/>
  <c r="AS173" i="76"/>
  <c r="AG173" i="76"/>
  <c r="U173" i="76"/>
  <c r="BC173" i="76"/>
  <c r="AQ173" i="76"/>
  <c r="AE173" i="76"/>
  <c r="S173" i="76"/>
  <c r="BB173" i="76"/>
  <c r="AP173" i="76"/>
  <c r="AD173" i="76"/>
  <c r="R173" i="76"/>
  <c r="AW212" i="76"/>
  <c r="AK212" i="76"/>
  <c r="AZ173" i="76"/>
  <c r="AN173" i="76"/>
  <c r="AB173" i="76"/>
  <c r="P173" i="76"/>
  <c r="AY173" i="76"/>
  <c r="Q173" i="76"/>
  <c r="Y212" i="76"/>
  <c r="O173" i="76"/>
  <c r="AN118" i="76"/>
  <c r="AO173" i="76"/>
  <c r="AM173" i="76"/>
  <c r="AC118" i="76"/>
  <c r="AC173" i="76"/>
  <c r="AA173" i="76"/>
  <c r="AC262" i="76"/>
  <c r="AC228" i="76"/>
  <c r="AC250" i="76"/>
  <c r="AC239" i="76"/>
  <c r="AC199" i="76"/>
  <c r="AC175" i="76"/>
  <c r="AC211" i="76"/>
  <c r="AC189" i="76"/>
  <c r="AC148" i="76"/>
  <c r="AC193" i="76"/>
  <c r="AC179" i="76"/>
  <c r="AC221" i="76"/>
  <c r="AC204" i="76"/>
  <c r="AC185" i="76"/>
  <c r="AC158" i="76"/>
  <c r="AC215" i="76"/>
  <c r="AC165" i="76"/>
  <c r="AC131" i="76"/>
  <c r="AC127" i="76"/>
  <c r="AC232" i="76"/>
  <c r="AC85" i="76"/>
  <c r="AC139" i="76"/>
  <c r="AC92" i="76"/>
  <c r="AC82" i="76"/>
  <c r="AC76" i="76"/>
  <c r="AC172" i="76"/>
  <c r="AC121" i="76"/>
  <c r="AC107" i="76"/>
  <c r="AC103" i="76"/>
  <c r="AM250" i="76"/>
  <c r="AM232" i="76"/>
  <c r="AM211" i="76"/>
  <c r="AM239" i="76"/>
  <c r="AM228" i="76"/>
  <c r="AM262" i="76"/>
  <c r="AM221" i="76"/>
  <c r="AM199" i="76"/>
  <c r="AM175" i="76"/>
  <c r="AM215" i="76"/>
  <c r="AM158" i="76"/>
  <c r="AM189" i="76"/>
  <c r="AM193" i="76"/>
  <c r="AM185" i="76"/>
  <c r="AM179" i="76"/>
  <c r="AM204" i="76"/>
  <c r="AM127" i="76"/>
  <c r="AM85" i="76"/>
  <c r="AM139" i="76"/>
  <c r="AM92" i="76"/>
  <c r="AM82" i="76"/>
  <c r="AM76" i="76"/>
  <c r="AM172" i="76"/>
  <c r="AM148" i="76"/>
  <c r="AM121" i="76"/>
  <c r="AM107" i="76"/>
  <c r="AM103" i="76"/>
  <c r="AM152" i="76"/>
  <c r="AM117" i="76"/>
  <c r="AM96" i="76"/>
  <c r="AM89" i="76"/>
  <c r="AU232" i="76"/>
  <c r="AU250" i="76"/>
  <c r="AU215" i="76"/>
  <c r="AU199" i="76"/>
  <c r="AU239" i="76"/>
  <c r="AU228" i="76"/>
  <c r="AU211" i="76"/>
  <c r="AU189" i="76"/>
  <c r="AU185" i="76"/>
  <c r="AU193" i="76"/>
  <c r="AU221" i="76"/>
  <c r="AU204" i="76"/>
  <c r="AU76" i="76"/>
  <c r="BE228" i="76"/>
  <c r="BE239" i="76"/>
  <c r="BE193" i="76"/>
  <c r="BE204" i="76"/>
  <c r="BE172" i="76"/>
  <c r="BE165" i="76"/>
  <c r="BE232" i="76"/>
  <c r="BE175" i="76"/>
  <c r="BE199" i="76"/>
  <c r="BE185" i="76"/>
  <c r="BE189" i="76"/>
  <c r="BE76" i="76"/>
  <c r="BE179" i="76"/>
  <c r="P358" i="76"/>
  <c r="P354" i="76"/>
  <c r="P364" i="76"/>
  <c r="P335" i="76"/>
  <c r="P327" i="76"/>
  <c r="P344" i="76"/>
  <c r="P338" i="76"/>
  <c r="P323" i="76"/>
  <c r="P314" i="76"/>
  <c r="P332" i="76"/>
  <c r="P321" i="76"/>
  <c r="P312" i="76"/>
  <c r="P316" i="76"/>
  <c r="P313" i="76"/>
  <c r="P305" i="76"/>
  <c r="P293" i="76"/>
  <c r="P297" i="76"/>
  <c r="P309" i="76"/>
  <c r="P303" i="76"/>
  <c r="P281" i="76"/>
  <c r="P269" i="76"/>
  <c r="P291" i="76"/>
  <c r="P274" i="76"/>
  <c r="P270" i="76"/>
  <c r="P268" i="76"/>
  <c r="P72" i="76"/>
  <c r="P70" i="76"/>
  <c r="P60" i="76"/>
  <c r="AA358" i="76"/>
  <c r="AA364" i="76"/>
  <c r="AA354" i="76"/>
  <c r="AA335" i="76"/>
  <c r="AA329" i="76"/>
  <c r="AA344" i="76"/>
  <c r="AA338" i="76"/>
  <c r="AA327" i="76"/>
  <c r="AA322" i="76"/>
  <c r="AA340" i="76" s="1"/>
  <c r="AA332" i="76"/>
  <c r="AA316" i="76"/>
  <c r="AA321" i="76"/>
  <c r="AA317" i="76"/>
  <c r="AA314" i="76"/>
  <c r="AA306" i="76"/>
  <c r="AA323" i="76"/>
  <c r="AA311" i="76"/>
  <c r="AA310" i="76"/>
  <c r="AA330" i="76"/>
  <c r="AA312" i="76"/>
  <c r="AA309" i="76"/>
  <c r="AA313" i="76"/>
  <c r="AA315" i="76"/>
  <c r="AA307" i="76"/>
  <c r="AA305" i="76"/>
  <c r="AA293" i="76"/>
  <c r="AA304" i="76"/>
  <c r="AA297" i="76"/>
  <c r="AA308" i="76"/>
  <c r="AA303" i="76"/>
  <c r="AA281" i="76"/>
  <c r="AA269" i="76"/>
  <c r="AA274" i="76"/>
  <c r="AA270" i="76"/>
  <c r="AA268" i="76"/>
  <c r="AA291" i="76"/>
  <c r="AA72" i="76"/>
  <c r="AA69" i="76"/>
  <c r="AA65" i="76"/>
  <c r="AA70" i="76"/>
  <c r="AA64" i="76"/>
  <c r="AA67" i="76"/>
  <c r="AA60" i="76"/>
  <c r="AI358" i="76"/>
  <c r="AI354" i="76"/>
  <c r="AI364" i="76"/>
  <c r="AI335" i="76"/>
  <c r="AI329" i="76"/>
  <c r="AI344" i="76"/>
  <c r="AI338" i="76"/>
  <c r="AI327" i="76"/>
  <c r="AI316" i="76"/>
  <c r="AI314" i="76"/>
  <c r="AI332" i="76"/>
  <c r="AI321" i="76"/>
  <c r="AI312" i="76"/>
  <c r="AI323" i="76"/>
  <c r="AI293" i="76"/>
  <c r="AI305" i="76"/>
  <c r="AI297" i="76"/>
  <c r="AI303" i="76"/>
  <c r="AI281" i="76"/>
  <c r="AI269" i="76"/>
  <c r="AI291" i="76"/>
  <c r="AI274" i="76"/>
  <c r="AI270" i="76"/>
  <c r="AI268" i="76"/>
  <c r="AI72" i="76"/>
  <c r="AI69" i="76"/>
  <c r="AI70" i="76"/>
  <c r="AI64" i="76"/>
  <c r="AI67" i="76"/>
  <c r="AI60" i="76"/>
  <c r="AT358" i="76"/>
  <c r="AT364" i="76"/>
  <c r="AT354" i="76"/>
  <c r="AT344" i="76"/>
  <c r="AT335" i="76"/>
  <c r="AT327" i="76"/>
  <c r="AT338" i="76"/>
  <c r="AT316" i="76"/>
  <c r="AT332" i="76"/>
  <c r="AT314" i="76"/>
  <c r="AT312" i="76"/>
  <c r="AT321" i="76"/>
  <c r="AT293" i="76"/>
  <c r="AT297" i="76"/>
  <c r="AT323" i="76"/>
  <c r="AT305" i="76"/>
  <c r="AT281" i="76"/>
  <c r="AT269" i="76"/>
  <c r="AT303" i="76"/>
  <c r="AT274" i="76"/>
  <c r="AT270" i="76"/>
  <c r="AT268" i="76"/>
  <c r="AT291" i="76"/>
  <c r="AT72" i="76"/>
  <c r="AT70" i="76"/>
  <c r="AT67" i="76"/>
  <c r="AT60" i="76"/>
  <c r="BE358" i="76"/>
  <c r="BE354" i="76"/>
  <c r="BE364" i="76"/>
  <c r="BE338" i="76"/>
  <c r="BE344" i="76"/>
  <c r="BE335" i="76"/>
  <c r="BE332" i="76"/>
  <c r="BE327" i="76"/>
  <c r="BE316" i="76"/>
  <c r="BE314" i="76"/>
  <c r="BE323" i="76"/>
  <c r="BE312" i="76"/>
  <c r="BE303" i="76"/>
  <c r="BE293" i="76"/>
  <c r="BE321" i="76"/>
  <c r="BE297" i="76"/>
  <c r="BE305" i="76"/>
  <c r="BE281" i="76"/>
  <c r="BE269" i="76"/>
  <c r="BE291" i="76"/>
  <c r="BE274" i="76"/>
  <c r="BE270" i="76"/>
  <c r="BE268" i="76"/>
  <c r="BE69" i="76"/>
  <c r="BE72" i="76"/>
  <c r="BE70" i="76"/>
  <c r="BE67" i="76"/>
  <c r="BE60" i="76"/>
  <c r="P19" i="76"/>
  <c r="AA19" i="76"/>
  <c r="AI19" i="76"/>
  <c r="AT19" i="76"/>
  <c r="AT66" i="76" s="1"/>
  <c r="BE19" i="76"/>
  <c r="BE66" i="76" s="1"/>
  <c r="P21" i="76"/>
  <c r="R367" i="76"/>
  <c r="R285" i="76"/>
  <c r="R284" i="76"/>
  <c r="AB367" i="76"/>
  <c r="AB285" i="76"/>
  <c r="AB282" i="76"/>
  <c r="AB284" i="76"/>
  <c r="AK22" i="76"/>
  <c r="AT367" i="76"/>
  <c r="AT285" i="76"/>
  <c r="AT284" i="76"/>
  <c r="AT282" i="76"/>
  <c r="BD367" i="76"/>
  <c r="BD285" i="76"/>
  <c r="BD284" i="76"/>
  <c r="BD282" i="76"/>
  <c r="P28" i="76"/>
  <c r="AT29" i="76"/>
  <c r="AT308" i="76" s="1"/>
  <c r="T52" i="76"/>
  <c r="AD52" i="76"/>
  <c r="AI53" i="76"/>
  <c r="AI54" i="76"/>
  <c r="AA55" i="76"/>
  <c r="AF60" i="76"/>
  <c r="AZ60" i="76"/>
  <c r="V64" i="76"/>
  <c r="V66" i="76"/>
  <c r="V67" i="76"/>
  <c r="V68" i="76"/>
  <c r="AD70" i="76"/>
  <c r="BF70" i="76"/>
  <c r="AD72" i="76"/>
  <c r="AR76" i="76"/>
  <c r="AB107" i="76"/>
  <c r="AB124" i="76"/>
  <c r="AC152" i="76"/>
  <c r="AO124" i="74"/>
  <c r="AQ30" i="75"/>
  <c r="AM122" i="75"/>
  <c r="AA140" i="75"/>
  <c r="AK222" i="76"/>
  <c r="BD180" i="76"/>
  <c r="AR180" i="76"/>
  <c r="AF180" i="76"/>
  <c r="T180" i="76"/>
  <c r="Y222" i="76"/>
  <c r="BC180" i="76"/>
  <c r="AQ180" i="76"/>
  <c r="AE180" i="76"/>
  <c r="S180" i="76"/>
  <c r="M222" i="76"/>
  <c r="BB180" i="76"/>
  <c r="AP180" i="76"/>
  <c r="AD180" i="76"/>
  <c r="R180" i="76"/>
  <c r="BA180" i="76"/>
  <c r="AO180" i="76"/>
  <c r="AC180" i="76"/>
  <c r="Q180" i="76"/>
  <c r="AZ180" i="76"/>
  <c r="AN180" i="76"/>
  <c r="AB180" i="76"/>
  <c r="P180" i="76"/>
  <c r="AY180" i="76"/>
  <c r="AM180" i="76"/>
  <c r="AA180" i="76"/>
  <c r="O180" i="76"/>
  <c r="BF180" i="76"/>
  <c r="AT180" i="76"/>
  <c r="AH180" i="76"/>
  <c r="AH181" i="76" s="1"/>
  <c r="AH12" i="76" s="1"/>
  <c r="V180" i="76"/>
  <c r="V181" i="76" s="1"/>
  <c r="V12" i="76" s="1"/>
  <c r="AW222" i="76"/>
  <c r="BE180" i="76"/>
  <c r="AS180" i="76"/>
  <c r="AG180" i="76"/>
  <c r="U180" i="76"/>
  <c r="AD232" i="76"/>
  <c r="AD189" i="76"/>
  <c r="AD193" i="76"/>
  <c r="AD179" i="76"/>
  <c r="AD204" i="76"/>
  <c r="AD185" i="76"/>
  <c r="AD239" i="76"/>
  <c r="AD228" i="76"/>
  <c r="AD172" i="76"/>
  <c r="AD165" i="76"/>
  <c r="AD199" i="76"/>
  <c r="AD175" i="76"/>
  <c r="AD76" i="76"/>
  <c r="AN228" i="76"/>
  <c r="AN239" i="76"/>
  <c r="AN262" i="76"/>
  <c r="AN250" i="76"/>
  <c r="AN221" i="76"/>
  <c r="AN199" i="76"/>
  <c r="AN175" i="76"/>
  <c r="AN215" i="76"/>
  <c r="AN158" i="76"/>
  <c r="AN232" i="76"/>
  <c r="AN189" i="76"/>
  <c r="AN193" i="76"/>
  <c r="AN185" i="76"/>
  <c r="AN179" i="76"/>
  <c r="AN204" i="76"/>
  <c r="AN172" i="76"/>
  <c r="AN165" i="76"/>
  <c r="AN139" i="76"/>
  <c r="AN85" i="76"/>
  <c r="AN92" i="76"/>
  <c r="AN211" i="76"/>
  <c r="AN82" i="76"/>
  <c r="AN76" i="76"/>
  <c r="AN148" i="76"/>
  <c r="AN121" i="76"/>
  <c r="AN107" i="76"/>
  <c r="AN103" i="76"/>
  <c r="AN152" i="76"/>
  <c r="AN117" i="76"/>
  <c r="AN96" i="76"/>
  <c r="AN89" i="76"/>
  <c r="AN131" i="76"/>
  <c r="AW267" i="76"/>
  <c r="AW249" i="76"/>
  <c r="AW273" i="76"/>
  <c r="AW261" i="76"/>
  <c r="AW238" i="76"/>
  <c r="AW227" i="76"/>
  <c r="AW184" i="76"/>
  <c r="AW164" i="76"/>
  <c r="AW138" i="76"/>
  <c r="AW76" i="76"/>
  <c r="AW102" i="76"/>
  <c r="BF232" i="76"/>
  <c r="BF204" i="76"/>
  <c r="BF172" i="76"/>
  <c r="BF165" i="76"/>
  <c r="BF239" i="76"/>
  <c r="BF228" i="76"/>
  <c r="BF175" i="76"/>
  <c r="BF199" i="76"/>
  <c r="BF185" i="76"/>
  <c r="BF189" i="76"/>
  <c r="BF179" i="76"/>
  <c r="BF193" i="76"/>
  <c r="BF76" i="76"/>
  <c r="Y16" i="76"/>
  <c r="Q354" i="76"/>
  <c r="Q358" i="76"/>
  <c r="Q364" i="76"/>
  <c r="Q335" i="76"/>
  <c r="Q329" i="76"/>
  <c r="Q344" i="76"/>
  <c r="Q338" i="76"/>
  <c r="Q332" i="76"/>
  <c r="Q330" i="76"/>
  <c r="Q306" i="76"/>
  <c r="Q311" i="76"/>
  <c r="Q321" i="76"/>
  <c r="Q312" i="76"/>
  <c r="Q310" i="76"/>
  <c r="Q317" i="76"/>
  <c r="Q316" i="76"/>
  <c r="Q309" i="76"/>
  <c r="Q322" i="76"/>
  <c r="Q313" i="76"/>
  <c r="Q308" i="76"/>
  <c r="Q305" i="76"/>
  <c r="Q327" i="76"/>
  <c r="Q323" i="76"/>
  <c r="Q314" i="76"/>
  <c r="Q304" i="76"/>
  <c r="Q297" i="76"/>
  <c r="Q315" i="76"/>
  <c r="Q303" i="76"/>
  <c r="Q291" i="76"/>
  <c r="Q274" i="76"/>
  <c r="Q270" i="76"/>
  <c r="Q268" i="76"/>
  <c r="Q307" i="76"/>
  <c r="Q293" i="76"/>
  <c r="Q269" i="76"/>
  <c r="Q69" i="76"/>
  <c r="Q65" i="76"/>
  <c r="Q281" i="76"/>
  <c r="Q64" i="76"/>
  <c r="Q67" i="76"/>
  <c r="Q54" i="76"/>
  <c r="AB354" i="76"/>
  <c r="AB358" i="76"/>
  <c r="AB364" i="76"/>
  <c r="AB335" i="76"/>
  <c r="AB338" i="76"/>
  <c r="AB332" i="76"/>
  <c r="AB330" i="76"/>
  <c r="AB317" i="76"/>
  <c r="AB316" i="76"/>
  <c r="AB315" i="76"/>
  <c r="AB344" i="76"/>
  <c r="AB310" i="76"/>
  <c r="AB312" i="76"/>
  <c r="AB309" i="76"/>
  <c r="AB313" i="76"/>
  <c r="AB308" i="76"/>
  <c r="AB323" i="76"/>
  <c r="AB322" i="76"/>
  <c r="AB321" i="76"/>
  <c r="AB307" i="76"/>
  <c r="AB305" i="76"/>
  <c r="AB311" i="76"/>
  <c r="AB304" i="76"/>
  <c r="AB297" i="76"/>
  <c r="AB303" i="76"/>
  <c r="AB314" i="76"/>
  <c r="AB291" i="76"/>
  <c r="AB327" i="76"/>
  <c r="AB306" i="76"/>
  <c r="AB293" i="76"/>
  <c r="AB274" i="76"/>
  <c r="AB270" i="76"/>
  <c r="AB268" i="76"/>
  <c r="AB281" i="76"/>
  <c r="AB269" i="76"/>
  <c r="AB67" i="76"/>
  <c r="AM354" i="76"/>
  <c r="AM358" i="76"/>
  <c r="AM364" i="76"/>
  <c r="AM335" i="76"/>
  <c r="AM329" i="76"/>
  <c r="AM344" i="76"/>
  <c r="AM338" i="76"/>
  <c r="AM332" i="76"/>
  <c r="AM316" i="76"/>
  <c r="AM327" i="76"/>
  <c r="AM312" i="76"/>
  <c r="AM323" i="76"/>
  <c r="AM305" i="76"/>
  <c r="AM297" i="76"/>
  <c r="AM314" i="76"/>
  <c r="AM303" i="76"/>
  <c r="AM291" i="76"/>
  <c r="AM293" i="76"/>
  <c r="AM274" i="76"/>
  <c r="AM270" i="76"/>
  <c r="AM268" i="76"/>
  <c r="AM321" i="76"/>
  <c r="AM281" i="76"/>
  <c r="AM269" i="76"/>
  <c r="AM69" i="76"/>
  <c r="AM62" i="76"/>
  <c r="AM64" i="76"/>
  <c r="AM67" i="76"/>
  <c r="AM54" i="76"/>
  <c r="AU354" i="76"/>
  <c r="AU358" i="76"/>
  <c r="AU364" i="76"/>
  <c r="AU335" i="76"/>
  <c r="AU338" i="76"/>
  <c r="AU332" i="76"/>
  <c r="AU344" i="76"/>
  <c r="AU323" i="76"/>
  <c r="AU312" i="76"/>
  <c r="AU321" i="76"/>
  <c r="AU316" i="76"/>
  <c r="AU314" i="76"/>
  <c r="AU297" i="76"/>
  <c r="AU305" i="76"/>
  <c r="AU327" i="76"/>
  <c r="AU303" i="76"/>
  <c r="AU291" i="76"/>
  <c r="AU274" i="76"/>
  <c r="AU270" i="76"/>
  <c r="AU268" i="76"/>
  <c r="AU293" i="76"/>
  <c r="AU281" i="76"/>
  <c r="AU269" i="76"/>
  <c r="AU69" i="76"/>
  <c r="AU62" i="76"/>
  <c r="AU67" i="76"/>
  <c r="BF354" i="76"/>
  <c r="BF358" i="76"/>
  <c r="BF364" i="76"/>
  <c r="BF344" i="76"/>
  <c r="BF335" i="76"/>
  <c r="BF329" i="76"/>
  <c r="BF332" i="76"/>
  <c r="BF317" i="76"/>
  <c r="BF321" i="76"/>
  <c r="BF338" i="76"/>
  <c r="BF323" i="76"/>
  <c r="BF312" i="76"/>
  <c r="BF307" i="76"/>
  <c r="BF327" i="76"/>
  <c r="BF297" i="76"/>
  <c r="BF305" i="76"/>
  <c r="BF314" i="76"/>
  <c r="BF316" i="76"/>
  <c r="BF291" i="76"/>
  <c r="BF303" i="76"/>
  <c r="BF293" i="76"/>
  <c r="BF274" i="76"/>
  <c r="BF270" i="76"/>
  <c r="BF268" i="76"/>
  <c r="BF269" i="76"/>
  <c r="BF281" i="76"/>
  <c r="BF52" i="76"/>
  <c r="Q19" i="76"/>
  <c r="Q66" i="76" s="1"/>
  <c r="AB19" i="76"/>
  <c r="AB68" i="76" s="1"/>
  <c r="AM19" i="76"/>
  <c r="AM66" i="76" s="1"/>
  <c r="AU19" i="76"/>
  <c r="AU66" i="76" s="1"/>
  <c r="BF19" i="76"/>
  <c r="U20" i="76"/>
  <c r="AF20" i="76"/>
  <c r="AQ20" i="76"/>
  <c r="BB20" i="76"/>
  <c r="Q21" i="76"/>
  <c r="S367" i="76"/>
  <c r="S285" i="76"/>
  <c r="S284" i="76"/>
  <c r="AC367" i="76"/>
  <c r="AC285" i="76"/>
  <c r="AC284" i="76"/>
  <c r="AC282" i="76"/>
  <c r="AM367" i="76"/>
  <c r="AM285" i="76"/>
  <c r="AM284" i="76"/>
  <c r="AM282" i="76"/>
  <c r="AU78" i="76"/>
  <c r="AU186" i="76" s="1"/>
  <c r="AT78" i="76"/>
  <c r="AT169" i="76" s="1"/>
  <c r="AK73" i="76"/>
  <c r="AU257" i="76" s="1"/>
  <c r="AK71" i="76"/>
  <c r="AU367" i="76"/>
  <c r="AU285" i="76"/>
  <c r="AU284" i="76"/>
  <c r="AU282" i="76"/>
  <c r="BE367" i="76"/>
  <c r="BE285" i="76"/>
  <c r="BE284" i="76"/>
  <c r="BE282" i="76"/>
  <c r="Q28" i="76"/>
  <c r="S29" i="76"/>
  <c r="AM29" i="76"/>
  <c r="AM308" i="76" s="1"/>
  <c r="AU29" i="76"/>
  <c r="AU313" i="76" s="1"/>
  <c r="BE29" i="76"/>
  <c r="BE304" i="76" s="1"/>
  <c r="AE30" i="76"/>
  <c r="AP30" i="76"/>
  <c r="BA30" i="76"/>
  <c r="P33" i="76"/>
  <c r="AA33" i="76"/>
  <c r="AI33" i="76"/>
  <c r="AT33" i="76"/>
  <c r="BE33" i="76"/>
  <c r="AK36" i="76"/>
  <c r="S37" i="76"/>
  <c r="AD37" i="76"/>
  <c r="AO37" i="76"/>
  <c r="AZ37" i="76"/>
  <c r="O38" i="76"/>
  <c r="W38" i="76"/>
  <c r="AH38" i="76"/>
  <c r="AS38" i="76"/>
  <c r="BD38" i="76"/>
  <c r="S51" i="76"/>
  <c r="AD51" i="76"/>
  <c r="AO51" i="76"/>
  <c r="AZ51" i="76"/>
  <c r="U52" i="76"/>
  <c r="AE52" i="76"/>
  <c r="AO52" i="76"/>
  <c r="O53" i="76"/>
  <c r="AA53" i="76"/>
  <c r="AM53" i="76"/>
  <c r="AA54" i="76"/>
  <c r="BA55" i="76"/>
  <c r="Y59" i="76"/>
  <c r="S60" i="76"/>
  <c r="AH60" i="76"/>
  <c r="BA60" i="76"/>
  <c r="T62" i="76"/>
  <c r="AI62" i="76"/>
  <c r="BC62" i="76"/>
  <c r="AB65" i="76"/>
  <c r="BB65" i="76"/>
  <c r="AZ67" i="76"/>
  <c r="AB69" i="76"/>
  <c r="BB69" i="76"/>
  <c r="AF70" i="76"/>
  <c r="AH72" i="76"/>
  <c r="AZ76" i="76"/>
  <c r="J81" i="76"/>
  <c r="AZ82" i="76"/>
  <c r="Q128" i="76"/>
  <c r="O143" i="76"/>
  <c r="O140" i="76"/>
  <c r="AO140" i="76"/>
  <c r="AO143" i="76"/>
  <c r="BA128" i="76"/>
  <c r="AZ139" i="76"/>
  <c r="Q118" i="76"/>
  <c r="AZ118" i="76"/>
  <c r="P122" i="76"/>
  <c r="AY122" i="76"/>
  <c r="AC124" i="76"/>
  <c r="AM140" i="76"/>
  <c r="Q143" i="76"/>
  <c r="Q242" i="76"/>
  <c r="AA118" i="76"/>
  <c r="BA118" i="76"/>
  <c r="Q122" i="76"/>
  <c r="AZ122" i="76"/>
  <c r="AM124" i="76"/>
  <c r="AC128" i="76"/>
  <c r="Q240" i="76"/>
  <c r="AA140" i="76"/>
  <c r="AA143" i="76"/>
  <c r="AA122" i="76"/>
  <c r="BA122" i="76"/>
  <c r="AN124" i="76"/>
  <c r="AM128" i="76"/>
  <c r="O124" i="76"/>
  <c r="AO124" i="76"/>
  <c r="AN128" i="76"/>
  <c r="AM118" i="76"/>
  <c r="AC122" i="76"/>
  <c r="P124" i="76"/>
  <c r="AY124" i="76"/>
  <c r="O128" i="76"/>
  <c r="AO128" i="76"/>
  <c r="BA140" i="76"/>
  <c r="AY143" i="76"/>
  <c r="Q124" i="76"/>
  <c r="AZ124" i="76"/>
  <c r="P128" i="76"/>
  <c r="AY128" i="76"/>
  <c r="O118" i="76"/>
  <c r="AO118" i="76"/>
  <c r="AN122" i="76"/>
  <c r="AA124" i="76"/>
  <c r="BA124" i="76"/>
  <c r="AZ128" i="76"/>
  <c r="AC140" i="76"/>
  <c r="V245" i="76"/>
  <c r="V246" i="76" s="1"/>
  <c r="E268" i="76"/>
  <c r="AA267" i="76"/>
  <c r="O267" i="76"/>
  <c r="AM267" i="76"/>
  <c r="AY267" i="76"/>
  <c r="AW317" i="75"/>
  <c r="BA93" i="75"/>
  <c r="BA95" i="75" s="1"/>
  <c r="BD27" i="75"/>
  <c r="BD229" i="75" s="1"/>
  <c r="BD13" i="75" s="1"/>
  <c r="AY93" i="75"/>
  <c r="AY95" i="75" s="1"/>
  <c r="BB27" i="75"/>
  <c r="BG27" i="75"/>
  <c r="AY27" i="75"/>
  <c r="AZ27" i="75"/>
  <c r="AY4" i="75"/>
  <c r="BF27" i="75"/>
  <c r="AY5" i="75"/>
  <c r="BE27" i="75"/>
  <c r="BA27" i="75"/>
  <c r="BC27" i="75"/>
  <c r="AY3" i="75"/>
  <c r="AY8" i="75"/>
  <c r="BG368" i="75"/>
  <c r="BG63" i="75"/>
  <c r="BG61" i="75"/>
  <c r="BG24" i="75"/>
  <c r="BG25" i="75"/>
  <c r="AE368" i="75"/>
  <c r="AE61" i="75"/>
  <c r="AE63" i="75"/>
  <c r="AE25" i="75"/>
  <c r="AE24" i="75"/>
  <c r="R358" i="75"/>
  <c r="R354" i="75"/>
  <c r="R364" i="75"/>
  <c r="R344" i="75"/>
  <c r="R338" i="75"/>
  <c r="R332" i="75"/>
  <c r="R327" i="75"/>
  <c r="R321" i="75"/>
  <c r="R335" i="75"/>
  <c r="R323" i="75"/>
  <c r="R316" i="75"/>
  <c r="R312" i="75"/>
  <c r="R305" i="75"/>
  <c r="R291" i="75"/>
  <c r="R314" i="75"/>
  <c r="R297" i="75"/>
  <c r="R303" i="75"/>
  <c r="R270" i="75"/>
  <c r="R268" i="75"/>
  <c r="R293" i="75"/>
  <c r="R281" i="75"/>
  <c r="R274" i="75"/>
  <c r="R269" i="75"/>
  <c r="R67" i="75"/>
  <c r="R38" i="75"/>
  <c r="R329" i="75" s="1"/>
  <c r="R33" i="75"/>
  <c r="R70" i="75"/>
  <c r="R51" i="75"/>
  <c r="R37" i="75"/>
  <c r="R69" i="75"/>
  <c r="R72" i="75"/>
  <c r="R52" i="75"/>
  <c r="R20" i="75"/>
  <c r="AP368" i="75"/>
  <c r="AP61" i="75"/>
  <c r="AP63" i="75"/>
  <c r="AP25" i="75"/>
  <c r="W367" i="75"/>
  <c r="W285" i="75"/>
  <c r="W284" i="75"/>
  <c r="BG60" i="75"/>
  <c r="J261" i="75"/>
  <c r="J273" i="75"/>
  <c r="J249" i="75"/>
  <c r="J227" i="75"/>
  <c r="J184" i="75"/>
  <c r="J238" i="75"/>
  <c r="J138" i="75"/>
  <c r="J164" i="75"/>
  <c r="J102" i="75"/>
  <c r="J76" i="75"/>
  <c r="J81" i="75"/>
  <c r="AF228" i="75"/>
  <c r="AF232" i="75"/>
  <c r="AF179" i="75"/>
  <c r="AF239" i="75"/>
  <c r="AF175" i="75"/>
  <c r="AF185" i="75"/>
  <c r="AF172" i="75"/>
  <c r="AF165" i="75"/>
  <c r="AF76" i="75"/>
  <c r="AP239" i="75"/>
  <c r="AP204" i="75"/>
  <c r="AP228" i="75"/>
  <c r="AP199" i="75"/>
  <c r="AP232" i="75"/>
  <c r="AP172" i="75"/>
  <c r="AP193" i="75"/>
  <c r="AP185" i="75"/>
  <c r="AP179" i="75"/>
  <c r="AP175" i="75"/>
  <c r="AP189" i="75"/>
  <c r="AP76" i="75"/>
  <c r="AZ211" i="75"/>
  <c r="AZ189" i="75"/>
  <c r="AZ185" i="75"/>
  <c r="AZ239" i="75"/>
  <c r="AZ193" i="75"/>
  <c r="AZ179" i="75"/>
  <c r="AZ221" i="75"/>
  <c r="AZ204" i="75"/>
  <c r="AZ250" i="75"/>
  <c r="AZ215" i="75"/>
  <c r="AZ172" i="75"/>
  <c r="AZ262" i="75"/>
  <c r="AZ228" i="75"/>
  <c r="AZ232" i="75"/>
  <c r="AZ199" i="75"/>
  <c r="AZ148" i="75"/>
  <c r="AZ175" i="75"/>
  <c r="AZ165" i="75"/>
  <c r="AZ158" i="75"/>
  <c r="AZ121" i="75"/>
  <c r="AZ107" i="75"/>
  <c r="AZ103" i="75"/>
  <c r="AZ117" i="75"/>
  <c r="AZ96" i="75"/>
  <c r="AZ89" i="75"/>
  <c r="AZ131" i="75"/>
  <c r="AZ127" i="75"/>
  <c r="AZ139" i="75"/>
  <c r="AZ85" i="75"/>
  <c r="AZ152" i="75"/>
  <c r="AZ82" i="75"/>
  <c r="AZ92" i="75"/>
  <c r="S354" i="75"/>
  <c r="S364" i="75"/>
  <c r="S358" i="75"/>
  <c r="S338" i="75"/>
  <c r="S332" i="75"/>
  <c r="S344" i="75"/>
  <c r="S335" i="75"/>
  <c r="S314" i="75"/>
  <c r="S321" i="75"/>
  <c r="S327" i="75"/>
  <c r="S323" i="75"/>
  <c r="S312" i="75"/>
  <c r="S293" i="75"/>
  <c r="S297" i="75"/>
  <c r="S303" i="75"/>
  <c r="S316" i="75"/>
  <c r="S274" i="75"/>
  <c r="S305" i="75"/>
  <c r="S291" i="75"/>
  <c r="S281" i="75"/>
  <c r="S269" i="75"/>
  <c r="S270" i="75"/>
  <c r="S268" i="75"/>
  <c r="S33" i="75"/>
  <c r="S60" i="75"/>
  <c r="S28" i="75"/>
  <c r="S70" i="75"/>
  <c r="S51" i="75"/>
  <c r="S37" i="75"/>
  <c r="S29" i="75"/>
  <c r="S30" i="75" s="1"/>
  <c r="S69" i="75"/>
  <c r="S72" i="75"/>
  <c r="S67" i="75"/>
  <c r="S53" i="75"/>
  <c r="AD354" i="75"/>
  <c r="AD364" i="75"/>
  <c r="AD358" i="75"/>
  <c r="AD344" i="75"/>
  <c r="AD338" i="75"/>
  <c r="AD332" i="75"/>
  <c r="AD330" i="75"/>
  <c r="AD329" i="75"/>
  <c r="AD322" i="75"/>
  <c r="AD340" i="75" s="1"/>
  <c r="AD314" i="75"/>
  <c r="AD335" i="75"/>
  <c r="AD321" i="75"/>
  <c r="AD317" i="75"/>
  <c r="AD323" i="75"/>
  <c r="AD312" i="75"/>
  <c r="AD313" i="75"/>
  <c r="AD327" i="75"/>
  <c r="AD306" i="75"/>
  <c r="AD315" i="75"/>
  <c r="AD310" i="75"/>
  <c r="AD293" i="75"/>
  <c r="AD316" i="75"/>
  <c r="AD311" i="75"/>
  <c r="AD309" i="75"/>
  <c r="AD297" i="75"/>
  <c r="AD303" i="75"/>
  <c r="AD304" i="75"/>
  <c r="AD308" i="75"/>
  <c r="AD305" i="75"/>
  <c r="AD274" i="75"/>
  <c r="AD281" i="75"/>
  <c r="AD269" i="75"/>
  <c r="AD268" i="75"/>
  <c r="AD291" i="75"/>
  <c r="AD307" i="75"/>
  <c r="AD270" i="75"/>
  <c r="AD33" i="75"/>
  <c r="AD68" i="75"/>
  <c r="AD60" i="75"/>
  <c r="AD70" i="75"/>
  <c r="AD66" i="75"/>
  <c r="AD51" i="75"/>
  <c r="AD37" i="75"/>
  <c r="AD69" i="75"/>
  <c r="AD52" i="75"/>
  <c r="AD65" i="75"/>
  <c r="AD72" i="75"/>
  <c r="AD67" i="75"/>
  <c r="AD55" i="75"/>
  <c r="AD53" i="75"/>
  <c r="AO354" i="75"/>
  <c r="AO364" i="75"/>
  <c r="AO358" i="75"/>
  <c r="AO338" i="75"/>
  <c r="AO332" i="75"/>
  <c r="AO344" i="75"/>
  <c r="AO329" i="75"/>
  <c r="AO335" i="75"/>
  <c r="AO314" i="75"/>
  <c r="AO323" i="75"/>
  <c r="AO327" i="75"/>
  <c r="AO321" i="75"/>
  <c r="AO312" i="75"/>
  <c r="AO316" i="75"/>
  <c r="AO293" i="75"/>
  <c r="AO297" i="75"/>
  <c r="AO303" i="75"/>
  <c r="AO305" i="75"/>
  <c r="AO274" i="75"/>
  <c r="AO291" i="75"/>
  <c r="AO281" i="75"/>
  <c r="AO269" i="75"/>
  <c r="AO270" i="75"/>
  <c r="AO268" i="75"/>
  <c r="AO33" i="75"/>
  <c r="AO60" i="75"/>
  <c r="AO29" i="75"/>
  <c r="AO30" i="75" s="1"/>
  <c r="AO52" i="75"/>
  <c r="AO51" i="75"/>
  <c r="AO37" i="75"/>
  <c r="AO70" i="75"/>
  <c r="AO69" i="75"/>
  <c r="AO62" i="75"/>
  <c r="AO67" i="75"/>
  <c r="AO64" i="75"/>
  <c r="AO55" i="75"/>
  <c r="AO53" i="75"/>
  <c r="AZ354" i="75"/>
  <c r="AZ364" i="75"/>
  <c r="AZ358" i="75"/>
  <c r="AZ338" i="75"/>
  <c r="AZ332" i="75"/>
  <c r="AZ344" i="75"/>
  <c r="AZ327" i="75"/>
  <c r="AZ314" i="75"/>
  <c r="AZ323" i="75"/>
  <c r="AZ312" i="75"/>
  <c r="AZ335" i="75"/>
  <c r="AZ293" i="75"/>
  <c r="AZ297" i="75"/>
  <c r="AZ303" i="75"/>
  <c r="AZ321" i="75"/>
  <c r="AZ316" i="75"/>
  <c r="AZ274" i="75"/>
  <c r="AZ281" i="75"/>
  <c r="AZ269" i="75"/>
  <c r="AZ291" i="75"/>
  <c r="AZ270" i="75"/>
  <c r="AZ305" i="75"/>
  <c r="AZ268" i="75"/>
  <c r="AZ69" i="75"/>
  <c r="AZ72" i="75"/>
  <c r="AZ33" i="75"/>
  <c r="AZ60" i="75"/>
  <c r="AZ66" i="75"/>
  <c r="AZ51" i="75"/>
  <c r="AZ37" i="75"/>
  <c r="AZ70" i="75"/>
  <c r="AZ67" i="75"/>
  <c r="AZ53" i="75"/>
  <c r="S19" i="75"/>
  <c r="S66" i="75" s="1"/>
  <c r="AQ368" i="75"/>
  <c r="AQ61" i="75"/>
  <c r="AQ24" i="75"/>
  <c r="AQ26" i="75" s="1"/>
  <c r="AQ334" i="75" s="1"/>
  <c r="BD19" i="75"/>
  <c r="T20" i="75"/>
  <c r="AR20" i="75"/>
  <c r="BD20" i="75"/>
  <c r="T21" i="75"/>
  <c r="AA367" i="75"/>
  <c r="AA285" i="75"/>
  <c r="AA284" i="75"/>
  <c r="AA282" i="75"/>
  <c r="AH78" i="75"/>
  <c r="AH169" i="75" s="1"/>
  <c r="Y73" i="75"/>
  <c r="AI257" i="75" s="1"/>
  <c r="Y71" i="75"/>
  <c r="AI78" i="75"/>
  <c r="AI186" i="75" s="1"/>
  <c r="Y22" i="75"/>
  <c r="AI367" i="75"/>
  <c r="AI285" i="75"/>
  <c r="AI284" i="75"/>
  <c r="AI282" i="75"/>
  <c r="AS367" i="75"/>
  <c r="AS285" i="75"/>
  <c r="AS284" i="75"/>
  <c r="AS282" i="75"/>
  <c r="BC367" i="75"/>
  <c r="BC285" i="75"/>
  <c r="BC284" i="75"/>
  <c r="BC282" i="75"/>
  <c r="BC30" i="75"/>
  <c r="AU24" i="75"/>
  <c r="W28" i="75"/>
  <c r="T29" i="75"/>
  <c r="T317" i="75" s="1"/>
  <c r="AI29" i="75"/>
  <c r="AZ29" i="75"/>
  <c r="AZ30" i="75" s="1"/>
  <c r="V33" i="75"/>
  <c r="BA33" i="75"/>
  <c r="AH37" i="75"/>
  <c r="P38" i="75"/>
  <c r="W51" i="75"/>
  <c r="BA51" i="75"/>
  <c r="AC52" i="75"/>
  <c r="BC52" i="75"/>
  <c r="AH53" i="75"/>
  <c r="P54" i="75"/>
  <c r="AW59" i="75"/>
  <c r="AH60" i="75"/>
  <c r="BB63" i="75"/>
  <c r="Q67" i="75"/>
  <c r="AI70" i="75"/>
  <c r="AK73" i="75"/>
  <c r="AU257" i="75" s="1"/>
  <c r="BG221" i="75"/>
  <c r="BG199" i="75"/>
  <c r="BG250" i="75"/>
  <c r="BG215" i="75"/>
  <c r="BG185" i="75"/>
  <c r="BG239" i="75"/>
  <c r="BG189" i="75"/>
  <c r="BG193" i="75"/>
  <c r="BG204" i="75"/>
  <c r="BG228" i="75"/>
  <c r="BG211" i="75"/>
  <c r="BG232" i="75"/>
  <c r="BG76" i="75"/>
  <c r="AY358" i="75"/>
  <c r="AY354" i="75"/>
  <c r="AY364" i="75"/>
  <c r="AY344" i="75"/>
  <c r="AY338" i="75"/>
  <c r="AY332" i="75"/>
  <c r="AY335" i="75"/>
  <c r="AY327" i="75"/>
  <c r="AY321" i="75"/>
  <c r="AY316" i="75"/>
  <c r="AY323" i="75"/>
  <c r="AY312" i="75"/>
  <c r="AY305" i="75"/>
  <c r="AY291" i="75"/>
  <c r="AY314" i="75"/>
  <c r="AY297" i="75"/>
  <c r="AY303" i="75"/>
  <c r="AY293" i="75"/>
  <c r="AY270" i="75"/>
  <c r="AY268" i="75"/>
  <c r="AY281" i="75"/>
  <c r="AY274" i="75"/>
  <c r="AY269" i="75"/>
  <c r="AY38" i="75"/>
  <c r="AY55" i="75" s="1"/>
  <c r="AY72" i="75"/>
  <c r="AY33" i="75"/>
  <c r="AY29" i="75"/>
  <c r="AY311" i="75" s="1"/>
  <c r="AY52" i="75"/>
  <c r="AY51" i="75"/>
  <c r="AY37" i="75"/>
  <c r="AY69" i="75"/>
  <c r="AY70" i="75"/>
  <c r="AY20" i="75"/>
  <c r="AD368" i="75"/>
  <c r="AD24" i="75"/>
  <c r="AD26" i="75" s="1"/>
  <c r="AD334" i="75" s="1"/>
  <c r="O367" i="75"/>
  <c r="O285" i="75"/>
  <c r="O284" i="75"/>
  <c r="M73" i="75"/>
  <c r="M71" i="75"/>
  <c r="W78" i="75"/>
  <c r="W186" i="75" s="1"/>
  <c r="R29" i="75"/>
  <c r="R307" i="75" s="1"/>
  <c r="V78" i="75"/>
  <c r="V169" i="75" s="1"/>
  <c r="P140" i="72"/>
  <c r="P140" i="73"/>
  <c r="AO143" i="74"/>
  <c r="M273" i="75"/>
  <c r="M249" i="75"/>
  <c r="M227" i="75"/>
  <c r="M267" i="75"/>
  <c r="M184" i="75"/>
  <c r="M261" i="75"/>
  <c r="M238" i="75"/>
  <c r="M138" i="75"/>
  <c r="M164" i="75"/>
  <c r="M102" i="75"/>
  <c r="M76" i="75"/>
  <c r="M81" i="75"/>
  <c r="AG175" i="75"/>
  <c r="AG228" i="75"/>
  <c r="AG199" i="75"/>
  <c r="AG232" i="75"/>
  <c r="AG189" i="75"/>
  <c r="AG179" i="75"/>
  <c r="AG193" i="75"/>
  <c r="AG185" i="75"/>
  <c r="AG239" i="75"/>
  <c r="AG204" i="75"/>
  <c r="AG172" i="75"/>
  <c r="AG165" i="75"/>
  <c r="AG76" i="75"/>
  <c r="AQ228" i="75"/>
  <c r="AQ199" i="75"/>
  <c r="AQ175" i="75"/>
  <c r="AQ232" i="75"/>
  <c r="AQ189" i="75"/>
  <c r="AQ193" i="75"/>
  <c r="AQ185" i="75"/>
  <c r="AQ204" i="75"/>
  <c r="AQ179" i="75"/>
  <c r="AQ165" i="75"/>
  <c r="AQ172" i="75"/>
  <c r="AQ239" i="75"/>
  <c r="AQ76" i="75"/>
  <c r="BA239" i="75"/>
  <c r="BA193" i="75"/>
  <c r="BA179" i="75"/>
  <c r="BA221" i="75"/>
  <c r="BA204" i="75"/>
  <c r="BA250" i="75"/>
  <c r="BA215" i="75"/>
  <c r="BA262" i="75"/>
  <c r="BA228" i="75"/>
  <c r="BA232" i="75"/>
  <c r="BA199" i="75"/>
  <c r="BA175" i="75"/>
  <c r="BA185" i="75"/>
  <c r="BA165" i="75"/>
  <c r="BA158" i="75"/>
  <c r="BA121" i="75"/>
  <c r="BA107" i="75"/>
  <c r="BA103" i="75"/>
  <c r="BA117" i="75"/>
  <c r="BA96" i="75"/>
  <c r="BA89" i="75"/>
  <c r="BA172" i="75"/>
  <c r="BA131" i="75"/>
  <c r="BA127" i="75"/>
  <c r="BA139" i="75"/>
  <c r="BA85" i="75"/>
  <c r="BA189" i="75"/>
  <c r="BA152" i="75"/>
  <c r="BA92" i="75"/>
  <c r="BA211" i="75"/>
  <c r="BA148" i="75"/>
  <c r="BA82" i="75"/>
  <c r="BA76" i="75"/>
  <c r="T358" i="75"/>
  <c r="T364" i="75"/>
  <c r="T354" i="75"/>
  <c r="T335" i="75"/>
  <c r="T323" i="75"/>
  <c r="T321" i="75"/>
  <c r="T327" i="75"/>
  <c r="T338" i="75"/>
  <c r="T332" i="75"/>
  <c r="T316" i="75"/>
  <c r="T312" i="75"/>
  <c r="T314" i="75"/>
  <c r="T297" i="75"/>
  <c r="T303" i="75"/>
  <c r="T344" i="75"/>
  <c r="T305" i="75"/>
  <c r="T291" i="75"/>
  <c r="T270" i="75"/>
  <c r="T281" i="75"/>
  <c r="T293" i="75"/>
  <c r="T269" i="75"/>
  <c r="T274" i="75"/>
  <c r="T268" i="75"/>
  <c r="T60" i="75"/>
  <c r="T70" i="75"/>
  <c r="T69" i="75"/>
  <c r="T72" i="75"/>
  <c r="T52" i="75"/>
  <c r="T67" i="75"/>
  <c r="T65" i="75"/>
  <c r="T38" i="75"/>
  <c r="T55" i="75" s="1"/>
  <c r="AE358" i="75"/>
  <c r="AE364" i="75"/>
  <c r="AE354" i="75"/>
  <c r="AE344" i="75"/>
  <c r="AE335" i="75"/>
  <c r="AE323" i="75"/>
  <c r="AE321" i="75"/>
  <c r="AE327" i="75"/>
  <c r="AE316" i="75"/>
  <c r="AE312" i="75"/>
  <c r="AE338" i="75"/>
  <c r="AE332" i="75"/>
  <c r="AE297" i="75"/>
  <c r="AE303" i="75"/>
  <c r="AE305" i="75"/>
  <c r="AE291" i="75"/>
  <c r="AE293" i="75"/>
  <c r="AE270" i="75"/>
  <c r="AE314" i="75"/>
  <c r="AE281" i="75"/>
  <c r="AE269" i="75"/>
  <c r="AE274" i="75"/>
  <c r="AE268" i="75"/>
  <c r="AE60" i="75"/>
  <c r="AE29" i="75"/>
  <c r="AE308" i="75" s="1"/>
  <c r="AE70" i="75"/>
  <c r="AE66" i="75"/>
  <c r="AE69" i="75"/>
  <c r="AE52" i="75"/>
  <c r="AE72" i="75"/>
  <c r="AE67" i="75"/>
  <c r="AE38" i="75"/>
  <c r="AE329" i="75" s="1"/>
  <c r="AP358" i="75"/>
  <c r="AP364" i="75"/>
  <c r="AP354" i="75"/>
  <c r="AP344" i="75"/>
  <c r="AP335" i="75"/>
  <c r="AP332" i="75"/>
  <c r="AP323" i="75"/>
  <c r="AP321" i="75"/>
  <c r="AP327" i="75"/>
  <c r="AP338" i="75"/>
  <c r="AP316" i="75"/>
  <c r="AP312" i="75"/>
  <c r="AP297" i="75"/>
  <c r="AP303" i="75"/>
  <c r="AP314" i="75"/>
  <c r="AP305" i="75"/>
  <c r="AP291" i="75"/>
  <c r="AP270" i="75"/>
  <c r="AP281" i="75"/>
  <c r="AP293" i="75"/>
  <c r="AP269" i="75"/>
  <c r="AP268" i="75"/>
  <c r="AP274" i="75"/>
  <c r="AP69" i="75"/>
  <c r="AP60" i="75"/>
  <c r="AP66" i="75"/>
  <c r="AP70" i="75"/>
  <c r="AP67" i="75"/>
  <c r="AP72" i="75"/>
  <c r="AP38" i="75"/>
  <c r="AP329" i="75" s="1"/>
  <c r="BA358" i="75"/>
  <c r="BA364" i="75"/>
  <c r="BA354" i="75"/>
  <c r="BA344" i="75"/>
  <c r="BA335" i="75"/>
  <c r="BA323" i="75"/>
  <c r="BA321" i="75"/>
  <c r="BA332" i="75"/>
  <c r="BA338" i="75"/>
  <c r="BA316" i="75"/>
  <c r="BA312" i="75"/>
  <c r="BA314" i="75"/>
  <c r="BA297" i="75"/>
  <c r="BA303" i="75"/>
  <c r="BA305" i="75"/>
  <c r="BA291" i="75"/>
  <c r="BA327" i="75"/>
  <c r="BA274" i="75"/>
  <c r="BA293" i="75"/>
  <c r="BA270" i="75"/>
  <c r="BA281" i="75"/>
  <c r="BA269" i="75"/>
  <c r="BA268" i="75"/>
  <c r="BA60" i="75"/>
  <c r="BA52" i="75"/>
  <c r="BA70" i="75"/>
  <c r="BA69" i="75"/>
  <c r="BA67" i="75"/>
  <c r="BA38" i="75"/>
  <c r="BA54" i="75" s="1"/>
  <c r="T19" i="75"/>
  <c r="AF368" i="75"/>
  <c r="AF61" i="75"/>
  <c r="AF25" i="75"/>
  <c r="AF26" i="75" s="1"/>
  <c r="AF334" i="75" s="1"/>
  <c r="AS19" i="75"/>
  <c r="BE19" i="75"/>
  <c r="AS20" i="75"/>
  <c r="BE20" i="75"/>
  <c r="Q367" i="75"/>
  <c r="Q285" i="75"/>
  <c r="Q284" i="75"/>
  <c r="AB367" i="75"/>
  <c r="AB285" i="75"/>
  <c r="AB284" i="75"/>
  <c r="AB282" i="75"/>
  <c r="AB30" i="75"/>
  <c r="AK22" i="75"/>
  <c r="AT367" i="75"/>
  <c r="AT285" i="75"/>
  <c r="AT284" i="75"/>
  <c r="AT282" i="75"/>
  <c r="BD367" i="75"/>
  <c r="BD285" i="75"/>
  <c r="BD284" i="75"/>
  <c r="BD282" i="75"/>
  <c r="BA29" i="75"/>
  <c r="BA317" i="75" s="1"/>
  <c r="AB33" i="75"/>
  <c r="BC33" i="75"/>
  <c r="AM37" i="75"/>
  <c r="S38" i="75"/>
  <c r="S54" i="75" s="1"/>
  <c r="AT38" i="75"/>
  <c r="AT62" i="75" s="1"/>
  <c r="AB51" i="75"/>
  <c r="BD51" i="75"/>
  <c r="BE52" i="75"/>
  <c r="AN53" i="75"/>
  <c r="AN60" i="75"/>
  <c r="AD63" i="75"/>
  <c r="AU70" i="75"/>
  <c r="AO193" i="75"/>
  <c r="AO185" i="75"/>
  <c r="AO179" i="75"/>
  <c r="AO239" i="75"/>
  <c r="AO204" i="75"/>
  <c r="AO211" i="75"/>
  <c r="AO228" i="75"/>
  <c r="AO221" i="75"/>
  <c r="AO199" i="75"/>
  <c r="AO175" i="75"/>
  <c r="AO262" i="75"/>
  <c r="AO250" i="75"/>
  <c r="AO232" i="75"/>
  <c r="AO215" i="75"/>
  <c r="AO189" i="75"/>
  <c r="AO165" i="75"/>
  <c r="AO139" i="75"/>
  <c r="AO172" i="75"/>
  <c r="AO152" i="75"/>
  <c r="AO148" i="75"/>
  <c r="AO158" i="75"/>
  <c r="AO121" i="75"/>
  <c r="AO107" i="75"/>
  <c r="AO103" i="75"/>
  <c r="AO117" i="75"/>
  <c r="AO96" i="75"/>
  <c r="AO89" i="75"/>
  <c r="AO131" i="75"/>
  <c r="AO85" i="75"/>
  <c r="AO82" i="75"/>
  <c r="AO127" i="75"/>
  <c r="AO92" i="75"/>
  <c r="R19" i="75"/>
  <c r="R66" i="75" s="1"/>
  <c r="BG53" i="75"/>
  <c r="Y267" i="75"/>
  <c r="Y261" i="75"/>
  <c r="Y238" i="75"/>
  <c r="Y249" i="75"/>
  <c r="Y164" i="75"/>
  <c r="Y273" i="75"/>
  <c r="Y227" i="75"/>
  <c r="Y184" i="75"/>
  <c r="Y102" i="75"/>
  <c r="Y138" i="75"/>
  <c r="Y76" i="75"/>
  <c r="Y59" i="75"/>
  <c r="AH228" i="75"/>
  <c r="AH199" i="75"/>
  <c r="AH232" i="75"/>
  <c r="AH189" i="75"/>
  <c r="AH179" i="75"/>
  <c r="AH193" i="75"/>
  <c r="AH185" i="75"/>
  <c r="AH239" i="75"/>
  <c r="AH204" i="75"/>
  <c r="AH175" i="75"/>
  <c r="AH172" i="75"/>
  <c r="AH165" i="75"/>
  <c r="AH76" i="75"/>
  <c r="AR228" i="75"/>
  <c r="AR232" i="75"/>
  <c r="AR185" i="75"/>
  <c r="AR179" i="75"/>
  <c r="AR239" i="75"/>
  <c r="AR175" i="75"/>
  <c r="AR165" i="75"/>
  <c r="AR172" i="75"/>
  <c r="AR76" i="75"/>
  <c r="BB204" i="75"/>
  <c r="BB172" i="75"/>
  <c r="BB228" i="75"/>
  <c r="BB232" i="75"/>
  <c r="BB199" i="75"/>
  <c r="BB179" i="75"/>
  <c r="BB175" i="75"/>
  <c r="BB193" i="75"/>
  <c r="BB189" i="75"/>
  <c r="BB239" i="75"/>
  <c r="BB185" i="75"/>
  <c r="BB76" i="75"/>
  <c r="BB165" i="75"/>
  <c r="U364" i="75"/>
  <c r="U358" i="75"/>
  <c r="U354" i="75"/>
  <c r="U344" i="75"/>
  <c r="U327" i="75"/>
  <c r="U338" i="75"/>
  <c r="U335" i="75"/>
  <c r="U321" i="75"/>
  <c r="U332" i="75"/>
  <c r="U323" i="75"/>
  <c r="U314" i="75"/>
  <c r="U293" i="75"/>
  <c r="U297" i="75"/>
  <c r="U303" i="75"/>
  <c r="U316" i="75"/>
  <c r="U305" i="75"/>
  <c r="U291" i="75"/>
  <c r="U312" i="75"/>
  <c r="U281" i="75"/>
  <c r="U274" i="75"/>
  <c r="U268" i="75"/>
  <c r="U269" i="75"/>
  <c r="U270" i="75"/>
  <c r="U72" i="75"/>
  <c r="U70" i="75"/>
  <c r="U51" i="75"/>
  <c r="U37" i="75"/>
  <c r="U29" i="75"/>
  <c r="U30" i="75" s="1"/>
  <c r="U69" i="75"/>
  <c r="U52" i="75"/>
  <c r="U67" i="75"/>
  <c r="U53" i="75"/>
  <c r="U33" i="75"/>
  <c r="AF364" i="75"/>
  <c r="AF354" i="75"/>
  <c r="AF358" i="75"/>
  <c r="AF338" i="75"/>
  <c r="AF335" i="75"/>
  <c r="AF327" i="75"/>
  <c r="AF332" i="75"/>
  <c r="AF344" i="75"/>
  <c r="AF329" i="75"/>
  <c r="AF321" i="75"/>
  <c r="AF323" i="75"/>
  <c r="AF314" i="75"/>
  <c r="AF293" i="75"/>
  <c r="AF297" i="75"/>
  <c r="AF316" i="75"/>
  <c r="AF303" i="75"/>
  <c r="AF312" i="75"/>
  <c r="AF305" i="75"/>
  <c r="AF291" i="75"/>
  <c r="AF274" i="75"/>
  <c r="AF269" i="75"/>
  <c r="AF270" i="75"/>
  <c r="AF268" i="75"/>
  <c r="AF281" i="75"/>
  <c r="AF72" i="75"/>
  <c r="AF69" i="75"/>
  <c r="AF54" i="75"/>
  <c r="AF70" i="75"/>
  <c r="AF66" i="75"/>
  <c r="AF51" i="75"/>
  <c r="AF37" i="75"/>
  <c r="AF62" i="75"/>
  <c r="AF67" i="75"/>
  <c r="AF55" i="75"/>
  <c r="AF53" i="75"/>
  <c r="AF64" i="75"/>
  <c r="AF33" i="75"/>
  <c r="AQ364" i="75"/>
  <c r="AQ358" i="75"/>
  <c r="AQ344" i="75"/>
  <c r="AQ335" i="75"/>
  <c r="AQ327" i="75"/>
  <c r="AQ322" i="75"/>
  <c r="AQ340" i="75" s="1"/>
  <c r="AQ338" i="75"/>
  <c r="AQ330" i="75"/>
  <c r="AQ354" i="75"/>
  <c r="AQ323" i="75"/>
  <c r="AQ311" i="75"/>
  <c r="AQ309" i="75"/>
  <c r="AQ332" i="75"/>
  <c r="AQ321" i="75"/>
  <c r="AQ329" i="75"/>
  <c r="AQ315" i="75"/>
  <c r="AQ314" i="75"/>
  <c r="AQ293" i="75"/>
  <c r="AQ312" i="75"/>
  <c r="AQ297" i="75"/>
  <c r="AQ313" i="75"/>
  <c r="AQ310" i="75"/>
  <c r="AQ304" i="75"/>
  <c r="AQ303" i="75"/>
  <c r="AQ308" i="75"/>
  <c r="AQ317" i="75"/>
  <c r="AQ307" i="75"/>
  <c r="AQ306" i="75"/>
  <c r="AQ305" i="75"/>
  <c r="AQ291" i="75"/>
  <c r="AQ316" i="75"/>
  <c r="AQ268" i="75"/>
  <c r="AQ269" i="75"/>
  <c r="AQ281" i="75"/>
  <c r="AQ274" i="75"/>
  <c r="AQ270" i="75"/>
  <c r="AQ72" i="75"/>
  <c r="AQ54" i="75"/>
  <c r="AQ66" i="75"/>
  <c r="AQ52" i="75"/>
  <c r="AQ51" i="75"/>
  <c r="AQ37" i="75"/>
  <c r="AQ70" i="75"/>
  <c r="AQ65" i="75"/>
  <c r="AQ69" i="75"/>
  <c r="AQ67" i="75"/>
  <c r="AQ64" i="75"/>
  <c r="AQ55" i="75"/>
  <c r="AQ53" i="75"/>
  <c r="AQ33" i="75"/>
  <c r="BB364" i="75"/>
  <c r="BB354" i="75"/>
  <c r="BB358" i="75"/>
  <c r="BB344" i="75"/>
  <c r="BB338" i="75"/>
  <c r="BB327" i="75"/>
  <c r="BB335" i="75"/>
  <c r="BB332" i="75"/>
  <c r="BB323" i="75"/>
  <c r="BB321" i="75"/>
  <c r="BB314" i="75"/>
  <c r="BB293" i="75"/>
  <c r="BB297" i="75"/>
  <c r="BB303" i="75"/>
  <c r="BB316" i="75"/>
  <c r="BB305" i="75"/>
  <c r="BB312" i="75"/>
  <c r="BB291" i="75"/>
  <c r="BB281" i="75"/>
  <c r="BB274" i="75"/>
  <c r="BB270" i="75"/>
  <c r="BB268" i="75"/>
  <c r="BB269" i="75"/>
  <c r="BB72" i="75"/>
  <c r="BB52" i="75"/>
  <c r="BB66" i="75"/>
  <c r="BB51" i="75"/>
  <c r="BB37" i="75"/>
  <c r="BB70" i="75"/>
  <c r="BB69" i="75"/>
  <c r="BB67" i="75"/>
  <c r="BB53" i="75"/>
  <c r="BB33" i="75"/>
  <c r="BB29" i="75"/>
  <c r="BB330" i="75" s="1"/>
  <c r="U19" i="75"/>
  <c r="U66" i="75" s="1"/>
  <c r="AH19" i="75"/>
  <c r="AH66" i="75" s="1"/>
  <c r="AT19" i="75"/>
  <c r="BF19" i="75"/>
  <c r="V20" i="75"/>
  <c r="AH20" i="75"/>
  <c r="BF20" i="75"/>
  <c r="W21" i="75"/>
  <c r="R367" i="75"/>
  <c r="R285" i="75"/>
  <c r="R284" i="75"/>
  <c r="AZ24" i="75"/>
  <c r="W29" i="75"/>
  <c r="W330" i="75" s="1"/>
  <c r="AN29" i="75"/>
  <c r="AN30" i="75" s="1"/>
  <c r="AE33" i="75"/>
  <c r="BF33" i="75"/>
  <c r="O37" i="75"/>
  <c r="AP37" i="75"/>
  <c r="U38" i="75"/>
  <c r="U62" i="75" s="1"/>
  <c r="AZ38" i="75"/>
  <c r="AZ62" i="75" s="1"/>
  <c r="AE51" i="75"/>
  <c r="BF51" i="75"/>
  <c r="AI52" i="75"/>
  <c r="O53" i="75"/>
  <c r="AP53" i="75"/>
  <c r="AE55" i="75"/>
  <c r="O60" i="75"/>
  <c r="AQ60" i="75"/>
  <c r="AF63" i="75"/>
  <c r="P69" i="75"/>
  <c r="BG70" i="75"/>
  <c r="BG78" i="75"/>
  <c r="BG186" i="75" s="1"/>
  <c r="AN358" i="75"/>
  <c r="AN364" i="75"/>
  <c r="AN354" i="75"/>
  <c r="AN344" i="75"/>
  <c r="AN338" i="75"/>
  <c r="AN332" i="75"/>
  <c r="AN335" i="75"/>
  <c r="AN327" i="75"/>
  <c r="AN323" i="75"/>
  <c r="AN316" i="75"/>
  <c r="AN321" i="75"/>
  <c r="AN312" i="75"/>
  <c r="AN305" i="75"/>
  <c r="AN291" i="75"/>
  <c r="AN297" i="75"/>
  <c r="AN314" i="75"/>
  <c r="AN303" i="75"/>
  <c r="AN270" i="75"/>
  <c r="AN268" i="75"/>
  <c r="AN293" i="75"/>
  <c r="AN281" i="75"/>
  <c r="AN269" i="75"/>
  <c r="AN274" i="75"/>
  <c r="AN72" i="75"/>
  <c r="AN38" i="75"/>
  <c r="AN64" i="75" s="1"/>
  <c r="AN33" i="75"/>
  <c r="AN52" i="75"/>
  <c r="AN51" i="75"/>
  <c r="AN37" i="75"/>
  <c r="AN70" i="75"/>
  <c r="AN69" i="75"/>
  <c r="AN20" i="75"/>
  <c r="BA122" i="73"/>
  <c r="AA228" i="75"/>
  <c r="AA232" i="75"/>
  <c r="AA211" i="75"/>
  <c r="AA189" i="75"/>
  <c r="AA262" i="75"/>
  <c r="AA193" i="75"/>
  <c r="AA221" i="75"/>
  <c r="AA204" i="75"/>
  <c r="AA185" i="75"/>
  <c r="AA250" i="75"/>
  <c r="AA239" i="75"/>
  <c r="AA215" i="75"/>
  <c r="AA199" i="75"/>
  <c r="AA158" i="75"/>
  <c r="AA121" i="75"/>
  <c r="AA107" i="75"/>
  <c r="AA103" i="75"/>
  <c r="AA172" i="75"/>
  <c r="AA165" i="75"/>
  <c r="AA117" i="75"/>
  <c r="AA96" i="75"/>
  <c r="AA89" i="75"/>
  <c r="AA131" i="75"/>
  <c r="AA175" i="75"/>
  <c r="AA127" i="75"/>
  <c r="AA139" i="75"/>
  <c r="AA85" i="75"/>
  <c r="AA152" i="75"/>
  <c r="AA92" i="75"/>
  <c r="AA76" i="75"/>
  <c r="AA148" i="75"/>
  <c r="AA179" i="75"/>
  <c r="AA82" i="75"/>
  <c r="AI228" i="75"/>
  <c r="AI221" i="75"/>
  <c r="AI199" i="75"/>
  <c r="AI250" i="75"/>
  <c r="AI232" i="75"/>
  <c r="AI215" i="75"/>
  <c r="AI189" i="75"/>
  <c r="AI193" i="75"/>
  <c r="AI185" i="75"/>
  <c r="AI239" i="75"/>
  <c r="AI204" i="75"/>
  <c r="AI211" i="75"/>
  <c r="AI76" i="75"/>
  <c r="AS228" i="75"/>
  <c r="AS175" i="75"/>
  <c r="AS232" i="75"/>
  <c r="AS199" i="75"/>
  <c r="AS189" i="75"/>
  <c r="AS185" i="75"/>
  <c r="AS179" i="75"/>
  <c r="AS239" i="75"/>
  <c r="AS193" i="75"/>
  <c r="AS204" i="75"/>
  <c r="AS165" i="75"/>
  <c r="AS172" i="75"/>
  <c r="AS76" i="75"/>
  <c r="BC228" i="75"/>
  <c r="BC232" i="75"/>
  <c r="BC199" i="75"/>
  <c r="BC175" i="75"/>
  <c r="BC189" i="75"/>
  <c r="BC185" i="75"/>
  <c r="BC239" i="75"/>
  <c r="BC193" i="75"/>
  <c r="BC204" i="75"/>
  <c r="BC172" i="75"/>
  <c r="BC165" i="75"/>
  <c r="BC179" i="75"/>
  <c r="BC76" i="75"/>
  <c r="J16" i="75"/>
  <c r="V364" i="75"/>
  <c r="V358" i="75"/>
  <c r="V344" i="75"/>
  <c r="V354" i="75"/>
  <c r="V335" i="75"/>
  <c r="V332" i="75"/>
  <c r="V338" i="75"/>
  <c r="V316" i="75"/>
  <c r="V323" i="75"/>
  <c r="V327" i="75"/>
  <c r="V312" i="75"/>
  <c r="V322" i="75"/>
  <c r="V314" i="75"/>
  <c r="V297" i="75"/>
  <c r="V303" i="75"/>
  <c r="V308" i="75"/>
  <c r="V305" i="75"/>
  <c r="V291" i="75"/>
  <c r="V281" i="75"/>
  <c r="V321" i="75"/>
  <c r="V293" i="75"/>
  <c r="V269" i="75"/>
  <c r="V274" i="75"/>
  <c r="V268" i="75"/>
  <c r="V270" i="75"/>
  <c r="V69" i="75"/>
  <c r="V51" i="75"/>
  <c r="V37" i="75"/>
  <c r="V72" i="75"/>
  <c r="V67" i="75"/>
  <c r="V53" i="75"/>
  <c r="V38" i="75"/>
  <c r="V54" i="75" s="1"/>
  <c r="V60" i="75"/>
  <c r="V28" i="75"/>
  <c r="V21" i="75"/>
  <c r="V19" i="75"/>
  <c r="AG364" i="75"/>
  <c r="AG354" i="75"/>
  <c r="AG344" i="75"/>
  <c r="AG358" i="75"/>
  <c r="AG335" i="75"/>
  <c r="AG330" i="75"/>
  <c r="AG332" i="75"/>
  <c r="AG323" i="75"/>
  <c r="AG316" i="75"/>
  <c r="AG311" i="75"/>
  <c r="AG321" i="75"/>
  <c r="AG312" i="75"/>
  <c r="AG309" i="75"/>
  <c r="AG338" i="75"/>
  <c r="AG314" i="75"/>
  <c r="AG327" i="75"/>
  <c r="AG322" i="75"/>
  <c r="AG315" i="75"/>
  <c r="AG297" i="75"/>
  <c r="AG303" i="75"/>
  <c r="AG304" i="75"/>
  <c r="AG308" i="75"/>
  <c r="AG307" i="75"/>
  <c r="AG305" i="75"/>
  <c r="AG291" i="75"/>
  <c r="AG313" i="75"/>
  <c r="AG306" i="75"/>
  <c r="AG317" i="75"/>
  <c r="AG281" i="75"/>
  <c r="AG310" i="75"/>
  <c r="AG269" i="75"/>
  <c r="AG274" i="75"/>
  <c r="AG270" i="75"/>
  <c r="AG293" i="75"/>
  <c r="AG268" i="75"/>
  <c r="AG70" i="75"/>
  <c r="AG51" i="75"/>
  <c r="AG37" i="75"/>
  <c r="AG52" i="75"/>
  <c r="AG69" i="75"/>
  <c r="AG65" i="75"/>
  <c r="AG67" i="75"/>
  <c r="AG53" i="75"/>
  <c r="AG72" i="75"/>
  <c r="AG38" i="75"/>
  <c r="AG60" i="75"/>
  <c r="AG19" i="75"/>
  <c r="AG66" i="75" s="1"/>
  <c r="AR358" i="75"/>
  <c r="AR344" i="75"/>
  <c r="AR354" i="75"/>
  <c r="AR364" i="75"/>
  <c r="AR335" i="75"/>
  <c r="AR338" i="75"/>
  <c r="AR332" i="75"/>
  <c r="AR323" i="75"/>
  <c r="AR316" i="75"/>
  <c r="AR327" i="75"/>
  <c r="AR312" i="75"/>
  <c r="AR321" i="75"/>
  <c r="AR314" i="75"/>
  <c r="AR297" i="75"/>
  <c r="AR303" i="75"/>
  <c r="AR305" i="75"/>
  <c r="AR291" i="75"/>
  <c r="AR281" i="75"/>
  <c r="AR293" i="75"/>
  <c r="AR269" i="75"/>
  <c r="AR274" i="75"/>
  <c r="AR268" i="75"/>
  <c r="AR270" i="75"/>
  <c r="AR52" i="75"/>
  <c r="AR51" i="75"/>
  <c r="AR37" i="75"/>
  <c r="AR70" i="75"/>
  <c r="AR69" i="75"/>
  <c r="AR67" i="75"/>
  <c r="AR53" i="75"/>
  <c r="AR38" i="75"/>
  <c r="AR55" i="75" s="1"/>
  <c r="AR72" i="75"/>
  <c r="AR60" i="75"/>
  <c r="AR29" i="75"/>
  <c r="AR322" i="75" s="1"/>
  <c r="AR19" i="75"/>
  <c r="BC344" i="75"/>
  <c r="BC364" i="75"/>
  <c r="BC358" i="75"/>
  <c r="BC354" i="75"/>
  <c r="BC335" i="75"/>
  <c r="BC327" i="75"/>
  <c r="BC317" i="75"/>
  <c r="BC330" i="75"/>
  <c r="BC323" i="75"/>
  <c r="BC316" i="75"/>
  <c r="BC309" i="75"/>
  <c r="BC338" i="75"/>
  <c r="BC332" i="75"/>
  <c r="BC322" i="75"/>
  <c r="BC312" i="75"/>
  <c r="BC315" i="75"/>
  <c r="BC321" i="75"/>
  <c r="BC314" i="75"/>
  <c r="BC311" i="75"/>
  <c r="BC304" i="75"/>
  <c r="BC297" i="75"/>
  <c r="BC303" i="75"/>
  <c r="BC308" i="75"/>
  <c r="BC307" i="75"/>
  <c r="BC306" i="75"/>
  <c r="BC305" i="75"/>
  <c r="BC291" i="75"/>
  <c r="BC310" i="75"/>
  <c r="BC313" i="75"/>
  <c r="BC293" i="75"/>
  <c r="BC281" i="75"/>
  <c r="BC269" i="75"/>
  <c r="BC274" i="75"/>
  <c r="BC270" i="75"/>
  <c r="BC268" i="75"/>
  <c r="BC65" i="75"/>
  <c r="BC51" i="75"/>
  <c r="BC37" i="75"/>
  <c r="BC70" i="75"/>
  <c r="BC69" i="75"/>
  <c r="BC67" i="75"/>
  <c r="BC53" i="75"/>
  <c r="BC38" i="75"/>
  <c r="BC324" i="75" s="1" a="1"/>
  <c r="BC324" i="75" s="1"/>
  <c r="BC72" i="75"/>
  <c r="BC60" i="75"/>
  <c r="BC19" i="75"/>
  <c r="W19" i="75"/>
  <c r="W66" i="75" s="1"/>
  <c r="AI19" i="75"/>
  <c r="AU368" i="75"/>
  <c r="AU63" i="75"/>
  <c r="AU25" i="75"/>
  <c r="AU26" i="75" s="1"/>
  <c r="AU334" i="75" s="1"/>
  <c r="O21" i="75"/>
  <c r="AD367" i="75"/>
  <c r="AD284" i="75"/>
  <c r="AD282" i="75"/>
  <c r="AD285" i="75"/>
  <c r="AN367" i="75"/>
  <c r="AN284" i="75"/>
  <c r="AN282" i="75"/>
  <c r="AN285" i="75"/>
  <c r="BF367" i="75"/>
  <c r="BF284" i="75"/>
  <c r="BF282" i="75"/>
  <c r="BF285" i="75"/>
  <c r="BF30" i="75"/>
  <c r="AA29" i="75"/>
  <c r="AA311" i="75" s="1"/>
  <c r="AP29" i="75"/>
  <c r="AP313" i="75" s="1"/>
  <c r="BD29" i="75"/>
  <c r="AG33" i="75"/>
  <c r="Q37" i="75"/>
  <c r="AS37" i="75"/>
  <c r="AA38" i="75"/>
  <c r="AA54" i="75" s="1"/>
  <c r="BB38" i="75"/>
  <c r="AH51" i="75"/>
  <c r="R53" i="75"/>
  <c r="AS53" i="75"/>
  <c r="R60" i="75"/>
  <c r="AD62" i="75"/>
  <c r="AY67" i="75"/>
  <c r="AA69" i="75"/>
  <c r="AO76" i="75"/>
  <c r="AE239" i="75"/>
  <c r="AE199" i="75"/>
  <c r="AE175" i="75"/>
  <c r="AE228" i="75"/>
  <c r="AE232" i="75"/>
  <c r="AE189" i="75"/>
  <c r="AE193" i="75"/>
  <c r="AE204" i="75"/>
  <c r="AE185" i="75"/>
  <c r="AE179" i="75"/>
  <c r="AE172" i="75"/>
  <c r="AE165" i="75"/>
  <c r="AE76" i="75"/>
  <c r="AC358" i="75"/>
  <c r="AC364" i="75"/>
  <c r="AC354" i="75"/>
  <c r="AC344" i="75"/>
  <c r="AC338" i="75"/>
  <c r="AC332" i="75"/>
  <c r="AC327" i="75"/>
  <c r="AC335" i="75"/>
  <c r="AC321" i="75"/>
  <c r="AC316" i="75"/>
  <c r="AC323" i="75"/>
  <c r="AC312" i="75"/>
  <c r="AC314" i="75"/>
  <c r="AC305" i="75"/>
  <c r="AC291" i="75"/>
  <c r="AC297" i="75"/>
  <c r="AC303" i="75"/>
  <c r="AC293" i="75"/>
  <c r="AC270" i="75"/>
  <c r="AC268" i="75"/>
  <c r="AC281" i="75"/>
  <c r="AC269" i="75"/>
  <c r="AC274" i="75"/>
  <c r="AC38" i="75"/>
  <c r="AC33" i="75"/>
  <c r="AC29" i="75"/>
  <c r="AC304" i="75" s="1"/>
  <c r="AC70" i="75"/>
  <c r="AC51" i="75"/>
  <c r="AC37" i="75"/>
  <c r="AC69" i="75"/>
  <c r="AC20" i="75"/>
  <c r="BB368" i="75"/>
  <c r="BB61" i="75"/>
  <c r="AB232" i="75"/>
  <c r="AB211" i="75"/>
  <c r="AB189" i="75"/>
  <c r="AB262" i="75"/>
  <c r="AB193" i="75"/>
  <c r="AB179" i="75"/>
  <c r="AB221" i="75"/>
  <c r="AB204" i="75"/>
  <c r="AB185" i="75"/>
  <c r="AB250" i="75"/>
  <c r="AB239" i="75"/>
  <c r="AB215" i="75"/>
  <c r="AB199" i="75"/>
  <c r="AB158" i="75"/>
  <c r="AB121" i="75"/>
  <c r="AB107" i="75"/>
  <c r="AB103" i="75"/>
  <c r="AB172" i="75"/>
  <c r="AB165" i="75"/>
  <c r="AB117" i="75"/>
  <c r="AB131" i="75"/>
  <c r="AB175" i="75"/>
  <c r="AB127" i="75"/>
  <c r="AB228" i="75"/>
  <c r="AB139" i="75"/>
  <c r="AB85" i="75"/>
  <c r="AB152" i="75"/>
  <c r="AB92" i="75"/>
  <c r="AB148" i="75"/>
  <c r="AB82" i="75"/>
  <c r="AB76" i="75"/>
  <c r="AB89" i="75"/>
  <c r="AB96" i="75"/>
  <c r="AK267" i="75"/>
  <c r="AK184" i="75"/>
  <c r="AK261" i="75"/>
  <c r="AK238" i="75"/>
  <c r="AK249" i="75"/>
  <c r="AK227" i="75"/>
  <c r="AK273" i="75"/>
  <c r="AK102" i="75"/>
  <c r="AK138" i="75"/>
  <c r="AK164" i="75"/>
  <c r="AK76" i="75"/>
  <c r="AK59" i="75"/>
  <c r="AK36" i="75"/>
  <c r="AT228" i="75"/>
  <c r="AT232" i="75"/>
  <c r="AT199" i="75"/>
  <c r="AT189" i="75"/>
  <c r="AT185" i="75"/>
  <c r="AT179" i="75"/>
  <c r="AT239" i="75"/>
  <c r="AT193" i="75"/>
  <c r="AT204" i="75"/>
  <c r="AT172" i="75"/>
  <c r="AT175" i="75"/>
  <c r="AT165" i="75"/>
  <c r="AT76" i="75"/>
  <c r="BD228" i="75"/>
  <c r="BD232" i="75"/>
  <c r="BD185" i="75"/>
  <c r="BD239" i="75"/>
  <c r="BD179" i="75"/>
  <c r="BD172" i="75"/>
  <c r="BD165" i="75"/>
  <c r="BD76" i="75"/>
  <c r="BD175" i="75"/>
  <c r="O364" i="75"/>
  <c r="O354" i="75"/>
  <c r="O358" i="75"/>
  <c r="O344" i="75"/>
  <c r="O335" i="75"/>
  <c r="O332" i="75"/>
  <c r="O338" i="75"/>
  <c r="O321" i="75"/>
  <c r="O314" i="75"/>
  <c r="O327" i="75"/>
  <c r="O323" i="75"/>
  <c r="O303" i="75"/>
  <c r="O312" i="75"/>
  <c r="O305" i="75"/>
  <c r="O293" i="75"/>
  <c r="O281" i="75"/>
  <c r="O297" i="75"/>
  <c r="O291" i="75"/>
  <c r="O274" i="75"/>
  <c r="O270" i="75"/>
  <c r="O268" i="75"/>
  <c r="O316" i="75"/>
  <c r="O269" i="75"/>
  <c r="O70" i="75"/>
  <c r="O69" i="75"/>
  <c r="O72" i="75"/>
  <c r="O67" i="75"/>
  <c r="O52" i="75"/>
  <c r="O38" i="75"/>
  <c r="O329" i="75" s="1"/>
  <c r="O33" i="75"/>
  <c r="W364" i="75"/>
  <c r="W354" i="75"/>
  <c r="W358" i="75"/>
  <c r="W335" i="75"/>
  <c r="W344" i="75"/>
  <c r="W332" i="75"/>
  <c r="W323" i="75"/>
  <c r="W327" i="75"/>
  <c r="W314" i="75"/>
  <c r="W338" i="75"/>
  <c r="W321" i="75"/>
  <c r="W303" i="75"/>
  <c r="W305" i="75"/>
  <c r="W316" i="75"/>
  <c r="W312" i="75"/>
  <c r="W293" i="75"/>
  <c r="W281" i="75"/>
  <c r="W291" i="75"/>
  <c r="W297" i="75"/>
  <c r="W274" i="75"/>
  <c r="W270" i="75"/>
  <c r="W268" i="75"/>
  <c r="W269" i="75"/>
  <c r="W70" i="75"/>
  <c r="W69" i="75"/>
  <c r="W52" i="75"/>
  <c r="W72" i="75"/>
  <c r="W67" i="75"/>
  <c r="W38" i="75"/>
  <c r="W55" i="75" s="1"/>
  <c r="W33" i="75"/>
  <c r="AH364" i="75"/>
  <c r="AH354" i="75"/>
  <c r="AH358" i="75"/>
  <c r="AH335" i="75"/>
  <c r="AH344" i="75"/>
  <c r="AH338" i="75"/>
  <c r="AH321" i="75"/>
  <c r="AH323" i="75"/>
  <c r="AH314" i="75"/>
  <c r="AH327" i="75"/>
  <c r="AH332" i="75"/>
  <c r="AH303" i="75"/>
  <c r="AH316" i="75"/>
  <c r="AH312" i="75"/>
  <c r="AH305" i="75"/>
  <c r="AH293" i="75"/>
  <c r="AH281" i="75"/>
  <c r="AH297" i="75"/>
  <c r="AH291" i="75"/>
  <c r="AH274" i="75"/>
  <c r="AH270" i="75"/>
  <c r="AH268" i="75"/>
  <c r="AH269" i="75"/>
  <c r="AH70" i="75"/>
  <c r="AH52" i="75"/>
  <c r="AH69" i="75"/>
  <c r="AH67" i="75"/>
  <c r="AH72" i="75"/>
  <c r="AH38" i="75"/>
  <c r="AH329" i="75" s="1"/>
  <c r="AH33" i="75"/>
  <c r="AH29" i="75"/>
  <c r="AH30" i="75" s="1"/>
  <c r="AS364" i="75"/>
  <c r="AS354" i="75"/>
  <c r="AS358" i="75"/>
  <c r="AS344" i="75"/>
  <c r="AS335" i="75"/>
  <c r="AS327" i="75"/>
  <c r="AS321" i="75"/>
  <c r="AS338" i="75"/>
  <c r="AS332" i="75"/>
  <c r="AS314" i="75"/>
  <c r="AS312" i="75"/>
  <c r="AS303" i="75"/>
  <c r="AS305" i="75"/>
  <c r="AS316" i="75"/>
  <c r="AS293" i="75"/>
  <c r="AS281" i="75"/>
  <c r="AS297" i="75"/>
  <c r="AS291" i="75"/>
  <c r="AS323" i="75"/>
  <c r="AS274" i="75"/>
  <c r="AS270" i="75"/>
  <c r="AS268" i="75"/>
  <c r="AS269" i="75"/>
  <c r="AS70" i="75"/>
  <c r="AS69" i="75"/>
  <c r="AS67" i="75"/>
  <c r="AS38" i="75"/>
  <c r="AS54" i="75" s="1"/>
  <c r="AS72" i="75"/>
  <c r="AS33" i="75"/>
  <c r="BD364" i="75"/>
  <c r="BD354" i="75"/>
  <c r="BD358" i="75"/>
  <c r="BD344" i="75"/>
  <c r="BD335" i="75"/>
  <c r="BD327" i="75"/>
  <c r="BD332" i="75"/>
  <c r="BD338" i="75"/>
  <c r="BD317" i="75"/>
  <c r="BD313" i="75"/>
  <c r="BD322" i="75"/>
  <c r="BD323" i="75"/>
  <c r="BD321" i="75"/>
  <c r="BD314" i="75"/>
  <c r="BD311" i="75"/>
  <c r="BD310" i="75"/>
  <c r="BD303" i="75"/>
  <c r="BD315" i="75"/>
  <c r="BD308" i="75"/>
  <c r="BD307" i="75"/>
  <c r="BD330" i="75"/>
  <c r="BD306" i="75"/>
  <c r="BD316" i="75"/>
  <c r="BD305" i="75"/>
  <c r="BD312" i="75"/>
  <c r="BD309" i="75"/>
  <c r="BD293" i="75"/>
  <c r="BD297" i="75"/>
  <c r="BD281" i="75"/>
  <c r="BD304" i="75"/>
  <c r="BD291" i="75"/>
  <c r="BD274" i="75"/>
  <c r="BD270" i="75"/>
  <c r="BD268" i="75"/>
  <c r="BD269" i="75"/>
  <c r="BD70" i="75"/>
  <c r="BD67" i="75"/>
  <c r="BD69" i="75"/>
  <c r="BD38" i="75"/>
  <c r="BD55" i="75" s="1"/>
  <c r="BD33" i="75"/>
  <c r="BD72" i="75"/>
  <c r="BD68" i="75"/>
  <c r="BD52" i="75"/>
  <c r="O19" i="75"/>
  <c r="O66" i="75" s="1"/>
  <c r="AA368" i="75"/>
  <c r="AA61" i="75"/>
  <c r="AA25" i="75"/>
  <c r="AM368" i="75"/>
  <c r="AM63" i="75"/>
  <c r="AM25" i="75"/>
  <c r="AY19" i="75"/>
  <c r="AY66" i="75" s="1"/>
  <c r="O20" i="75"/>
  <c r="P21" i="75"/>
  <c r="T367" i="75"/>
  <c r="T284" i="75"/>
  <c r="T285" i="75"/>
  <c r="T37" i="75"/>
  <c r="BE38" i="75"/>
  <c r="BE54" i="75" s="1"/>
  <c r="Q52" i="75"/>
  <c r="AP52" i="75"/>
  <c r="T53" i="75"/>
  <c r="AY53" i="75"/>
  <c r="AD54" i="75"/>
  <c r="AN55" i="75"/>
  <c r="AY60" i="75"/>
  <c r="AD61" i="75"/>
  <c r="T64" i="75"/>
  <c r="AZ76" i="75"/>
  <c r="AB242" i="75"/>
  <c r="AB243" i="75" s="1"/>
  <c r="AB141" i="75"/>
  <c r="BB173" i="75"/>
  <c r="AP173" i="75"/>
  <c r="AD173" i="75"/>
  <c r="R173" i="75"/>
  <c r="AW212" i="75"/>
  <c r="AK212" i="75"/>
  <c r="AZ173" i="75"/>
  <c r="AN173" i="75"/>
  <c r="AB173" i="75"/>
  <c r="P173" i="75"/>
  <c r="Y212" i="75"/>
  <c r="M212" i="75"/>
  <c r="BF173" i="75"/>
  <c r="AT173" i="75"/>
  <c r="AH173" i="75"/>
  <c r="AH174" i="75" s="1"/>
  <c r="AH11" i="75" s="1"/>
  <c r="V173" i="75"/>
  <c r="AY173" i="75"/>
  <c r="AE173" i="75"/>
  <c r="AS173" i="75"/>
  <c r="AC173" i="75"/>
  <c r="AA173" i="75"/>
  <c r="AQ173" i="75"/>
  <c r="U173" i="75"/>
  <c r="AM118" i="75"/>
  <c r="BE173" i="75"/>
  <c r="AO173" i="75"/>
  <c r="AM173" i="75"/>
  <c r="S173" i="75"/>
  <c r="BC173" i="75"/>
  <c r="AG173" i="75"/>
  <c r="Q173" i="75"/>
  <c r="BA173" i="75"/>
  <c r="AZ118" i="75"/>
  <c r="P122" i="75"/>
  <c r="Q118" i="75"/>
  <c r="AC262" i="75"/>
  <c r="AC193" i="75"/>
  <c r="AC179" i="75"/>
  <c r="AC221" i="75"/>
  <c r="AC204" i="75"/>
  <c r="AC185" i="75"/>
  <c r="AC250" i="75"/>
  <c r="AC239" i="75"/>
  <c r="AC215" i="75"/>
  <c r="AC199" i="75"/>
  <c r="AC175" i="75"/>
  <c r="AC228" i="75"/>
  <c r="AC211" i="75"/>
  <c r="AC172" i="75"/>
  <c r="AC165" i="75"/>
  <c r="AC117" i="75"/>
  <c r="AC96" i="75"/>
  <c r="AC131" i="75"/>
  <c r="AC189" i="75"/>
  <c r="AC127" i="75"/>
  <c r="AC232" i="75"/>
  <c r="AC139" i="75"/>
  <c r="AC85" i="75"/>
  <c r="AC152" i="75"/>
  <c r="AC92" i="75"/>
  <c r="AC148" i="75"/>
  <c r="AC82" i="75"/>
  <c r="AC76" i="75"/>
  <c r="AC158" i="75"/>
  <c r="AC89" i="75"/>
  <c r="AC103" i="75"/>
  <c r="AC121" i="75"/>
  <c r="AC107" i="75"/>
  <c r="AM250" i="75"/>
  <c r="AM232" i="75"/>
  <c r="AM215" i="75"/>
  <c r="AM189" i="75"/>
  <c r="AM193" i="75"/>
  <c r="AM185" i="75"/>
  <c r="AM239" i="75"/>
  <c r="AM204" i="75"/>
  <c r="AM211" i="75"/>
  <c r="AM199" i="75"/>
  <c r="AM131" i="75"/>
  <c r="AM262" i="75"/>
  <c r="AM127" i="75"/>
  <c r="AM172" i="75"/>
  <c r="AM165" i="75"/>
  <c r="AM139" i="75"/>
  <c r="AM85" i="75"/>
  <c r="AM228" i="75"/>
  <c r="AM221" i="75"/>
  <c r="AM152" i="75"/>
  <c r="AM92" i="75"/>
  <c r="AM179" i="75"/>
  <c r="AM148" i="75"/>
  <c r="AM82" i="75"/>
  <c r="AM158" i="75"/>
  <c r="AM121" i="75"/>
  <c r="AM107" i="75"/>
  <c r="AM103" i="75"/>
  <c r="AM89" i="75"/>
  <c r="AM76" i="75"/>
  <c r="AM96" i="75"/>
  <c r="AM175" i="75"/>
  <c r="AM117" i="75"/>
  <c r="AU232" i="75"/>
  <c r="AU199" i="75"/>
  <c r="AU211" i="75"/>
  <c r="AU189" i="75"/>
  <c r="AU185" i="75"/>
  <c r="AU239" i="75"/>
  <c r="AU193" i="75"/>
  <c r="AU221" i="75"/>
  <c r="AU204" i="75"/>
  <c r="AU250" i="75"/>
  <c r="AU215" i="75"/>
  <c r="AU228" i="75"/>
  <c r="AU76" i="75"/>
  <c r="BE228" i="75"/>
  <c r="BE232" i="75"/>
  <c r="BE175" i="75"/>
  <c r="BE199" i="75"/>
  <c r="BE185" i="75"/>
  <c r="BE239" i="75"/>
  <c r="BE189" i="75"/>
  <c r="BE179" i="75"/>
  <c r="BE193" i="75"/>
  <c r="BE204" i="75"/>
  <c r="BE172" i="75"/>
  <c r="BE165" i="75"/>
  <c r="BE76" i="75"/>
  <c r="P358" i="75"/>
  <c r="P364" i="75"/>
  <c r="P354" i="75"/>
  <c r="P344" i="75"/>
  <c r="P338" i="75"/>
  <c r="P332" i="75"/>
  <c r="P329" i="75"/>
  <c r="P327" i="75"/>
  <c r="P312" i="75"/>
  <c r="P321" i="75"/>
  <c r="P335" i="75"/>
  <c r="P323" i="75"/>
  <c r="P316" i="75"/>
  <c r="P305" i="75"/>
  <c r="P291" i="75"/>
  <c r="P314" i="75"/>
  <c r="P297" i="75"/>
  <c r="P303" i="75"/>
  <c r="P274" i="75"/>
  <c r="P270" i="75"/>
  <c r="P268" i="75"/>
  <c r="P293" i="75"/>
  <c r="P269" i="75"/>
  <c r="P281" i="75"/>
  <c r="P72" i="75"/>
  <c r="P67" i="75"/>
  <c r="P52" i="75"/>
  <c r="P62" i="75"/>
  <c r="P55" i="75"/>
  <c r="P53" i="75"/>
  <c r="P64" i="75"/>
  <c r="P33" i="75"/>
  <c r="P60" i="75"/>
  <c r="P70" i="75"/>
  <c r="P51" i="75"/>
  <c r="P37" i="75"/>
  <c r="P29" i="75"/>
  <c r="P30" i="75" s="1"/>
  <c r="AA358" i="75"/>
  <c r="AA364" i="75"/>
  <c r="AA354" i="75"/>
  <c r="AA344" i="75"/>
  <c r="AA338" i="75"/>
  <c r="AA332" i="75"/>
  <c r="AA327" i="75"/>
  <c r="AA329" i="75"/>
  <c r="AA335" i="75"/>
  <c r="AA312" i="75"/>
  <c r="AA321" i="75"/>
  <c r="AA316" i="75"/>
  <c r="AA323" i="75"/>
  <c r="AA314" i="75"/>
  <c r="AA305" i="75"/>
  <c r="AA291" i="75"/>
  <c r="AA297" i="75"/>
  <c r="AA293" i="75"/>
  <c r="AA303" i="75"/>
  <c r="AA274" i="75"/>
  <c r="AA270" i="75"/>
  <c r="AA268" i="75"/>
  <c r="AA281" i="75"/>
  <c r="AA269" i="75"/>
  <c r="AA67" i="75"/>
  <c r="AA62" i="75"/>
  <c r="AA72" i="75"/>
  <c r="AA55" i="75"/>
  <c r="AA53" i="75"/>
  <c r="AA33" i="75"/>
  <c r="AA60" i="75"/>
  <c r="AA70" i="75"/>
  <c r="AA66" i="75"/>
  <c r="AA51" i="75"/>
  <c r="AA37" i="75"/>
  <c r="AI358" i="75"/>
  <c r="AI364" i="75"/>
  <c r="AI354" i="75"/>
  <c r="AI344" i="75"/>
  <c r="AI338" i="75"/>
  <c r="AI332" i="75"/>
  <c r="AI330" i="75"/>
  <c r="AI327" i="75"/>
  <c r="AI322" i="75"/>
  <c r="AI323" i="75"/>
  <c r="AI312" i="75"/>
  <c r="AI309" i="75"/>
  <c r="AI335" i="75"/>
  <c r="AI315" i="75"/>
  <c r="AI316" i="75"/>
  <c r="AI311" i="75"/>
  <c r="AI304" i="75"/>
  <c r="AI308" i="75"/>
  <c r="AI307" i="75"/>
  <c r="AI305" i="75"/>
  <c r="AI291" i="75"/>
  <c r="AI306" i="75"/>
  <c r="AI313" i="75"/>
  <c r="AI317" i="75"/>
  <c r="AI321" i="75"/>
  <c r="AI314" i="75"/>
  <c r="AI310" i="75"/>
  <c r="AI297" i="75"/>
  <c r="AI303" i="75"/>
  <c r="AI274" i="75"/>
  <c r="AI270" i="75"/>
  <c r="AI268" i="75"/>
  <c r="AI293" i="75"/>
  <c r="AI281" i="75"/>
  <c r="AI269" i="75"/>
  <c r="AI69" i="75"/>
  <c r="AI65" i="75"/>
  <c r="AI67" i="75"/>
  <c r="AI53" i="75"/>
  <c r="AI72" i="75"/>
  <c r="AI33" i="75"/>
  <c r="AI60" i="75"/>
  <c r="AI68" i="75"/>
  <c r="AI66" i="75"/>
  <c r="AI51" i="75"/>
  <c r="AI37" i="75"/>
  <c r="AT358" i="75"/>
  <c r="AT364" i="75"/>
  <c r="AT354" i="75"/>
  <c r="AT338" i="75"/>
  <c r="AT332" i="75"/>
  <c r="AT344" i="75"/>
  <c r="AT323" i="75"/>
  <c r="AT335" i="75"/>
  <c r="AT312" i="75"/>
  <c r="AT327" i="75"/>
  <c r="AT321" i="75"/>
  <c r="AT329" i="75"/>
  <c r="AT316" i="75"/>
  <c r="AT305" i="75"/>
  <c r="AT291" i="75"/>
  <c r="AT314" i="75"/>
  <c r="AT293" i="75"/>
  <c r="AT297" i="75"/>
  <c r="AT303" i="75"/>
  <c r="AT274" i="75"/>
  <c r="AT270" i="75"/>
  <c r="AT268" i="75"/>
  <c r="AT269" i="75"/>
  <c r="AT281" i="75"/>
  <c r="AT67" i="75"/>
  <c r="AT70" i="75"/>
  <c r="AT69" i="75"/>
  <c r="AT64" i="75"/>
  <c r="AT53" i="75"/>
  <c r="AT72" i="75"/>
  <c r="AT33" i="75"/>
  <c r="AT60" i="75"/>
  <c r="AT66" i="75"/>
  <c r="AT52" i="75"/>
  <c r="AT51" i="75"/>
  <c r="AT37" i="75"/>
  <c r="BE358" i="75"/>
  <c r="BE364" i="75"/>
  <c r="BE354" i="75"/>
  <c r="BE344" i="75"/>
  <c r="BE338" i="75"/>
  <c r="BE332" i="75"/>
  <c r="BE323" i="75"/>
  <c r="BE335" i="75"/>
  <c r="BE312" i="75"/>
  <c r="BE321" i="75"/>
  <c r="BE327" i="75"/>
  <c r="BE316" i="75"/>
  <c r="BE314" i="75"/>
  <c r="BE305" i="75"/>
  <c r="BE291" i="75"/>
  <c r="BE293" i="75"/>
  <c r="BE297" i="75"/>
  <c r="BE303" i="75"/>
  <c r="BE274" i="75"/>
  <c r="BE270" i="75"/>
  <c r="BE268" i="75"/>
  <c r="BE281" i="75"/>
  <c r="BE269" i="75"/>
  <c r="BE69" i="75"/>
  <c r="BE64" i="75"/>
  <c r="BE70" i="75"/>
  <c r="BE53" i="75"/>
  <c r="BE67" i="75"/>
  <c r="BE33" i="75"/>
  <c r="BE29" i="75"/>
  <c r="BE30" i="75" s="1"/>
  <c r="BE72" i="75"/>
  <c r="BE60" i="75"/>
  <c r="BE66" i="75"/>
  <c r="BE51" i="75"/>
  <c r="BE37" i="75"/>
  <c r="P19" i="75"/>
  <c r="AB368" i="75"/>
  <c r="AB63" i="75"/>
  <c r="AB24" i="75"/>
  <c r="AN19" i="75"/>
  <c r="AZ368" i="75"/>
  <c r="AZ25" i="75"/>
  <c r="AZ26" i="75" s="1"/>
  <c r="AZ334" i="75" s="1"/>
  <c r="P20" i="75"/>
  <c r="AF367" i="75"/>
  <c r="AF285" i="75"/>
  <c r="AF284" i="75"/>
  <c r="AF282" i="75"/>
  <c r="AP367" i="75"/>
  <c r="AP285" i="75"/>
  <c r="AP284" i="75"/>
  <c r="AP282" i="75"/>
  <c r="AP30" i="75"/>
  <c r="AZ367" i="75"/>
  <c r="AZ285" i="75"/>
  <c r="AZ284" i="75"/>
  <c r="AZ282" i="75"/>
  <c r="AA24" i="75"/>
  <c r="AP24" i="75"/>
  <c r="BB25" i="75"/>
  <c r="BB26" i="75" s="1"/>
  <c r="BB334" i="75" s="1"/>
  <c r="R28" i="75"/>
  <c r="O29" i="75"/>
  <c r="O317" i="75" s="1"/>
  <c r="AS29" i="75"/>
  <c r="AS30" i="75" s="1"/>
  <c r="AP33" i="75"/>
  <c r="W37" i="75"/>
  <c r="BA37" i="75"/>
  <c r="O51" i="75"/>
  <c r="AP51" i="75"/>
  <c r="S52" i="75"/>
  <c r="AS52" i="75"/>
  <c r="W53" i="75"/>
  <c r="BA53" i="75"/>
  <c r="O55" i="75"/>
  <c r="AP55" i="75"/>
  <c r="W60" i="75"/>
  <c r="BB60" i="75"/>
  <c r="AQ63" i="75"/>
  <c r="AA64" i="75"/>
  <c r="AS66" i="75"/>
  <c r="U68" i="75"/>
  <c r="AC72" i="75"/>
  <c r="AP165" i="75"/>
  <c r="AY262" i="75"/>
  <c r="AY211" i="75"/>
  <c r="AY189" i="75"/>
  <c r="AY185" i="75"/>
  <c r="AY239" i="75"/>
  <c r="AY193" i="75"/>
  <c r="AY221" i="75"/>
  <c r="AY204" i="75"/>
  <c r="AY250" i="75"/>
  <c r="AY215" i="75"/>
  <c r="AY228" i="75"/>
  <c r="AY152" i="75"/>
  <c r="AY92" i="75"/>
  <c r="AY232" i="75"/>
  <c r="AY179" i="75"/>
  <c r="AY148" i="75"/>
  <c r="AY175" i="75"/>
  <c r="AY165" i="75"/>
  <c r="AY158" i="75"/>
  <c r="AY121" i="75"/>
  <c r="AY107" i="75"/>
  <c r="AY103" i="75"/>
  <c r="AY172" i="75"/>
  <c r="AY117" i="75"/>
  <c r="AY96" i="75"/>
  <c r="AY89" i="75"/>
  <c r="AY131" i="75"/>
  <c r="AY127" i="75"/>
  <c r="AY85" i="75"/>
  <c r="AY76" i="75"/>
  <c r="AY139" i="75"/>
  <c r="AY82" i="75"/>
  <c r="BG358" i="75"/>
  <c r="BG364" i="75"/>
  <c r="BG344" i="75"/>
  <c r="BG338" i="75"/>
  <c r="BG332" i="75"/>
  <c r="BG354" i="75"/>
  <c r="BG327" i="75"/>
  <c r="BG335" i="75"/>
  <c r="BG323" i="75"/>
  <c r="BG321" i="75"/>
  <c r="BG316" i="75"/>
  <c r="BG312" i="75"/>
  <c r="BG305" i="75"/>
  <c r="BG291" i="75"/>
  <c r="BG297" i="75"/>
  <c r="BG303" i="75"/>
  <c r="BG314" i="75"/>
  <c r="BG270" i="75"/>
  <c r="BG268" i="75"/>
  <c r="BG281" i="75"/>
  <c r="BG274" i="75"/>
  <c r="BG269" i="75"/>
  <c r="BG293" i="75"/>
  <c r="BG67" i="75"/>
  <c r="BG38" i="75"/>
  <c r="BG55" i="75" s="1"/>
  <c r="BG33" i="75"/>
  <c r="BG29" i="75"/>
  <c r="BG30" i="75" s="1"/>
  <c r="BG72" i="75"/>
  <c r="BG52" i="75"/>
  <c r="BG51" i="75"/>
  <c r="BG37" i="75"/>
  <c r="BG66" i="75"/>
  <c r="BG69" i="75"/>
  <c r="BG20" i="75"/>
  <c r="AN140" i="74"/>
  <c r="AN242" i="74" s="1"/>
  <c r="AN243" i="74" s="1"/>
  <c r="AC140" i="74"/>
  <c r="AC141" i="74" s="1"/>
  <c r="BA180" i="75"/>
  <c r="AO180" i="75"/>
  <c r="AC180" i="75"/>
  <c r="Q180" i="75"/>
  <c r="AZ180" i="75"/>
  <c r="AN180" i="75"/>
  <c r="AB180" i="75"/>
  <c r="P180" i="75"/>
  <c r="BF180" i="75"/>
  <c r="AT180" i="75"/>
  <c r="AH180" i="75"/>
  <c r="AH181" i="75" s="1"/>
  <c r="AH12" i="75" s="1"/>
  <c r="V180" i="75"/>
  <c r="AW222" i="75"/>
  <c r="BE180" i="75"/>
  <c r="AS180" i="75"/>
  <c r="AG180" i="75"/>
  <c r="U180" i="75"/>
  <c r="AK222" i="75"/>
  <c r="BD180" i="75"/>
  <c r="AR180" i="75"/>
  <c r="AF180" i="75"/>
  <c r="T180" i="75"/>
  <c r="Y222" i="75"/>
  <c r="AM180" i="75"/>
  <c r="AE180" i="75"/>
  <c r="M222" i="75"/>
  <c r="AD180" i="75"/>
  <c r="BC180" i="75"/>
  <c r="AA180" i="75"/>
  <c r="BB180" i="75"/>
  <c r="S180" i="75"/>
  <c r="AY180" i="75"/>
  <c r="R180" i="75"/>
  <c r="AM128" i="75"/>
  <c r="AQ180" i="75"/>
  <c r="O180" i="75"/>
  <c r="AP180" i="75"/>
  <c r="AD204" i="75"/>
  <c r="AD185" i="75"/>
  <c r="AD239" i="75"/>
  <c r="AD199" i="75"/>
  <c r="AD228" i="75"/>
  <c r="AD232" i="75"/>
  <c r="AD189" i="75"/>
  <c r="AD175" i="75"/>
  <c r="AD193" i="75"/>
  <c r="AD179" i="75"/>
  <c r="AD165" i="75"/>
  <c r="AD172" i="75"/>
  <c r="AN262" i="75"/>
  <c r="AN189" i="75"/>
  <c r="AN193" i="75"/>
  <c r="AN185" i="75"/>
  <c r="AN179" i="75"/>
  <c r="AN239" i="75"/>
  <c r="AN204" i="75"/>
  <c r="AN172" i="75"/>
  <c r="AN211" i="75"/>
  <c r="AN228" i="75"/>
  <c r="AN221" i="75"/>
  <c r="AN199" i="75"/>
  <c r="AN250" i="75"/>
  <c r="AN127" i="75"/>
  <c r="AN165" i="75"/>
  <c r="AN139" i="75"/>
  <c r="AN232" i="75"/>
  <c r="AN152" i="75"/>
  <c r="AN92" i="75"/>
  <c r="AN148" i="75"/>
  <c r="AN82" i="75"/>
  <c r="AN215" i="75"/>
  <c r="AN158" i="75"/>
  <c r="AN121" i="75"/>
  <c r="AN107" i="75"/>
  <c r="AN103" i="75"/>
  <c r="AN175" i="75"/>
  <c r="AN117" i="75"/>
  <c r="AN96" i="75"/>
  <c r="AN89" i="75"/>
  <c r="AN76" i="75"/>
  <c r="AN85" i="75"/>
  <c r="AN131" i="75"/>
  <c r="AW273" i="75"/>
  <c r="AW267" i="75"/>
  <c r="AW249" i="75"/>
  <c r="AW227" i="75"/>
  <c r="AW138" i="75"/>
  <c r="AW238" i="75"/>
  <c r="AW164" i="75"/>
  <c r="AW261" i="75"/>
  <c r="AW102" i="75"/>
  <c r="AW76" i="75"/>
  <c r="AW36" i="75"/>
  <c r="AW184" i="75"/>
  <c r="BF232" i="75"/>
  <c r="BF199" i="75"/>
  <c r="BF185" i="75"/>
  <c r="BF239" i="75"/>
  <c r="BF189" i="75"/>
  <c r="BF179" i="75"/>
  <c r="BF193" i="75"/>
  <c r="BF204" i="75"/>
  <c r="BF172" i="75"/>
  <c r="BF228" i="75"/>
  <c r="BF165" i="75"/>
  <c r="BF175" i="75"/>
  <c r="BF76" i="75"/>
  <c r="Y16" i="75"/>
  <c r="Q354" i="75"/>
  <c r="Q364" i="75"/>
  <c r="Q358" i="75"/>
  <c r="Q344" i="75"/>
  <c r="Q338" i="75"/>
  <c r="Q335" i="75"/>
  <c r="Q332" i="75"/>
  <c r="Q323" i="75"/>
  <c r="Q321" i="75"/>
  <c r="Q314" i="75"/>
  <c r="Q327" i="75"/>
  <c r="Q316" i="75"/>
  <c r="Q312" i="75"/>
  <c r="Q305" i="75"/>
  <c r="Q293" i="75"/>
  <c r="Q297" i="75"/>
  <c r="Q303" i="75"/>
  <c r="Q274" i="75"/>
  <c r="Q291" i="75"/>
  <c r="Q281" i="75"/>
  <c r="Q270" i="75"/>
  <c r="Q268" i="75"/>
  <c r="Q269" i="75"/>
  <c r="Q53" i="75"/>
  <c r="Q38" i="75"/>
  <c r="Q329" i="75" s="1"/>
  <c r="Q60" i="75"/>
  <c r="Q28" i="75"/>
  <c r="Q70" i="75"/>
  <c r="Q69" i="75"/>
  <c r="AB354" i="75"/>
  <c r="AB364" i="75"/>
  <c r="AB358" i="75"/>
  <c r="AB344" i="75"/>
  <c r="AB338" i="75"/>
  <c r="AB335" i="75"/>
  <c r="AB330" i="75"/>
  <c r="AB323" i="75"/>
  <c r="AB321" i="75"/>
  <c r="AB332" i="75"/>
  <c r="AB327" i="75"/>
  <c r="AB313" i="75"/>
  <c r="AB322" i="75"/>
  <c r="AB314" i="75"/>
  <c r="AB316" i="75"/>
  <c r="AB317" i="75"/>
  <c r="AB310" i="75"/>
  <c r="AB308" i="75"/>
  <c r="AB307" i="75"/>
  <c r="AB305" i="75"/>
  <c r="AB315" i="75"/>
  <c r="AB306" i="75"/>
  <c r="AB311" i="75"/>
  <c r="AB309" i="75"/>
  <c r="AB293" i="75"/>
  <c r="AB312" i="75"/>
  <c r="AB297" i="75"/>
  <c r="AB303" i="75"/>
  <c r="AB291" i="75"/>
  <c r="AB274" i="75"/>
  <c r="AB304" i="75"/>
  <c r="AB281" i="75"/>
  <c r="AB268" i="75"/>
  <c r="AB269" i="75"/>
  <c r="AB270" i="75"/>
  <c r="AB67" i="75"/>
  <c r="AB72" i="75"/>
  <c r="AB53" i="75"/>
  <c r="AB38" i="75"/>
  <c r="AB68" i="75"/>
  <c r="AB60" i="75"/>
  <c r="AB70" i="75"/>
  <c r="AB66" i="75"/>
  <c r="AB69" i="75"/>
  <c r="AB52" i="75"/>
  <c r="AM354" i="75"/>
  <c r="AM364" i="75"/>
  <c r="AM358" i="75"/>
  <c r="AM344" i="75"/>
  <c r="AM338" i="75"/>
  <c r="AM323" i="75"/>
  <c r="AM321" i="75"/>
  <c r="AM335" i="75"/>
  <c r="AM314" i="75"/>
  <c r="AM327" i="75"/>
  <c r="AM332" i="75"/>
  <c r="AM316" i="75"/>
  <c r="AM305" i="75"/>
  <c r="AM312" i="75"/>
  <c r="AM293" i="75"/>
  <c r="AM297" i="75"/>
  <c r="AM303" i="75"/>
  <c r="AM274" i="75"/>
  <c r="AM291" i="75"/>
  <c r="AM281" i="75"/>
  <c r="AM270" i="75"/>
  <c r="AM268" i="75"/>
  <c r="AM269" i="75"/>
  <c r="AM67" i="75"/>
  <c r="AM53" i="75"/>
  <c r="AM72" i="75"/>
  <c r="AM38" i="75"/>
  <c r="AM64" i="75" s="1"/>
  <c r="AM60" i="75"/>
  <c r="AM29" i="75"/>
  <c r="AM307" i="75" s="1"/>
  <c r="AM66" i="75"/>
  <c r="AM70" i="75"/>
  <c r="AM69" i="75"/>
  <c r="AU354" i="75"/>
  <c r="AU364" i="75"/>
  <c r="AU358" i="75"/>
  <c r="AU338" i="75"/>
  <c r="AU327" i="75"/>
  <c r="AU344" i="75"/>
  <c r="AU323" i="75"/>
  <c r="AU321" i="75"/>
  <c r="AU332" i="75"/>
  <c r="AU314" i="75"/>
  <c r="AU316" i="75"/>
  <c r="AU305" i="75"/>
  <c r="AU335" i="75"/>
  <c r="AU293" i="75"/>
  <c r="AU297" i="75"/>
  <c r="AU303" i="75"/>
  <c r="AU291" i="75"/>
  <c r="AU274" i="75"/>
  <c r="AU312" i="75"/>
  <c r="AU281" i="75"/>
  <c r="AU269" i="75"/>
  <c r="AU270" i="75"/>
  <c r="AU53" i="75"/>
  <c r="AU67" i="75"/>
  <c r="AU38" i="75"/>
  <c r="AU329" i="75" s="1"/>
  <c r="AU72" i="75"/>
  <c r="AU60" i="75"/>
  <c r="AU29" i="75"/>
  <c r="AU30" i="75" s="1"/>
  <c r="AU268" i="75"/>
  <c r="AU66" i="75"/>
  <c r="BF354" i="75"/>
  <c r="BF364" i="75"/>
  <c r="BF358" i="75"/>
  <c r="BF344" i="75"/>
  <c r="BF338" i="75"/>
  <c r="BF317" i="75"/>
  <c r="BF323" i="75"/>
  <c r="BF321" i="75"/>
  <c r="BF335" i="75"/>
  <c r="BF330" i="75"/>
  <c r="BF332" i="75"/>
  <c r="BF322" i="75"/>
  <c r="BF314" i="75"/>
  <c r="BF310" i="75"/>
  <c r="BF327" i="75"/>
  <c r="BF316" i="75"/>
  <c r="BF313" i="75"/>
  <c r="BF308" i="75"/>
  <c r="BF315" i="75"/>
  <c r="BF306" i="75"/>
  <c r="BF305" i="75"/>
  <c r="BF311" i="75"/>
  <c r="BF312" i="75"/>
  <c r="BF309" i="75"/>
  <c r="BF293" i="75"/>
  <c r="BF304" i="75"/>
  <c r="BF297" i="75"/>
  <c r="BF303" i="75"/>
  <c r="BF274" i="75"/>
  <c r="BF307" i="75"/>
  <c r="BF291" i="75"/>
  <c r="BF281" i="75"/>
  <c r="BF270" i="75"/>
  <c r="BF268" i="75"/>
  <c r="BF269" i="75"/>
  <c r="BF66" i="75"/>
  <c r="BF70" i="75"/>
  <c r="BF53" i="75"/>
  <c r="BF67" i="75"/>
  <c r="BF38" i="75"/>
  <c r="BF62" i="75" s="1"/>
  <c r="BF72" i="75"/>
  <c r="BF60" i="75"/>
  <c r="BF68" i="75"/>
  <c r="BF52" i="75"/>
  <c r="BF65" i="75"/>
  <c r="Q19" i="75"/>
  <c r="Q66" i="75" s="1"/>
  <c r="AC19" i="75"/>
  <c r="AO19" i="75"/>
  <c r="BA19" i="75"/>
  <c r="BA66" i="75" s="1"/>
  <c r="Q20" i="75"/>
  <c r="AD20" i="75"/>
  <c r="AP20" i="75"/>
  <c r="BB20" i="75"/>
  <c r="R21" i="75"/>
  <c r="M22" i="75"/>
  <c r="V367" i="75"/>
  <c r="V285" i="75"/>
  <c r="V284" i="75"/>
  <c r="AG367" i="75"/>
  <c r="AG282" i="75"/>
  <c r="AG285" i="75"/>
  <c r="AG284" i="75"/>
  <c r="AG30" i="75"/>
  <c r="AQ367" i="75"/>
  <c r="AQ282" i="75"/>
  <c r="AQ285" i="75"/>
  <c r="AQ284" i="75"/>
  <c r="BA367" i="75"/>
  <c r="BA282" i="75"/>
  <c r="BA285" i="75"/>
  <c r="BA284" i="75"/>
  <c r="BA30" i="75"/>
  <c r="T28" i="75"/>
  <c r="Q29" i="75"/>
  <c r="Q311" i="75" s="1"/>
  <c r="AF29" i="75"/>
  <c r="AF315" i="75" s="1"/>
  <c r="AT29" i="75"/>
  <c r="AT311" i="75" s="1"/>
  <c r="Q33" i="75"/>
  <c r="AR33" i="75"/>
  <c r="Y36" i="75"/>
  <c r="AB37" i="75"/>
  <c r="BD37" i="75"/>
  <c r="AI38" i="75"/>
  <c r="AI64" i="75" s="1"/>
  <c r="Q51" i="75"/>
  <c r="AS51" i="75"/>
  <c r="V52" i="75"/>
  <c r="AU52" i="75"/>
  <c r="AC53" i="75"/>
  <c r="BD53" i="75"/>
  <c r="AS55" i="75"/>
  <c r="AC60" i="75"/>
  <c r="BD60" i="75"/>
  <c r="AM61" i="75"/>
  <c r="O62" i="75"/>
  <c r="AN62" i="75"/>
  <c r="AD64" i="75"/>
  <c r="BD66" i="75"/>
  <c r="BF69" i="75"/>
  <c r="AO72" i="75"/>
  <c r="P367" i="75"/>
  <c r="P285" i="75"/>
  <c r="P284" i="75"/>
  <c r="AH367" i="75"/>
  <c r="AH282" i="75"/>
  <c r="AH285" i="75"/>
  <c r="AH284" i="75"/>
  <c r="AR367" i="75"/>
  <c r="AR282" i="75"/>
  <c r="AR285" i="75"/>
  <c r="AR284" i="75"/>
  <c r="BB367" i="75"/>
  <c r="BB282" i="75"/>
  <c r="BB285" i="75"/>
  <c r="BB284" i="75"/>
  <c r="AE26" i="75"/>
  <c r="AE334" i="75" s="1"/>
  <c r="AW73" i="75"/>
  <c r="BG257" i="75" s="1"/>
  <c r="AT78" i="75"/>
  <c r="AT169" i="75" s="1"/>
  <c r="AT178" i="75" s="1"/>
  <c r="AU78" i="75"/>
  <c r="AU186" i="75" s="1"/>
  <c r="Q128" i="75"/>
  <c r="AO141" i="75"/>
  <c r="AO242" i="75" s="1"/>
  <c r="AN242" i="75"/>
  <c r="AN243" i="75" s="1"/>
  <c r="AN141" i="75"/>
  <c r="S367" i="75"/>
  <c r="S284" i="75"/>
  <c r="S285" i="75"/>
  <c r="AC367" i="75"/>
  <c r="AC284" i="75"/>
  <c r="AC282" i="75"/>
  <c r="AC285" i="75"/>
  <c r="AM367" i="75"/>
  <c r="AM284" i="75"/>
  <c r="AM282" i="75"/>
  <c r="AM285" i="75"/>
  <c r="AK71" i="75"/>
  <c r="AU367" i="75"/>
  <c r="AU284" i="75"/>
  <c r="AU282" i="75"/>
  <c r="AU285" i="75"/>
  <c r="BE367" i="75"/>
  <c r="BE284" i="75"/>
  <c r="BE282" i="75"/>
  <c r="BE285" i="75"/>
  <c r="AW71" i="75"/>
  <c r="AC240" i="75"/>
  <c r="AC122" i="75"/>
  <c r="AC118" i="75"/>
  <c r="AC128" i="75"/>
  <c r="U367" i="75"/>
  <c r="U285" i="75"/>
  <c r="U284" i="75"/>
  <c r="AE367" i="75"/>
  <c r="AE282" i="75"/>
  <c r="AE285" i="75"/>
  <c r="AE284" i="75"/>
  <c r="AO367" i="75"/>
  <c r="AO282" i="75"/>
  <c r="AO285" i="75"/>
  <c r="AO284" i="75"/>
  <c r="AY367" i="75"/>
  <c r="AY282" i="75"/>
  <c r="AY285" i="75"/>
  <c r="AY284" i="75"/>
  <c r="BG367" i="75"/>
  <c r="BG282" i="75"/>
  <c r="BG285" i="75"/>
  <c r="BG284" i="75"/>
  <c r="AZ242" i="75"/>
  <c r="AZ243" i="75" s="1"/>
  <c r="AZ141" i="75"/>
  <c r="BF78" i="75"/>
  <c r="BF169" i="75" s="1"/>
  <c r="BF178" i="75" s="1"/>
  <c r="AC242" i="75"/>
  <c r="AY140" i="75"/>
  <c r="AA118" i="75"/>
  <c r="BA118" i="75"/>
  <c r="Q122" i="75"/>
  <c r="AZ122" i="75"/>
  <c r="AM124" i="75"/>
  <c r="AM143" i="75"/>
  <c r="AH178" i="75"/>
  <c r="AH245" i="75"/>
  <c r="AH246" i="75" s="1"/>
  <c r="AB118" i="75"/>
  <c r="AA122" i="75"/>
  <c r="BA122" i="75"/>
  <c r="AN124" i="75"/>
  <c r="BA140" i="75"/>
  <c r="Q240" i="75"/>
  <c r="AB122" i="75"/>
  <c r="O124" i="75"/>
  <c r="AO124" i="75"/>
  <c r="AN128" i="75"/>
  <c r="O143" i="75"/>
  <c r="AO143" i="75"/>
  <c r="AZ240" i="75"/>
  <c r="P124" i="75"/>
  <c r="AY124" i="75"/>
  <c r="O128" i="75"/>
  <c r="AO128" i="75"/>
  <c r="AN118" i="75"/>
  <c r="Q124" i="75"/>
  <c r="AZ124" i="75"/>
  <c r="P128" i="75"/>
  <c r="AY128" i="75"/>
  <c r="O118" i="75"/>
  <c r="AO118" i="75"/>
  <c r="AN122" i="75"/>
  <c r="AA124" i="75"/>
  <c r="BA124" i="75"/>
  <c r="Q242" i="75"/>
  <c r="P118" i="75"/>
  <c r="AY118" i="75"/>
  <c r="O122" i="75"/>
  <c r="AO122" i="75"/>
  <c r="AB124" i="75"/>
  <c r="AA128" i="75"/>
  <c r="BA128" i="75"/>
  <c r="AA267" i="75"/>
  <c r="AM267" i="75"/>
  <c r="AY267" i="75"/>
  <c r="AA368" i="74"/>
  <c r="AA61" i="74"/>
  <c r="AA63" i="74"/>
  <c r="AA24" i="74"/>
  <c r="AA25" i="74"/>
  <c r="AC262" i="74"/>
  <c r="AC232" i="74"/>
  <c r="AC250" i="74"/>
  <c r="AC239" i="74"/>
  <c r="AC199" i="74"/>
  <c r="AC175" i="74"/>
  <c r="AC228" i="74"/>
  <c r="AC211" i="74"/>
  <c r="AC193" i="74"/>
  <c r="AC221" i="74"/>
  <c r="AC204" i="74"/>
  <c r="AC215" i="74"/>
  <c r="AC185" i="74"/>
  <c r="AC158" i="74"/>
  <c r="AC121" i="74"/>
  <c r="AC107" i="74"/>
  <c r="AC103" i="74"/>
  <c r="AC172" i="74"/>
  <c r="AC165" i="74"/>
  <c r="AC117" i="74"/>
  <c r="AC96" i="74"/>
  <c r="AC89" i="74"/>
  <c r="AC131" i="74"/>
  <c r="AC127" i="74"/>
  <c r="AC189" i="74"/>
  <c r="AC139" i="74"/>
  <c r="AC85" i="74"/>
  <c r="AC179" i="74"/>
  <c r="AC148" i="74"/>
  <c r="AC82" i="74"/>
  <c r="AC152" i="74"/>
  <c r="AC92" i="74"/>
  <c r="AT358" i="74"/>
  <c r="AT364" i="74"/>
  <c r="AT354" i="74"/>
  <c r="AT338" i="74"/>
  <c r="AT344" i="74"/>
  <c r="AT335" i="74"/>
  <c r="AT327" i="74"/>
  <c r="AT321" i="74"/>
  <c r="AT312" i="74"/>
  <c r="AT323" i="74"/>
  <c r="AT314" i="74"/>
  <c r="AT332" i="74"/>
  <c r="AT305" i="74"/>
  <c r="AT291" i="74"/>
  <c r="AT316" i="74"/>
  <c r="AT297" i="74"/>
  <c r="AT303" i="74"/>
  <c r="AT281" i="74"/>
  <c r="AT293" i="74"/>
  <c r="AT274" i="74"/>
  <c r="AT270" i="74"/>
  <c r="AT268" i="74"/>
  <c r="AT269" i="74"/>
  <c r="AT69" i="74"/>
  <c r="AT72" i="74"/>
  <c r="AT67" i="74"/>
  <c r="AT52" i="74"/>
  <c r="AT51" i="74"/>
  <c r="AT37" i="74"/>
  <c r="AT20" i="74"/>
  <c r="AT70" i="74"/>
  <c r="AT53" i="74"/>
  <c r="AT38" i="74"/>
  <c r="AT329" i="74" s="1"/>
  <c r="AT33" i="74"/>
  <c r="AT60" i="74"/>
  <c r="AT29" i="74"/>
  <c r="AT309" i="74" s="1"/>
  <c r="T367" i="74"/>
  <c r="T284" i="74"/>
  <c r="T285" i="74"/>
  <c r="AN140" i="73"/>
  <c r="AN242" i="73" s="1"/>
  <c r="AN243" i="73" s="1"/>
  <c r="AA122" i="73"/>
  <c r="AM143" i="73"/>
  <c r="AK222" i="74"/>
  <c r="BD180" i="74"/>
  <c r="AR180" i="74"/>
  <c r="AF180" i="74"/>
  <c r="T180" i="74"/>
  <c r="Y222" i="74"/>
  <c r="M222" i="74"/>
  <c r="BF180" i="74"/>
  <c r="AT180" i="74"/>
  <c r="AH180" i="74"/>
  <c r="V180" i="74"/>
  <c r="BE180" i="74"/>
  <c r="AP180" i="74"/>
  <c r="AB180" i="74"/>
  <c r="AW222" i="74"/>
  <c r="BC180" i="74"/>
  <c r="AO180" i="74"/>
  <c r="AA180" i="74"/>
  <c r="BB180" i="74"/>
  <c r="AN180" i="74"/>
  <c r="U180" i="74"/>
  <c r="BA180" i="74"/>
  <c r="AM180" i="74"/>
  <c r="S180" i="74"/>
  <c r="AZ180" i="74"/>
  <c r="AG180" i="74"/>
  <c r="R180" i="74"/>
  <c r="AY180" i="74"/>
  <c r="AE180" i="74"/>
  <c r="Q180" i="74"/>
  <c r="O180" i="74"/>
  <c r="AM128" i="74"/>
  <c r="AS180" i="74"/>
  <c r="AQ180" i="74"/>
  <c r="AD180" i="74"/>
  <c r="AC180" i="74"/>
  <c r="AD232" i="74"/>
  <c r="AD228" i="74"/>
  <c r="AD239" i="74"/>
  <c r="AD193" i="74"/>
  <c r="AD204" i="74"/>
  <c r="AD172" i="74"/>
  <c r="AD165" i="74"/>
  <c r="AD199" i="74"/>
  <c r="AD189" i="74"/>
  <c r="AD175" i="74"/>
  <c r="AD179" i="74"/>
  <c r="AD185" i="74"/>
  <c r="AD76" i="74"/>
  <c r="AN250" i="74"/>
  <c r="AN232" i="74"/>
  <c r="AN239" i="74"/>
  <c r="AN262" i="74"/>
  <c r="AN228" i="74"/>
  <c r="AN221" i="74"/>
  <c r="AN199" i="74"/>
  <c r="AN215" i="74"/>
  <c r="AN189" i="74"/>
  <c r="AN204" i="74"/>
  <c r="AN117" i="74"/>
  <c r="AN96" i="74"/>
  <c r="AN89" i="74"/>
  <c r="AN131" i="74"/>
  <c r="AN211" i="74"/>
  <c r="AN185" i="74"/>
  <c r="AN179" i="74"/>
  <c r="AN127" i="74"/>
  <c r="AN172" i="74"/>
  <c r="AN165" i="74"/>
  <c r="AN139" i="74"/>
  <c r="AN85" i="74"/>
  <c r="AN193" i="74"/>
  <c r="AN152" i="74"/>
  <c r="AN92" i="74"/>
  <c r="AN148" i="74"/>
  <c r="AN82" i="74"/>
  <c r="AN121" i="74"/>
  <c r="AN76" i="74"/>
  <c r="AN175" i="74"/>
  <c r="AN107" i="74"/>
  <c r="AN103" i="74"/>
  <c r="AW238" i="74"/>
  <c r="AW249" i="74"/>
  <c r="AW273" i="74"/>
  <c r="AW261" i="74"/>
  <c r="AW267" i="74"/>
  <c r="AW227" i="74"/>
  <c r="AW102" i="74"/>
  <c r="AW184" i="74"/>
  <c r="AW138" i="74"/>
  <c r="AW59" i="74"/>
  <c r="AW164" i="74"/>
  <c r="AW76" i="74"/>
  <c r="AW36" i="74"/>
  <c r="BF232" i="74"/>
  <c r="BF204" i="74"/>
  <c r="BF228" i="74"/>
  <c r="BF199" i="74"/>
  <c r="BF189" i="74"/>
  <c r="BF179" i="74"/>
  <c r="BF239" i="74"/>
  <c r="BF193" i="74"/>
  <c r="BF175" i="74"/>
  <c r="BF172" i="74"/>
  <c r="BF165" i="74"/>
  <c r="BF185" i="74"/>
  <c r="BF76" i="74"/>
  <c r="Q354" i="74"/>
  <c r="Q358" i="74"/>
  <c r="Q364" i="74"/>
  <c r="Q338" i="74"/>
  <c r="Q332" i="74"/>
  <c r="Q335" i="74"/>
  <c r="Q327" i="74"/>
  <c r="Q323" i="74"/>
  <c r="Q316" i="74"/>
  <c r="Q314" i="74"/>
  <c r="Q303" i="74"/>
  <c r="Q312" i="74"/>
  <c r="Q297" i="74"/>
  <c r="Q269" i="74"/>
  <c r="Q321" i="74"/>
  <c r="Q274" i="74"/>
  <c r="Q270" i="74"/>
  <c r="Q268" i="74"/>
  <c r="Q344" i="74"/>
  <c r="Q305" i="74"/>
  <c r="Q291" i="74"/>
  <c r="Q293" i="74"/>
  <c r="Q281" i="74"/>
  <c r="Q72" i="74"/>
  <c r="Q69" i="74"/>
  <c r="Q52" i="74"/>
  <c r="Q53" i="74"/>
  <c r="Q38" i="74"/>
  <c r="Q62" i="74" s="1"/>
  <c r="Q33" i="74"/>
  <c r="Q60" i="74"/>
  <c r="Q70" i="74"/>
  <c r="Q67" i="74"/>
  <c r="AB354" i="74"/>
  <c r="AB358" i="74"/>
  <c r="AB364" i="74"/>
  <c r="AB344" i="74"/>
  <c r="AB335" i="74"/>
  <c r="AB338" i="74"/>
  <c r="AB332" i="74"/>
  <c r="AB316" i="74"/>
  <c r="AB327" i="74"/>
  <c r="AB314" i="74"/>
  <c r="AB323" i="74"/>
  <c r="AB321" i="74"/>
  <c r="AB312" i="74"/>
  <c r="AB303" i="74"/>
  <c r="AB269" i="74"/>
  <c r="AB293" i="74"/>
  <c r="AB291" i="74"/>
  <c r="AB274" i="74"/>
  <c r="AB305" i="74"/>
  <c r="AB270" i="74"/>
  <c r="AB268" i="74"/>
  <c r="AB297" i="74"/>
  <c r="AB281" i="74"/>
  <c r="AB72" i="74"/>
  <c r="AB69" i="74"/>
  <c r="AB52" i="74"/>
  <c r="AB20" i="74"/>
  <c r="AB70" i="74"/>
  <c r="AB53" i="74"/>
  <c r="AB38" i="74"/>
  <c r="AB55" i="74" s="1"/>
  <c r="AB33" i="74"/>
  <c r="AB60" i="74"/>
  <c r="AB67" i="74"/>
  <c r="AB29" i="74"/>
  <c r="AB330" i="74" s="1"/>
  <c r="AM354" i="74"/>
  <c r="AM358" i="74"/>
  <c r="AM364" i="74"/>
  <c r="AM335" i="74"/>
  <c r="AM344" i="74"/>
  <c r="AM338" i="74"/>
  <c r="AM332" i="74"/>
  <c r="AM330" i="74"/>
  <c r="AM317" i="74"/>
  <c r="AM316" i="74"/>
  <c r="AM310" i="74"/>
  <c r="AM307" i="74"/>
  <c r="AM315" i="74"/>
  <c r="AM314" i="74"/>
  <c r="AM327" i="74"/>
  <c r="AM323" i="74"/>
  <c r="AM321" i="74"/>
  <c r="AM312" i="74"/>
  <c r="AM306" i="74"/>
  <c r="AM313" i="74"/>
  <c r="AM308" i="74"/>
  <c r="AM309" i="74"/>
  <c r="AM304" i="74"/>
  <c r="AM303" i="74"/>
  <c r="AM322" i="74"/>
  <c r="AM311" i="74"/>
  <c r="AM269" i="74"/>
  <c r="AM297" i="74"/>
  <c r="AM305" i="74"/>
  <c r="AM274" i="74"/>
  <c r="AM293" i="74"/>
  <c r="AM291" i="74"/>
  <c r="AM270" i="74"/>
  <c r="AM268" i="74"/>
  <c r="AM281" i="74"/>
  <c r="AM72" i="74"/>
  <c r="AM65" i="74"/>
  <c r="AM20" i="74"/>
  <c r="AM69" i="74"/>
  <c r="AM53" i="74"/>
  <c r="AM38" i="74"/>
  <c r="AM54" i="74" s="1"/>
  <c r="AM33" i="74"/>
  <c r="AM60" i="74"/>
  <c r="AM70" i="74"/>
  <c r="AM67" i="74"/>
  <c r="AU354" i="74"/>
  <c r="AU358" i="74"/>
  <c r="AU364" i="74"/>
  <c r="AU335" i="74"/>
  <c r="AU344" i="74"/>
  <c r="AU332" i="74"/>
  <c r="AU338" i="74"/>
  <c r="AU316" i="74"/>
  <c r="AU327" i="74"/>
  <c r="AU323" i="74"/>
  <c r="AU314" i="74"/>
  <c r="AU303" i="74"/>
  <c r="AU321" i="74"/>
  <c r="AU312" i="74"/>
  <c r="AU297" i="74"/>
  <c r="AU293" i="74"/>
  <c r="AU291" i="74"/>
  <c r="AU269" i="74"/>
  <c r="AU305" i="74"/>
  <c r="AU274" i="74"/>
  <c r="AU270" i="74"/>
  <c r="AU268" i="74"/>
  <c r="AU281" i="74"/>
  <c r="AU69" i="74"/>
  <c r="AU72" i="74"/>
  <c r="AU20" i="74"/>
  <c r="AU70" i="74"/>
  <c r="AU53" i="74"/>
  <c r="AU38" i="74"/>
  <c r="AU329" i="74" s="1"/>
  <c r="AU33" i="74"/>
  <c r="AU60" i="74"/>
  <c r="BF354" i="74"/>
  <c r="BF358" i="74"/>
  <c r="BF364" i="74"/>
  <c r="BF338" i="74"/>
  <c r="BF335" i="74"/>
  <c r="BF332" i="74"/>
  <c r="BF344" i="74"/>
  <c r="BF316" i="74"/>
  <c r="BF321" i="74"/>
  <c r="BF327" i="74"/>
  <c r="BF323" i="74"/>
  <c r="BF314" i="74"/>
  <c r="BF312" i="74"/>
  <c r="BF303" i="74"/>
  <c r="BF269" i="74"/>
  <c r="BF305" i="74"/>
  <c r="BF293" i="74"/>
  <c r="BF291" i="74"/>
  <c r="BF274" i="74"/>
  <c r="BF297" i="74"/>
  <c r="BF270" i="74"/>
  <c r="BF268" i="74"/>
  <c r="BF281" i="74"/>
  <c r="BF69" i="74"/>
  <c r="BF72" i="74"/>
  <c r="BF67" i="74"/>
  <c r="BF20" i="74"/>
  <c r="BF53" i="74"/>
  <c r="BF38" i="74"/>
  <c r="BF55" i="74" s="1"/>
  <c r="BF33" i="74"/>
  <c r="BF60" i="74"/>
  <c r="BF70" i="74"/>
  <c r="BF52" i="74"/>
  <c r="Q19" i="74"/>
  <c r="Q66" i="74" s="1"/>
  <c r="AB19" i="74"/>
  <c r="AB66" i="74" s="1"/>
  <c r="AM19" i="74"/>
  <c r="AM68" i="74" s="1"/>
  <c r="AU19" i="74"/>
  <c r="BF19" i="74"/>
  <c r="BF66" i="74" s="1"/>
  <c r="V20" i="74"/>
  <c r="AD29" i="74"/>
  <c r="AD65" i="74" s="1"/>
  <c r="BE29" i="74"/>
  <c r="BC33" i="74"/>
  <c r="Q37" i="74"/>
  <c r="BB38" i="74"/>
  <c r="BB54" i="74" s="1"/>
  <c r="AM52" i="74"/>
  <c r="AH60" i="74"/>
  <c r="BE70" i="74"/>
  <c r="AB92" i="74"/>
  <c r="AN158" i="74"/>
  <c r="AU215" i="74"/>
  <c r="AU250" i="74"/>
  <c r="AU228" i="74"/>
  <c r="AU239" i="74"/>
  <c r="AU199" i="74"/>
  <c r="AU232" i="74"/>
  <c r="AU211" i="74"/>
  <c r="AU193" i="74"/>
  <c r="AU221" i="74"/>
  <c r="AU204" i="74"/>
  <c r="AU189" i="74"/>
  <c r="AU185" i="74"/>
  <c r="AU76" i="74"/>
  <c r="AI358" i="74"/>
  <c r="AI354" i="74"/>
  <c r="AI364" i="74"/>
  <c r="AI344" i="74"/>
  <c r="AI332" i="74"/>
  <c r="AI338" i="74"/>
  <c r="AI327" i="74"/>
  <c r="AI323" i="74"/>
  <c r="AI321" i="74"/>
  <c r="AI312" i="74"/>
  <c r="AI335" i="74"/>
  <c r="AI314" i="74"/>
  <c r="AI305" i="74"/>
  <c r="AI291" i="74"/>
  <c r="AI297" i="74"/>
  <c r="AI303" i="74"/>
  <c r="AI316" i="74"/>
  <c r="AI281" i="74"/>
  <c r="AI274" i="74"/>
  <c r="AI293" i="74"/>
  <c r="AI270" i="74"/>
  <c r="AI268" i="74"/>
  <c r="AI269" i="74"/>
  <c r="AI72" i="74"/>
  <c r="AI69" i="74"/>
  <c r="AI67" i="74"/>
  <c r="AI51" i="74"/>
  <c r="AI37" i="74"/>
  <c r="AI52" i="74"/>
  <c r="AI20" i="74"/>
  <c r="AI53" i="74"/>
  <c r="AI38" i="74"/>
  <c r="AI33" i="74"/>
  <c r="AI60" i="74"/>
  <c r="AT19" i="74"/>
  <c r="AY140" i="72"/>
  <c r="AE189" i="74"/>
  <c r="AE239" i="74"/>
  <c r="AE193" i="74"/>
  <c r="AE204" i="74"/>
  <c r="AE232" i="74"/>
  <c r="AE199" i="74"/>
  <c r="AE175" i="74"/>
  <c r="AE172" i="74"/>
  <c r="AE165" i="74"/>
  <c r="AE228" i="74"/>
  <c r="AE179" i="74"/>
  <c r="AE76" i="74"/>
  <c r="AE185" i="74"/>
  <c r="AO250" i="74"/>
  <c r="AO232" i="74"/>
  <c r="AO262" i="74"/>
  <c r="AO228" i="74"/>
  <c r="AO221" i="74"/>
  <c r="AO199" i="74"/>
  <c r="AO175" i="74"/>
  <c r="AO215" i="74"/>
  <c r="AO193" i="74"/>
  <c r="AO204" i="74"/>
  <c r="AO239" i="74"/>
  <c r="AO211" i="74"/>
  <c r="AO189" i="74"/>
  <c r="AO131" i="74"/>
  <c r="AO185" i="74"/>
  <c r="AO179" i="74"/>
  <c r="AO127" i="74"/>
  <c r="AO172" i="74"/>
  <c r="AO165" i="74"/>
  <c r="AO139" i="74"/>
  <c r="AO85" i="74"/>
  <c r="AO152" i="74"/>
  <c r="AO92" i="74"/>
  <c r="AO148" i="74"/>
  <c r="AO82" i="74"/>
  <c r="AO76" i="74"/>
  <c r="AO117" i="74"/>
  <c r="AO121" i="74"/>
  <c r="AO89" i="74"/>
  <c r="AO107" i="74"/>
  <c r="AO103" i="74"/>
  <c r="AO158" i="74"/>
  <c r="AO96" i="74"/>
  <c r="AY232" i="74"/>
  <c r="AY262" i="74"/>
  <c r="AY239" i="74"/>
  <c r="AY250" i="74"/>
  <c r="AY228" i="74"/>
  <c r="AY199" i="74"/>
  <c r="AY211" i="74"/>
  <c r="AY193" i="74"/>
  <c r="AY221" i="74"/>
  <c r="AY204" i="74"/>
  <c r="AY127" i="74"/>
  <c r="AY139" i="74"/>
  <c r="AY85" i="74"/>
  <c r="AY175" i="74"/>
  <c r="AY152" i="74"/>
  <c r="AY92" i="74"/>
  <c r="AY148" i="74"/>
  <c r="AY82" i="74"/>
  <c r="AY215" i="74"/>
  <c r="AY189" i="74"/>
  <c r="AY185" i="74"/>
  <c r="AY172" i="74"/>
  <c r="AY165" i="74"/>
  <c r="AY179" i="74"/>
  <c r="AY158" i="74"/>
  <c r="AY121" i="74"/>
  <c r="AY107" i="74"/>
  <c r="AY103" i="74"/>
  <c r="AY76" i="74"/>
  <c r="AY131" i="74"/>
  <c r="AY89" i="74"/>
  <c r="AY96" i="74"/>
  <c r="BG232" i="74"/>
  <c r="BG250" i="74"/>
  <c r="BG239" i="74"/>
  <c r="BG228" i="74"/>
  <c r="BG211" i="74"/>
  <c r="BG221" i="74"/>
  <c r="BG199" i="74"/>
  <c r="BG215" i="74"/>
  <c r="BG193" i="74"/>
  <c r="BG189" i="74"/>
  <c r="BG204" i="74"/>
  <c r="BG76" i="74"/>
  <c r="R358" i="74"/>
  <c r="R364" i="74"/>
  <c r="R354" i="74"/>
  <c r="R344" i="74"/>
  <c r="R323" i="74"/>
  <c r="R338" i="74"/>
  <c r="R332" i="74"/>
  <c r="R327" i="74"/>
  <c r="R314" i="74"/>
  <c r="R303" i="74"/>
  <c r="R316" i="74"/>
  <c r="R335" i="74"/>
  <c r="R321" i="74"/>
  <c r="R312" i="74"/>
  <c r="R305" i="74"/>
  <c r="R291" i="74"/>
  <c r="R297" i="74"/>
  <c r="R269" i="74"/>
  <c r="R274" i="74"/>
  <c r="R270" i="74"/>
  <c r="R268" i="74"/>
  <c r="R293" i="74"/>
  <c r="R281" i="74"/>
  <c r="R72" i="74"/>
  <c r="R69" i="74"/>
  <c r="R70" i="74"/>
  <c r="R52" i="74"/>
  <c r="R53" i="74"/>
  <c r="R38" i="74"/>
  <c r="R329" i="74" s="1"/>
  <c r="R33" i="74"/>
  <c r="R60" i="74"/>
  <c r="R67" i="74"/>
  <c r="R51" i="74"/>
  <c r="R37" i="74"/>
  <c r="R29" i="74"/>
  <c r="R30" i="74" s="1"/>
  <c r="AC358" i="74"/>
  <c r="AC364" i="74"/>
  <c r="AC344" i="74"/>
  <c r="AC354" i="74"/>
  <c r="AC323" i="74"/>
  <c r="AC330" i="74"/>
  <c r="AC327" i="74"/>
  <c r="AC335" i="74"/>
  <c r="AC332" i="74"/>
  <c r="AC338" i="74"/>
  <c r="AC322" i="74"/>
  <c r="AC317" i="74"/>
  <c r="AC310" i="74"/>
  <c r="AC307" i="74"/>
  <c r="AC314" i="74"/>
  <c r="AC315" i="74"/>
  <c r="AC309" i="74"/>
  <c r="AC306" i="74"/>
  <c r="AC316" i="74"/>
  <c r="AC311" i="74"/>
  <c r="AC321" i="74"/>
  <c r="AC312" i="74"/>
  <c r="AC303" i="74"/>
  <c r="AC304" i="74"/>
  <c r="AC313" i="74"/>
  <c r="AC305" i="74"/>
  <c r="AC291" i="74"/>
  <c r="AC269" i="74"/>
  <c r="AC308" i="74"/>
  <c r="AC293" i="74"/>
  <c r="AC274" i="74"/>
  <c r="AC270" i="74"/>
  <c r="AC268" i="74"/>
  <c r="AC297" i="74"/>
  <c r="AC281" i="74"/>
  <c r="AC72" i="74"/>
  <c r="AC70" i="74"/>
  <c r="AC65" i="74"/>
  <c r="AC53" i="74"/>
  <c r="AC38" i="74"/>
  <c r="AC62" i="74" s="1"/>
  <c r="AC33" i="74"/>
  <c r="AC60" i="74"/>
  <c r="AC67" i="74"/>
  <c r="AC51" i="74"/>
  <c r="AC37" i="74"/>
  <c r="AN358" i="74"/>
  <c r="AN364" i="74"/>
  <c r="AN354" i="74"/>
  <c r="AN344" i="74"/>
  <c r="AN323" i="74"/>
  <c r="AN338" i="74"/>
  <c r="AN327" i="74"/>
  <c r="AN332" i="74"/>
  <c r="AN335" i="74"/>
  <c r="AN314" i="74"/>
  <c r="AN321" i="74"/>
  <c r="AN312" i="74"/>
  <c r="AN303" i="74"/>
  <c r="AN316" i="74"/>
  <c r="AN305" i="74"/>
  <c r="AN291" i="74"/>
  <c r="AN269" i="74"/>
  <c r="AN297" i="74"/>
  <c r="AN274" i="74"/>
  <c r="AN293" i="74"/>
  <c r="AN270" i="74"/>
  <c r="AN268" i="74"/>
  <c r="AN281" i="74"/>
  <c r="AN69" i="74"/>
  <c r="AN72" i="74"/>
  <c r="AN70" i="74"/>
  <c r="AN20" i="74"/>
  <c r="AN53" i="74"/>
  <c r="AN38" i="74"/>
  <c r="AN62" i="74" s="1"/>
  <c r="AN33" i="74"/>
  <c r="AN60" i="74"/>
  <c r="AN67" i="74"/>
  <c r="AN52" i="74"/>
  <c r="AN51" i="74"/>
  <c r="AN37" i="74"/>
  <c r="AY358" i="74"/>
  <c r="AY364" i="74"/>
  <c r="AY354" i="74"/>
  <c r="AY344" i="74"/>
  <c r="AY338" i="74"/>
  <c r="AY323" i="74"/>
  <c r="AY321" i="74"/>
  <c r="AY327" i="74"/>
  <c r="AY335" i="74"/>
  <c r="AY314" i="74"/>
  <c r="AY332" i="74"/>
  <c r="AY316" i="74"/>
  <c r="AY303" i="74"/>
  <c r="AY312" i="74"/>
  <c r="AY305" i="74"/>
  <c r="AY291" i="74"/>
  <c r="AY269" i="74"/>
  <c r="AY274" i="74"/>
  <c r="AY270" i="74"/>
  <c r="AY268" i="74"/>
  <c r="AY281" i="74"/>
  <c r="AY297" i="74"/>
  <c r="AY293" i="74"/>
  <c r="AY72" i="74"/>
  <c r="AY70" i="74"/>
  <c r="AY67" i="74"/>
  <c r="AY20" i="74"/>
  <c r="AY53" i="74"/>
  <c r="AY38" i="74"/>
  <c r="AY62" i="74" s="1"/>
  <c r="AY33" i="74"/>
  <c r="AY29" i="74"/>
  <c r="AY310" i="74" s="1"/>
  <c r="AY60" i="74"/>
  <c r="AY69" i="74"/>
  <c r="AY52" i="74"/>
  <c r="AY51" i="74"/>
  <c r="AY37" i="74"/>
  <c r="BG358" i="74"/>
  <c r="BG364" i="74"/>
  <c r="BG344" i="74"/>
  <c r="BG354" i="74"/>
  <c r="BG323" i="74"/>
  <c r="BG321" i="74"/>
  <c r="BG332" i="74"/>
  <c r="BG338" i="74"/>
  <c r="BG327" i="74"/>
  <c r="BG335" i="74"/>
  <c r="BG314" i="74"/>
  <c r="BG316" i="74"/>
  <c r="BG312" i="74"/>
  <c r="BG297" i="74"/>
  <c r="BG303" i="74"/>
  <c r="BG305" i="74"/>
  <c r="BG291" i="74"/>
  <c r="BG269" i="74"/>
  <c r="BG293" i="74"/>
  <c r="BG274" i="74"/>
  <c r="BG270" i="74"/>
  <c r="BG268" i="74"/>
  <c r="BG281" i="74"/>
  <c r="BG72" i="74"/>
  <c r="BG70" i="74"/>
  <c r="BG67" i="74"/>
  <c r="BG20" i="74"/>
  <c r="BG69" i="74"/>
  <c r="BG53" i="74"/>
  <c r="BG38" i="74"/>
  <c r="BG329" i="74" s="1"/>
  <c r="BG33" i="74"/>
  <c r="BG29" i="74"/>
  <c r="BG30" i="74" s="1"/>
  <c r="BG60" i="74"/>
  <c r="BG52" i="74"/>
  <c r="BG51" i="74"/>
  <c r="BG37" i="74"/>
  <c r="R19" i="74"/>
  <c r="AC19" i="74"/>
  <c r="AC66" i="74" s="1"/>
  <c r="AN19" i="74"/>
  <c r="AY19" i="74"/>
  <c r="AY66" i="74" s="1"/>
  <c r="BG19" i="74"/>
  <c r="BG66" i="74" s="1"/>
  <c r="AC20" i="74"/>
  <c r="AI29" i="74"/>
  <c r="AI313" i="74" s="1"/>
  <c r="BF29" i="74"/>
  <c r="AB37" i="74"/>
  <c r="Q51" i="74"/>
  <c r="AU52" i="74"/>
  <c r="AI54" i="74"/>
  <c r="AS60" i="74"/>
  <c r="BE239" i="74"/>
  <c r="BE193" i="74"/>
  <c r="BE232" i="74"/>
  <c r="BE204" i="74"/>
  <c r="BE228" i="74"/>
  <c r="BE199" i="74"/>
  <c r="BE185" i="74"/>
  <c r="BE179" i="74"/>
  <c r="BE189" i="74"/>
  <c r="BE76" i="74"/>
  <c r="BE175" i="74"/>
  <c r="BE165" i="74"/>
  <c r="P358" i="74"/>
  <c r="P354" i="74"/>
  <c r="P364" i="74"/>
  <c r="P344" i="74"/>
  <c r="P338" i="74"/>
  <c r="P335" i="74"/>
  <c r="P332" i="74"/>
  <c r="P327" i="74"/>
  <c r="P321" i="74"/>
  <c r="P312" i="74"/>
  <c r="P314" i="74"/>
  <c r="P305" i="74"/>
  <c r="P291" i="74"/>
  <c r="P297" i="74"/>
  <c r="P316" i="74"/>
  <c r="P303" i="74"/>
  <c r="P323" i="74"/>
  <c r="P293" i="74"/>
  <c r="P281" i="74"/>
  <c r="P274" i="74"/>
  <c r="P270" i="74"/>
  <c r="P268" i="74"/>
  <c r="P269" i="74"/>
  <c r="P72" i="74"/>
  <c r="P51" i="74"/>
  <c r="P37" i="74"/>
  <c r="P29" i="74"/>
  <c r="P313" i="74" s="1"/>
  <c r="P52" i="74"/>
  <c r="P20" i="74"/>
  <c r="P53" i="74"/>
  <c r="P38" i="74"/>
  <c r="P55" i="74" s="1"/>
  <c r="P69" i="74"/>
  <c r="P33" i="74"/>
  <c r="P60" i="74"/>
  <c r="P28" i="74"/>
  <c r="P21" i="74"/>
  <c r="P19" i="74"/>
  <c r="BE19" i="74"/>
  <c r="J238" i="74"/>
  <c r="J273" i="74"/>
  <c r="J249" i="74"/>
  <c r="J261" i="74"/>
  <c r="J184" i="74"/>
  <c r="J227" i="74"/>
  <c r="J81" i="74"/>
  <c r="J138" i="74"/>
  <c r="J164" i="74"/>
  <c r="J76" i="74"/>
  <c r="AF239" i="74"/>
  <c r="AF232" i="74"/>
  <c r="AF179" i="74"/>
  <c r="AF228" i="74"/>
  <c r="AF175" i="74"/>
  <c r="AF76" i="74"/>
  <c r="AF185" i="74"/>
  <c r="AF165" i="74"/>
  <c r="AF172" i="74"/>
  <c r="AP193" i="74"/>
  <c r="AP204" i="74"/>
  <c r="AP239" i="74"/>
  <c r="AP232" i="74"/>
  <c r="AP185" i="74"/>
  <c r="AP179" i="74"/>
  <c r="AP199" i="74"/>
  <c r="AP172" i="74"/>
  <c r="AP165" i="74"/>
  <c r="AP228" i="74"/>
  <c r="AP76" i="74"/>
  <c r="AP175" i="74"/>
  <c r="AP189" i="74"/>
  <c r="AZ232" i="74"/>
  <c r="AZ262" i="74"/>
  <c r="AZ250" i="74"/>
  <c r="AZ228" i="74"/>
  <c r="AZ199" i="74"/>
  <c r="AZ239" i="74"/>
  <c r="AZ211" i="74"/>
  <c r="AZ189" i="74"/>
  <c r="AZ193" i="74"/>
  <c r="AZ221" i="74"/>
  <c r="AZ204" i="74"/>
  <c r="AZ215" i="74"/>
  <c r="AZ139" i="74"/>
  <c r="AZ85" i="74"/>
  <c r="AZ175" i="74"/>
  <c r="AZ152" i="74"/>
  <c r="AZ92" i="74"/>
  <c r="AZ148" i="74"/>
  <c r="AZ82" i="74"/>
  <c r="AZ185" i="74"/>
  <c r="AZ172" i="74"/>
  <c r="AZ165" i="74"/>
  <c r="AZ179" i="74"/>
  <c r="AZ158" i="74"/>
  <c r="AZ121" i="74"/>
  <c r="AZ107" i="74"/>
  <c r="AZ103" i="74"/>
  <c r="AZ76" i="74"/>
  <c r="AZ117" i="74"/>
  <c r="AZ96" i="74"/>
  <c r="AZ89" i="74"/>
  <c r="AZ131" i="74"/>
  <c r="AZ127" i="74"/>
  <c r="S358" i="74"/>
  <c r="S364" i="74"/>
  <c r="S354" i="74"/>
  <c r="S338" i="74"/>
  <c r="S332" i="74"/>
  <c r="S344" i="74"/>
  <c r="S321" i="74"/>
  <c r="S312" i="74"/>
  <c r="S314" i="74"/>
  <c r="S335" i="74"/>
  <c r="S316" i="74"/>
  <c r="S293" i="74"/>
  <c r="S297" i="74"/>
  <c r="S327" i="74"/>
  <c r="S303" i="74"/>
  <c r="S323" i="74"/>
  <c r="S305" i="74"/>
  <c r="S270" i="74"/>
  <c r="S268" i="74"/>
  <c r="S281" i="74"/>
  <c r="S291" i="74"/>
  <c r="S269" i="74"/>
  <c r="S274" i="74"/>
  <c r="S72" i="74"/>
  <c r="S70" i="74"/>
  <c r="S53" i="74"/>
  <c r="S38" i="74"/>
  <c r="S62" i="74" s="1"/>
  <c r="S33" i="74"/>
  <c r="S60" i="74"/>
  <c r="S28" i="74"/>
  <c r="S21" i="74"/>
  <c r="S69" i="74"/>
  <c r="S67" i="74"/>
  <c r="S51" i="74"/>
  <c r="S37" i="74"/>
  <c r="AD358" i="74"/>
  <c r="AD364" i="74"/>
  <c r="AD354" i="74"/>
  <c r="AD335" i="74"/>
  <c r="AD338" i="74"/>
  <c r="AD332" i="74"/>
  <c r="AD344" i="74"/>
  <c r="AD323" i="74"/>
  <c r="AD321" i="74"/>
  <c r="AD312" i="74"/>
  <c r="AD327" i="74"/>
  <c r="AD314" i="74"/>
  <c r="AD316" i="74"/>
  <c r="AD293" i="74"/>
  <c r="AD297" i="74"/>
  <c r="AD303" i="74"/>
  <c r="AD304" i="74"/>
  <c r="AD305" i="74"/>
  <c r="AD291" i="74"/>
  <c r="AD270" i="74"/>
  <c r="AD268" i="74"/>
  <c r="AD281" i="74"/>
  <c r="AD269" i="74"/>
  <c r="AD274" i="74"/>
  <c r="AD72" i="74"/>
  <c r="AD69" i="74"/>
  <c r="AD70" i="74"/>
  <c r="AD53" i="74"/>
  <c r="AD38" i="74"/>
  <c r="AD55" i="74" s="1"/>
  <c r="AD33" i="74"/>
  <c r="AD60" i="74"/>
  <c r="AD67" i="74"/>
  <c r="AD51" i="74"/>
  <c r="AD37" i="74"/>
  <c r="AD52" i="74"/>
  <c r="AO358" i="74"/>
  <c r="AO364" i="74"/>
  <c r="AO354" i="74"/>
  <c r="AO335" i="74"/>
  <c r="AO344" i="74"/>
  <c r="AO338" i="74"/>
  <c r="AO332" i="74"/>
  <c r="AO321" i="74"/>
  <c r="AO312" i="74"/>
  <c r="AO314" i="74"/>
  <c r="AO327" i="74"/>
  <c r="AO316" i="74"/>
  <c r="AO323" i="74"/>
  <c r="AO293" i="74"/>
  <c r="AO297" i="74"/>
  <c r="AO303" i="74"/>
  <c r="AO305" i="74"/>
  <c r="AO270" i="74"/>
  <c r="AO268" i="74"/>
  <c r="AO291" i="74"/>
  <c r="AO281" i="74"/>
  <c r="AO274" i="74"/>
  <c r="AO269" i="74"/>
  <c r="AO72" i="74"/>
  <c r="AO70" i="74"/>
  <c r="AO67" i="74"/>
  <c r="AO53" i="74"/>
  <c r="AO69" i="74"/>
  <c r="AO38" i="74"/>
  <c r="AO64" i="74" s="1"/>
  <c r="AO33" i="74"/>
  <c r="AO60" i="74"/>
  <c r="AO29" i="74"/>
  <c r="AO322" i="74" s="1"/>
  <c r="AO52" i="74"/>
  <c r="AO51" i="74"/>
  <c r="AO37" i="74"/>
  <c r="AZ358" i="74"/>
  <c r="AZ364" i="74"/>
  <c r="AZ354" i="74"/>
  <c r="AZ335" i="74"/>
  <c r="AZ344" i="74"/>
  <c r="AZ332" i="74"/>
  <c r="AZ327" i="74"/>
  <c r="AZ312" i="74"/>
  <c r="AZ314" i="74"/>
  <c r="AZ338" i="74"/>
  <c r="AZ316" i="74"/>
  <c r="AZ293" i="74"/>
  <c r="AZ297" i="74"/>
  <c r="AZ303" i="74"/>
  <c r="AZ321" i="74"/>
  <c r="AZ305" i="74"/>
  <c r="AZ323" i="74"/>
  <c r="AZ270" i="74"/>
  <c r="AZ268" i="74"/>
  <c r="AZ281" i="74"/>
  <c r="AZ291" i="74"/>
  <c r="AZ274" i="74"/>
  <c r="AZ269" i="74"/>
  <c r="AZ72" i="74"/>
  <c r="AZ70" i="74"/>
  <c r="AZ53" i="74"/>
  <c r="AZ38" i="74"/>
  <c r="AZ62" i="74" s="1"/>
  <c r="AZ33" i="74"/>
  <c r="AZ29" i="74"/>
  <c r="AZ311" i="74" s="1"/>
  <c r="AZ60" i="74"/>
  <c r="AZ69" i="74"/>
  <c r="AZ52" i="74"/>
  <c r="AZ67" i="74"/>
  <c r="AZ51" i="74"/>
  <c r="AZ37" i="74"/>
  <c r="S19" i="74"/>
  <c r="S66" i="74" s="1"/>
  <c r="AD19" i="74"/>
  <c r="AD66" i="74" s="1"/>
  <c r="AO19" i="74"/>
  <c r="AO66" i="74" s="1"/>
  <c r="AZ19" i="74"/>
  <c r="AD20" i="74"/>
  <c r="AS367" i="74"/>
  <c r="AS282" i="74"/>
  <c r="AS285" i="74"/>
  <c r="AS284" i="74"/>
  <c r="AS30" i="74"/>
  <c r="BC367" i="74"/>
  <c r="BC282" i="74"/>
  <c r="BC285" i="74"/>
  <c r="BC284" i="74"/>
  <c r="BC30" i="74"/>
  <c r="BE52" i="74"/>
  <c r="P67" i="74"/>
  <c r="AN124" i="74"/>
  <c r="M212" i="74"/>
  <c r="AW212" i="74"/>
  <c r="AK212" i="74"/>
  <c r="BC173" i="74"/>
  <c r="AQ173" i="74"/>
  <c r="AE173" i="74"/>
  <c r="S173" i="74"/>
  <c r="Y212" i="74"/>
  <c r="BB173" i="74"/>
  <c r="AP173" i="74"/>
  <c r="AD173" i="74"/>
  <c r="R173" i="74"/>
  <c r="BA173" i="74"/>
  <c r="AO173" i="74"/>
  <c r="AC173" i="74"/>
  <c r="Q173" i="74"/>
  <c r="AZ173" i="74"/>
  <c r="AN173" i="74"/>
  <c r="AB173" i="74"/>
  <c r="P173" i="74"/>
  <c r="AY173" i="74"/>
  <c r="AM173" i="74"/>
  <c r="AA173" i="74"/>
  <c r="O173" i="74"/>
  <c r="BF173" i="74"/>
  <c r="AT173" i="74"/>
  <c r="AH173" i="74"/>
  <c r="V173" i="74"/>
  <c r="AS173" i="74"/>
  <c r="AB122" i="74"/>
  <c r="AG173" i="74"/>
  <c r="U173" i="74"/>
  <c r="AC118" i="74"/>
  <c r="AB118" i="74"/>
  <c r="AA358" i="74"/>
  <c r="AA364" i="74"/>
  <c r="AA354" i="74"/>
  <c r="AA344" i="74"/>
  <c r="AA338" i="74"/>
  <c r="AA335" i="74"/>
  <c r="AA332" i="74"/>
  <c r="AA327" i="74"/>
  <c r="AA321" i="74"/>
  <c r="AA312" i="74"/>
  <c r="AA314" i="74"/>
  <c r="AA305" i="74"/>
  <c r="AA291" i="74"/>
  <c r="AA316" i="74"/>
  <c r="AA323" i="74"/>
  <c r="AA297" i="74"/>
  <c r="AA303" i="74"/>
  <c r="AA281" i="74"/>
  <c r="AA293" i="74"/>
  <c r="AA274" i="74"/>
  <c r="AA270" i="74"/>
  <c r="AA268" i="74"/>
  <c r="AA269" i="74"/>
  <c r="AA72" i="74"/>
  <c r="AA69" i="74"/>
  <c r="AA51" i="74"/>
  <c r="AA37" i="74"/>
  <c r="AA52" i="74"/>
  <c r="AA20" i="74"/>
  <c r="AA70" i="74"/>
  <c r="AA53" i="74"/>
  <c r="AA66" i="74"/>
  <c r="AA38" i="74"/>
  <c r="AA64" i="74" s="1"/>
  <c r="AA33" i="74"/>
  <c r="AA60" i="74"/>
  <c r="AI19" i="74"/>
  <c r="AI66" i="74" s="1"/>
  <c r="AI70" i="74"/>
  <c r="Q122" i="73"/>
  <c r="M267" i="74"/>
  <c r="M261" i="74"/>
  <c r="M273" i="74"/>
  <c r="M238" i="74"/>
  <c r="M249" i="74"/>
  <c r="M227" i="74"/>
  <c r="M81" i="74"/>
  <c r="M184" i="74"/>
  <c r="M138" i="74"/>
  <c r="M164" i="74"/>
  <c r="M76" i="74"/>
  <c r="M102" i="74"/>
  <c r="AG239" i="74"/>
  <c r="AG193" i="74"/>
  <c r="AG185" i="74"/>
  <c r="AG204" i="74"/>
  <c r="AG232" i="74"/>
  <c r="AG228" i="74"/>
  <c r="AG199" i="74"/>
  <c r="AG175" i="74"/>
  <c r="AG189" i="74"/>
  <c r="AG76" i="74"/>
  <c r="AG179" i="74"/>
  <c r="AG172" i="74"/>
  <c r="AQ239" i="74"/>
  <c r="AQ232" i="74"/>
  <c r="AQ189" i="74"/>
  <c r="AQ193" i="74"/>
  <c r="AQ204" i="74"/>
  <c r="AQ228" i="74"/>
  <c r="AQ199" i="74"/>
  <c r="AQ175" i="74"/>
  <c r="AQ172" i="74"/>
  <c r="AQ165" i="74"/>
  <c r="AQ76" i="74"/>
  <c r="AQ185" i="74"/>
  <c r="AQ179" i="74"/>
  <c r="BA250" i="74"/>
  <c r="BA199" i="74"/>
  <c r="BA175" i="74"/>
  <c r="BA239" i="74"/>
  <c r="BA211" i="74"/>
  <c r="BA262" i="74"/>
  <c r="BA232" i="74"/>
  <c r="BA193" i="74"/>
  <c r="BA221" i="74"/>
  <c r="BA204" i="74"/>
  <c r="BA215" i="74"/>
  <c r="BA152" i="74"/>
  <c r="BA92" i="74"/>
  <c r="BA148" i="74"/>
  <c r="BA82" i="74"/>
  <c r="BA228" i="74"/>
  <c r="BA185" i="74"/>
  <c r="BA172" i="74"/>
  <c r="BA165" i="74"/>
  <c r="BA189" i="74"/>
  <c r="BA179" i="74"/>
  <c r="BA158" i="74"/>
  <c r="BA121" i="74"/>
  <c r="BA107" i="74"/>
  <c r="BA103" i="74"/>
  <c r="BA76" i="74"/>
  <c r="BA117" i="74"/>
  <c r="BA96" i="74"/>
  <c r="BA89" i="74"/>
  <c r="BA131" i="74"/>
  <c r="BA139" i="74"/>
  <c r="BA127" i="74"/>
  <c r="BA85" i="74"/>
  <c r="T358" i="74"/>
  <c r="T364" i="74"/>
  <c r="T354" i="74"/>
  <c r="T344" i="74"/>
  <c r="T335" i="74"/>
  <c r="T338" i="74"/>
  <c r="T332" i="74"/>
  <c r="T316" i="74"/>
  <c r="T327" i="74"/>
  <c r="T323" i="74"/>
  <c r="T297" i="74"/>
  <c r="T314" i="74"/>
  <c r="T303" i="74"/>
  <c r="T305" i="74"/>
  <c r="T291" i="74"/>
  <c r="T321" i="74"/>
  <c r="T312" i="74"/>
  <c r="T274" i="74"/>
  <c r="T281" i="74"/>
  <c r="T293" i="74"/>
  <c r="T269" i="74"/>
  <c r="T270" i="74"/>
  <c r="T268" i="74"/>
  <c r="T72" i="74"/>
  <c r="T69" i="74"/>
  <c r="T70" i="74"/>
  <c r="T38" i="74"/>
  <c r="T62" i="74" s="1"/>
  <c r="T33" i="74"/>
  <c r="T60" i="74"/>
  <c r="T28" i="74"/>
  <c r="T21" i="74"/>
  <c r="T67" i="74"/>
  <c r="T51" i="74"/>
  <c r="T37" i="74"/>
  <c r="T52" i="74"/>
  <c r="AE358" i="74"/>
  <c r="AE364" i="74"/>
  <c r="AE344" i="74"/>
  <c r="AE354" i="74"/>
  <c r="AE335" i="74"/>
  <c r="AE332" i="74"/>
  <c r="AE338" i="74"/>
  <c r="AE327" i="74"/>
  <c r="AE316" i="74"/>
  <c r="AE297" i="74"/>
  <c r="AE303" i="74"/>
  <c r="AE323" i="74"/>
  <c r="AE321" i="74"/>
  <c r="AE312" i="74"/>
  <c r="AE305" i="74"/>
  <c r="AE291" i="74"/>
  <c r="AE314" i="74"/>
  <c r="AE293" i="74"/>
  <c r="AE274" i="74"/>
  <c r="AE281" i="74"/>
  <c r="AE269" i="74"/>
  <c r="AE268" i="74"/>
  <c r="AE270" i="74"/>
  <c r="AE72" i="74"/>
  <c r="AE70" i="74"/>
  <c r="AE67" i="74"/>
  <c r="AE38" i="74"/>
  <c r="AE62" i="74" s="1"/>
  <c r="AE33" i="74"/>
  <c r="AE60" i="74"/>
  <c r="AE29" i="74"/>
  <c r="AE30" i="74" s="1"/>
  <c r="AE51" i="74"/>
  <c r="AE37" i="74"/>
  <c r="AE52" i="74"/>
  <c r="AE69" i="74"/>
  <c r="AE20" i="74"/>
  <c r="AP358" i="74"/>
  <c r="AP364" i="74"/>
  <c r="AP344" i="74"/>
  <c r="AP354" i="74"/>
  <c r="AP335" i="74"/>
  <c r="AP332" i="74"/>
  <c r="AP323" i="74"/>
  <c r="AP327" i="74"/>
  <c r="AP316" i="74"/>
  <c r="AP297" i="74"/>
  <c r="AP303" i="74"/>
  <c r="AP338" i="74"/>
  <c r="AP314" i="74"/>
  <c r="AP305" i="74"/>
  <c r="AP291" i="74"/>
  <c r="AP274" i="74"/>
  <c r="AP321" i="74"/>
  <c r="AP293" i="74"/>
  <c r="AP281" i="74"/>
  <c r="AP269" i="74"/>
  <c r="AP312" i="74"/>
  <c r="AP270" i="74"/>
  <c r="AP268" i="74"/>
  <c r="AP72" i="74"/>
  <c r="AP70" i="74"/>
  <c r="AP69" i="74"/>
  <c r="AP38" i="74"/>
  <c r="AP62" i="74" s="1"/>
  <c r="AP33" i="74"/>
  <c r="AP60" i="74"/>
  <c r="AP29" i="74"/>
  <c r="AP30" i="74" s="1"/>
  <c r="AP67" i="74"/>
  <c r="AP52" i="74"/>
  <c r="AP51" i="74"/>
  <c r="AP37" i="74"/>
  <c r="AP20" i="74"/>
  <c r="BA358" i="74"/>
  <c r="BA364" i="74"/>
  <c r="BA354" i="74"/>
  <c r="BA344" i="74"/>
  <c r="BA338" i="74"/>
  <c r="BA332" i="74"/>
  <c r="BA335" i="74"/>
  <c r="BA321" i="74"/>
  <c r="BA316" i="74"/>
  <c r="BA327" i="74"/>
  <c r="BA314" i="74"/>
  <c r="BA297" i="74"/>
  <c r="BA303" i="74"/>
  <c r="BA312" i="74"/>
  <c r="BA305" i="74"/>
  <c r="BA291" i="74"/>
  <c r="BA323" i="74"/>
  <c r="BA274" i="74"/>
  <c r="BA281" i="74"/>
  <c r="BA293" i="74"/>
  <c r="BA269" i="74"/>
  <c r="BA270" i="74"/>
  <c r="BA268" i="74"/>
  <c r="BA72" i="74"/>
  <c r="BA70" i="74"/>
  <c r="BA38" i="74"/>
  <c r="BA55" i="74" s="1"/>
  <c r="BA33" i="74"/>
  <c r="BA29" i="74"/>
  <c r="BA30" i="74" s="1"/>
  <c r="BA60" i="74"/>
  <c r="BA69" i="74"/>
  <c r="BA52" i="74"/>
  <c r="BA67" i="74"/>
  <c r="BA51" i="74"/>
  <c r="BA37" i="74"/>
  <c r="BA20" i="74"/>
  <c r="T19" i="74"/>
  <c r="AE19" i="74"/>
  <c r="AE66" i="74" s="1"/>
  <c r="AP19" i="74"/>
  <c r="BA19" i="74"/>
  <c r="O21" i="74"/>
  <c r="P30" i="74"/>
  <c r="AA367" i="74"/>
  <c r="AA282" i="74"/>
  <c r="AA285" i="74"/>
  <c r="AA284" i="74"/>
  <c r="AH78" i="74"/>
  <c r="AH169" i="74" s="1"/>
  <c r="Y73" i="74"/>
  <c r="AI257" i="74" s="1"/>
  <c r="Y71" i="74"/>
  <c r="Y22" i="74"/>
  <c r="AI78" i="74"/>
  <c r="AI186" i="74" s="1"/>
  <c r="AI367" i="74"/>
  <c r="AI282" i="74"/>
  <c r="AI285" i="74"/>
  <c r="AI284" i="74"/>
  <c r="AI30" i="74"/>
  <c r="Q29" i="74"/>
  <c r="Q306" i="74" s="1"/>
  <c r="AN29" i="74"/>
  <c r="AN65" i="74" s="1"/>
  <c r="AU37" i="74"/>
  <c r="AM51" i="74"/>
  <c r="T53" i="74"/>
  <c r="AA67" i="74"/>
  <c r="BE173" i="74"/>
  <c r="AM232" i="74"/>
  <c r="AM211" i="74"/>
  <c r="AM228" i="74"/>
  <c r="AM221" i="74"/>
  <c r="AM199" i="74"/>
  <c r="AM250" i="74"/>
  <c r="AM215" i="74"/>
  <c r="AM262" i="74"/>
  <c r="AM193" i="74"/>
  <c r="AM204" i="74"/>
  <c r="AM239" i="74"/>
  <c r="AM175" i="74"/>
  <c r="AM158" i="74"/>
  <c r="AM121" i="74"/>
  <c r="AM107" i="74"/>
  <c r="AM103" i="74"/>
  <c r="AM189" i="74"/>
  <c r="AM117" i="74"/>
  <c r="AM96" i="74"/>
  <c r="AM89" i="74"/>
  <c r="AM131" i="74"/>
  <c r="AM185" i="74"/>
  <c r="AM179" i="74"/>
  <c r="AM127" i="74"/>
  <c r="AM172" i="74"/>
  <c r="AM165" i="74"/>
  <c r="AM139" i="74"/>
  <c r="AM85" i="74"/>
  <c r="AM152" i="74"/>
  <c r="AM92" i="74"/>
  <c r="AM148" i="74"/>
  <c r="AM82" i="74"/>
  <c r="AM76" i="74"/>
  <c r="Y249" i="74"/>
  <c r="Y273" i="74"/>
  <c r="Y261" i="74"/>
  <c r="Y267" i="74"/>
  <c r="Y238" i="74"/>
  <c r="Y227" i="74"/>
  <c r="Y184" i="74"/>
  <c r="Y138" i="74"/>
  <c r="Y164" i="74"/>
  <c r="Y76" i="74"/>
  <c r="Y102" i="74"/>
  <c r="Y59" i="74"/>
  <c r="AH232" i="74"/>
  <c r="AH239" i="74"/>
  <c r="AH204" i="74"/>
  <c r="AH228" i="74"/>
  <c r="AH199" i="74"/>
  <c r="AH189" i="74"/>
  <c r="AH179" i="74"/>
  <c r="AH175" i="74"/>
  <c r="AH76" i="74"/>
  <c r="AH185" i="74"/>
  <c r="AH193" i="74"/>
  <c r="AH172" i="74"/>
  <c r="AH165" i="74"/>
  <c r="AR239" i="74"/>
  <c r="AR185" i="74"/>
  <c r="AR179" i="74"/>
  <c r="AR228" i="74"/>
  <c r="AR232" i="74"/>
  <c r="AR76" i="74"/>
  <c r="AR175" i="74"/>
  <c r="AR172" i="74"/>
  <c r="AR165" i="74"/>
  <c r="BB239" i="74"/>
  <c r="BB232" i="74"/>
  <c r="BB193" i="74"/>
  <c r="BB204" i="74"/>
  <c r="BB228" i="74"/>
  <c r="BB199" i="74"/>
  <c r="BB175" i="74"/>
  <c r="BB185" i="74"/>
  <c r="BB172" i="74"/>
  <c r="BB165" i="74"/>
  <c r="BB189" i="74"/>
  <c r="BB179" i="74"/>
  <c r="BB76" i="74"/>
  <c r="U364" i="74"/>
  <c r="U354" i="74"/>
  <c r="U358" i="74"/>
  <c r="U338" i="74"/>
  <c r="U344" i="74"/>
  <c r="U335" i="74"/>
  <c r="U332" i="74"/>
  <c r="U316" i="74"/>
  <c r="U327" i="74"/>
  <c r="U323" i="74"/>
  <c r="U321" i="74"/>
  <c r="U312" i="74"/>
  <c r="U314" i="74"/>
  <c r="U303" i="74"/>
  <c r="U305" i="74"/>
  <c r="U293" i="74"/>
  <c r="U274" i="74"/>
  <c r="U270" i="74"/>
  <c r="U268" i="74"/>
  <c r="U281" i="74"/>
  <c r="U291" i="74"/>
  <c r="U269" i="74"/>
  <c r="U297" i="74"/>
  <c r="U72" i="74"/>
  <c r="U70" i="74"/>
  <c r="U67" i="74"/>
  <c r="U33" i="74"/>
  <c r="U60" i="74"/>
  <c r="U28" i="74"/>
  <c r="U21" i="74"/>
  <c r="U69" i="74"/>
  <c r="U51" i="74"/>
  <c r="U37" i="74"/>
  <c r="U29" i="74"/>
  <c r="U30" i="74" s="1"/>
  <c r="U52" i="74"/>
  <c r="U53" i="74"/>
  <c r="AF364" i="74"/>
  <c r="AF358" i="74"/>
  <c r="AF354" i="74"/>
  <c r="AF338" i="74"/>
  <c r="AF344" i="74"/>
  <c r="AF335" i="74"/>
  <c r="AF332" i="74"/>
  <c r="AF327" i="74"/>
  <c r="AF316" i="74"/>
  <c r="AF323" i="74"/>
  <c r="AF321" i="74"/>
  <c r="AF312" i="74"/>
  <c r="AF303" i="74"/>
  <c r="AF305" i="74"/>
  <c r="AF314" i="74"/>
  <c r="AF293" i="74"/>
  <c r="AF291" i="74"/>
  <c r="AF274" i="74"/>
  <c r="AF270" i="74"/>
  <c r="AF268" i="74"/>
  <c r="AF281" i="74"/>
  <c r="AF297" i="74"/>
  <c r="AF269" i="74"/>
  <c r="AF72" i="74"/>
  <c r="AF70" i="74"/>
  <c r="AF33" i="74"/>
  <c r="AF60" i="74"/>
  <c r="AF29" i="74"/>
  <c r="AF67" i="74"/>
  <c r="AF51" i="74"/>
  <c r="AF37" i="74"/>
  <c r="AF52" i="74"/>
  <c r="AF69" i="74"/>
  <c r="AF53" i="74"/>
  <c r="AQ364" i="74"/>
  <c r="AQ354" i="74"/>
  <c r="AQ358" i="74"/>
  <c r="AQ344" i="74"/>
  <c r="AQ338" i="74"/>
  <c r="AQ335" i="74"/>
  <c r="AQ329" i="74"/>
  <c r="AQ332" i="74"/>
  <c r="AQ327" i="74"/>
  <c r="AQ316" i="74"/>
  <c r="AQ321" i="74"/>
  <c r="AQ312" i="74"/>
  <c r="AQ303" i="74"/>
  <c r="AQ314" i="74"/>
  <c r="AQ305" i="74"/>
  <c r="AQ293" i="74"/>
  <c r="AQ323" i="74"/>
  <c r="AQ274" i="74"/>
  <c r="AQ297" i="74"/>
  <c r="AQ270" i="74"/>
  <c r="AQ268" i="74"/>
  <c r="AQ291" i="74"/>
  <c r="AQ281" i="74"/>
  <c r="AQ269" i="74"/>
  <c r="AQ72" i="74"/>
  <c r="AQ70" i="74"/>
  <c r="AQ33" i="74"/>
  <c r="AQ60" i="74"/>
  <c r="AQ29" i="74"/>
  <c r="AQ30" i="74" s="1"/>
  <c r="AQ54" i="74"/>
  <c r="AQ67" i="74"/>
  <c r="AQ52" i="74"/>
  <c r="AQ51" i="74"/>
  <c r="AQ37" i="74"/>
  <c r="AQ62" i="74"/>
  <c r="AQ64" i="74"/>
  <c r="AQ55" i="74"/>
  <c r="AQ53" i="74"/>
  <c r="BB364" i="74"/>
  <c r="BB358" i="74"/>
  <c r="BB354" i="74"/>
  <c r="BB344" i="74"/>
  <c r="BB335" i="74"/>
  <c r="BB338" i="74"/>
  <c r="BB323" i="74"/>
  <c r="BB316" i="74"/>
  <c r="BB332" i="74"/>
  <c r="BB327" i="74"/>
  <c r="BB312" i="74"/>
  <c r="BB303" i="74"/>
  <c r="BB305" i="74"/>
  <c r="BB321" i="74"/>
  <c r="BB293" i="74"/>
  <c r="BB274" i="74"/>
  <c r="BB270" i="74"/>
  <c r="BB268" i="74"/>
  <c r="BB314" i="74"/>
  <c r="BB281" i="74"/>
  <c r="BB269" i="74"/>
  <c r="BB297" i="74"/>
  <c r="BB291" i="74"/>
  <c r="BB72" i="74"/>
  <c r="BB70" i="74"/>
  <c r="BB67" i="74"/>
  <c r="BB33" i="74"/>
  <c r="BB29" i="74"/>
  <c r="BB30" i="74" s="1"/>
  <c r="BB60" i="74"/>
  <c r="BB69" i="74"/>
  <c r="BB52" i="74"/>
  <c r="BB51" i="74"/>
  <c r="BB37" i="74"/>
  <c r="BB65" i="74"/>
  <c r="BB55" i="74"/>
  <c r="BB53" i="74"/>
  <c r="U19" i="74"/>
  <c r="U66" i="74" s="1"/>
  <c r="AF19" i="74"/>
  <c r="AF66" i="74" s="1"/>
  <c r="AQ19" i="74"/>
  <c r="AQ66" i="74" s="1"/>
  <c r="BB19" i="74"/>
  <c r="Q367" i="74"/>
  <c r="Q285" i="74"/>
  <c r="Q284" i="74"/>
  <c r="AM367" i="74"/>
  <c r="AM285" i="74"/>
  <c r="AM284" i="74"/>
  <c r="AM282" i="74"/>
  <c r="AK71" i="74"/>
  <c r="AU78" i="74"/>
  <c r="AU186" i="74" s="1"/>
  <c r="AM30" i="74"/>
  <c r="AK73" i="74"/>
  <c r="AU257" i="74" s="1"/>
  <c r="AK22" i="74"/>
  <c r="AU367" i="74"/>
  <c r="AU285" i="74"/>
  <c r="AU284" i="74"/>
  <c r="AU282" i="74"/>
  <c r="BE367" i="74"/>
  <c r="BE285" i="74"/>
  <c r="BE284" i="74"/>
  <c r="BE282" i="74"/>
  <c r="BE30" i="74"/>
  <c r="S29" i="74"/>
  <c r="S311" i="74" s="1"/>
  <c r="Y36" i="74"/>
  <c r="BF37" i="74"/>
  <c r="AU51" i="74"/>
  <c r="AE53" i="74"/>
  <c r="AC69" i="74"/>
  <c r="AC76" i="74"/>
  <c r="AB240" i="73"/>
  <c r="AA250" i="74"/>
  <c r="AA239" i="74"/>
  <c r="AA199" i="74"/>
  <c r="AA228" i="74"/>
  <c r="AA211" i="74"/>
  <c r="AA262" i="74"/>
  <c r="AA232" i="74"/>
  <c r="AA193" i="74"/>
  <c r="AA221" i="74"/>
  <c r="AA204" i="74"/>
  <c r="AA185" i="74"/>
  <c r="AA152" i="74"/>
  <c r="AA92" i="74"/>
  <c r="AA179" i="74"/>
  <c r="AA148" i="74"/>
  <c r="AA82" i="74"/>
  <c r="AA76" i="74"/>
  <c r="AA158" i="74"/>
  <c r="AA121" i="74"/>
  <c r="AA107" i="74"/>
  <c r="AA103" i="74"/>
  <c r="AA172" i="74"/>
  <c r="AA165" i="74"/>
  <c r="AA117" i="74"/>
  <c r="AA96" i="74"/>
  <c r="AA89" i="74"/>
  <c r="AA215" i="74"/>
  <c r="AA131" i="74"/>
  <c r="AA139" i="74"/>
  <c r="AA127" i="74"/>
  <c r="AI250" i="74"/>
  <c r="AI239" i="74"/>
  <c r="AI232" i="74"/>
  <c r="AI211" i="74"/>
  <c r="AI228" i="74"/>
  <c r="AI221" i="74"/>
  <c r="AI199" i="74"/>
  <c r="AI215" i="74"/>
  <c r="AI193" i="74"/>
  <c r="AI185" i="74"/>
  <c r="AI76" i="74"/>
  <c r="AI189" i="74"/>
  <c r="AI204" i="74"/>
  <c r="AS232" i="74"/>
  <c r="AS193" i="74"/>
  <c r="AS204" i="74"/>
  <c r="AS239" i="74"/>
  <c r="AS228" i="74"/>
  <c r="AS199" i="74"/>
  <c r="AS76" i="74"/>
  <c r="AS175" i="74"/>
  <c r="AS185" i="74"/>
  <c r="AS179" i="74"/>
  <c r="AS172" i="74"/>
  <c r="AS189" i="74"/>
  <c r="AS165" i="74"/>
  <c r="BC239" i="74"/>
  <c r="BC189" i="74"/>
  <c r="BC185" i="74"/>
  <c r="BC193" i="74"/>
  <c r="BC232" i="74"/>
  <c r="BC204" i="74"/>
  <c r="BC228" i="74"/>
  <c r="BC199" i="74"/>
  <c r="BC175" i="74"/>
  <c r="BC172" i="74"/>
  <c r="BC165" i="74"/>
  <c r="BC179" i="74"/>
  <c r="BC76" i="74"/>
  <c r="J16" i="74"/>
  <c r="V358" i="74"/>
  <c r="V364" i="74"/>
  <c r="V354" i="74"/>
  <c r="V344" i="74"/>
  <c r="V332" i="74"/>
  <c r="V327" i="74"/>
  <c r="V314" i="74"/>
  <c r="V338" i="74"/>
  <c r="V316" i="74"/>
  <c r="V323" i="74"/>
  <c r="V335" i="74"/>
  <c r="V321" i="74"/>
  <c r="V312" i="74"/>
  <c r="V305" i="74"/>
  <c r="V310" i="74"/>
  <c r="V297" i="74"/>
  <c r="V270" i="74"/>
  <c r="V268" i="74"/>
  <c r="V281" i="74"/>
  <c r="V293" i="74"/>
  <c r="V291" i="74"/>
  <c r="V269" i="74"/>
  <c r="V303" i="74"/>
  <c r="V274" i="74"/>
  <c r="V60" i="74"/>
  <c r="V28" i="74"/>
  <c r="V21" i="74"/>
  <c r="V72" i="74"/>
  <c r="V69" i="74"/>
  <c r="V67" i="74"/>
  <c r="V51" i="74"/>
  <c r="V37" i="74"/>
  <c r="V29" i="74"/>
  <c r="V309" i="74" s="1"/>
  <c r="V52" i="74"/>
  <c r="V70" i="74"/>
  <c r="V53" i="74"/>
  <c r="V38" i="74"/>
  <c r="V54" i="74" s="1"/>
  <c r="AG358" i="74"/>
  <c r="AG364" i="74"/>
  <c r="AG344" i="74"/>
  <c r="AG354" i="74"/>
  <c r="AG327" i="74"/>
  <c r="AG335" i="74"/>
  <c r="AG338" i="74"/>
  <c r="AG314" i="74"/>
  <c r="AG332" i="74"/>
  <c r="AG316" i="74"/>
  <c r="AG323" i="74"/>
  <c r="AG321" i="74"/>
  <c r="AG312" i="74"/>
  <c r="AG305" i="74"/>
  <c r="AG297" i="74"/>
  <c r="AG270" i="74"/>
  <c r="AG268" i="74"/>
  <c r="AG281" i="74"/>
  <c r="AG269" i="74"/>
  <c r="AG303" i="74"/>
  <c r="AG291" i="74"/>
  <c r="AG293" i="74"/>
  <c r="AG274" i="74"/>
  <c r="AG72" i="74"/>
  <c r="AG60" i="74"/>
  <c r="AG70" i="74"/>
  <c r="AG29" i="74"/>
  <c r="AG317" i="74" s="1"/>
  <c r="AG67" i="74"/>
  <c r="AG51" i="74"/>
  <c r="AG37" i="74"/>
  <c r="AG52" i="74"/>
  <c r="AG69" i="74"/>
  <c r="AG53" i="74"/>
  <c r="AG38" i="74"/>
  <c r="AG329" i="74" s="1"/>
  <c r="AR358" i="74"/>
  <c r="AR364" i="74"/>
  <c r="AR344" i="74"/>
  <c r="AR354" i="74"/>
  <c r="AR327" i="74"/>
  <c r="AR332" i="74"/>
  <c r="AR314" i="74"/>
  <c r="AR335" i="74"/>
  <c r="AR316" i="74"/>
  <c r="AR321" i="74"/>
  <c r="AR312" i="74"/>
  <c r="AR338" i="74"/>
  <c r="AR323" i="74"/>
  <c r="AR305" i="74"/>
  <c r="AR297" i="74"/>
  <c r="AR270" i="74"/>
  <c r="AR268" i="74"/>
  <c r="AR293" i="74"/>
  <c r="AR291" i="74"/>
  <c r="AR281" i="74"/>
  <c r="AR269" i="74"/>
  <c r="AR303" i="74"/>
  <c r="AR274" i="74"/>
  <c r="AR60" i="74"/>
  <c r="AR29" i="74"/>
  <c r="AR306" i="74" s="1"/>
  <c r="AR67" i="74"/>
  <c r="AR52" i="74"/>
  <c r="AR51" i="74"/>
  <c r="AR37" i="74"/>
  <c r="AR70" i="74"/>
  <c r="AR53" i="74"/>
  <c r="AR72" i="74"/>
  <c r="AR69" i="74"/>
  <c r="AR38" i="74"/>
  <c r="AR55" i="74" s="1"/>
  <c r="BC358" i="74"/>
  <c r="BC364" i="74"/>
  <c r="BC344" i="74"/>
  <c r="BC354" i="74"/>
  <c r="BC338" i="74"/>
  <c r="BC327" i="74"/>
  <c r="BC322" i="74"/>
  <c r="BC335" i="74"/>
  <c r="BC330" i="74"/>
  <c r="BC332" i="74"/>
  <c r="BC314" i="74"/>
  <c r="BC316" i="74"/>
  <c r="BC309" i="74"/>
  <c r="BC313" i="74"/>
  <c r="BC308" i="74"/>
  <c r="BC312" i="74"/>
  <c r="BC321" i="74"/>
  <c r="BC311" i="74"/>
  <c r="BC310" i="74"/>
  <c r="BC305" i="74"/>
  <c r="BC317" i="74"/>
  <c r="BC307" i="74"/>
  <c r="BC323" i="74"/>
  <c r="BC306" i="74"/>
  <c r="BC304" i="74"/>
  <c r="BC297" i="74"/>
  <c r="BC270" i="74"/>
  <c r="BC268" i="74"/>
  <c r="BC315" i="74"/>
  <c r="BC281" i="74"/>
  <c r="BC303" i="74"/>
  <c r="BC269" i="74"/>
  <c r="BC293" i="74"/>
  <c r="BC291" i="74"/>
  <c r="BC274" i="74"/>
  <c r="BC69" i="74"/>
  <c r="BC65" i="74"/>
  <c r="BC60" i="74"/>
  <c r="BC70" i="74"/>
  <c r="BC52" i="74"/>
  <c r="BC51" i="74"/>
  <c r="BC37" i="74"/>
  <c r="BC67" i="74"/>
  <c r="BC72" i="74"/>
  <c r="BC53" i="74"/>
  <c r="BC38" i="74"/>
  <c r="BC329" i="74" s="1"/>
  <c r="V19" i="74"/>
  <c r="V66" i="74" s="1"/>
  <c r="AG19" i="74"/>
  <c r="AR19" i="74"/>
  <c r="BC19" i="74"/>
  <c r="S20" i="74"/>
  <c r="AO20" i="74"/>
  <c r="R21" i="74"/>
  <c r="AC367" i="74"/>
  <c r="AC285" i="74"/>
  <c r="AC284" i="74"/>
  <c r="AC282" i="74"/>
  <c r="AN367" i="74"/>
  <c r="AN284" i="74"/>
  <c r="AN282" i="74"/>
  <c r="AN285" i="74"/>
  <c r="AW22" i="74"/>
  <c r="BF367" i="74"/>
  <c r="BF284" i="74"/>
  <c r="BF282" i="74"/>
  <c r="BF285" i="74"/>
  <c r="Q28" i="74"/>
  <c r="T29" i="74"/>
  <c r="T65" i="74" s="1"/>
  <c r="AU29" i="74"/>
  <c r="AU30" i="74" s="1"/>
  <c r="V33" i="74"/>
  <c r="U38" i="74"/>
  <c r="U329" i="74" s="1"/>
  <c r="BF51" i="74"/>
  <c r="AP53" i="74"/>
  <c r="AE55" i="74"/>
  <c r="AU67" i="74"/>
  <c r="AQ69" i="74"/>
  <c r="BG185" i="74"/>
  <c r="BE358" i="74"/>
  <c r="BE354" i="74"/>
  <c r="BE364" i="74"/>
  <c r="BE344" i="74"/>
  <c r="BE332" i="74"/>
  <c r="BE338" i="74"/>
  <c r="BE327" i="74"/>
  <c r="BE317" i="74"/>
  <c r="BE310" i="74"/>
  <c r="BE335" i="74"/>
  <c r="BE330" i="74"/>
  <c r="BE312" i="74"/>
  <c r="BE307" i="74"/>
  <c r="BE321" i="74"/>
  <c r="BE323" i="74"/>
  <c r="BE322" i="74"/>
  <c r="BE315" i="74"/>
  <c r="BE314" i="74"/>
  <c r="BE311" i="74"/>
  <c r="BE305" i="74"/>
  <c r="BE291" i="74"/>
  <c r="BE316" i="74"/>
  <c r="BE308" i="74"/>
  <c r="BE313" i="74"/>
  <c r="BE309" i="74"/>
  <c r="BE306" i="74"/>
  <c r="BE304" i="74"/>
  <c r="BE297" i="74"/>
  <c r="BE303" i="74"/>
  <c r="BE281" i="74"/>
  <c r="BE293" i="74"/>
  <c r="BE274" i="74"/>
  <c r="BE270" i="74"/>
  <c r="BE268" i="74"/>
  <c r="BE269" i="74"/>
  <c r="BE69" i="74"/>
  <c r="BE72" i="74"/>
  <c r="BE68" i="74"/>
  <c r="BE51" i="74"/>
  <c r="BE37" i="74"/>
  <c r="BE67" i="74"/>
  <c r="BE65" i="74"/>
  <c r="BE20" i="74"/>
  <c r="BE53" i="74"/>
  <c r="BE38" i="74"/>
  <c r="BE66" i="74"/>
  <c r="BE33" i="74"/>
  <c r="BE60" i="74"/>
  <c r="AN140" i="72"/>
  <c r="AN242" i="72" s="1"/>
  <c r="AN243" i="72" s="1"/>
  <c r="BB64" i="72"/>
  <c r="AB140" i="73"/>
  <c r="AB242" i="73" s="1"/>
  <c r="AB243" i="73" s="1"/>
  <c r="AB262" i="74"/>
  <c r="AB250" i="74"/>
  <c r="AB199" i="74"/>
  <c r="AB228" i="74"/>
  <c r="AB239" i="74"/>
  <c r="AB211" i="74"/>
  <c r="AB189" i="74"/>
  <c r="AB232" i="74"/>
  <c r="AB221" i="74"/>
  <c r="AB204" i="74"/>
  <c r="AB215" i="74"/>
  <c r="AB179" i="74"/>
  <c r="AB148" i="74"/>
  <c r="AB82" i="74"/>
  <c r="AB76" i="74"/>
  <c r="AB185" i="74"/>
  <c r="AB158" i="74"/>
  <c r="AB121" i="74"/>
  <c r="AB107" i="74"/>
  <c r="AB103" i="74"/>
  <c r="AB172" i="74"/>
  <c r="AB165" i="74"/>
  <c r="AB117" i="74"/>
  <c r="AB96" i="74"/>
  <c r="AB89" i="74"/>
  <c r="AB131" i="74"/>
  <c r="AB175" i="74"/>
  <c r="AB127" i="74"/>
  <c r="AB139" i="74"/>
  <c r="AB193" i="74"/>
  <c r="AB85" i="74"/>
  <c r="AK273" i="74"/>
  <c r="AK261" i="74"/>
  <c r="AK267" i="74"/>
  <c r="AK249" i="74"/>
  <c r="AK227" i="74"/>
  <c r="AK238" i="74"/>
  <c r="AK164" i="74"/>
  <c r="AK76" i="74"/>
  <c r="AK102" i="74"/>
  <c r="AK184" i="74"/>
  <c r="AK138" i="74"/>
  <c r="AK59" i="74"/>
  <c r="AK36" i="74"/>
  <c r="AT239" i="74"/>
  <c r="AT204" i="74"/>
  <c r="AT228" i="74"/>
  <c r="AT199" i="74"/>
  <c r="AT232" i="74"/>
  <c r="AT189" i="74"/>
  <c r="AT185" i="74"/>
  <c r="AT179" i="74"/>
  <c r="AT76" i="74"/>
  <c r="AT193" i="74"/>
  <c r="AT175" i="74"/>
  <c r="AT172" i="74"/>
  <c r="AT165" i="74"/>
  <c r="BD232" i="74"/>
  <c r="BD239" i="74"/>
  <c r="BD179" i="74"/>
  <c r="BD228" i="74"/>
  <c r="BD185" i="74"/>
  <c r="BD76" i="74"/>
  <c r="BD172" i="74"/>
  <c r="BD175" i="74"/>
  <c r="BD165" i="74"/>
  <c r="O364" i="74"/>
  <c r="O354" i="74"/>
  <c r="O338" i="74"/>
  <c r="O358" i="74"/>
  <c r="O344" i="74"/>
  <c r="O335" i="74"/>
  <c r="O332" i="74"/>
  <c r="O327" i="74"/>
  <c r="O321" i="74"/>
  <c r="O312" i="74"/>
  <c r="O305" i="74"/>
  <c r="O314" i="74"/>
  <c r="O293" i="74"/>
  <c r="O297" i="74"/>
  <c r="O316" i="74"/>
  <c r="O303" i="74"/>
  <c r="O291" i="74"/>
  <c r="O323" i="74"/>
  <c r="O281" i="74"/>
  <c r="O269" i="74"/>
  <c r="O274" i="74"/>
  <c r="O270" i="74"/>
  <c r="O268" i="74"/>
  <c r="O70" i="74"/>
  <c r="O67" i="74"/>
  <c r="O51" i="74"/>
  <c r="O37" i="74"/>
  <c r="O29" i="74"/>
  <c r="O310" i="74" s="1"/>
  <c r="O72" i="74"/>
  <c r="O52" i="74"/>
  <c r="O53" i="74"/>
  <c r="O38" i="74"/>
  <c r="O62" i="74" s="1"/>
  <c r="O69" i="74"/>
  <c r="O33" i="74"/>
  <c r="W364" i="74"/>
  <c r="W354" i="74"/>
  <c r="W358" i="74"/>
  <c r="W338" i="74"/>
  <c r="W344" i="74"/>
  <c r="W335" i="74"/>
  <c r="W332" i="74"/>
  <c r="W323" i="74"/>
  <c r="W327" i="74"/>
  <c r="W321" i="74"/>
  <c r="W312" i="74"/>
  <c r="W305" i="74"/>
  <c r="W316" i="74"/>
  <c r="W293" i="74"/>
  <c r="W297" i="74"/>
  <c r="W303" i="74"/>
  <c r="W281" i="74"/>
  <c r="W291" i="74"/>
  <c r="W269" i="74"/>
  <c r="W314" i="74"/>
  <c r="W274" i="74"/>
  <c r="W270" i="74"/>
  <c r="W268" i="74"/>
  <c r="W72" i="74"/>
  <c r="W69" i="74"/>
  <c r="W67" i="74"/>
  <c r="W51" i="74"/>
  <c r="W37" i="74"/>
  <c r="W29" i="74"/>
  <c r="W309" i="74" s="1"/>
  <c r="W52" i="74"/>
  <c r="W20" i="74"/>
  <c r="W70" i="74"/>
  <c r="W53" i="74"/>
  <c r="W38" i="74"/>
  <c r="W329" i="74" s="1"/>
  <c r="W33" i="74"/>
  <c r="AH364" i="74"/>
  <c r="AH354" i="74"/>
  <c r="AH358" i="74"/>
  <c r="AH338" i="74"/>
  <c r="AH335" i="74"/>
  <c r="AH344" i="74"/>
  <c r="AH332" i="74"/>
  <c r="AH323" i="74"/>
  <c r="AH321" i="74"/>
  <c r="AH312" i="74"/>
  <c r="AH316" i="74"/>
  <c r="AH327" i="74"/>
  <c r="AH305" i="74"/>
  <c r="AH314" i="74"/>
  <c r="AH293" i="74"/>
  <c r="AH297" i="74"/>
  <c r="AH303" i="74"/>
  <c r="AH281" i="74"/>
  <c r="AH269" i="74"/>
  <c r="AH291" i="74"/>
  <c r="AH274" i="74"/>
  <c r="AH268" i="74"/>
  <c r="AH270" i="74"/>
  <c r="AH70" i="74"/>
  <c r="AH29" i="74"/>
  <c r="AH313" i="74" s="1"/>
  <c r="AH67" i="74"/>
  <c r="AH51" i="74"/>
  <c r="AH37" i="74"/>
  <c r="AH52" i="74"/>
  <c r="AH69" i="74"/>
  <c r="AH20" i="74"/>
  <c r="AH53" i="74"/>
  <c r="AH38" i="74"/>
  <c r="AH33" i="74"/>
  <c r="AS364" i="74"/>
  <c r="AS354" i="74"/>
  <c r="AS338" i="74"/>
  <c r="AS358" i="74"/>
  <c r="AS335" i="74"/>
  <c r="AS332" i="74"/>
  <c r="AS327" i="74"/>
  <c r="AS330" i="74"/>
  <c r="AS309" i="74"/>
  <c r="AS321" i="74"/>
  <c r="AS313" i="74"/>
  <c r="AS312" i="74"/>
  <c r="AS323" i="74"/>
  <c r="AS322" i="74"/>
  <c r="AS344" i="74"/>
  <c r="AS307" i="74"/>
  <c r="AS314" i="74"/>
  <c r="AS305" i="74"/>
  <c r="AS315" i="74"/>
  <c r="AS311" i="74"/>
  <c r="AS306" i="74"/>
  <c r="AS293" i="74"/>
  <c r="AS316" i="74"/>
  <c r="AS310" i="74"/>
  <c r="AS297" i="74"/>
  <c r="AS317" i="74"/>
  <c r="AS308" i="74"/>
  <c r="AS304" i="74"/>
  <c r="AS303" i="74"/>
  <c r="AS291" i="74"/>
  <c r="AS281" i="74"/>
  <c r="AS269" i="74"/>
  <c r="AS274" i="74"/>
  <c r="AS270" i="74"/>
  <c r="AS268" i="74"/>
  <c r="AS69" i="74"/>
  <c r="AS65" i="74"/>
  <c r="AS67" i="74"/>
  <c r="AS52" i="74"/>
  <c r="AS51" i="74"/>
  <c r="AS37" i="74"/>
  <c r="AS20" i="74"/>
  <c r="AS70" i="74"/>
  <c r="AS53" i="74"/>
  <c r="AS72" i="74"/>
  <c r="AS38" i="74"/>
  <c r="AS54" i="74" s="1"/>
  <c r="AS33" i="74"/>
  <c r="BD364" i="74"/>
  <c r="BD354" i="74"/>
  <c r="BD338" i="74"/>
  <c r="BD344" i="74"/>
  <c r="BD335" i="74"/>
  <c r="BD332" i="74"/>
  <c r="BD358" i="74"/>
  <c r="BD312" i="74"/>
  <c r="BD327" i="74"/>
  <c r="BD321" i="74"/>
  <c r="BD323" i="74"/>
  <c r="BD305" i="74"/>
  <c r="BD316" i="74"/>
  <c r="BD293" i="74"/>
  <c r="BD297" i="74"/>
  <c r="BD314" i="74"/>
  <c r="BD303" i="74"/>
  <c r="BD281" i="74"/>
  <c r="BD269" i="74"/>
  <c r="BD291" i="74"/>
  <c r="BD274" i="74"/>
  <c r="BD270" i="74"/>
  <c r="BD268" i="74"/>
  <c r="BD69" i="74"/>
  <c r="BD70" i="74"/>
  <c r="BD52" i="74"/>
  <c r="BD51" i="74"/>
  <c r="BD37" i="74"/>
  <c r="BD67" i="74"/>
  <c r="BD72" i="74"/>
  <c r="BD20" i="74"/>
  <c r="BD53" i="74"/>
  <c r="BD38" i="74"/>
  <c r="BD55" i="74" s="1"/>
  <c r="BD33" i="74"/>
  <c r="BD29" i="74"/>
  <c r="BD315" i="74" s="1"/>
  <c r="O19" i="74"/>
  <c r="O66" i="74" s="1"/>
  <c r="W19" i="74"/>
  <c r="AH19" i="74"/>
  <c r="AS19" i="74"/>
  <c r="AS66" i="74" s="1"/>
  <c r="BD19" i="74"/>
  <c r="BD66" i="74" s="1"/>
  <c r="T20" i="74"/>
  <c r="AQ20" i="74"/>
  <c r="W21" i="74"/>
  <c r="S367" i="74"/>
  <c r="S285" i="74"/>
  <c r="S284" i="74"/>
  <c r="S30" i="74"/>
  <c r="AD367" i="74"/>
  <c r="AD284" i="74"/>
  <c r="AD282" i="74"/>
  <c r="AD285" i="74"/>
  <c r="AO30" i="74"/>
  <c r="AW71" i="74"/>
  <c r="R28" i="74"/>
  <c r="AA29" i="74"/>
  <c r="AA322" i="74" s="1"/>
  <c r="AG33" i="74"/>
  <c r="AF38" i="74"/>
  <c r="AF55" i="74" s="1"/>
  <c r="S52" i="74"/>
  <c r="BA53" i="74"/>
  <c r="O60" i="74"/>
  <c r="AZ64" i="74"/>
  <c r="P70" i="74"/>
  <c r="AT78" i="74"/>
  <c r="AT169" i="74" s="1"/>
  <c r="AA85" i="74"/>
  <c r="AY117" i="74"/>
  <c r="AG165" i="74"/>
  <c r="BE172" i="74"/>
  <c r="P180" i="74"/>
  <c r="AA189" i="74"/>
  <c r="R367" i="74"/>
  <c r="R285" i="74"/>
  <c r="R284" i="74"/>
  <c r="AB367" i="74"/>
  <c r="AB285" i="74"/>
  <c r="AB284" i="74"/>
  <c r="AB282" i="74"/>
  <c r="AT367" i="74"/>
  <c r="AT285" i="74"/>
  <c r="AT284" i="74"/>
  <c r="AT282" i="74"/>
  <c r="BD367" i="74"/>
  <c r="BD285" i="74"/>
  <c r="BD284" i="74"/>
  <c r="BD282" i="74"/>
  <c r="BA140" i="74"/>
  <c r="U367" i="74"/>
  <c r="U284" i="74"/>
  <c r="U285" i="74"/>
  <c r="AE367" i="74"/>
  <c r="AE284" i="74"/>
  <c r="AE282" i="74"/>
  <c r="AE285" i="74"/>
  <c r="AO367" i="74"/>
  <c r="AO284" i="74"/>
  <c r="AO282" i="74"/>
  <c r="AO285" i="74"/>
  <c r="AY367" i="74"/>
  <c r="AY284" i="74"/>
  <c r="AY282" i="74"/>
  <c r="AY285" i="74"/>
  <c r="BG78" i="74"/>
  <c r="BG186" i="74" s="1"/>
  <c r="BF78" i="74"/>
  <c r="BF169" i="74" s="1"/>
  <c r="BF178" i="74" s="1"/>
  <c r="BG367" i="74"/>
  <c r="BG284" i="74"/>
  <c r="BG282" i="74"/>
  <c r="BG285" i="74"/>
  <c r="P242" i="74"/>
  <c r="P243" i="74" s="1"/>
  <c r="P141" i="74"/>
  <c r="AN141" i="74"/>
  <c r="M22" i="74"/>
  <c r="V367" i="74"/>
  <c r="V285" i="74"/>
  <c r="V284" i="74"/>
  <c r="AF367" i="74"/>
  <c r="AF282" i="74"/>
  <c r="AF285" i="74"/>
  <c r="AF284" i="74"/>
  <c r="AP367" i="74"/>
  <c r="AP282" i="74"/>
  <c r="AP285" i="74"/>
  <c r="AP284" i="74"/>
  <c r="AZ367" i="74"/>
  <c r="AZ282" i="74"/>
  <c r="AZ285" i="74"/>
  <c r="AZ284" i="74"/>
  <c r="AZ242" i="74"/>
  <c r="AZ243" i="74" s="1"/>
  <c r="AZ141" i="74"/>
  <c r="Q141" i="74"/>
  <c r="AO141" i="74"/>
  <c r="O367" i="74"/>
  <c r="O285" i="74"/>
  <c r="O284" i="74"/>
  <c r="W78" i="74"/>
  <c r="W186" i="74" s="1"/>
  <c r="M73" i="74"/>
  <c r="V78" i="74"/>
  <c r="V169" i="74" s="1"/>
  <c r="M71" i="74"/>
  <c r="W367" i="74"/>
  <c r="W285" i="74"/>
  <c r="W284" i="74"/>
  <c r="AG367" i="74"/>
  <c r="AG282" i="74"/>
  <c r="AG285" i="74"/>
  <c r="AG284" i="74"/>
  <c r="AQ367" i="74"/>
  <c r="AQ282" i="74"/>
  <c r="AQ285" i="74"/>
  <c r="AQ284" i="74"/>
  <c r="BA367" i="74"/>
  <c r="BA282" i="74"/>
  <c r="BA285" i="74"/>
  <c r="BA284" i="74"/>
  <c r="AT30" i="74"/>
  <c r="AW73" i="74"/>
  <c r="BG257" i="74" s="1"/>
  <c r="AN240" i="74"/>
  <c r="AN122" i="74"/>
  <c r="AN118" i="74"/>
  <c r="AA140" i="74"/>
  <c r="AA143" i="74"/>
  <c r="AN128" i="74"/>
  <c r="P367" i="74"/>
  <c r="P285" i="74"/>
  <c r="P284" i="74"/>
  <c r="AH367" i="74"/>
  <c r="AH282" i="74"/>
  <c r="AH285" i="74"/>
  <c r="AH284" i="74"/>
  <c r="AR367" i="74"/>
  <c r="AR282" i="74"/>
  <c r="AR285" i="74"/>
  <c r="AR284" i="74"/>
  <c r="BB367" i="74"/>
  <c r="BB282" i="74"/>
  <c r="BB285" i="74"/>
  <c r="BB284" i="74"/>
  <c r="AB242" i="74"/>
  <c r="AB243" i="74" s="1"/>
  <c r="AB141" i="74"/>
  <c r="O240" i="74"/>
  <c r="O122" i="74"/>
  <c r="O118" i="74"/>
  <c r="O128" i="74"/>
  <c r="AO240" i="74"/>
  <c r="AO122" i="74"/>
  <c r="AO118" i="74"/>
  <c r="AO128" i="74"/>
  <c r="AM118" i="74"/>
  <c r="AC122" i="74"/>
  <c r="P124" i="74"/>
  <c r="AY124" i="74"/>
  <c r="AM140" i="74"/>
  <c r="AY143" i="74"/>
  <c r="AH178" i="74"/>
  <c r="AM122" i="74"/>
  <c r="Q124" i="74"/>
  <c r="AZ124" i="74"/>
  <c r="P128" i="74"/>
  <c r="AY128" i="74"/>
  <c r="Q143" i="74"/>
  <c r="AA124" i="74"/>
  <c r="BA124" i="74"/>
  <c r="Q128" i="74"/>
  <c r="AZ128" i="74"/>
  <c r="P118" i="74"/>
  <c r="AY118" i="74"/>
  <c r="AB124" i="74"/>
  <c r="AA128" i="74"/>
  <c r="BA128" i="74"/>
  <c r="Q118" i="74"/>
  <c r="AZ118" i="74"/>
  <c r="P122" i="74"/>
  <c r="AY122" i="74"/>
  <c r="AC124" i="74"/>
  <c r="AB128" i="74"/>
  <c r="AA118" i="74"/>
  <c r="BA118" i="74"/>
  <c r="Q122" i="74"/>
  <c r="AZ122" i="74"/>
  <c r="AM124" i="74"/>
  <c r="AC128" i="74"/>
  <c r="AM267" i="74"/>
  <c r="AY267" i="74"/>
  <c r="Y317" i="73"/>
  <c r="AC93" i="73"/>
  <c r="AC95" i="73" s="1"/>
  <c r="AA93" i="73"/>
  <c r="AA95" i="73" s="1"/>
  <c r="AI27" i="73"/>
  <c r="AA27" i="73"/>
  <c r="AH27" i="73"/>
  <c r="AA3" i="73"/>
  <c r="AG27" i="73"/>
  <c r="AA8" i="73"/>
  <c r="AC27" i="73"/>
  <c r="AF27" i="73"/>
  <c r="AF229" i="73" s="1"/>
  <c r="AF13" i="73" s="1"/>
  <c r="AA5" i="73"/>
  <c r="AE27" i="73"/>
  <c r="AB27" i="73"/>
  <c r="AD27" i="73"/>
  <c r="AA4" i="73"/>
  <c r="AA30" i="73"/>
  <c r="AA65" i="73"/>
  <c r="AZ250" i="73"/>
  <c r="AZ211" i="73"/>
  <c r="AZ189" i="73"/>
  <c r="AZ239" i="73"/>
  <c r="AZ221" i="73"/>
  <c r="AZ204" i="73"/>
  <c r="AZ215" i="73"/>
  <c r="AZ152" i="73"/>
  <c r="AZ92" i="73"/>
  <c r="AZ232" i="73"/>
  <c r="AZ193" i="73"/>
  <c r="AZ175" i="73"/>
  <c r="AZ148" i="73"/>
  <c r="AZ262" i="73"/>
  <c r="AZ199" i="73"/>
  <c r="AZ185" i="73"/>
  <c r="AZ172" i="73"/>
  <c r="AZ165" i="73"/>
  <c r="AZ158" i="73"/>
  <c r="AZ121" i="73"/>
  <c r="AZ107" i="73"/>
  <c r="AZ103" i="73"/>
  <c r="AZ179" i="73"/>
  <c r="AZ117" i="73"/>
  <c r="AZ96" i="73"/>
  <c r="AZ89" i="73"/>
  <c r="AZ228" i="73"/>
  <c r="AZ131" i="73"/>
  <c r="AZ76" i="73"/>
  <c r="AZ139" i="73"/>
  <c r="AZ127" i="73"/>
  <c r="AZ85" i="73"/>
  <c r="AZ82" i="73"/>
  <c r="S354" i="73"/>
  <c r="S364" i="73"/>
  <c r="S358" i="73"/>
  <c r="S335" i="73"/>
  <c r="S344" i="73"/>
  <c r="S332" i="73"/>
  <c r="S327" i="73"/>
  <c r="S303" i="73"/>
  <c r="S321" i="73"/>
  <c r="S312" i="73"/>
  <c r="S305" i="73"/>
  <c r="S291" i="73"/>
  <c r="S323" i="73"/>
  <c r="S314" i="73"/>
  <c r="S338" i="73"/>
  <c r="S293" i="73"/>
  <c r="S297" i="73"/>
  <c r="S269" i="73"/>
  <c r="S316" i="73"/>
  <c r="S270" i="73"/>
  <c r="S274" i="73"/>
  <c r="S268" i="73"/>
  <c r="S281" i="73"/>
  <c r="S60" i="73"/>
  <c r="S67" i="73"/>
  <c r="S51" i="73"/>
  <c r="S37" i="73"/>
  <c r="S72" i="73"/>
  <c r="S69" i="73"/>
  <c r="S53" i="73"/>
  <c r="M267" i="73"/>
  <c r="M227" i="73"/>
  <c r="M261" i="73"/>
  <c r="M184" i="73"/>
  <c r="M138" i="73"/>
  <c r="M249" i="73"/>
  <c r="M164" i="73"/>
  <c r="M238" i="73"/>
  <c r="M102" i="73"/>
  <c r="M81" i="73"/>
  <c r="M273" i="73"/>
  <c r="AP358" i="73"/>
  <c r="AP354" i="73"/>
  <c r="AP364" i="73"/>
  <c r="AP327" i="73"/>
  <c r="AP344" i="73"/>
  <c r="AP338" i="73"/>
  <c r="AP335" i="73"/>
  <c r="AP332" i="73"/>
  <c r="AP312" i="73"/>
  <c r="AP323" i="73"/>
  <c r="AP316" i="73"/>
  <c r="AP305" i="73"/>
  <c r="AP291" i="73"/>
  <c r="AP314" i="73"/>
  <c r="AP293" i="73"/>
  <c r="AP281" i="73"/>
  <c r="AP297" i="73"/>
  <c r="AP321" i="73"/>
  <c r="AP269" i="73"/>
  <c r="AP274" i="73"/>
  <c r="AP268" i="73"/>
  <c r="AP303" i="73"/>
  <c r="AP270" i="73"/>
  <c r="AP52" i="73"/>
  <c r="AP51" i="73"/>
  <c r="AP37" i="73"/>
  <c r="AP69" i="73"/>
  <c r="AP72" i="73"/>
  <c r="AP53" i="73"/>
  <c r="AP70" i="73"/>
  <c r="AP38" i="73"/>
  <c r="AP54" i="73" s="1"/>
  <c r="AP19" i="73"/>
  <c r="AP66" i="73" s="1"/>
  <c r="M22" i="73"/>
  <c r="Y267" i="73"/>
  <c r="Y249" i="73"/>
  <c r="Y273" i="73"/>
  <c r="Y227" i="73"/>
  <c r="Y261" i="73"/>
  <c r="Y238" i="73"/>
  <c r="Y164" i="73"/>
  <c r="Y102" i="73"/>
  <c r="Y138" i="73"/>
  <c r="Y59" i="73"/>
  <c r="Y184" i="73"/>
  <c r="Y76" i="73"/>
  <c r="AH228" i="73"/>
  <c r="AH199" i="73"/>
  <c r="AH232" i="73"/>
  <c r="AH189" i="73"/>
  <c r="AH179" i="73"/>
  <c r="AH193" i="73"/>
  <c r="AH185" i="73"/>
  <c r="AH204" i="73"/>
  <c r="AH175" i="73"/>
  <c r="AH172" i="73"/>
  <c r="AH165" i="73"/>
  <c r="AH239" i="73"/>
  <c r="AH76" i="73"/>
  <c r="AR228" i="73"/>
  <c r="AR232" i="73"/>
  <c r="AR239" i="73"/>
  <c r="AR185" i="73"/>
  <c r="AR175" i="73"/>
  <c r="AR172" i="73"/>
  <c r="AR165" i="73"/>
  <c r="AR179" i="73"/>
  <c r="AR76" i="73"/>
  <c r="BB239" i="73"/>
  <c r="BB204" i="73"/>
  <c r="BB228" i="73"/>
  <c r="BB232" i="73"/>
  <c r="BB199" i="73"/>
  <c r="BB193" i="73"/>
  <c r="BB185" i="73"/>
  <c r="BB172" i="73"/>
  <c r="BB165" i="73"/>
  <c r="BB179" i="73"/>
  <c r="BB189" i="73"/>
  <c r="BB175" i="73"/>
  <c r="U354" i="73"/>
  <c r="U358" i="73"/>
  <c r="U364" i="73"/>
  <c r="U335" i="73"/>
  <c r="U338" i="73"/>
  <c r="U332" i="73"/>
  <c r="U344" i="73"/>
  <c r="U316" i="73"/>
  <c r="U327" i="73"/>
  <c r="U305" i="73"/>
  <c r="U323" i="73"/>
  <c r="U314" i="73"/>
  <c r="U293" i="73"/>
  <c r="U297" i="73"/>
  <c r="U312" i="73"/>
  <c r="U291" i="73"/>
  <c r="U303" i="73"/>
  <c r="U274" i="73"/>
  <c r="U321" i="73"/>
  <c r="U270" i="73"/>
  <c r="U268" i="73"/>
  <c r="U269" i="73"/>
  <c r="U281" i="73"/>
  <c r="U51" i="73"/>
  <c r="U37" i="73"/>
  <c r="U72" i="73"/>
  <c r="U52" i="73"/>
  <c r="U69" i="73"/>
  <c r="U53" i="73"/>
  <c r="U70" i="73"/>
  <c r="U33" i="73"/>
  <c r="AF354" i="73"/>
  <c r="AF358" i="73"/>
  <c r="AF364" i="73"/>
  <c r="AF335" i="73"/>
  <c r="AF338" i="73"/>
  <c r="AF332" i="73"/>
  <c r="AF316" i="73"/>
  <c r="AF344" i="73"/>
  <c r="AF305" i="73"/>
  <c r="AF321" i="73"/>
  <c r="AF314" i="73"/>
  <c r="AF293" i="73"/>
  <c r="AF323" i="73"/>
  <c r="AF297" i="73"/>
  <c r="AF327" i="73"/>
  <c r="AF291" i="73"/>
  <c r="AF274" i="73"/>
  <c r="AF270" i="73"/>
  <c r="AF268" i="73"/>
  <c r="AF281" i="73"/>
  <c r="AF312" i="73"/>
  <c r="AF303" i="73"/>
  <c r="AF51" i="73"/>
  <c r="AF37" i="73"/>
  <c r="AF52" i="73"/>
  <c r="AF72" i="73"/>
  <c r="AF69" i="73"/>
  <c r="AF53" i="73"/>
  <c r="AF269" i="73"/>
  <c r="AF70" i="73"/>
  <c r="AF33" i="73"/>
  <c r="AQ354" i="73"/>
  <c r="AQ358" i="73"/>
  <c r="AQ364" i="73"/>
  <c r="AQ335" i="73"/>
  <c r="AQ329" i="73"/>
  <c r="AQ338" i="73"/>
  <c r="AQ332" i="73"/>
  <c r="AQ344" i="73"/>
  <c r="AQ327" i="73"/>
  <c r="AQ316" i="73"/>
  <c r="AQ323" i="73"/>
  <c r="AQ305" i="73"/>
  <c r="AQ314" i="73"/>
  <c r="AQ293" i="73"/>
  <c r="AQ321" i="73"/>
  <c r="AQ297" i="73"/>
  <c r="AQ291" i="73"/>
  <c r="AQ312" i="73"/>
  <c r="AQ274" i="73"/>
  <c r="AQ303" i="73"/>
  <c r="AQ270" i="73"/>
  <c r="AQ268" i="73"/>
  <c r="AQ269" i="73"/>
  <c r="AQ281" i="73"/>
  <c r="AQ52" i="73"/>
  <c r="AQ51" i="73"/>
  <c r="AQ37" i="73"/>
  <c r="AQ69" i="73"/>
  <c r="AQ62" i="73"/>
  <c r="AQ72" i="73"/>
  <c r="AQ64" i="73"/>
  <c r="AQ55" i="73"/>
  <c r="AQ53" i="73"/>
  <c r="AQ70" i="73"/>
  <c r="AQ67" i="73"/>
  <c r="AQ33" i="73"/>
  <c r="BB354" i="73"/>
  <c r="BB358" i="73"/>
  <c r="BB364" i="73"/>
  <c r="BB335" i="73"/>
  <c r="BB338" i="73"/>
  <c r="BB332" i="73"/>
  <c r="BB344" i="73"/>
  <c r="BB316" i="73"/>
  <c r="BB327" i="73"/>
  <c r="BB321" i="73"/>
  <c r="BB305" i="73"/>
  <c r="BB314" i="73"/>
  <c r="BB323" i="73"/>
  <c r="BB293" i="73"/>
  <c r="BB297" i="73"/>
  <c r="BB312" i="73"/>
  <c r="BB303" i="73"/>
  <c r="BB291" i="73"/>
  <c r="BB274" i="73"/>
  <c r="BB270" i="73"/>
  <c r="BB268" i="73"/>
  <c r="BB281" i="73"/>
  <c r="BB269" i="73"/>
  <c r="BB69" i="73"/>
  <c r="BB51" i="73"/>
  <c r="BB37" i="73"/>
  <c r="BB72" i="73"/>
  <c r="BB53" i="73"/>
  <c r="BB70" i="73"/>
  <c r="BB67" i="73"/>
  <c r="BB33" i="73"/>
  <c r="U19" i="73"/>
  <c r="AF19" i="73"/>
  <c r="AF66" i="73" s="1"/>
  <c r="AQ19" i="73"/>
  <c r="BB19" i="73"/>
  <c r="U21" i="73"/>
  <c r="O367" i="73"/>
  <c r="O285" i="73"/>
  <c r="O284" i="73"/>
  <c r="W78" i="73"/>
  <c r="W186" i="73" s="1"/>
  <c r="V78" i="73"/>
  <c r="V169" i="73" s="1"/>
  <c r="M73" i="73"/>
  <c r="M71" i="73"/>
  <c r="W367" i="73"/>
  <c r="W285" i="73"/>
  <c r="W284" i="73"/>
  <c r="AG367" i="73"/>
  <c r="AG285" i="73"/>
  <c r="AG284" i="73"/>
  <c r="AG282" i="73"/>
  <c r="AG30" i="73"/>
  <c r="AQ367" i="73"/>
  <c r="AQ285" i="73"/>
  <c r="AQ284" i="73"/>
  <c r="AQ282" i="73"/>
  <c r="BA367" i="73"/>
  <c r="BA285" i="73"/>
  <c r="BA284" i="73"/>
  <c r="BA282" i="73"/>
  <c r="U28" i="73"/>
  <c r="O29" i="73"/>
  <c r="O30" i="73" s="1"/>
  <c r="AI29" i="73"/>
  <c r="AI30" i="73" s="1"/>
  <c r="AY29" i="73"/>
  <c r="V33" i="73"/>
  <c r="BA33" i="73"/>
  <c r="AM37" i="73"/>
  <c r="S38" i="73"/>
  <c r="S62" i="73" s="1"/>
  <c r="AY38" i="73"/>
  <c r="AY55" i="73" s="1"/>
  <c r="AB51" i="73"/>
  <c r="Q53" i="73"/>
  <c r="BF53" i="73"/>
  <c r="AQ60" i="73"/>
  <c r="AF67" i="73"/>
  <c r="AN70" i="73"/>
  <c r="AA72" i="73"/>
  <c r="J76" i="73"/>
  <c r="BB76" i="73"/>
  <c r="AZ242" i="73"/>
  <c r="AZ243" i="73" s="1"/>
  <c r="AZ141" i="73"/>
  <c r="AN117" i="73"/>
  <c r="AZ122" i="73"/>
  <c r="AE179" i="73"/>
  <c r="AD354" i="73"/>
  <c r="AD364" i="73"/>
  <c r="AD335" i="73"/>
  <c r="AD358" i="73"/>
  <c r="AD338" i="73"/>
  <c r="AD303" i="73"/>
  <c r="AD316" i="73"/>
  <c r="AD312" i="73"/>
  <c r="AD344" i="73"/>
  <c r="AD305" i="73"/>
  <c r="AD291" i="73"/>
  <c r="AD321" i="73"/>
  <c r="AD314" i="73"/>
  <c r="AD323" i="73"/>
  <c r="AD327" i="73"/>
  <c r="AD269" i="73"/>
  <c r="AD332" i="73"/>
  <c r="AD293" i="73"/>
  <c r="AD268" i="73"/>
  <c r="AD297" i="73"/>
  <c r="AD281" i="73"/>
  <c r="AD270" i="73"/>
  <c r="AD274" i="73"/>
  <c r="AD67" i="73"/>
  <c r="AD60" i="73"/>
  <c r="AD29" i="73"/>
  <c r="AD322" i="73" s="1"/>
  <c r="AD51" i="73"/>
  <c r="AD37" i="73"/>
  <c r="AD52" i="73"/>
  <c r="AD72" i="73"/>
  <c r="AD69" i="73"/>
  <c r="AD53" i="73"/>
  <c r="AD19" i="73"/>
  <c r="AD66" i="73" s="1"/>
  <c r="AY367" i="73"/>
  <c r="AY282" i="73"/>
  <c r="AY285" i="73"/>
  <c r="AY284" i="73"/>
  <c r="BG78" i="73"/>
  <c r="BG186" i="73" s="1"/>
  <c r="BF78" i="73"/>
  <c r="BF169" i="73" s="1"/>
  <c r="BF178" i="73" s="1"/>
  <c r="AW73" i="73"/>
  <c r="BG257" i="73" s="1"/>
  <c r="AW71" i="73"/>
  <c r="S28" i="73"/>
  <c r="AG228" i="73"/>
  <c r="AG199" i="73"/>
  <c r="AG232" i="73"/>
  <c r="AG189" i="73"/>
  <c r="AG204" i="73"/>
  <c r="AG185" i="73"/>
  <c r="AG175" i="73"/>
  <c r="AG179" i="73"/>
  <c r="AG172" i="73"/>
  <c r="AG165" i="73"/>
  <c r="AG239" i="73"/>
  <c r="AG76" i="73"/>
  <c r="BA358" i="73"/>
  <c r="BA327" i="73"/>
  <c r="BA354" i="73"/>
  <c r="BA344" i="73"/>
  <c r="BA364" i="73"/>
  <c r="BA338" i="73"/>
  <c r="BA312" i="73"/>
  <c r="BA332" i="73"/>
  <c r="BA321" i="73"/>
  <c r="BA305" i="73"/>
  <c r="BA291" i="73"/>
  <c r="BA314" i="73"/>
  <c r="BA323" i="73"/>
  <c r="BA316" i="73"/>
  <c r="BA293" i="73"/>
  <c r="BA281" i="73"/>
  <c r="BA269" i="73"/>
  <c r="BA335" i="73"/>
  <c r="BA303" i="73"/>
  <c r="BA297" i="73"/>
  <c r="BA274" i="73"/>
  <c r="BA270" i="73"/>
  <c r="BA268" i="73"/>
  <c r="BA52" i="73"/>
  <c r="BA69" i="73"/>
  <c r="BA51" i="73"/>
  <c r="BA37" i="73"/>
  <c r="BA72" i="73"/>
  <c r="BA53" i="73"/>
  <c r="BA70" i="73"/>
  <c r="BA67" i="73"/>
  <c r="BA38" i="73"/>
  <c r="BA55" i="73" s="1"/>
  <c r="BA19" i="73"/>
  <c r="V367" i="73"/>
  <c r="V285" i="73"/>
  <c r="V284" i="73"/>
  <c r="V30" i="73"/>
  <c r="AD70" i="73"/>
  <c r="AY122" i="72"/>
  <c r="AC124" i="72"/>
  <c r="AA250" i="73"/>
  <c r="AA199" i="73"/>
  <c r="AA228" i="73"/>
  <c r="AA262" i="73"/>
  <c r="AA232" i="73"/>
  <c r="AA211" i="73"/>
  <c r="AA193" i="73"/>
  <c r="AA221" i="73"/>
  <c r="AA204" i="73"/>
  <c r="AA185" i="73"/>
  <c r="AA239" i="73"/>
  <c r="AA215" i="73"/>
  <c r="AA175" i="73"/>
  <c r="AA148" i="73"/>
  <c r="AA158" i="73"/>
  <c r="AA121" i="73"/>
  <c r="AA107" i="73"/>
  <c r="AA103" i="73"/>
  <c r="AA179" i="73"/>
  <c r="AA172" i="73"/>
  <c r="AA165" i="73"/>
  <c r="AA117" i="73"/>
  <c r="AA96" i="73"/>
  <c r="AA89" i="73"/>
  <c r="AA131" i="73"/>
  <c r="AA127" i="73"/>
  <c r="AA82" i="73"/>
  <c r="AA139" i="73"/>
  <c r="AA189" i="73"/>
  <c r="AA76" i="73"/>
  <c r="AA92" i="73"/>
  <c r="AA85" i="73"/>
  <c r="AI228" i="73"/>
  <c r="AI221" i="73"/>
  <c r="AI199" i="73"/>
  <c r="AI232" i="73"/>
  <c r="AI215" i="73"/>
  <c r="AI250" i="73"/>
  <c r="AI193" i="73"/>
  <c r="AI185" i="73"/>
  <c r="AI239" i="73"/>
  <c r="AI204" i="73"/>
  <c r="AI211" i="73"/>
  <c r="AI189" i="73"/>
  <c r="AI76" i="73"/>
  <c r="AS228" i="73"/>
  <c r="AS232" i="73"/>
  <c r="AS199" i="73"/>
  <c r="AS189" i="73"/>
  <c r="AS185" i="73"/>
  <c r="AS204" i="73"/>
  <c r="AS193" i="73"/>
  <c r="AS239" i="73"/>
  <c r="AS175" i="73"/>
  <c r="AS172" i="73"/>
  <c r="AS165" i="73"/>
  <c r="AS179" i="73"/>
  <c r="AS76" i="73"/>
  <c r="BC204" i="73"/>
  <c r="BC228" i="73"/>
  <c r="BC232" i="73"/>
  <c r="BC199" i="73"/>
  <c r="BC175" i="73"/>
  <c r="BC179" i="73"/>
  <c r="BC239" i="73"/>
  <c r="BC189" i="73"/>
  <c r="BC185" i="73"/>
  <c r="BC165" i="73"/>
  <c r="BC193" i="73"/>
  <c r="BC76" i="73"/>
  <c r="V358" i="73"/>
  <c r="V364" i="73"/>
  <c r="V327" i="73"/>
  <c r="V354" i="73"/>
  <c r="V344" i="73"/>
  <c r="V338" i="73"/>
  <c r="V315" i="73"/>
  <c r="V332" i="73"/>
  <c r="V330" i="73"/>
  <c r="V317" i="73"/>
  <c r="V313" i="73"/>
  <c r="V308" i="73"/>
  <c r="V305" i="73"/>
  <c r="V323" i="73"/>
  <c r="V322" i="73"/>
  <c r="V314" i="73"/>
  <c r="V307" i="73"/>
  <c r="V306" i="73"/>
  <c r="V335" i="73"/>
  <c r="V293" i="73"/>
  <c r="V297" i="73"/>
  <c r="V316" i="73"/>
  <c r="V311" i="73"/>
  <c r="V303" i="73"/>
  <c r="V304" i="73"/>
  <c r="V310" i="73"/>
  <c r="V274" i="73"/>
  <c r="V321" i="73"/>
  <c r="V270" i="73"/>
  <c r="V268" i="73"/>
  <c r="V312" i="73"/>
  <c r="V291" i="73"/>
  <c r="V269" i="73"/>
  <c r="V281" i="73"/>
  <c r="V309" i="73"/>
  <c r="V72" i="73"/>
  <c r="V52" i="73"/>
  <c r="V69" i="73"/>
  <c r="V65" i="73"/>
  <c r="V53" i="73"/>
  <c r="V70" i="73"/>
  <c r="V38" i="73"/>
  <c r="V60" i="73"/>
  <c r="AG358" i="73"/>
  <c r="AG364" i="73"/>
  <c r="AG327" i="73"/>
  <c r="AG344" i="73"/>
  <c r="AG354" i="73"/>
  <c r="AG335" i="73"/>
  <c r="AG330" i="73"/>
  <c r="AG338" i="73"/>
  <c r="AG317" i="73"/>
  <c r="AG307" i="73"/>
  <c r="AG305" i="73"/>
  <c r="AG321" i="73"/>
  <c r="AG314" i="73"/>
  <c r="AG306" i="73"/>
  <c r="AG293" i="73"/>
  <c r="AG323" i="73"/>
  <c r="AG322" i="73"/>
  <c r="AG311" i="73"/>
  <c r="AG297" i="73"/>
  <c r="AG332" i="73"/>
  <c r="AG315" i="73"/>
  <c r="AG310" i="73"/>
  <c r="AG303" i="73"/>
  <c r="AG316" i="73"/>
  <c r="AG309" i="73"/>
  <c r="AG291" i="73"/>
  <c r="AG274" i="73"/>
  <c r="AG313" i="73"/>
  <c r="AG270" i="73"/>
  <c r="AG268" i="73"/>
  <c r="AG312" i="73"/>
  <c r="AG304" i="73"/>
  <c r="AG308" i="73"/>
  <c r="AG281" i="73"/>
  <c r="AG269" i="73"/>
  <c r="AG52" i="73"/>
  <c r="AG72" i="73"/>
  <c r="AG69" i="73"/>
  <c r="AG65" i="73"/>
  <c r="AG53" i="73"/>
  <c r="AG70" i="73"/>
  <c r="AG38" i="73"/>
  <c r="AG329" i="73" s="1"/>
  <c r="AG67" i="73"/>
  <c r="AG60" i="73"/>
  <c r="AR358" i="73"/>
  <c r="AR364" i="73"/>
  <c r="AR354" i="73"/>
  <c r="AR327" i="73"/>
  <c r="AR344" i="73"/>
  <c r="AR335" i="73"/>
  <c r="AR330" i="73"/>
  <c r="AR332" i="73"/>
  <c r="AR317" i="73"/>
  <c r="AR306" i="73"/>
  <c r="AR305" i="73"/>
  <c r="AR316" i="73"/>
  <c r="AR314" i="73"/>
  <c r="AR338" i="73"/>
  <c r="AR311" i="73"/>
  <c r="AR293" i="73"/>
  <c r="AR321" i="73"/>
  <c r="AR310" i="73"/>
  <c r="AR297" i="73"/>
  <c r="AR315" i="73"/>
  <c r="AR309" i="73"/>
  <c r="AR304" i="73"/>
  <c r="AR303" i="73"/>
  <c r="AR313" i="73"/>
  <c r="AR312" i="73"/>
  <c r="AR308" i="73"/>
  <c r="AR274" i="73"/>
  <c r="AR270" i="73"/>
  <c r="AR268" i="73"/>
  <c r="AR322" i="73"/>
  <c r="AR323" i="73"/>
  <c r="AR269" i="73"/>
  <c r="AR307" i="73"/>
  <c r="AR291" i="73"/>
  <c r="AR281" i="73"/>
  <c r="AR69" i="73"/>
  <c r="AR65" i="73"/>
  <c r="AR72" i="73"/>
  <c r="AR53" i="73"/>
  <c r="AR70" i="73"/>
  <c r="AR38" i="73"/>
  <c r="AR54" i="73" s="1"/>
  <c r="AR67" i="73"/>
  <c r="AR60" i="73"/>
  <c r="BC358" i="73"/>
  <c r="BC364" i="73"/>
  <c r="BC327" i="73"/>
  <c r="BC344" i="73"/>
  <c r="BC354" i="73"/>
  <c r="BC332" i="73"/>
  <c r="BC338" i="73"/>
  <c r="BC305" i="73"/>
  <c r="BC314" i="73"/>
  <c r="BC323" i="73"/>
  <c r="BC316" i="73"/>
  <c r="BC293" i="73"/>
  <c r="BC297" i="73"/>
  <c r="BC335" i="73"/>
  <c r="BC303" i="73"/>
  <c r="BC321" i="73"/>
  <c r="BC312" i="73"/>
  <c r="BC291" i="73"/>
  <c r="BC274" i="73"/>
  <c r="BC270" i="73"/>
  <c r="BC268" i="73"/>
  <c r="BC281" i="73"/>
  <c r="BC269" i="73"/>
  <c r="BC72" i="73"/>
  <c r="BC53" i="73"/>
  <c r="BC70" i="73"/>
  <c r="BC67" i="73"/>
  <c r="BC38" i="73"/>
  <c r="BC62" i="73" s="1"/>
  <c r="BC60" i="73"/>
  <c r="V19" i="73"/>
  <c r="V66" i="73" s="1"/>
  <c r="AG19" i="73"/>
  <c r="AG66" i="73" s="1"/>
  <c r="AR19" i="73"/>
  <c r="AR68" i="73" s="1"/>
  <c r="BC19" i="73"/>
  <c r="BC66" i="73" s="1"/>
  <c r="R20" i="73"/>
  <c r="AC20" i="73"/>
  <c r="AN20" i="73"/>
  <c r="AY20" i="73"/>
  <c r="BG20" i="73"/>
  <c r="V21" i="73"/>
  <c r="P367" i="73"/>
  <c r="P285" i="73"/>
  <c r="P284" i="73"/>
  <c r="AH367" i="73"/>
  <c r="AH282" i="73"/>
  <c r="AH284" i="73"/>
  <c r="AH285" i="73"/>
  <c r="AR367" i="73"/>
  <c r="AR282" i="73"/>
  <c r="AR285" i="73"/>
  <c r="AR284" i="73"/>
  <c r="AR30" i="73"/>
  <c r="BB367" i="73"/>
  <c r="BB282" i="73"/>
  <c r="BB285" i="73"/>
  <c r="BB284" i="73"/>
  <c r="V28" i="73"/>
  <c r="P29" i="73"/>
  <c r="P30" i="73" s="1"/>
  <c r="AM29" i="73"/>
  <c r="AM310" i="73" s="1"/>
  <c r="AZ29" i="73"/>
  <c r="AZ30" i="73" s="1"/>
  <c r="AH30" i="73"/>
  <c r="AY30" i="73"/>
  <c r="AD33" i="73"/>
  <c r="BC33" i="73"/>
  <c r="AR37" i="73"/>
  <c r="U38" i="73"/>
  <c r="U62" i="73" s="1"/>
  <c r="AZ38" i="73"/>
  <c r="AZ54" i="73" s="1"/>
  <c r="AG51" i="73"/>
  <c r="BF51" i="73"/>
  <c r="AI52" i="73"/>
  <c r="R53" i="73"/>
  <c r="BG53" i="73"/>
  <c r="AW59" i="73"/>
  <c r="BA60" i="73"/>
  <c r="BB66" i="73"/>
  <c r="AO67" i="73"/>
  <c r="AO70" i="73"/>
  <c r="AB72" i="73"/>
  <c r="M76" i="73"/>
  <c r="AE193" i="73"/>
  <c r="AZ19" i="73"/>
  <c r="AE367" i="73"/>
  <c r="AE282" i="73"/>
  <c r="AE285" i="73"/>
  <c r="AE284" i="73"/>
  <c r="BA211" i="73"/>
  <c r="BA239" i="73"/>
  <c r="BA193" i="73"/>
  <c r="BA221" i="73"/>
  <c r="BA204" i="73"/>
  <c r="BA215" i="73"/>
  <c r="BA228" i="73"/>
  <c r="BA232" i="73"/>
  <c r="BA175" i="73"/>
  <c r="BA148" i="73"/>
  <c r="BA262" i="73"/>
  <c r="BA250" i="73"/>
  <c r="BA199" i="73"/>
  <c r="BA185" i="73"/>
  <c r="BA172" i="73"/>
  <c r="BA165" i="73"/>
  <c r="BA158" i="73"/>
  <c r="BA121" i="73"/>
  <c r="BA107" i="73"/>
  <c r="BA103" i="73"/>
  <c r="BA179" i="73"/>
  <c r="BA117" i="73"/>
  <c r="BA96" i="73"/>
  <c r="BA89" i="73"/>
  <c r="BA189" i="73"/>
  <c r="BA131" i="73"/>
  <c r="BA127" i="73"/>
  <c r="BA139" i="73"/>
  <c r="BA92" i="73"/>
  <c r="BA85" i="73"/>
  <c r="BA82" i="73"/>
  <c r="BA152" i="73"/>
  <c r="T358" i="73"/>
  <c r="T364" i="73"/>
  <c r="T327" i="73"/>
  <c r="T354" i="73"/>
  <c r="T344" i="73"/>
  <c r="T332" i="73"/>
  <c r="T335" i="73"/>
  <c r="T321" i="73"/>
  <c r="T312" i="73"/>
  <c r="T305" i="73"/>
  <c r="T291" i="73"/>
  <c r="T323" i="73"/>
  <c r="T314" i="73"/>
  <c r="T338" i="73"/>
  <c r="T293" i="73"/>
  <c r="T281" i="73"/>
  <c r="T297" i="73"/>
  <c r="T303" i="73"/>
  <c r="T269" i="73"/>
  <c r="T316" i="73"/>
  <c r="T274" i="73"/>
  <c r="T268" i="73"/>
  <c r="T270" i="73"/>
  <c r="T67" i="73"/>
  <c r="T51" i="73"/>
  <c r="T37" i="73"/>
  <c r="T29" i="73"/>
  <c r="T322" i="73" s="1"/>
  <c r="T72" i="73"/>
  <c r="T52" i="73"/>
  <c r="T69" i="73"/>
  <c r="T53" i="73"/>
  <c r="T70" i="73"/>
  <c r="T38" i="73"/>
  <c r="T329" i="73" s="1"/>
  <c r="T19" i="73"/>
  <c r="T66" i="73" s="1"/>
  <c r="AZ367" i="73"/>
  <c r="AZ285" i="73"/>
  <c r="AZ284" i="73"/>
  <c r="AZ282" i="73"/>
  <c r="AZ33" i="73"/>
  <c r="AP60" i="73"/>
  <c r="AZ140" i="72"/>
  <c r="AZ242" i="72" s="1"/>
  <c r="AZ243" i="72" s="1"/>
  <c r="AB128" i="72"/>
  <c r="AB262" i="73"/>
  <c r="AB228" i="73"/>
  <c r="AB232" i="73"/>
  <c r="AB211" i="73"/>
  <c r="AB189" i="73"/>
  <c r="AB221" i="73"/>
  <c r="AB204" i="73"/>
  <c r="AB239" i="73"/>
  <c r="AB215" i="73"/>
  <c r="AB250" i="73"/>
  <c r="AB185" i="73"/>
  <c r="AB193" i="73"/>
  <c r="AB158" i="73"/>
  <c r="AB121" i="73"/>
  <c r="AB107" i="73"/>
  <c r="AB103" i="73"/>
  <c r="AB179" i="73"/>
  <c r="AB172" i="73"/>
  <c r="AB165" i="73"/>
  <c r="AB117" i="73"/>
  <c r="AB96" i="73"/>
  <c r="AB89" i="73"/>
  <c r="AB131" i="73"/>
  <c r="AB127" i="73"/>
  <c r="AB139" i="73"/>
  <c r="AB85" i="73"/>
  <c r="AB76" i="73"/>
  <c r="AB92" i="73"/>
  <c r="AB148" i="73"/>
  <c r="AB199" i="73"/>
  <c r="AB175" i="73"/>
  <c r="AK249" i="73"/>
  <c r="AK273" i="73"/>
  <c r="AK261" i="73"/>
  <c r="AK267" i="73"/>
  <c r="AK238" i="73"/>
  <c r="AK102" i="73"/>
  <c r="AK184" i="73"/>
  <c r="AK138" i="73"/>
  <c r="AK59" i="73"/>
  <c r="AK164" i="73"/>
  <c r="AK76" i="73"/>
  <c r="AK36" i="73"/>
  <c r="AK227" i="73"/>
  <c r="AT228" i="73"/>
  <c r="AT232" i="73"/>
  <c r="AT199" i="73"/>
  <c r="AT189" i="73"/>
  <c r="AT185" i="73"/>
  <c r="AT179" i="73"/>
  <c r="AT239" i="73"/>
  <c r="AT193" i="73"/>
  <c r="AT175" i="73"/>
  <c r="AT172" i="73"/>
  <c r="AT165" i="73"/>
  <c r="AT204" i="73"/>
  <c r="AT76" i="73"/>
  <c r="BD228" i="73"/>
  <c r="BD232" i="73"/>
  <c r="BD185" i="73"/>
  <c r="BD179" i="73"/>
  <c r="BD239" i="73"/>
  <c r="BD175" i="73"/>
  <c r="BD165" i="73"/>
  <c r="BD76" i="73"/>
  <c r="O364" i="73"/>
  <c r="O344" i="73"/>
  <c r="O338" i="73"/>
  <c r="O332" i="73"/>
  <c r="O358" i="73"/>
  <c r="O335" i="73"/>
  <c r="O327" i="73"/>
  <c r="O316" i="73"/>
  <c r="O323" i="73"/>
  <c r="O321" i="73"/>
  <c r="O314" i="73"/>
  <c r="O293" i="73"/>
  <c r="O297" i="73"/>
  <c r="O303" i="73"/>
  <c r="O312" i="73"/>
  <c r="O305" i="73"/>
  <c r="O354" i="73"/>
  <c r="O291" i="73"/>
  <c r="O274" i="73"/>
  <c r="O270" i="73"/>
  <c r="O268" i="73"/>
  <c r="O281" i="73"/>
  <c r="O269" i="73"/>
  <c r="O72" i="73"/>
  <c r="O52" i="73"/>
  <c r="O69" i="73"/>
  <c r="O53" i="73"/>
  <c r="O70" i="73"/>
  <c r="O38" i="73"/>
  <c r="O329" i="73" s="1"/>
  <c r="O33" i="73"/>
  <c r="O60" i="73"/>
  <c r="O67" i="73"/>
  <c r="W364" i="73"/>
  <c r="W354" i="73"/>
  <c r="W344" i="73"/>
  <c r="W338" i="73"/>
  <c r="W332" i="73"/>
  <c r="W358" i="73"/>
  <c r="W327" i="73"/>
  <c r="W316" i="73"/>
  <c r="W323" i="73"/>
  <c r="W321" i="73"/>
  <c r="W314" i="73"/>
  <c r="W335" i="73"/>
  <c r="W293" i="73"/>
  <c r="W297" i="73"/>
  <c r="W303" i="73"/>
  <c r="W312" i="73"/>
  <c r="W274" i="73"/>
  <c r="W270" i="73"/>
  <c r="W268" i="73"/>
  <c r="W281" i="73"/>
  <c r="W291" i="73"/>
  <c r="W269" i="73"/>
  <c r="W305" i="73"/>
  <c r="W304" i="73"/>
  <c r="W72" i="73"/>
  <c r="W52" i="73"/>
  <c r="W69" i="73"/>
  <c r="W53" i="73"/>
  <c r="W70" i="73"/>
  <c r="W38" i="73"/>
  <c r="W33" i="73"/>
  <c r="W60" i="73"/>
  <c r="W67" i="73"/>
  <c r="AH364" i="73"/>
  <c r="AH344" i="73"/>
  <c r="AH338" i="73"/>
  <c r="AH332" i="73"/>
  <c r="AH330" i="73"/>
  <c r="AH358" i="73"/>
  <c r="AH354" i="73"/>
  <c r="AH316" i="73"/>
  <c r="AH317" i="73"/>
  <c r="AH323" i="73"/>
  <c r="AH321" i="73"/>
  <c r="AH335" i="73"/>
  <c r="AH314" i="73"/>
  <c r="AH306" i="73"/>
  <c r="AH293" i="73"/>
  <c r="AH322" i="73"/>
  <c r="AH311" i="73"/>
  <c r="AH297" i="73"/>
  <c r="AH315" i="73"/>
  <c r="AH310" i="73"/>
  <c r="AH303" i="73"/>
  <c r="AH327" i="73"/>
  <c r="AH312" i="73"/>
  <c r="AH309" i="73"/>
  <c r="AH304" i="73"/>
  <c r="AH307" i="73"/>
  <c r="AH291" i="73"/>
  <c r="AH274" i="73"/>
  <c r="AH313" i="73"/>
  <c r="AH270" i="73"/>
  <c r="AH268" i="73"/>
  <c r="AH305" i="73"/>
  <c r="AH308" i="73"/>
  <c r="AH281" i="73"/>
  <c r="AH269" i="73"/>
  <c r="AH72" i="73"/>
  <c r="AH69" i="73"/>
  <c r="AH65" i="73"/>
  <c r="AH53" i="73"/>
  <c r="AH70" i="73"/>
  <c r="AH38" i="73"/>
  <c r="AH329" i="73" s="1"/>
  <c r="AH33" i="73"/>
  <c r="AH67" i="73"/>
  <c r="AH60" i="73"/>
  <c r="AS364" i="73"/>
  <c r="AS344" i="73"/>
  <c r="AS338" i="73"/>
  <c r="AS332" i="73"/>
  <c r="AS330" i="73"/>
  <c r="AS358" i="73"/>
  <c r="AS354" i="73"/>
  <c r="AS327" i="73"/>
  <c r="AS317" i="73"/>
  <c r="AS316" i="73"/>
  <c r="AS323" i="73"/>
  <c r="AS321" i="73"/>
  <c r="AS314" i="73"/>
  <c r="AS311" i="73"/>
  <c r="AS293" i="73"/>
  <c r="AS310" i="73"/>
  <c r="AS297" i="73"/>
  <c r="AS315" i="73"/>
  <c r="AS309" i="73"/>
  <c r="AS304" i="73"/>
  <c r="AS303" i="73"/>
  <c r="AS313" i="73"/>
  <c r="AS312" i="73"/>
  <c r="AS308" i="73"/>
  <c r="AS306" i="73"/>
  <c r="AS305" i="73"/>
  <c r="AS274" i="73"/>
  <c r="AS270" i="73"/>
  <c r="AS268" i="73"/>
  <c r="AS322" i="73"/>
  <c r="AS335" i="73"/>
  <c r="AS307" i="73"/>
  <c r="AS281" i="73"/>
  <c r="AS269" i="73"/>
  <c r="AS72" i="73"/>
  <c r="AS53" i="73"/>
  <c r="AS70" i="73"/>
  <c r="AS38" i="73"/>
  <c r="AS340" i="73" s="1"/>
  <c r="AS67" i="73"/>
  <c r="AS33" i="73"/>
  <c r="AS60" i="73"/>
  <c r="BD364" i="73"/>
  <c r="BD344" i="73"/>
  <c r="BD354" i="73"/>
  <c r="BD338" i="73"/>
  <c r="BD332" i="73"/>
  <c r="BD358" i="73"/>
  <c r="BD335" i="73"/>
  <c r="BD316" i="73"/>
  <c r="BD323" i="73"/>
  <c r="BD321" i="73"/>
  <c r="BD327" i="73"/>
  <c r="BD314" i="73"/>
  <c r="BD293" i="73"/>
  <c r="BD297" i="73"/>
  <c r="BD303" i="73"/>
  <c r="BD312" i="73"/>
  <c r="BD305" i="73"/>
  <c r="BD291" i="73"/>
  <c r="BD274" i="73"/>
  <c r="BD270" i="73"/>
  <c r="BD268" i="73"/>
  <c r="BD281" i="73"/>
  <c r="BD269" i="73"/>
  <c r="BD72" i="73"/>
  <c r="BD53" i="73"/>
  <c r="BD70" i="73"/>
  <c r="BD67" i="73"/>
  <c r="BD38" i="73"/>
  <c r="BD62" i="73" s="1"/>
  <c r="BD33" i="73"/>
  <c r="BD29" i="73"/>
  <c r="BD309" i="73" s="1"/>
  <c r="BD60" i="73"/>
  <c r="BD52" i="73"/>
  <c r="O19" i="73"/>
  <c r="O66" i="73" s="1"/>
  <c r="W19" i="73"/>
  <c r="W66" i="73" s="1"/>
  <c r="AH19" i="73"/>
  <c r="AH68" i="73" s="1"/>
  <c r="AS19" i="73"/>
  <c r="BD19" i="73"/>
  <c r="S20" i="73"/>
  <c r="AD20" i="73"/>
  <c r="AO20" i="73"/>
  <c r="O21" i="73"/>
  <c r="W21" i="73"/>
  <c r="Q367" i="73"/>
  <c r="Q284" i="73"/>
  <c r="Q285" i="73"/>
  <c r="AA367" i="73"/>
  <c r="AA284" i="73"/>
  <c r="AA282" i="73"/>
  <c r="AA285" i="73"/>
  <c r="Y73" i="73"/>
  <c r="AI257" i="73" s="1"/>
  <c r="AI78" i="73"/>
  <c r="AI186" i="73" s="1"/>
  <c r="Y71" i="73"/>
  <c r="AH78" i="73"/>
  <c r="AH169" i="73" s="1"/>
  <c r="AI367" i="73"/>
  <c r="AI284" i="73"/>
  <c r="AI282" i="73"/>
  <c r="AI285" i="73"/>
  <c r="AS367" i="73"/>
  <c r="AS284" i="73"/>
  <c r="AS282" i="73"/>
  <c r="AS285" i="73"/>
  <c r="BC367" i="73"/>
  <c r="BC284" i="73"/>
  <c r="BC282" i="73"/>
  <c r="BC285" i="73"/>
  <c r="O28" i="73"/>
  <c r="W28" i="73"/>
  <c r="Q29" i="73"/>
  <c r="Q330" i="73" s="1"/>
  <c r="AB29" i="73"/>
  <c r="AB310" i="73" s="1"/>
  <c r="AO29" i="73"/>
  <c r="AO30" i="73" s="1"/>
  <c r="BA29" i="73"/>
  <c r="Q37" i="73"/>
  <c r="AS37" i="73"/>
  <c r="AC38" i="73"/>
  <c r="AC64" i="73" s="1"/>
  <c r="BB38" i="73"/>
  <c r="AH51" i="73"/>
  <c r="AM52" i="73"/>
  <c r="BB60" i="73"/>
  <c r="S64" i="73"/>
  <c r="AP67" i="73"/>
  <c r="Q69" i="73"/>
  <c r="BC69" i="73"/>
  <c r="AY70" i="73"/>
  <c r="AP180" i="73"/>
  <c r="AG193" i="73"/>
  <c r="AF239" i="73"/>
  <c r="AF228" i="73"/>
  <c r="AF232" i="73"/>
  <c r="AF185" i="73"/>
  <c r="AF175" i="73"/>
  <c r="AF172" i="73"/>
  <c r="AZ354" i="73"/>
  <c r="AZ364" i="73"/>
  <c r="AZ335" i="73"/>
  <c r="AZ358" i="73"/>
  <c r="AZ327" i="73"/>
  <c r="AZ315" i="73"/>
  <c r="AZ344" i="73"/>
  <c r="AZ338" i="73"/>
  <c r="AZ317" i="73"/>
  <c r="AZ313" i="73"/>
  <c r="AZ303" i="73"/>
  <c r="AZ312" i="73"/>
  <c r="AZ332" i="73"/>
  <c r="AZ321" i="73"/>
  <c r="AZ305" i="73"/>
  <c r="AZ291" i="73"/>
  <c r="AZ314" i="73"/>
  <c r="AZ323" i="73"/>
  <c r="AZ316" i="73"/>
  <c r="AZ311" i="73"/>
  <c r="AZ330" i="73"/>
  <c r="AZ269" i="73"/>
  <c r="AZ310" i="73"/>
  <c r="AZ293" i="73"/>
  <c r="AZ297" i="73"/>
  <c r="AZ268" i="73"/>
  <c r="AZ270" i="73"/>
  <c r="AZ281" i="73"/>
  <c r="AZ274" i="73"/>
  <c r="AZ66" i="73"/>
  <c r="AZ60" i="73"/>
  <c r="AZ52" i="73"/>
  <c r="AZ69" i="73"/>
  <c r="AZ65" i="73"/>
  <c r="AZ51" i="73"/>
  <c r="AZ37" i="73"/>
  <c r="AZ72" i="73"/>
  <c r="AZ53" i="73"/>
  <c r="S19" i="73"/>
  <c r="BG367" i="73"/>
  <c r="BG282" i="73"/>
  <c r="BG285" i="73"/>
  <c r="BG284" i="73"/>
  <c r="S33" i="73"/>
  <c r="AE358" i="73"/>
  <c r="AE327" i="73"/>
  <c r="AE344" i="73"/>
  <c r="AE364" i="73"/>
  <c r="AE338" i="73"/>
  <c r="AE354" i="73"/>
  <c r="AE335" i="73"/>
  <c r="AE316" i="73"/>
  <c r="AE312" i="73"/>
  <c r="AE305" i="73"/>
  <c r="AE291" i="73"/>
  <c r="AE321" i="73"/>
  <c r="AE314" i="73"/>
  <c r="AE293" i="73"/>
  <c r="AE323" i="73"/>
  <c r="AE303" i="73"/>
  <c r="AE281" i="73"/>
  <c r="AE269" i="73"/>
  <c r="AE332" i="73"/>
  <c r="AE297" i="73"/>
  <c r="AE274" i="73"/>
  <c r="AE270" i="73"/>
  <c r="AE268" i="73"/>
  <c r="AE51" i="73"/>
  <c r="AE37" i="73"/>
  <c r="AE52" i="73"/>
  <c r="AE72" i="73"/>
  <c r="AE69" i="73"/>
  <c r="AE53" i="73"/>
  <c r="AE70" i="73"/>
  <c r="AE38" i="73"/>
  <c r="AE55" i="73" s="1"/>
  <c r="AF367" i="73"/>
  <c r="AF285" i="73"/>
  <c r="AF284" i="73"/>
  <c r="AF282" i="73"/>
  <c r="P242" i="73"/>
  <c r="P243" i="73" s="1"/>
  <c r="P141" i="73"/>
  <c r="AW212" i="73"/>
  <c r="AK212" i="73"/>
  <c r="Y212" i="73"/>
  <c r="BB173" i="73"/>
  <c r="AP173" i="73"/>
  <c r="AD173" i="73"/>
  <c r="R173" i="73"/>
  <c r="BA173" i="73"/>
  <c r="AO173" i="73"/>
  <c r="AC173" i="73"/>
  <c r="Q173" i="73"/>
  <c r="AZ173" i="73"/>
  <c r="AN173" i="73"/>
  <c r="AB173" i="73"/>
  <c r="P173" i="73"/>
  <c r="AY173" i="73"/>
  <c r="AM173" i="73"/>
  <c r="AA173" i="73"/>
  <c r="O173" i="73"/>
  <c r="BF173" i="73"/>
  <c r="AT173" i="73"/>
  <c r="AH173" i="73"/>
  <c r="V173" i="73"/>
  <c r="V174" i="73" s="1"/>
  <c r="V11" i="73" s="1"/>
  <c r="BE173" i="73"/>
  <c r="AS173" i="73"/>
  <c r="AG173" i="73"/>
  <c r="U173" i="73"/>
  <c r="M212" i="73"/>
  <c r="AQ173" i="73"/>
  <c r="AE173" i="73"/>
  <c r="BA118" i="73"/>
  <c r="AB118" i="73"/>
  <c r="S173" i="73"/>
  <c r="AA118" i="73"/>
  <c r="AC262" i="73"/>
  <c r="AC232" i="73"/>
  <c r="AC211" i="73"/>
  <c r="AC193" i="73"/>
  <c r="AC221" i="73"/>
  <c r="AC204" i="73"/>
  <c r="AC239" i="73"/>
  <c r="AC215" i="73"/>
  <c r="AC250" i="73"/>
  <c r="AC158" i="73"/>
  <c r="AC121" i="73"/>
  <c r="AC107" i="73"/>
  <c r="AC103" i="73"/>
  <c r="AC179" i="73"/>
  <c r="AC172" i="73"/>
  <c r="AC165" i="73"/>
  <c r="AC117" i="73"/>
  <c r="AC96" i="73"/>
  <c r="AC89" i="73"/>
  <c r="AC228" i="73"/>
  <c r="AC131" i="73"/>
  <c r="AC127" i="73"/>
  <c r="AC139" i="73"/>
  <c r="AC85" i="73"/>
  <c r="AC199" i="73"/>
  <c r="AC152" i="73"/>
  <c r="AC92" i="73"/>
  <c r="AC76" i="73"/>
  <c r="AC189" i="73"/>
  <c r="AC148" i="73"/>
  <c r="AC175" i="73"/>
  <c r="AM262" i="73"/>
  <c r="AM228" i="73"/>
  <c r="AM221" i="73"/>
  <c r="AM199" i="73"/>
  <c r="AM232" i="73"/>
  <c r="AM215" i="73"/>
  <c r="AM250" i="73"/>
  <c r="AM193" i="73"/>
  <c r="AM239" i="73"/>
  <c r="AM204" i="73"/>
  <c r="AM211" i="73"/>
  <c r="AM117" i="73"/>
  <c r="AM96" i="73"/>
  <c r="AM89" i="73"/>
  <c r="AM175" i="73"/>
  <c r="AM131" i="73"/>
  <c r="AM189" i="73"/>
  <c r="AM185" i="73"/>
  <c r="AM127" i="73"/>
  <c r="AM172" i="73"/>
  <c r="AM165" i="73"/>
  <c r="AM139" i="73"/>
  <c r="AM85" i="73"/>
  <c r="AM179" i="73"/>
  <c r="AM152" i="73"/>
  <c r="AM92" i="73"/>
  <c r="AM148" i="73"/>
  <c r="AM82" i="73"/>
  <c r="AM107" i="73"/>
  <c r="AM103" i="73"/>
  <c r="AM76" i="73"/>
  <c r="AM121" i="73"/>
  <c r="AU250" i="73"/>
  <c r="AU228" i="73"/>
  <c r="AU232" i="73"/>
  <c r="AU199" i="73"/>
  <c r="AU211" i="73"/>
  <c r="AU239" i="73"/>
  <c r="AU193" i="73"/>
  <c r="AU221" i="73"/>
  <c r="AU204" i="73"/>
  <c r="AU185" i="73"/>
  <c r="AU189" i="73"/>
  <c r="AU76" i="73"/>
  <c r="BE228" i="73"/>
  <c r="BE232" i="73"/>
  <c r="BE199" i="73"/>
  <c r="BE185" i="73"/>
  <c r="BE239" i="73"/>
  <c r="BE189" i="73"/>
  <c r="BE175" i="73"/>
  <c r="BE172" i="73"/>
  <c r="BE165" i="73"/>
  <c r="BE204" i="73"/>
  <c r="BE179" i="73"/>
  <c r="BE76" i="73"/>
  <c r="BE193" i="73"/>
  <c r="P344" i="73"/>
  <c r="P364" i="73"/>
  <c r="P358" i="73"/>
  <c r="P354" i="73"/>
  <c r="P338" i="73"/>
  <c r="P323" i="73"/>
  <c r="P321" i="73"/>
  <c r="P335" i="73"/>
  <c r="P306" i="73"/>
  <c r="P332" i="73"/>
  <c r="P316" i="73"/>
  <c r="P297" i="73"/>
  <c r="P327" i="73"/>
  <c r="P303" i="73"/>
  <c r="P322" i="73"/>
  <c r="P312" i="73"/>
  <c r="P291" i="73"/>
  <c r="P270" i="73"/>
  <c r="P268" i="73"/>
  <c r="P293" i="73"/>
  <c r="P281" i="73"/>
  <c r="P305" i="73"/>
  <c r="P314" i="73"/>
  <c r="P269" i="73"/>
  <c r="P69" i="73"/>
  <c r="P53" i="73"/>
  <c r="P70" i="73"/>
  <c r="P38" i="73"/>
  <c r="P274" i="73"/>
  <c r="P33" i="73"/>
  <c r="P60" i="73"/>
  <c r="P67" i="73"/>
  <c r="P51" i="73"/>
  <c r="P37" i="73"/>
  <c r="AA354" i="73"/>
  <c r="AA344" i="73"/>
  <c r="AA358" i="73"/>
  <c r="AA338" i="73"/>
  <c r="AA317" i="73"/>
  <c r="AA332" i="73"/>
  <c r="AA323" i="73"/>
  <c r="AA321" i="73"/>
  <c r="AA364" i="73"/>
  <c r="AA330" i="73"/>
  <c r="AA327" i="73"/>
  <c r="AA335" i="73"/>
  <c r="AA315" i="73"/>
  <c r="AA311" i="73"/>
  <c r="AA297" i="73"/>
  <c r="AA310" i="73"/>
  <c r="AA303" i="73"/>
  <c r="AA316" i="73"/>
  <c r="AA312" i="73"/>
  <c r="AA309" i="73"/>
  <c r="AA304" i="73"/>
  <c r="AA313" i="73"/>
  <c r="AA308" i="73"/>
  <c r="AA293" i="73"/>
  <c r="AA307" i="73"/>
  <c r="AA270" i="73"/>
  <c r="AA268" i="73"/>
  <c r="AA314" i="73"/>
  <c r="AA306" i="73"/>
  <c r="AA281" i="73"/>
  <c r="AA305" i="73"/>
  <c r="AA291" i="73"/>
  <c r="AA322" i="73"/>
  <c r="AA274" i="73"/>
  <c r="AA53" i="73"/>
  <c r="AA70" i="73"/>
  <c r="AA38" i="73"/>
  <c r="AA62" i="73" s="1"/>
  <c r="AA33" i="73"/>
  <c r="AA67" i="73"/>
  <c r="AA60" i="73"/>
  <c r="AA269" i="73"/>
  <c r="AA51" i="73"/>
  <c r="AA37" i="73"/>
  <c r="AI344" i="73"/>
  <c r="AI358" i="73"/>
  <c r="AI354" i="73"/>
  <c r="AI364" i="73"/>
  <c r="AI338" i="73"/>
  <c r="AI323" i="73"/>
  <c r="AI321" i="73"/>
  <c r="AI335" i="73"/>
  <c r="AI322" i="73"/>
  <c r="AI297" i="73"/>
  <c r="AI303" i="73"/>
  <c r="AI332" i="73"/>
  <c r="AI327" i="73"/>
  <c r="AI312" i="73"/>
  <c r="AI316" i="73"/>
  <c r="AI291" i="73"/>
  <c r="AI314" i="73"/>
  <c r="AI306" i="73"/>
  <c r="AI270" i="73"/>
  <c r="AI268" i="73"/>
  <c r="AI305" i="73"/>
  <c r="AI293" i="73"/>
  <c r="AI281" i="73"/>
  <c r="AI269" i="73"/>
  <c r="AI274" i="73"/>
  <c r="AI53" i="73"/>
  <c r="AI70" i="73"/>
  <c r="AI38" i="73"/>
  <c r="AI62" i="73" s="1"/>
  <c r="AI33" i="73"/>
  <c r="AI67" i="73"/>
  <c r="AI60" i="73"/>
  <c r="AI51" i="73"/>
  <c r="AI37" i="73"/>
  <c r="AT344" i="73"/>
  <c r="AT364" i="73"/>
  <c r="AT335" i="73"/>
  <c r="AT332" i="73"/>
  <c r="AT358" i="73"/>
  <c r="AT323" i="73"/>
  <c r="AT321" i="73"/>
  <c r="AT316" i="73"/>
  <c r="AT338" i="73"/>
  <c r="AT297" i="73"/>
  <c r="AT327" i="73"/>
  <c r="AT303" i="73"/>
  <c r="AT312" i="73"/>
  <c r="AT354" i="73"/>
  <c r="AT314" i="73"/>
  <c r="AT293" i="73"/>
  <c r="AT305" i="73"/>
  <c r="AT270" i="73"/>
  <c r="AT268" i="73"/>
  <c r="AT281" i="73"/>
  <c r="AT291" i="73"/>
  <c r="AT274" i="73"/>
  <c r="AT269" i="73"/>
  <c r="AT53" i="73"/>
  <c r="AT70" i="73"/>
  <c r="AT38" i="73"/>
  <c r="AT64" i="73" s="1"/>
  <c r="AT67" i="73"/>
  <c r="AT33" i="73"/>
  <c r="AT60" i="73"/>
  <c r="AT29" i="73"/>
  <c r="AT30" i="73" s="1"/>
  <c r="AT52" i="73"/>
  <c r="AT51" i="73"/>
  <c r="AT37" i="73"/>
  <c r="BE344" i="73"/>
  <c r="BE354" i="73"/>
  <c r="BE358" i="73"/>
  <c r="BE364" i="73"/>
  <c r="BE338" i="73"/>
  <c r="BE323" i="73"/>
  <c r="BE321" i="73"/>
  <c r="BE327" i="73"/>
  <c r="BE332" i="73"/>
  <c r="BE316" i="73"/>
  <c r="BE297" i="73"/>
  <c r="BE303" i="73"/>
  <c r="BE335" i="73"/>
  <c r="BE312" i="73"/>
  <c r="BE291" i="73"/>
  <c r="BE270" i="73"/>
  <c r="BE268" i="73"/>
  <c r="BE293" i="73"/>
  <c r="BE281" i="73"/>
  <c r="BE305" i="73"/>
  <c r="BE314" i="73"/>
  <c r="BE269" i="73"/>
  <c r="BE274" i="73"/>
  <c r="BE53" i="73"/>
  <c r="BE70" i="73"/>
  <c r="BE67" i="73"/>
  <c r="BE38" i="73"/>
  <c r="BE64" i="73" s="1"/>
  <c r="BE33" i="73"/>
  <c r="BE60" i="73"/>
  <c r="BE52" i="73"/>
  <c r="BE69" i="73"/>
  <c r="BE51" i="73"/>
  <c r="BE37" i="73"/>
  <c r="P19" i="73"/>
  <c r="AA19" i="73"/>
  <c r="AA68" i="73" s="1"/>
  <c r="AI19" i="73"/>
  <c r="AI66" i="73" s="1"/>
  <c r="AT19" i="73"/>
  <c r="BE19" i="73"/>
  <c r="BE66" i="73" s="1"/>
  <c r="T20" i="73"/>
  <c r="AE20" i="73"/>
  <c r="AP20" i="73"/>
  <c r="BA20" i="73"/>
  <c r="P21" i="73"/>
  <c r="R367" i="73"/>
  <c r="R285" i="73"/>
  <c r="R284" i="73"/>
  <c r="AB367" i="73"/>
  <c r="AB282" i="73"/>
  <c r="AB285" i="73"/>
  <c r="AB284" i="73"/>
  <c r="AK22" i="73"/>
  <c r="AT367" i="73"/>
  <c r="AT282" i="73"/>
  <c r="AT285" i="73"/>
  <c r="AT284" i="73"/>
  <c r="BD367" i="73"/>
  <c r="BD282" i="73"/>
  <c r="BD285" i="73"/>
  <c r="BD284" i="73"/>
  <c r="P28" i="73"/>
  <c r="R29" i="73"/>
  <c r="R311" i="73" s="1"/>
  <c r="AC29" i="73"/>
  <c r="AC309" i="73" s="1"/>
  <c r="AP29" i="73"/>
  <c r="AP322" i="73" s="1"/>
  <c r="BB29" i="73"/>
  <c r="BD30" i="73"/>
  <c r="AG33" i="73"/>
  <c r="V37" i="73"/>
  <c r="AD38" i="73"/>
  <c r="AD329" i="73" s="1"/>
  <c r="BG38" i="73"/>
  <c r="BG55" i="73" s="1"/>
  <c r="AM51" i="73"/>
  <c r="AR52" i="73"/>
  <c r="AC53" i="73"/>
  <c r="V54" i="73"/>
  <c r="R55" i="73"/>
  <c r="T60" i="73"/>
  <c r="AS65" i="73"/>
  <c r="R69" i="73"/>
  <c r="BD69" i="73"/>
  <c r="AZ70" i="73"/>
  <c r="AE76" i="73"/>
  <c r="AB141" i="73"/>
  <c r="AC185" i="73"/>
  <c r="AS291" i="73"/>
  <c r="J261" i="73"/>
  <c r="J273" i="73"/>
  <c r="J249" i="73"/>
  <c r="J227" i="73"/>
  <c r="J184" i="73"/>
  <c r="J138" i="73"/>
  <c r="J164" i="73"/>
  <c r="J238" i="73"/>
  <c r="J81" i="73"/>
  <c r="J102" i="73"/>
  <c r="AO367" i="73"/>
  <c r="AO282" i="73"/>
  <c r="AO285" i="73"/>
  <c r="AO284" i="73"/>
  <c r="AQ239" i="73"/>
  <c r="AQ204" i="73"/>
  <c r="AQ228" i="73"/>
  <c r="AQ199" i="73"/>
  <c r="AQ175" i="73"/>
  <c r="AQ232" i="73"/>
  <c r="AQ179" i="73"/>
  <c r="AQ193" i="73"/>
  <c r="AQ189" i="73"/>
  <c r="AQ172" i="73"/>
  <c r="AQ185" i="73"/>
  <c r="AQ165" i="73"/>
  <c r="AE19" i="73"/>
  <c r="AE66" i="73" s="1"/>
  <c r="AP367" i="73"/>
  <c r="AP285" i="73"/>
  <c r="AP284" i="73"/>
  <c r="AP282" i="73"/>
  <c r="T28" i="73"/>
  <c r="T33" i="73"/>
  <c r="AE67" i="73"/>
  <c r="AB140" i="72"/>
  <c r="AB141" i="72" s="1"/>
  <c r="M222" i="73"/>
  <c r="BF180" i="73"/>
  <c r="AT180" i="73"/>
  <c r="AH180" i="73"/>
  <c r="AH181" i="73" s="1"/>
  <c r="AH12" i="73" s="1"/>
  <c r="V180" i="73"/>
  <c r="V181" i="73" s="1"/>
  <c r="V12" i="73" s="1"/>
  <c r="AW222" i="73"/>
  <c r="BE180" i="73"/>
  <c r="AS180" i="73"/>
  <c r="AG180" i="73"/>
  <c r="U180" i="73"/>
  <c r="BC180" i="73"/>
  <c r="AO180" i="73"/>
  <c r="AA180" i="73"/>
  <c r="BB180" i="73"/>
  <c r="AN180" i="73"/>
  <c r="T180" i="73"/>
  <c r="BA180" i="73"/>
  <c r="AM180" i="73"/>
  <c r="S180" i="73"/>
  <c r="AK222" i="73"/>
  <c r="AZ180" i="73"/>
  <c r="AF180" i="73"/>
  <c r="R180" i="73"/>
  <c r="Y222" i="73"/>
  <c r="AY180" i="73"/>
  <c r="AE180" i="73"/>
  <c r="Q180" i="73"/>
  <c r="AR180" i="73"/>
  <c r="AD180" i="73"/>
  <c r="P180" i="73"/>
  <c r="AC180" i="73"/>
  <c r="AB180" i="73"/>
  <c r="AC128" i="73"/>
  <c r="O180" i="73"/>
  <c r="BD180" i="73"/>
  <c r="AD204" i="73"/>
  <c r="AD239" i="73"/>
  <c r="AD199" i="73"/>
  <c r="AD193" i="73"/>
  <c r="AD179" i="73"/>
  <c r="AD172" i="73"/>
  <c r="AD165" i="73"/>
  <c r="AD228" i="73"/>
  <c r="AD232" i="73"/>
  <c r="AD189" i="73"/>
  <c r="AD175" i="73"/>
  <c r="AD76" i="73"/>
  <c r="AN262" i="73"/>
  <c r="AN232" i="73"/>
  <c r="AN215" i="73"/>
  <c r="AN250" i="73"/>
  <c r="AN189" i="73"/>
  <c r="AN239" i="73"/>
  <c r="AN204" i="73"/>
  <c r="AN211" i="73"/>
  <c r="AN228" i="73"/>
  <c r="AN175" i="73"/>
  <c r="AN131" i="73"/>
  <c r="AN185" i="73"/>
  <c r="AN127" i="73"/>
  <c r="AN172" i="73"/>
  <c r="AN165" i="73"/>
  <c r="AN139" i="73"/>
  <c r="AN85" i="73"/>
  <c r="AN179" i="73"/>
  <c r="AN152" i="73"/>
  <c r="AN92" i="73"/>
  <c r="AN199" i="73"/>
  <c r="AN148" i="73"/>
  <c r="AN82" i="73"/>
  <c r="AN193" i="73"/>
  <c r="AN76" i="73"/>
  <c r="AN103" i="73"/>
  <c r="AN121" i="73"/>
  <c r="AN89" i="73"/>
  <c r="AN96" i="73"/>
  <c r="AN221" i="73"/>
  <c r="AN158" i="73"/>
  <c r="AW273" i="73"/>
  <c r="AW261" i="73"/>
  <c r="AW238" i="73"/>
  <c r="AW249" i="73"/>
  <c r="AW227" i="73"/>
  <c r="AW184" i="73"/>
  <c r="AW138" i="73"/>
  <c r="AW267" i="73"/>
  <c r="AW164" i="73"/>
  <c r="AW76" i="73"/>
  <c r="AW36" i="73"/>
  <c r="BF228" i="73"/>
  <c r="BF232" i="73"/>
  <c r="BF199" i="73"/>
  <c r="BF239" i="73"/>
  <c r="BF189" i="73"/>
  <c r="BF179" i="73"/>
  <c r="BF193" i="73"/>
  <c r="BF175" i="73"/>
  <c r="BF172" i="73"/>
  <c r="BF165" i="73"/>
  <c r="BF204" i="73"/>
  <c r="BF76" i="73"/>
  <c r="BF185" i="73"/>
  <c r="Y16" i="73"/>
  <c r="Q354" i="73"/>
  <c r="Q338" i="73"/>
  <c r="Q332" i="73"/>
  <c r="Q364" i="73"/>
  <c r="Q358" i="73"/>
  <c r="Q335" i="73"/>
  <c r="Q323" i="73"/>
  <c r="Q321" i="73"/>
  <c r="Q317" i="73"/>
  <c r="Q344" i="73"/>
  <c r="Q316" i="73"/>
  <c r="Q327" i="73"/>
  <c r="Q303" i="73"/>
  <c r="Q312" i="73"/>
  <c r="Q313" i="73"/>
  <c r="Q305" i="73"/>
  <c r="Q291" i="73"/>
  <c r="Q293" i="73"/>
  <c r="Q281" i="73"/>
  <c r="Q297" i="73"/>
  <c r="Q314" i="73"/>
  <c r="Q269" i="73"/>
  <c r="Q270" i="73"/>
  <c r="Q274" i="73"/>
  <c r="Q268" i="73"/>
  <c r="Q70" i="73"/>
  <c r="Q38" i="73"/>
  <c r="Q62" i="73" s="1"/>
  <c r="Q33" i="73"/>
  <c r="Q60" i="73"/>
  <c r="Q67" i="73"/>
  <c r="AB354" i="73"/>
  <c r="AB338" i="73"/>
  <c r="AB332" i="73"/>
  <c r="AB335" i="73"/>
  <c r="AB358" i="73"/>
  <c r="AB364" i="73"/>
  <c r="AB344" i="73"/>
  <c r="AB323" i="73"/>
  <c r="AB321" i="73"/>
  <c r="AB327" i="73"/>
  <c r="AB303" i="73"/>
  <c r="AB316" i="73"/>
  <c r="AB312" i="73"/>
  <c r="AB305" i="73"/>
  <c r="AB291" i="73"/>
  <c r="AB297" i="73"/>
  <c r="AB314" i="73"/>
  <c r="AB281" i="73"/>
  <c r="AB269" i="73"/>
  <c r="AB274" i="73"/>
  <c r="AB268" i="73"/>
  <c r="AB270" i="73"/>
  <c r="AB70" i="73"/>
  <c r="AB38" i="73"/>
  <c r="AB62" i="73" s="1"/>
  <c r="AB33" i="73"/>
  <c r="AB67" i="73"/>
  <c r="AB60" i="73"/>
  <c r="AB293" i="73"/>
  <c r="AB52" i="73"/>
  <c r="AM354" i="73"/>
  <c r="AM338" i="73"/>
  <c r="AM332" i="73"/>
  <c r="AM358" i="73"/>
  <c r="AM364" i="73"/>
  <c r="AM335" i="73"/>
  <c r="AM327" i="73"/>
  <c r="AM323" i="73"/>
  <c r="AM321" i="73"/>
  <c r="AM344" i="73"/>
  <c r="AM303" i="73"/>
  <c r="AM312" i="73"/>
  <c r="AM316" i="73"/>
  <c r="AM305" i="73"/>
  <c r="AM291" i="73"/>
  <c r="AM314" i="73"/>
  <c r="AM293" i="73"/>
  <c r="AM281" i="73"/>
  <c r="AM297" i="73"/>
  <c r="AM269" i="73"/>
  <c r="AM270" i="73"/>
  <c r="AM274" i="73"/>
  <c r="AM268" i="73"/>
  <c r="AM70" i="73"/>
  <c r="AM38" i="73"/>
  <c r="AM329" i="73" s="1"/>
  <c r="AM67" i="73"/>
  <c r="AM33" i="73"/>
  <c r="AM60" i="73"/>
  <c r="AM69" i="73"/>
  <c r="AU354" i="73"/>
  <c r="AU364" i="73"/>
  <c r="AU338" i="73"/>
  <c r="AU332" i="73"/>
  <c r="AU330" i="73"/>
  <c r="AU335" i="73"/>
  <c r="AU358" i="73"/>
  <c r="AU323" i="73"/>
  <c r="AU321" i="73"/>
  <c r="AU311" i="73"/>
  <c r="AU310" i="73"/>
  <c r="AU327" i="73"/>
  <c r="AU315" i="73"/>
  <c r="AU309" i="73"/>
  <c r="AU304" i="73"/>
  <c r="AU303" i="73"/>
  <c r="AU317" i="73"/>
  <c r="AU313" i="73"/>
  <c r="AU312" i="73"/>
  <c r="AU308" i="73"/>
  <c r="AU322" i="73"/>
  <c r="AU307" i="73"/>
  <c r="AU306" i="73"/>
  <c r="AU305" i="73"/>
  <c r="AU291" i="73"/>
  <c r="AU344" i="73"/>
  <c r="AU316" i="73"/>
  <c r="AU297" i="73"/>
  <c r="AU281" i="73"/>
  <c r="AU269" i="73"/>
  <c r="AU274" i="73"/>
  <c r="AU314" i="73"/>
  <c r="AU268" i="73"/>
  <c r="AU293" i="73"/>
  <c r="AU270" i="73"/>
  <c r="AU70" i="73"/>
  <c r="AU38" i="73"/>
  <c r="AU67" i="73"/>
  <c r="AU33" i="73"/>
  <c r="AU60" i="73"/>
  <c r="AU69" i="73"/>
  <c r="AU65" i="73"/>
  <c r="BF354" i="73"/>
  <c r="BF338" i="73"/>
  <c r="BF332" i="73"/>
  <c r="BF358" i="73"/>
  <c r="BF335" i="73"/>
  <c r="BF364" i="73"/>
  <c r="BF323" i="73"/>
  <c r="BF321" i="73"/>
  <c r="BF344" i="73"/>
  <c r="BF327" i="73"/>
  <c r="BF316" i="73"/>
  <c r="BF303" i="73"/>
  <c r="BF312" i="73"/>
  <c r="BF305" i="73"/>
  <c r="BF291" i="73"/>
  <c r="BF293" i="73"/>
  <c r="BF281" i="73"/>
  <c r="BF297" i="73"/>
  <c r="BF314" i="73"/>
  <c r="BF269" i="73"/>
  <c r="BF270" i="73"/>
  <c r="BF274" i="73"/>
  <c r="BF268" i="73"/>
  <c r="BF70" i="73"/>
  <c r="BF67" i="73"/>
  <c r="BF38" i="73"/>
  <c r="BF64" i="73" s="1"/>
  <c r="BF33" i="73"/>
  <c r="BF29" i="73"/>
  <c r="BF60" i="73"/>
  <c r="BF52" i="73"/>
  <c r="BF69" i="73"/>
  <c r="Q19" i="73"/>
  <c r="Q66" i="73" s="1"/>
  <c r="AB19" i="73"/>
  <c r="AM19" i="73"/>
  <c r="AM66" i="73" s="1"/>
  <c r="AU19" i="73"/>
  <c r="AU68" i="73" s="1"/>
  <c r="BF19" i="73"/>
  <c r="BF66" i="73" s="1"/>
  <c r="U20" i="73"/>
  <c r="AF20" i="73"/>
  <c r="AQ20" i="73"/>
  <c r="BB20" i="73"/>
  <c r="Q21" i="73"/>
  <c r="S367" i="73"/>
  <c r="S285" i="73"/>
  <c r="S284" i="73"/>
  <c r="AC367" i="73"/>
  <c r="AC282" i="73"/>
  <c r="AC285" i="73"/>
  <c r="AC284" i="73"/>
  <c r="AM367" i="73"/>
  <c r="AM282" i="73"/>
  <c r="AM285" i="73"/>
  <c r="AM284" i="73"/>
  <c r="AU78" i="73"/>
  <c r="AU186" i="73" s="1"/>
  <c r="AT78" i="73"/>
  <c r="AT169" i="73" s="1"/>
  <c r="AK73" i="73"/>
  <c r="AU257" i="73" s="1"/>
  <c r="AK71" i="73"/>
  <c r="AU367" i="73"/>
  <c r="AU282" i="73"/>
  <c r="AU285" i="73"/>
  <c r="AU284" i="73"/>
  <c r="BE367" i="73"/>
  <c r="BE282" i="73"/>
  <c r="BE285" i="73"/>
  <c r="BE284" i="73"/>
  <c r="Q28" i="73"/>
  <c r="S29" i="73"/>
  <c r="S311" i="73" s="1"/>
  <c r="AE29" i="73"/>
  <c r="AE330" i="73" s="1"/>
  <c r="AQ29" i="73"/>
  <c r="BC29" i="73"/>
  <c r="BC30" i="73" s="1"/>
  <c r="W37" i="73"/>
  <c r="BC37" i="73"/>
  <c r="AF38" i="73"/>
  <c r="AF54" i="73" s="1"/>
  <c r="O51" i="73"/>
  <c r="AR51" i="73"/>
  <c r="S52" i="73"/>
  <c r="AS52" i="73"/>
  <c r="AM53" i="73"/>
  <c r="U60" i="73"/>
  <c r="AZ67" i="73"/>
  <c r="AA69" i="73"/>
  <c r="AT72" i="73"/>
  <c r="AF76" i="73"/>
  <c r="AO141" i="73"/>
  <c r="AO242" i="73" s="1"/>
  <c r="AC141" i="73"/>
  <c r="AC242" i="73" s="1"/>
  <c r="AM158" i="73"/>
  <c r="AF165" i="73"/>
  <c r="AD185" i="73"/>
  <c r="AU215" i="73"/>
  <c r="AP239" i="73"/>
  <c r="AP204" i="73"/>
  <c r="AP228" i="73"/>
  <c r="AP199" i="73"/>
  <c r="AP189" i="73"/>
  <c r="AP172" i="73"/>
  <c r="AP165" i="73"/>
  <c r="AP179" i="73"/>
  <c r="AP232" i="73"/>
  <c r="AP193" i="73"/>
  <c r="AP175" i="73"/>
  <c r="AP185" i="73"/>
  <c r="AO354" i="73"/>
  <c r="AO364" i="73"/>
  <c r="AO358" i="73"/>
  <c r="AO335" i="73"/>
  <c r="AO344" i="73"/>
  <c r="AO338" i="73"/>
  <c r="AO327" i="73"/>
  <c r="AO332" i="73"/>
  <c r="AO330" i="73"/>
  <c r="AO309" i="73"/>
  <c r="AO304" i="73"/>
  <c r="AO303" i="73"/>
  <c r="AO312" i="73"/>
  <c r="AO323" i="73"/>
  <c r="AO307" i="73"/>
  <c r="AO316" i="73"/>
  <c r="AO306" i="73"/>
  <c r="AO305" i="73"/>
  <c r="AO291" i="73"/>
  <c r="AO314" i="73"/>
  <c r="AO317" i="73"/>
  <c r="AO293" i="73"/>
  <c r="AO297" i="73"/>
  <c r="AO321" i="73"/>
  <c r="AO269" i="73"/>
  <c r="AO311" i="73"/>
  <c r="AO281" i="73"/>
  <c r="AO270" i="73"/>
  <c r="AO274" i="73"/>
  <c r="AO268" i="73"/>
  <c r="AO60" i="73"/>
  <c r="AO52" i="73"/>
  <c r="AO51" i="73"/>
  <c r="AO37" i="73"/>
  <c r="AO69" i="73"/>
  <c r="AO65" i="73"/>
  <c r="AO72" i="73"/>
  <c r="AO53" i="73"/>
  <c r="AO19" i="73"/>
  <c r="S21" i="73"/>
  <c r="U367" i="73"/>
  <c r="U285" i="73"/>
  <c r="U284" i="73"/>
  <c r="BG30" i="73"/>
  <c r="AO38" i="73"/>
  <c r="AO329" i="73" s="1"/>
  <c r="AA140" i="72"/>
  <c r="AE204" i="73"/>
  <c r="AE239" i="73"/>
  <c r="AE199" i="73"/>
  <c r="AE175" i="73"/>
  <c r="AE228" i="73"/>
  <c r="AE232" i="73"/>
  <c r="AE189" i="73"/>
  <c r="AE185" i="73"/>
  <c r="AE172" i="73"/>
  <c r="AO250" i="73"/>
  <c r="AO262" i="73"/>
  <c r="AO193" i="73"/>
  <c r="AO239" i="73"/>
  <c r="AO204" i="73"/>
  <c r="AO211" i="73"/>
  <c r="AO215" i="73"/>
  <c r="AO185" i="73"/>
  <c r="AO127" i="73"/>
  <c r="AO189" i="73"/>
  <c r="AO172" i="73"/>
  <c r="AO165" i="73"/>
  <c r="AO139" i="73"/>
  <c r="AO85" i="73"/>
  <c r="AO179" i="73"/>
  <c r="AO152" i="73"/>
  <c r="AO92" i="73"/>
  <c r="AO232" i="73"/>
  <c r="AO199" i="73"/>
  <c r="AO148" i="73"/>
  <c r="AO82" i="73"/>
  <c r="AO221" i="73"/>
  <c r="AO158" i="73"/>
  <c r="AO121" i="73"/>
  <c r="AO107" i="73"/>
  <c r="AO103" i="73"/>
  <c r="AO131" i="73"/>
  <c r="AO89" i="73"/>
  <c r="AO76" i="73"/>
  <c r="AO228" i="73"/>
  <c r="AO96" i="73"/>
  <c r="AO175" i="73"/>
  <c r="AY250" i="73"/>
  <c r="AY262" i="73"/>
  <c r="AY232" i="73"/>
  <c r="AY199" i="73"/>
  <c r="AY211" i="73"/>
  <c r="AY239" i="73"/>
  <c r="AY193" i="73"/>
  <c r="AY221" i="73"/>
  <c r="AY204" i="73"/>
  <c r="AY215" i="73"/>
  <c r="AY139" i="73"/>
  <c r="AY85" i="73"/>
  <c r="AY152" i="73"/>
  <c r="AY92" i="73"/>
  <c r="AY175" i="73"/>
  <c r="AY148" i="73"/>
  <c r="AY82" i="73"/>
  <c r="AY185" i="73"/>
  <c r="AY172" i="73"/>
  <c r="AY165" i="73"/>
  <c r="AY158" i="73"/>
  <c r="AY121" i="73"/>
  <c r="AY107" i="73"/>
  <c r="AY103" i="73"/>
  <c r="AY189" i="73"/>
  <c r="AY179" i="73"/>
  <c r="AY117" i="73"/>
  <c r="AY96" i="73"/>
  <c r="AY89" i="73"/>
  <c r="AY228" i="73"/>
  <c r="AY76" i="73"/>
  <c r="AY127" i="73"/>
  <c r="BG232" i="73"/>
  <c r="BG221" i="73"/>
  <c r="BG199" i="73"/>
  <c r="BG215" i="73"/>
  <c r="BG239" i="73"/>
  <c r="BG193" i="73"/>
  <c r="BG204" i="73"/>
  <c r="BG250" i="73"/>
  <c r="BG189" i="73"/>
  <c r="BG228" i="73"/>
  <c r="BG185" i="73"/>
  <c r="BG211" i="73"/>
  <c r="BG76" i="73"/>
  <c r="R358" i="73"/>
  <c r="R364" i="73"/>
  <c r="R354" i="73"/>
  <c r="R344" i="73"/>
  <c r="R335" i="73"/>
  <c r="R332" i="73"/>
  <c r="R316" i="73"/>
  <c r="R315" i="73"/>
  <c r="R329" i="73"/>
  <c r="R327" i="73"/>
  <c r="R303" i="73"/>
  <c r="R322" i="73"/>
  <c r="R324" i="73" s="1" a="1"/>
  <c r="R324" i="73" s="1"/>
  <c r="R321" i="73"/>
  <c r="R312" i="73"/>
  <c r="R310" i="73"/>
  <c r="R309" i="73"/>
  <c r="R304" i="73"/>
  <c r="R313" i="73"/>
  <c r="R308" i="73"/>
  <c r="R305" i="73"/>
  <c r="R291" i="73"/>
  <c r="R323" i="73"/>
  <c r="R314" i="73"/>
  <c r="R307" i="73"/>
  <c r="R338" i="73"/>
  <c r="R330" i="73"/>
  <c r="R293" i="73"/>
  <c r="R281" i="73"/>
  <c r="R297" i="73"/>
  <c r="R269" i="73"/>
  <c r="R306" i="73"/>
  <c r="R270" i="73"/>
  <c r="R274" i="73"/>
  <c r="R268" i="73"/>
  <c r="R64" i="73"/>
  <c r="R33" i="73"/>
  <c r="R60" i="73"/>
  <c r="R67" i="73"/>
  <c r="R54" i="73"/>
  <c r="R51" i="73"/>
  <c r="R37" i="73"/>
  <c r="R72" i="73"/>
  <c r="R52" i="73"/>
  <c r="AC358" i="73"/>
  <c r="AC364" i="73"/>
  <c r="AC344" i="73"/>
  <c r="AC354" i="73"/>
  <c r="AC332" i="73"/>
  <c r="AC329" i="73"/>
  <c r="AC327" i="73"/>
  <c r="AC338" i="73"/>
  <c r="AC335" i="73"/>
  <c r="AC323" i="73"/>
  <c r="AC303" i="73"/>
  <c r="AC316" i="73"/>
  <c r="AC312" i="73"/>
  <c r="AC305" i="73"/>
  <c r="AC291" i="73"/>
  <c r="AC321" i="73"/>
  <c r="AC314" i="73"/>
  <c r="AC281" i="73"/>
  <c r="AC269" i="73"/>
  <c r="AC274" i="73"/>
  <c r="AC268" i="73"/>
  <c r="AC297" i="73"/>
  <c r="AC270" i="73"/>
  <c r="AC293" i="73"/>
  <c r="AC33" i="73"/>
  <c r="AC67" i="73"/>
  <c r="AC60" i="73"/>
  <c r="AC54" i="73"/>
  <c r="AC51" i="73"/>
  <c r="AC37" i="73"/>
  <c r="AC72" i="73"/>
  <c r="AC69" i="73"/>
  <c r="AC62" i="73"/>
  <c r="AN358" i="73"/>
  <c r="AN364" i="73"/>
  <c r="AN354" i="73"/>
  <c r="AN335" i="73"/>
  <c r="AN344" i="73"/>
  <c r="AN332" i="73"/>
  <c r="AN327" i="73"/>
  <c r="AN321" i="73"/>
  <c r="AN303" i="73"/>
  <c r="AN312" i="73"/>
  <c r="AN338" i="73"/>
  <c r="AN323" i="73"/>
  <c r="AN316" i="73"/>
  <c r="AN305" i="73"/>
  <c r="AN291" i="73"/>
  <c r="AN314" i="73"/>
  <c r="AN293" i="73"/>
  <c r="AN281" i="73"/>
  <c r="AN297" i="73"/>
  <c r="AN269" i="73"/>
  <c r="AN270" i="73"/>
  <c r="AN274" i="73"/>
  <c r="AN268" i="73"/>
  <c r="AN67" i="73"/>
  <c r="AN33" i="73"/>
  <c r="AN60" i="73"/>
  <c r="AN29" i="73"/>
  <c r="AN52" i="73"/>
  <c r="AN51" i="73"/>
  <c r="AN37" i="73"/>
  <c r="AN69" i="73"/>
  <c r="AN72" i="73"/>
  <c r="AY358" i="73"/>
  <c r="AY364" i="73"/>
  <c r="AY354" i="73"/>
  <c r="AY344" i="73"/>
  <c r="AY338" i="73"/>
  <c r="AY335" i="73"/>
  <c r="AY330" i="73"/>
  <c r="AY309" i="73"/>
  <c r="AY304" i="73"/>
  <c r="AY329" i="73"/>
  <c r="AY327" i="73"/>
  <c r="AY317" i="73"/>
  <c r="AY315" i="73"/>
  <c r="AY313" i="73"/>
  <c r="AY308" i="73"/>
  <c r="AY303" i="73"/>
  <c r="AY312" i="73"/>
  <c r="AY307" i="73"/>
  <c r="AY332" i="73"/>
  <c r="AY322" i="73"/>
  <c r="AY340" i="73" s="1"/>
  <c r="AY321" i="73"/>
  <c r="AY306" i="73"/>
  <c r="AY305" i="73"/>
  <c r="AY291" i="73"/>
  <c r="AY314" i="73"/>
  <c r="AY281" i="73"/>
  <c r="AY311" i="73"/>
  <c r="AY269" i="73"/>
  <c r="AY274" i="73"/>
  <c r="AY297" i="73"/>
  <c r="AY268" i="73"/>
  <c r="AY310" i="73"/>
  <c r="AY293" i="73"/>
  <c r="AY270" i="73"/>
  <c r="AY323" i="73"/>
  <c r="AY316" i="73"/>
  <c r="AY33" i="73"/>
  <c r="AY60" i="73"/>
  <c r="AY54" i="73"/>
  <c r="AY52" i="73"/>
  <c r="AY69" i="73"/>
  <c r="AY65" i="73"/>
  <c r="AY62" i="73"/>
  <c r="AY51" i="73"/>
  <c r="AY37" i="73"/>
  <c r="AY72" i="73"/>
  <c r="AY64" i="73"/>
  <c r="BG358" i="73"/>
  <c r="BG364" i="73"/>
  <c r="BG354" i="73"/>
  <c r="BG338" i="73"/>
  <c r="BG344" i="73"/>
  <c r="BG329" i="73"/>
  <c r="BG327" i="73"/>
  <c r="BG330" i="73"/>
  <c r="BG335" i="73"/>
  <c r="BG332" i="73"/>
  <c r="BG316" i="73"/>
  <c r="BG309" i="73"/>
  <c r="BG304" i="73"/>
  <c r="BG323" i="73"/>
  <c r="BG313" i="73"/>
  <c r="BG308" i="73"/>
  <c r="BG303" i="73"/>
  <c r="BG312" i="73"/>
  <c r="BG307" i="73"/>
  <c r="BG315" i="73"/>
  <c r="BG306" i="73"/>
  <c r="BG317" i="73"/>
  <c r="BG305" i="73"/>
  <c r="BG291" i="73"/>
  <c r="BG314" i="73"/>
  <c r="BG321" i="73"/>
  <c r="BG311" i="73"/>
  <c r="BG322" i="73"/>
  <c r="BG340" i="73" s="1"/>
  <c r="BG293" i="73"/>
  <c r="BG281" i="73"/>
  <c r="BG297" i="73"/>
  <c r="BG310" i="73"/>
  <c r="BG269" i="73"/>
  <c r="BG270" i="73"/>
  <c r="BG274" i="73"/>
  <c r="BG268" i="73"/>
  <c r="BG33" i="73"/>
  <c r="BG60" i="73"/>
  <c r="BG54" i="73"/>
  <c r="BG52" i="73"/>
  <c r="BG69" i="73"/>
  <c r="BG65" i="73"/>
  <c r="BG62" i="73"/>
  <c r="BG51" i="73"/>
  <c r="BG37" i="73"/>
  <c r="BG72" i="73"/>
  <c r="BG64" i="73"/>
  <c r="R19" i="73"/>
  <c r="AC19" i="73"/>
  <c r="AC66" i="73" s="1"/>
  <c r="AN19" i="73"/>
  <c r="AN66" i="73" s="1"/>
  <c r="AY19" i="73"/>
  <c r="AY66" i="73" s="1"/>
  <c r="BG19" i="73"/>
  <c r="BG68" i="73" s="1"/>
  <c r="R21" i="73"/>
  <c r="T367" i="73"/>
  <c r="T285" i="73"/>
  <c r="T284" i="73"/>
  <c r="AD367" i="73"/>
  <c r="AD285" i="73"/>
  <c r="AD284" i="73"/>
  <c r="AD282" i="73"/>
  <c r="AD30" i="73"/>
  <c r="AN367" i="73"/>
  <c r="AN285" i="73"/>
  <c r="AN284" i="73"/>
  <c r="AN282" i="73"/>
  <c r="AW22" i="73"/>
  <c r="BF367" i="73"/>
  <c r="BF285" i="73"/>
  <c r="BF284" i="73"/>
  <c r="BF282" i="73"/>
  <c r="R28" i="73"/>
  <c r="U29" i="73"/>
  <c r="U330" i="73" s="1"/>
  <c r="AF29" i="73"/>
  <c r="BE29" i="73"/>
  <c r="BE68" i="73" s="1"/>
  <c r="AP33" i="73"/>
  <c r="Y36" i="73"/>
  <c r="AB37" i="73"/>
  <c r="BD37" i="73"/>
  <c r="AN38" i="73"/>
  <c r="AN62" i="73" s="1"/>
  <c r="Q51" i="73"/>
  <c r="AS51" i="73"/>
  <c r="AU52" i="73"/>
  <c r="AN53" i="73"/>
  <c r="AG54" i="73"/>
  <c r="AC55" i="73"/>
  <c r="AE60" i="73"/>
  <c r="AD64" i="73"/>
  <c r="AH66" i="73"/>
  <c r="U67" i="73"/>
  <c r="BG67" i="73"/>
  <c r="AB69" i="73"/>
  <c r="S70" i="73"/>
  <c r="AU72" i="73"/>
  <c r="AP76" i="73"/>
  <c r="AA152" i="73"/>
  <c r="BC172" i="73"/>
  <c r="AM240" i="73"/>
  <c r="AM122" i="73"/>
  <c r="AM118" i="73"/>
  <c r="AN240" i="73"/>
  <c r="AN122" i="73"/>
  <c r="AN118" i="73"/>
  <c r="AN128" i="73"/>
  <c r="Q140" i="73"/>
  <c r="Q143" i="73"/>
  <c r="AM124" i="73"/>
  <c r="BA140" i="73"/>
  <c r="AA140" i="73"/>
  <c r="AA143" i="73"/>
  <c r="AN124" i="73"/>
  <c r="AN141" i="73"/>
  <c r="AM128" i="73"/>
  <c r="V178" i="73"/>
  <c r="AH178" i="73"/>
  <c r="AT178" i="73"/>
  <c r="AC118" i="73"/>
  <c r="AB122" i="73"/>
  <c r="O124" i="73"/>
  <c r="AO124" i="73"/>
  <c r="O143" i="73"/>
  <c r="AO143" i="73"/>
  <c r="V245" i="73"/>
  <c r="V246" i="73" s="1"/>
  <c r="AC122" i="73"/>
  <c r="P124" i="73"/>
  <c r="AY124" i="73"/>
  <c r="O128" i="73"/>
  <c r="AO128" i="73"/>
  <c r="AY143" i="73"/>
  <c r="Q124" i="73"/>
  <c r="AZ124" i="73"/>
  <c r="P128" i="73"/>
  <c r="AY128" i="73"/>
  <c r="O118" i="73"/>
  <c r="AO118" i="73"/>
  <c r="AA124" i="73"/>
  <c r="BA124" i="73"/>
  <c r="Q128" i="73"/>
  <c r="AZ128" i="73"/>
  <c r="P118" i="73"/>
  <c r="AY118" i="73"/>
  <c r="O122" i="73"/>
  <c r="AO122" i="73"/>
  <c r="AB124" i="73"/>
  <c r="AA128" i="73"/>
  <c r="BA128" i="73"/>
  <c r="Q118" i="73"/>
  <c r="AZ118" i="73"/>
  <c r="P122" i="73"/>
  <c r="AY122" i="73"/>
  <c r="AC124" i="73"/>
  <c r="AY267" i="73"/>
  <c r="E268" i="73"/>
  <c r="AG368" i="72"/>
  <c r="AG63" i="72"/>
  <c r="AG61" i="72"/>
  <c r="AG24" i="72"/>
  <c r="AG25" i="72"/>
  <c r="AQ368" i="72"/>
  <c r="AQ63" i="72"/>
  <c r="AQ61" i="72"/>
  <c r="AQ24" i="72"/>
  <c r="AQ25" i="72"/>
  <c r="AK317" i="72"/>
  <c r="AO93" i="72"/>
  <c r="AO95" i="72" s="1"/>
  <c r="AU27" i="72"/>
  <c r="AM27" i="72"/>
  <c r="AT27" i="72"/>
  <c r="AS27" i="72"/>
  <c r="AN27" i="72"/>
  <c r="AM3" i="72"/>
  <c r="AM8" i="72"/>
  <c r="AR27" i="72"/>
  <c r="AR229" i="72" s="1"/>
  <c r="AR13" i="72" s="1"/>
  <c r="AM4" i="72"/>
  <c r="AO27" i="72"/>
  <c r="AM93" i="72"/>
  <c r="AM95" i="72" s="1"/>
  <c r="AQ27" i="72"/>
  <c r="AP27" i="72"/>
  <c r="AM5" i="72"/>
  <c r="AP228" i="72"/>
  <c r="AP199" i="72"/>
  <c r="AP232" i="72"/>
  <c r="AP193" i="72"/>
  <c r="AP175" i="72"/>
  <c r="AP204" i="72"/>
  <c r="AP189" i="72"/>
  <c r="AP185" i="72"/>
  <c r="AP179" i="72"/>
  <c r="AP239" i="72"/>
  <c r="AP76" i="72"/>
  <c r="AP165" i="72"/>
  <c r="AP172" i="72"/>
  <c r="S19" i="72"/>
  <c r="S66" i="72" s="1"/>
  <c r="M273" i="72"/>
  <c r="M227" i="72"/>
  <c r="M261" i="72"/>
  <c r="M238" i="72"/>
  <c r="M267" i="72"/>
  <c r="M138" i="72"/>
  <c r="M184" i="72"/>
  <c r="M164" i="72"/>
  <c r="M102" i="72"/>
  <c r="M249" i="72"/>
  <c r="M76" i="72"/>
  <c r="M81" i="72"/>
  <c r="AG232" i="72"/>
  <c r="AG193" i="72"/>
  <c r="AG239" i="72"/>
  <c r="AG228" i="72"/>
  <c r="AG189" i="72"/>
  <c r="AG179" i="72"/>
  <c r="AG185" i="72"/>
  <c r="AG172" i="72"/>
  <c r="AG165" i="72"/>
  <c r="AG199" i="72"/>
  <c r="AG204" i="72"/>
  <c r="AG76" i="72"/>
  <c r="AG175" i="72"/>
  <c r="AQ228" i="72"/>
  <c r="AQ232" i="72"/>
  <c r="AQ239" i="72"/>
  <c r="AQ204" i="72"/>
  <c r="AQ175" i="72"/>
  <c r="AQ199" i="72"/>
  <c r="AQ189" i="72"/>
  <c r="AQ193" i="72"/>
  <c r="AQ185" i="72"/>
  <c r="AQ179" i="72"/>
  <c r="AQ172" i="72"/>
  <c r="AQ165" i="72"/>
  <c r="AQ76" i="72"/>
  <c r="BA221" i="72"/>
  <c r="BA204" i="72"/>
  <c r="BA250" i="72"/>
  <c r="BA228" i="72"/>
  <c r="BA232" i="72"/>
  <c r="BA199" i="72"/>
  <c r="BA211" i="72"/>
  <c r="BA172" i="72"/>
  <c r="BA165" i="72"/>
  <c r="BA193" i="72"/>
  <c r="BA158" i="72"/>
  <c r="BA121" i="72"/>
  <c r="BA107" i="72"/>
  <c r="BA117" i="72"/>
  <c r="BA96" i="72"/>
  <c r="BA89" i="72"/>
  <c r="BA215" i="72"/>
  <c r="BA175" i="72"/>
  <c r="BA131" i="72"/>
  <c r="BA239" i="72"/>
  <c r="BA127" i="72"/>
  <c r="BA262" i="72"/>
  <c r="BA189" i="72"/>
  <c r="BA185" i="72"/>
  <c r="BA139" i="72"/>
  <c r="BA85" i="72"/>
  <c r="BA179" i="72"/>
  <c r="BA152" i="72"/>
  <c r="BA92" i="72"/>
  <c r="BA76" i="72"/>
  <c r="BA103" i="72"/>
  <c r="BA148" i="72"/>
  <c r="BA82" i="72"/>
  <c r="T354" i="72"/>
  <c r="T358" i="72"/>
  <c r="T364" i="72"/>
  <c r="T335" i="72"/>
  <c r="T344" i="72"/>
  <c r="T312" i="72"/>
  <c r="T338" i="72"/>
  <c r="T321" i="72"/>
  <c r="T314" i="72"/>
  <c r="T323" i="72"/>
  <c r="T332" i="72"/>
  <c r="T316" i="72"/>
  <c r="T327" i="72"/>
  <c r="T293" i="72"/>
  <c r="T270" i="72"/>
  <c r="T303" i="72"/>
  <c r="T305" i="72"/>
  <c r="T291" i="72"/>
  <c r="T297" i="72"/>
  <c r="T281" i="72"/>
  <c r="T274" i="72"/>
  <c r="T269" i="72"/>
  <c r="T72" i="72"/>
  <c r="T52" i="72"/>
  <c r="T69" i="72"/>
  <c r="T268" i="72"/>
  <c r="T70" i="72"/>
  <c r="T38" i="72"/>
  <c r="T55" i="72" s="1"/>
  <c r="T60" i="72"/>
  <c r="T28" i="72"/>
  <c r="T67" i="72"/>
  <c r="T51" i="72"/>
  <c r="T37" i="72"/>
  <c r="T29" i="72"/>
  <c r="T308" i="72" s="1"/>
  <c r="AE354" i="72"/>
  <c r="AE358" i="72"/>
  <c r="AE364" i="72"/>
  <c r="AE335" i="72"/>
  <c r="AE344" i="72"/>
  <c r="AE312" i="72"/>
  <c r="AE332" i="72"/>
  <c r="AE314" i="72"/>
  <c r="AE321" i="72"/>
  <c r="AE338" i="72"/>
  <c r="AE316" i="72"/>
  <c r="AE323" i="72"/>
  <c r="AE293" i="72"/>
  <c r="AE270" i="72"/>
  <c r="AE303" i="72"/>
  <c r="AE305" i="72"/>
  <c r="AE291" i="72"/>
  <c r="AE327" i="72"/>
  <c r="AE281" i="72"/>
  <c r="AE269" i="72"/>
  <c r="AE297" i="72"/>
  <c r="AE274" i="72"/>
  <c r="AE268" i="72"/>
  <c r="AE72" i="72"/>
  <c r="AE69" i="72"/>
  <c r="AE70" i="72"/>
  <c r="AE38" i="72"/>
  <c r="AE67" i="72"/>
  <c r="AE60" i="72"/>
  <c r="AE29" i="72"/>
  <c r="AE310" i="72" s="1"/>
  <c r="AE51" i="72"/>
  <c r="AE37" i="72"/>
  <c r="AP354" i="72"/>
  <c r="AP358" i="72"/>
  <c r="AP364" i="72"/>
  <c r="AP335" i="72"/>
  <c r="AP344" i="72"/>
  <c r="AP312" i="72"/>
  <c r="AP338" i="72"/>
  <c r="AP314" i="72"/>
  <c r="AP332" i="72"/>
  <c r="AP327" i="72"/>
  <c r="AP316" i="72"/>
  <c r="AP321" i="72"/>
  <c r="AP293" i="72"/>
  <c r="AP270" i="72"/>
  <c r="AP303" i="72"/>
  <c r="AP323" i="72"/>
  <c r="AP305" i="72"/>
  <c r="AP291" i="72"/>
  <c r="AP274" i="72"/>
  <c r="AP269" i="72"/>
  <c r="AP297" i="72"/>
  <c r="AP281" i="72"/>
  <c r="AP268" i="72"/>
  <c r="AP72" i="72"/>
  <c r="AP70" i="72"/>
  <c r="AP38" i="72"/>
  <c r="AP329" i="72" s="1"/>
  <c r="AP67" i="72"/>
  <c r="AP60" i="72"/>
  <c r="AP29" i="72"/>
  <c r="AP30" i="72" s="1"/>
  <c r="AP52" i="72"/>
  <c r="AP51" i="72"/>
  <c r="AP37" i="72"/>
  <c r="BA354" i="72"/>
  <c r="BA358" i="72"/>
  <c r="BA364" i="72"/>
  <c r="BA335" i="72"/>
  <c r="BA344" i="72"/>
  <c r="BA338" i="72"/>
  <c r="BA327" i="72"/>
  <c r="BA312" i="72"/>
  <c r="BA307" i="72"/>
  <c r="BA323" i="72"/>
  <c r="BA314" i="72"/>
  <c r="BA330" i="72"/>
  <c r="BA317" i="72"/>
  <c r="BA311" i="72"/>
  <c r="BA322" i="72"/>
  <c r="BA310" i="72"/>
  <c r="BA316" i="72"/>
  <c r="BA332" i="72"/>
  <c r="BA313" i="72"/>
  <c r="BA308" i="72"/>
  <c r="BA293" i="72"/>
  <c r="BA270" i="72"/>
  <c r="BA321" i="72"/>
  <c r="BA304" i="72"/>
  <c r="BA303" i="72"/>
  <c r="BA315" i="72"/>
  <c r="BA306" i="72"/>
  <c r="BA305" i="72"/>
  <c r="BA291" i="72"/>
  <c r="BA309" i="72"/>
  <c r="BA281" i="72"/>
  <c r="BA297" i="72"/>
  <c r="BA269" i="72"/>
  <c r="BA274" i="72"/>
  <c r="BA268" i="72"/>
  <c r="BA72" i="72"/>
  <c r="BA70" i="72"/>
  <c r="BA67" i="72"/>
  <c r="BA38" i="72"/>
  <c r="BA54" i="72" s="1"/>
  <c r="BA60" i="72"/>
  <c r="BA52" i="72"/>
  <c r="BA69" i="72"/>
  <c r="BA65" i="72"/>
  <c r="BA51" i="72"/>
  <c r="BA37" i="72"/>
  <c r="T19" i="72"/>
  <c r="AE19" i="72"/>
  <c r="AE66" i="72" s="1"/>
  <c r="AP19" i="72"/>
  <c r="BA19" i="72"/>
  <c r="BA66" i="72" s="1"/>
  <c r="T21" i="72"/>
  <c r="M22" i="72"/>
  <c r="V367" i="72"/>
  <c r="V285" i="72"/>
  <c r="V284" i="72"/>
  <c r="AF367" i="72"/>
  <c r="AF285" i="72"/>
  <c r="AF282" i="72"/>
  <c r="AF284" i="72"/>
  <c r="AP367" i="72"/>
  <c r="AP285" i="72"/>
  <c r="AP284" i="72"/>
  <c r="AP282" i="72"/>
  <c r="AZ367" i="72"/>
  <c r="AZ285" i="72"/>
  <c r="AZ284" i="72"/>
  <c r="AZ282" i="72"/>
  <c r="W29" i="72"/>
  <c r="W311" i="72" s="1"/>
  <c r="BB29" i="72"/>
  <c r="BB311" i="72" s="1"/>
  <c r="S37" i="72"/>
  <c r="AU37" i="72"/>
  <c r="AD38" i="72"/>
  <c r="AD55" i="72" s="1"/>
  <c r="BD38" i="72"/>
  <c r="BD64" i="72" s="1"/>
  <c r="Q52" i="72"/>
  <c r="AO52" i="72"/>
  <c r="T53" i="72"/>
  <c r="AY53" i="72"/>
  <c r="Q60" i="72"/>
  <c r="V69" i="72"/>
  <c r="AH78" i="72"/>
  <c r="AH169" i="72" s="1"/>
  <c r="AZ262" i="72"/>
  <c r="AZ239" i="72"/>
  <c r="AZ193" i="72"/>
  <c r="AZ250" i="72"/>
  <c r="AZ228" i="72"/>
  <c r="AZ232" i="72"/>
  <c r="AZ148" i="72"/>
  <c r="AZ82" i="72"/>
  <c r="AZ204" i="72"/>
  <c r="AZ172" i="72"/>
  <c r="AZ165" i="72"/>
  <c r="AZ158" i="72"/>
  <c r="AZ121" i="72"/>
  <c r="AZ107" i="72"/>
  <c r="AZ103" i="72"/>
  <c r="AZ221" i="72"/>
  <c r="AZ117" i="72"/>
  <c r="AZ96" i="72"/>
  <c r="AZ89" i="72"/>
  <c r="AZ215" i="72"/>
  <c r="AZ175" i="72"/>
  <c r="AZ131" i="72"/>
  <c r="AZ127" i="72"/>
  <c r="AZ211" i="72"/>
  <c r="AZ189" i="72"/>
  <c r="AZ185" i="72"/>
  <c r="AZ139" i="72"/>
  <c r="AZ92" i="72"/>
  <c r="AZ76" i="72"/>
  <c r="AZ199" i="72"/>
  <c r="AZ85" i="72"/>
  <c r="AZ179" i="72"/>
  <c r="AY367" i="72"/>
  <c r="AY285" i="72"/>
  <c r="AY284" i="72"/>
  <c r="AY282" i="72"/>
  <c r="BG78" i="72"/>
  <c r="BG186" i="72" s="1"/>
  <c r="AW73" i="72"/>
  <c r="BG257" i="72" s="1"/>
  <c r="BF78" i="72"/>
  <c r="BF169" i="72" s="1"/>
  <c r="AW71" i="72"/>
  <c r="Y273" i="72"/>
  <c r="Y261" i="72"/>
  <c r="Y238" i="72"/>
  <c r="Y267" i="72"/>
  <c r="Y249" i="72"/>
  <c r="Y227" i="72"/>
  <c r="Y184" i="72"/>
  <c r="Y164" i="72"/>
  <c r="Y102" i="72"/>
  <c r="Y138" i="72"/>
  <c r="Y76" i="72"/>
  <c r="AF354" i="72"/>
  <c r="AF358" i="72"/>
  <c r="AF364" i="72"/>
  <c r="AF335" i="72"/>
  <c r="AF327" i="72"/>
  <c r="AF344" i="72"/>
  <c r="AF338" i="72"/>
  <c r="AF332" i="72"/>
  <c r="AF321" i="72"/>
  <c r="AF316" i="72"/>
  <c r="AF323" i="72"/>
  <c r="AF297" i="72"/>
  <c r="AF314" i="72"/>
  <c r="AF303" i="72"/>
  <c r="AF305" i="72"/>
  <c r="AF291" i="72"/>
  <c r="AF312" i="72"/>
  <c r="AF274" i="72"/>
  <c r="AF270" i="72"/>
  <c r="AF281" i="72"/>
  <c r="AF269" i="72"/>
  <c r="AF293" i="72"/>
  <c r="AF268" i="72"/>
  <c r="AF53" i="72"/>
  <c r="AF70" i="72"/>
  <c r="AF67" i="72"/>
  <c r="AF29" i="72"/>
  <c r="AF51" i="72"/>
  <c r="AF37" i="72"/>
  <c r="AF52" i="72"/>
  <c r="W367" i="72"/>
  <c r="W284" i="72"/>
  <c r="W285" i="72"/>
  <c r="AG367" i="72"/>
  <c r="AG282" i="72"/>
  <c r="AG284" i="72"/>
  <c r="AG285" i="72"/>
  <c r="AQ367" i="72"/>
  <c r="AQ282" i="72"/>
  <c r="AQ284" i="72"/>
  <c r="AQ285" i="72"/>
  <c r="BA367" i="72"/>
  <c r="BA282" i="72"/>
  <c r="BA284" i="72"/>
  <c r="BA285" i="72"/>
  <c r="BC29" i="72"/>
  <c r="BC30" i="72" s="1"/>
  <c r="P33" i="72"/>
  <c r="AG33" i="72"/>
  <c r="BA33" i="72"/>
  <c r="Y36" i="72"/>
  <c r="AZ37" i="72"/>
  <c r="AF38" i="72"/>
  <c r="AF64" i="72" s="1"/>
  <c r="AO51" i="72"/>
  <c r="V53" i="72"/>
  <c r="BA53" i="72"/>
  <c r="AP55" i="72"/>
  <c r="U60" i="72"/>
  <c r="AU60" i="72"/>
  <c r="AF69" i="72"/>
  <c r="AB76" i="72"/>
  <c r="S354" i="72"/>
  <c r="S358" i="72"/>
  <c r="S364" i="72"/>
  <c r="S327" i="72"/>
  <c r="S338" i="72"/>
  <c r="S344" i="72"/>
  <c r="S335" i="72"/>
  <c r="S321" i="72"/>
  <c r="S314" i="72"/>
  <c r="S323" i="72"/>
  <c r="S332" i="72"/>
  <c r="S316" i="72"/>
  <c r="S274" i="72"/>
  <c r="S312" i="72"/>
  <c r="S297" i="72"/>
  <c r="S303" i="72"/>
  <c r="S305" i="72"/>
  <c r="S291" i="72"/>
  <c r="S270" i="72"/>
  <c r="S268" i="72"/>
  <c r="S281" i="72"/>
  <c r="S269" i="72"/>
  <c r="S293" i="72"/>
  <c r="S72" i="72"/>
  <c r="S69" i="72"/>
  <c r="S53" i="72"/>
  <c r="S70" i="72"/>
  <c r="S33" i="72"/>
  <c r="S60" i="72"/>
  <c r="S28" i="72"/>
  <c r="S67" i="72"/>
  <c r="AZ19" i="72"/>
  <c r="AZ66" i="72" s="1"/>
  <c r="AO367" i="72"/>
  <c r="AO285" i="72"/>
  <c r="AO284" i="72"/>
  <c r="AO282" i="72"/>
  <c r="BB228" i="72"/>
  <c r="BB232" i="72"/>
  <c r="BB199" i="72"/>
  <c r="BB239" i="72"/>
  <c r="BB193" i="72"/>
  <c r="BB204" i="72"/>
  <c r="BB175" i="72"/>
  <c r="BB189" i="72"/>
  <c r="BB185" i="72"/>
  <c r="BB179" i="72"/>
  <c r="BB76" i="72"/>
  <c r="BB165" i="72"/>
  <c r="BB172" i="72"/>
  <c r="AQ354" i="72"/>
  <c r="AQ358" i="72"/>
  <c r="AQ364" i="72"/>
  <c r="AQ335" i="72"/>
  <c r="AQ327" i="72"/>
  <c r="AQ344" i="72"/>
  <c r="AQ338" i="72"/>
  <c r="AQ323" i="72"/>
  <c r="AQ332" i="72"/>
  <c r="AQ316" i="72"/>
  <c r="AQ321" i="72"/>
  <c r="AQ297" i="72"/>
  <c r="AQ303" i="72"/>
  <c r="AQ312" i="72"/>
  <c r="AQ305" i="72"/>
  <c r="AQ291" i="72"/>
  <c r="AQ274" i="72"/>
  <c r="AQ293" i="72"/>
  <c r="AQ270" i="72"/>
  <c r="AQ269" i="72"/>
  <c r="AQ314" i="72"/>
  <c r="AQ281" i="72"/>
  <c r="AQ268" i="72"/>
  <c r="AQ53" i="72"/>
  <c r="AQ70" i="72"/>
  <c r="AQ67" i="72"/>
  <c r="AQ66" i="72"/>
  <c r="AQ52" i="72"/>
  <c r="AQ51" i="72"/>
  <c r="AQ37" i="72"/>
  <c r="AQ69" i="72"/>
  <c r="BB19" i="72"/>
  <c r="U21" i="72"/>
  <c r="AS228" i="72"/>
  <c r="AS239" i="72"/>
  <c r="AS193" i="72"/>
  <c r="AS199" i="72"/>
  <c r="AS189" i="72"/>
  <c r="AS185" i="72"/>
  <c r="AS179" i="72"/>
  <c r="AS204" i="72"/>
  <c r="AS232" i="72"/>
  <c r="AS172" i="72"/>
  <c r="AS165" i="72"/>
  <c r="AS76" i="72"/>
  <c r="AS175" i="72"/>
  <c r="AR358" i="72"/>
  <c r="AR364" i="72"/>
  <c r="AR335" i="72"/>
  <c r="AR327" i="72"/>
  <c r="AR344" i="72"/>
  <c r="AR354" i="72"/>
  <c r="AR338" i="72"/>
  <c r="AR332" i="72"/>
  <c r="AR316" i="72"/>
  <c r="AR321" i="72"/>
  <c r="AR312" i="72"/>
  <c r="AR323" i="72"/>
  <c r="AR303" i="72"/>
  <c r="AR281" i="72"/>
  <c r="AR305" i="72"/>
  <c r="AR291" i="72"/>
  <c r="AR314" i="72"/>
  <c r="AR293" i="72"/>
  <c r="AR270" i="72"/>
  <c r="AR274" i="72"/>
  <c r="AR269" i="72"/>
  <c r="AR297" i="72"/>
  <c r="AR268" i="72"/>
  <c r="AR70" i="72"/>
  <c r="AR38" i="72"/>
  <c r="AR64" i="72" s="1"/>
  <c r="AR67" i="72"/>
  <c r="AR60" i="72"/>
  <c r="AR52" i="72"/>
  <c r="AR51" i="72"/>
  <c r="AR37" i="72"/>
  <c r="AR69" i="72"/>
  <c r="AR72" i="72"/>
  <c r="P367" i="72"/>
  <c r="P285" i="72"/>
  <c r="P284" i="72"/>
  <c r="AR367" i="72"/>
  <c r="AR285" i="72"/>
  <c r="AR282" i="72"/>
  <c r="AR284" i="72"/>
  <c r="AQ29" i="72"/>
  <c r="AQ330" i="72" s="1"/>
  <c r="T33" i="72"/>
  <c r="BB33" i="72"/>
  <c r="AB37" i="72"/>
  <c r="Q51" i="72"/>
  <c r="U52" i="72"/>
  <c r="AU52" i="72"/>
  <c r="AC53" i="72"/>
  <c r="BC53" i="72"/>
  <c r="Y59" i="72"/>
  <c r="BB60" i="72"/>
  <c r="AP65" i="72"/>
  <c r="AP69" i="72"/>
  <c r="AK71" i="72"/>
  <c r="J249" i="72"/>
  <c r="J273" i="72"/>
  <c r="J261" i="72"/>
  <c r="J238" i="72"/>
  <c r="J81" i="72"/>
  <c r="J227" i="72"/>
  <c r="J138" i="72"/>
  <c r="J184" i="72"/>
  <c r="J164" i="72"/>
  <c r="J102" i="72"/>
  <c r="J76" i="72"/>
  <c r="AD354" i="72"/>
  <c r="AD358" i="72"/>
  <c r="AD364" i="72"/>
  <c r="AD327" i="72"/>
  <c r="AD335" i="72"/>
  <c r="AD323" i="72"/>
  <c r="AD332" i="72"/>
  <c r="AD344" i="72"/>
  <c r="AD314" i="72"/>
  <c r="AD321" i="72"/>
  <c r="AD338" i="72"/>
  <c r="AD316" i="72"/>
  <c r="AD274" i="72"/>
  <c r="AD297" i="72"/>
  <c r="AD303" i="72"/>
  <c r="AD305" i="72"/>
  <c r="AD291" i="72"/>
  <c r="AD268" i="72"/>
  <c r="AD270" i="72"/>
  <c r="AD293" i="72"/>
  <c r="AD281" i="72"/>
  <c r="AD269" i="72"/>
  <c r="AD312" i="72"/>
  <c r="AD52" i="72"/>
  <c r="AD72" i="72"/>
  <c r="AD69" i="72"/>
  <c r="AD53" i="72"/>
  <c r="AD70" i="72"/>
  <c r="AD33" i="72"/>
  <c r="AD67" i="72"/>
  <c r="AD60" i="72"/>
  <c r="AD29" i="72"/>
  <c r="AD30" i="72" s="1"/>
  <c r="AD19" i="72"/>
  <c r="AD68" i="72" s="1"/>
  <c r="S21" i="72"/>
  <c r="BG367" i="72"/>
  <c r="BG285" i="72"/>
  <c r="BG284" i="72"/>
  <c r="BG282" i="72"/>
  <c r="Y73" i="72"/>
  <c r="AI257" i="72" s="1"/>
  <c r="AZ152" i="72"/>
  <c r="BB354" i="72"/>
  <c r="BB358" i="72"/>
  <c r="BB364" i="72"/>
  <c r="BB335" i="72"/>
  <c r="BB329" i="72"/>
  <c r="BB327" i="72"/>
  <c r="BB344" i="72"/>
  <c r="BB338" i="72"/>
  <c r="BB321" i="72"/>
  <c r="BB316" i="72"/>
  <c r="BB332" i="72"/>
  <c r="BB312" i="72"/>
  <c r="BB297" i="72"/>
  <c r="BB303" i="72"/>
  <c r="BB323" i="72"/>
  <c r="BB305" i="72"/>
  <c r="BB291" i="72"/>
  <c r="BB314" i="72"/>
  <c r="BB274" i="72"/>
  <c r="BB281" i="72"/>
  <c r="BB269" i="72"/>
  <c r="BB293" i="72"/>
  <c r="BB270" i="72"/>
  <c r="BB268" i="72"/>
  <c r="BB55" i="72"/>
  <c r="BB53" i="72"/>
  <c r="BB70" i="72"/>
  <c r="BB67" i="72"/>
  <c r="BB66" i="72"/>
  <c r="BB54" i="72"/>
  <c r="BB52" i="72"/>
  <c r="BB69" i="72"/>
  <c r="BB62" i="72"/>
  <c r="BB51" i="72"/>
  <c r="BB37" i="72"/>
  <c r="U19" i="72"/>
  <c r="U66" i="72" s="1"/>
  <c r="O367" i="72"/>
  <c r="O284" i="72"/>
  <c r="O285" i="72"/>
  <c r="W78" i="72"/>
  <c r="W186" i="72" s="1"/>
  <c r="M73" i="72"/>
  <c r="V78" i="72"/>
  <c r="V169" i="72" s="1"/>
  <c r="M71" i="72"/>
  <c r="AA232" i="72"/>
  <c r="AA211" i="72"/>
  <c r="AA250" i="72"/>
  <c r="AA239" i="72"/>
  <c r="AA215" i="72"/>
  <c r="AA199" i="72"/>
  <c r="AA179" i="72"/>
  <c r="AA185" i="72"/>
  <c r="AA158" i="72"/>
  <c r="AA121" i="72"/>
  <c r="AA107" i="72"/>
  <c r="AA204" i="72"/>
  <c r="AA193" i="72"/>
  <c r="AA172" i="72"/>
  <c r="AA165" i="72"/>
  <c r="AA117" i="72"/>
  <c r="AA96" i="72"/>
  <c r="AA89" i="72"/>
  <c r="AA228" i="72"/>
  <c r="AA131" i="72"/>
  <c r="AA127" i="72"/>
  <c r="AA175" i="72"/>
  <c r="AA139" i="72"/>
  <c r="AA85" i="72"/>
  <c r="AA262" i="72"/>
  <c r="AA152" i="72"/>
  <c r="AA92" i="72"/>
  <c r="AA76" i="72"/>
  <c r="AA82" i="72"/>
  <c r="AA189" i="72"/>
  <c r="AA103" i="72"/>
  <c r="V358" i="72"/>
  <c r="V364" i="72"/>
  <c r="V335" i="72"/>
  <c r="V327" i="72"/>
  <c r="V344" i="72"/>
  <c r="V338" i="72"/>
  <c r="V332" i="72"/>
  <c r="V354" i="72"/>
  <c r="V323" i="72"/>
  <c r="V316" i="72"/>
  <c r="V312" i="72"/>
  <c r="V303" i="72"/>
  <c r="V281" i="72"/>
  <c r="V314" i="72"/>
  <c r="V305" i="72"/>
  <c r="V291" i="72"/>
  <c r="V321" i="72"/>
  <c r="V293" i="72"/>
  <c r="V269" i="72"/>
  <c r="V274" i="72"/>
  <c r="V268" i="72"/>
  <c r="V270" i="72"/>
  <c r="V297" i="72"/>
  <c r="V70" i="72"/>
  <c r="V38" i="72"/>
  <c r="V329" i="72" s="1"/>
  <c r="V60" i="72"/>
  <c r="V67" i="72"/>
  <c r="V51" i="72"/>
  <c r="V37" i="72"/>
  <c r="V29" i="72"/>
  <c r="V65" i="72" s="1"/>
  <c r="V72" i="72"/>
  <c r="V52" i="72"/>
  <c r="V19" i="72"/>
  <c r="V66" i="72" s="1"/>
  <c r="AR19" i="72"/>
  <c r="AR66" i="72" s="1"/>
  <c r="AH367" i="72"/>
  <c r="AH282" i="72"/>
  <c r="AH284" i="72"/>
  <c r="AH285" i="72"/>
  <c r="BB367" i="72"/>
  <c r="BB285" i="72"/>
  <c r="BB284" i="72"/>
  <c r="BB282" i="72"/>
  <c r="AB193" i="72"/>
  <c r="AB250" i="72"/>
  <c r="AB239" i="72"/>
  <c r="AB262" i="72"/>
  <c r="AB228" i="72"/>
  <c r="AB215" i="72"/>
  <c r="AB185" i="72"/>
  <c r="AB158" i="72"/>
  <c r="AB121" i="72"/>
  <c r="AB107" i="72"/>
  <c r="AB103" i="72"/>
  <c r="AB204" i="72"/>
  <c r="AB172" i="72"/>
  <c r="AB165" i="72"/>
  <c r="AB117" i="72"/>
  <c r="AB211" i="72"/>
  <c r="AB131" i="72"/>
  <c r="AB127" i="72"/>
  <c r="AB175" i="72"/>
  <c r="AB139" i="72"/>
  <c r="AB85" i="72"/>
  <c r="AB152" i="72"/>
  <c r="AB92" i="72"/>
  <c r="AB221" i="72"/>
  <c r="AB189" i="72"/>
  <c r="AB148" i="72"/>
  <c r="AB96" i="72"/>
  <c r="AB82" i="72"/>
  <c r="AB199" i="72"/>
  <c r="AB232" i="72"/>
  <c r="AK273" i="72"/>
  <c r="AK238" i="72"/>
  <c r="AK267" i="72"/>
  <c r="AK249" i="72"/>
  <c r="AK227" i="72"/>
  <c r="AK261" i="72"/>
  <c r="AK102" i="72"/>
  <c r="AK138" i="72"/>
  <c r="AK184" i="72"/>
  <c r="AK164" i="72"/>
  <c r="AK59" i="72"/>
  <c r="AT232" i="72"/>
  <c r="AT199" i="72"/>
  <c r="AT239" i="72"/>
  <c r="AT193" i="72"/>
  <c r="AT204" i="72"/>
  <c r="AT189" i="72"/>
  <c r="AT185" i="72"/>
  <c r="AT179" i="72"/>
  <c r="AT172" i="72"/>
  <c r="AT165" i="72"/>
  <c r="AT175" i="72"/>
  <c r="AT228" i="72"/>
  <c r="BD228" i="72"/>
  <c r="BD239" i="72"/>
  <c r="BD175" i="72"/>
  <c r="BD232" i="72"/>
  <c r="BD185" i="72"/>
  <c r="BD179" i="72"/>
  <c r="BD172" i="72"/>
  <c r="BD165" i="72"/>
  <c r="O364" i="72"/>
  <c r="O354" i="72"/>
  <c r="O344" i="72"/>
  <c r="O358" i="72"/>
  <c r="O323" i="72"/>
  <c r="O314" i="72"/>
  <c r="O332" i="72"/>
  <c r="O338" i="72"/>
  <c r="O327" i="72"/>
  <c r="O316" i="72"/>
  <c r="O312" i="72"/>
  <c r="O321" i="72"/>
  <c r="O335" i="72"/>
  <c r="O305" i="72"/>
  <c r="O274" i="72"/>
  <c r="O293" i="72"/>
  <c r="O297" i="72"/>
  <c r="O269" i="72"/>
  <c r="O303" i="72"/>
  <c r="O281" i="72"/>
  <c r="O270" i="72"/>
  <c r="O268" i="72"/>
  <c r="O291" i="72"/>
  <c r="O67" i="72"/>
  <c r="O72" i="72"/>
  <c r="O52" i="72"/>
  <c r="O69" i="72"/>
  <c r="O53" i="72"/>
  <c r="W364" i="72"/>
  <c r="W354" i="72"/>
  <c r="W358" i="72"/>
  <c r="W344" i="72"/>
  <c r="W338" i="72"/>
  <c r="W329" i="72"/>
  <c r="W321" i="72"/>
  <c r="W314" i="72"/>
  <c r="W335" i="72"/>
  <c r="W316" i="72"/>
  <c r="W332" i="72"/>
  <c r="W312" i="72"/>
  <c r="W327" i="72"/>
  <c r="W323" i="72"/>
  <c r="W305" i="72"/>
  <c r="W274" i="72"/>
  <c r="W293" i="72"/>
  <c r="W297" i="72"/>
  <c r="W269" i="72"/>
  <c r="W303" i="72"/>
  <c r="W291" i="72"/>
  <c r="W268" i="72"/>
  <c r="W270" i="72"/>
  <c r="W281" i="72"/>
  <c r="W64" i="72"/>
  <c r="W67" i="72"/>
  <c r="W54" i="72"/>
  <c r="W72" i="72"/>
  <c r="W52" i="72"/>
  <c r="W69" i="72"/>
  <c r="W62" i="72"/>
  <c r="W55" i="72"/>
  <c r="W53" i="72"/>
  <c r="AH364" i="72"/>
  <c r="AH354" i="72"/>
  <c r="AH358" i="72"/>
  <c r="AH344" i="72"/>
  <c r="AH314" i="72"/>
  <c r="AH329" i="72"/>
  <c r="AH316" i="72"/>
  <c r="AH323" i="72"/>
  <c r="AH338" i="72"/>
  <c r="AH312" i="72"/>
  <c r="AH335" i="72"/>
  <c r="AH332" i="72"/>
  <c r="AH305" i="72"/>
  <c r="AH321" i="72"/>
  <c r="AH274" i="72"/>
  <c r="AH327" i="72"/>
  <c r="AH293" i="72"/>
  <c r="AH297" i="72"/>
  <c r="AH303" i="72"/>
  <c r="AH291" i="72"/>
  <c r="AH269" i="72"/>
  <c r="AH281" i="72"/>
  <c r="AH268" i="72"/>
  <c r="AH270" i="72"/>
  <c r="AH67" i="72"/>
  <c r="AH54" i="72"/>
  <c r="AH52" i="72"/>
  <c r="AH72" i="72"/>
  <c r="AH69" i="72"/>
  <c r="AH62" i="72"/>
  <c r="AH55" i="72"/>
  <c r="AH53" i="72"/>
  <c r="AS364" i="72"/>
  <c r="AS354" i="72"/>
  <c r="AS358" i="72"/>
  <c r="AS344" i="72"/>
  <c r="AS314" i="72"/>
  <c r="AS338" i="72"/>
  <c r="AS332" i="72"/>
  <c r="AS335" i="72"/>
  <c r="AS316" i="72"/>
  <c r="AS327" i="72"/>
  <c r="AS321" i="72"/>
  <c r="AS312" i="72"/>
  <c r="AS323" i="72"/>
  <c r="AS305" i="72"/>
  <c r="AS274" i="72"/>
  <c r="AS293" i="72"/>
  <c r="AS297" i="72"/>
  <c r="AS269" i="72"/>
  <c r="AS270" i="72"/>
  <c r="AS281" i="72"/>
  <c r="AS268" i="72"/>
  <c r="AS291" i="72"/>
  <c r="AS303" i="72"/>
  <c r="AS67" i="72"/>
  <c r="AS69" i="72"/>
  <c r="AS72" i="72"/>
  <c r="AS53" i="72"/>
  <c r="BD364" i="72"/>
  <c r="BD354" i="72"/>
  <c r="BD358" i="72"/>
  <c r="BD317" i="72"/>
  <c r="BD344" i="72"/>
  <c r="BD335" i="72"/>
  <c r="BD323" i="72"/>
  <c r="BD314" i="72"/>
  <c r="BD330" i="72"/>
  <c r="BD316" i="72"/>
  <c r="BD309" i="72"/>
  <c r="BD322" i="72"/>
  <c r="BD313" i="72"/>
  <c r="BD308" i="72"/>
  <c r="BD332" i="72"/>
  <c r="BD312" i="72"/>
  <c r="BD321" i="72"/>
  <c r="BD338" i="72"/>
  <c r="BD327" i="72"/>
  <c r="BD315" i="72"/>
  <c r="BD306" i="72"/>
  <c r="BD305" i="72"/>
  <c r="BD274" i="72"/>
  <c r="BD311" i="72"/>
  <c r="BD310" i="72"/>
  <c r="BD293" i="72"/>
  <c r="BD307" i="72"/>
  <c r="BD304" i="72"/>
  <c r="BD297" i="72"/>
  <c r="BD269" i="72"/>
  <c r="BD291" i="72"/>
  <c r="BD270" i="72"/>
  <c r="BD268" i="72"/>
  <c r="BD303" i="72"/>
  <c r="BD281" i="72"/>
  <c r="BD52" i="72"/>
  <c r="BD69" i="72"/>
  <c r="BD65" i="72"/>
  <c r="BD72" i="72"/>
  <c r="BD53" i="72"/>
  <c r="O19" i="72"/>
  <c r="W19" i="72"/>
  <c r="AH19" i="72"/>
  <c r="AS19" i="72"/>
  <c r="BD19" i="72"/>
  <c r="BD66" i="72" s="1"/>
  <c r="S20" i="72"/>
  <c r="AD20" i="72"/>
  <c r="AO20" i="72"/>
  <c r="AZ20" i="72"/>
  <c r="O21" i="72"/>
  <c r="W21" i="72"/>
  <c r="Q367" i="72"/>
  <c r="Q285" i="72"/>
  <c r="Q284" i="72"/>
  <c r="AA367" i="72"/>
  <c r="AA285" i="72"/>
  <c r="AA282" i="72"/>
  <c r="AA284" i="72"/>
  <c r="Y71" i="72"/>
  <c r="AI78" i="72"/>
  <c r="AI186" i="72" s="1"/>
  <c r="AI367" i="72"/>
  <c r="AI285" i="72"/>
  <c r="AI282" i="72"/>
  <c r="AI284" i="72"/>
  <c r="AS367" i="72"/>
  <c r="AS285" i="72"/>
  <c r="AS282" i="72"/>
  <c r="AS284" i="72"/>
  <c r="BC367" i="72"/>
  <c r="BC285" i="72"/>
  <c r="BC282" i="72"/>
  <c r="BC284" i="72"/>
  <c r="O29" i="72"/>
  <c r="O304" i="72" s="1"/>
  <c r="AB29" i="72"/>
  <c r="AB30" i="72" s="1"/>
  <c r="AR29" i="72"/>
  <c r="AR311" i="72" s="1"/>
  <c r="BE29" i="72"/>
  <c r="BE30" i="72" s="1"/>
  <c r="U33" i="72"/>
  <c r="BC33" i="72"/>
  <c r="AK36" i="72"/>
  <c r="AD37" i="72"/>
  <c r="BF37" i="72"/>
  <c r="S51" i="72"/>
  <c r="AY52" i="72"/>
  <c r="AE53" i="72"/>
  <c r="AB60" i="72"/>
  <c r="BD60" i="72"/>
  <c r="R67" i="72"/>
  <c r="AZ69" i="72"/>
  <c r="AT76" i="72"/>
  <c r="AA148" i="72"/>
  <c r="AF228" i="72"/>
  <c r="AF232" i="72"/>
  <c r="AF239" i="72"/>
  <c r="AF175" i="72"/>
  <c r="AF179" i="72"/>
  <c r="AF185" i="72"/>
  <c r="AF172" i="72"/>
  <c r="AF165" i="72"/>
  <c r="AF76" i="72"/>
  <c r="AO354" i="72"/>
  <c r="AO358" i="72"/>
  <c r="AO364" i="72"/>
  <c r="AO327" i="72"/>
  <c r="AO329" i="72"/>
  <c r="AO321" i="72"/>
  <c r="AO344" i="72"/>
  <c r="AO338" i="72"/>
  <c r="AO335" i="72"/>
  <c r="AO314" i="72"/>
  <c r="AO332" i="72"/>
  <c r="AO316" i="72"/>
  <c r="AO274" i="72"/>
  <c r="AO297" i="72"/>
  <c r="AO303" i="72"/>
  <c r="AO312" i="72"/>
  <c r="AO323" i="72"/>
  <c r="AO305" i="72"/>
  <c r="AO291" i="72"/>
  <c r="AO268" i="72"/>
  <c r="AO293" i="72"/>
  <c r="AO270" i="72"/>
  <c r="AO269" i="72"/>
  <c r="AO281" i="72"/>
  <c r="AO69" i="72"/>
  <c r="AO62" i="72"/>
  <c r="AO72" i="72"/>
  <c r="AO64" i="72"/>
  <c r="AO55" i="72"/>
  <c r="AO53" i="72"/>
  <c r="AO70" i="72"/>
  <c r="AO67" i="72"/>
  <c r="AO33" i="72"/>
  <c r="AO60" i="72"/>
  <c r="AO29" i="72"/>
  <c r="AO311" i="72" s="1"/>
  <c r="AO54" i="72"/>
  <c r="AO19" i="72"/>
  <c r="U367" i="72"/>
  <c r="U285" i="72"/>
  <c r="U284" i="72"/>
  <c r="U354" i="72"/>
  <c r="U358" i="72"/>
  <c r="U364" i="72"/>
  <c r="U335" i="72"/>
  <c r="U327" i="72"/>
  <c r="U344" i="72"/>
  <c r="U338" i="72"/>
  <c r="U323" i="72"/>
  <c r="U332" i="72"/>
  <c r="U316" i="72"/>
  <c r="U297" i="72"/>
  <c r="U312" i="72"/>
  <c r="U303" i="72"/>
  <c r="U314" i="72"/>
  <c r="U305" i="72"/>
  <c r="U291" i="72"/>
  <c r="U321" i="72"/>
  <c r="U274" i="72"/>
  <c r="U269" i="72"/>
  <c r="U293" i="72"/>
  <c r="U268" i="72"/>
  <c r="U281" i="72"/>
  <c r="U270" i="72"/>
  <c r="U69" i="72"/>
  <c r="U53" i="72"/>
  <c r="U70" i="72"/>
  <c r="U67" i="72"/>
  <c r="U51" i="72"/>
  <c r="U37" i="72"/>
  <c r="U29" i="72"/>
  <c r="U309" i="72" s="1"/>
  <c r="AI250" i="72"/>
  <c r="AI232" i="72"/>
  <c r="AI215" i="72"/>
  <c r="AI239" i="72"/>
  <c r="AI204" i="72"/>
  <c r="AI189" i="72"/>
  <c r="AI228" i="72"/>
  <c r="AI211" i="72"/>
  <c r="AI185" i="72"/>
  <c r="AI199" i="72"/>
  <c r="AI221" i="72"/>
  <c r="AI76" i="72"/>
  <c r="AI193" i="72"/>
  <c r="AG358" i="72"/>
  <c r="AG364" i="72"/>
  <c r="AG335" i="72"/>
  <c r="AG327" i="72"/>
  <c r="AG344" i="72"/>
  <c r="AG338" i="72"/>
  <c r="AG332" i="72"/>
  <c r="AG354" i="72"/>
  <c r="AG321" i="72"/>
  <c r="AG316" i="72"/>
  <c r="AG323" i="72"/>
  <c r="AG312" i="72"/>
  <c r="AG314" i="72"/>
  <c r="AG303" i="72"/>
  <c r="AG281" i="72"/>
  <c r="AG305" i="72"/>
  <c r="AG291" i="72"/>
  <c r="AG293" i="72"/>
  <c r="AG270" i="72"/>
  <c r="AG269" i="72"/>
  <c r="AG297" i="72"/>
  <c r="AG274" i="72"/>
  <c r="AG268" i="72"/>
  <c r="AG70" i="72"/>
  <c r="AG38" i="72"/>
  <c r="AG67" i="72"/>
  <c r="AG60" i="72"/>
  <c r="AG66" i="72"/>
  <c r="AG51" i="72"/>
  <c r="AG37" i="72"/>
  <c r="AG52" i="72"/>
  <c r="AG72" i="72"/>
  <c r="AG69" i="72"/>
  <c r="Y212" i="72"/>
  <c r="M212" i="72"/>
  <c r="BA173" i="72"/>
  <c r="AO173" i="72"/>
  <c r="AC173" i="72"/>
  <c r="Q173" i="72"/>
  <c r="AZ173" i="72"/>
  <c r="AN173" i="72"/>
  <c r="AB173" i="72"/>
  <c r="P173" i="72"/>
  <c r="AY173" i="72"/>
  <c r="AM173" i="72"/>
  <c r="AA173" i="72"/>
  <c r="O173" i="72"/>
  <c r="AW212" i="72"/>
  <c r="BF173" i="72"/>
  <c r="BF174" i="72" s="1"/>
  <c r="BF11" i="72" s="1"/>
  <c r="AT173" i="72"/>
  <c r="AH173" i="72"/>
  <c r="AH174" i="72" s="1"/>
  <c r="V173" i="72"/>
  <c r="V174" i="72" s="1"/>
  <c r="V11" i="72" s="1"/>
  <c r="AK212" i="72"/>
  <c r="BE173" i="72"/>
  <c r="AS173" i="72"/>
  <c r="AG173" i="72"/>
  <c r="U173" i="72"/>
  <c r="BC173" i="72"/>
  <c r="AQ173" i="72"/>
  <c r="AE173" i="72"/>
  <c r="S173" i="72"/>
  <c r="AD173" i="72"/>
  <c r="R173" i="72"/>
  <c r="AZ118" i="72"/>
  <c r="BB173" i="72"/>
  <c r="P122" i="72"/>
  <c r="Q118" i="72"/>
  <c r="AC221" i="72"/>
  <c r="AC204" i="72"/>
  <c r="AC250" i="72"/>
  <c r="AC199" i="72"/>
  <c r="AC262" i="72"/>
  <c r="AC228" i="72"/>
  <c r="AC232" i="72"/>
  <c r="AC211" i="72"/>
  <c r="AC172" i="72"/>
  <c r="AC165" i="72"/>
  <c r="AC117" i="72"/>
  <c r="AC96" i="72"/>
  <c r="AC89" i="72"/>
  <c r="AC239" i="72"/>
  <c r="AC193" i="72"/>
  <c r="AC131" i="72"/>
  <c r="AC127" i="72"/>
  <c r="AC175" i="72"/>
  <c r="AC139" i="72"/>
  <c r="AC152" i="72"/>
  <c r="AC92" i="72"/>
  <c r="AC189" i="72"/>
  <c r="AC148" i="72"/>
  <c r="AC82" i="72"/>
  <c r="AC179" i="72"/>
  <c r="AC215" i="72"/>
  <c r="AC103" i="72"/>
  <c r="AC185" i="72"/>
  <c r="AC158" i="72"/>
  <c r="AC121" i="72"/>
  <c r="AC107" i="72"/>
  <c r="AC76" i="72"/>
  <c r="AM239" i="72"/>
  <c r="AM262" i="72"/>
  <c r="AM211" i="72"/>
  <c r="AM228" i="72"/>
  <c r="AM221" i="72"/>
  <c r="AM199" i="72"/>
  <c r="AM185" i="72"/>
  <c r="AM179" i="72"/>
  <c r="AM131" i="72"/>
  <c r="AM127" i="72"/>
  <c r="AM172" i="72"/>
  <c r="AM165" i="72"/>
  <c r="AM139" i="72"/>
  <c r="AM85" i="72"/>
  <c r="AM152" i="72"/>
  <c r="AM92" i="72"/>
  <c r="AM250" i="72"/>
  <c r="AM148" i="72"/>
  <c r="AM232" i="72"/>
  <c r="AM175" i="72"/>
  <c r="AM215" i="72"/>
  <c r="AM204" i="72"/>
  <c r="AM193" i="72"/>
  <c r="AM158" i="72"/>
  <c r="AM121" i="72"/>
  <c r="AM107" i="72"/>
  <c r="AM103" i="72"/>
  <c r="AM82" i="72"/>
  <c r="AM189" i="72"/>
  <c r="AM117" i="72"/>
  <c r="AM89" i="72"/>
  <c r="AM76" i="72"/>
  <c r="AU239" i="72"/>
  <c r="AU221" i="72"/>
  <c r="AU204" i="72"/>
  <c r="AU250" i="72"/>
  <c r="AU215" i="72"/>
  <c r="AU228" i="72"/>
  <c r="AU199" i="72"/>
  <c r="AU189" i="72"/>
  <c r="AU185" i="72"/>
  <c r="AU232" i="72"/>
  <c r="AU193" i="72"/>
  <c r="AU211" i="72"/>
  <c r="AU76" i="72"/>
  <c r="BE232" i="72"/>
  <c r="BE239" i="72"/>
  <c r="BE193" i="72"/>
  <c r="BE185" i="72"/>
  <c r="BE189" i="72"/>
  <c r="BE179" i="72"/>
  <c r="BE172" i="72"/>
  <c r="BE165" i="72"/>
  <c r="BE228" i="72"/>
  <c r="BE199" i="72"/>
  <c r="BE204" i="72"/>
  <c r="BE175" i="72"/>
  <c r="BE76" i="72"/>
  <c r="P354" i="72"/>
  <c r="P358" i="72"/>
  <c r="P344" i="72"/>
  <c r="P338" i="72"/>
  <c r="P332" i="72"/>
  <c r="P364" i="72"/>
  <c r="P312" i="72"/>
  <c r="P321" i="72"/>
  <c r="P335" i="72"/>
  <c r="P323" i="72"/>
  <c r="P314" i="72"/>
  <c r="P327" i="72"/>
  <c r="P316" i="72"/>
  <c r="P305" i="72"/>
  <c r="P293" i="72"/>
  <c r="P297" i="72"/>
  <c r="P303" i="72"/>
  <c r="P281" i="72"/>
  <c r="P270" i="72"/>
  <c r="P268" i="72"/>
  <c r="P291" i="72"/>
  <c r="P274" i="72"/>
  <c r="P269" i="72"/>
  <c r="P60" i="72"/>
  <c r="P67" i="72"/>
  <c r="P51" i="72"/>
  <c r="P37" i="72"/>
  <c r="P72" i="72"/>
  <c r="P52" i="72"/>
  <c r="P69" i="72"/>
  <c r="P53" i="72"/>
  <c r="P70" i="72"/>
  <c r="P38" i="72"/>
  <c r="P329" i="72" s="1"/>
  <c r="AA354" i="72"/>
  <c r="AA358" i="72"/>
  <c r="AA344" i="72"/>
  <c r="AA364" i="72"/>
  <c r="AA338" i="72"/>
  <c r="AA332" i="72"/>
  <c r="AA330" i="72"/>
  <c r="AA317" i="72"/>
  <c r="AA315" i="72"/>
  <c r="AA335" i="72"/>
  <c r="AA310" i="72"/>
  <c r="AA312" i="72"/>
  <c r="AA309" i="72"/>
  <c r="AA327" i="72"/>
  <c r="AA322" i="72"/>
  <c r="AA313" i="72"/>
  <c r="AA321" i="72"/>
  <c r="AA314" i="72"/>
  <c r="AA308" i="72"/>
  <c r="AA305" i="72"/>
  <c r="AA306" i="72"/>
  <c r="AA307" i="72"/>
  <c r="AA293" i="72"/>
  <c r="AA297" i="72"/>
  <c r="AA303" i="72"/>
  <c r="AA281" i="72"/>
  <c r="AA311" i="72"/>
  <c r="AA274" i="72"/>
  <c r="AA316" i="72"/>
  <c r="AA291" i="72"/>
  <c r="AA268" i="72"/>
  <c r="AA304" i="72"/>
  <c r="AA270" i="72"/>
  <c r="AA323" i="72"/>
  <c r="AA269" i="72"/>
  <c r="AA67" i="72"/>
  <c r="AA60" i="72"/>
  <c r="AA51" i="72"/>
  <c r="AA37" i="72"/>
  <c r="AA72" i="72"/>
  <c r="AA69" i="72"/>
  <c r="AA65" i="72"/>
  <c r="AA53" i="72"/>
  <c r="AA70" i="72"/>
  <c r="AA38" i="72"/>
  <c r="AI354" i="72"/>
  <c r="AI358" i="72"/>
  <c r="AI364" i="72"/>
  <c r="AI344" i="72"/>
  <c r="AI338" i="72"/>
  <c r="AI332" i="72"/>
  <c r="AI330" i="72"/>
  <c r="AI317" i="72"/>
  <c r="AI327" i="72"/>
  <c r="AI315" i="72"/>
  <c r="AI323" i="72"/>
  <c r="AI310" i="72"/>
  <c r="AI312" i="72"/>
  <c r="AI309" i="72"/>
  <c r="AI313" i="72"/>
  <c r="AI335" i="72"/>
  <c r="AI322" i="72"/>
  <c r="AI314" i="72"/>
  <c r="AI305" i="72"/>
  <c r="AI308" i="72"/>
  <c r="AI306" i="72"/>
  <c r="AI321" i="72"/>
  <c r="AI311" i="72"/>
  <c r="AI293" i="72"/>
  <c r="AI316" i="72"/>
  <c r="AI307" i="72"/>
  <c r="AI297" i="72"/>
  <c r="AI303" i="72"/>
  <c r="AI281" i="72"/>
  <c r="AI304" i="72"/>
  <c r="AI268" i="72"/>
  <c r="AI274" i="72"/>
  <c r="AI270" i="72"/>
  <c r="AI269" i="72"/>
  <c r="AI291" i="72"/>
  <c r="AI67" i="72"/>
  <c r="AI60" i="72"/>
  <c r="AI51" i="72"/>
  <c r="AI37" i="72"/>
  <c r="AI72" i="72"/>
  <c r="AI69" i="72"/>
  <c r="AI65" i="72"/>
  <c r="AI53" i="72"/>
  <c r="AI70" i="72"/>
  <c r="AI38" i="72"/>
  <c r="AI64" i="72" s="1"/>
  <c r="AT354" i="72"/>
  <c r="AT358" i="72"/>
  <c r="AT364" i="72"/>
  <c r="AT344" i="72"/>
  <c r="AT338" i="72"/>
  <c r="AT332" i="72"/>
  <c r="AT335" i="72"/>
  <c r="AT327" i="72"/>
  <c r="AT321" i="72"/>
  <c r="AT312" i="72"/>
  <c r="AT323" i="72"/>
  <c r="AT314" i="72"/>
  <c r="AT305" i="72"/>
  <c r="AT316" i="72"/>
  <c r="AT293" i="72"/>
  <c r="AT270" i="72"/>
  <c r="AT297" i="72"/>
  <c r="AT303" i="72"/>
  <c r="AT281" i="72"/>
  <c r="AT268" i="72"/>
  <c r="AT291" i="72"/>
  <c r="AT269" i="72"/>
  <c r="AT274" i="72"/>
  <c r="AT60" i="72"/>
  <c r="AT52" i="72"/>
  <c r="AT51" i="72"/>
  <c r="AT37" i="72"/>
  <c r="AT69" i="72"/>
  <c r="AT72" i="72"/>
  <c r="AT53" i="72"/>
  <c r="AT70" i="72"/>
  <c r="AT38" i="72"/>
  <c r="AT329" i="72" s="1"/>
  <c r="BE354" i="72"/>
  <c r="BE358" i="72"/>
  <c r="BE364" i="72"/>
  <c r="BE344" i="72"/>
  <c r="BE338" i="72"/>
  <c r="BE332" i="72"/>
  <c r="BE312" i="72"/>
  <c r="BE321" i="72"/>
  <c r="BE327" i="72"/>
  <c r="BE335" i="72"/>
  <c r="BE323" i="72"/>
  <c r="BE314" i="72"/>
  <c r="BE316" i="72"/>
  <c r="BE305" i="72"/>
  <c r="BE293" i="72"/>
  <c r="BE270" i="72"/>
  <c r="BE297" i="72"/>
  <c r="BE303" i="72"/>
  <c r="BE281" i="72"/>
  <c r="BE291" i="72"/>
  <c r="BE274" i="72"/>
  <c r="BE268" i="72"/>
  <c r="BE60" i="72"/>
  <c r="BE269" i="72"/>
  <c r="BE69" i="72"/>
  <c r="BE51" i="72"/>
  <c r="BE37" i="72"/>
  <c r="BE72" i="72"/>
  <c r="BE53" i="72"/>
  <c r="BE70" i="72"/>
  <c r="BE67" i="72"/>
  <c r="BE38" i="72"/>
  <c r="BE329" i="72" s="1"/>
  <c r="P19" i="72"/>
  <c r="P66" i="72" s="1"/>
  <c r="AA19" i="72"/>
  <c r="AA68" i="72" s="1"/>
  <c r="AI19" i="72"/>
  <c r="AI66" i="72" s="1"/>
  <c r="AT19" i="72"/>
  <c r="BE19" i="72"/>
  <c r="BE66" i="72" s="1"/>
  <c r="T20" i="72"/>
  <c r="AE20" i="72"/>
  <c r="AP20" i="72"/>
  <c r="BA20" i="72"/>
  <c r="P21" i="72"/>
  <c r="R367" i="72"/>
  <c r="R285" i="72"/>
  <c r="R284" i="72"/>
  <c r="AB367" i="72"/>
  <c r="AB285" i="72"/>
  <c r="AB282" i="72"/>
  <c r="AB284" i="72"/>
  <c r="AT367" i="72"/>
  <c r="AT285" i="72"/>
  <c r="AT282" i="72"/>
  <c r="AT284" i="72"/>
  <c r="BD367" i="72"/>
  <c r="BD284" i="72"/>
  <c r="BD282" i="72"/>
  <c r="BD285" i="72"/>
  <c r="BD30" i="72"/>
  <c r="P29" i="72"/>
  <c r="P30" i="72" s="1"/>
  <c r="AC29" i="72"/>
  <c r="AC330" i="72" s="1"/>
  <c r="AS29" i="72"/>
  <c r="AS308" i="72" s="1"/>
  <c r="V33" i="72"/>
  <c r="AP33" i="72"/>
  <c r="BD33" i="72"/>
  <c r="AH37" i="72"/>
  <c r="O38" i="72"/>
  <c r="O64" i="72" s="1"/>
  <c r="AQ38" i="72"/>
  <c r="AQ64" i="72" s="1"/>
  <c r="W51" i="72"/>
  <c r="AC52" i="72"/>
  <c r="BC52" i="72"/>
  <c r="AG53" i="72"/>
  <c r="AF60" i="72"/>
  <c r="O70" i="72"/>
  <c r="AF72" i="72"/>
  <c r="BD76" i="72"/>
  <c r="AA221" i="72"/>
  <c r="AH228" i="72"/>
  <c r="AH199" i="72"/>
  <c r="AH193" i="72"/>
  <c r="AH239" i="72"/>
  <c r="AH204" i="72"/>
  <c r="AH189" i="72"/>
  <c r="AH179" i="72"/>
  <c r="AH185" i="72"/>
  <c r="AH172" i="72"/>
  <c r="AH165" i="72"/>
  <c r="AH232" i="72"/>
  <c r="AH175" i="72"/>
  <c r="AH76" i="72"/>
  <c r="AF19" i="72"/>
  <c r="AF66" i="72" s="1"/>
  <c r="BC232" i="72"/>
  <c r="BC239" i="72"/>
  <c r="BC204" i="72"/>
  <c r="BC193" i="72"/>
  <c r="BC175" i="72"/>
  <c r="BC189" i="72"/>
  <c r="BC185" i="72"/>
  <c r="BC179" i="72"/>
  <c r="BC228" i="72"/>
  <c r="BC199" i="72"/>
  <c r="BC172" i="72"/>
  <c r="BC165" i="72"/>
  <c r="BC76" i="72"/>
  <c r="BC19" i="72"/>
  <c r="BC66" i="72" s="1"/>
  <c r="Y22" i="72"/>
  <c r="AW249" i="72"/>
  <c r="AW227" i="72"/>
  <c r="AW261" i="72"/>
  <c r="AW238" i="72"/>
  <c r="AW267" i="72"/>
  <c r="AW138" i="72"/>
  <c r="AW273" i="72"/>
  <c r="AW184" i="72"/>
  <c r="AW164" i="72"/>
  <c r="AW102" i="72"/>
  <c r="AW76" i="72"/>
  <c r="AW36" i="72"/>
  <c r="Y16" i="72"/>
  <c r="Q354" i="72"/>
  <c r="Q358" i="72"/>
  <c r="Q364" i="72"/>
  <c r="Q344" i="72"/>
  <c r="Q338" i="72"/>
  <c r="Q332" i="72"/>
  <c r="Q323" i="72"/>
  <c r="Q321" i="72"/>
  <c r="Q312" i="72"/>
  <c r="Q335" i="72"/>
  <c r="Q314" i="72"/>
  <c r="Q316" i="72"/>
  <c r="Q305" i="72"/>
  <c r="Q291" i="72"/>
  <c r="Q293" i="72"/>
  <c r="Q297" i="72"/>
  <c r="Q303" i="72"/>
  <c r="Q327" i="72"/>
  <c r="Q281" i="72"/>
  <c r="Q270" i="72"/>
  <c r="Q268" i="72"/>
  <c r="Q274" i="72"/>
  <c r="Q269" i="72"/>
  <c r="Q67" i="72"/>
  <c r="Q72" i="72"/>
  <c r="Q69" i="72"/>
  <c r="Q53" i="72"/>
  <c r="Q70" i="72"/>
  <c r="Q38" i="72"/>
  <c r="Q55" i="72" s="1"/>
  <c r="Q33" i="72"/>
  <c r="AB354" i="72"/>
  <c r="AB358" i="72"/>
  <c r="AB364" i="72"/>
  <c r="AB344" i="72"/>
  <c r="AB338" i="72"/>
  <c r="AB332" i="72"/>
  <c r="AB323" i="72"/>
  <c r="AB321" i="72"/>
  <c r="AB335" i="72"/>
  <c r="AB312" i="72"/>
  <c r="AB327" i="72"/>
  <c r="AB314" i="72"/>
  <c r="AB305" i="72"/>
  <c r="AB291" i="72"/>
  <c r="AB293" i="72"/>
  <c r="AB297" i="72"/>
  <c r="AB303" i="72"/>
  <c r="AB316" i="72"/>
  <c r="AB274" i="72"/>
  <c r="AB268" i="72"/>
  <c r="AB270" i="72"/>
  <c r="AB281" i="72"/>
  <c r="AB269" i="72"/>
  <c r="AB52" i="72"/>
  <c r="AB72" i="72"/>
  <c r="AB69" i="72"/>
  <c r="AB53" i="72"/>
  <c r="AB70" i="72"/>
  <c r="AB38" i="72"/>
  <c r="AB62" i="72" s="1"/>
  <c r="AB33" i="72"/>
  <c r="AM354" i="72"/>
  <c r="AM358" i="72"/>
  <c r="AM364" i="72"/>
  <c r="AM344" i="72"/>
  <c r="AM338" i="72"/>
  <c r="AM332" i="72"/>
  <c r="AM330" i="72"/>
  <c r="AM323" i="72"/>
  <c r="AM321" i="72"/>
  <c r="AM311" i="72"/>
  <c r="AM313" i="72"/>
  <c r="AM312" i="72"/>
  <c r="AM308" i="72"/>
  <c r="AM335" i="72"/>
  <c r="AM322" i="72"/>
  <c r="AM317" i="72"/>
  <c r="AM315" i="72"/>
  <c r="AM314" i="72"/>
  <c r="AM327" i="72"/>
  <c r="AM306" i="72"/>
  <c r="AM305" i="72"/>
  <c r="AM291" i="72"/>
  <c r="AM310" i="72"/>
  <c r="AM307" i="72"/>
  <c r="AM293" i="72"/>
  <c r="AM316" i="72"/>
  <c r="AM297" i="72"/>
  <c r="AM304" i="72"/>
  <c r="AM303" i="72"/>
  <c r="AM309" i="72"/>
  <c r="AM281" i="72"/>
  <c r="AM268" i="72"/>
  <c r="AM274" i="72"/>
  <c r="AM270" i="72"/>
  <c r="AM269" i="72"/>
  <c r="AM69" i="72"/>
  <c r="AM65" i="72"/>
  <c r="AM72" i="72"/>
  <c r="AM53" i="72"/>
  <c r="AM70" i="72"/>
  <c r="AM38" i="72"/>
  <c r="AM55" i="72" s="1"/>
  <c r="AM67" i="72"/>
  <c r="AM33" i="72"/>
  <c r="AU354" i="72"/>
  <c r="AU358" i="72"/>
  <c r="AU364" i="72"/>
  <c r="AU344" i="72"/>
  <c r="AU338" i="72"/>
  <c r="AU332" i="72"/>
  <c r="AU323" i="72"/>
  <c r="AU321" i="72"/>
  <c r="AU335" i="72"/>
  <c r="AU312" i="72"/>
  <c r="AU314" i="72"/>
  <c r="AU305" i="72"/>
  <c r="AU291" i="72"/>
  <c r="AU316" i="72"/>
  <c r="AU293" i="72"/>
  <c r="AU327" i="72"/>
  <c r="AU297" i="72"/>
  <c r="AU303" i="72"/>
  <c r="AU270" i="72"/>
  <c r="AU268" i="72"/>
  <c r="AU281" i="72"/>
  <c r="AU274" i="72"/>
  <c r="AU269" i="72"/>
  <c r="AU69" i="72"/>
  <c r="AU72" i="72"/>
  <c r="AU53" i="72"/>
  <c r="AU70" i="72"/>
  <c r="AU38" i="72"/>
  <c r="AU55" i="72" s="1"/>
  <c r="AU67" i="72"/>
  <c r="AU33" i="72"/>
  <c r="BF354" i="72"/>
  <c r="BF358" i="72"/>
  <c r="BF364" i="72"/>
  <c r="BF344" i="72"/>
  <c r="BF338" i="72"/>
  <c r="BF332" i="72"/>
  <c r="BF323" i="72"/>
  <c r="BF321" i="72"/>
  <c r="BF335" i="72"/>
  <c r="BF312" i="72"/>
  <c r="BF327" i="72"/>
  <c r="BF314" i="72"/>
  <c r="BF316" i="72"/>
  <c r="BF305" i="72"/>
  <c r="BF291" i="72"/>
  <c r="BF293" i="72"/>
  <c r="BF297" i="72"/>
  <c r="BF303" i="72"/>
  <c r="BF274" i="72"/>
  <c r="BF268" i="72"/>
  <c r="BF270" i="72"/>
  <c r="BF281" i="72"/>
  <c r="BF269" i="72"/>
  <c r="BF52" i="72"/>
  <c r="BF69" i="72"/>
  <c r="BF72" i="72"/>
  <c r="BF53" i="72"/>
  <c r="BF70" i="72"/>
  <c r="BF67" i="72"/>
  <c r="BF38" i="72"/>
  <c r="BF54" i="72" s="1"/>
  <c r="BF33" i="72"/>
  <c r="BF29" i="72"/>
  <c r="BF30" i="72" s="1"/>
  <c r="Q19" i="72"/>
  <c r="AB19" i="72"/>
  <c r="AM19" i="72"/>
  <c r="AM68" i="72" s="1"/>
  <c r="AU19" i="72"/>
  <c r="AU66" i="72" s="1"/>
  <c r="BF19" i="72"/>
  <c r="U20" i="72"/>
  <c r="AF20" i="72"/>
  <c r="AQ20" i="72"/>
  <c r="BB20" i="72"/>
  <c r="Q21" i="72"/>
  <c r="S367" i="72"/>
  <c r="S284" i="72"/>
  <c r="S285" i="72"/>
  <c r="AC367" i="72"/>
  <c r="AC284" i="72"/>
  <c r="AC282" i="72"/>
  <c r="AC285" i="72"/>
  <c r="AM367" i="72"/>
  <c r="AM284" i="72"/>
  <c r="AM282" i="72"/>
  <c r="AM285" i="72"/>
  <c r="AU78" i="72"/>
  <c r="AU186" i="72" s="1"/>
  <c r="AT78" i="72"/>
  <c r="AT169" i="72" s="1"/>
  <c r="AK73" i="72"/>
  <c r="AU257" i="72" s="1"/>
  <c r="AU367" i="72"/>
  <c r="AU284" i="72"/>
  <c r="AU282" i="72"/>
  <c r="AU285" i="72"/>
  <c r="BE367" i="72"/>
  <c r="BE284" i="72"/>
  <c r="BE282" i="72"/>
  <c r="BE285" i="72"/>
  <c r="U28" i="72"/>
  <c r="Q29" i="72"/>
  <c r="Q65" i="72" s="1"/>
  <c r="AG29" i="72"/>
  <c r="AG322" i="72" s="1"/>
  <c r="AT29" i="72"/>
  <c r="AT30" i="72" s="1"/>
  <c r="W33" i="72"/>
  <c r="AQ33" i="72"/>
  <c r="BE33" i="72"/>
  <c r="AM37" i="72"/>
  <c r="S38" i="72"/>
  <c r="S64" i="72" s="1"/>
  <c r="AS38" i="72"/>
  <c r="AB51" i="72"/>
  <c r="BD51" i="72"/>
  <c r="AE52" i="72"/>
  <c r="BE52" i="72"/>
  <c r="AT54" i="72"/>
  <c r="AW59" i="72"/>
  <c r="AH60" i="72"/>
  <c r="AT62" i="72"/>
  <c r="AD64" i="72"/>
  <c r="T66" i="72"/>
  <c r="W70" i="72"/>
  <c r="AQ72" i="72"/>
  <c r="AC85" i="72"/>
  <c r="AB89" i="72"/>
  <c r="AM96" i="72"/>
  <c r="AZ354" i="72"/>
  <c r="AZ358" i="72"/>
  <c r="AZ364" i="72"/>
  <c r="AZ327" i="72"/>
  <c r="AZ332" i="72"/>
  <c r="AZ344" i="72"/>
  <c r="AZ338" i="72"/>
  <c r="AZ335" i="72"/>
  <c r="AZ323" i="72"/>
  <c r="AZ314" i="72"/>
  <c r="AZ316" i="72"/>
  <c r="AZ274" i="72"/>
  <c r="AZ312" i="72"/>
  <c r="AZ321" i="72"/>
  <c r="AZ297" i="72"/>
  <c r="AZ303" i="72"/>
  <c r="AZ305" i="72"/>
  <c r="AZ291" i="72"/>
  <c r="AZ268" i="72"/>
  <c r="AZ281" i="72"/>
  <c r="AZ269" i="72"/>
  <c r="AZ293" i="72"/>
  <c r="AZ270" i="72"/>
  <c r="AZ72" i="72"/>
  <c r="AZ53" i="72"/>
  <c r="AZ70" i="72"/>
  <c r="AZ67" i="72"/>
  <c r="AZ33" i="72"/>
  <c r="AZ29" i="72"/>
  <c r="AZ322" i="72" s="1"/>
  <c r="AZ60" i="72"/>
  <c r="AZ52" i="72"/>
  <c r="AE367" i="72"/>
  <c r="AE285" i="72"/>
  <c r="AE284" i="72"/>
  <c r="AE282" i="72"/>
  <c r="S29" i="72"/>
  <c r="S30" i="72" s="1"/>
  <c r="AR232" i="72"/>
  <c r="AR239" i="72"/>
  <c r="AR228" i="72"/>
  <c r="AR175" i="72"/>
  <c r="AR185" i="72"/>
  <c r="AR179" i="72"/>
  <c r="AR172" i="72"/>
  <c r="AR165" i="72"/>
  <c r="AR76" i="72"/>
  <c r="BC358" i="72"/>
  <c r="BC364" i="72"/>
  <c r="BC335" i="72"/>
  <c r="BC327" i="72"/>
  <c r="BC354" i="72"/>
  <c r="BC344" i="72"/>
  <c r="BC338" i="72"/>
  <c r="BC332" i="72"/>
  <c r="BC316" i="72"/>
  <c r="BC313" i="72"/>
  <c r="BC312" i="72"/>
  <c r="BC321" i="72"/>
  <c r="BC303" i="72"/>
  <c r="BC281" i="72"/>
  <c r="BC323" i="72"/>
  <c r="BC305" i="72"/>
  <c r="BC291" i="72"/>
  <c r="BC314" i="72"/>
  <c r="BC293" i="72"/>
  <c r="BC270" i="72"/>
  <c r="BC297" i="72"/>
  <c r="BC269" i="72"/>
  <c r="BC274" i="72"/>
  <c r="BC268" i="72"/>
  <c r="BC70" i="72"/>
  <c r="BC67" i="72"/>
  <c r="BC38" i="72"/>
  <c r="BC54" i="72" s="1"/>
  <c r="BC60" i="72"/>
  <c r="BC69" i="72"/>
  <c r="BC51" i="72"/>
  <c r="BC37" i="72"/>
  <c r="BC72" i="72"/>
  <c r="AW222" i="72"/>
  <c r="AK222" i="72"/>
  <c r="Y222" i="72"/>
  <c r="M222" i="72"/>
  <c r="AY180" i="72"/>
  <c r="AM180" i="72"/>
  <c r="AA180" i="72"/>
  <c r="O180" i="72"/>
  <c r="BF180" i="72"/>
  <c r="BF181" i="72" s="1"/>
  <c r="BF12" i="72" s="1"/>
  <c r="AT180" i="72"/>
  <c r="AT181" i="72" s="1"/>
  <c r="AT12" i="72" s="1"/>
  <c r="AH180" i="72"/>
  <c r="AH181" i="72" s="1"/>
  <c r="AH12" i="72" s="1"/>
  <c r="V180" i="72"/>
  <c r="V181" i="72" s="1"/>
  <c r="V12" i="72" s="1"/>
  <c r="BE180" i="72"/>
  <c r="AS180" i="72"/>
  <c r="AG180" i="72"/>
  <c r="U180" i="72"/>
  <c r="BD180" i="72"/>
  <c r="AR180" i="72"/>
  <c r="AF180" i="72"/>
  <c r="T180" i="72"/>
  <c r="BC180" i="72"/>
  <c r="AQ180" i="72"/>
  <c r="AE180" i="72"/>
  <c r="S180" i="72"/>
  <c r="BB180" i="72"/>
  <c r="AP180" i="72"/>
  <c r="AD180" i="72"/>
  <c r="R180" i="72"/>
  <c r="BA180" i="72"/>
  <c r="AO180" i="72"/>
  <c r="AC180" i="72"/>
  <c r="Q180" i="72"/>
  <c r="AZ180" i="72"/>
  <c r="AN180" i="72"/>
  <c r="AB180" i="72"/>
  <c r="P180" i="72"/>
  <c r="AD239" i="72"/>
  <c r="AD199" i="72"/>
  <c r="AD228" i="72"/>
  <c r="AD232" i="72"/>
  <c r="AD193" i="72"/>
  <c r="AD204" i="72"/>
  <c r="AD175" i="72"/>
  <c r="AD189" i="72"/>
  <c r="AD179" i="72"/>
  <c r="AD185" i="72"/>
  <c r="AD165" i="72"/>
  <c r="AD76" i="72"/>
  <c r="AD172" i="72"/>
  <c r="AN193" i="72"/>
  <c r="AN262" i="72"/>
  <c r="AN211" i="72"/>
  <c r="AN228" i="72"/>
  <c r="AN221" i="72"/>
  <c r="AN250" i="72"/>
  <c r="AN232" i="72"/>
  <c r="AN215" i="72"/>
  <c r="AN127" i="72"/>
  <c r="AN172" i="72"/>
  <c r="AN165" i="72"/>
  <c r="AN139" i="72"/>
  <c r="AN152" i="72"/>
  <c r="AN92" i="72"/>
  <c r="AN199" i="72"/>
  <c r="AN148" i="72"/>
  <c r="AN175" i="72"/>
  <c r="AN204" i="72"/>
  <c r="AN158" i="72"/>
  <c r="AN121" i="72"/>
  <c r="AN107" i="72"/>
  <c r="AN103" i="72"/>
  <c r="AN189" i="72"/>
  <c r="AN117" i="72"/>
  <c r="AN96" i="72"/>
  <c r="AN82" i="72"/>
  <c r="AN239" i="72"/>
  <c r="AN185" i="72"/>
  <c r="AN131" i="72"/>
  <c r="AN89" i="72"/>
  <c r="AN76" i="72"/>
  <c r="AN179" i="72"/>
  <c r="AN85" i="72"/>
  <c r="BF199" i="72"/>
  <c r="BF239" i="72"/>
  <c r="BF193" i="72"/>
  <c r="BF204" i="72"/>
  <c r="BF228" i="72"/>
  <c r="BF185" i="72"/>
  <c r="BF232" i="72"/>
  <c r="BF189" i="72"/>
  <c r="BF179" i="72"/>
  <c r="BF172" i="72"/>
  <c r="BF165" i="72"/>
  <c r="BF175" i="72"/>
  <c r="BF76" i="72"/>
  <c r="AE228" i="72"/>
  <c r="AE232" i="72"/>
  <c r="AE204" i="72"/>
  <c r="AE239" i="72"/>
  <c r="AE193" i="72"/>
  <c r="AE175" i="72"/>
  <c r="AE189" i="72"/>
  <c r="AE179" i="72"/>
  <c r="AE185" i="72"/>
  <c r="AE199" i="72"/>
  <c r="AE172" i="72"/>
  <c r="AE165" i="72"/>
  <c r="AE76" i="72"/>
  <c r="AO239" i="72"/>
  <c r="AO204" i="72"/>
  <c r="AO262" i="72"/>
  <c r="AO228" i="72"/>
  <c r="AO221" i="72"/>
  <c r="AO199" i="72"/>
  <c r="AO250" i="72"/>
  <c r="AO232" i="72"/>
  <c r="AO211" i="72"/>
  <c r="AO172" i="72"/>
  <c r="AO165" i="72"/>
  <c r="AO139" i="72"/>
  <c r="AO85" i="72"/>
  <c r="AO152" i="72"/>
  <c r="AO148" i="72"/>
  <c r="AO175" i="72"/>
  <c r="AO158" i="72"/>
  <c r="AO121" i="72"/>
  <c r="AO107" i="72"/>
  <c r="AO103" i="72"/>
  <c r="AO215" i="72"/>
  <c r="AO193" i="72"/>
  <c r="AO189" i="72"/>
  <c r="AO117" i="72"/>
  <c r="AO96" i="72"/>
  <c r="AO89" i="72"/>
  <c r="AO185" i="72"/>
  <c r="AO179" i="72"/>
  <c r="AO131" i="72"/>
  <c r="AO82" i="72"/>
  <c r="AO92" i="72"/>
  <c r="AO76" i="72"/>
  <c r="AO127" i="72"/>
  <c r="AY211" i="72"/>
  <c r="AY262" i="72"/>
  <c r="AY250" i="72"/>
  <c r="AY215" i="72"/>
  <c r="AY228" i="72"/>
  <c r="AY232" i="72"/>
  <c r="AY199" i="72"/>
  <c r="AY179" i="72"/>
  <c r="AY152" i="72"/>
  <c r="AY92" i="72"/>
  <c r="AY148" i="72"/>
  <c r="AY204" i="72"/>
  <c r="AY193" i="72"/>
  <c r="AY172" i="72"/>
  <c r="AY165" i="72"/>
  <c r="AY158" i="72"/>
  <c r="AY121" i="72"/>
  <c r="AY107" i="72"/>
  <c r="AY103" i="72"/>
  <c r="AY221" i="72"/>
  <c r="AY117" i="72"/>
  <c r="AY96" i="72"/>
  <c r="AY89" i="72"/>
  <c r="AY239" i="72"/>
  <c r="AY175" i="72"/>
  <c r="AY131" i="72"/>
  <c r="AY127" i="72"/>
  <c r="AY189" i="72"/>
  <c r="AY139" i="72"/>
  <c r="AY185" i="72"/>
  <c r="AY76" i="72"/>
  <c r="AY85" i="72"/>
  <c r="BG250" i="72"/>
  <c r="BG215" i="72"/>
  <c r="BG204" i="72"/>
  <c r="BG228" i="72"/>
  <c r="BG232" i="72"/>
  <c r="BG189" i="72"/>
  <c r="BG221" i="72"/>
  <c r="BG239" i="72"/>
  <c r="BG199" i="72"/>
  <c r="BG211" i="72"/>
  <c r="BG193" i="72"/>
  <c r="BG185" i="72"/>
  <c r="BG76" i="72"/>
  <c r="R354" i="72"/>
  <c r="R358" i="72"/>
  <c r="R364" i="72"/>
  <c r="R344" i="72"/>
  <c r="R338" i="72"/>
  <c r="R323" i="72"/>
  <c r="R321" i="72"/>
  <c r="R335" i="72"/>
  <c r="R332" i="72"/>
  <c r="R327" i="72"/>
  <c r="R316" i="72"/>
  <c r="R314" i="72"/>
  <c r="R312" i="72"/>
  <c r="R297" i="72"/>
  <c r="R303" i="72"/>
  <c r="R281" i="72"/>
  <c r="R305" i="72"/>
  <c r="R293" i="72"/>
  <c r="R270" i="72"/>
  <c r="R268" i="72"/>
  <c r="R291" i="72"/>
  <c r="R274" i="72"/>
  <c r="R269" i="72"/>
  <c r="R51" i="72"/>
  <c r="R37" i="72"/>
  <c r="R72" i="72"/>
  <c r="R52" i="72"/>
  <c r="R69" i="72"/>
  <c r="R70" i="72"/>
  <c r="R38" i="72"/>
  <c r="R329" i="72" s="1"/>
  <c r="R33" i="72"/>
  <c r="R60" i="72"/>
  <c r="R28" i="72"/>
  <c r="AC354" i="72"/>
  <c r="AC358" i="72"/>
  <c r="AC364" i="72"/>
  <c r="AC344" i="72"/>
  <c r="AC338" i="72"/>
  <c r="AC323" i="72"/>
  <c r="AC321" i="72"/>
  <c r="AC335" i="72"/>
  <c r="AC316" i="72"/>
  <c r="AC332" i="72"/>
  <c r="AC327" i="72"/>
  <c r="AC314" i="72"/>
  <c r="AC312" i="72"/>
  <c r="AC297" i="72"/>
  <c r="AC303" i="72"/>
  <c r="AC281" i="72"/>
  <c r="AC291" i="72"/>
  <c r="AC268" i="72"/>
  <c r="AC270" i="72"/>
  <c r="AC293" i="72"/>
  <c r="AC269" i="72"/>
  <c r="AC274" i="72"/>
  <c r="AC305" i="72"/>
  <c r="AC51" i="72"/>
  <c r="AC37" i="72"/>
  <c r="AC72" i="72"/>
  <c r="AC69" i="72"/>
  <c r="AC70" i="72"/>
  <c r="AC38" i="72"/>
  <c r="AC54" i="72" s="1"/>
  <c r="AC33" i="72"/>
  <c r="AC67" i="72"/>
  <c r="AC60" i="72"/>
  <c r="AN354" i="72"/>
  <c r="AN358" i="72"/>
  <c r="AN364" i="72"/>
  <c r="AN344" i="72"/>
  <c r="AN338" i="72"/>
  <c r="AN323" i="72"/>
  <c r="AN321" i="72"/>
  <c r="AN335" i="72"/>
  <c r="AN316" i="72"/>
  <c r="AN314" i="72"/>
  <c r="AN332" i="72"/>
  <c r="AN327" i="72"/>
  <c r="AN297" i="72"/>
  <c r="AN303" i="72"/>
  <c r="AN281" i="72"/>
  <c r="AN312" i="72"/>
  <c r="AN268" i="72"/>
  <c r="AN293" i="72"/>
  <c r="AN274" i="72"/>
  <c r="AN270" i="72"/>
  <c r="AN269" i="72"/>
  <c r="AN305" i="72"/>
  <c r="AN291" i="72"/>
  <c r="AN52" i="72"/>
  <c r="AN51" i="72"/>
  <c r="AN37" i="72"/>
  <c r="AN69" i="72"/>
  <c r="AN72" i="72"/>
  <c r="AN70" i="72"/>
  <c r="AN38" i="72"/>
  <c r="AN54" i="72" s="1"/>
  <c r="AN67" i="72"/>
  <c r="AN33" i="72"/>
  <c r="AN60" i="72"/>
  <c r="AN29" i="72"/>
  <c r="AN322" i="72" s="1"/>
  <c r="AY354" i="72"/>
  <c r="AY358" i="72"/>
  <c r="AY364" i="72"/>
  <c r="AY344" i="72"/>
  <c r="AY338" i="72"/>
  <c r="AY323" i="72"/>
  <c r="AY321" i="72"/>
  <c r="AY335" i="72"/>
  <c r="AY316" i="72"/>
  <c r="AY332" i="72"/>
  <c r="AY314" i="72"/>
  <c r="AY312" i="72"/>
  <c r="AY327" i="72"/>
  <c r="AY297" i="72"/>
  <c r="AY303" i="72"/>
  <c r="AY281" i="72"/>
  <c r="AY268" i="72"/>
  <c r="AY291" i="72"/>
  <c r="AY305" i="72"/>
  <c r="AY274" i="72"/>
  <c r="AY269" i="72"/>
  <c r="AY293" i="72"/>
  <c r="AY270" i="72"/>
  <c r="AY69" i="72"/>
  <c r="AY51" i="72"/>
  <c r="AY37" i="72"/>
  <c r="AY72" i="72"/>
  <c r="AY70" i="72"/>
  <c r="AY67" i="72"/>
  <c r="AY38" i="72"/>
  <c r="AY55" i="72" s="1"/>
  <c r="AY33" i="72"/>
  <c r="AY29" i="72"/>
  <c r="AY311" i="72" s="1"/>
  <c r="AY60" i="72"/>
  <c r="BG354" i="72"/>
  <c r="BG358" i="72"/>
  <c r="BG364" i="72"/>
  <c r="BG344" i="72"/>
  <c r="BG338" i="72"/>
  <c r="BG323" i="72"/>
  <c r="BG321" i="72"/>
  <c r="BG335" i="72"/>
  <c r="BG316" i="72"/>
  <c r="BG332" i="72"/>
  <c r="BG327" i="72"/>
  <c r="BG314" i="72"/>
  <c r="BG297" i="72"/>
  <c r="BG303" i="72"/>
  <c r="BG281" i="72"/>
  <c r="BG291" i="72"/>
  <c r="BG274" i="72"/>
  <c r="BG268" i="72"/>
  <c r="BG270" i="72"/>
  <c r="BG305" i="72"/>
  <c r="BG293" i="72"/>
  <c r="BG269" i="72"/>
  <c r="BG312" i="72"/>
  <c r="BG69" i="72"/>
  <c r="BG51" i="72"/>
  <c r="BG37" i="72"/>
  <c r="BG72" i="72"/>
  <c r="BG70" i="72"/>
  <c r="BG67" i="72"/>
  <c r="BG38" i="72"/>
  <c r="BG54" i="72" s="1"/>
  <c r="BG33" i="72"/>
  <c r="BG29" i="72"/>
  <c r="BG330" i="72" s="1"/>
  <c r="BG60" i="72"/>
  <c r="R19" i="72"/>
  <c r="R66" i="72" s="1"/>
  <c r="AC19" i="72"/>
  <c r="AC66" i="72" s="1"/>
  <c r="AN19" i="72"/>
  <c r="AY19" i="72"/>
  <c r="AY66" i="72" s="1"/>
  <c r="BG19" i="72"/>
  <c r="BG66" i="72" s="1"/>
  <c r="V20" i="72"/>
  <c r="AG20" i="72"/>
  <c r="AR20" i="72"/>
  <c r="BC20" i="72"/>
  <c r="R21" i="72"/>
  <c r="T367" i="72"/>
  <c r="T285" i="72"/>
  <c r="T284" i="72"/>
  <c r="AD367" i="72"/>
  <c r="AD285" i="72"/>
  <c r="AD282" i="72"/>
  <c r="AD284" i="72"/>
  <c r="AN367" i="72"/>
  <c r="AN285" i="72"/>
  <c r="AN284" i="72"/>
  <c r="AN282" i="72"/>
  <c r="AW22" i="72"/>
  <c r="BF367" i="72"/>
  <c r="BF285" i="72"/>
  <c r="BF282" i="72"/>
  <c r="BF284" i="72"/>
  <c r="V28" i="72"/>
  <c r="R29" i="72"/>
  <c r="R317" i="72" s="1"/>
  <c r="AH29" i="72"/>
  <c r="AH307" i="72" s="1"/>
  <c r="AU29" i="72"/>
  <c r="AU313" i="72" s="1"/>
  <c r="AI30" i="72"/>
  <c r="AA33" i="72"/>
  <c r="AR33" i="72"/>
  <c r="O37" i="72"/>
  <c r="AO37" i="72"/>
  <c r="U38" i="72"/>
  <c r="AZ38" i="72"/>
  <c r="AZ62" i="72" s="1"/>
  <c r="AD51" i="72"/>
  <c r="BF51" i="72"/>
  <c r="AI52" i="72"/>
  <c r="BG52" i="72"/>
  <c r="AP53" i="72"/>
  <c r="AE55" i="72"/>
  <c r="AM60" i="72"/>
  <c r="AH64" i="72"/>
  <c r="AD66" i="72"/>
  <c r="AT67" i="72"/>
  <c r="AH70" i="72"/>
  <c r="BB72" i="72"/>
  <c r="AP173" i="72"/>
  <c r="P118" i="72"/>
  <c r="AO141" i="72"/>
  <c r="AO242" i="72" s="1"/>
  <c r="AA240" i="72"/>
  <c r="AA128" i="72"/>
  <c r="AA124" i="72"/>
  <c r="AA122" i="72"/>
  <c r="AA118" i="72"/>
  <c r="P143" i="72"/>
  <c r="Q141" i="72"/>
  <c r="Q242" i="72" s="1"/>
  <c r="P242" i="72"/>
  <c r="P243" i="72" s="1"/>
  <c r="P141" i="72"/>
  <c r="AC240" i="72"/>
  <c r="AC122" i="72"/>
  <c r="AC118" i="72"/>
  <c r="AC128" i="72"/>
  <c r="AZ141" i="72"/>
  <c r="AC141" i="72"/>
  <c r="AC242" i="72" s="1"/>
  <c r="BA118" i="72"/>
  <c r="Q122" i="72"/>
  <c r="AZ122" i="72"/>
  <c r="AM124" i="72"/>
  <c r="AM143" i="72"/>
  <c r="AB118" i="72"/>
  <c r="BA122" i="72"/>
  <c r="AN124" i="72"/>
  <c r="AM128" i="72"/>
  <c r="BA140" i="72"/>
  <c r="AN143" i="72"/>
  <c r="AB122" i="72"/>
  <c r="O124" i="72"/>
  <c r="AO124" i="72"/>
  <c r="AN128" i="72"/>
  <c r="O143" i="72"/>
  <c r="AO143" i="72"/>
  <c r="V245" i="72"/>
  <c r="V246" i="72" s="1"/>
  <c r="AM118" i="72"/>
  <c r="P124" i="72"/>
  <c r="AY124" i="72"/>
  <c r="O128" i="72"/>
  <c r="AO128" i="72"/>
  <c r="AN118" i="72"/>
  <c r="AM122" i="72"/>
  <c r="Q124" i="72"/>
  <c r="AZ124" i="72"/>
  <c r="P128" i="72"/>
  <c r="AY128" i="72"/>
  <c r="Q143" i="72"/>
  <c r="P240" i="72"/>
  <c r="O118" i="72"/>
  <c r="AO118" i="72"/>
  <c r="AN122" i="72"/>
  <c r="BA124" i="72"/>
  <c r="Q128" i="72"/>
  <c r="AZ128" i="72"/>
  <c r="BF245" i="72"/>
  <c r="BF246" i="72" s="1"/>
  <c r="AY118" i="72"/>
  <c r="O122" i="72"/>
  <c r="AO122" i="72"/>
  <c r="AB124" i="72"/>
  <c r="BA128" i="72"/>
  <c r="AY267" i="72"/>
  <c r="K308" i="24"/>
  <c r="J133" i="23"/>
  <c r="BC309" i="72" l="1"/>
  <c r="W65" i="72"/>
  <c r="AB308" i="73"/>
  <c r="V30" i="75"/>
  <c r="V304" i="75"/>
  <c r="V310" i="75"/>
  <c r="BF315" i="76"/>
  <c r="BF30" i="76"/>
  <c r="AQ26" i="72"/>
  <c r="AQ334" i="72" s="1"/>
  <c r="AM307" i="73"/>
  <c r="AB322" i="73"/>
  <c r="AN55" i="74"/>
  <c r="V306" i="75"/>
  <c r="V315" i="75"/>
  <c r="BG26" i="75"/>
  <c r="BG334" i="75" s="1"/>
  <c r="BF304" i="76"/>
  <c r="BF308" i="76"/>
  <c r="BF330" i="76"/>
  <c r="O311" i="76"/>
  <c r="BG62" i="74"/>
  <c r="AM55" i="75"/>
  <c r="V309" i="75"/>
  <c r="V330" i="75"/>
  <c r="V317" i="75"/>
  <c r="BF310" i="76"/>
  <c r="BF309" i="76"/>
  <c r="BF313" i="76"/>
  <c r="AI68" i="76"/>
  <c r="BF65" i="76"/>
  <c r="AR68" i="72"/>
  <c r="AU65" i="75"/>
  <c r="V311" i="75"/>
  <c r="BF322" i="76"/>
  <c r="BF340" i="76" s="1"/>
  <c r="O322" i="76"/>
  <c r="BF62" i="76"/>
  <c r="BG317" i="76"/>
  <c r="AY62" i="76"/>
  <c r="AM315" i="73"/>
  <c r="AB311" i="73"/>
  <c r="V337" i="73"/>
  <c r="V336" i="73" s="1"/>
  <c r="AA322" i="75"/>
  <c r="AA324" i="75" s="1" a="1"/>
  <c r="AA324" i="75" s="1"/>
  <c r="W65" i="75"/>
  <c r="V65" i="75"/>
  <c r="V307" i="75"/>
  <c r="W308" i="75"/>
  <c r="BF311" i="76"/>
  <c r="W317" i="72"/>
  <c r="AG26" i="72"/>
  <c r="AG334" i="72" s="1"/>
  <c r="AM55" i="74"/>
  <c r="P315" i="76"/>
  <c r="P330" i="76"/>
  <c r="P307" i="76"/>
  <c r="AN30" i="76"/>
  <c r="AS315" i="76"/>
  <c r="AH330" i="76"/>
  <c r="W65" i="76"/>
  <c r="W306" i="76"/>
  <c r="W308" i="76"/>
  <c r="AC330" i="76"/>
  <c r="R68" i="76"/>
  <c r="W309" i="76"/>
  <c r="W313" i="76"/>
  <c r="W330" i="76"/>
  <c r="AZ64" i="76"/>
  <c r="P304" i="76"/>
  <c r="P317" i="76"/>
  <c r="W322" i="76"/>
  <c r="AG65" i="76"/>
  <c r="AN68" i="76"/>
  <c r="AZ54" i="76"/>
  <c r="P68" i="76"/>
  <c r="P310" i="76"/>
  <c r="AU55" i="76"/>
  <c r="AH307" i="76"/>
  <c r="W304" i="76"/>
  <c r="AY309" i="76"/>
  <c r="AU54" i="76"/>
  <c r="AU329" i="76"/>
  <c r="P306" i="76"/>
  <c r="W317" i="76"/>
  <c r="AY313" i="76"/>
  <c r="P308" i="76"/>
  <c r="P322" i="76"/>
  <c r="W310" i="76"/>
  <c r="W311" i="76"/>
  <c r="P311" i="76"/>
  <c r="W315" i="76"/>
  <c r="BE31" i="76"/>
  <c r="BE234" i="76" s="1"/>
  <c r="AH31" i="76"/>
  <c r="AH234" i="76" s="1"/>
  <c r="AS307" i="76"/>
  <c r="AS322" i="76"/>
  <c r="U307" i="76"/>
  <c r="T307" i="76"/>
  <c r="T313" i="76"/>
  <c r="AZ306" i="76"/>
  <c r="AZ313" i="76"/>
  <c r="AZ311" i="76"/>
  <c r="BG310" i="76"/>
  <c r="AN311" i="76"/>
  <c r="AC317" i="76"/>
  <c r="T30" i="76"/>
  <c r="AB329" i="76"/>
  <c r="AZ30" i="76"/>
  <c r="P329" i="76"/>
  <c r="AH174" i="76"/>
  <c r="AH11" i="76" s="1"/>
  <c r="AT54" i="76"/>
  <c r="AG313" i="76"/>
  <c r="U65" i="76"/>
  <c r="U308" i="76"/>
  <c r="U306" i="76"/>
  <c r="AP309" i="76"/>
  <c r="AZ322" i="76"/>
  <c r="AZ340" i="76" s="1"/>
  <c r="AD308" i="76"/>
  <c r="BG309" i="76"/>
  <c r="AB64" i="76"/>
  <c r="AD30" i="76"/>
  <c r="AG68" i="76"/>
  <c r="AG307" i="76"/>
  <c r="AG310" i="76"/>
  <c r="U311" i="76"/>
  <c r="U317" i="76"/>
  <c r="U330" i="76"/>
  <c r="AP308" i="76"/>
  <c r="T306" i="76"/>
  <c r="T330" i="76"/>
  <c r="AZ315" i="76"/>
  <c r="AD310" i="76"/>
  <c r="AD313" i="76"/>
  <c r="BG322" i="76"/>
  <c r="BG324" i="76" s="1" a="1"/>
  <c r="BG324" i="76" s="1"/>
  <c r="AZ68" i="76"/>
  <c r="AB324" i="76" a="1"/>
  <c r="AB324" i="76" s="1"/>
  <c r="BF174" i="76"/>
  <c r="T65" i="76"/>
  <c r="AT62" i="76"/>
  <c r="AG330" i="76"/>
  <c r="U309" i="76"/>
  <c r="U322" i="76"/>
  <c r="U337" i="76" s="1"/>
  <c r="T304" i="76"/>
  <c r="T309" i="76"/>
  <c r="T311" i="76"/>
  <c r="AD68" i="76"/>
  <c r="AZ330" i="76"/>
  <c r="AO310" i="76"/>
  <c r="AD311" i="76"/>
  <c r="BG311" i="76"/>
  <c r="P55" i="76"/>
  <c r="P340" i="76"/>
  <c r="AT64" i="76"/>
  <c r="P62" i="76"/>
  <c r="U68" i="76"/>
  <c r="U313" i="76"/>
  <c r="U310" i="76"/>
  <c r="T315" i="76"/>
  <c r="AZ308" i="76"/>
  <c r="AD309" i="76"/>
  <c r="AD304" i="76"/>
  <c r="AD317" i="76"/>
  <c r="BG68" i="76"/>
  <c r="AN307" i="76"/>
  <c r="AT329" i="76"/>
  <c r="P64" i="76"/>
  <c r="BG30" i="76"/>
  <c r="AP65" i="76"/>
  <c r="AP313" i="76"/>
  <c r="AZ65" i="76"/>
  <c r="AZ307" i="76"/>
  <c r="AZ317" i="76"/>
  <c r="AD306" i="76"/>
  <c r="AD307" i="76"/>
  <c r="AD322" i="76"/>
  <c r="R308" i="76"/>
  <c r="BF181" i="76"/>
  <c r="BF12" i="76" s="1"/>
  <c r="AS317" i="76"/>
  <c r="U304" i="76"/>
  <c r="U315" i="76"/>
  <c r="AE68" i="76"/>
  <c r="T310" i="76"/>
  <c r="T322" i="76"/>
  <c r="AZ310" i="76"/>
  <c r="AY310" i="76"/>
  <c r="AM329" i="75"/>
  <c r="AM62" i="75"/>
  <c r="BG308" i="75"/>
  <c r="BG315" i="75"/>
  <c r="BG31" i="75"/>
  <c r="BG234" i="75" s="1"/>
  <c r="BG68" i="75"/>
  <c r="BG310" i="75"/>
  <c r="AY31" i="75"/>
  <c r="AY235" i="75" s="1"/>
  <c r="AR30" i="75"/>
  <c r="P141" i="75"/>
  <c r="AN308" i="75"/>
  <c r="AN313" i="75"/>
  <c r="AU315" i="75"/>
  <c r="AN304" i="75"/>
  <c r="AP26" i="75"/>
  <c r="AP334" i="75" s="1"/>
  <c r="AN322" i="75"/>
  <c r="AN324" i="75" s="1" a="1"/>
  <c r="AN324" i="75" s="1"/>
  <c r="AZ65" i="75"/>
  <c r="AZ311" i="75"/>
  <c r="BE65" i="75"/>
  <c r="AH54" i="75"/>
  <c r="BF54" i="75"/>
  <c r="AU322" i="75"/>
  <c r="AU340" i="75" s="1"/>
  <c r="AT55" i="75"/>
  <c r="AO304" i="75"/>
  <c r="BB322" i="74"/>
  <c r="AQ310" i="74"/>
  <c r="AA62" i="74"/>
  <c r="P309" i="74"/>
  <c r="AO62" i="74"/>
  <c r="AZ65" i="74"/>
  <c r="AZ315" i="74"/>
  <c r="BE337" i="74"/>
  <c r="AG309" i="74"/>
  <c r="AB30" i="74"/>
  <c r="AG313" i="74"/>
  <c r="AZ68" i="74"/>
  <c r="AS329" i="74"/>
  <c r="W308" i="73"/>
  <c r="P313" i="73"/>
  <c r="P308" i="73"/>
  <c r="P311" i="73"/>
  <c r="U54" i="73"/>
  <c r="W310" i="73"/>
  <c r="W306" i="73"/>
  <c r="AD311" i="73"/>
  <c r="AU337" i="73"/>
  <c r="P304" i="73"/>
  <c r="W65" i="73"/>
  <c r="W307" i="73"/>
  <c r="AP30" i="73"/>
  <c r="P309" i="73"/>
  <c r="W330" i="73"/>
  <c r="W30" i="73"/>
  <c r="P68" i="73"/>
  <c r="P307" i="73"/>
  <c r="P317" i="73"/>
  <c r="P315" i="73"/>
  <c r="W309" i="73"/>
  <c r="W311" i="73"/>
  <c r="W322" i="73"/>
  <c r="W331" i="73" s="1"/>
  <c r="P65" i="73"/>
  <c r="P330" i="73"/>
  <c r="P310" i="73"/>
  <c r="W315" i="73"/>
  <c r="W317" i="73"/>
  <c r="BF181" i="73"/>
  <c r="BF12" i="73" s="1"/>
  <c r="BF174" i="73"/>
  <c r="AN141" i="72"/>
  <c r="AC308" i="72"/>
  <c r="AC313" i="72"/>
  <c r="AC309" i="72"/>
  <c r="AC65" i="72"/>
  <c r="BE330" i="72"/>
  <c r="BF54" i="76"/>
  <c r="BB62" i="76"/>
  <c r="BE62" i="76"/>
  <c r="AG55" i="76"/>
  <c r="BE54" i="76"/>
  <c r="AG64" i="76"/>
  <c r="BF55" i="76"/>
  <c r="AG54" i="76"/>
  <c r="AN54" i="76"/>
  <c r="BE329" i="76"/>
  <c r="AP64" i="76"/>
  <c r="AG62" i="76"/>
  <c r="BE55" i="76"/>
  <c r="AN55" i="76"/>
  <c r="AF62" i="76"/>
  <c r="BB55" i="76"/>
  <c r="AY55" i="76"/>
  <c r="R62" i="76"/>
  <c r="R64" i="76"/>
  <c r="AU324" i="75" a="1"/>
  <c r="AU324" i="75" s="1"/>
  <c r="AM54" i="75"/>
  <c r="BG54" i="75"/>
  <c r="BG329" i="75"/>
  <c r="BE329" i="75"/>
  <c r="BC64" i="75"/>
  <c r="BG64" i="75"/>
  <c r="BE62" i="75"/>
  <c r="BD64" i="75"/>
  <c r="AN54" i="75"/>
  <c r="BE55" i="75"/>
  <c r="AN329" i="75"/>
  <c r="AU55" i="75"/>
  <c r="AY54" i="75"/>
  <c r="J71" i="74"/>
  <c r="BA62" i="74"/>
  <c r="AZ62" i="73"/>
  <c r="AT181" i="73"/>
  <c r="AT12" i="73" s="1"/>
  <c r="AF62" i="72"/>
  <c r="AG324" i="76" a="1"/>
  <c r="AG324" i="76" s="1"/>
  <c r="AG337" i="76"/>
  <c r="AG339" i="76" s="1" a="1"/>
  <c r="AG339" i="76" s="1"/>
  <c r="AG340" i="76"/>
  <c r="AR317" i="76"/>
  <c r="V54" i="72"/>
  <c r="P340" i="73"/>
  <c r="BD329" i="73"/>
  <c r="BB313" i="74"/>
  <c r="BA54" i="74"/>
  <c r="BA330" i="74"/>
  <c r="V174" i="74"/>
  <c r="AO54" i="74"/>
  <c r="AO55" i="74"/>
  <c r="BF55" i="75"/>
  <c r="BF329" i="75"/>
  <c r="AU308" i="75"/>
  <c r="AU317" i="75"/>
  <c r="BE308" i="75"/>
  <c r="BC337" i="75"/>
  <c r="BC339" i="75" s="1" a="1"/>
  <c r="BC339" i="75" s="1"/>
  <c r="AY330" i="75"/>
  <c r="R64" i="75"/>
  <c r="AM315" i="76"/>
  <c r="AM313" i="76"/>
  <c r="BE68" i="76"/>
  <c r="AT310" i="76"/>
  <c r="AI317" i="76"/>
  <c r="AA337" i="76"/>
  <c r="AS308" i="76"/>
  <c r="AS313" i="76"/>
  <c r="AY31" i="76"/>
  <c r="AY169" i="76" s="1"/>
  <c r="BA308" i="76"/>
  <c r="AP54" i="76"/>
  <c r="BG304" i="76"/>
  <c r="R311" i="76"/>
  <c r="R329" i="76"/>
  <c r="BA65" i="76"/>
  <c r="BA313" i="76"/>
  <c r="AO307" i="76"/>
  <c r="S62" i="76"/>
  <c r="J71" i="76"/>
  <c r="AR308" i="76"/>
  <c r="AH174" i="73"/>
  <c r="AH245" i="73" s="1"/>
  <c r="AH246" i="73" s="1"/>
  <c r="AS55" i="74"/>
  <c r="AH317" i="74"/>
  <c r="O65" i="74"/>
  <c r="O304" i="74"/>
  <c r="O329" i="74"/>
  <c r="AA55" i="74"/>
  <c r="AB64" i="74"/>
  <c r="AT304" i="74"/>
  <c r="R55" i="75"/>
  <c r="BF324" i="75" a="1"/>
  <c r="BF324" i="75" s="1"/>
  <c r="AU54" i="75"/>
  <c r="AM313" i="75"/>
  <c r="AM315" i="75"/>
  <c r="AB26" i="75"/>
  <c r="AB334" i="75" s="1"/>
  <c r="AH306" i="75"/>
  <c r="AW69" i="75"/>
  <c r="U307" i="75"/>
  <c r="Y67" i="76"/>
  <c r="AM310" i="76"/>
  <c r="AM309" i="76"/>
  <c r="BE317" i="76"/>
  <c r="AI308" i="76"/>
  <c r="AS309" i="76"/>
  <c r="AR311" i="76"/>
  <c r="AR322" i="76"/>
  <c r="AR326" i="76" s="1" a="1"/>
  <c r="AR326" i="76" s="1"/>
  <c r="BA310" i="76"/>
  <c r="O330" i="73"/>
  <c r="O308" i="74"/>
  <c r="Q30" i="74"/>
  <c r="BB308" i="74"/>
  <c r="BB315" i="74"/>
  <c r="AO315" i="74"/>
  <c r="AU311" i="75"/>
  <c r="Y52" i="75"/>
  <c r="BG62" i="75"/>
  <c r="BG311" i="75"/>
  <c r="P310" i="75"/>
  <c r="BC54" i="75"/>
  <c r="U311" i="75"/>
  <c r="BA311" i="75"/>
  <c r="AI313" i="76"/>
  <c r="AS311" i="76"/>
  <c r="AS330" i="76"/>
  <c r="W66" i="76"/>
  <c r="AR330" i="76"/>
  <c r="AG309" i="76"/>
  <c r="AG311" i="76"/>
  <c r="AG317" i="76"/>
  <c r="BB317" i="76"/>
  <c r="AQ310" i="76"/>
  <c r="AD31" i="76"/>
  <c r="AD234" i="76" s="1"/>
  <c r="AP317" i="76"/>
  <c r="AD66" i="76"/>
  <c r="AE313" i="74"/>
  <c r="AH309" i="75"/>
  <c r="AR309" i="76"/>
  <c r="O317" i="73"/>
  <c r="O313" i="74"/>
  <c r="AG322" i="74"/>
  <c r="AG340" i="74" s="1"/>
  <c r="AQ306" i="74"/>
  <c r="AE65" i="74"/>
  <c r="AO304" i="74"/>
  <c r="AO329" i="74"/>
  <c r="BC78" i="75"/>
  <c r="BG369" i="75" s="1"/>
  <c r="AM308" i="75"/>
  <c r="BE304" i="75"/>
  <c r="V174" i="75"/>
  <c r="U310" i="75"/>
  <c r="AY310" i="75"/>
  <c r="BF337" i="76"/>
  <c r="AM317" i="76"/>
  <c r="AM330" i="76"/>
  <c r="AT306" i="76"/>
  <c r="AT317" i="76"/>
  <c r="AI307" i="76"/>
  <c r="AA324" i="76" a="1"/>
  <c r="AA324" i="76" s="1"/>
  <c r="AG308" i="76"/>
  <c r="P65" i="76"/>
  <c r="AQ55" i="76"/>
  <c r="BA322" i="76"/>
  <c r="BA324" i="76" s="1" a="1"/>
  <c r="BA324" i="76" s="1"/>
  <c r="AO65" i="76"/>
  <c r="AO304" i="76"/>
  <c r="BG65" i="76"/>
  <c r="AN308" i="76"/>
  <c r="AT306" i="74"/>
  <c r="AT311" i="74"/>
  <c r="AM309" i="75"/>
  <c r="AH308" i="75"/>
  <c r="W329" i="75"/>
  <c r="AZ329" i="75"/>
  <c r="AM306" i="76"/>
  <c r="AE78" i="76"/>
  <c r="AC349" i="76" s="1"/>
  <c r="AI315" i="76"/>
  <c r="AI309" i="76"/>
  <c r="AI322" i="76"/>
  <c r="AR304" i="76"/>
  <c r="AR306" i="76"/>
  <c r="AR307" i="76"/>
  <c r="AQ64" i="76"/>
  <c r="BA306" i="76"/>
  <c r="BA330" i="76"/>
  <c r="AG340" i="73"/>
  <c r="O315" i="74"/>
  <c r="O317" i="74"/>
  <c r="AR62" i="74"/>
  <c r="AG65" i="74"/>
  <c r="AG330" i="74"/>
  <c r="AQ308" i="74"/>
  <c r="AE317" i="74"/>
  <c r="M67" i="74"/>
  <c r="P68" i="74"/>
  <c r="AB62" i="74"/>
  <c r="AT307" i="74"/>
  <c r="AT31" i="75"/>
  <c r="AT234" i="75" s="1"/>
  <c r="AW67" i="75"/>
  <c r="Q65" i="75"/>
  <c r="P304" i="75"/>
  <c r="AH311" i="75"/>
  <c r="AH317" i="75"/>
  <c r="BC62" i="75"/>
  <c r="BC329" i="75"/>
  <c r="AQ78" i="75"/>
  <c r="AO286" i="75" s="1"/>
  <c r="U304" i="75"/>
  <c r="U315" i="75"/>
  <c r="AE64" i="75"/>
  <c r="Y69" i="76"/>
  <c r="AI31" i="76"/>
  <c r="AI234" i="76" s="1"/>
  <c r="AT322" i="76"/>
  <c r="AT340" i="76" s="1"/>
  <c r="AS304" i="76"/>
  <c r="AR65" i="76"/>
  <c r="AR313" i="76"/>
  <c r="AR315" i="76"/>
  <c r="U66" i="76"/>
  <c r="AP311" i="76"/>
  <c r="AO306" i="76"/>
  <c r="BG55" i="76"/>
  <c r="BG307" i="76"/>
  <c r="AN330" i="76"/>
  <c r="R54" i="76"/>
  <c r="R313" i="76"/>
  <c r="AZ309" i="73"/>
  <c r="AZ306" i="73"/>
  <c r="O30" i="74"/>
  <c r="O306" i="74"/>
  <c r="AQ65" i="74"/>
  <c r="AM30" i="75"/>
  <c r="AU306" i="75"/>
  <c r="AM68" i="75"/>
  <c r="AM310" i="75"/>
  <c r="V181" i="75"/>
  <c r="V12" i="75" s="1"/>
  <c r="W54" i="75"/>
  <c r="BC55" i="75"/>
  <c r="AK52" i="75"/>
  <c r="BA315" i="75"/>
  <c r="BA330" i="75"/>
  <c r="AP64" i="75"/>
  <c r="AA31" i="76"/>
  <c r="AA169" i="76" s="1"/>
  <c r="BF324" i="76" a="1"/>
  <c r="BF324" i="76" s="1"/>
  <c r="AT313" i="76"/>
  <c r="AI311" i="76"/>
  <c r="AS68" i="76"/>
  <c r="AG306" i="76"/>
  <c r="AG315" i="76"/>
  <c r="AQ308" i="76"/>
  <c r="S55" i="76"/>
  <c r="AE329" i="76"/>
  <c r="BG313" i="76"/>
  <c r="AY306" i="76"/>
  <c r="AN309" i="76"/>
  <c r="AC307" i="76"/>
  <c r="AA349" i="76"/>
  <c r="AH349" i="76"/>
  <c r="AY235" i="76"/>
  <c r="BG324" i="73" a="1"/>
  <c r="BG324" i="73" s="1"/>
  <c r="AM308" i="73"/>
  <c r="AM322" i="73"/>
  <c r="Q310" i="73"/>
  <c r="AH68" i="74"/>
  <c r="AH307" i="74"/>
  <c r="BB64" i="74"/>
  <c r="AA30" i="74"/>
  <c r="BA64" i="74"/>
  <c r="AW69" i="74"/>
  <c r="AT54" i="74"/>
  <c r="AZ308" i="74"/>
  <c r="AC329" i="74"/>
  <c r="AU64" i="74"/>
  <c r="AT65" i="74"/>
  <c r="BE78" i="75"/>
  <c r="BD351" i="75" s="1"/>
  <c r="AI54" i="75"/>
  <c r="BG322" i="75"/>
  <c r="BG340" i="75" s="1"/>
  <c r="O30" i="75"/>
  <c r="BE322" i="75"/>
  <c r="AA68" i="75"/>
  <c r="AA304" i="75"/>
  <c r="P311" i="75"/>
  <c r="AS62" i="75"/>
  <c r="AR64" i="75"/>
  <c r="V337" i="75"/>
  <c r="V339" i="75" s="1" a="1"/>
  <c r="V339" i="75" s="1"/>
  <c r="BA309" i="75"/>
  <c r="AE330" i="75"/>
  <c r="T308" i="75"/>
  <c r="T306" i="75"/>
  <c r="T330" i="75"/>
  <c r="AS55" i="76"/>
  <c r="AS54" i="76"/>
  <c r="AS340" i="76"/>
  <c r="AS324" i="76" a="1"/>
  <c r="AS324" i="76" s="1"/>
  <c r="AS64" i="76"/>
  <c r="AS337" i="76"/>
  <c r="AS62" i="76"/>
  <c r="AS329" i="76"/>
  <c r="AO31" i="76"/>
  <c r="AM30" i="76"/>
  <c r="AP31" i="76"/>
  <c r="AP234" i="76" s="1"/>
  <c r="AK29" i="76"/>
  <c r="AM307" i="76"/>
  <c r="AM311" i="76"/>
  <c r="AS78" i="76"/>
  <c r="AQ31" i="76"/>
  <c r="AQ234" i="76" s="1"/>
  <c r="AR31" i="76"/>
  <c r="AR233" i="76" s="1"/>
  <c r="AN31" i="76"/>
  <c r="AK69" i="76"/>
  <c r="AM322" i="76"/>
  <c r="AM304" i="76"/>
  <c r="AU330" i="76"/>
  <c r="AM65" i="76"/>
  <c r="AM31" i="76"/>
  <c r="AI368" i="76"/>
  <c r="AI63" i="76"/>
  <c r="AI25" i="76"/>
  <c r="AI61" i="76"/>
  <c r="AI24" i="76"/>
  <c r="AI66" i="76"/>
  <c r="U78" i="76"/>
  <c r="AU31" i="76"/>
  <c r="AU234" i="76" s="1"/>
  <c r="BC306" i="76"/>
  <c r="AZ55" i="76"/>
  <c r="AW285" i="76"/>
  <c r="BD62" i="76"/>
  <c r="BD64" i="76"/>
  <c r="BD340" i="76"/>
  <c r="BD324" i="76" a="1"/>
  <c r="BD324" i="76" s="1"/>
  <c r="BD337" i="76"/>
  <c r="BD54" i="76"/>
  <c r="BD329" i="76"/>
  <c r="AM311" i="73"/>
  <c r="AD68" i="73"/>
  <c r="O308" i="73"/>
  <c r="O307" i="73"/>
  <c r="BD68" i="74"/>
  <c r="AH65" i="74"/>
  <c r="AH330" i="74"/>
  <c r="AH315" i="74"/>
  <c r="O68" i="74"/>
  <c r="AP64" i="74"/>
  <c r="AG308" i="74"/>
  <c r="AG306" i="74"/>
  <c r="AQ313" i="74"/>
  <c r="BA65" i="74"/>
  <c r="AE330" i="74"/>
  <c r="P307" i="74"/>
  <c r="AN54" i="74"/>
  <c r="AM337" i="74"/>
  <c r="AM339" i="74" s="1" a="1"/>
  <c r="AM339" i="74" s="1"/>
  <c r="AM340" i="74"/>
  <c r="AB329" i="74"/>
  <c r="Q55" i="74"/>
  <c r="Q309" i="75"/>
  <c r="BG65" i="75"/>
  <c r="BG306" i="75"/>
  <c r="BE68" i="75"/>
  <c r="BE317" i="75"/>
  <c r="BE315" i="75"/>
  <c r="BE330" i="75"/>
  <c r="AA306" i="75"/>
  <c r="AS311" i="75"/>
  <c r="AH307" i="75"/>
  <c r="AH322" i="75"/>
  <c r="W64" i="75"/>
  <c r="AR307" i="75"/>
  <c r="AR310" i="75"/>
  <c r="V55" i="75"/>
  <c r="AQ324" i="75" a="1"/>
  <c r="AQ324" i="75" s="1"/>
  <c r="T68" i="75"/>
  <c r="AE68" i="75"/>
  <c r="T310" i="75"/>
  <c r="T309" i="75"/>
  <c r="P31" i="75"/>
  <c r="P235" i="75" s="1"/>
  <c r="AY64" i="75"/>
  <c r="AD324" i="75" a="1"/>
  <c r="AD324" i="75" s="1"/>
  <c r="S307" i="75"/>
  <c r="S330" i="75"/>
  <c r="AH329" i="76"/>
  <c r="AH54" i="76"/>
  <c r="AH64" i="76"/>
  <c r="AH55" i="76"/>
  <c r="AA234" i="76"/>
  <c r="AA233" i="76"/>
  <c r="S30" i="76"/>
  <c r="S322" i="76"/>
  <c r="S68" i="76"/>
  <c r="S307" i="76"/>
  <c r="S306" i="76"/>
  <c r="S310" i="76"/>
  <c r="S309" i="76"/>
  <c r="S317" i="76"/>
  <c r="S304" i="76"/>
  <c r="S313" i="76"/>
  <c r="S330" i="76"/>
  <c r="S308" i="76"/>
  <c r="S315" i="76"/>
  <c r="S65" i="76"/>
  <c r="W31" i="76"/>
  <c r="W234" i="76" s="1"/>
  <c r="AM368" i="76"/>
  <c r="AK194" i="76"/>
  <c r="AK195" i="76" a="1"/>
  <c r="AK195" i="76" s="1"/>
  <c r="AM61" i="76"/>
  <c r="AM24" i="76"/>
  <c r="AM63" i="76"/>
  <c r="AM25" i="76"/>
  <c r="AU304" i="76"/>
  <c r="AU307" i="76"/>
  <c r="AH62" i="76"/>
  <c r="AS31" i="76"/>
  <c r="AS234" i="76" s="1"/>
  <c r="AA368" i="76"/>
  <c r="Y194" i="76"/>
  <c r="Y195" i="76" a="1"/>
  <c r="Y195" i="76" s="1"/>
  <c r="AA63" i="76"/>
  <c r="AA25" i="76"/>
  <c r="AA24" i="76"/>
  <c r="AA61" i="76"/>
  <c r="AA68" i="76"/>
  <c r="AT174" i="76"/>
  <c r="Y285" i="76"/>
  <c r="BD55" i="76"/>
  <c r="BB30" i="76"/>
  <c r="BC78" i="76"/>
  <c r="BG31" i="76"/>
  <c r="BG234" i="76" s="1"/>
  <c r="BB307" i="76"/>
  <c r="BB308" i="76"/>
  <c r="BD31" i="76"/>
  <c r="BD233" i="76" s="1"/>
  <c r="BB304" i="76"/>
  <c r="BA31" i="76"/>
  <c r="AW67" i="76"/>
  <c r="BB315" i="76"/>
  <c r="BB313" i="76"/>
  <c r="BB309" i="76"/>
  <c r="BB322" i="76"/>
  <c r="BB306" i="76"/>
  <c r="BB68" i="76"/>
  <c r="BB31" i="76"/>
  <c r="BB234" i="76" s="1"/>
  <c r="BB311" i="76"/>
  <c r="BC31" i="76"/>
  <c r="BC234" i="76" s="1"/>
  <c r="AW69" i="76"/>
  <c r="BB310" i="76"/>
  <c r="BB330" i="76"/>
  <c r="AW29" i="76"/>
  <c r="J52" i="76"/>
  <c r="M52" i="76"/>
  <c r="AB62" i="76"/>
  <c r="AB337" i="76"/>
  <c r="AB54" i="76"/>
  <c r="AB242" i="72"/>
  <c r="AB243" i="72" s="1"/>
  <c r="AD62" i="72"/>
  <c r="AM313" i="73"/>
  <c r="AM317" i="73"/>
  <c r="AM330" i="73"/>
  <c r="Q322" i="73"/>
  <c r="Q337" i="73" s="1"/>
  <c r="AZ55" i="73"/>
  <c r="AZ329" i="73"/>
  <c r="AP55" i="74"/>
  <c r="AS62" i="74"/>
  <c r="AH308" i="74"/>
  <c r="AH309" i="74"/>
  <c r="AY54" i="74"/>
  <c r="AY55" i="74"/>
  <c r="AM66" i="74"/>
  <c r="AW285" i="75"/>
  <c r="Q313" i="75"/>
  <c r="BE307" i="75"/>
  <c r="AA310" i="75"/>
  <c r="P306" i="75"/>
  <c r="P315" i="75"/>
  <c r="P322" i="75"/>
  <c r="P326" i="75" s="1" a="1"/>
  <c r="P326" i="75" s="1"/>
  <c r="BD329" i="75"/>
  <c r="AF31" i="75"/>
  <c r="AF233" i="75" s="1"/>
  <c r="AN65" i="75"/>
  <c r="AN310" i="75"/>
  <c r="AN317" i="75"/>
  <c r="AN330" i="75"/>
  <c r="BA310" i="75"/>
  <c r="AE65" i="75"/>
  <c r="T313" i="75"/>
  <c r="AY306" i="75"/>
  <c r="S65" i="75"/>
  <c r="S308" i="75"/>
  <c r="W54" i="76"/>
  <c r="W337" i="76"/>
  <c r="W324" i="76" a="1"/>
  <c r="W324" i="76" s="1"/>
  <c r="W340" i="76"/>
  <c r="W62" i="76"/>
  <c r="W329" i="76"/>
  <c r="W55" i="76"/>
  <c r="W64" i="76"/>
  <c r="P31" i="76"/>
  <c r="AU258" i="76"/>
  <c r="AK257" i="76"/>
  <c r="AB368" i="76"/>
  <c r="AB24" i="76"/>
  <c r="AB63" i="76"/>
  <c r="AB61" i="76"/>
  <c r="AB25" i="76"/>
  <c r="AB66" i="76"/>
  <c r="BF339" i="76" a="1"/>
  <c r="BF339" i="76" s="1"/>
  <c r="BF336" i="76"/>
  <c r="AK317" i="76"/>
  <c r="AM93" i="76"/>
  <c r="AM95" i="76" s="1"/>
  <c r="AO93" i="76"/>
  <c r="AO95" i="76" s="1"/>
  <c r="AR27" i="76"/>
  <c r="AR229" i="76" s="1"/>
  <c r="AR13" i="76" s="1"/>
  <c r="AM8" i="76"/>
  <c r="AQ27" i="76"/>
  <c r="AS27" i="76"/>
  <c r="AP27" i="76"/>
  <c r="AO27" i="76"/>
  <c r="AM4" i="76"/>
  <c r="AN27" i="76"/>
  <c r="AU27" i="76"/>
  <c r="AM27" i="76"/>
  <c r="AM5" i="76"/>
  <c r="AT27" i="76"/>
  <c r="AM3" i="76"/>
  <c r="BE65" i="76"/>
  <c r="BE307" i="76"/>
  <c r="T331" i="76"/>
  <c r="T325" i="76" a="1"/>
  <c r="T325" i="76" s="1"/>
  <c r="T326" i="76" a="1"/>
  <c r="T326" i="76" s="1"/>
  <c r="AZ62" i="76"/>
  <c r="S311" i="76"/>
  <c r="BB68" i="72"/>
  <c r="AZ64" i="73"/>
  <c r="BD311" i="74"/>
  <c r="BF54" i="74"/>
  <c r="AE30" i="75"/>
  <c r="Y69" i="75"/>
  <c r="AR65" i="75"/>
  <c r="AR304" i="75"/>
  <c r="AE304" i="75"/>
  <c r="T304" i="75"/>
  <c r="T322" i="75"/>
  <c r="AD337" i="75"/>
  <c r="AO141" i="76"/>
  <c r="O55" i="76"/>
  <c r="O337" i="76"/>
  <c r="O62" i="76"/>
  <c r="O329" i="76"/>
  <c r="O324" i="76" a="1"/>
  <c r="O324" i="76" s="1"/>
  <c r="O64" i="76"/>
  <c r="O340" i="76"/>
  <c r="AU352" i="76"/>
  <c r="AM352" i="76"/>
  <c r="AT352" i="76"/>
  <c r="AS352" i="76"/>
  <c r="AR352" i="76"/>
  <c r="AQ352" i="76"/>
  <c r="AP352" i="76"/>
  <c r="AO352" i="76"/>
  <c r="AU289" i="76"/>
  <c r="AM289" i="76"/>
  <c r="AT289" i="76"/>
  <c r="AN352" i="76"/>
  <c r="AS289" i="76"/>
  <c r="AN289" i="76"/>
  <c r="AR289" i="76"/>
  <c r="AQ289" i="76"/>
  <c r="AP289" i="76"/>
  <c r="AT192" i="76"/>
  <c r="AK192" i="76" s="1"/>
  <c r="AO289" i="76"/>
  <c r="AT178" i="76"/>
  <c r="Q368" i="76"/>
  <c r="Q25" i="76"/>
  <c r="Q24" i="76"/>
  <c r="Q61" i="76"/>
  <c r="Q63" i="76"/>
  <c r="Q68" i="76"/>
  <c r="AU311" i="76"/>
  <c r="AU308" i="76"/>
  <c r="Q331" i="76"/>
  <c r="Q326" i="76" a="1"/>
  <c r="Q326" i="76" s="1"/>
  <c r="Q325" i="76" a="1"/>
  <c r="Q325" i="76" s="1"/>
  <c r="Q337" i="76"/>
  <c r="O31" i="76"/>
  <c r="AA339" i="76" a="1"/>
  <c r="AA339" i="76" s="1"/>
  <c r="AA336" i="76"/>
  <c r="Y257" i="76"/>
  <c r="AI258" i="76"/>
  <c r="M317" i="76"/>
  <c r="Q93" i="76"/>
  <c r="Q95" i="76" s="1"/>
  <c r="O93" i="76"/>
  <c r="O95" i="76" s="1"/>
  <c r="P27" i="76"/>
  <c r="W27" i="76"/>
  <c r="O27" i="76"/>
  <c r="O3" i="76"/>
  <c r="V27" i="76"/>
  <c r="O8" i="76"/>
  <c r="U27" i="76"/>
  <c r="T27" i="76"/>
  <c r="T229" i="76" s="1"/>
  <c r="T13" i="76" s="1"/>
  <c r="S27" i="76"/>
  <c r="O4" i="76"/>
  <c r="R27" i="76"/>
  <c r="J22" i="76"/>
  <c r="J317" i="76" s="1"/>
  <c r="Q27" i="76"/>
  <c r="O5" i="76"/>
  <c r="AP368" i="76"/>
  <c r="AP63" i="76"/>
  <c r="AP61" i="76"/>
  <c r="AP25" i="76"/>
  <c r="AP24" i="76"/>
  <c r="AP66" i="76"/>
  <c r="AP68" i="76"/>
  <c r="AT31" i="76"/>
  <c r="AT234" i="76" s="1"/>
  <c r="Q30" i="72"/>
  <c r="AM65" i="73"/>
  <c r="AM304" i="73"/>
  <c r="Q306" i="73"/>
  <c r="Q307" i="73"/>
  <c r="BD54" i="73"/>
  <c r="BD55" i="73"/>
  <c r="O64" i="73"/>
  <c r="BD317" i="74"/>
  <c r="BB62" i="74"/>
  <c r="BB340" i="74"/>
  <c r="U64" i="74"/>
  <c r="AP329" i="74"/>
  <c r="Q317" i="75"/>
  <c r="BG317" i="75"/>
  <c r="AA317" i="75"/>
  <c r="P309" i="75"/>
  <c r="T30" i="75"/>
  <c r="BD324" i="75" a="1"/>
  <c r="BD324" i="75" s="1"/>
  <c r="BD337" i="75"/>
  <c r="BD339" i="75" s="1" a="1"/>
  <c r="BD339" i="75" s="1"/>
  <c r="V324" i="75" a="1"/>
  <c r="V324" i="75" s="1"/>
  <c r="AN309" i="75"/>
  <c r="U309" i="75"/>
  <c r="AE315" i="75"/>
  <c r="T307" i="75"/>
  <c r="T315" i="75"/>
  <c r="AY317" i="75"/>
  <c r="O54" i="76"/>
  <c r="AK284" i="76"/>
  <c r="AU65" i="76"/>
  <c r="AB331" i="76"/>
  <c r="AB326" i="76" a="1"/>
  <c r="AB326" i="76" s="1"/>
  <c r="AB325" i="76" a="1"/>
  <c r="AB325" i="76" s="1"/>
  <c r="Q324" i="76" a="1"/>
  <c r="Q324" i="76" s="1"/>
  <c r="Q340" i="76"/>
  <c r="BE313" i="76"/>
  <c r="Y367" i="76"/>
  <c r="AC62" i="76"/>
  <c r="AC54" i="76"/>
  <c r="AC329" i="76"/>
  <c r="AC64" i="76"/>
  <c r="AC55" i="76"/>
  <c r="AK67" i="76"/>
  <c r="BF368" i="76"/>
  <c r="BF25" i="76"/>
  <c r="BF63" i="76"/>
  <c r="BF61" i="76"/>
  <c r="BF24" i="76"/>
  <c r="BF68" i="76"/>
  <c r="AD322" i="72"/>
  <c r="AD331" i="72" s="1"/>
  <c r="AM306" i="73"/>
  <c r="AM309" i="73"/>
  <c r="AT315" i="73"/>
  <c r="O322" i="73"/>
  <c r="O331" i="73" s="1"/>
  <c r="BD30" i="74"/>
  <c r="BF62" i="74"/>
  <c r="BB329" i="74"/>
  <c r="AQ307" i="74"/>
  <c r="AQ311" i="74"/>
  <c r="P62" i="74"/>
  <c r="AT64" i="74"/>
  <c r="AF30" i="75"/>
  <c r="AU68" i="75"/>
  <c r="AU64" i="75"/>
  <c r="AU310" i="75"/>
  <c r="BG304" i="75"/>
  <c r="BG313" i="75"/>
  <c r="BE313" i="75"/>
  <c r="BE309" i="75"/>
  <c r="AA307" i="75"/>
  <c r="AA315" i="75"/>
  <c r="AA330" i="75"/>
  <c r="P330" i="75"/>
  <c r="AS307" i="75"/>
  <c r="AH68" i="75"/>
  <c r="AH313" i="75"/>
  <c r="AN315" i="75"/>
  <c r="AN306" i="75"/>
  <c r="AT54" i="75"/>
  <c r="AP308" i="75"/>
  <c r="T311" i="75"/>
  <c r="AY329" i="75"/>
  <c r="AU188" i="76"/>
  <c r="AK186" i="76"/>
  <c r="AK367" i="76"/>
  <c r="AU306" i="76"/>
  <c r="AB340" i="76"/>
  <c r="AT331" i="76"/>
  <c r="AT326" i="76" a="1"/>
  <c r="AT326" i="76" s="1"/>
  <c r="AT325" i="76" a="1"/>
  <c r="AT325" i="76" s="1"/>
  <c r="AT337" i="76"/>
  <c r="AT324" i="76" a="1"/>
  <c r="AT324" i="76" s="1"/>
  <c r="BC30" i="76"/>
  <c r="BC330" i="76"/>
  <c r="BC304" i="76"/>
  <c r="BC68" i="76"/>
  <c r="BC315" i="76"/>
  <c r="BC311" i="76"/>
  <c r="BC310" i="76"/>
  <c r="BC317" i="76"/>
  <c r="BC322" i="76"/>
  <c r="BC309" i="76"/>
  <c r="BC307" i="76"/>
  <c r="BC313" i="76"/>
  <c r="BC65" i="76"/>
  <c r="BC308" i="76"/>
  <c r="T31" i="76"/>
  <c r="T233" i="76" s="1"/>
  <c r="AW257" i="76"/>
  <c r="BG258" i="76"/>
  <c r="AU30" i="76"/>
  <c r="AU317" i="76"/>
  <c r="AU310" i="76"/>
  <c r="AU309" i="76"/>
  <c r="AU322" i="76"/>
  <c r="AU68" i="76"/>
  <c r="V310" i="72"/>
  <c r="Q65" i="73"/>
  <c r="BF68" i="73"/>
  <c r="T330" i="73"/>
  <c r="BD322" i="74"/>
  <c r="AH311" i="74"/>
  <c r="AH310" i="74"/>
  <c r="W307" i="74"/>
  <c r="O64" i="74"/>
  <c r="AG307" i="74"/>
  <c r="AG311" i="74"/>
  <c r="BB304" i="74"/>
  <c r="AZ317" i="74"/>
  <c r="P306" i="74"/>
  <c r="P330" i="74"/>
  <c r="AI330" i="74"/>
  <c r="AB54" i="74"/>
  <c r="AU304" i="75"/>
  <c r="AU309" i="75"/>
  <c r="AU337" i="75"/>
  <c r="AU339" i="75" s="1" a="1"/>
  <c r="AU339" i="75" s="1"/>
  <c r="BG309" i="75"/>
  <c r="BE310" i="75"/>
  <c r="AA65" i="75"/>
  <c r="AA308" i="75"/>
  <c r="AA309" i="75"/>
  <c r="P65" i="75"/>
  <c r="P313" i="75"/>
  <c r="BD340" i="75"/>
  <c r="AS313" i="75"/>
  <c r="AS309" i="75"/>
  <c r="AR311" i="75"/>
  <c r="V64" i="75"/>
  <c r="AN307" i="75"/>
  <c r="AE309" i="75"/>
  <c r="AC141" i="76"/>
  <c r="AC242" i="76" s="1"/>
  <c r="BA141" i="76"/>
  <c r="BA242" i="76" s="1"/>
  <c r="BE311" i="76"/>
  <c r="BE309" i="76"/>
  <c r="BE310" i="76"/>
  <c r="BE322" i="76"/>
  <c r="BE315" i="76"/>
  <c r="BE30" i="76"/>
  <c r="BE330" i="76"/>
  <c r="BE308" i="76"/>
  <c r="BE306" i="76"/>
  <c r="AQ78" i="76"/>
  <c r="AK285" i="76"/>
  <c r="BF66" i="76"/>
  <c r="AU315" i="76"/>
  <c r="AM68" i="76"/>
  <c r="AA66" i="76"/>
  <c r="T337" i="76"/>
  <c r="T64" i="76"/>
  <c r="T54" i="76"/>
  <c r="T340" i="76"/>
  <c r="T329" i="76"/>
  <c r="T324" i="76" a="1"/>
  <c r="T324" i="76" s="1"/>
  <c r="BC368" i="76"/>
  <c r="BC61" i="76"/>
  <c r="BC63" i="76"/>
  <c r="BC25" i="76"/>
  <c r="BC24" i="76"/>
  <c r="BC66" i="76"/>
  <c r="AZ31" i="76"/>
  <c r="M69" i="76"/>
  <c r="J69" i="76" s="1"/>
  <c r="P368" i="76"/>
  <c r="P63" i="76"/>
  <c r="P25" i="76"/>
  <c r="P24" i="76"/>
  <c r="P61" i="76"/>
  <c r="AT309" i="76"/>
  <c r="AI65" i="76"/>
  <c r="AI304" i="76"/>
  <c r="AI306" i="76"/>
  <c r="AA331" i="76"/>
  <c r="AA326" i="76" a="1"/>
  <c r="AA326" i="76" s="1"/>
  <c r="AA325" i="76" a="1"/>
  <c r="AA325" i="76" s="1"/>
  <c r="AT65" i="76"/>
  <c r="AC352" i="76"/>
  <c r="AB352" i="76"/>
  <c r="AI352" i="76"/>
  <c r="AA352" i="76"/>
  <c r="AH352" i="76"/>
  <c r="AG352" i="76"/>
  <c r="AF352" i="76"/>
  <c r="AE352" i="76"/>
  <c r="AD352" i="76"/>
  <c r="AC289" i="76"/>
  <c r="AB289" i="76"/>
  <c r="AI289" i="76"/>
  <c r="AA289" i="76"/>
  <c r="AH289" i="76"/>
  <c r="AG289" i="76"/>
  <c r="AF289" i="76"/>
  <c r="AE289" i="76"/>
  <c r="AD289" i="76"/>
  <c r="AH178" i="76"/>
  <c r="AH192" i="76"/>
  <c r="Y192" i="76" s="1"/>
  <c r="Y282" i="76"/>
  <c r="BD368" i="76"/>
  <c r="BD63" i="76"/>
  <c r="BD61" i="76"/>
  <c r="BD24" i="76"/>
  <c r="BD68" i="76"/>
  <c r="BD25" i="76"/>
  <c r="BD331" i="76"/>
  <c r="BD326" i="76" a="1"/>
  <c r="BD326" i="76" s="1"/>
  <c r="BD325" i="76" a="1"/>
  <c r="BD325" i="76" s="1"/>
  <c r="AS65" i="76"/>
  <c r="AS310" i="76"/>
  <c r="AH315" i="76"/>
  <c r="AH308" i="76"/>
  <c r="AD62" i="76"/>
  <c r="U54" i="76"/>
  <c r="AR368" i="76"/>
  <c r="AR61" i="76"/>
  <c r="AR63" i="76"/>
  <c r="AR25" i="76"/>
  <c r="AR24" i="76"/>
  <c r="AR68" i="76"/>
  <c r="AG304" i="76"/>
  <c r="AO54" i="76"/>
  <c r="AO55" i="76"/>
  <c r="M367" i="76"/>
  <c r="BB64" i="76"/>
  <c r="AQ68" i="76"/>
  <c r="AQ304" i="76"/>
  <c r="AQ307" i="76"/>
  <c r="AQ313" i="76"/>
  <c r="AF337" i="76"/>
  <c r="AQ54" i="76"/>
  <c r="S31" i="76"/>
  <c r="S234" i="76" s="1"/>
  <c r="AE368" i="76"/>
  <c r="AE63" i="76"/>
  <c r="AE61" i="76"/>
  <c r="AE25" i="76"/>
  <c r="AE24" i="76"/>
  <c r="BA309" i="76"/>
  <c r="BA311" i="76"/>
  <c r="BA329" i="76"/>
  <c r="AP322" i="76"/>
  <c r="AP337" i="76" s="1"/>
  <c r="AD54" i="76"/>
  <c r="AO311" i="76"/>
  <c r="AO329" i="76"/>
  <c r="AD324" i="76" a="1"/>
  <c r="AD324" i="76" s="1"/>
  <c r="BG54" i="76"/>
  <c r="BG308" i="76"/>
  <c r="BG306" i="76"/>
  <c r="BG330" i="76"/>
  <c r="AY54" i="76"/>
  <c r="AN62" i="76"/>
  <c r="AN304" i="76"/>
  <c r="AC315" i="76"/>
  <c r="AC304" i="76"/>
  <c r="R304" i="76"/>
  <c r="R322" i="76"/>
  <c r="R317" i="76"/>
  <c r="AS368" i="76"/>
  <c r="AS63" i="76"/>
  <c r="AS25" i="76"/>
  <c r="AS24" i="76"/>
  <c r="AS61" i="76"/>
  <c r="AG368" i="76"/>
  <c r="AG61" i="76"/>
  <c r="AG63" i="76"/>
  <c r="AG25" i="76"/>
  <c r="AG24" i="76"/>
  <c r="AF54" i="76"/>
  <c r="Y52" i="76"/>
  <c r="M284" i="76"/>
  <c r="BB324" i="76" a="1"/>
  <c r="BB324" i="76" s="1"/>
  <c r="AQ309" i="76"/>
  <c r="U64" i="76"/>
  <c r="AE54" i="76"/>
  <c r="T368" i="76"/>
  <c r="T63" i="76"/>
  <c r="T61" i="76"/>
  <c r="T25" i="76"/>
  <c r="T24" i="76"/>
  <c r="BA326" i="76" a="1"/>
  <c r="BA326" i="76" s="1"/>
  <c r="BA325" i="76" a="1"/>
  <c r="BA325" i="76" s="1"/>
  <c r="BA331" i="76"/>
  <c r="AP315" i="76"/>
  <c r="AE324" i="76" a="1"/>
  <c r="AE324" i="76" s="1"/>
  <c r="T66" i="76"/>
  <c r="BD66" i="76"/>
  <c r="AC31" i="76"/>
  <c r="BE78" i="76"/>
  <c r="AW282" i="76"/>
  <c r="AW317" i="76"/>
  <c r="BA93" i="76"/>
  <c r="BA95" i="76" s="1"/>
  <c r="AY93" i="76"/>
  <c r="AY95" i="76" s="1"/>
  <c r="BB27" i="76"/>
  <c r="BC27" i="76"/>
  <c r="BA27" i="76"/>
  <c r="AZ27" i="76"/>
  <c r="AY4" i="76"/>
  <c r="BG27" i="76"/>
  <c r="AY27" i="76"/>
  <c r="BF27" i="76"/>
  <c r="AY5" i="76"/>
  <c r="BE27" i="76"/>
  <c r="BD27" i="76"/>
  <c r="BD229" i="76" s="1"/>
  <c r="BD13" i="76" s="1"/>
  <c r="AY3" i="76"/>
  <c r="AY8" i="76"/>
  <c r="AT30" i="76"/>
  <c r="R31" i="76"/>
  <c r="R234" i="76" s="1"/>
  <c r="AY315" i="76"/>
  <c r="AN313" i="76"/>
  <c r="AC311" i="76"/>
  <c r="AC308" i="76"/>
  <c r="R309" i="76"/>
  <c r="AT307" i="76"/>
  <c r="AT330" i="76"/>
  <c r="P331" i="76"/>
  <c r="P325" i="76" a="1"/>
  <c r="P325" i="76" s="1"/>
  <c r="P326" i="76" a="1"/>
  <c r="P326" i="76" s="1"/>
  <c r="AB31" i="76"/>
  <c r="AG31" i="76"/>
  <c r="AG234" i="76" s="1"/>
  <c r="Y186" i="76"/>
  <c r="AI188" i="76"/>
  <c r="AH368" i="76"/>
  <c r="AH63" i="76"/>
  <c r="AH25" i="76"/>
  <c r="AH61" i="76"/>
  <c r="AH24" i="76"/>
  <c r="AS66" i="76"/>
  <c r="O331" i="76"/>
  <c r="O326" i="76" a="1"/>
  <c r="O326" i="76" s="1"/>
  <c r="O325" i="76" a="1"/>
  <c r="O325" i="76" s="1"/>
  <c r="Y29" i="76"/>
  <c r="V368" i="76"/>
  <c r="V61" i="76"/>
  <c r="V63" i="76"/>
  <c r="V25" i="76"/>
  <c r="V24" i="76"/>
  <c r="AG326" i="76" a="1"/>
  <c r="AG326" i="76" s="1"/>
  <c r="AG325" i="76" a="1"/>
  <c r="AG325" i="76" s="1"/>
  <c r="AG331" i="76"/>
  <c r="V337" i="76"/>
  <c r="M285" i="76"/>
  <c r="BB368" i="76"/>
  <c r="BB61" i="76"/>
  <c r="BB25" i="76"/>
  <c r="BB24" i="76"/>
  <c r="BB66" i="76"/>
  <c r="BB63" i="76"/>
  <c r="BB329" i="76"/>
  <c r="AQ62" i="76"/>
  <c r="AQ311" i="76"/>
  <c r="AF55" i="76"/>
  <c r="AF331" i="76"/>
  <c r="AF326" i="76" a="1"/>
  <c r="AF326" i="76" s="1"/>
  <c r="AF325" i="76" a="1"/>
  <c r="AF325" i="76" s="1"/>
  <c r="U55" i="76"/>
  <c r="U324" i="76" a="1"/>
  <c r="U324" i="76" s="1"/>
  <c r="S54" i="76"/>
  <c r="M29" i="76"/>
  <c r="BA64" i="76"/>
  <c r="AP306" i="76"/>
  <c r="AP324" i="76" a="1"/>
  <c r="AP324" i="76" s="1"/>
  <c r="AE331" i="76"/>
  <c r="AE326" i="76" a="1"/>
  <c r="AE326" i="76" s="1"/>
  <c r="AE325" i="76" a="1"/>
  <c r="AE325" i="76" s="1"/>
  <c r="AE337" i="76"/>
  <c r="BE352" i="76"/>
  <c r="BF352" i="76"/>
  <c r="BD352" i="76"/>
  <c r="BC352" i="76"/>
  <c r="BB352" i="76"/>
  <c r="BA352" i="76"/>
  <c r="AZ352" i="76"/>
  <c r="BG352" i="76"/>
  <c r="AY352" i="76"/>
  <c r="BE289" i="76"/>
  <c r="BD289" i="76"/>
  <c r="BC289" i="76"/>
  <c r="BA289" i="76"/>
  <c r="AZ289" i="76"/>
  <c r="AY289" i="76"/>
  <c r="BG289" i="76"/>
  <c r="BF289" i="76"/>
  <c r="BB289" i="76"/>
  <c r="BF192" i="76"/>
  <c r="AW192" i="76" s="1"/>
  <c r="AO317" i="76"/>
  <c r="AO322" i="76"/>
  <c r="AO337" i="76" s="1"/>
  <c r="AD340" i="76"/>
  <c r="BF31" i="76"/>
  <c r="BF234" i="76" s="1"/>
  <c r="AY368" i="76"/>
  <c r="AW195" i="76" a="1"/>
  <c r="AW195" i="76" s="1"/>
  <c r="AW194" i="76"/>
  <c r="AY61" i="76"/>
  <c r="AY63" i="76"/>
  <c r="AY25" i="76"/>
  <c r="AY24" i="76"/>
  <c r="BG331" i="76"/>
  <c r="BG326" i="76" a="1"/>
  <c r="BG326" i="76" s="1"/>
  <c r="BG325" i="76" a="1"/>
  <c r="BG325" i="76" s="1"/>
  <c r="AW52" i="76"/>
  <c r="AY308" i="76"/>
  <c r="AY322" i="76"/>
  <c r="AY340" i="76" s="1"/>
  <c r="AY330" i="76"/>
  <c r="AN322" i="76"/>
  <c r="AN324" i="76" s="1" a="1"/>
  <c r="AN324" i="76" s="1"/>
  <c r="AC313" i="76"/>
  <c r="R310" i="76"/>
  <c r="AK282" i="76"/>
  <c r="AU368" i="76"/>
  <c r="AU63" i="76"/>
  <c r="AU61" i="76"/>
  <c r="AU25" i="76"/>
  <c r="AU24" i="76"/>
  <c r="BF331" i="76"/>
  <c r="BF326" i="76" a="1"/>
  <c r="BF326" i="76" s="1"/>
  <c r="BF325" i="76" a="1"/>
  <c r="BF325" i="76" s="1"/>
  <c r="AT181" i="76"/>
  <c r="AT12" i="76" s="1"/>
  <c r="AT304" i="76"/>
  <c r="AI310" i="76"/>
  <c r="AI330" i="76"/>
  <c r="AI337" i="76"/>
  <c r="AT68" i="76"/>
  <c r="AK52" i="76"/>
  <c r="V31" i="76"/>
  <c r="V234" i="76" s="1"/>
  <c r="W368" i="76"/>
  <c r="W63" i="76"/>
  <c r="W25" i="76"/>
  <c r="W24" i="76"/>
  <c r="W61" i="76"/>
  <c r="AS306" i="76"/>
  <c r="AH309" i="76"/>
  <c r="AH310" i="76"/>
  <c r="W331" i="76"/>
  <c r="W326" i="76" a="1"/>
  <c r="W326" i="76" s="1"/>
  <c r="W325" i="76" a="1"/>
  <c r="W325" i="76" s="1"/>
  <c r="AF31" i="76"/>
  <c r="AF233" i="76" s="1"/>
  <c r="AR310" i="76"/>
  <c r="V324" i="76" a="1"/>
  <c r="V324" i="76" s="1"/>
  <c r="W257" i="76"/>
  <c r="J73" i="76"/>
  <c r="AQ368" i="76"/>
  <c r="AQ63" i="76"/>
  <c r="AQ25" i="76"/>
  <c r="AQ24" i="76"/>
  <c r="AQ61" i="76"/>
  <c r="AQ65" i="76"/>
  <c r="AQ330" i="76"/>
  <c r="U62" i="76"/>
  <c r="U340" i="76"/>
  <c r="AH66" i="76"/>
  <c r="BA68" i="76"/>
  <c r="BA337" i="76"/>
  <c r="BA315" i="76"/>
  <c r="AP310" i="76"/>
  <c r="AP329" i="76"/>
  <c r="AE64" i="76"/>
  <c r="AE340" i="76"/>
  <c r="AZ368" i="76"/>
  <c r="AZ63" i="76"/>
  <c r="AZ61" i="76"/>
  <c r="AZ25" i="76"/>
  <c r="AZ24" i="76"/>
  <c r="AO64" i="76"/>
  <c r="AO309" i="76"/>
  <c r="S340" i="76"/>
  <c r="BG329" i="76"/>
  <c r="AY64" i="76"/>
  <c r="AN64" i="76"/>
  <c r="AC68" i="76"/>
  <c r="AC306" i="76"/>
  <c r="AC309" i="76"/>
  <c r="R306" i="76"/>
  <c r="AG30" i="76"/>
  <c r="AC26" i="76"/>
  <c r="AC334" i="76" s="1"/>
  <c r="BE368" i="76"/>
  <c r="BE63" i="76"/>
  <c r="BE61" i="76"/>
  <c r="BE24" i="76"/>
  <c r="BE25" i="76"/>
  <c r="AT315" i="76"/>
  <c r="AG78" i="76"/>
  <c r="Y284" i="76"/>
  <c r="O368" i="76"/>
  <c r="M194" i="76"/>
  <c r="M195" i="76" a="1"/>
  <c r="M195" i="76" s="1"/>
  <c r="O63" i="76"/>
  <c r="O25" i="76"/>
  <c r="O24" i="76"/>
  <c r="O61" i="76"/>
  <c r="AS331" i="76"/>
  <c r="AS326" i="76" a="1"/>
  <c r="AS326" i="76" s="1"/>
  <c r="AS325" i="76" a="1"/>
  <c r="AS325" i="76" s="1"/>
  <c r="AH68" i="76"/>
  <c r="AH322" i="76"/>
  <c r="O68" i="76"/>
  <c r="M68" i="76" s="1"/>
  <c r="P66" i="76"/>
  <c r="U31" i="76"/>
  <c r="U234" i="76" s="1"/>
  <c r="Y317" i="76"/>
  <c r="AC93" i="76"/>
  <c r="AC95" i="76" s="1"/>
  <c r="AA93" i="76"/>
  <c r="AA95" i="76" s="1"/>
  <c r="AH27" i="76"/>
  <c r="AA3" i="76"/>
  <c r="AA27" i="76"/>
  <c r="AG27" i="76"/>
  <c r="AA8" i="76"/>
  <c r="AF27" i="76"/>
  <c r="AF229" i="76" s="1"/>
  <c r="AF13" i="76" s="1"/>
  <c r="AE27" i="76"/>
  <c r="AD27" i="76"/>
  <c r="AA4" i="76"/>
  <c r="AC27" i="76"/>
  <c r="AI27" i="76"/>
  <c r="AB27" i="76"/>
  <c r="AA5" i="76"/>
  <c r="AG66" i="76"/>
  <c r="S352" i="76"/>
  <c r="R352" i="76"/>
  <c r="Q352" i="76"/>
  <c r="P352" i="76"/>
  <c r="W352" i="76"/>
  <c r="O352" i="76"/>
  <c r="V352" i="76"/>
  <c r="U352" i="76"/>
  <c r="T352" i="76"/>
  <c r="S289" i="76"/>
  <c r="R289" i="76"/>
  <c r="Q289" i="76"/>
  <c r="V289" i="76"/>
  <c r="U289" i="76"/>
  <c r="T289" i="76"/>
  <c r="P289" i="76"/>
  <c r="O289" i="76"/>
  <c r="V178" i="76"/>
  <c r="W289" i="76"/>
  <c r="V192" i="76"/>
  <c r="M192" i="76" s="1"/>
  <c r="M67" i="76"/>
  <c r="S78" i="76"/>
  <c r="AF368" i="76"/>
  <c r="AF61" i="76"/>
  <c r="AF25" i="76"/>
  <c r="AF24" i="76"/>
  <c r="AF63" i="76"/>
  <c r="BB337" i="76"/>
  <c r="AQ322" i="76"/>
  <c r="AQ337" i="76" s="1"/>
  <c r="AQ315" i="76"/>
  <c r="AQ317" i="76"/>
  <c r="AF340" i="76"/>
  <c r="U331" i="76"/>
  <c r="U326" i="76" a="1"/>
  <c r="U326" i="76" s="1"/>
  <c r="U325" i="76" a="1"/>
  <c r="U325" i="76" s="1"/>
  <c r="U329" i="76"/>
  <c r="BA304" i="76"/>
  <c r="BA317" i="76"/>
  <c r="AP307" i="76"/>
  <c r="AP340" i="76"/>
  <c r="AE62" i="76"/>
  <c r="AH65" i="76"/>
  <c r="AW186" i="76"/>
  <c r="BG188" i="76"/>
  <c r="AW284" i="76"/>
  <c r="AO368" i="76"/>
  <c r="AO61" i="76"/>
  <c r="AO63" i="76"/>
  <c r="AO25" i="76"/>
  <c r="AO24" i="76"/>
  <c r="AO68" i="76"/>
  <c r="AO308" i="76"/>
  <c r="AO315" i="76"/>
  <c r="AO330" i="76"/>
  <c r="AD329" i="76"/>
  <c r="BG64" i="76"/>
  <c r="AY68" i="76"/>
  <c r="AY311" i="76"/>
  <c r="AY317" i="76"/>
  <c r="AN65" i="76"/>
  <c r="AN310" i="76"/>
  <c r="AN315" i="76"/>
  <c r="R307" i="76"/>
  <c r="AT368" i="76"/>
  <c r="AT63" i="76"/>
  <c r="AT24" i="76"/>
  <c r="AT25" i="76"/>
  <c r="AT61" i="76"/>
  <c r="AT311" i="76"/>
  <c r="AI331" i="76"/>
  <c r="AI325" i="76" a="1"/>
  <c r="AI325" i="76" s="1"/>
  <c r="AI326" i="76" a="1"/>
  <c r="AI326" i="76" s="1"/>
  <c r="AH311" i="76"/>
  <c r="AR331" i="76"/>
  <c r="V326" i="76" a="1"/>
  <c r="V326" i="76" s="1"/>
  <c r="V325" i="76" a="1"/>
  <c r="V325" i="76" s="1"/>
  <c r="V331" i="76"/>
  <c r="M186" i="76"/>
  <c r="W188" i="76"/>
  <c r="U368" i="76"/>
  <c r="U61" i="76"/>
  <c r="U63" i="76"/>
  <c r="U25" i="76"/>
  <c r="U24" i="76"/>
  <c r="BB340" i="76"/>
  <c r="AQ306" i="76"/>
  <c r="AF324" i="76" a="1"/>
  <c r="AF324" i="76" s="1"/>
  <c r="BA62" i="76"/>
  <c r="BA340" i="76"/>
  <c r="AP304" i="76"/>
  <c r="AD55" i="76"/>
  <c r="AD368" i="76"/>
  <c r="AD61" i="76"/>
  <c r="AD25" i="76"/>
  <c r="AD26" i="76" s="1"/>
  <c r="AD334" i="76" s="1"/>
  <c r="AD24" i="76"/>
  <c r="AD63" i="76"/>
  <c r="AO62" i="76"/>
  <c r="AO313" i="76"/>
  <c r="AD331" i="76"/>
  <c r="AD326" i="76" a="1"/>
  <c r="AD326" i="76" s="1"/>
  <c r="AD325" i="76" a="1"/>
  <c r="AD325" i="76" s="1"/>
  <c r="S64" i="76"/>
  <c r="Q30" i="76"/>
  <c r="BG62" i="76"/>
  <c r="BG337" i="76"/>
  <c r="AY65" i="76"/>
  <c r="AY304" i="76"/>
  <c r="AN306" i="76"/>
  <c r="AC322" i="76"/>
  <c r="AC340" i="76" s="1"/>
  <c r="R65" i="76"/>
  <c r="R330" i="76"/>
  <c r="R315" i="76"/>
  <c r="AC30" i="76"/>
  <c r="AE31" i="76"/>
  <c r="AE234" i="76" s="1"/>
  <c r="AF329" i="76"/>
  <c r="BA368" i="76"/>
  <c r="BA63" i="76"/>
  <c r="BA61" i="76"/>
  <c r="BA25" i="76"/>
  <c r="BA24" i="76"/>
  <c r="AP62" i="76"/>
  <c r="AW367" i="76"/>
  <c r="S368" i="76"/>
  <c r="S61" i="76"/>
  <c r="S24" i="76"/>
  <c r="S63" i="76"/>
  <c r="S25" i="76"/>
  <c r="AD337" i="76"/>
  <c r="AC65" i="76"/>
  <c r="Q31" i="76"/>
  <c r="AF68" i="76"/>
  <c r="BF307" i="72"/>
  <c r="BD55" i="72"/>
  <c r="V64" i="72"/>
  <c r="AR55" i="72"/>
  <c r="W310" i="74"/>
  <c r="W330" i="74"/>
  <c r="U311" i="74"/>
  <c r="U313" i="74"/>
  <c r="P234" i="75"/>
  <c r="AP311" i="74"/>
  <c r="T329" i="74"/>
  <c r="AO324" i="74" a="1"/>
  <c r="AO324" i="74" s="1"/>
  <c r="AD54" i="74"/>
  <c r="AD310" i="74"/>
  <c r="AD315" i="74"/>
  <c r="AD330" i="74"/>
  <c r="P64" i="74"/>
  <c r="P329" i="74"/>
  <c r="BG322" i="74"/>
  <c r="AI308" i="74"/>
  <c r="AM324" i="74" a="1"/>
  <c r="AM324" i="74" s="1"/>
  <c r="Q64" i="74"/>
  <c r="AT62" i="74"/>
  <c r="AT317" i="74"/>
  <c r="AT315" i="74"/>
  <c r="AT330" i="74"/>
  <c r="BF349" i="75"/>
  <c r="Q62" i="75"/>
  <c r="Q54" i="75"/>
  <c r="Q64" i="75"/>
  <c r="Q55" i="75"/>
  <c r="AH340" i="75"/>
  <c r="U55" i="75"/>
  <c r="U64" i="75"/>
  <c r="U329" i="75"/>
  <c r="U54" i="75"/>
  <c r="R65" i="72"/>
  <c r="AC307" i="72"/>
  <c r="AC322" i="72"/>
  <c r="AC337" i="72" s="1"/>
  <c r="BC304" i="72"/>
  <c r="BC306" i="72"/>
  <c r="BC317" i="72"/>
  <c r="AR62" i="72"/>
  <c r="AQ306" i="72"/>
  <c r="AT62" i="73"/>
  <c r="BD31" i="73"/>
  <c r="BD233" i="73" s="1"/>
  <c r="BA31" i="74"/>
  <c r="BA235" i="74" s="1"/>
  <c r="BF31" i="74"/>
  <c r="BF234" i="74" s="1"/>
  <c r="W31" i="74"/>
  <c r="W234" i="74" s="1"/>
  <c r="AS324" i="74" a="1"/>
  <c r="AS324" i="74" s="1"/>
  <c r="W55" i="74"/>
  <c r="AG64" i="74"/>
  <c r="U68" i="74"/>
  <c r="U304" i="74"/>
  <c r="AP65" i="74"/>
  <c r="T322" i="74"/>
  <c r="T340" i="74" s="1"/>
  <c r="BC78" i="74"/>
  <c r="AC324" i="74" a="1"/>
  <c r="AC324" i="74" s="1"/>
  <c r="R62" i="74"/>
  <c r="AA54" i="74"/>
  <c r="BA141" i="75"/>
  <c r="BA242" i="75" s="1"/>
  <c r="BE352" i="75"/>
  <c r="BG352" i="75"/>
  <c r="BF352" i="75"/>
  <c r="BD352" i="75"/>
  <c r="BC352" i="75"/>
  <c r="BB352" i="75"/>
  <c r="AZ352" i="75"/>
  <c r="AY352" i="75"/>
  <c r="BA352" i="75"/>
  <c r="BD289" i="75"/>
  <c r="BB289" i="75"/>
  <c r="AZ289" i="75"/>
  <c r="BF289" i="75"/>
  <c r="BG289" i="75"/>
  <c r="BE289" i="75"/>
  <c r="BC289" i="75"/>
  <c r="BA289" i="75"/>
  <c r="AY289" i="75"/>
  <c r="BF192" i="75"/>
  <c r="AW192" i="75" s="1"/>
  <c r="AO368" i="75"/>
  <c r="AO25" i="75"/>
  <c r="AO63" i="75"/>
  <c r="AO24" i="75"/>
  <c r="AO61" i="75"/>
  <c r="AO66" i="75"/>
  <c r="AH331" i="75"/>
  <c r="AH326" i="75" a="1"/>
  <c r="AH326" i="75" s="1"/>
  <c r="AH325" i="75" a="1"/>
  <c r="AH325" i="75" s="1"/>
  <c r="AC306" i="72"/>
  <c r="R68" i="72"/>
  <c r="BC310" i="72"/>
  <c r="BC322" i="72"/>
  <c r="BC337" i="72" s="1"/>
  <c r="BF68" i="72"/>
  <c r="AT310" i="72"/>
  <c r="AS62" i="73"/>
  <c r="BF310" i="73"/>
  <c r="AE64" i="73"/>
  <c r="BD64" i="73"/>
  <c r="T31" i="74"/>
  <c r="T233" i="74" s="1"/>
  <c r="O31" i="74"/>
  <c r="AD30" i="74"/>
  <c r="BD330" i="74"/>
  <c r="AS337" i="74"/>
  <c r="AH304" i="74"/>
  <c r="W62" i="74"/>
  <c r="BE62" i="74"/>
  <c r="BC55" i="74"/>
  <c r="BC54" i="74"/>
  <c r="AG315" i="74"/>
  <c r="V315" i="74"/>
  <c r="BB68" i="74"/>
  <c r="BB324" i="74" a="1"/>
  <c r="BB324" i="74" s="1"/>
  <c r="BB330" i="74"/>
  <c r="AQ315" i="74"/>
  <c r="AP322" i="74"/>
  <c r="AP340" i="74" s="1"/>
  <c r="AE68" i="74"/>
  <c r="AD306" i="74"/>
  <c r="AD317" i="74"/>
  <c r="S54" i="74"/>
  <c r="S329" i="74"/>
  <c r="AC64" i="74"/>
  <c r="AC337" i="74"/>
  <c r="AC339" i="74" s="1" a="1"/>
  <c r="AC339" i="74" s="1"/>
  <c r="AC340" i="74"/>
  <c r="R65" i="74"/>
  <c r="AM64" i="74"/>
  <c r="AT308" i="74"/>
  <c r="AT349" i="75"/>
  <c r="AS349" i="75"/>
  <c r="AR349" i="75"/>
  <c r="AQ349" i="75"/>
  <c r="AN349" i="75"/>
  <c r="AU349" i="75"/>
  <c r="AM349" i="75"/>
  <c r="AP349" i="75"/>
  <c r="AO349" i="75"/>
  <c r="AQ169" i="75"/>
  <c r="AQ181" i="75" s="1"/>
  <c r="AQ12" i="75" s="1"/>
  <c r="AS286" i="75"/>
  <c r="AS369" i="75"/>
  <c r="AT286" i="75"/>
  <c r="AN286" i="75"/>
  <c r="AP369" i="75"/>
  <c r="AQ369" i="75"/>
  <c r="AO369" i="75"/>
  <c r="AT369" i="75"/>
  <c r="AR369" i="75"/>
  <c r="AR286" i="75"/>
  <c r="BB288" i="75"/>
  <c r="AU369" i="75"/>
  <c r="AQ286" i="75"/>
  <c r="AC30" i="75"/>
  <c r="AC311" i="75"/>
  <c r="AC317" i="75"/>
  <c r="AC306" i="75"/>
  <c r="AC308" i="75"/>
  <c r="AC310" i="75"/>
  <c r="AG31" i="75"/>
  <c r="AG234" i="75" s="1"/>
  <c r="AC322" i="75"/>
  <c r="AC315" i="75"/>
  <c r="AC309" i="75"/>
  <c r="AC330" i="75"/>
  <c r="AC68" i="75"/>
  <c r="AC65" i="75"/>
  <c r="AH31" i="75"/>
  <c r="AH234" i="75" s="1"/>
  <c r="AC307" i="75"/>
  <c r="AC313" i="75"/>
  <c r="AD31" i="75"/>
  <c r="AD234" i="75" s="1"/>
  <c r="AN369" i="75"/>
  <c r="AR331" i="75"/>
  <c r="AR326" i="75" a="1"/>
  <c r="AR326" i="75" s="1"/>
  <c r="AR325" i="75" a="1"/>
  <c r="AR325" i="75" s="1"/>
  <c r="BB308" i="75"/>
  <c r="AY329" i="72"/>
  <c r="V62" i="72"/>
  <c r="AC304" i="72"/>
  <c r="BC315" i="72"/>
  <c r="BF306" i="72"/>
  <c r="BF330" i="72"/>
  <c r="V55" i="72"/>
  <c r="U30" i="73"/>
  <c r="Q308" i="73"/>
  <c r="Q311" i="73"/>
  <c r="AT68" i="73"/>
  <c r="AZ68" i="73"/>
  <c r="AZ307" i="73"/>
  <c r="AZ322" i="73"/>
  <c r="AZ326" i="73" s="1" a="1"/>
  <c r="AZ326" i="73" s="1"/>
  <c r="AD310" i="73"/>
  <c r="AZ31" i="74"/>
  <c r="AZ235" i="74" s="1"/>
  <c r="AW367" i="74"/>
  <c r="AR31" i="74"/>
  <c r="AR233" i="74" s="1"/>
  <c r="BD309" i="74"/>
  <c r="AS340" i="74"/>
  <c r="W65" i="74"/>
  <c r="W315" i="74"/>
  <c r="W311" i="74"/>
  <c r="BE55" i="74"/>
  <c r="BE329" i="74"/>
  <c r="BC64" i="74"/>
  <c r="AG62" i="74"/>
  <c r="AG54" i="74"/>
  <c r="V62" i="74"/>
  <c r="BB306" i="74"/>
  <c r="AQ309" i="74"/>
  <c r="AQ322" i="74"/>
  <c r="AQ326" i="74" s="1" a="1"/>
  <c r="AQ326" i="74" s="1"/>
  <c r="T64" i="74"/>
  <c r="AA307" i="74"/>
  <c r="AD68" i="74"/>
  <c r="AD308" i="74"/>
  <c r="AD309" i="74"/>
  <c r="BG68" i="74"/>
  <c r="Q54" i="74"/>
  <c r="Q329" i="74"/>
  <c r="AT55" i="74"/>
  <c r="AW284" i="75"/>
  <c r="AM369" i="75"/>
  <c r="AW257" i="75"/>
  <c r="BG258" i="75"/>
  <c r="AB337" i="75"/>
  <c r="AB54" i="75"/>
  <c r="AB62" i="75"/>
  <c r="AB329" i="75"/>
  <c r="AB324" i="75" a="1"/>
  <c r="AB324" i="75" s="1"/>
  <c r="AB55" i="75"/>
  <c r="AB64" i="75"/>
  <c r="AK195" i="75" a="1"/>
  <c r="AK195" i="75" s="1"/>
  <c r="V368" i="75"/>
  <c r="V63" i="75"/>
  <c r="V25" i="75"/>
  <c r="V24" i="75"/>
  <c r="V61" i="75"/>
  <c r="V66" i="75"/>
  <c r="R78" i="75" s="1"/>
  <c r="V68" i="75"/>
  <c r="R30" i="72"/>
  <c r="AC310" i="72"/>
  <c r="AC315" i="72"/>
  <c r="AC311" i="72"/>
  <c r="BC308" i="72"/>
  <c r="BC330" i="72"/>
  <c r="AR54" i="72"/>
  <c r="AB55" i="73"/>
  <c r="BC54" i="73"/>
  <c r="BC55" i="73"/>
  <c r="AR62" i="73"/>
  <c r="BB31" i="74"/>
  <c r="BB234" i="74" s="1"/>
  <c r="BG31" i="74"/>
  <c r="BG234" i="74" s="1"/>
  <c r="BE78" i="74"/>
  <c r="BF351" i="74" s="1"/>
  <c r="BE31" i="74"/>
  <c r="BE234" i="74" s="1"/>
  <c r="AN30" i="74"/>
  <c r="W304" i="74"/>
  <c r="W322" i="74"/>
  <c r="W340" i="74" s="1"/>
  <c r="U315" i="74"/>
  <c r="AA68" i="74"/>
  <c r="AD322" i="74"/>
  <c r="AD337" i="74" s="1"/>
  <c r="AD336" i="74" s="1"/>
  <c r="S55" i="74"/>
  <c r="AK284" i="75"/>
  <c r="AK69" i="75"/>
  <c r="P368" i="75"/>
  <c r="P61" i="75"/>
  <c r="P63" i="75"/>
  <c r="P25" i="75"/>
  <c r="P24" i="75"/>
  <c r="P66" i="75"/>
  <c r="AC324" i="75" a="1"/>
  <c r="AC324" i="75" s="1"/>
  <c r="R30" i="75"/>
  <c r="R306" i="75"/>
  <c r="R313" i="75"/>
  <c r="R310" i="75"/>
  <c r="R311" i="75"/>
  <c r="R322" i="75"/>
  <c r="R340" i="75" s="1"/>
  <c r="R308" i="75"/>
  <c r="R330" i="75"/>
  <c r="R315" i="75"/>
  <c r="R68" i="75"/>
  <c r="R65" i="75"/>
  <c r="S31" i="75"/>
  <c r="S234" i="75" s="1"/>
  <c r="R309" i="75"/>
  <c r="R304" i="75"/>
  <c r="BC62" i="74"/>
  <c r="AY306" i="72"/>
  <c r="AY309" i="72"/>
  <c r="BC311" i="72"/>
  <c r="AU62" i="73"/>
  <c r="Q304" i="73"/>
  <c r="Q315" i="73"/>
  <c r="AT306" i="73"/>
  <c r="AA64" i="73"/>
  <c r="O68" i="73"/>
  <c r="BC64" i="73"/>
  <c r="U31" i="74"/>
  <c r="U234" i="74" s="1"/>
  <c r="S78" i="74"/>
  <c r="T349" i="74" s="1"/>
  <c r="AY31" i="74"/>
  <c r="AW29" i="74"/>
  <c r="AW234" i="74" s="1"/>
  <c r="BD340" i="74"/>
  <c r="BD307" i="74"/>
  <c r="AS64" i="74"/>
  <c r="AS68" i="74"/>
  <c r="W54" i="74"/>
  <c r="W308" i="74"/>
  <c r="BE64" i="74"/>
  <c r="BC324" i="74" a="1"/>
  <c r="BC324" i="74" s="1"/>
  <c r="T55" i="74"/>
  <c r="U306" i="74"/>
  <c r="U317" i="74"/>
  <c r="U330" i="74"/>
  <c r="AP304" i="74"/>
  <c r="T54" i="74"/>
  <c r="AO330" i="74"/>
  <c r="AD307" i="74"/>
  <c r="BG307" i="74"/>
  <c r="AC54" i="74"/>
  <c r="AC55" i="74"/>
  <c r="AY169" i="75"/>
  <c r="AB340" i="75"/>
  <c r="AA26" i="75"/>
  <c r="AG324" i="75" a="1"/>
  <c r="AG324" i="75" s="1"/>
  <c r="AG62" i="75"/>
  <c r="AG55" i="75"/>
  <c r="AG340" i="75"/>
  <c r="AG337" i="75"/>
  <c r="AG54" i="75"/>
  <c r="AG64" i="75"/>
  <c r="AG329" i="75"/>
  <c r="BB30" i="75"/>
  <c r="BB310" i="75"/>
  <c r="BB307" i="75"/>
  <c r="BB68" i="75"/>
  <c r="BE31" i="75"/>
  <c r="BE234" i="75" s="1"/>
  <c r="BB31" i="75"/>
  <c r="BB234" i="75" s="1"/>
  <c r="BB313" i="75"/>
  <c r="BB304" i="75"/>
  <c r="BB306" i="75"/>
  <c r="BB322" i="75"/>
  <c r="BB337" i="75" s="1"/>
  <c r="BA31" i="75"/>
  <c r="BA230" i="75" s="1"/>
  <c r="BB317" i="75"/>
  <c r="BB65" i="75"/>
  <c r="BB309" i="75"/>
  <c r="AZ31" i="75"/>
  <c r="AZ230" i="75" s="1"/>
  <c r="BB315" i="75"/>
  <c r="BB311" i="75"/>
  <c r="BD31" i="75"/>
  <c r="BD233" i="75" s="1"/>
  <c r="BC31" i="75"/>
  <c r="BC234" i="75" s="1"/>
  <c r="U309" i="74"/>
  <c r="AY54" i="72"/>
  <c r="AC317" i="72"/>
  <c r="BC65" i="72"/>
  <c r="BC307" i="72"/>
  <c r="BB322" i="72"/>
  <c r="BB331" i="72" s="1"/>
  <c r="AD54" i="72"/>
  <c r="BF30" i="73"/>
  <c r="R317" i="73"/>
  <c r="Q309" i="73"/>
  <c r="AE329" i="73"/>
  <c r="AZ304" i="73"/>
  <c r="AZ308" i="73"/>
  <c r="W68" i="73"/>
  <c r="AD308" i="73"/>
  <c r="U78" i="74"/>
  <c r="Q351" i="74" s="1"/>
  <c r="M29" i="74"/>
  <c r="R31" i="74"/>
  <c r="R234" i="74" s="1"/>
  <c r="BD62" i="74"/>
  <c r="BD308" i="74"/>
  <c r="AH306" i="74"/>
  <c r="W313" i="74"/>
  <c r="BE340" i="74"/>
  <c r="AU31" i="74"/>
  <c r="AU234" i="74" s="1"/>
  <c r="BB311" i="74"/>
  <c r="U65" i="74"/>
  <c r="U307" i="74"/>
  <c r="U308" i="74"/>
  <c r="AP54" i="74"/>
  <c r="AP310" i="74"/>
  <c r="AO311" i="74"/>
  <c r="AD64" i="74"/>
  <c r="AD313" i="74"/>
  <c r="AD311" i="74"/>
  <c r="S315" i="74"/>
  <c r="AN64" i="74"/>
  <c r="AN304" i="74"/>
  <c r="Q310" i="74"/>
  <c r="BE54" i="74"/>
  <c r="AW282" i="75"/>
  <c r="AK186" i="75"/>
  <c r="AU188" i="75"/>
  <c r="AT65" i="75"/>
  <c r="AT317" i="75"/>
  <c r="AT68" i="75"/>
  <c r="AT30" i="75"/>
  <c r="AQ31" i="75"/>
  <c r="AQ234" i="75" s="1"/>
  <c r="AT310" i="75"/>
  <c r="AT313" i="75"/>
  <c r="AT308" i="75"/>
  <c r="AT315" i="75"/>
  <c r="AT330" i="75"/>
  <c r="AT307" i="75"/>
  <c r="AT322" i="75"/>
  <c r="AT309" i="75"/>
  <c r="AK67" i="75"/>
  <c r="AT306" i="75"/>
  <c r="AT304" i="75"/>
  <c r="AN31" i="75"/>
  <c r="AP286" i="75"/>
  <c r="AU31" i="75"/>
  <c r="AU234" i="75" s="1"/>
  <c r="BC368" i="75"/>
  <c r="BC25" i="75"/>
  <c r="BC63" i="75"/>
  <c r="BC24" i="75"/>
  <c r="BC61" i="75"/>
  <c r="BC68" i="75"/>
  <c r="BC66" i="75"/>
  <c r="BB191" i="75" s="1" a="1"/>
  <c r="BB191" i="75" s="1"/>
  <c r="AR337" i="75"/>
  <c r="W30" i="75"/>
  <c r="W311" i="75"/>
  <c r="W315" i="75"/>
  <c r="W310" i="75"/>
  <c r="W317" i="75"/>
  <c r="W307" i="75"/>
  <c r="W68" i="75"/>
  <c r="W313" i="75"/>
  <c r="W306" i="75"/>
  <c r="W309" i="75"/>
  <c r="W322" i="75"/>
  <c r="W304" i="75"/>
  <c r="BA329" i="75"/>
  <c r="BA55" i="75"/>
  <c r="BA62" i="75"/>
  <c r="BA64" i="75"/>
  <c r="R317" i="75"/>
  <c r="AZ229" i="75"/>
  <c r="AZ13" i="75" s="1"/>
  <c r="AZ231" i="75"/>
  <c r="AW367" i="75"/>
  <c r="AK282" i="75"/>
  <c r="AF68" i="75"/>
  <c r="M317" i="75"/>
  <c r="Q93" i="75"/>
  <c r="Q95" i="75" s="1"/>
  <c r="O93" i="75"/>
  <c r="O95" i="75" s="1"/>
  <c r="R27" i="75"/>
  <c r="J22" i="75"/>
  <c r="J317" i="75" s="1"/>
  <c r="P27" i="75"/>
  <c r="U27" i="75"/>
  <c r="T27" i="75"/>
  <c r="T229" i="75" s="1"/>
  <c r="T13" i="75" s="1"/>
  <c r="S27" i="75"/>
  <c r="O3" i="75"/>
  <c r="Q27" i="75"/>
  <c r="O8" i="75"/>
  <c r="O27" i="75"/>
  <c r="O4" i="75"/>
  <c r="O5" i="75"/>
  <c r="W27" i="75"/>
  <c r="V27" i="75"/>
  <c r="AC368" i="75"/>
  <c r="AC63" i="75"/>
  <c r="AC25" i="75"/>
  <c r="AC61" i="75"/>
  <c r="AC24" i="75"/>
  <c r="AU62" i="75"/>
  <c r="AU307" i="75"/>
  <c r="AM65" i="75"/>
  <c r="AM311" i="75"/>
  <c r="Q304" i="75"/>
  <c r="AT181" i="75"/>
  <c r="AT12" i="75" s="1"/>
  <c r="BG307" i="75"/>
  <c r="BG330" i="75"/>
  <c r="BE306" i="75"/>
  <c r="BE311" i="75"/>
  <c r="AI326" i="75" a="1"/>
  <c r="AI326" i="75" s="1"/>
  <c r="AI331" i="75"/>
  <c r="AI325" i="75" a="1"/>
  <c r="AI325" i="75" s="1"/>
  <c r="AA313" i="75"/>
  <c r="P68" i="75"/>
  <c r="AE31" i="75"/>
  <c r="AE234" i="75" s="1"/>
  <c r="O368" i="75"/>
  <c r="M194" i="75"/>
  <c r="M195" i="75" a="1"/>
  <c r="M195" i="75" s="1"/>
  <c r="O61" i="75"/>
  <c r="O63" i="75"/>
  <c r="O24" i="75"/>
  <c r="O25" i="75"/>
  <c r="AS322" i="75"/>
  <c r="AS340" i="75" s="1"/>
  <c r="AS317" i="75"/>
  <c r="AH304" i="75"/>
  <c r="O54" i="75"/>
  <c r="O306" i="75"/>
  <c r="O310" i="75"/>
  <c r="O322" i="75"/>
  <c r="O337" i="75" s="1"/>
  <c r="AC62" i="75"/>
  <c r="AC54" i="75"/>
  <c r="AC340" i="75"/>
  <c r="AA30" i="75"/>
  <c r="BC340" i="75"/>
  <c r="AR368" i="75"/>
  <c r="AR63" i="75"/>
  <c r="AR24" i="75"/>
  <c r="AR61" i="75"/>
  <c r="AR25" i="75"/>
  <c r="AR66" i="75"/>
  <c r="AR309" i="75"/>
  <c r="V62" i="75"/>
  <c r="V331" i="75"/>
  <c r="V326" i="75" a="1"/>
  <c r="V326" i="75" s="1"/>
  <c r="V325" i="75" a="1"/>
  <c r="V325" i="75" s="1"/>
  <c r="AN311" i="75"/>
  <c r="AZ54" i="75"/>
  <c r="AF65" i="75"/>
  <c r="AF311" i="75"/>
  <c r="AF330" i="75"/>
  <c r="U65" i="75"/>
  <c r="BE368" i="75"/>
  <c r="BE61" i="75"/>
  <c r="BE25" i="75"/>
  <c r="BE24" i="75"/>
  <c r="BE63" i="75"/>
  <c r="BA306" i="75"/>
  <c r="AP62" i="75"/>
  <c r="AP309" i="75"/>
  <c r="AP330" i="75"/>
  <c r="AE313" i="75"/>
  <c r="T66" i="75"/>
  <c r="U31" i="75"/>
  <c r="U234" i="75" s="1"/>
  <c r="W257" i="75"/>
  <c r="J73" i="75"/>
  <c r="AY62" i="75"/>
  <c r="AY313" i="75"/>
  <c r="BD65" i="75"/>
  <c r="AI188" i="75"/>
  <c r="Y186" i="75"/>
  <c r="AZ55" i="75"/>
  <c r="AZ313" i="75"/>
  <c r="AO306" i="75"/>
  <c r="AO317" i="75"/>
  <c r="S304" i="75"/>
  <c r="S309" i="75"/>
  <c r="S329" i="75"/>
  <c r="R62" i="75"/>
  <c r="R54" i="75"/>
  <c r="R337" i="75"/>
  <c r="R324" i="75" a="1"/>
  <c r="R324" i="75" s="1"/>
  <c r="AY230" i="75"/>
  <c r="AY229" i="75"/>
  <c r="AY231" i="75"/>
  <c r="Q368" i="75"/>
  <c r="Q63" i="75"/>
  <c r="Q25" i="75"/>
  <c r="Q61" i="75"/>
  <c r="Q24" i="75"/>
  <c r="BF331" i="75"/>
  <c r="BF325" i="75" a="1"/>
  <c r="BF325" i="75" s="1"/>
  <c r="BF326" i="75" a="1"/>
  <c r="BF326" i="75" s="1"/>
  <c r="BF337" i="75"/>
  <c r="AM304" i="75"/>
  <c r="AM322" i="75"/>
  <c r="AB331" i="75"/>
  <c r="AB325" i="75" a="1"/>
  <c r="AB325" i="75" s="1"/>
  <c r="AB326" i="75" a="1"/>
  <c r="AB326" i="75" s="1"/>
  <c r="Q306" i="75"/>
  <c r="Q310" i="75"/>
  <c r="Q322" i="75"/>
  <c r="Q324" i="75" s="1" a="1"/>
  <c r="Q324" i="75" s="1"/>
  <c r="BF181" i="75"/>
  <c r="BF12" i="75" s="1"/>
  <c r="AI337" i="75"/>
  <c r="AA331" i="75"/>
  <c r="AA326" i="75" a="1"/>
  <c r="AA326" i="75" s="1"/>
  <c r="AA325" i="75" a="1"/>
  <c r="AA325" i="75" s="1"/>
  <c r="O31" i="75"/>
  <c r="AS308" i="75"/>
  <c r="AS315" i="75"/>
  <c r="AH62" i="75"/>
  <c r="O307" i="75"/>
  <c r="AR68" i="75"/>
  <c r="AR308" i="75"/>
  <c r="AR313" i="75"/>
  <c r="AR324" i="75" a="1"/>
  <c r="AR324" i="75" s="1"/>
  <c r="BB62" i="75"/>
  <c r="AF306" i="75"/>
  <c r="AF313" i="75"/>
  <c r="U308" i="75"/>
  <c r="U313" i="75"/>
  <c r="U330" i="75"/>
  <c r="AP31" i="75"/>
  <c r="AP234" i="75" s="1"/>
  <c r="AS368" i="75"/>
  <c r="AS61" i="75"/>
  <c r="AS63" i="75"/>
  <c r="AS25" i="75"/>
  <c r="AS24" i="75"/>
  <c r="BA68" i="75"/>
  <c r="BA307" i="75"/>
  <c r="AP65" i="75"/>
  <c r="AP310" i="75"/>
  <c r="AE322" i="75"/>
  <c r="AE340" i="75" s="1"/>
  <c r="T324" i="75" a="1"/>
  <c r="T324" i="75" s="1"/>
  <c r="T329" i="75"/>
  <c r="W188" i="75"/>
  <c r="M186" i="75"/>
  <c r="U78" i="75"/>
  <c r="AY65" i="75"/>
  <c r="AY304" i="75"/>
  <c r="AY322" i="75"/>
  <c r="AY324" i="75" s="1" a="1"/>
  <c r="AY324" i="75" s="1"/>
  <c r="AO31" i="75"/>
  <c r="AC31" i="75"/>
  <c r="AI258" i="75"/>
  <c r="Y257" i="75"/>
  <c r="BD368" i="75"/>
  <c r="BD61" i="75"/>
  <c r="BD63" i="75"/>
  <c r="BD24" i="75"/>
  <c r="BD25" i="75"/>
  <c r="AZ306" i="75"/>
  <c r="AZ304" i="75"/>
  <c r="AZ322" i="75"/>
  <c r="AZ337" i="75" s="1"/>
  <c r="AZ330" i="75"/>
  <c r="AO310" i="75"/>
  <c r="AD331" i="75"/>
  <c r="AD325" i="75" a="1"/>
  <c r="AD325" i="75" s="1"/>
  <c r="AD326" i="75" a="1"/>
  <c r="AD326" i="75" s="1"/>
  <c r="S68" i="75"/>
  <c r="S322" i="75"/>
  <c r="S337" i="75" s="1"/>
  <c r="S315" i="75"/>
  <c r="V31" i="75"/>
  <c r="V234" i="75" s="1"/>
  <c r="T62" i="75"/>
  <c r="BC230" i="75"/>
  <c r="BC13" i="75"/>
  <c r="BG230" i="75"/>
  <c r="BG13" i="75"/>
  <c r="AR31" i="75"/>
  <c r="AR233" i="75" s="1"/>
  <c r="AN352" i="75"/>
  <c r="AU352" i="75"/>
  <c r="AM352" i="75"/>
  <c r="AT352" i="75"/>
  <c r="AS352" i="75"/>
  <c r="AR352" i="75"/>
  <c r="AP352" i="75"/>
  <c r="AO352" i="75"/>
  <c r="AQ352" i="75"/>
  <c r="AT289" i="75"/>
  <c r="AR289" i="75"/>
  <c r="AP289" i="75"/>
  <c r="AN289" i="75"/>
  <c r="AS289" i="75"/>
  <c r="AQ289" i="75"/>
  <c r="AO289" i="75"/>
  <c r="AM289" i="75"/>
  <c r="AT192" i="75"/>
  <c r="AK192" i="75" s="1"/>
  <c r="AU289" i="75"/>
  <c r="BF340" i="75"/>
  <c r="AU313" i="75"/>
  <c r="AU330" i="75"/>
  <c r="AM306" i="75"/>
  <c r="Q307" i="75"/>
  <c r="AN368" i="75"/>
  <c r="AN63" i="75"/>
  <c r="AN24" i="75"/>
  <c r="AN61" i="75"/>
  <c r="AN25" i="75"/>
  <c r="BE326" i="75" a="1"/>
  <c r="BE326" i="75" s="1"/>
  <c r="BE331" i="75"/>
  <c r="BE325" i="75" a="1"/>
  <c r="BE325" i="75" s="1"/>
  <c r="AI55" i="75"/>
  <c r="AA340" i="75"/>
  <c r="P308" i="75"/>
  <c r="M29" i="75"/>
  <c r="BD54" i="75"/>
  <c r="AS64" i="75"/>
  <c r="AS310" i="75"/>
  <c r="AS329" i="75"/>
  <c r="AH65" i="75"/>
  <c r="AH330" i="75"/>
  <c r="W324" i="75" a="1"/>
  <c r="W324" i="75" s="1"/>
  <c r="O64" i="75"/>
  <c r="O309" i="75"/>
  <c r="O330" i="75"/>
  <c r="AR62" i="75"/>
  <c r="AR330" i="75"/>
  <c r="AG331" i="75"/>
  <c r="AG326" i="75" a="1"/>
  <c r="AG326" i="75" s="1"/>
  <c r="AG325" i="75" a="1"/>
  <c r="AG325" i="75" s="1"/>
  <c r="V329" i="75"/>
  <c r="AN66" i="75"/>
  <c r="BB55" i="75"/>
  <c r="AF322" i="75"/>
  <c r="U317" i="75"/>
  <c r="W62" i="75"/>
  <c r="W31" i="75"/>
  <c r="W234" i="75" s="1"/>
  <c r="AK317" i="75"/>
  <c r="AO93" i="75"/>
  <c r="AO95" i="75" s="1"/>
  <c r="AT27" i="75"/>
  <c r="AM93" i="75"/>
  <c r="AM95" i="75" s="1"/>
  <c r="AR27" i="75"/>
  <c r="AR229" i="75" s="1"/>
  <c r="AR13" i="75" s="1"/>
  <c r="AO27" i="75"/>
  <c r="AM8" i="75"/>
  <c r="AU27" i="75"/>
  <c r="AS27" i="75"/>
  <c r="AM4" i="75"/>
  <c r="AM3" i="75"/>
  <c r="AQ27" i="75"/>
  <c r="AP27" i="75"/>
  <c r="AM5" i="75"/>
  <c r="AM27" i="75"/>
  <c r="AN27" i="75"/>
  <c r="BA308" i="75"/>
  <c r="BA322" i="75"/>
  <c r="BA340" i="75" s="1"/>
  <c r="AP311" i="75"/>
  <c r="T54" i="75"/>
  <c r="M69" i="75"/>
  <c r="M284" i="75"/>
  <c r="AI30" i="75"/>
  <c r="AD352" i="75"/>
  <c r="AC352" i="75"/>
  <c r="AB352" i="75"/>
  <c r="AI352" i="75"/>
  <c r="AA352" i="75"/>
  <c r="AH352" i="75"/>
  <c r="AF352" i="75"/>
  <c r="AE352" i="75"/>
  <c r="AG352" i="75"/>
  <c r="AB289" i="75"/>
  <c r="AH289" i="75"/>
  <c r="AF289" i="75"/>
  <c r="AD289" i="75"/>
  <c r="AA289" i="75"/>
  <c r="AI289" i="75"/>
  <c r="AG289" i="75"/>
  <c r="AE289" i="75"/>
  <c r="AC289" i="75"/>
  <c r="AH192" i="75"/>
  <c r="Y192" i="75" s="1"/>
  <c r="Y284" i="75"/>
  <c r="Y367" i="75"/>
  <c r="AZ64" i="75"/>
  <c r="AZ68" i="75"/>
  <c r="AZ307" i="75"/>
  <c r="AZ317" i="75"/>
  <c r="AO311" i="75"/>
  <c r="BA229" i="75"/>
  <c r="BA13" i="75" s="1"/>
  <c r="BA231" i="75"/>
  <c r="BB230" i="75"/>
  <c r="BB13" i="75"/>
  <c r="BD62" i="75"/>
  <c r="AY368" i="75"/>
  <c r="AW195" i="75" a="1"/>
  <c r="AW195" i="75" s="1"/>
  <c r="AW194" i="75"/>
  <c r="AY63" i="75"/>
  <c r="AY61" i="75"/>
  <c r="AY25" i="75"/>
  <c r="AY24" i="75"/>
  <c r="O68" i="75"/>
  <c r="O315" i="75"/>
  <c r="O311" i="75"/>
  <c r="BF368" i="75"/>
  <c r="BF63" i="75"/>
  <c r="BF24" i="75"/>
  <c r="BF61" i="75"/>
  <c r="BF25" i="75"/>
  <c r="BB329" i="75"/>
  <c r="AQ326" i="75" a="1"/>
  <c r="AQ326" i="75" s="1"/>
  <c r="AQ331" i="75"/>
  <c r="AQ325" i="75" a="1"/>
  <c r="AQ325" i="75" s="1"/>
  <c r="AF307" i="75"/>
  <c r="AF309" i="75"/>
  <c r="BD30" i="75"/>
  <c r="AP304" i="75"/>
  <c r="AP317" i="75"/>
  <c r="T337" i="75"/>
  <c r="M67" i="75"/>
  <c r="M285" i="75"/>
  <c r="AW52" i="75"/>
  <c r="AG78" i="75"/>
  <c r="AA31" i="75"/>
  <c r="Y285" i="75"/>
  <c r="AZ308" i="75"/>
  <c r="AZ315" i="75"/>
  <c r="AZ310" i="75"/>
  <c r="AO307" i="75"/>
  <c r="AO322" i="75"/>
  <c r="AO330" i="75"/>
  <c r="S64" i="75"/>
  <c r="S317" i="75"/>
  <c r="BE230" i="75"/>
  <c r="BE13" i="75"/>
  <c r="AH55" i="75"/>
  <c r="AI62" i="75"/>
  <c r="AT174" i="75"/>
  <c r="AM26" i="75"/>
  <c r="Y195" i="75" a="1"/>
  <c r="Y195" i="75" s="1"/>
  <c r="O308" i="75"/>
  <c r="AC64" i="75"/>
  <c r="AC329" i="75"/>
  <c r="AR340" i="75"/>
  <c r="AG368" i="75"/>
  <c r="AG63" i="75"/>
  <c r="AG24" i="75"/>
  <c r="AG61" i="75"/>
  <c r="AG25" i="75"/>
  <c r="AB31" i="75"/>
  <c r="AT368" i="75"/>
  <c r="AT61" i="75"/>
  <c r="AT24" i="75"/>
  <c r="AT63" i="75"/>
  <c r="AT25" i="75"/>
  <c r="BB64" i="75"/>
  <c r="AF308" i="75"/>
  <c r="AF310" i="75"/>
  <c r="BA65" i="75"/>
  <c r="AP54" i="75"/>
  <c r="AP306" i="75"/>
  <c r="AP322" i="75"/>
  <c r="AP340" i="75" s="1"/>
  <c r="AE317" i="75"/>
  <c r="T340" i="75"/>
  <c r="S78" i="75"/>
  <c r="AU258" i="75"/>
  <c r="AK257" i="75"/>
  <c r="AI31" i="75"/>
  <c r="AI234" i="75" s="1"/>
  <c r="Y67" i="75"/>
  <c r="AZ309" i="75"/>
  <c r="AO308" i="75"/>
  <c r="S55" i="75"/>
  <c r="AU331" i="75"/>
  <c r="AU325" i="75" a="1"/>
  <c r="AU325" i="75" s="1"/>
  <c r="AU326" i="75" a="1"/>
  <c r="AU326" i="75" s="1"/>
  <c r="AM31" i="75"/>
  <c r="AM330" i="75"/>
  <c r="Q315" i="75"/>
  <c r="Q330" i="75"/>
  <c r="Q31" i="75"/>
  <c r="AI324" i="75" a="1"/>
  <c r="AI324" i="75" s="1"/>
  <c r="BF174" i="75"/>
  <c r="Y194" i="75"/>
  <c r="AS304" i="75"/>
  <c r="AS330" i="75"/>
  <c r="AH324" i="75" a="1"/>
  <c r="AH324" i="75" s="1"/>
  <c r="AH337" i="75"/>
  <c r="O65" i="75"/>
  <c r="O313" i="75"/>
  <c r="AC66" i="75"/>
  <c r="AD78" i="75" s="1"/>
  <c r="AI368" i="75"/>
  <c r="AI61" i="75"/>
  <c r="AI25" i="75"/>
  <c r="AI63" i="75"/>
  <c r="AI24" i="75"/>
  <c r="AR317" i="75"/>
  <c r="AR329" i="75"/>
  <c r="V340" i="75"/>
  <c r="AW186" i="75"/>
  <c r="BG188" i="75"/>
  <c r="AH368" i="75"/>
  <c r="AH61" i="75"/>
  <c r="AH63" i="75"/>
  <c r="AH25" i="75"/>
  <c r="AH24" i="75"/>
  <c r="BB54" i="75"/>
  <c r="AF317" i="75"/>
  <c r="U306" i="75"/>
  <c r="U322" i="75"/>
  <c r="U324" i="75" s="1" a="1"/>
  <c r="U324" i="75" s="1"/>
  <c r="AS78" i="75"/>
  <c r="AC55" i="75"/>
  <c r="AK29" i="75"/>
  <c r="Q30" i="75"/>
  <c r="BA313" i="75"/>
  <c r="BA304" i="75"/>
  <c r="AP307" i="75"/>
  <c r="AE54" i="75"/>
  <c r="AE307" i="75"/>
  <c r="AE310" i="75"/>
  <c r="AE311" i="75"/>
  <c r="T352" i="75"/>
  <c r="S352" i="75"/>
  <c r="R352" i="75"/>
  <c r="Q352" i="75"/>
  <c r="P352" i="75"/>
  <c r="V352" i="75"/>
  <c r="U352" i="75"/>
  <c r="W352" i="75"/>
  <c r="O352" i="75"/>
  <c r="R289" i="75"/>
  <c r="P289" i="75"/>
  <c r="V289" i="75"/>
  <c r="T289" i="75"/>
  <c r="W289" i="75"/>
  <c r="U289" i="75"/>
  <c r="S289" i="75"/>
  <c r="Q289" i="75"/>
  <c r="O289" i="75"/>
  <c r="V192" i="75"/>
  <c r="M192" i="75" s="1"/>
  <c r="J192" i="75" s="1"/>
  <c r="V178" i="75"/>
  <c r="J71" i="75"/>
  <c r="R31" i="75"/>
  <c r="R234" i="75" s="1"/>
  <c r="AY68" i="75"/>
  <c r="AY307" i="75"/>
  <c r="AY309" i="75"/>
  <c r="Y317" i="75"/>
  <c r="AC93" i="75"/>
  <c r="AC95" i="75" s="1"/>
  <c r="AA93" i="75"/>
  <c r="AA95" i="75" s="1"/>
  <c r="AB27" i="75"/>
  <c r="AH27" i="75"/>
  <c r="AE27" i="75"/>
  <c r="AI27" i="75"/>
  <c r="AA3" i="75"/>
  <c r="AG27" i="75"/>
  <c r="AA8" i="75"/>
  <c r="AF27" i="75"/>
  <c r="AF229" i="75" s="1"/>
  <c r="AF13" i="75" s="1"/>
  <c r="AD27" i="75"/>
  <c r="AC27" i="75"/>
  <c r="AA4" i="75"/>
  <c r="AA27" i="75"/>
  <c r="AA5" i="75"/>
  <c r="AE78" i="75"/>
  <c r="AO65" i="75"/>
  <c r="AO309" i="75"/>
  <c r="AO313" i="75"/>
  <c r="AD339" i="75" a="1"/>
  <c r="AD339" i="75" s="1"/>
  <c r="AD336" i="75"/>
  <c r="S62" i="75"/>
  <c r="S310" i="75"/>
  <c r="S306" i="75"/>
  <c r="S311" i="75"/>
  <c r="BF64" i="75"/>
  <c r="BF230" i="75"/>
  <c r="BF13" i="75"/>
  <c r="AR54" i="75"/>
  <c r="AK285" i="75"/>
  <c r="AK367" i="75"/>
  <c r="BA368" i="75"/>
  <c r="BA61" i="75"/>
  <c r="BA63" i="75"/>
  <c r="BA24" i="75"/>
  <c r="BA25" i="75"/>
  <c r="AM317" i="75"/>
  <c r="Q68" i="75"/>
  <c r="Q308" i="75"/>
  <c r="BG337" i="75"/>
  <c r="BE337" i="75"/>
  <c r="AI329" i="75"/>
  <c r="AI340" i="75"/>
  <c r="AA337" i="75"/>
  <c r="P307" i="75"/>
  <c r="P317" i="75"/>
  <c r="AK194" i="75"/>
  <c r="BD331" i="75"/>
  <c r="BD326" i="75" a="1"/>
  <c r="BD326" i="75" s="1"/>
  <c r="BD325" i="75" a="1"/>
  <c r="BD325" i="75" s="1"/>
  <c r="AS68" i="75"/>
  <c r="AS65" i="75"/>
  <c r="AS306" i="75"/>
  <c r="AH64" i="75"/>
  <c r="AH315" i="75"/>
  <c r="AH310" i="75"/>
  <c r="J52" i="75"/>
  <c r="M52" i="75"/>
  <c r="O304" i="75"/>
  <c r="AS31" i="75"/>
  <c r="AS234" i="75" s="1"/>
  <c r="W368" i="75"/>
  <c r="W61" i="75"/>
  <c r="W63" i="75"/>
  <c r="W24" i="75"/>
  <c r="W25" i="75"/>
  <c r="BC331" i="75"/>
  <c r="BC326" i="75" a="1"/>
  <c r="BC326" i="75" s="1"/>
  <c r="BC325" i="75" a="1"/>
  <c r="BC325" i="75" s="1"/>
  <c r="AR306" i="75"/>
  <c r="AR315" i="75"/>
  <c r="AG68" i="75"/>
  <c r="AN68" i="75"/>
  <c r="U368" i="75"/>
  <c r="U61" i="75"/>
  <c r="U25" i="75"/>
  <c r="U24" i="75"/>
  <c r="U63" i="75"/>
  <c r="AQ337" i="75"/>
  <c r="AF304" i="75"/>
  <c r="R368" i="75"/>
  <c r="R63" i="75"/>
  <c r="R24" i="75"/>
  <c r="R61" i="75"/>
  <c r="R25" i="75"/>
  <c r="T368" i="75"/>
  <c r="T24" i="75"/>
  <c r="T61" i="75"/>
  <c r="T63" i="75"/>
  <c r="T25" i="75"/>
  <c r="AP68" i="75"/>
  <c r="AP315" i="75"/>
  <c r="AE62" i="75"/>
  <c r="AE306" i="75"/>
  <c r="T331" i="75"/>
  <c r="T325" i="75" a="1"/>
  <c r="T325" i="75" s="1"/>
  <c r="T326" i="75" a="1"/>
  <c r="T326" i="75" s="1"/>
  <c r="T31" i="75"/>
  <c r="T233" i="75" s="1"/>
  <c r="M367" i="75"/>
  <c r="AY30" i="75"/>
  <c r="BF31" i="75"/>
  <c r="BF234" i="75" s="1"/>
  <c r="AW29" i="75"/>
  <c r="AY308" i="75"/>
  <c r="AY315" i="75"/>
  <c r="Y29" i="75"/>
  <c r="Y282" i="75"/>
  <c r="S368" i="75"/>
  <c r="S25" i="75"/>
  <c r="S63" i="75"/>
  <c r="S61" i="75"/>
  <c r="S24" i="75"/>
  <c r="AO68" i="75"/>
  <c r="AO315" i="75"/>
  <c r="S313" i="75"/>
  <c r="BD349" i="74"/>
  <c r="BA349" i="74"/>
  <c r="AZ349" i="74"/>
  <c r="BG349" i="74"/>
  <c r="AY349" i="74"/>
  <c r="BF349" i="74"/>
  <c r="BE349" i="74"/>
  <c r="BC349" i="74"/>
  <c r="BB349" i="74"/>
  <c r="BC169" i="74"/>
  <c r="BC174" i="74" s="1"/>
  <c r="BE286" i="74"/>
  <c r="BC286" i="74"/>
  <c r="BE369" i="74"/>
  <c r="BD286" i="74"/>
  <c r="BC369" i="74"/>
  <c r="BF369" i="74"/>
  <c r="AY286" i="74"/>
  <c r="BB286" i="74"/>
  <c r="AZ369" i="74"/>
  <c r="AZ286" i="74"/>
  <c r="BB369" i="74"/>
  <c r="BG369" i="74"/>
  <c r="BF286" i="74"/>
  <c r="BD369" i="74"/>
  <c r="BG286" i="74"/>
  <c r="BA369" i="74"/>
  <c r="BA286" i="74"/>
  <c r="AY369" i="74"/>
  <c r="V349" i="74"/>
  <c r="S369" i="74"/>
  <c r="AW235" i="74"/>
  <c r="W368" i="74"/>
  <c r="W24" i="74"/>
  <c r="W61" i="74"/>
  <c r="W63" i="74"/>
  <c r="W25" i="74"/>
  <c r="W66" i="74"/>
  <c r="AS336" i="74"/>
  <c r="AS339" i="74" a="1"/>
  <c r="AS339" i="74" s="1"/>
  <c r="AH54" i="74"/>
  <c r="AH62" i="74"/>
  <c r="AH329" i="74"/>
  <c r="M52" i="74"/>
  <c r="J52" i="74"/>
  <c r="AY65" i="72"/>
  <c r="AY307" i="72"/>
  <c r="AO308" i="72"/>
  <c r="BF306" i="73"/>
  <c r="BF315" i="73"/>
  <c r="BF330" i="73"/>
  <c r="AB307" i="73"/>
  <c r="AT330" i="73"/>
  <c r="AT304" i="73"/>
  <c r="AI307" i="73"/>
  <c r="AI330" i="73"/>
  <c r="AS329" i="73"/>
  <c r="T68" i="73"/>
  <c r="V64" i="73"/>
  <c r="AD306" i="73"/>
  <c r="AD313" i="73"/>
  <c r="W188" i="74"/>
  <c r="M186" i="74"/>
  <c r="V286" i="74"/>
  <c r="AZ351" i="74"/>
  <c r="BE351" i="74"/>
  <c r="BD351" i="74"/>
  <c r="BC351" i="74"/>
  <c r="BB351" i="74"/>
  <c r="BG351" i="74"/>
  <c r="BA351" i="74"/>
  <c r="AY351" i="74"/>
  <c r="BE169" i="74"/>
  <c r="BE288" i="74"/>
  <c r="BC288" i="74"/>
  <c r="BF288" i="74"/>
  <c r="AA326" i="74" a="1"/>
  <c r="AA326" i="74" s="1"/>
  <c r="AA331" i="74"/>
  <c r="AA325" i="74" a="1"/>
  <c r="AA325" i="74" s="1"/>
  <c r="AA340" i="74"/>
  <c r="AA324" i="74" a="1"/>
  <c r="AA324" i="74" s="1"/>
  <c r="AH64" i="74"/>
  <c r="AF30" i="74"/>
  <c r="AF307" i="74"/>
  <c r="AF309" i="74"/>
  <c r="AF308" i="74"/>
  <c r="AF315" i="74"/>
  <c r="AF311" i="74"/>
  <c r="AF306" i="74"/>
  <c r="AF68" i="74"/>
  <c r="AF322" i="74"/>
  <c r="AF337" i="74" s="1"/>
  <c r="AF304" i="74"/>
  <c r="AF317" i="74"/>
  <c r="AF65" i="74"/>
  <c r="AF330" i="74"/>
  <c r="AF310" i="74"/>
  <c r="AF313" i="74"/>
  <c r="BF322" i="74"/>
  <c r="BF315" i="74"/>
  <c r="BF304" i="74"/>
  <c r="BF309" i="74"/>
  <c r="BF311" i="74"/>
  <c r="BF68" i="74"/>
  <c r="BF306" i="74"/>
  <c r="BF308" i="74"/>
  <c r="BF317" i="74"/>
  <c r="BF310" i="74"/>
  <c r="BF65" i="74"/>
  <c r="BF30" i="74"/>
  <c r="BF307" i="74"/>
  <c r="BC31" i="74"/>
  <c r="BC234" i="74" s="1"/>
  <c r="AY30" i="74"/>
  <c r="AY306" i="74"/>
  <c r="AY65" i="74"/>
  <c r="BD31" i="74"/>
  <c r="BD233" i="74" s="1"/>
  <c r="AY315" i="74"/>
  <c r="AY322" i="74"/>
  <c r="AY324" i="74" s="1" a="1"/>
  <c r="AY324" i="74" s="1"/>
  <c r="AY309" i="74"/>
  <c r="AW67" i="74"/>
  <c r="AY304" i="74"/>
  <c r="AY311" i="74"/>
  <c r="AY313" i="74"/>
  <c r="AY308" i="74"/>
  <c r="AY317" i="74"/>
  <c r="AY68" i="74"/>
  <c r="BF330" i="74"/>
  <c r="BF307" i="73"/>
  <c r="BE309" i="73"/>
  <c r="P54" i="73"/>
  <c r="AC31" i="73"/>
  <c r="AD330" i="73"/>
  <c r="BA233" i="74"/>
  <c r="M235" i="74"/>
  <c r="M233" i="74"/>
  <c r="M234" i="74"/>
  <c r="AY234" i="74"/>
  <c r="AY233" i="74"/>
  <c r="AY235" i="74"/>
  <c r="AY169" i="74"/>
  <c r="AW284" i="74"/>
  <c r="AO242" i="74"/>
  <c r="O235" i="74"/>
  <c r="O234" i="74"/>
  <c r="O233" i="74"/>
  <c r="O169" i="74"/>
  <c r="BD331" i="74"/>
  <c r="BD325" i="74" a="1"/>
  <c r="BD325" i="74" s="1"/>
  <c r="BD326" i="74" a="1"/>
  <c r="BD326" i="74" s="1"/>
  <c r="M69" i="74"/>
  <c r="AG368" i="74"/>
  <c r="AG24" i="74"/>
  <c r="AG61" i="74"/>
  <c r="AG63" i="74"/>
  <c r="AG25" i="74"/>
  <c r="AG66" i="74"/>
  <c r="AG68" i="74"/>
  <c r="AK285" i="74"/>
  <c r="AO326" i="74" a="1"/>
  <c r="AO326" i="74" s="1"/>
  <c r="AO331" i="74"/>
  <c r="AO325" i="74" a="1"/>
  <c r="AO325" i="74" s="1"/>
  <c r="AO337" i="74"/>
  <c r="BF313" i="74"/>
  <c r="AY313" i="72"/>
  <c r="AY308" i="72"/>
  <c r="AC329" i="72"/>
  <c r="AB306" i="72"/>
  <c r="BD54" i="72"/>
  <c r="O306" i="72"/>
  <c r="AD304" i="72"/>
  <c r="AD329" i="72"/>
  <c r="BG337" i="73"/>
  <c r="BG339" i="73" s="1" a="1"/>
  <c r="BG339" i="73" s="1"/>
  <c r="AO310" i="73"/>
  <c r="AB64" i="73"/>
  <c r="AB306" i="73"/>
  <c r="AB313" i="73"/>
  <c r="AB315" i="73"/>
  <c r="P55" i="73"/>
  <c r="AE309" i="73"/>
  <c r="S31" i="73"/>
  <c r="S234" i="73" s="1"/>
  <c r="BD315" i="73"/>
  <c r="AS55" i="73"/>
  <c r="O304" i="73"/>
  <c r="O311" i="73"/>
  <c r="T311" i="73"/>
  <c r="V340" i="73"/>
  <c r="AD65" i="73"/>
  <c r="AD317" i="73"/>
  <c r="AD304" i="73"/>
  <c r="AP64" i="73"/>
  <c r="W286" i="74"/>
  <c r="M367" i="74"/>
  <c r="AZ288" i="74"/>
  <c r="BC352" i="74"/>
  <c r="BG352" i="74"/>
  <c r="BE352" i="74"/>
  <c r="BD352" i="74"/>
  <c r="BB352" i="74"/>
  <c r="BA352" i="74"/>
  <c r="AZ352" i="74"/>
  <c r="BF352" i="74"/>
  <c r="AY352" i="74"/>
  <c r="BB289" i="74"/>
  <c r="BF289" i="74"/>
  <c r="BD289" i="74"/>
  <c r="AY289" i="74"/>
  <c r="BG289" i="74"/>
  <c r="BE289" i="74"/>
  <c r="BC289" i="74"/>
  <c r="BA289" i="74"/>
  <c r="AZ289" i="74"/>
  <c r="BF192" i="74"/>
  <c r="AW192" i="74" s="1"/>
  <c r="AW285" i="74"/>
  <c r="AH55" i="74"/>
  <c r="AK69" i="74"/>
  <c r="AP31" i="74"/>
  <c r="AP234" i="74" s="1"/>
  <c r="AM31" i="74"/>
  <c r="AT31" i="74"/>
  <c r="AT234" i="74" s="1"/>
  <c r="AR317" i="74"/>
  <c r="AR308" i="74"/>
  <c r="AR68" i="74"/>
  <c r="AO31" i="74"/>
  <c r="AR322" i="74"/>
  <c r="AR304" i="74"/>
  <c r="AQ78" i="74"/>
  <c r="AS78" i="74"/>
  <c r="AS31" i="74"/>
  <c r="AS234" i="74" s="1"/>
  <c r="AR310" i="74"/>
  <c r="AR307" i="74"/>
  <c r="AQ31" i="74"/>
  <c r="AQ234" i="74" s="1"/>
  <c r="AK29" i="74"/>
  <c r="AR330" i="74"/>
  <c r="AR30" i="74"/>
  <c r="AN31" i="74"/>
  <c r="AK67" i="74"/>
  <c r="AR309" i="74"/>
  <c r="AR315" i="74"/>
  <c r="AR311" i="74"/>
  <c r="AR65" i="74"/>
  <c r="AR313" i="74"/>
  <c r="S368" i="74"/>
  <c r="S63" i="74"/>
  <c r="S25" i="74"/>
  <c r="S61" i="74"/>
  <c r="S24" i="74"/>
  <c r="AY330" i="74"/>
  <c r="AO307" i="72"/>
  <c r="AU66" i="73"/>
  <c r="AO65" i="72"/>
  <c r="AY322" i="72"/>
  <c r="AY324" i="72" s="1" a="1"/>
  <c r="AY324" i="72" s="1"/>
  <c r="AB308" i="72"/>
  <c r="Q307" i="72"/>
  <c r="BE55" i="72"/>
  <c r="AT313" i="72"/>
  <c r="AO315" i="73"/>
  <c r="AO308" i="73"/>
  <c r="AO322" i="73"/>
  <c r="AO326" i="73" s="1" a="1"/>
  <c r="AO326" i="73" s="1"/>
  <c r="BF65" i="73"/>
  <c r="AU340" i="73"/>
  <c r="AB304" i="73"/>
  <c r="AB324" i="73" a="1"/>
  <c r="AB324" i="73" s="1"/>
  <c r="BE62" i="73"/>
  <c r="AT322" i="73"/>
  <c r="AT324" i="73" s="1" a="1"/>
  <c r="AT324" i="73" s="1"/>
  <c r="AT329" i="73"/>
  <c r="AI308" i="73"/>
  <c r="AI310" i="73"/>
  <c r="AS54" i="73"/>
  <c r="AS64" i="73"/>
  <c r="O309" i="73"/>
  <c r="T317" i="73"/>
  <c r="AI65" i="73"/>
  <c r="AG64" i="73"/>
  <c r="AD309" i="73"/>
  <c r="W369" i="74"/>
  <c r="M284" i="74"/>
  <c r="Q242" i="74"/>
  <c r="AY288" i="74"/>
  <c r="U369" i="74"/>
  <c r="BD288" i="74"/>
  <c r="AN352" i="74"/>
  <c r="AT352" i="74"/>
  <c r="AS352" i="74"/>
  <c r="AR352" i="74"/>
  <c r="AQ352" i="74"/>
  <c r="AP352" i="74"/>
  <c r="AU352" i="74"/>
  <c r="AO352" i="74"/>
  <c r="AM352" i="74"/>
  <c r="AR289" i="74"/>
  <c r="AN289" i="74"/>
  <c r="AT289" i="74"/>
  <c r="AU289" i="74"/>
  <c r="AS289" i="74"/>
  <c r="AQ289" i="74"/>
  <c r="AP289" i="74"/>
  <c r="AO289" i="74"/>
  <c r="AM289" i="74"/>
  <c r="AT192" i="74"/>
  <c r="AK192" i="74" s="1"/>
  <c r="AT178" i="74"/>
  <c r="AF340" i="74"/>
  <c r="AF64" i="74"/>
  <c r="AF329" i="74"/>
  <c r="AF54" i="74"/>
  <c r="AF62" i="74"/>
  <c r="W331" i="74"/>
  <c r="W325" i="74" a="1"/>
  <c r="W325" i="74" s="1"/>
  <c r="W326" i="74" a="1"/>
  <c r="W326" i="74" s="1"/>
  <c r="W324" i="74" a="1"/>
  <c r="W324" i="74" s="1"/>
  <c r="BE339" i="74" a="1"/>
  <c r="BE339" i="74" s="1"/>
  <c r="BE336" i="74"/>
  <c r="AA337" i="74"/>
  <c r="AY307" i="74"/>
  <c r="AB68" i="72"/>
  <c r="BF329" i="72"/>
  <c r="AM337" i="72"/>
  <c r="AM336" i="72" s="1"/>
  <c r="AB330" i="72"/>
  <c r="AO315" i="72"/>
  <c r="S317" i="72"/>
  <c r="BF313" i="73"/>
  <c r="Y52" i="73"/>
  <c r="AB317" i="73"/>
  <c r="AB309" i="73"/>
  <c r="AB340" i="73"/>
  <c r="AI68" i="73"/>
  <c r="AI313" i="73"/>
  <c r="AI315" i="73"/>
  <c r="AI317" i="73"/>
  <c r="AA55" i="73"/>
  <c r="O54" i="73"/>
  <c r="O315" i="73"/>
  <c r="T309" i="73"/>
  <c r="BC329" i="73"/>
  <c r="AP62" i="73"/>
  <c r="M285" i="74"/>
  <c r="AW186" i="74"/>
  <c r="BG188" i="74"/>
  <c r="BD368" i="74"/>
  <c r="BD61" i="74"/>
  <c r="BD63" i="74"/>
  <c r="BD25" i="74"/>
  <c r="BD24" i="74"/>
  <c r="BD337" i="74"/>
  <c r="BD324" i="74" a="1"/>
  <c r="BD324" i="74" s="1"/>
  <c r="BD54" i="74"/>
  <c r="BD64" i="74"/>
  <c r="BD329" i="74"/>
  <c r="AU308" i="74"/>
  <c r="AU317" i="74"/>
  <c r="AU315" i="74"/>
  <c r="AU313" i="74"/>
  <c r="AU68" i="74"/>
  <c r="AU310" i="74"/>
  <c r="AU309" i="74"/>
  <c r="AU306" i="74"/>
  <c r="AU65" i="74"/>
  <c r="AU311" i="74"/>
  <c r="AU330" i="74"/>
  <c r="AU322" i="74"/>
  <c r="AU304" i="74"/>
  <c r="AB31" i="74"/>
  <c r="AI31" i="72"/>
  <c r="AI234" i="72" s="1"/>
  <c r="AK52" i="72"/>
  <c r="AM340" i="72"/>
  <c r="AB304" i="72"/>
  <c r="AT64" i="72"/>
  <c r="AD309" i="72"/>
  <c r="AQ78" i="73"/>
  <c r="AO313" i="73"/>
  <c r="S30" i="73"/>
  <c r="BF304" i="73"/>
  <c r="AB329" i="73"/>
  <c r="AB330" i="73"/>
  <c r="BE329" i="73"/>
  <c r="AT308" i="73"/>
  <c r="AI304" i="73"/>
  <c r="BA30" i="73"/>
  <c r="O62" i="73"/>
  <c r="O313" i="73"/>
  <c r="AD315" i="73"/>
  <c r="T352" i="74"/>
  <c r="Q352" i="74"/>
  <c r="P352" i="74"/>
  <c r="W352" i="74"/>
  <c r="O352" i="74"/>
  <c r="V352" i="74"/>
  <c r="R352" i="74"/>
  <c r="U352" i="74"/>
  <c r="S352" i="74"/>
  <c r="P289" i="74"/>
  <c r="T289" i="74"/>
  <c r="U289" i="74"/>
  <c r="S289" i="74"/>
  <c r="R289" i="74"/>
  <c r="Q289" i="74"/>
  <c r="O289" i="74"/>
  <c r="W289" i="74"/>
  <c r="V289" i="74"/>
  <c r="V192" i="74"/>
  <c r="M192" i="74" s="1"/>
  <c r="M317" i="74"/>
  <c r="U27" i="74"/>
  <c r="T27" i="74"/>
  <c r="T229" i="74" s="1"/>
  <c r="T13" i="74" s="1"/>
  <c r="S27" i="74"/>
  <c r="R27" i="74"/>
  <c r="J22" i="74"/>
  <c r="J317" i="74" s="1"/>
  <c r="Q93" i="74"/>
  <c r="Q95" i="74" s="1"/>
  <c r="O93" i="74"/>
  <c r="O95" i="74" s="1"/>
  <c r="W27" i="74"/>
  <c r="O27" i="74"/>
  <c r="Q27" i="74"/>
  <c r="O8" i="74"/>
  <c r="P27" i="74"/>
  <c r="O4" i="74"/>
  <c r="O3" i="74"/>
  <c r="O5" i="74"/>
  <c r="V27" i="74"/>
  <c r="AW282" i="74"/>
  <c r="R286" i="74"/>
  <c r="AS368" i="74"/>
  <c r="AS61" i="74"/>
  <c r="AS63" i="74"/>
  <c r="AS24" i="74"/>
  <c r="AS25" i="74"/>
  <c r="AN368" i="74"/>
  <c r="AN61" i="74"/>
  <c r="AN63" i="74"/>
  <c r="AN25" i="74"/>
  <c r="AN24" i="74"/>
  <c r="AN66" i="74"/>
  <c r="AU307" i="74"/>
  <c r="AY330" i="72"/>
  <c r="BG55" i="72"/>
  <c r="AY304" i="72"/>
  <c r="R64" i="72"/>
  <c r="AB313" i="72"/>
  <c r="P54" i="72"/>
  <c r="AD310" i="72"/>
  <c r="AW52" i="73"/>
  <c r="AO68" i="73"/>
  <c r="AO66" i="73"/>
  <c r="AT65" i="73"/>
  <c r="BF54" i="73"/>
  <c r="T64" i="73"/>
  <c r="AI309" i="73"/>
  <c r="AI311" i="73"/>
  <c r="O65" i="73"/>
  <c r="O310" i="73"/>
  <c r="O306" i="73"/>
  <c r="AG55" i="73"/>
  <c r="BA64" i="73"/>
  <c r="AD307" i="73"/>
  <c r="AW257" i="74"/>
  <c r="BG258" i="74"/>
  <c r="W257" i="74"/>
  <c r="J73" i="74"/>
  <c r="O286" i="74"/>
  <c r="V178" i="74"/>
  <c r="BA141" i="74"/>
  <c r="BA242" i="74" s="1"/>
  <c r="AH368" i="74"/>
  <c r="AH61" i="74"/>
  <c r="AH63" i="74"/>
  <c r="AH25" i="74"/>
  <c r="AH24" i="74"/>
  <c r="AH66" i="74"/>
  <c r="BG331" i="74"/>
  <c r="BG326" i="74" a="1"/>
  <c r="BG326" i="74" s="1"/>
  <c r="BG325" i="74" a="1"/>
  <c r="BG325" i="74" s="1"/>
  <c r="BC325" i="74" a="1"/>
  <c r="BC325" i="74" s="1"/>
  <c r="BC331" i="74"/>
  <c r="BC326" i="74" a="1"/>
  <c r="BC326" i="74" s="1"/>
  <c r="V313" i="74"/>
  <c r="V329" i="74"/>
  <c r="AK282" i="74"/>
  <c r="Q31" i="74"/>
  <c r="BE174" i="74"/>
  <c r="AE31" i="74"/>
  <c r="AE234" i="74" s="1"/>
  <c r="BA68" i="74"/>
  <c r="BA310" i="74"/>
  <c r="AE304" i="74"/>
  <c r="AE322" i="74"/>
  <c r="AE324" i="74" s="1" a="1"/>
  <c r="AE324" i="74" s="1"/>
  <c r="T317" i="74"/>
  <c r="AA65" i="74"/>
  <c r="AA304" i="74"/>
  <c r="AA311" i="74"/>
  <c r="AA313" i="74"/>
  <c r="AH174" i="74"/>
  <c r="AH30" i="74"/>
  <c r="AZ306" i="74"/>
  <c r="AZ307" i="74"/>
  <c r="AO306" i="74"/>
  <c r="AD340" i="74"/>
  <c r="S306" i="74"/>
  <c r="P65" i="74"/>
  <c r="P322" i="74"/>
  <c r="P337" i="74" s="1"/>
  <c r="P310" i="74"/>
  <c r="AC368" i="74"/>
  <c r="AC61" i="74"/>
  <c r="AC63" i="74"/>
  <c r="AC25" i="74"/>
  <c r="AC24" i="74"/>
  <c r="BG308" i="74"/>
  <c r="AN307" i="74"/>
  <c r="AN315" i="74"/>
  <c r="R308" i="74"/>
  <c r="AI310" i="74"/>
  <c r="AI309" i="74"/>
  <c r="AK52" i="74"/>
  <c r="BF64" i="74"/>
  <c r="AU54" i="74"/>
  <c r="AB68" i="74"/>
  <c r="Q68" i="74"/>
  <c r="AI68" i="74"/>
  <c r="AR324" i="74" a="1"/>
  <c r="AR324" i="74" s="1"/>
  <c r="AR329" i="74"/>
  <c r="V306" i="74"/>
  <c r="V307" i="74"/>
  <c r="V31" i="74"/>
  <c r="V234" i="74" s="1"/>
  <c r="AK317" i="74"/>
  <c r="AO93" i="74"/>
  <c r="AO95" i="74" s="1"/>
  <c r="AM93" i="74"/>
  <c r="AM95" i="74" s="1"/>
  <c r="AO27" i="74"/>
  <c r="AN27" i="74"/>
  <c r="AU27" i="74"/>
  <c r="AM27" i="74"/>
  <c r="AT27" i="74"/>
  <c r="AQ27" i="74"/>
  <c r="AR27" i="74"/>
  <c r="AR229" i="74" s="1"/>
  <c r="AR13" i="74" s="1"/>
  <c r="AP27" i="74"/>
  <c r="AM4" i="74"/>
  <c r="AM5" i="74"/>
  <c r="AM3" i="74"/>
  <c r="AM8" i="74"/>
  <c r="AS27" i="74"/>
  <c r="AH31" i="74"/>
  <c r="AH234" i="74" s="1"/>
  <c r="AC31" i="74"/>
  <c r="Y317" i="74"/>
  <c r="AC93" i="74"/>
  <c r="AC95" i="74" s="1"/>
  <c r="AA93" i="74"/>
  <c r="AA95" i="74" s="1"/>
  <c r="AE27" i="74"/>
  <c r="AD27" i="74"/>
  <c r="AC27" i="74"/>
  <c r="AB27" i="74"/>
  <c r="AG27" i="74"/>
  <c r="AA8" i="74"/>
  <c r="AI27" i="74"/>
  <c r="AA4" i="74"/>
  <c r="AH27" i="74"/>
  <c r="AF27" i="74"/>
  <c r="AF229" i="74" s="1"/>
  <c r="AF13" i="74" s="1"/>
  <c r="AA5" i="74"/>
  <c r="AA27" i="74"/>
  <c r="AA3" i="74"/>
  <c r="AE78" i="74"/>
  <c r="BA309" i="74"/>
  <c r="BA304" i="74"/>
  <c r="BA317" i="74"/>
  <c r="BA329" i="74"/>
  <c r="AP68" i="74"/>
  <c r="AP308" i="74"/>
  <c r="AP307" i="74"/>
  <c r="AE311" i="74"/>
  <c r="AE329" i="74"/>
  <c r="T315" i="74"/>
  <c r="Y52" i="74"/>
  <c r="AA309" i="74"/>
  <c r="AA330" i="74"/>
  <c r="AT174" i="74"/>
  <c r="W30" i="74"/>
  <c r="AZ310" i="74"/>
  <c r="AZ309" i="74"/>
  <c r="AO310" i="74"/>
  <c r="AO308" i="74"/>
  <c r="AD324" i="74" a="1"/>
  <c r="AD324" i="74" s="1"/>
  <c r="S307" i="74"/>
  <c r="S330" i="74"/>
  <c r="P308" i="74"/>
  <c r="AD62" i="74"/>
  <c r="R368" i="74"/>
  <c r="R61" i="74"/>
  <c r="R63" i="74"/>
  <c r="R25" i="74"/>
  <c r="R24" i="74"/>
  <c r="BG64" i="74"/>
  <c r="BG310" i="74"/>
  <c r="BG313" i="74"/>
  <c r="AY329" i="74"/>
  <c r="AN68" i="74"/>
  <c r="AN308" i="74"/>
  <c r="R64" i="74"/>
  <c r="R307" i="74"/>
  <c r="R313" i="74"/>
  <c r="AI64" i="74"/>
  <c r="AI304" i="74"/>
  <c r="AI317" i="74"/>
  <c r="BF368" i="74"/>
  <c r="BF61" i="74"/>
  <c r="BF25" i="74"/>
  <c r="BF63" i="74"/>
  <c r="BF24" i="74"/>
  <c r="BF329" i="74"/>
  <c r="AB65" i="74"/>
  <c r="AB322" i="74"/>
  <c r="AB340" i="74" s="1"/>
  <c r="AB317" i="74"/>
  <c r="AB308" i="74"/>
  <c r="Q304" i="74"/>
  <c r="BE181" i="74"/>
  <c r="BE12" i="74" s="1"/>
  <c r="AT68" i="74"/>
  <c r="AT313" i="74"/>
  <c r="AA26" i="74"/>
  <c r="P54" i="74"/>
  <c r="BE331" i="74"/>
  <c r="BE325" i="74" a="1"/>
  <c r="BE325" i="74" s="1"/>
  <c r="BE326" i="74" a="1"/>
  <c r="BE326" i="74" s="1"/>
  <c r="BC368" i="74"/>
  <c r="BC61" i="74"/>
  <c r="BC63" i="74"/>
  <c r="BC24" i="74"/>
  <c r="BC25" i="74"/>
  <c r="BC68" i="74"/>
  <c r="BC340" i="74"/>
  <c r="V68" i="74"/>
  <c r="V317" i="74"/>
  <c r="U55" i="74"/>
  <c r="U54" i="74"/>
  <c r="Y29" i="74"/>
  <c r="BA368" i="74"/>
  <c r="BA63" i="74"/>
  <c r="BA24" i="74"/>
  <c r="BA61" i="74"/>
  <c r="BA25" i="74"/>
  <c r="BA311" i="74"/>
  <c r="AP315" i="74"/>
  <c r="AP313" i="74"/>
  <c r="AE64" i="74"/>
  <c r="AE309" i="74"/>
  <c r="AA310" i="74"/>
  <c r="AA329" i="74"/>
  <c r="BF174" i="74"/>
  <c r="S31" i="74"/>
  <c r="S234" i="74" s="1"/>
  <c r="AO68" i="74"/>
  <c r="AO309" i="74"/>
  <c r="BE368" i="74"/>
  <c r="BE61" i="74"/>
  <c r="BE25" i="74"/>
  <c r="BE63" i="74"/>
  <c r="BE24" i="74"/>
  <c r="P311" i="74"/>
  <c r="P317" i="74"/>
  <c r="AG30" i="74"/>
  <c r="BG65" i="74"/>
  <c r="BG306" i="74"/>
  <c r="BG317" i="74"/>
  <c r="BG330" i="74"/>
  <c r="AN313" i="74"/>
  <c r="AN329" i="74"/>
  <c r="R322" i="74"/>
  <c r="R337" i="74" s="1"/>
  <c r="R330" i="74"/>
  <c r="AU368" i="74"/>
  <c r="AU61" i="74"/>
  <c r="AU63" i="74"/>
  <c r="AU25" i="74"/>
  <c r="AU24" i="74"/>
  <c r="BF337" i="74"/>
  <c r="AB313" i="74"/>
  <c r="Q308" i="74"/>
  <c r="Q313" i="74"/>
  <c r="Q330" i="74"/>
  <c r="V181" i="74"/>
  <c r="V12" i="74" s="1"/>
  <c r="AT310" i="74"/>
  <c r="O322" i="74"/>
  <c r="O340" i="74" s="1"/>
  <c r="O330" i="74"/>
  <c r="AG31" i="74"/>
  <c r="AG234" i="74" s="1"/>
  <c r="AW317" i="74"/>
  <c r="BA93" i="74"/>
  <c r="BA95" i="74" s="1"/>
  <c r="AY93" i="74"/>
  <c r="AY95" i="74" s="1"/>
  <c r="BG27" i="74"/>
  <c r="AY27" i="74"/>
  <c r="BF27" i="74"/>
  <c r="BE27" i="74"/>
  <c r="BD27" i="74"/>
  <c r="BD229" i="74" s="1"/>
  <c r="BD13" i="74" s="1"/>
  <c r="BA27" i="74"/>
  <c r="AY4" i="74"/>
  <c r="AY5" i="74"/>
  <c r="BC27" i="74"/>
  <c r="BB27" i="74"/>
  <c r="AY3" i="74"/>
  <c r="AZ27" i="74"/>
  <c r="AY8" i="74"/>
  <c r="AR368" i="74"/>
  <c r="AR61" i="74"/>
  <c r="AR63" i="74"/>
  <c r="AR25" i="74"/>
  <c r="AR24" i="74"/>
  <c r="AR66" i="74"/>
  <c r="BC337" i="74"/>
  <c r="AR337" i="74"/>
  <c r="V55" i="74"/>
  <c r="V308" i="74"/>
  <c r="V330" i="74"/>
  <c r="BB368" i="74"/>
  <c r="BB61" i="74"/>
  <c r="BB25" i="74"/>
  <c r="BB24" i="74"/>
  <c r="BB63" i="74"/>
  <c r="BB309" i="74"/>
  <c r="U62" i="74"/>
  <c r="P31" i="74"/>
  <c r="AA31" i="74"/>
  <c r="AF31" i="74"/>
  <c r="AF233" i="74" s="1"/>
  <c r="Y284" i="74"/>
  <c r="AP368" i="74"/>
  <c r="AP63" i="74"/>
  <c r="AP25" i="74"/>
  <c r="AP24" i="74"/>
  <c r="AP61" i="74"/>
  <c r="BA315" i="74"/>
  <c r="BA306" i="74"/>
  <c r="AP309" i="74"/>
  <c r="AE306" i="74"/>
  <c r="T310" i="74"/>
  <c r="T311" i="74"/>
  <c r="T309" i="74"/>
  <c r="AZ304" i="74"/>
  <c r="AZ329" i="74"/>
  <c r="AZ330" i="74"/>
  <c r="AO317" i="74"/>
  <c r="AO313" i="74"/>
  <c r="AD329" i="74"/>
  <c r="S65" i="74"/>
  <c r="S304" i="74"/>
  <c r="S313" i="74"/>
  <c r="S310" i="74"/>
  <c r="P368" i="74"/>
  <c r="P61" i="74"/>
  <c r="P63" i="74"/>
  <c r="P25" i="74"/>
  <c r="P24" i="74"/>
  <c r="P66" i="74"/>
  <c r="P304" i="74"/>
  <c r="V30" i="74"/>
  <c r="BG309" i="74"/>
  <c r="BG311" i="74"/>
  <c r="AW52" i="74"/>
  <c r="AY340" i="74"/>
  <c r="AN306" i="74"/>
  <c r="AN309" i="74"/>
  <c r="R66" i="74"/>
  <c r="R317" i="74"/>
  <c r="R306" i="74"/>
  <c r="R311" i="74"/>
  <c r="AZ30" i="74"/>
  <c r="AI55" i="74"/>
  <c r="AI307" i="74"/>
  <c r="AI322" i="74"/>
  <c r="AI340" i="74" s="1"/>
  <c r="AM368" i="74"/>
  <c r="AK194" i="74"/>
  <c r="AK195" i="74" a="1"/>
  <c r="AK195" i="74" s="1"/>
  <c r="AM61" i="74"/>
  <c r="AM63" i="74"/>
  <c r="AM25" i="74"/>
  <c r="AM24" i="74"/>
  <c r="AU66" i="74"/>
  <c r="AU62" i="74"/>
  <c r="AB304" i="74"/>
  <c r="AB306" i="74"/>
  <c r="Q307" i="74"/>
  <c r="Q311" i="74"/>
  <c r="Q309" i="74"/>
  <c r="AH181" i="74"/>
  <c r="AH12" i="74" s="1"/>
  <c r="BC66" i="74"/>
  <c r="AQ368" i="74"/>
  <c r="AQ24" i="74"/>
  <c r="AQ61" i="74"/>
  <c r="AQ25" i="74"/>
  <c r="AQ63" i="74"/>
  <c r="BB331" i="74"/>
  <c r="BB326" i="74" a="1"/>
  <c r="BB326" i="74" s="1"/>
  <c r="BB325" i="74" a="1"/>
  <c r="BB325" i="74" s="1"/>
  <c r="AQ68" i="74"/>
  <c r="T30" i="74"/>
  <c r="AI31" i="74"/>
  <c r="AI234" i="74" s="1"/>
  <c r="Y67" i="74"/>
  <c r="AG78" i="74"/>
  <c r="Y285" i="74"/>
  <c r="Y367" i="74"/>
  <c r="AE368" i="74"/>
  <c r="AE63" i="74"/>
  <c r="AE25" i="74"/>
  <c r="AE24" i="74"/>
  <c r="AE61" i="74"/>
  <c r="AE307" i="74"/>
  <c r="AE315" i="74"/>
  <c r="T68" i="74"/>
  <c r="AI368" i="74"/>
  <c r="AI61" i="74"/>
  <c r="AI63" i="74"/>
  <c r="AI24" i="74"/>
  <c r="AI25" i="74"/>
  <c r="AA317" i="74"/>
  <c r="AA308" i="74"/>
  <c r="AZ368" i="74"/>
  <c r="AZ25" i="74"/>
  <c r="AZ63" i="74"/>
  <c r="AZ24" i="74"/>
  <c r="AZ61" i="74"/>
  <c r="AZ66" i="74"/>
  <c r="AD331" i="74"/>
  <c r="AD326" i="74" a="1"/>
  <c r="AD326" i="74" s="1"/>
  <c r="AD325" i="74" a="1"/>
  <c r="AD325" i="74" s="1"/>
  <c r="S68" i="74"/>
  <c r="S308" i="74"/>
  <c r="BG324" i="74" a="1"/>
  <c r="BG324" i="74" s="1"/>
  <c r="BG337" i="74"/>
  <c r="AY337" i="74"/>
  <c r="AC68" i="74"/>
  <c r="R68" i="74"/>
  <c r="R310" i="74"/>
  <c r="AT368" i="74"/>
  <c r="AT61" i="74"/>
  <c r="AT63" i="74"/>
  <c r="AT25" i="74"/>
  <c r="AT24" i="74"/>
  <c r="AI315" i="74"/>
  <c r="AB368" i="74"/>
  <c r="AB61" i="74"/>
  <c r="AB63" i="74"/>
  <c r="AB25" i="74"/>
  <c r="AB24" i="74"/>
  <c r="BF324" i="74" a="1"/>
  <c r="BF324" i="74" s="1"/>
  <c r="BF340" i="74"/>
  <c r="AU337" i="74"/>
  <c r="AB307" i="74"/>
  <c r="AB311" i="74"/>
  <c r="Q65" i="74"/>
  <c r="AT181" i="74"/>
  <c r="AT12" i="74" s="1"/>
  <c r="AT66" i="74"/>
  <c r="V64" i="74"/>
  <c r="O368" i="74"/>
  <c r="M194" i="74"/>
  <c r="M195" i="74" a="1"/>
  <c r="M195" i="74" s="1"/>
  <c r="O24" i="74"/>
  <c r="O61" i="74"/>
  <c r="O63" i="74"/>
  <c r="O25" i="74"/>
  <c r="BD304" i="74"/>
  <c r="BD310" i="74"/>
  <c r="BD313" i="74"/>
  <c r="AH322" i="74"/>
  <c r="W64" i="74"/>
  <c r="O309" i="74"/>
  <c r="BE324" i="74" a="1"/>
  <c r="BE324" i="74" s="1"/>
  <c r="V368" i="74"/>
  <c r="V25" i="74"/>
  <c r="V24" i="74"/>
  <c r="V61" i="74"/>
  <c r="V63" i="74"/>
  <c r="AR64" i="74"/>
  <c r="AG310" i="74"/>
  <c r="V65" i="74"/>
  <c r="V304" i="74"/>
  <c r="V311" i="74"/>
  <c r="V322" i="74"/>
  <c r="V340" i="74" s="1"/>
  <c r="AU258" i="74"/>
  <c r="AK257" i="74"/>
  <c r="AK186" i="74"/>
  <c r="AU188" i="74"/>
  <c r="AK367" i="74"/>
  <c r="AF368" i="74"/>
  <c r="AF25" i="74"/>
  <c r="AF24" i="74"/>
  <c r="AF61" i="74"/>
  <c r="AF63" i="74"/>
  <c r="BB66" i="74"/>
  <c r="BB307" i="74"/>
  <c r="BB310" i="74"/>
  <c r="AQ330" i="74"/>
  <c r="AD31" i="74"/>
  <c r="AD234" i="74" s="1"/>
  <c r="Y69" i="74"/>
  <c r="AI258" i="74"/>
  <c r="Y257" i="74"/>
  <c r="T368" i="74"/>
  <c r="T63" i="74"/>
  <c r="T25" i="74"/>
  <c r="T24" i="74"/>
  <c r="T61" i="74"/>
  <c r="BA66" i="74"/>
  <c r="BA307" i="74"/>
  <c r="BA308" i="74"/>
  <c r="BA322" i="74"/>
  <c r="BA340" i="74" s="1"/>
  <c r="AP330" i="74"/>
  <c r="AE54" i="74"/>
  <c r="T313" i="74"/>
  <c r="T306" i="74"/>
  <c r="T304" i="74"/>
  <c r="T330" i="74"/>
  <c r="AA315" i="74"/>
  <c r="AO368" i="74"/>
  <c r="AO63" i="74"/>
  <c r="AO25" i="74"/>
  <c r="AO24" i="74"/>
  <c r="AO61" i="74"/>
  <c r="AZ313" i="74"/>
  <c r="AZ322" i="74"/>
  <c r="AZ324" i="74" s="1" a="1"/>
  <c r="AZ324" i="74" s="1"/>
  <c r="AO65" i="74"/>
  <c r="AO307" i="74"/>
  <c r="AO340" i="74"/>
  <c r="S64" i="74"/>
  <c r="S309" i="74"/>
  <c r="S322" i="74"/>
  <c r="S317" i="74"/>
  <c r="P315" i="74"/>
  <c r="BG368" i="74"/>
  <c r="BG61" i="74"/>
  <c r="BG25" i="74"/>
  <c r="BG63" i="74"/>
  <c r="BG24" i="74"/>
  <c r="BG304" i="74"/>
  <c r="BG340" i="74"/>
  <c r="AN322" i="74"/>
  <c r="AN324" i="74" s="1" a="1"/>
  <c r="AN324" i="74" s="1"/>
  <c r="AN330" i="74"/>
  <c r="R54" i="74"/>
  <c r="R304" i="74"/>
  <c r="R315" i="74"/>
  <c r="AI62" i="74"/>
  <c r="AI329" i="74"/>
  <c r="Q368" i="74"/>
  <c r="Q61" i="74"/>
  <c r="Q63" i="74"/>
  <c r="Q24" i="74"/>
  <c r="Q25" i="74"/>
  <c r="AU340" i="74"/>
  <c r="AM62" i="74"/>
  <c r="AM329" i="74"/>
  <c r="AB310" i="74"/>
  <c r="AB309" i="74"/>
  <c r="Q315" i="74"/>
  <c r="Q322" i="74"/>
  <c r="Q337" i="74" s="1"/>
  <c r="BC181" i="74"/>
  <c r="BC12" i="74" s="1"/>
  <c r="BF181" i="74"/>
  <c r="BF12" i="74" s="1"/>
  <c r="AT322" i="74"/>
  <c r="AT324" i="74" s="1" a="1"/>
  <c r="AT324" i="74" s="1"/>
  <c r="Y195" i="74" a="1"/>
  <c r="Y195" i="74" s="1"/>
  <c r="BD65" i="74"/>
  <c r="BD306" i="74"/>
  <c r="AS331" i="74"/>
  <c r="AS325" i="74" a="1"/>
  <c r="AS325" i="74" s="1"/>
  <c r="AS326" i="74" a="1"/>
  <c r="AS326" i="74" s="1"/>
  <c r="W68" i="74"/>
  <c r="W317" i="74"/>
  <c r="W306" i="74"/>
  <c r="O55" i="74"/>
  <c r="O54" i="74"/>
  <c r="O307" i="74"/>
  <c r="O311" i="74"/>
  <c r="AR54" i="74"/>
  <c r="AG55" i="74"/>
  <c r="AG304" i="74"/>
  <c r="AK284" i="74"/>
  <c r="U368" i="74"/>
  <c r="U25" i="74"/>
  <c r="U24" i="74"/>
  <c r="U61" i="74"/>
  <c r="U63" i="74"/>
  <c r="BB317" i="74"/>
  <c r="BB337" i="74"/>
  <c r="AQ304" i="74"/>
  <c r="AQ317" i="74"/>
  <c r="U310" i="74"/>
  <c r="U322" i="74"/>
  <c r="U340" i="74" s="1"/>
  <c r="Y186" i="74"/>
  <c r="AI188" i="74"/>
  <c r="AD352" i="74"/>
  <c r="AI352" i="74"/>
  <c r="AA352" i="74"/>
  <c r="AH352" i="74"/>
  <c r="AG352" i="74"/>
  <c r="AF352" i="74"/>
  <c r="AE352" i="74"/>
  <c r="AC352" i="74"/>
  <c r="AB352" i="74"/>
  <c r="AH289" i="74"/>
  <c r="AD289" i="74"/>
  <c r="AG289" i="74"/>
  <c r="AF289" i="74"/>
  <c r="AE289" i="74"/>
  <c r="AC289" i="74"/>
  <c r="AB289" i="74"/>
  <c r="AA289" i="74"/>
  <c r="AH192" i="74"/>
  <c r="Y192" i="74" s="1"/>
  <c r="AI289" i="74"/>
  <c r="Y282" i="74"/>
  <c r="BA313" i="74"/>
  <c r="AP66" i="74"/>
  <c r="AP306" i="74"/>
  <c r="AP317" i="74"/>
  <c r="AE310" i="74"/>
  <c r="AE308" i="74"/>
  <c r="T66" i="74"/>
  <c r="T307" i="74"/>
  <c r="T308" i="74"/>
  <c r="AA306" i="74"/>
  <c r="AC242" i="74"/>
  <c r="AD368" i="74"/>
  <c r="AD63" i="74"/>
  <c r="AD25" i="74"/>
  <c r="AD24" i="74"/>
  <c r="AD61" i="74"/>
  <c r="AZ54" i="74"/>
  <c r="AZ55" i="74"/>
  <c r="AY368" i="74"/>
  <c r="AW195" i="74" a="1"/>
  <c r="AW195" i="74" s="1"/>
  <c r="AW194" i="74"/>
  <c r="AY61" i="74"/>
  <c r="AY25" i="74"/>
  <c r="AY63" i="74"/>
  <c r="AY24" i="74"/>
  <c r="BG54" i="74"/>
  <c r="BG55" i="74"/>
  <c r="BG315" i="74"/>
  <c r="AY64" i="74"/>
  <c r="AN317" i="74"/>
  <c r="AN310" i="74"/>
  <c r="AN311" i="74"/>
  <c r="AC331" i="74"/>
  <c r="AC325" i="74" a="1"/>
  <c r="AC325" i="74" s="1"/>
  <c r="AC326" i="74" a="1"/>
  <c r="AC326" i="74" s="1"/>
  <c r="R55" i="74"/>
  <c r="R309" i="74"/>
  <c r="AI65" i="74"/>
  <c r="AI311" i="74"/>
  <c r="AI306" i="74"/>
  <c r="AU55" i="74"/>
  <c r="AU324" i="74" a="1"/>
  <c r="AU324" i="74" s="1"/>
  <c r="AM331" i="74"/>
  <c r="AM326" i="74" a="1"/>
  <c r="AM326" i="74" s="1"/>
  <c r="AM325" i="74" a="1"/>
  <c r="AM325" i="74" s="1"/>
  <c r="AB315" i="74"/>
  <c r="Q317" i="74"/>
  <c r="Y194" i="74"/>
  <c r="AC235" i="73"/>
  <c r="AC233" i="73"/>
  <c r="AC234" i="73"/>
  <c r="AU336" i="73"/>
  <c r="AU339" i="73" a="1"/>
  <c r="AU339" i="73" s="1"/>
  <c r="AP325" i="73" a="1"/>
  <c r="AP325" i="73" s="1"/>
  <c r="AP326" i="73" a="1"/>
  <c r="AP326" i="73" s="1"/>
  <c r="AP331" i="73"/>
  <c r="AS349" i="73"/>
  <c r="AR349" i="73"/>
  <c r="AQ349" i="73"/>
  <c r="AP349" i="73"/>
  <c r="AO349" i="73"/>
  <c r="AN349" i="73"/>
  <c r="AT349" i="73"/>
  <c r="AU349" i="73"/>
  <c r="AM349" i="73"/>
  <c r="AQ169" i="73"/>
  <c r="AQ174" i="73" s="1"/>
  <c r="AR369" i="73"/>
  <c r="AQ369" i="73"/>
  <c r="AS369" i="73"/>
  <c r="AQ286" i="73"/>
  <c r="AR286" i="73"/>
  <c r="AO369" i="73"/>
  <c r="AU286" i="73"/>
  <c r="AN286" i="73"/>
  <c r="AS286" i="73"/>
  <c r="AO286" i="73"/>
  <c r="AM286" i="73"/>
  <c r="AP286" i="73"/>
  <c r="AP369" i="73"/>
  <c r="AN369" i="73"/>
  <c r="AT369" i="73"/>
  <c r="AT286" i="73"/>
  <c r="AU369" i="73"/>
  <c r="AM369" i="73"/>
  <c r="P331" i="73"/>
  <c r="P326" i="73" a="1"/>
  <c r="P326" i="73" s="1"/>
  <c r="P325" i="73" a="1"/>
  <c r="P325" i="73" s="1"/>
  <c r="AI258" i="73"/>
  <c r="Y257" i="73"/>
  <c r="AD54" i="73"/>
  <c r="AZ30" i="72"/>
  <c r="BG311" i="72"/>
  <c r="AY315" i="72"/>
  <c r="R307" i="72"/>
  <c r="BC68" i="72"/>
  <c r="AH31" i="72"/>
  <c r="AH234" i="72" s="1"/>
  <c r="BF308" i="72"/>
  <c r="BF310" i="72"/>
  <c r="AB307" i="72"/>
  <c r="AB322" i="72"/>
  <c r="AB340" i="72" s="1"/>
  <c r="AB317" i="72"/>
  <c r="Q54" i="72"/>
  <c r="BA55" i="72"/>
  <c r="AG31" i="72"/>
  <c r="AG234" i="72" s="1"/>
  <c r="BE306" i="72"/>
  <c r="AS304" i="72"/>
  <c r="W309" i="72"/>
  <c r="W313" i="72"/>
  <c r="O330" i="72"/>
  <c r="V304" i="72"/>
  <c r="AD317" i="72"/>
  <c r="P64" i="72"/>
  <c r="AE54" i="72"/>
  <c r="AE307" i="72"/>
  <c r="BC55" i="72"/>
  <c r="AN64" i="73"/>
  <c r="AN55" i="73"/>
  <c r="BG326" i="73" a="1"/>
  <c r="BG326" i="73" s="1"/>
  <c r="BG325" i="73" a="1"/>
  <c r="BG325" i="73" s="1"/>
  <c r="BG331" i="73"/>
  <c r="AY68" i="73"/>
  <c r="AN65" i="73"/>
  <c r="AN322" i="73"/>
  <c r="AN337" i="73" s="1"/>
  <c r="AC330" i="73"/>
  <c r="AO54" i="73"/>
  <c r="AF62" i="73"/>
  <c r="AF55" i="73"/>
  <c r="AF329" i="73"/>
  <c r="AF64" i="73"/>
  <c r="AQ310" i="73"/>
  <c r="AQ307" i="73"/>
  <c r="AQ68" i="73"/>
  <c r="AQ322" i="73"/>
  <c r="AQ306" i="73"/>
  <c r="AQ330" i="73"/>
  <c r="AQ309" i="73"/>
  <c r="AQ313" i="73"/>
  <c r="AQ311" i="73"/>
  <c r="AQ304" i="73"/>
  <c r="AQ30" i="73"/>
  <c r="AQ317" i="73"/>
  <c r="AQ65" i="73"/>
  <c r="BF368" i="73"/>
  <c r="BF63" i="73"/>
  <c r="BF61" i="73"/>
  <c r="BF25" i="73"/>
  <c r="BF24" i="73"/>
  <c r="BF317" i="73"/>
  <c r="BF309" i="73"/>
  <c r="AU329" i="73"/>
  <c r="AE368" i="73"/>
  <c r="AE61" i="73"/>
  <c r="AE63" i="73"/>
  <c r="AE24" i="73"/>
  <c r="AE25" i="73"/>
  <c r="R65" i="73"/>
  <c r="R30" i="73"/>
  <c r="BE315" i="73"/>
  <c r="AT340" i="73"/>
  <c r="AT309" i="73"/>
  <c r="P64" i="73"/>
  <c r="P62" i="73"/>
  <c r="P337" i="73"/>
  <c r="AT174" i="73"/>
  <c r="AE62" i="73"/>
  <c r="AE54" i="73"/>
  <c r="U31" i="73"/>
  <c r="U234" i="73" s="1"/>
  <c r="AF31" i="73"/>
  <c r="AF233" i="73" s="1"/>
  <c r="AH331" i="73"/>
  <c r="AH326" i="73" a="1"/>
  <c r="AH326" i="73" s="1"/>
  <c r="AH325" i="73" a="1"/>
  <c r="AH325" i="73" s="1"/>
  <c r="BE304" i="72"/>
  <c r="P315" i="72"/>
  <c r="AE309" i="72"/>
  <c r="AE30" i="72"/>
  <c r="AN311" i="73"/>
  <c r="AN313" i="73"/>
  <c r="AN330" i="73"/>
  <c r="AC307" i="73"/>
  <c r="AC310" i="73"/>
  <c r="AE30" i="73"/>
  <c r="AK284" i="73"/>
  <c r="AU368" i="73"/>
  <c r="AU63" i="73"/>
  <c r="AU24" i="73"/>
  <c r="AU25" i="73"/>
  <c r="AU61" i="73"/>
  <c r="AM331" i="73"/>
  <c r="AM326" i="73" a="1"/>
  <c r="AM326" i="73" s="1"/>
  <c r="AM325" i="73" a="1"/>
  <c r="AM325" i="73" s="1"/>
  <c r="Q54" i="73"/>
  <c r="BE317" i="73"/>
  <c r="BE310" i="73"/>
  <c r="AA326" i="73" a="1"/>
  <c r="AA326" i="73" s="1"/>
  <c r="AA331" i="73"/>
  <c r="AA325" i="73" a="1"/>
  <c r="AA325" i="73" s="1"/>
  <c r="AF30" i="73"/>
  <c r="AE65" i="73"/>
  <c r="AK52" i="73"/>
  <c r="AG78" i="73"/>
  <c r="Y284" i="73"/>
  <c r="BA313" i="73"/>
  <c r="U78" i="73"/>
  <c r="AQ315" i="73"/>
  <c r="AN68" i="73"/>
  <c r="AN30" i="73"/>
  <c r="R331" i="73"/>
  <c r="R325" i="73" a="1"/>
  <c r="R325" i="73" s="1"/>
  <c r="R326" i="73" a="1"/>
  <c r="R326" i="73" s="1"/>
  <c r="Y52" i="72"/>
  <c r="BG315" i="72"/>
  <c r="T62" i="72"/>
  <c r="BF304" i="72"/>
  <c r="AB64" i="72"/>
  <c r="AB54" i="72"/>
  <c r="AB310" i="72"/>
  <c r="AB309" i="72"/>
  <c r="Q310" i="72"/>
  <c r="BE307" i="72"/>
  <c r="BE317" i="72"/>
  <c r="AI68" i="72"/>
  <c r="U304" i="72"/>
  <c r="AO322" i="72"/>
  <c r="AS313" i="72"/>
  <c r="W306" i="72"/>
  <c r="W322" i="72"/>
  <c r="W340" i="72" s="1"/>
  <c r="W330" i="72"/>
  <c r="O322" i="72"/>
  <c r="AD311" i="72"/>
  <c r="AD330" i="72"/>
  <c r="BA62" i="72"/>
  <c r="BA340" i="72"/>
  <c r="AE322" i="72"/>
  <c r="AE337" i="72" s="1"/>
  <c r="AE339" i="72" s="1" a="1"/>
  <c r="AE339" i="72" s="1"/>
  <c r="AE311" i="72"/>
  <c r="Q141" i="73"/>
  <c r="AF322" i="73"/>
  <c r="AF324" i="73" s="1" a="1"/>
  <c r="AF324" i="73" s="1"/>
  <c r="AF315" i="73"/>
  <c r="AF330" i="73"/>
  <c r="AF311" i="73"/>
  <c r="AF317" i="73"/>
  <c r="AF310" i="73"/>
  <c r="AF304" i="73"/>
  <c r="AF313" i="73"/>
  <c r="AF308" i="73"/>
  <c r="AF306" i="73"/>
  <c r="AF309" i="73"/>
  <c r="AF68" i="73"/>
  <c r="AN306" i="73"/>
  <c r="AC306" i="73"/>
  <c r="AC308" i="73"/>
  <c r="AC311" i="73"/>
  <c r="AO62" i="73"/>
  <c r="S313" i="73"/>
  <c r="S330" i="73"/>
  <c r="S308" i="73"/>
  <c r="S306" i="73"/>
  <c r="S68" i="73"/>
  <c r="S310" i="73"/>
  <c r="S322" i="73"/>
  <c r="S337" i="73" s="1"/>
  <c r="S309" i="73"/>
  <c r="S304" i="73"/>
  <c r="S307" i="73"/>
  <c r="S315" i="73"/>
  <c r="S65" i="73"/>
  <c r="AQ31" i="73"/>
  <c r="AQ234" i="73" s="1"/>
  <c r="AM31" i="73"/>
  <c r="AU352" i="73"/>
  <c r="AM352" i="73"/>
  <c r="AT352" i="73"/>
  <c r="AS352" i="73"/>
  <c r="AR352" i="73"/>
  <c r="AQ352" i="73"/>
  <c r="AP352" i="73"/>
  <c r="AN352" i="73"/>
  <c r="AO352" i="73"/>
  <c r="AN289" i="73"/>
  <c r="AU289" i="73"/>
  <c r="AM289" i="73"/>
  <c r="AT289" i="73"/>
  <c r="AP289" i="73"/>
  <c r="AO289" i="73"/>
  <c r="AS289" i="73"/>
  <c r="AR289" i="73"/>
  <c r="AQ289" i="73"/>
  <c r="AT192" i="73"/>
  <c r="AK192" i="73" s="1"/>
  <c r="AK285" i="73"/>
  <c r="AM368" i="73"/>
  <c r="AK195" i="73" a="1"/>
  <c r="AK195" i="73" s="1"/>
  <c r="AK194" i="73"/>
  <c r="AM63" i="73"/>
  <c r="AM24" i="73"/>
  <c r="AM25" i="73"/>
  <c r="AM61" i="73"/>
  <c r="AM54" i="73"/>
  <c r="AB331" i="73"/>
  <c r="AB326" i="73" a="1"/>
  <c r="AB326" i="73" s="1"/>
  <c r="AB325" i="73" a="1"/>
  <c r="AB325" i="73" s="1"/>
  <c r="AB337" i="73"/>
  <c r="Q329" i="73"/>
  <c r="AR31" i="73"/>
  <c r="AR233" i="73" s="1"/>
  <c r="BE311" i="73"/>
  <c r="AI64" i="73"/>
  <c r="AE322" i="73"/>
  <c r="AC352" i="73"/>
  <c r="AB352" i="73"/>
  <c r="AI352" i="73"/>
  <c r="AA352" i="73"/>
  <c r="AH352" i="73"/>
  <c r="AG352" i="73"/>
  <c r="AF352" i="73"/>
  <c r="AD352" i="73"/>
  <c r="AE352" i="73"/>
  <c r="AD289" i="73"/>
  <c r="AC289" i="73"/>
  <c r="AB289" i="73"/>
  <c r="AI289" i="73"/>
  <c r="AH289" i="73"/>
  <c r="AG289" i="73"/>
  <c r="AF289" i="73"/>
  <c r="AE289" i="73"/>
  <c r="AA289" i="73"/>
  <c r="AH192" i="73"/>
  <c r="Y192" i="73" s="1"/>
  <c r="BD368" i="73"/>
  <c r="BD61" i="73"/>
  <c r="BD63" i="73"/>
  <c r="BD25" i="73"/>
  <c r="BD24" i="73"/>
  <c r="BD66" i="73"/>
  <c r="BC311" i="73"/>
  <c r="AW282" i="73"/>
  <c r="AF307" i="73"/>
  <c r="AY325" i="73" a="1"/>
  <c r="AY325" i="73" s="1"/>
  <c r="AY331" i="73"/>
  <c r="AY326" i="73" a="1"/>
  <c r="AY326" i="73" s="1"/>
  <c r="AD62" i="73"/>
  <c r="AD55" i="73"/>
  <c r="AD340" i="73"/>
  <c r="AD337" i="73"/>
  <c r="AD324" i="73" a="1"/>
  <c r="AD324" i="73" s="1"/>
  <c r="P368" i="73"/>
  <c r="P63" i="73"/>
  <c r="P61" i="73"/>
  <c r="P25" i="73"/>
  <c r="P24" i="73"/>
  <c r="P66" i="73"/>
  <c r="AT331" i="73"/>
  <c r="BC324" i="72" a="1"/>
  <c r="BC324" i="72" s="1"/>
  <c r="AB311" i="72"/>
  <c r="BE308" i="72"/>
  <c r="P309" i="72"/>
  <c r="P310" i="72"/>
  <c r="U307" i="72"/>
  <c r="U330" i="72"/>
  <c r="T64" i="72"/>
  <c r="Y284" i="72"/>
  <c r="W307" i="72"/>
  <c r="AP64" i="72"/>
  <c r="AE304" i="72"/>
  <c r="U313" i="73"/>
  <c r="U322" i="73"/>
  <c r="U324" i="73" s="1" a="1"/>
  <c r="U324" i="73" s="1"/>
  <c r="U308" i="73"/>
  <c r="U315" i="73"/>
  <c r="U68" i="73"/>
  <c r="U309" i="73"/>
  <c r="U307" i="73"/>
  <c r="U311" i="73"/>
  <c r="U304" i="73"/>
  <c r="U306" i="73"/>
  <c r="BG368" i="73"/>
  <c r="BG61" i="73"/>
  <c r="BG24" i="73"/>
  <c r="BG63" i="73"/>
  <c r="BG25" i="73"/>
  <c r="BG66" i="73"/>
  <c r="AN304" i="73"/>
  <c r="AC313" i="73"/>
  <c r="AC315" i="73"/>
  <c r="R340" i="73"/>
  <c r="AZ31" i="73"/>
  <c r="AU31" i="73"/>
  <c r="AU234" i="73" s="1"/>
  <c r="AK186" i="73"/>
  <c r="AU188" i="73"/>
  <c r="AK282" i="73"/>
  <c r="AB368" i="73"/>
  <c r="AB63" i="73"/>
  <c r="AB25" i="73"/>
  <c r="AB61" i="73"/>
  <c r="AB24" i="73"/>
  <c r="AU55" i="73"/>
  <c r="AU64" i="73"/>
  <c r="AU324" i="73" a="1"/>
  <c r="AU324" i="73" s="1"/>
  <c r="AM337" i="73"/>
  <c r="AM68" i="73"/>
  <c r="V31" i="73"/>
  <c r="V234" i="73" s="1"/>
  <c r="BE368" i="73"/>
  <c r="BE63" i="73"/>
  <c r="BE24" i="73"/>
  <c r="BE61" i="73"/>
  <c r="BE25" i="73"/>
  <c r="BE65" i="73"/>
  <c r="BE308" i="73"/>
  <c r="BE322" i="73"/>
  <c r="AA337" i="73"/>
  <c r="AE307" i="73"/>
  <c r="BB54" i="73"/>
  <c r="BB64" i="73"/>
  <c r="BB55" i="73"/>
  <c r="BB62" i="73"/>
  <c r="BB329" i="73"/>
  <c r="BA307" i="73"/>
  <c r="BA304" i="73"/>
  <c r="BA65" i="73"/>
  <c r="BA308" i="73"/>
  <c r="BA322" i="73"/>
  <c r="BA340" i="73" s="1"/>
  <c r="BA311" i="73"/>
  <c r="BA317" i="73"/>
  <c r="BA306" i="73"/>
  <c r="BA330" i="73"/>
  <c r="BA309" i="73"/>
  <c r="BA310" i="73"/>
  <c r="BA68" i="73"/>
  <c r="AH31" i="73"/>
  <c r="AH234" i="73" s="1"/>
  <c r="AE78" i="73"/>
  <c r="AS368" i="73"/>
  <c r="AS61" i="73"/>
  <c r="AS63" i="73"/>
  <c r="AS25" i="73"/>
  <c r="AS24" i="73"/>
  <c r="AS68" i="73"/>
  <c r="BD65" i="73"/>
  <c r="BD306" i="73"/>
  <c r="BD322" i="73"/>
  <c r="BD313" i="73"/>
  <c r="BD311" i="73"/>
  <c r="BD308" i="73"/>
  <c r="BD310" i="73"/>
  <c r="BD330" i="73"/>
  <c r="BD304" i="73"/>
  <c r="BD307" i="73"/>
  <c r="BD68" i="73"/>
  <c r="AS66" i="73"/>
  <c r="U368" i="73"/>
  <c r="U61" i="73"/>
  <c r="U63" i="73"/>
  <c r="U24" i="73"/>
  <c r="U25" i="73"/>
  <c r="U66" i="73"/>
  <c r="U310" i="73"/>
  <c r="R368" i="73"/>
  <c r="R61" i="73"/>
  <c r="R25" i="73"/>
  <c r="R24" i="73"/>
  <c r="R63" i="73"/>
  <c r="AN308" i="73"/>
  <c r="AO64" i="73"/>
  <c r="BC313" i="73"/>
  <c r="BC317" i="73"/>
  <c r="BC310" i="73"/>
  <c r="BC308" i="73"/>
  <c r="BC68" i="73"/>
  <c r="BC330" i="73"/>
  <c r="BC309" i="73"/>
  <c r="BC304" i="73"/>
  <c r="BC307" i="73"/>
  <c r="BC315" i="73"/>
  <c r="BC322" i="73"/>
  <c r="Q55" i="73"/>
  <c r="AN304" i="72"/>
  <c r="BC62" i="72"/>
  <c r="AZ309" i="72"/>
  <c r="AB315" i="72"/>
  <c r="Q311" i="72"/>
  <c r="Q315" i="72"/>
  <c r="BE313" i="72"/>
  <c r="U310" i="72"/>
  <c r="U317" i="72"/>
  <c r="U30" i="72"/>
  <c r="W308" i="72"/>
  <c r="W310" i="72"/>
  <c r="V68" i="72"/>
  <c r="AD65" i="72"/>
  <c r="AD306" i="72"/>
  <c r="BA64" i="72"/>
  <c r="AE64" i="72"/>
  <c r="AE330" i="72"/>
  <c r="AE329" i="72"/>
  <c r="AY368" i="73"/>
  <c r="AW194" i="73"/>
  <c r="AW195" i="73" a="1"/>
  <c r="AW195" i="73" s="1"/>
  <c r="AY61" i="73"/>
  <c r="AY63" i="73"/>
  <c r="AY25" i="73"/>
  <c r="AY24" i="73"/>
  <c r="AY337" i="73"/>
  <c r="AN307" i="73"/>
  <c r="AN309" i="73"/>
  <c r="AC317" i="73"/>
  <c r="AC304" i="73"/>
  <c r="R66" i="73"/>
  <c r="R68" i="73"/>
  <c r="AO368" i="73"/>
  <c r="AO61" i="73"/>
  <c r="AO63" i="73"/>
  <c r="AO24" i="73"/>
  <c r="AO25" i="73"/>
  <c r="M67" i="73"/>
  <c r="AA31" i="73"/>
  <c r="AK29" i="73"/>
  <c r="AK257" i="73"/>
  <c r="AU258" i="73"/>
  <c r="Q368" i="73"/>
  <c r="Q63" i="73"/>
  <c r="Q61" i="73"/>
  <c r="Q25" i="73"/>
  <c r="Q24" i="73"/>
  <c r="BF322" i="73"/>
  <c r="BF324" i="73" s="1" a="1"/>
  <c r="BF324" i="73" s="1"/>
  <c r="AM340" i="73"/>
  <c r="AB68" i="73"/>
  <c r="AK317" i="73"/>
  <c r="AO93" i="73"/>
  <c r="AO95" i="73" s="1"/>
  <c r="AM93" i="73"/>
  <c r="AM95" i="73" s="1"/>
  <c r="AS27" i="73"/>
  <c r="AM3" i="73"/>
  <c r="AR27" i="73"/>
  <c r="AR229" i="73" s="1"/>
  <c r="AR13" i="73" s="1"/>
  <c r="AM8" i="73"/>
  <c r="AQ27" i="73"/>
  <c r="AM5" i="73"/>
  <c r="AT27" i="73"/>
  <c r="AP27" i="73"/>
  <c r="AO27" i="73"/>
  <c r="AM4" i="73"/>
  <c r="AU27" i="73"/>
  <c r="AN27" i="73"/>
  <c r="AM27" i="73"/>
  <c r="AT368" i="73"/>
  <c r="AT63" i="73"/>
  <c r="AT25" i="73"/>
  <c r="AT24" i="73"/>
  <c r="AT61" i="73"/>
  <c r="BE313" i="73"/>
  <c r="AT54" i="73"/>
  <c r="AT313" i="73"/>
  <c r="AI331" i="73"/>
  <c r="AI326" i="73" a="1"/>
  <c r="AI326" i="73" s="1"/>
  <c r="AI325" i="73" a="1"/>
  <c r="AI325" i="73" s="1"/>
  <c r="AI337" i="73"/>
  <c r="AA66" i="73"/>
  <c r="AA340" i="73"/>
  <c r="P324" i="73" a="1"/>
  <c r="P324" i="73" s="1"/>
  <c r="P329" i="73"/>
  <c r="AE68" i="73"/>
  <c r="AE310" i="73"/>
  <c r="AE306" i="73"/>
  <c r="AE308" i="73"/>
  <c r="AE337" i="73"/>
  <c r="BE78" i="73"/>
  <c r="BC306" i="73"/>
  <c r="BA315" i="73"/>
  <c r="AP317" i="73"/>
  <c r="S317" i="73"/>
  <c r="U311" i="72"/>
  <c r="AK67" i="73"/>
  <c r="AM62" i="73"/>
  <c r="AP31" i="73"/>
  <c r="AP234" i="73" s="1"/>
  <c r="AY64" i="72"/>
  <c r="BC329" i="72"/>
  <c r="BF309" i="72"/>
  <c r="BF315" i="72"/>
  <c r="BE62" i="72"/>
  <c r="BE309" i="72"/>
  <c r="BE322" i="72"/>
  <c r="BE337" i="72" s="1"/>
  <c r="P304" i="72"/>
  <c r="P322" i="72"/>
  <c r="U65" i="72"/>
  <c r="AO313" i="72"/>
  <c r="AO330" i="72"/>
  <c r="W304" i="72"/>
  <c r="AD313" i="72"/>
  <c r="AD315" i="72"/>
  <c r="AF329" i="72"/>
  <c r="BA329" i="72"/>
  <c r="AP54" i="72"/>
  <c r="AP315" i="72"/>
  <c r="AE313" i="72"/>
  <c r="T310" i="72"/>
  <c r="BC65" i="73"/>
  <c r="BA31" i="73"/>
  <c r="AN368" i="73"/>
  <c r="AN61" i="73"/>
  <c r="AN63" i="73"/>
  <c r="AN24" i="73"/>
  <c r="AN25" i="73"/>
  <c r="AY324" i="73" a="1"/>
  <c r="AY324" i="73" s="1"/>
  <c r="AN54" i="73"/>
  <c r="AN310" i="73"/>
  <c r="AN329" i="73"/>
  <c r="BE30" i="73"/>
  <c r="AS31" i="73"/>
  <c r="AS234" i="73" s="1"/>
  <c r="BF62" i="73"/>
  <c r="BF311" i="73"/>
  <c r="BF308" i="73"/>
  <c r="AB66" i="73"/>
  <c r="Q64" i="73"/>
  <c r="BB309" i="73"/>
  <c r="BB68" i="73"/>
  <c r="BB330" i="73"/>
  <c r="BB306" i="73"/>
  <c r="BB304" i="73"/>
  <c r="BB30" i="73"/>
  <c r="BB322" i="73"/>
  <c r="BB337" i="73" s="1"/>
  <c r="BB65" i="73"/>
  <c r="BB317" i="73"/>
  <c r="BB308" i="73"/>
  <c r="BB311" i="73"/>
  <c r="BB310" i="73"/>
  <c r="BB307" i="73"/>
  <c r="BB313" i="73"/>
  <c r="BB315" i="73"/>
  <c r="AI368" i="73"/>
  <c r="AI63" i="73"/>
  <c r="AI25" i="73"/>
  <c r="AI61" i="73"/>
  <c r="AI24" i="73"/>
  <c r="BE306" i="73"/>
  <c r="BE330" i="73"/>
  <c r="BE340" i="73"/>
  <c r="AT66" i="73"/>
  <c r="AT55" i="73"/>
  <c r="AT317" i="73"/>
  <c r="AT310" i="73"/>
  <c r="AI54" i="73"/>
  <c r="AI329" i="73"/>
  <c r="AI324" i="73" a="1"/>
  <c r="AI324" i="73" s="1"/>
  <c r="AI340" i="73"/>
  <c r="AA324" i="73" a="1"/>
  <c r="AA324" i="73" s="1"/>
  <c r="AA329" i="73"/>
  <c r="AE311" i="73"/>
  <c r="AE315" i="73"/>
  <c r="AE313" i="73"/>
  <c r="AB30" i="73"/>
  <c r="AG31" i="73"/>
  <c r="AG234" i="73" s="1"/>
  <c r="Y69" i="73"/>
  <c r="Y29" i="73"/>
  <c r="AE31" i="73"/>
  <c r="AE234" i="73" s="1"/>
  <c r="AB65" i="73"/>
  <c r="AI31" i="73"/>
  <c r="AI234" i="73" s="1"/>
  <c r="AB31" i="73"/>
  <c r="AB230" i="73" s="1"/>
  <c r="Y67" i="73"/>
  <c r="BD317" i="73"/>
  <c r="AH324" i="73" a="1"/>
  <c r="AH324" i="73" s="1"/>
  <c r="AH62" i="73"/>
  <c r="AH340" i="73"/>
  <c r="AH337" i="73"/>
  <c r="AH55" i="73"/>
  <c r="AH54" i="73"/>
  <c r="AH64" i="73"/>
  <c r="T326" i="73" a="1"/>
  <c r="T326" i="73" s="1"/>
  <c r="T331" i="73"/>
  <c r="T325" i="73" a="1"/>
  <c r="T325" i="73" s="1"/>
  <c r="AM30" i="73"/>
  <c r="AK69" i="73"/>
  <c r="AO31" i="73"/>
  <c r="AS78" i="73"/>
  <c r="V339" i="73" a="1"/>
  <c r="V339" i="73" s="1"/>
  <c r="AF65" i="73"/>
  <c r="U317" i="73"/>
  <c r="R337" i="73"/>
  <c r="AK367" i="73"/>
  <c r="AM64" i="73"/>
  <c r="AM55" i="73"/>
  <c r="AC30" i="73"/>
  <c r="AC68" i="73"/>
  <c r="AH11" i="73"/>
  <c r="BG313" i="72"/>
  <c r="BG317" i="72"/>
  <c r="BF65" i="72"/>
  <c r="BF322" i="72"/>
  <c r="BF337" i="72" s="1"/>
  <c r="AB55" i="72"/>
  <c r="AP62" i="72"/>
  <c r="BE65" i="72"/>
  <c r="BE310" i="72"/>
  <c r="BE315" i="72"/>
  <c r="BE311" i="72"/>
  <c r="AS322" i="72"/>
  <c r="AS337" i="72" s="1"/>
  <c r="W315" i="72"/>
  <c r="AR330" i="72"/>
  <c r="AQ308" i="72"/>
  <c r="V30" i="72"/>
  <c r="AE62" i="72"/>
  <c r="BA141" i="73"/>
  <c r="BA242" i="73" s="1"/>
  <c r="AD31" i="73"/>
  <c r="AD234" i="73" s="1"/>
  <c r="AW317" i="73"/>
  <c r="AY93" i="73"/>
  <c r="AY95" i="73" s="1"/>
  <c r="BA93" i="73"/>
  <c r="BA95" i="73" s="1"/>
  <c r="BC27" i="73"/>
  <c r="AY8" i="73"/>
  <c r="BB27" i="73"/>
  <c r="BA27" i="73"/>
  <c r="BE27" i="73"/>
  <c r="AZ27" i="73"/>
  <c r="AY4" i="73"/>
  <c r="BG27" i="73"/>
  <c r="AY27" i="73"/>
  <c r="BD27" i="73"/>
  <c r="BD229" i="73" s="1"/>
  <c r="BD13" i="73" s="1"/>
  <c r="AY3" i="73"/>
  <c r="BF27" i="73"/>
  <c r="AY5" i="73"/>
  <c r="AC368" i="73"/>
  <c r="AC61" i="73"/>
  <c r="AC24" i="73"/>
  <c r="AC25" i="73"/>
  <c r="AC63" i="73"/>
  <c r="AN317" i="73"/>
  <c r="AN315" i="73"/>
  <c r="AC65" i="73"/>
  <c r="AC322" i="73"/>
  <c r="AO55" i="73"/>
  <c r="AT31" i="73"/>
  <c r="AT234" i="73" s="1"/>
  <c r="AN31" i="73"/>
  <c r="BF329" i="73"/>
  <c r="AU54" i="73"/>
  <c r="AU331" i="73"/>
  <c r="AU325" i="73" a="1"/>
  <c r="AU325" i="73" s="1"/>
  <c r="AU326" i="73" a="1"/>
  <c r="AU326" i="73" s="1"/>
  <c r="AM324" i="73" a="1"/>
  <c r="AM324" i="73" s="1"/>
  <c r="AB54" i="73"/>
  <c r="Q68" i="73"/>
  <c r="AP307" i="73"/>
  <c r="AP311" i="73"/>
  <c r="AP330" i="73"/>
  <c r="AP68" i="73"/>
  <c r="AP306" i="73"/>
  <c r="AP313" i="73"/>
  <c r="AP310" i="73"/>
  <c r="AP315" i="73"/>
  <c r="AP308" i="73"/>
  <c r="AP309" i="73"/>
  <c r="AP65" i="73"/>
  <c r="AA368" i="73"/>
  <c r="Y194" i="73"/>
  <c r="Y195" i="73" a="1"/>
  <c r="Y195" i="73" s="1"/>
  <c r="AA63" i="73"/>
  <c r="AA61" i="73"/>
  <c r="AA25" i="73"/>
  <c r="AA24" i="73"/>
  <c r="BE54" i="73"/>
  <c r="BE55" i="73"/>
  <c r="BE307" i="73"/>
  <c r="BE304" i="73"/>
  <c r="AT307" i="73"/>
  <c r="AT311" i="73"/>
  <c r="AI55" i="73"/>
  <c r="AA54" i="73"/>
  <c r="AE317" i="73"/>
  <c r="AE304" i="73"/>
  <c r="S368" i="73"/>
  <c r="S61" i="73"/>
  <c r="S24" i="73"/>
  <c r="S25" i="73"/>
  <c r="S63" i="73"/>
  <c r="S66" i="73"/>
  <c r="R191" i="73" s="1" a="1"/>
  <c r="R191" i="73" s="1"/>
  <c r="R190" i="73" s="1" a="1"/>
  <c r="R190" i="73" s="1"/>
  <c r="BF55" i="73"/>
  <c r="M29" i="73"/>
  <c r="T31" i="73"/>
  <c r="T233" i="73" s="1"/>
  <c r="AD331" i="73"/>
  <c r="AD325" i="73" a="1"/>
  <c r="AD325" i="73" s="1"/>
  <c r="AD326" i="73" a="1"/>
  <c r="AD326" i="73" s="1"/>
  <c r="AQ308" i="73"/>
  <c r="U65" i="73"/>
  <c r="AP368" i="73"/>
  <c r="AP61" i="73"/>
  <c r="AP63" i="73"/>
  <c r="AP25" i="73"/>
  <c r="AP24" i="73"/>
  <c r="AP304" i="73"/>
  <c r="AG230" i="73"/>
  <c r="AG13" i="73"/>
  <c r="Q30" i="73"/>
  <c r="W64" i="73"/>
  <c r="T368" i="73"/>
  <c r="T61" i="73"/>
  <c r="T63" i="73"/>
  <c r="T24" i="73"/>
  <c r="T25" i="73"/>
  <c r="T307" i="73"/>
  <c r="T304" i="73"/>
  <c r="BC368" i="73"/>
  <c r="BC61" i="73"/>
  <c r="BC63" i="73"/>
  <c r="BC25" i="73"/>
  <c r="BC24" i="73"/>
  <c r="V68" i="73"/>
  <c r="V329" i="73"/>
  <c r="BA54" i="73"/>
  <c r="BA329" i="73"/>
  <c r="AY31" i="73"/>
  <c r="BG188" i="73"/>
  <c r="AW186" i="73"/>
  <c r="J71" i="73"/>
  <c r="M69" i="73"/>
  <c r="M285" i="73"/>
  <c r="AP324" i="73" a="1"/>
  <c r="AP324" i="73" s="1"/>
  <c r="AP337" i="73"/>
  <c r="T30" i="73"/>
  <c r="AD230" i="73"/>
  <c r="AD13" i="73"/>
  <c r="W329" i="73"/>
  <c r="AR368" i="73"/>
  <c r="AR61" i="73"/>
  <c r="AR63" i="73"/>
  <c r="AR25" i="73"/>
  <c r="AR24" i="73"/>
  <c r="AR66" i="73"/>
  <c r="AR326" i="73" a="1"/>
  <c r="AR326" i="73" s="1"/>
  <c r="AR331" i="73"/>
  <c r="AR325" i="73" a="1"/>
  <c r="AR325" i="73" s="1"/>
  <c r="AG331" i="73"/>
  <c r="AG326" i="73" a="1"/>
  <c r="AG326" i="73" s="1"/>
  <c r="AG325" i="73" a="1"/>
  <c r="AG325" i="73" s="1"/>
  <c r="V325" i="73" a="1"/>
  <c r="V325" i="73" s="1"/>
  <c r="V331" i="73"/>
  <c r="V326" i="73" a="1"/>
  <c r="V326" i="73" s="1"/>
  <c r="BA368" i="73"/>
  <c r="BA61" i="73"/>
  <c r="BA63" i="73"/>
  <c r="BA25" i="73"/>
  <c r="BA24" i="73"/>
  <c r="BB31" i="73"/>
  <c r="BB234" i="73" s="1"/>
  <c r="BE31" i="73"/>
  <c r="BE234" i="73" s="1"/>
  <c r="BG31" i="73"/>
  <c r="BG234" i="73" s="1"/>
  <c r="AW367" i="73"/>
  <c r="S78" i="73"/>
  <c r="W188" i="73"/>
  <c r="M186" i="73"/>
  <c r="U64" i="73"/>
  <c r="U329" i="73"/>
  <c r="AB231" i="73"/>
  <c r="AB229" i="73"/>
  <c r="AB13" i="73" s="1"/>
  <c r="AH230" i="73"/>
  <c r="AH13" i="73"/>
  <c r="M52" i="73"/>
  <c r="J52" i="73"/>
  <c r="T324" i="73" a="1"/>
  <c r="T324" i="73" s="1"/>
  <c r="AG368" i="73"/>
  <c r="AG61" i="73"/>
  <c r="AG63" i="73"/>
  <c r="AG25" i="73"/>
  <c r="AG24" i="73"/>
  <c r="AR340" i="73"/>
  <c r="AR337" i="73"/>
  <c r="AG68" i="73"/>
  <c r="AW67" i="73"/>
  <c r="O31" i="73"/>
  <c r="Q31" i="73"/>
  <c r="M367" i="73"/>
  <c r="AE230" i="73"/>
  <c r="AE13" i="73"/>
  <c r="AA231" i="73"/>
  <c r="AA230" i="73"/>
  <c r="AA229" i="73"/>
  <c r="Y285" i="73"/>
  <c r="AH368" i="73"/>
  <c r="AH61" i="73"/>
  <c r="AH63" i="73"/>
  <c r="AH25" i="73"/>
  <c r="AH24" i="73"/>
  <c r="AS324" i="73" a="1"/>
  <c r="AS324" i="73" s="1"/>
  <c r="T310" i="73"/>
  <c r="T337" i="73"/>
  <c r="V368" i="73"/>
  <c r="V61" i="73"/>
  <c r="V63" i="73"/>
  <c r="V25" i="73"/>
  <c r="V24" i="73"/>
  <c r="BC78" i="73"/>
  <c r="BG258" i="73"/>
  <c r="AW257" i="73"/>
  <c r="AD368" i="73"/>
  <c r="AD61" i="73"/>
  <c r="AD63" i="73"/>
  <c r="AD24" i="73"/>
  <c r="AD25" i="73"/>
  <c r="W31" i="73"/>
  <c r="W234" i="73" s="1"/>
  <c r="R31" i="73"/>
  <c r="R234" i="73" s="1"/>
  <c r="AP55" i="73"/>
  <c r="AP340" i="73"/>
  <c r="AI230" i="73"/>
  <c r="AI13" i="73"/>
  <c r="AI188" i="73"/>
  <c r="Y186" i="73"/>
  <c r="Y282" i="73"/>
  <c r="W368" i="73"/>
  <c r="W61" i="73"/>
  <c r="W63" i="73"/>
  <c r="W25" i="73"/>
  <c r="W24" i="73"/>
  <c r="W54" i="73"/>
  <c r="T55" i="73"/>
  <c r="T340" i="73"/>
  <c r="AZ368" i="73"/>
  <c r="AZ61" i="73"/>
  <c r="AZ25" i="73"/>
  <c r="AZ24" i="73"/>
  <c r="AZ63" i="73"/>
  <c r="AR329" i="73"/>
  <c r="V55" i="73"/>
  <c r="V324" i="73" a="1"/>
  <c r="V324" i="73" s="1"/>
  <c r="BA62" i="73"/>
  <c r="BA337" i="73"/>
  <c r="AW29" i="73"/>
  <c r="AW284" i="73"/>
  <c r="W257" i="73"/>
  <c r="J73" i="73"/>
  <c r="BB368" i="73"/>
  <c r="BB61" i="73"/>
  <c r="BB63" i="73"/>
  <c r="BB25" i="73"/>
  <c r="BB24" i="73"/>
  <c r="AP329" i="73"/>
  <c r="BC31" i="73"/>
  <c r="BC234" i="73" s="1"/>
  <c r="S329" i="73"/>
  <c r="Y367" i="73"/>
  <c r="O368" i="73"/>
  <c r="M195" i="73" a="1"/>
  <c r="M195" i="73" s="1"/>
  <c r="M194" i="73"/>
  <c r="O61" i="73"/>
  <c r="O63" i="73"/>
  <c r="O25" i="73"/>
  <c r="O24" i="73"/>
  <c r="AS337" i="73"/>
  <c r="W55" i="73"/>
  <c r="W325" i="73" a="1"/>
  <c r="W325" i="73" s="1"/>
  <c r="T62" i="73"/>
  <c r="T308" i="73"/>
  <c r="AR55" i="73"/>
  <c r="AG337" i="73"/>
  <c r="AG324" i="73" a="1"/>
  <c r="AG324" i="73" s="1"/>
  <c r="V62" i="73"/>
  <c r="AW69" i="73"/>
  <c r="BF31" i="73"/>
  <c r="BF234" i="73" s="1"/>
  <c r="AW285" i="73"/>
  <c r="S352" i="73"/>
  <c r="R352" i="73"/>
  <c r="Q352" i="73"/>
  <c r="P352" i="73"/>
  <c r="W352" i="73"/>
  <c r="O352" i="73"/>
  <c r="V352" i="73"/>
  <c r="U352" i="73"/>
  <c r="T352" i="73"/>
  <c r="T289" i="73"/>
  <c r="S289" i="73"/>
  <c r="R289" i="73"/>
  <c r="W289" i="73"/>
  <c r="V289" i="73"/>
  <c r="U289" i="73"/>
  <c r="Q289" i="73"/>
  <c r="P289" i="73"/>
  <c r="O289" i="73"/>
  <c r="V192" i="73"/>
  <c r="M192" i="73" s="1"/>
  <c r="AQ368" i="73"/>
  <c r="AQ61" i="73"/>
  <c r="AQ63" i="73"/>
  <c r="AQ66" i="73"/>
  <c r="AQ25" i="73"/>
  <c r="AQ24" i="73"/>
  <c r="U55" i="73"/>
  <c r="P31" i="73"/>
  <c r="AC231" i="73"/>
  <c r="AC230" i="73"/>
  <c r="AC229" i="73"/>
  <c r="AC13" i="73" s="1"/>
  <c r="AS326" i="73" a="1"/>
  <c r="AS326" i="73" s="1"/>
  <c r="AS331" i="73"/>
  <c r="AS325" i="73" a="1"/>
  <c r="AS325" i="73" s="1"/>
  <c r="W62" i="73"/>
  <c r="O55" i="73"/>
  <c r="T65" i="73"/>
  <c r="T54" i="73"/>
  <c r="T315" i="73"/>
  <c r="T306" i="73"/>
  <c r="T313" i="73"/>
  <c r="BC324" i="73" a="1"/>
  <c r="BC324" i="73" s="1"/>
  <c r="AR64" i="73"/>
  <c r="AR324" i="73" a="1"/>
  <c r="AR324" i="73" s="1"/>
  <c r="AG62" i="73"/>
  <c r="BG352" i="73"/>
  <c r="BE352" i="73"/>
  <c r="BC352" i="73"/>
  <c r="BF352" i="73"/>
  <c r="BD352" i="73"/>
  <c r="BB352" i="73"/>
  <c r="BA352" i="73"/>
  <c r="AZ352" i="73"/>
  <c r="AY352" i="73"/>
  <c r="BF289" i="73"/>
  <c r="BE289" i="73"/>
  <c r="BD289" i="73"/>
  <c r="BC289" i="73"/>
  <c r="BG289" i="73"/>
  <c r="BB289" i="73"/>
  <c r="BA289" i="73"/>
  <c r="AZ289" i="73"/>
  <c r="AY289" i="73"/>
  <c r="BF192" i="73"/>
  <c r="AW192" i="73" s="1"/>
  <c r="M284" i="73"/>
  <c r="AF368" i="73"/>
  <c r="AF61" i="73"/>
  <c r="AF63" i="73"/>
  <c r="AF25" i="73"/>
  <c r="AF24" i="73"/>
  <c r="M317" i="73"/>
  <c r="Q93" i="73"/>
  <c r="Q95" i="73" s="1"/>
  <c r="O93" i="73"/>
  <c r="O95" i="73" s="1"/>
  <c r="Q27" i="73"/>
  <c r="O5" i="73"/>
  <c r="P27" i="73"/>
  <c r="S27" i="73"/>
  <c r="R27" i="73"/>
  <c r="W27" i="73"/>
  <c r="O27" i="73"/>
  <c r="O3" i="73"/>
  <c r="V27" i="73"/>
  <c r="O8" i="73"/>
  <c r="O4" i="73"/>
  <c r="U27" i="73"/>
  <c r="T27" i="73"/>
  <c r="T229" i="73" s="1"/>
  <c r="T13" i="73" s="1"/>
  <c r="J22" i="73"/>
  <c r="J317" i="73" s="1"/>
  <c r="S55" i="73"/>
  <c r="S54" i="73"/>
  <c r="BA66" i="73"/>
  <c r="AN326" i="72" a="1"/>
  <c r="AN326" i="72" s="1"/>
  <c r="AN325" i="72" a="1"/>
  <c r="AN325" i="72" s="1"/>
  <c r="AN331" i="72"/>
  <c r="AZ326" i="72" a="1"/>
  <c r="AZ326" i="72" s="1"/>
  <c r="AZ331" i="72"/>
  <c r="AZ325" i="72" a="1"/>
  <c r="AZ325" i="72" s="1"/>
  <c r="AG326" i="72" a="1"/>
  <c r="AG326" i="72" s="1"/>
  <c r="AG325" i="72" a="1"/>
  <c r="AG325" i="72" s="1"/>
  <c r="AG331" i="72"/>
  <c r="AC68" i="72"/>
  <c r="BB337" i="72"/>
  <c r="AZ340" i="72"/>
  <c r="AZ64" i="72"/>
  <c r="AZ324" i="72" a="1"/>
  <c r="AZ324" i="72" s="1"/>
  <c r="AZ55" i="72"/>
  <c r="AZ54" i="72"/>
  <c r="U31" i="72"/>
  <c r="U234" i="72" s="1"/>
  <c r="R368" i="72"/>
  <c r="R61" i="72"/>
  <c r="R63" i="72"/>
  <c r="R25" i="72"/>
  <c r="R24" i="72"/>
  <c r="BG64" i="72"/>
  <c r="AY317" i="72"/>
  <c r="AN315" i="72"/>
  <c r="AN337" i="72"/>
  <c r="R55" i="72"/>
  <c r="R62" i="72"/>
  <c r="R54" i="72"/>
  <c r="R322" i="72"/>
  <c r="R340" i="72" s="1"/>
  <c r="R308" i="72"/>
  <c r="R306" i="72"/>
  <c r="T31" i="72"/>
  <c r="T233" i="72" s="1"/>
  <c r="AO352" i="72"/>
  <c r="AN352" i="72"/>
  <c r="AU352" i="72"/>
  <c r="AM352" i="72"/>
  <c r="AT352" i="72"/>
  <c r="AS352" i="72"/>
  <c r="AR352" i="72"/>
  <c r="AQ352" i="72"/>
  <c r="AP352" i="72"/>
  <c r="AS289" i="72"/>
  <c r="AP289" i="72"/>
  <c r="AO289" i="72"/>
  <c r="AN289" i="72"/>
  <c r="AU289" i="72"/>
  <c r="AM289" i="72"/>
  <c r="AT289" i="72"/>
  <c r="AR289" i="72"/>
  <c r="AQ289" i="72"/>
  <c r="AT192" i="72"/>
  <c r="AK192" i="72" s="1"/>
  <c r="AT178" i="72"/>
  <c r="Q368" i="72"/>
  <c r="Q63" i="72"/>
  <c r="Q61" i="72"/>
  <c r="Q25" i="72"/>
  <c r="Q24" i="72"/>
  <c r="Q66" i="72"/>
  <c r="AU315" i="72"/>
  <c r="AM66" i="72"/>
  <c r="O324" i="72" a="1"/>
  <c r="O324" i="72" s="1"/>
  <c r="O55" i="72"/>
  <c r="O54" i="72"/>
  <c r="O337" i="72"/>
  <c r="O329" i="72"/>
  <c r="O340" i="72"/>
  <c r="BE336" i="72"/>
  <c r="BE339" i="72" a="1"/>
  <c r="BE339" i="72" s="1"/>
  <c r="AG313" i="72"/>
  <c r="U54" i="72"/>
  <c r="AH308" i="72"/>
  <c r="AE31" i="72"/>
  <c r="AE234" i="72" s="1"/>
  <c r="BB310" i="72"/>
  <c r="BB308" i="72"/>
  <c r="BB315" i="72"/>
  <c r="BB65" i="72"/>
  <c r="BB313" i="72"/>
  <c r="BB306" i="72"/>
  <c r="BB330" i="72"/>
  <c r="BB307" i="72"/>
  <c r="BB30" i="72"/>
  <c r="BB317" i="72"/>
  <c r="BB304" i="72"/>
  <c r="BB309" i="72"/>
  <c r="AA54" i="72"/>
  <c r="AA340" i="72"/>
  <c r="AA329" i="72"/>
  <c r="AA62" i="72"/>
  <c r="AA55" i="72"/>
  <c r="AA337" i="72"/>
  <c r="AA324" i="72" a="1"/>
  <c r="AA324" i="72" s="1"/>
  <c r="AA64" i="72"/>
  <c r="U62" i="72"/>
  <c r="U55" i="72"/>
  <c r="U329" i="72"/>
  <c r="U64" i="72"/>
  <c r="BG68" i="72"/>
  <c r="BG306" i="72"/>
  <c r="BG304" i="72"/>
  <c r="AN68" i="72"/>
  <c r="AN306" i="72"/>
  <c r="AN307" i="72"/>
  <c r="AN317" i="72"/>
  <c r="AN340" i="72"/>
  <c r="AC62" i="72"/>
  <c r="AC331" i="72"/>
  <c r="R310" i="72"/>
  <c r="AZ311" i="72"/>
  <c r="AZ306" i="72"/>
  <c r="AZ315" i="72"/>
  <c r="AZ310" i="72"/>
  <c r="AZ307" i="72"/>
  <c r="AZ308" i="72"/>
  <c r="AZ330" i="72"/>
  <c r="AZ337" i="72"/>
  <c r="AZ313" i="72"/>
  <c r="AS55" i="72"/>
  <c r="AS329" i="72"/>
  <c r="AS54" i="72"/>
  <c r="AS62" i="72"/>
  <c r="AS340" i="72"/>
  <c r="AK282" i="72"/>
  <c r="AU308" i="72"/>
  <c r="AG55" i="72"/>
  <c r="AG324" i="72" a="1"/>
  <c r="AG324" i="72" s="1"/>
  <c r="AG329" i="72"/>
  <c r="AG62" i="72"/>
  <c r="AG340" i="72"/>
  <c r="AG337" i="72"/>
  <c r="AG54" i="72"/>
  <c r="AG64" i="72"/>
  <c r="AP31" i="72"/>
  <c r="AP234" i="72" s="1"/>
  <c r="BG307" i="72"/>
  <c r="AY68" i="72"/>
  <c r="AN311" i="72"/>
  <c r="AN324" i="72" a="1"/>
  <c r="AN324" i="72" s="1"/>
  <c r="AC340" i="72"/>
  <c r="R315" i="72"/>
  <c r="V31" i="72"/>
  <c r="V234" i="72" s="1"/>
  <c r="AZ304" i="72"/>
  <c r="AZ317" i="72"/>
  <c r="AK186" i="72"/>
  <c r="AU188" i="72"/>
  <c r="AK284" i="72"/>
  <c r="BF326" i="72" a="1"/>
  <c r="BF326" i="72" s="1"/>
  <c r="BF325" i="72" a="1"/>
  <c r="BF325" i="72" s="1"/>
  <c r="BF331" i="72"/>
  <c r="BC368" i="72"/>
  <c r="BC63" i="72"/>
  <c r="BC61" i="72"/>
  <c r="BC24" i="72"/>
  <c r="BC25" i="72"/>
  <c r="AG308" i="72"/>
  <c r="AO368" i="72"/>
  <c r="AO63" i="72"/>
  <c r="AO25" i="72"/>
  <c r="AO61" i="72"/>
  <c r="AO24" i="72"/>
  <c r="AO66" i="72"/>
  <c r="AC55" i="72"/>
  <c r="AN64" i="72"/>
  <c r="AN55" i="72"/>
  <c r="AN62" i="72"/>
  <c r="AU258" i="72"/>
  <c r="AK257" i="72"/>
  <c r="BG30" i="72"/>
  <c r="BG310" i="72"/>
  <c r="BG309" i="72"/>
  <c r="AQ31" i="72"/>
  <c r="AQ234" i="72" s="1"/>
  <c r="AS31" i="72"/>
  <c r="AS234" i="72" s="1"/>
  <c r="AN31" i="72"/>
  <c r="AN230" i="72" s="1"/>
  <c r="AR31" i="72"/>
  <c r="AR233" i="72" s="1"/>
  <c r="AS78" i="72"/>
  <c r="AU31" i="72"/>
  <c r="AU234" i="72" s="1"/>
  <c r="AN30" i="72"/>
  <c r="AQ78" i="72"/>
  <c r="AO31" i="72"/>
  <c r="AO230" i="72" s="1"/>
  <c r="AM31" i="72"/>
  <c r="AK29" i="72"/>
  <c r="AT31" i="72"/>
  <c r="AT234" i="72" s="1"/>
  <c r="AK67" i="72"/>
  <c r="AN65" i="72"/>
  <c r="AN309" i="72"/>
  <c r="AN313" i="72"/>
  <c r="AN330" i="72"/>
  <c r="AG306" i="72"/>
  <c r="AG65" i="72"/>
  <c r="AG309" i="72"/>
  <c r="AG311" i="72"/>
  <c r="AG30" i="72"/>
  <c r="AG330" i="72"/>
  <c r="AG304" i="72"/>
  <c r="AG310" i="72"/>
  <c r="AG315" i="72"/>
  <c r="AG68" i="72"/>
  <c r="AG317" i="72"/>
  <c r="AK69" i="72"/>
  <c r="AC368" i="72"/>
  <c r="AC61" i="72"/>
  <c r="AC63" i="72"/>
  <c r="AC24" i="72"/>
  <c r="AC25" i="72"/>
  <c r="AH368" i="72"/>
  <c r="AH61" i="72"/>
  <c r="AH63" i="72"/>
  <c r="AH24" i="72"/>
  <c r="AH25" i="72"/>
  <c r="AH66" i="72"/>
  <c r="BA141" i="72"/>
  <c r="BA242" i="72" s="1"/>
  <c r="AU322" i="72"/>
  <c r="AU337" i="72" s="1"/>
  <c r="AU307" i="72"/>
  <c r="AU65" i="72"/>
  <c r="AU30" i="72"/>
  <c r="AU330" i="72"/>
  <c r="AU317" i="72"/>
  <c r="AU306" i="72"/>
  <c r="AU311" i="72"/>
  <c r="AU304" i="72"/>
  <c r="AU309" i="72"/>
  <c r="AW317" i="72"/>
  <c r="BA93" i="72"/>
  <c r="BA95" i="72" s="1"/>
  <c r="BE27" i="72"/>
  <c r="BD27" i="72"/>
  <c r="BD229" i="72" s="1"/>
  <c r="BD13" i="72" s="1"/>
  <c r="AY93" i="72"/>
  <c r="AY95" i="72" s="1"/>
  <c r="BC27" i="72"/>
  <c r="BA27" i="72"/>
  <c r="AY8" i="72"/>
  <c r="AZ27" i="72"/>
  <c r="AY27" i="72"/>
  <c r="AY5" i="72"/>
  <c r="AY4" i="72"/>
  <c r="BB27" i="72"/>
  <c r="AY3" i="72"/>
  <c r="BG27" i="72"/>
  <c r="BF27" i="72"/>
  <c r="BG368" i="72"/>
  <c r="BG61" i="72"/>
  <c r="BG63" i="72"/>
  <c r="BG24" i="72"/>
  <c r="BG25" i="72"/>
  <c r="BG322" i="72"/>
  <c r="BG340" i="72" s="1"/>
  <c r="AW67" i="72"/>
  <c r="AY30" i="72"/>
  <c r="BE31" i="72"/>
  <c r="BE234" i="72" s="1"/>
  <c r="BG31" i="72"/>
  <c r="BG234" i="72" s="1"/>
  <c r="AY31" i="72"/>
  <c r="BD31" i="72"/>
  <c r="BD233" i="72" s="1"/>
  <c r="BA31" i="72"/>
  <c r="BE78" i="72"/>
  <c r="BB31" i="72"/>
  <c r="BB234" i="72" s="1"/>
  <c r="BC78" i="72"/>
  <c r="AZ31" i="72"/>
  <c r="BF31" i="72"/>
  <c r="BF234" i="72" s="1"/>
  <c r="AW29" i="72"/>
  <c r="AY310" i="72"/>
  <c r="AN308" i="72"/>
  <c r="AN310" i="72"/>
  <c r="R330" i="72"/>
  <c r="BF368" i="72"/>
  <c r="BF63" i="72"/>
  <c r="BF24" i="72"/>
  <c r="BF25" i="72"/>
  <c r="BF61" i="72"/>
  <c r="BF66" i="72"/>
  <c r="AW66" i="72" s="1"/>
  <c r="AS331" i="72"/>
  <c r="AS325" i="72" a="1"/>
  <c r="AS325" i="72" s="1"/>
  <c r="AS326" i="72" a="1"/>
  <c r="AS326" i="72" s="1"/>
  <c r="AW257" i="72"/>
  <c r="BG258" i="72"/>
  <c r="AH306" i="72"/>
  <c r="AH311" i="72"/>
  <c r="AH313" i="72"/>
  <c r="AH309" i="72"/>
  <c r="AH65" i="72"/>
  <c r="AH68" i="72"/>
  <c r="AH330" i="72"/>
  <c r="AH30" i="72"/>
  <c r="AH322" i="72"/>
  <c r="AH310" i="72"/>
  <c r="AH317" i="72"/>
  <c r="AH304" i="72"/>
  <c r="AH315" i="72"/>
  <c r="AY368" i="72"/>
  <c r="AW195" i="72" a="1"/>
  <c r="AW195" i="72" s="1"/>
  <c r="AW194" i="72"/>
  <c r="AY61" i="72"/>
  <c r="AY63" i="72"/>
  <c r="AY25" i="72"/>
  <c r="AY24" i="72"/>
  <c r="BG62" i="72"/>
  <c r="R309" i="72"/>
  <c r="AZ329" i="72"/>
  <c r="AG307" i="72"/>
  <c r="AZ65" i="72"/>
  <c r="AE78" i="72"/>
  <c r="BC31" i="72"/>
  <c r="BC234" i="72" s="1"/>
  <c r="M69" i="72"/>
  <c r="R311" i="72"/>
  <c r="R313" i="72"/>
  <c r="R304" i="72"/>
  <c r="AN368" i="72"/>
  <c r="AN61" i="72"/>
  <c r="AN63" i="72"/>
  <c r="AN25" i="72"/>
  <c r="AN66" i="72"/>
  <c r="AN24" i="72"/>
  <c r="BG65" i="72"/>
  <c r="BG308" i="72"/>
  <c r="BG329" i="72"/>
  <c r="AY62" i="72"/>
  <c r="AN329" i="72"/>
  <c r="AC64" i="72"/>
  <c r="BC339" i="72" a="1"/>
  <c r="BC339" i="72" s="1"/>
  <c r="BC336" i="72"/>
  <c r="AZ68" i="72"/>
  <c r="AM368" i="72"/>
  <c r="AK194" i="72"/>
  <c r="AK195" i="72" a="1"/>
  <c r="AK195" i="72" s="1"/>
  <c r="AM63" i="72"/>
  <c r="AM24" i="72"/>
  <c r="AM61" i="72"/>
  <c r="AM25" i="72"/>
  <c r="BF340" i="72"/>
  <c r="AU68" i="72"/>
  <c r="AU310" i="72"/>
  <c r="P325" i="72" a="1"/>
  <c r="P325" i="72" s="1"/>
  <c r="P326" i="72" a="1"/>
  <c r="P326" i="72" s="1"/>
  <c r="P331" i="72"/>
  <c r="W31" i="72"/>
  <c r="W234" i="72" s="1"/>
  <c r="AS64" i="72"/>
  <c r="O62" i="72"/>
  <c r="AW69" i="72"/>
  <c r="AT230" i="72"/>
  <c r="AT13" i="72"/>
  <c r="AK285" i="72"/>
  <c r="AB368" i="72"/>
  <c r="AB63" i="72"/>
  <c r="AB25" i="72"/>
  <c r="AB24" i="72"/>
  <c r="AB61" i="72"/>
  <c r="BF55" i="72"/>
  <c r="BF324" i="72" a="1"/>
  <c r="BF324" i="72" s="1"/>
  <c r="AU64" i="72"/>
  <c r="AM64" i="72"/>
  <c r="AM329" i="72"/>
  <c r="AM326" i="72" a="1"/>
  <c r="AM326" i="72" s="1"/>
  <c r="AM325" i="72" a="1"/>
  <c r="AM325" i="72" s="1"/>
  <c r="AM331" i="72"/>
  <c r="AM324" i="72" a="1"/>
  <c r="AM324" i="72" s="1"/>
  <c r="Q62" i="72"/>
  <c r="Q308" i="72"/>
  <c r="Q309" i="72"/>
  <c r="BE368" i="72"/>
  <c r="BE61" i="72"/>
  <c r="BE63" i="72"/>
  <c r="BE24" i="72"/>
  <c r="BE25" i="72"/>
  <c r="AT55" i="72"/>
  <c r="AT311" i="72"/>
  <c r="AT309" i="72"/>
  <c r="AT317" i="72"/>
  <c r="AI329" i="72"/>
  <c r="AI324" i="72" a="1"/>
  <c r="AI324" i="72" s="1"/>
  <c r="AA331" i="72"/>
  <c r="AA326" i="72" a="1"/>
  <c r="AA326" i="72" s="1"/>
  <c r="AA325" i="72" a="1"/>
  <c r="AA325" i="72" s="1"/>
  <c r="P340" i="72"/>
  <c r="U313" i="72"/>
  <c r="BF64" i="72"/>
  <c r="Y67" i="72"/>
  <c r="Y282" i="72"/>
  <c r="W368" i="72"/>
  <c r="W61" i="72"/>
  <c r="W24" i="72"/>
  <c r="W63" i="72"/>
  <c r="W25" i="72"/>
  <c r="AS68" i="72"/>
  <c r="AS309" i="72"/>
  <c r="O65" i="72"/>
  <c r="O68" i="72"/>
  <c r="O309" i="72"/>
  <c r="O310" i="72"/>
  <c r="V307" i="72"/>
  <c r="V330" i="72"/>
  <c r="M29" i="72"/>
  <c r="M285" i="72"/>
  <c r="M367" i="72"/>
  <c r="AD308" i="72"/>
  <c r="AD307" i="72"/>
  <c r="AR65" i="72"/>
  <c r="AR329" i="72"/>
  <c r="AQ68" i="72"/>
  <c r="AQ309" i="72"/>
  <c r="AQ310" i="72"/>
  <c r="S68" i="72"/>
  <c r="P68" i="72"/>
  <c r="AQ30" i="72"/>
  <c r="AF55" i="72"/>
  <c r="AF309" i="72"/>
  <c r="AF311" i="72"/>
  <c r="BG188" i="72"/>
  <c r="AW186" i="72"/>
  <c r="AW284" i="72"/>
  <c r="AB65" i="72"/>
  <c r="AP304" i="72"/>
  <c r="AP317" i="72"/>
  <c r="AE68" i="72"/>
  <c r="T68" i="72"/>
  <c r="T309" i="72"/>
  <c r="S368" i="72"/>
  <c r="S61" i="72"/>
  <c r="S24" i="72"/>
  <c r="S25" i="72"/>
  <c r="S63" i="72"/>
  <c r="T30" i="72"/>
  <c r="AO231" i="72"/>
  <c r="AO229" i="72"/>
  <c r="AO13" i="72" s="1"/>
  <c r="AM231" i="72"/>
  <c r="AM229" i="72"/>
  <c r="AM230" i="72"/>
  <c r="AT368" i="72"/>
  <c r="AT61" i="72"/>
  <c r="AT63" i="72"/>
  <c r="AT25" i="72"/>
  <c r="AT24" i="72"/>
  <c r="AT66" i="72"/>
  <c r="AT304" i="72"/>
  <c r="AT308" i="72"/>
  <c r="AI340" i="72"/>
  <c r="P337" i="72"/>
  <c r="AW52" i="72"/>
  <c r="AF31" i="72"/>
  <c r="AF233" i="72" s="1"/>
  <c r="Y69" i="72"/>
  <c r="Y367" i="72"/>
  <c r="O368" i="72"/>
  <c r="M194" i="72"/>
  <c r="M195" i="72" a="1"/>
  <c r="M195" i="72" s="1"/>
  <c r="O61" i="72"/>
  <c r="O25" i="72"/>
  <c r="O24" i="72"/>
  <c r="O63" i="72"/>
  <c r="BD326" i="72" a="1"/>
  <c r="BD326" i="72" s="1"/>
  <c r="BD331" i="72"/>
  <c r="BD325" i="72" a="1"/>
  <c r="BD325" i="72" s="1"/>
  <c r="AS306" i="72"/>
  <c r="W331" i="72"/>
  <c r="V309" i="72"/>
  <c r="V311" i="72"/>
  <c r="O30" i="72"/>
  <c r="J71" i="72"/>
  <c r="U368" i="72"/>
  <c r="U63" i="72"/>
  <c r="U61" i="72"/>
  <c r="U25" i="72"/>
  <c r="U24" i="72"/>
  <c r="AI258" i="72"/>
  <c r="Y257" i="72"/>
  <c r="AR306" i="72"/>
  <c r="AQ54" i="72"/>
  <c r="AZ368" i="72"/>
  <c r="AZ25" i="72"/>
  <c r="AZ24" i="72"/>
  <c r="AZ63" i="72"/>
  <c r="AZ61" i="72"/>
  <c r="S313" i="72"/>
  <c r="BD62" i="72"/>
  <c r="BD329" i="72"/>
  <c r="M317" i="72"/>
  <c r="Q93" i="72"/>
  <c r="Q95" i="72" s="1"/>
  <c r="O93" i="72"/>
  <c r="O95" i="72" s="1"/>
  <c r="S27" i="72"/>
  <c r="Q27" i="72"/>
  <c r="W27" i="72"/>
  <c r="O5" i="72"/>
  <c r="V27" i="72"/>
  <c r="O3" i="72"/>
  <c r="U27" i="72"/>
  <c r="T27" i="72"/>
  <c r="T229" i="72" s="1"/>
  <c r="T13" i="72" s="1"/>
  <c r="O8" i="72"/>
  <c r="R27" i="72"/>
  <c r="P27" i="72"/>
  <c r="O27" i="72"/>
  <c r="O4" i="72"/>
  <c r="J22" i="72"/>
  <c r="J317" i="72" s="1"/>
  <c r="AP310" i="72"/>
  <c r="AP322" i="72"/>
  <c r="T317" i="72"/>
  <c r="T315" i="72"/>
  <c r="AU230" i="72"/>
  <c r="AU13" i="72"/>
  <c r="BC340" i="72"/>
  <c r="BF313" i="72"/>
  <c r="Q64" i="72"/>
  <c r="Q330" i="72"/>
  <c r="AI368" i="72"/>
  <c r="AI61" i="72"/>
  <c r="AI63" i="72"/>
  <c r="AI24" i="72"/>
  <c r="AI25" i="72"/>
  <c r="BE64" i="72"/>
  <c r="BE331" i="72"/>
  <c r="BE325" i="72" a="1"/>
  <c r="BE325" i="72" s="1"/>
  <c r="BE326" i="72" a="1"/>
  <c r="BE326" i="72" s="1"/>
  <c r="AT68" i="72"/>
  <c r="AT315" i="72"/>
  <c r="AI55" i="72"/>
  <c r="P308" i="72"/>
  <c r="U68" i="72"/>
  <c r="U308" i="72"/>
  <c r="U315" i="72"/>
  <c r="U322" i="72"/>
  <c r="AO68" i="72"/>
  <c r="AO306" i="72"/>
  <c r="AO310" i="72"/>
  <c r="AO317" i="72"/>
  <c r="AO309" i="72"/>
  <c r="O31" i="72"/>
  <c r="AB31" i="72"/>
  <c r="BD340" i="72"/>
  <c r="AS311" i="72"/>
  <c r="W68" i="72"/>
  <c r="M52" i="72"/>
  <c r="J52" i="72"/>
  <c r="O308" i="72"/>
  <c r="O317" i="72"/>
  <c r="V306" i="72"/>
  <c r="S31" i="72"/>
  <c r="S234" i="72" s="1"/>
  <c r="U352" i="72"/>
  <c r="T352" i="72"/>
  <c r="S352" i="72"/>
  <c r="R352" i="72"/>
  <c r="Q352" i="72"/>
  <c r="P352" i="72"/>
  <c r="W352" i="72"/>
  <c r="O352" i="72"/>
  <c r="V352" i="72"/>
  <c r="Q289" i="72"/>
  <c r="V289" i="72"/>
  <c r="U289" i="72"/>
  <c r="T289" i="72"/>
  <c r="S289" i="72"/>
  <c r="V192" i="72"/>
  <c r="M192" i="72" s="1"/>
  <c r="W289" i="72"/>
  <c r="R289" i="72"/>
  <c r="P289" i="72"/>
  <c r="O289" i="72"/>
  <c r="V178" i="72"/>
  <c r="AR309" i="72"/>
  <c r="AR313" i="72"/>
  <c r="BB368" i="72"/>
  <c r="BB63" i="72"/>
  <c r="BB25" i="72"/>
  <c r="BB24" i="72"/>
  <c r="BB61" i="72"/>
  <c r="AQ317" i="72"/>
  <c r="AQ311" i="72"/>
  <c r="AQ322" i="72"/>
  <c r="AQ337" i="72" s="1"/>
  <c r="S54" i="72"/>
  <c r="S307" i="72"/>
  <c r="S315" i="72"/>
  <c r="AF65" i="72"/>
  <c r="AA31" i="72"/>
  <c r="AF54" i="72"/>
  <c r="AF307" i="72"/>
  <c r="AF306" i="72"/>
  <c r="AF330" i="72"/>
  <c r="T307" i="72"/>
  <c r="T329" i="72"/>
  <c r="BF62" i="72"/>
  <c r="AU62" i="72"/>
  <c r="AM62" i="72"/>
  <c r="Q68" i="72"/>
  <c r="Q304" i="72"/>
  <c r="Q317" i="72"/>
  <c r="AA368" i="72"/>
  <c r="Y195" i="72" a="1"/>
  <c r="Y195" i="72" s="1"/>
  <c r="Y194" i="72"/>
  <c r="AA61" i="72"/>
  <c r="AA63" i="72"/>
  <c r="AA24" i="72"/>
  <c r="AA25" i="72"/>
  <c r="BE68" i="72"/>
  <c r="AT307" i="72"/>
  <c r="AT322" i="72"/>
  <c r="AT324" i="72" s="1" a="1"/>
  <c r="AT324" i="72" s="1"/>
  <c r="AI62" i="72"/>
  <c r="AI331" i="72"/>
  <c r="AI325" i="72" a="1"/>
  <c r="AI325" i="72" s="1"/>
  <c r="AI326" i="72" a="1"/>
  <c r="AI326" i="72" s="1"/>
  <c r="AA66" i="72"/>
  <c r="P307" i="72"/>
  <c r="P317" i="72"/>
  <c r="P330" i="72"/>
  <c r="AH245" i="72"/>
  <c r="AH246" i="72" s="1"/>
  <c r="AH11" i="72"/>
  <c r="AO331" i="72"/>
  <c r="AO325" i="72" a="1"/>
  <c r="AO325" i="72" s="1"/>
  <c r="AO326" i="72" a="1"/>
  <c r="AO326" i="72" s="1"/>
  <c r="AD31" i="72"/>
  <c r="AD234" i="72" s="1"/>
  <c r="AG78" i="72"/>
  <c r="AS65" i="72"/>
  <c r="AS307" i="72"/>
  <c r="AS330" i="72"/>
  <c r="AS315" i="72"/>
  <c r="W337" i="72"/>
  <c r="O313" i="72"/>
  <c r="V315" i="72"/>
  <c r="Q31" i="72"/>
  <c r="S78" i="72"/>
  <c r="W257" i="72"/>
  <c r="J73" i="72"/>
  <c r="AR30" i="72"/>
  <c r="AR307" i="72"/>
  <c r="AR317" i="72"/>
  <c r="AQ62" i="72"/>
  <c r="S55" i="72"/>
  <c r="AO30" i="72"/>
  <c r="W30" i="72"/>
  <c r="AF322" i="72"/>
  <c r="BG352" i="72"/>
  <c r="BF352" i="72"/>
  <c r="BE352" i="72"/>
  <c r="BD352" i="72"/>
  <c r="BC352" i="72"/>
  <c r="AZ352" i="72"/>
  <c r="AY352" i="72"/>
  <c r="BB352" i="72"/>
  <c r="BA352" i="72"/>
  <c r="BC289" i="72"/>
  <c r="AZ289" i="72"/>
  <c r="BG289" i="72"/>
  <c r="AY289" i="72"/>
  <c r="BF289" i="72"/>
  <c r="BE289" i="72"/>
  <c r="BA289" i="72"/>
  <c r="BD289" i="72"/>
  <c r="BF178" i="72"/>
  <c r="BF192" i="72"/>
  <c r="AW192" i="72" s="1"/>
  <c r="BB289" i="72"/>
  <c r="AW285" i="72"/>
  <c r="AW367" i="72"/>
  <c r="BE54" i="72"/>
  <c r="BA368" i="72"/>
  <c r="BA61" i="72"/>
  <c r="BA63" i="72"/>
  <c r="BA25" i="72"/>
  <c r="BA24" i="72"/>
  <c r="BA337" i="72"/>
  <c r="AP68" i="72"/>
  <c r="AP311" i="72"/>
  <c r="AP330" i="72"/>
  <c r="AE65" i="72"/>
  <c r="AE308" i="72"/>
  <c r="T311" i="72"/>
  <c r="AC30" i="72"/>
  <c r="AK367" i="72"/>
  <c r="AB66" i="72"/>
  <c r="Q322" i="72"/>
  <c r="Q337" i="72" s="1"/>
  <c r="Q329" i="72"/>
  <c r="P368" i="72"/>
  <c r="P61" i="72"/>
  <c r="P63" i="72"/>
  <c r="P25" i="72"/>
  <c r="P24" i="72"/>
  <c r="BE340" i="72"/>
  <c r="BE324" i="72" a="1"/>
  <c r="BE324" i="72" s="1"/>
  <c r="AT65" i="72"/>
  <c r="AI337" i="72"/>
  <c r="P55" i="72"/>
  <c r="P306" i="72"/>
  <c r="P324" i="72" a="1"/>
  <c r="P324" i="72" s="1"/>
  <c r="AT174" i="72"/>
  <c r="U306" i="72"/>
  <c r="AI188" i="72"/>
  <c r="Y186" i="72"/>
  <c r="AS310" i="72"/>
  <c r="O66" i="72"/>
  <c r="O311" i="72"/>
  <c r="O307" i="72"/>
  <c r="AR368" i="72"/>
  <c r="AR63" i="72"/>
  <c r="AR61" i="72"/>
  <c r="AR24" i="72"/>
  <c r="AR25" i="72"/>
  <c r="M67" i="72"/>
  <c r="AR310" i="72"/>
  <c r="AQ65" i="72"/>
  <c r="AQ315" i="72"/>
  <c r="AQ304" i="72"/>
  <c r="AQ307" i="72"/>
  <c r="AQ329" i="72"/>
  <c r="S62" i="72"/>
  <c r="S304" i="72"/>
  <c r="S306" i="72"/>
  <c r="S311" i="72"/>
  <c r="AF315" i="72"/>
  <c r="AP368" i="72"/>
  <c r="AP61" i="72"/>
  <c r="AP63" i="72"/>
  <c r="AP25" i="72"/>
  <c r="AP24" i="72"/>
  <c r="BA68" i="72"/>
  <c r="AP66" i="72"/>
  <c r="AP306" i="72"/>
  <c r="AP308" i="72"/>
  <c r="AE317" i="72"/>
  <c r="AE315" i="72"/>
  <c r="T54" i="72"/>
  <c r="T65" i="72"/>
  <c r="T313" i="72"/>
  <c r="T322" i="72"/>
  <c r="T337" i="72" s="1"/>
  <c r="AF368" i="72"/>
  <c r="AF63" i="72"/>
  <c r="AF61" i="72"/>
  <c r="AF25" i="72"/>
  <c r="AF24" i="72"/>
  <c r="AT330" i="72"/>
  <c r="P62" i="72"/>
  <c r="Y285" i="72"/>
  <c r="BD368" i="72"/>
  <c r="BD61" i="72"/>
  <c r="BD25" i="72"/>
  <c r="BD24" i="72"/>
  <c r="BD63" i="72"/>
  <c r="BD68" i="72"/>
  <c r="AS317" i="72"/>
  <c r="O331" i="72"/>
  <c r="O326" i="72" a="1"/>
  <c r="O326" i="72" s="1"/>
  <c r="O325" i="72" a="1"/>
  <c r="O325" i="72" s="1"/>
  <c r="V368" i="72"/>
  <c r="V63" i="72"/>
  <c r="V61" i="72"/>
  <c r="V24" i="72"/>
  <c r="V25" i="72"/>
  <c r="V308" i="72"/>
  <c r="V322" i="72"/>
  <c r="V337" i="72" s="1"/>
  <c r="R31" i="72"/>
  <c r="R234" i="72" s="1"/>
  <c r="M186" i="72"/>
  <c r="W188" i="72"/>
  <c r="M284" i="72"/>
  <c r="AD368" i="72"/>
  <c r="AD25" i="72"/>
  <c r="AD63" i="72"/>
  <c r="AD24" i="72"/>
  <c r="AD61" i="72"/>
  <c r="AI54" i="72"/>
  <c r="AR308" i="72"/>
  <c r="AR322" i="72"/>
  <c r="S65" i="72"/>
  <c r="S308" i="72"/>
  <c r="S309" i="72"/>
  <c r="S322" i="72"/>
  <c r="S340" i="72" s="1"/>
  <c r="Y29" i="72"/>
  <c r="AF68" i="72"/>
  <c r="AF317" i="72"/>
  <c r="AF308" i="72"/>
  <c r="AE368" i="72"/>
  <c r="AE61" i="72"/>
  <c r="AE63" i="72"/>
  <c r="AE25" i="72"/>
  <c r="AE24" i="72"/>
  <c r="BA331" i="72"/>
  <c r="BA325" i="72" a="1"/>
  <c r="BA325" i="72" s="1"/>
  <c r="BA326" i="72" a="1"/>
  <c r="BA326" i="72" s="1"/>
  <c r="AE331" i="72"/>
  <c r="AE325" i="72" a="1"/>
  <c r="AE325" i="72" s="1"/>
  <c r="AE326" i="72" a="1"/>
  <c r="AE326" i="72" s="1"/>
  <c r="AE340" i="72"/>
  <c r="T306" i="72"/>
  <c r="T304" i="72"/>
  <c r="T330" i="72"/>
  <c r="AP230" i="72"/>
  <c r="AP13" i="72"/>
  <c r="AN229" i="72"/>
  <c r="AN13" i="72" s="1"/>
  <c r="AN231" i="72"/>
  <c r="BC64" i="72"/>
  <c r="BC326" i="72" a="1"/>
  <c r="BC326" i="72" s="1"/>
  <c r="BC325" i="72" a="1"/>
  <c r="BC325" i="72" s="1"/>
  <c r="BC331" i="72"/>
  <c r="AU368" i="72"/>
  <c r="AU63" i="72"/>
  <c r="AU61" i="72"/>
  <c r="AU24" i="72"/>
  <c r="AU25" i="72"/>
  <c r="AU26" i="72" s="1"/>
  <c r="AU334" i="72" s="1"/>
  <c r="BF311" i="72"/>
  <c r="BF317" i="72"/>
  <c r="AU54" i="72"/>
  <c r="AU329" i="72"/>
  <c r="AM54" i="72"/>
  <c r="AB329" i="72"/>
  <c r="Q306" i="72"/>
  <c r="Q313" i="72"/>
  <c r="Y317" i="72"/>
  <c r="AC93" i="72"/>
  <c r="AC95" i="72" s="1"/>
  <c r="AA93" i="72"/>
  <c r="AA95" i="72" s="1"/>
  <c r="AC27" i="72"/>
  <c r="AI27" i="72"/>
  <c r="AA27" i="72"/>
  <c r="AA5" i="72"/>
  <c r="AH27" i="72"/>
  <c r="AA3" i="72"/>
  <c r="AG27" i="72"/>
  <c r="AA8" i="72"/>
  <c r="AF27" i="72"/>
  <c r="AF229" i="72" s="1"/>
  <c r="AF13" i="72" s="1"/>
  <c r="AA4" i="72"/>
  <c r="AE27" i="72"/>
  <c r="AD27" i="72"/>
  <c r="AB27" i="72"/>
  <c r="P31" i="72"/>
  <c r="AT306" i="72"/>
  <c r="P65" i="72"/>
  <c r="P313" i="72"/>
  <c r="P311" i="72"/>
  <c r="AO304" i="72"/>
  <c r="AO340" i="72"/>
  <c r="AS30" i="72"/>
  <c r="AC31" i="72"/>
  <c r="AS368" i="72"/>
  <c r="AS61" i="72"/>
  <c r="AS63" i="72"/>
  <c r="AS24" i="72"/>
  <c r="AS25" i="72"/>
  <c r="BD324" i="72" a="1"/>
  <c r="BD324" i="72" s="1"/>
  <c r="BD337" i="72"/>
  <c r="AS66" i="72"/>
  <c r="W66" i="72"/>
  <c r="O315" i="72"/>
  <c r="V317" i="72"/>
  <c r="V313" i="72"/>
  <c r="U78" i="72"/>
  <c r="AR315" i="72"/>
  <c r="AR304" i="72"/>
  <c r="AQ55" i="72"/>
  <c r="AQ313" i="72"/>
  <c r="S329" i="72"/>
  <c r="S310" i="72"/>
  <c r="S330" i="72"/>
  <c r="AF304" i="72"/>
  <c r="AF310" i="72"/>
  <c r="AF313" i="72"/>
  <c r="AW282" i="72"/>
  <c r="AE352" i="72"/>
  <c r="AD352" i="72"/>
  <c r="AC352" i="72"/>
  <c r="AB352" i="72"/>
  <c r="AI352" i="72"/>
  <c r="AA352" i="72"/>
  <c r="AH352" i="72"/>
  <c r="AG352" i="72"/>
  <c r="AF352" i="72"/>
  <c r="AI289" i="72"/>
  <c r="AA289" i="72"/>
  <c r="AF289" i="72"/>
  <c r="AE289" i="72"/>
  <c r="AD289" i="72"/>
  <c r="AC289" i="72"/>
  <c r="AH289" i="72"/>
  <c r="AG289" i="72"/>
  <c r="AH192" i="72"/>
  <c r="Y192" i="72" s="1"/>
  <c r="AB289" i="72"/>
  <c r="AH178" i="72"/>
  <c r="AF30" i="72"/>
  <c r="T368" i="72"/>
  <c r="T61" i="72"/>
  <c r="T63" i="72"/>
  <c r="T25" i="72"/>
  <c r="T24" i="72"/>
  <c r="BA324" i="72" a="1"/>
  <c r="BA324" i="72" s="1"/>
  <c r="AP309" i="72"/>
  <c r="AP307" i="72"/>
  <c r="AP313" i="72"/>
  <c r="AE306" i="72"/>
  <c r="AQ230" i="72"/>
  <c r="AQ13" i="72"/>
  <c r="AS230" i="72"/>
  <c r="AS13" i="72"/>
  <c r="R176" i="55"/>
  <c r="AC325" i="72" l="1" a="1"/>
  <c r="AC325" i="72" s="1"/>
  <c r="W326" i="73" a="1"/>
  <c r="W326" i="73" s="1"/>
  <c r="BA234" i="74"/>
  <c r="AS324" i="75" a="1"/>
  <c r="AS324" i="75" s="1"/>
  <c r="AC326" i="72" a="1"/>
  <c r="AC326" i="72" s="1"/>
  <c r="AG326" i="74" a="1"/>
  <c r="AG326" i="74" s="1"/>
  <c r="AG324" i="74" a="1"/>
  <c r="AG324" i="74" s="1"/>
  <c r="AZ324" i="76" a="1"/>
  <c r="AZ324" i="76" s="1"/>
  <c r="M64" i="72"/>
  <c r="W324" i="73" a="1"/>
  <c r="W324" i="73" s="1"/>
  <c r="R324" i="74" a="1"/>
  <c r="R324" i="74" s="1"/>
  <c r="AG325" i="74" a="1"/>
  <c r="AG325" i="74" s="1"/>
  <c r="AZ325" i="76" a="1"/>
  <c r="AZ325" i="76" s="1"/>
  <c r="AZ337" i="76"/>
  <c r="AG331" i="74"/>
  <c r="AZ326" i="76" a="1"/>
  <c r="AZ326" i="76" s="1"/>
  <c r="AA235" i="76"/>
  <c r="W337" i="73"/>
  <c r="AG337" i="74"/>
  <c r="AM336" i="74"/>
  <c r="AZ331" i="76"/>
  <c r="W340" i="73"/>
  <c r="P233" i="75"/>
  <c r="AC324" i="72" a="1"/>
  <c r="AC324" i="72" s="1"/>
  <c r="AR340" i="76"/>
  <c r="AY233" i="76"/>
  <c r="AD78" i="76"/>
  <c r="AY234" i="76"/>
  <c r="AH245" i="76"/>
  <c r="AH246" i="76" s="1"/>
  <c r="AA369" i="76"/>
  <c r="AH369" i="76"/>
  <c r="BG340" i="76"/>
  <c r="BE26" i="76"/>
  <c r="BE334" i="76" s="1"/>
  <c r="AR325" i="76" a="1"/>
  <c r="AR325" i="76" s="1"/>
  <c r="P337" i="76"/>
  <c r="P324" i="76" a="1"/>
  <c r="P324" i="76" s="1"/>
  <c r="U336" i="76"/>
  <c r="U339" i="76" a="1"/>
  <c r="U339" i="76" s="1"/>
  <c r="AF78" i="76"/>
  <c r="BF11" i="76"/>
  <c r="BF245" i="76"/>
  <c r="BF246" i="76" s="1"/>
  <c r="T26" i="76"/>
  <c r="T334" i="76" s="1"/>
  <c r="BA26" i="76"/>
  <c r="BA334" i="76" s="1"/>
  <c r="AO26" i="76"/>
  <c r="AO334" i="76" s="1"/>
  <c r="V26" i="76"/>
  <c r="V334" i="76" s="1"/>
  <c r="AY233" i="75"/>
  <c r="AE337" i="75"/>
  <c r="V336" i="75"/>
  <c r="AY234" i="75"/>
  <c r="BG324" i="75" a="1"/>
  <c r="BG324" i="75" s="1"/>
  <c r="BG331" i="75"/>
  <c r="BG325" i="75" a="1"/>
  <c r="BG325" i="75" s="1"/>
  <c r="AN325" i="75" a="1"/>
  <c r="AN325" i="75" s="1"/>
  <c r="BB340" i="75"/>
  <c r="BG326" i="75" a="1"/>
  <c r="BG326" i="75" s="1"/>
  <c r="AM286" i="75"/>
  <c r="AN326" i="75" a="1"/>
  <c r="AN326" i="75" s="1"/>
  <c r="AN337" i="75"/>
  <c r="AU286" i="75"/>
  <c r="AN340" i="75"/>
  <c r="AN331" i="75"/>
  <c r="T26" i="74"/>
  <c r="T334" i="74" s="1"/>
  <c r="AZ233" i="74"/>
  <c r="AW233" i="74"/>
  <c r="BE26" i="74"/>
  <c r="BE334" i="74" s="1"/>
  <c r="AQ325" i="74" a="1"/>
  <c r="AQ325" i="74" s="1"/>
  <c r="AP191" i="74" a="1"/>
  <c r="AP191" i="74" s="1"/>
  <c r="P26" i="74"/>
  <c r="P334" i="74" s="1"/>
  <c r="U351" i="74"/>
  <c r="R369" i="74"/>
  <c r="J29" i="74"/>
  <c r="V351" i="74"/>
  <c r="U349" i="74"/>
  <c r="J67" i="74"/>
  <c r="AZ78" i="73"/>
  <c r="BF11" i="73"/>
  <c r="BF245" i="73"/>
  <c r="BF246" i="73" s="1"/>
  <c r="O337" i="73"/>
  <c r="O326" i="73" a="1"/>
  <c r="O326" i="73" s="1"/>
  <c r="AZ331" i="73"/>
  <c r="AZ337" i="73"/>
  <c r="BG336" i="73"/>
  <c r="O340" i="73"/>
  <c r="O325" i="73" a="1"/>
  <c r="O325" i="73" s="1"/>
  <c r="O324" i="73" a="1"/>
  <c r="O324" i="73" s="1"/>
  <c r="AZ325" i="73" a="1"/>
  <c r="AZ325" i="73" s="1"/>
  <c r="Q26" i="73"/>
  <c r="Q334" i="73" s="1"/>
  <c r="AA78" i="73"/>
  <c r="AD345" i="73" s="1"/>
  <c r="BB340" i="72"/>
  <c r="BB324" i="72" a="1"/>
  <c r="BB324" i="72" s="1"/>
  <c r="BB325" i="72" a="1"/>
  <c r="BB325" i="72" s="1"/>
  <c r="BB326" i="72" a="1"/>
  <c r="BB326" i="72" s="1"/>
  <c r="W324" i="72" a="1"/>
  <c r="W324" i="72" s="1"/>
  <c r="W326" i="72" a="1"/>
  <c r="W326" i="72" s="1"/>
  <c r="W325" i="72" a="1"/>
  <c r="W325" i="72" s="1"/>
  <c r="Q78" i="72"/>
  <c r="W347" i="72" s="1"/>
  <c r="AY340" i="72"/>
  <c r="AG336" i="76"/>
  <c r="M66" i="76"/>
  <c r="AW66" i="76"/>
  <c r="Q78" i="76"/>
  <c r="O347" i="76" s="1"/>
  <c r="AG286" i="76"/>
  <c r="AI349" i="76"/>
  <c r="AF286" i="76"/>
  <c r="AE286" i="76"/>
  <c r="AI286" i="76"/>
  <c r="AG369" i="76"/>
  <c r="AC286" i="76"/>
  <c r="AH286" i="76"/>
  <c r="AB369" i="76"/>
  <c r="AE169" i="76"/>
  <c r="M315" i="76"/>
  <c r="AB349" i="76"/>
  <c r="AB286" i="76"/>
  <c r="AF369" i="76"/>
  <c r="AD349" i="76"/>
  <c r="AD369" i="76"/>
  <c r="AC369" i="76"/>
  <c r="AE349" i="76"/>
  <c r="AE369" i="76"/>
  <c r="AA286" i="76"/>
  <c r="AF349" i="76"/>
  <c r="AI369" i="76"/>
  <c r="AD286" i="76"/>
  <c r="AG349" i="76"/>
  <c r="Y309" i="76"/>
  <c r="AS26" i="76"/>
  <c r="AS334" i="76" s="1"/>
  <c r="BB78" i="76"/>
  <c r="AY348" i="76" s="1"/>
  <c r="AW309" i="76"/>
  <c r="M304" i="76"/>
  <c r="M309" i="76"/>
  <c r="AF26" i="76"/>
  <c r="AF334" i="76" s="1"/>
  <c r="P78" i="76"/>
  <c r="V346" i="76" s="1"/>
  <c r="M65" i="76"/>
  <c r="Y65" i="76"/>
  <c r="AF277" i="76" s="1"/>
  <c r="AK315" i="76"/>
  <c r="R78" i="76"/>
  <c r="Y307" i="76"/>
  <c r="BB286" i="75"/>
  <c r="BB369" i="75"/>
  <c r="AQ174" i="75"/>
  <c r="AQ11" i="75" s="1"/>
  <c r="BC369" i="75"/>
  <c r="BG349" i="75"/>
  <c r="BE369" i="75"/>
  <c r="BC286" i="75"/>
  <c r="BE349" i="75"/>
  <c r="AY286" i="75"/>
  <c r="BG286" i="75"/>
  <c r="AZ369" i="75"/>
  <c r="AZ286" i="75"/>
  <c r="BA349" i="75"/>
  <c r="AY369" i="75"/>
  <c r="BF286" i="75"/>
  <c r="BF369" i="75"/>
  <c r="BB349" i="75"/>
  <c r="O78" i="75"/>
  <c r="BD286" i="75"/>
  <c r="BC169" i="75"/>
  <c r="BC349" i="75"/>
  <c r="BC336" i="75"/>
  <c r="AN78" i="75"/>
  <c r="BA369" i="75"/>
  <c r="AY349" i="75"/>
  <c r="BD349" i="75"/>
  <c r="BD369" i="75"/>
  <c r="BE286" i="75"/>
  <c r="AZ349" i="75"/>
  <c r="BA286" i="75"/>
  <c r="Y65" i="75"/>
  <c r="BE351" i="75"/>
  <c r="BD336" i="75"/>
  <c r="P331" i="75"/>
  <c r="AK308" i="75"/>
  <c r="AW306" i="75"/>
  <c r="U26" i="75"/>
  <c r="U334" i="75" s="1"/>
  <c r="M64" i="75"/>
  <c r="O276" i="75" s="1"/>
  <c r="AD339" i="74" a="1"/>
  <c r="AD339" i="74" s="1"/>
  <c r="U288" i="74"/>
  <c r="T288" i="74"/>
  <c r="R351" i="74"/>
  <c r="P288" i="74"/>
  <c r="U169" i="74"/>
  <c r="U174" i="74" s="1"/>
  <c r="S351" i="74"/>
  <c r="V288" i="74"/>
  <c r="W351" i="74"/>
  <c r="O351" i="74"/>
  <c r="T351" i="74"/>
  <c r="O288" i="74"/>
  <c r="P351" i="74"/>
  <c r="R288" i="74"/>
  <c r="Q288" i="74"/>
  <c r="AC336" i="74"/>
  <c r="S286" i="74"/>
  <c r="O349" i="74"/>
  <c r="O369" i="74"/>
  <c r="S169" i="74"/>
  <c r="S178" i="74" s="1"/>
  <c r="W349" i="74"/>
  <c r="T369" i="74"/>
  <c r="P349" i="74"/>
  <c r="R349" i="74"/>
  <c r="Q369" i="74"/>
  <c r="Q349" i="74"/>
  <c r="Q286" i="74"/>
  <c r="S349" i="74"/>
  <c r="U286" i="74"/>
  <c r="V369" i="74"/>
  <c r="T286" i="74"/>
  <c r="BD78" i="73"/>
  <c r="BD350" i="73" s="1"/>
  <c r="R78" i="73"/>
  <c r="BA78" i="73"/>
  <c r="AP26" i="73"/>
  <c r="AP334" i="73" s="1"/>
  <c r="Y66" i="72"/>
  <c r="AE336" i="72"/>
  <c r="J284" i="72"/>
  <c r="Q325" i="73" a="1"/>
  <c r="Q325" i="73" s="1"/>
  <c r="Q340" i="73"/>
  <c r="AU26" i="73"/>
  <c r="AU334" i="73" s="1"/>
  <c r="AP324" i="74" a="1"/>
  <c r="AP324" i="74" s="1"/>
  <c r="AH26" i="74"/>
  <c r="AH334" i="74" s="1"/>
  <c r="R26" i="75"/>
  <c r="R334" i="75" s="1"/>
  <c r="AK313" i="75"/>
  <c r="AK25" i="75"/>
  <c r="BE288" i="75"/>
  <c r="BF351" i="75"/>
  <c r="M311" i="76"/>
  <c r="T78" i="76"/>
  <c r="T350" i="76" s="1"/>
  <c r="AK310" i="76"/>
  <c r="AC78" i="76"/>
  <c r="AA347" i="76" s="1"/>
  <c r="AN78" i="76"/>
  <c r="AN346" i="76" s="1"/>
  <c r="AZ26" i="76"/>
  <c r="AZ334" i="76" s="1"/>
  <c r="M310" i="76"/>
  <c r="Y315" i="76"/>
  <c r="AR26" i="76"/>
  <c r="AR334" i="76" s="1"/>
  <c r="AO78" i="76"/>
  <c r="AR347" i="76" s="1"/>
  <c r="V11" i="75"/>
  <c r="V245" i="75"/>
  <c r="V246" i="75" s="1"/>
  <c r="Y64" i="75"/>
  <c r="AB276" i="75" s="1"/>
  <c r="Q326" i="73" a="1"/>
  <c r="Q326" i="73" s="1"/>
  <c r="Q324" i="73" a="1"/>
  <c r="Q324" i="73" s="1"/>
  <c r="AM78" i="74"/>
  <c r="AR345" i="74" s="1"/>
  <c r="AP326" i="74" a="1"/>
  <c r="AP326" i="74" s="1"/>
  <c r="BF26" i="74"/>
  <c r="BF334" i="74" s="1"/>
  <c r="T324" i="74" a="1"/>
  <c r="T324" i="74" s="1"/>
  <c r="AI26" i="75"/>
  <c r="AI334" i="75" s="1"/>
  <c r="BD26" i="75"/>
  <c r="BD334" i="75" s="1"/>
  <c r="BF288" i="75"/>
  <c r="AY351" i="75"/>
  <c r="M64" i="76"/>
  <c r="U276" i="76" s="1"/>
  <c r="M313" i="76"/>
  <c r="AK308" i="76"/>
  <c r="J67" i="76"/>
  <c r="M308" i="76"/>
  <c r="M24" i="76"/>
  <c r="Y308" i="76"/>
  <c r="Y313" i="76"/>
  <c r="AR324" i="76" a="1"/>
  <c r="AR324" i="76" s="1"/>
  <c r="AR337" i="76"/>
  <c r="Q331" i="73"/>
  <c r="AK306" i="74"/>
  <c r="AP325" i="74" a="1"/>
  <c r="AP325" i="74" s="1"/>
  <c r="T337" i="74"/>
  <c r="T336" i="74" s="1"/>
  <c r="S340" i="75"/>
  <c r="BE169" i="75"/>
  <c r="BG351" i="75"/>
  <c r="J192" i="76"/>
  <c r="AZ78" i="76"/>
  <c r="AY346" i="76" s="1"/>
  <c r="Y311" i="76"/>
  <c r="AK62" i="76"/>
  <c r="AP275" i="76" s="1"/>
  <c r="AO324" i="76" a="1"/>
  <c r="AO324" i="76" s="1"/>
  <c r="Y62" i="76"/>
  <c r="AD275" i="76" s="1"/>
  <c r="AP78" i="76"/>
  <c r="AO348" i="76" s="1"/>
  <c r="AW62" i="76"/>
  <c r="BA275" i="76" s="1"/>
  <c r="AO325" i="73" a="1"/>
  <c r="AO325" i="73" s="1"/>
  <c r="AP331" i="74"/>
  <c r="T326" i="74" a="1"/>
  <c r="T326" i="74" s="1"/>
  <c r="P337" i="75"/>
  <c r="AK62" i="75"/>
  <c r="AM275" i="75" s="1"/>
  <c r="BC351" i="75"/>
  <c r="AZ351" i="75"/>
  <c r="AK306" i="76"/>
  <c r="W26" i="76"/>
  <c r="W334" i="76" s="1"/>
  <c r="AK313" i="76"/>
  <c r="AE26" i="76"/>
  <c r="AE334" i="76" s="1"/>
  <c r="BC26" i="76"/>
  <c r="BC334" i="76" s="1"/>
  <c r="AW306" i="76"/>
  <c r="AI340" i="76"/>
  <c r="AI324" i="76" a="1"/>
  <c r="AI324" i="76" s="1"/>
  <c r="V11" i="74"/>
  <c r="V245" i="74"/>
  <c r="V246" i="74" s="1"/>
  <c r="AD26" i="72"/>
  <c r="AD334" i="72" s="1"/>
  <c r="AU324" i="72" a="1"/>
  <c r="AU324" i="72" s="1"/>
  <c r="AS324" i="72" a="1"/>
  <c r="AS324" i="72" s="1"/>
  <c r="BF340" i="73"/>
  <c r="T325" i="74" a="1"/>
  <c r="T325" i="74" s="1"/>
  <c r="AK315" i="75"/>
  <c r="AK310" i="75"/>
  <c r="AR26" i="75"/>
  <c r="AR334" i="75" s="1"/>
  <c r="BA351" i="75"/>
  <c r="AW68" i="76"/>
  <c r="J195" i="76"/>
  <c r="AH26" i="76"/>
  <c r="AH334" i="76" s="1"/>
  <c r="AW315" i="76"/>
  <c r="Y304" i="76"/>
  <c r="AW313" i="76"/>
  <c r="AM78" i="76"/>
  <c r="AN345" i="76" s="1"/>
  <c r="AW310" i="76"/>
  <c r="AW307" i="76"/>
  <c r="AI26" i="76"/>
  <c r="AI334" i="76" s="1"/>
  <c r="AK313" i="74"/>
  <c r="T331" i="74"/>
  <c r="S26" i="74"/>
  <c r="S334" i="74" s="1"/>
  <c r="P325" i="75" a="1"/>
  <c r="P325" i="75" s="1"/>
  <c r="AW62" i="75"/>
  <c r="BC275" i="75" s="1"/>
  <c r="AZ288" i="75"/>
  <c r="BB351" i="75"/>
  <c r="S26" i="76"/>
  <c r="S334" i="76" s="1"/>
  <c r="BA78" i="76"/>
  <c r="BD347" i="76" s="1"/>
  <c r="AK309" i="76"/>
  <c r="AW308" i="76"/>
  <c r="BB191" i="76" a="1"/>
  <c r="BB191" i="76" s="1"/>
  <c r="BB190" i="76" s="1" a="1"/>
  <c r="BB190" i="76" s="1"/>
  <c r="J284" i="76"/>
  <c r="BD26" i="76"/>
  <c r="BD334" i="76" s="1"/>
  <c r="Y64" i="76"/>
  <c r="AB276" i="76" s="1"/>
  <c r="AC78" i="74"/>
  <c r="AK310" i="74"/>
  <c r="BA26" i="75"/>
  <c r="BA334" i="75" s="1"/>
  <c r="Y311" i="75"/>
  <c r="AH26" i="75"/>
  <c r="AH334" i="75" s="1"/>
  <c r="Y308" i="75"/>
  <c r="AW64" i="75"/>
  <c r="BA276" i="75" s="1"/>
  <c r="J69" i="75"/>
  <c r="AK368" i="75"/>
  <c r="BC288" i="75"/>
  <c r="M307" i="76"/>
  <c r="Y306" i="76"/>
  <c r="AB78" i="76"/>
  <c r="AE283" i="76" s="1"/>
  <c r="O78" i="76"/>
  <c r="T345" i="76" s="1"/>
  <c r="Y310" i="76"/>
  <c r="AK68" i="76"/>
  <c r="M62" i="76"/>
  <c r="O275" i="76" s="1"/>
  <c r="AN347" i="76"/>
  <c r="AS347" i="76"/>
  <c r="AT347" i="76"/>
  <c r="AQ347" i="76"/>
  <c r="AO347" i="76"/>
  <c r="AO88" i="76"/>
  <c r="W347" i="76"/>
  <c r="V347" i="76"/>
  <c r="AG277" i="76"/>
  <c r="AI277" i="76"/>
  <c r="AA277" i="76"/>
  <c r="AD277" i="76"/>
  <c r="AE277" i="76"/>
  <c r="AH277" i="76"/>
  <c r="AZ346" i="76"/>
  <c r="BG346" i="76"/>
  <c r="BE346" i="76"/>
  <c r="BB346" i="76"/>
  <c r="BA346" i="76"/>
  <c r="AZ88" i="76"/>
  <c r="BA366" i="76"/>
  <c r="BF366" i="76"/>
  <c r="BG283" i="76"/>
  <c r="BC366" i="76"/>
  <c r="AY283" i="76"/>
  <c r="AZ366" i="76"/>
  <c r="BC283" i="76"/>
  <c r="BF283" i="76"/>
  <c r="BD283" i="76"/>
  <c r="BE366" i="76"/>
  <c r="AS275" i="76"/>
  <c r="AF275" i="76"/>
  <c r="AC275" i="76"/>
  <c r="AG275" i="76"/>
  <c r="AA275" i="76"/>
  <c r="AR348" i="76"/>
  <c r="AF276" i="76"/>
  <c r="AC276" i="76"/>
  <c r="AG276" i="76"/>
  <c r="AA276" i="76"/>
  <c r="AI276" i="76"/>
  <c r="AD276" i="76"/>
  <c r="BA339" i="76" a="1"/>
  <c r="BA339" i="76" s="1"/>
  <c r="BA336" i="76"/>
  <c r="AO339" i="76" a="1"/>
  <c r="AO339" i="76" s="1"/>
  <c r="AO336" i="76"/>
  <c r="BG230" i="76"/>
  <c r="BG13" i="76"/>
  <c r="W230" i="76"/>
  <c r="W13" i="76"/>
  <c r="AT230" i="76"/>
  <c r="AT13" i="76"/>
  <c r="AS230" i="76"/>
  <c r="AS13" i="76"/>
  <c r="AT11" i="76"/>
  <c r="AT245" i="76"/>
  <c r="AT246" i="76" s="1"/>
  <c r="Y25" i="76"/>
  <c r="AA26" i="76"/>
  <c r="AK25" i="76"/>
  <c r="AM26" i="76"/>
  <c r="U351" i="76"/>
  <c r="T351" i="76"/>
  <c r="S351" i="76"/>
  <c r="R351" i="76"/>
  <c r="Q351" i="76"/>
  <c r="P351" i="76"/>
  <c r="W351" i="76"/>
  <c r="V351" i="76"/>
  <c r="O351" i="76"/>
  <c r="U169" i="76"/>
  <c r="T288" i="76"/>
  <c r="W288" i="76"/>
  <c r="O288" i="76"/>
  <c r="P288" i="76"/>
  <c r="V288" i="76"/>
  <c r="R288" i="76"/>
  <c r="S288" i="76"/>
  <c r="U288" i="76"/>
  <c r="Q288" i="76"/>
  <c r="AK304" i="76"/>
  <c r="AD337" i="72"/>
  <c r="AD324" i="72" a="1"/>
  <c r="AD324" i="72" s="1"/>
  <c r="AW65" i="72"/>
  <c r="BC277" i="72" s="1"/>
  <c r="AM339" i="72" a="1"/>
  <c r="AM339" i="72" s="1"/>
  <c r="J284" i="73"/>
  <c r="M62" i="73"/>
  <c r="V275" i="73" s="1"/>
  <c r="AN337" i="74"/>
  <c r="AN339" i="74" s="1" a="1"/>
  <c r="AN339" i="74" s="1"/>
  <c r="BA324" i="74" a="1"/>
  <c r="BA324" i="74" s="1"/>
  <c r="AE340" i="74"/>
  <c r="AF26" i="74"/>
  <c r="AF334" i="74" s="1"/>
  <c r="V26" i="74"/>
  <c r="V334" i="74" s="1"/>
  <c r="AE26" i="74"/>
  <c r="AE334" i="74" s="1"/>
  <c r="AQ331" i="74"/>
  <c r="AZ234" i="74"/>
  <c r="AW315" i="75"/>
  <c r="AZ340" i="75"/>
  <c r="AB78" i="75"/>
  <c r="AE346" i="75" s="1"/>
  <c r="AN26" i="75"/>
  <c r="AN334" i="75" s="1"/>
  <c r="Y368" i="75"/>
  <c r="AY78" i="74"/>
  <c r="BG339" i="76" a="1"/>
  <c r="BG339" i="76" s="1"/>
  <c r="BG336" i="76"/>
  <c r="M306" i="76"/>
  <c r="AW311" i="76"/>
  <c r="AH230" i="76"/>
  <c r="AH13" i="76"/>
  <c r="O26" i="76"/>
  <c r="M25" i="76"/>
  <c r="AE351" i="76"/>
  <c r="AD351" i="76"/>
  <c r="AC351" i="76"/>
  <c r="AB351" i="76"/>
  <c r="AI351" i="76"/>
  <c r="AA351" i="76"/>
  <c r="AH351" i="76"/>
  <c r="AG351" i="76"/>
  <c r="AF351" i="76"/>
  <c r="AG169" i="76"/>
  <c r="AF288" i="76"/>
  <c r="AD288" i="76"/>
  <c r="AG288" i="76"/>
  <c r="AC288" i="76"/>
  <c r="AE288" i="76"/>
  <c r="AH288" i="76"/>
  <c r="AI288" i="76"/>
  <c r="AA288" i="76"/>
  <c r="AB288" i="76"/>
  <c r="AY78" i="76"/>
  <c r="AQ26" i="76"/>
  <c r="AQ334" i="76" s="1"/>
  <c r="AO331" i="76"/>
  <c r="AO326" i="76" a="1"/>
  <c r="AO326" i="76" s="1"/>
  <c r="AO325" i="76" a="1"/>
  <c r="AO325" i="76" s="1"/>
  <c r="AE339" i="76" a="1"/>
  <c r="AE339" i="76" s="1"/>
  <c r="AE336" i="76"/>
  <c r="BB26" i="76"/>
  <c r="BB334" i="76" s="1"/>
  <c r="V339" i="76" a="1"/>
  <c r="V339" i="76" s="1"/>
  <c r="V336" i="76"/>
  <c r="AO340" i="76"/>
  <c r="AA78" i="76"/>
  <c r="AC324" i="76" a="1"/>
  <c r="AC324" i="76" s="1"/>
  <c r="S230" i="76"/>
  <c r="S13" i="76"/>
  <c r="P231" i="76"/>
  <c r="P229" i="76"/>
  <c r="P13" i="76" s="1"/>
  <c r="P230" i="76"/>
  <c r="Q26" i="76"/>
  <c r="Q334" i="76" s="1"/>
  <c r="AO242" i="76"/>
  <c r="AQ230" i="76"/>
  <c r="AQ13" i="76"/>
  <c r="P340" i="75"/>
  <c r="P324" i="75" a="1"/>
  <c r="P324" i="75" s="1"/>
  <c r="AR78" i="76"/>
  <c r="AM331" i="76"/>
  <c r="AM326" i="76" a="1"/>
  <c r="AM326" i="76" s="1"/>
  <c r="AM325" i="76" a="1"/>
  <c r="AM325" i="76" s="1"/>
  <c r="AM337" i="76"/>
  <c r="AM324" i="76" a="1"/>
  <c r="AM324" i="76" s="1"/>
  <c r="AM340" i="76"/>
  <c r="AK311" i="76"/>
  <c r="AK64" i="76"/>
  <c r="BE324" i="75" a="1"/>
  <c r="BE324" i="75" s="1"/>
  <c r="BE340" i="75"/>
  <c r="Q233" i="76"/>
  <c r="Q235" i="76"/>
  <c r="Q234" i="76"/>
  <c r="AC229" i="76"/>
  <c r="AC13" i="76" s="1"/>
  <c r="AC231" i="76"/>
  <c r="AC230" i="76"/>
  <c r="W258" i="76"/>
  <c r="M257" i="76"/>
  <c r="J257" i="76" s="1"/>
  <c r="BG26" i="74"/>
  <c r="BG334" i="74" s="1"/>
  <c r="Y304" i="75"/>
  <c r="T78" i="75"/>
  <c r="S350" i="75" s="1"/>
  <c r="M68" i="75"/>
  <c r="AK65" i="75"/>
  <c r="AN277" i="75" s="1"/>
  <c r="AQ331" i="76"/>
  <c r="AQ326" i="76" a="1"/>
  <c r="AQ326" i="76" s="1"/>
  <c r="AQ325" i="76" a="1"/>
  <c r="AQ325" i="76" s="1"/>
  <c r="Q349" i="76"/>
  <c r="P349" i="76"/>
  <c r="W349" i="76"/>
  <c r="O349" i="76"/>
  <c r="V349" i="76"/>
  <c r="U349" i="76"/>
  <c r="T349" i="76"/>
  <c r="S349" i="76"/>
  <c r="R349" i="76"/>
  <c r="S169" i="76"/>
  <c r="W369" i="76"/>
  <c r="Q286" i="76"/>
  <c r="T286" i="76"/>
  <c r="O369" i="76"/>
  <c r="U286" i="76"/>
  <c r="V369" i="76"/>
  <c r="P369" i="76"/>
  <c r="T369" i="76"/>
  <c r="V286" i="76"/>
  <c r="R369" i="76"/>
  <c r="U369" i="76"/>
  <c r="W286" i="76"/>
  <c r="P286" i="76"/>
  <c r="Q369" i="76"/>
  <c r="O286" i="76"/>
  <c r="S369" i="76"/>
  <c r="R286" i="76"/>
  <c r="S286" i="76"/>
  <c r="AD230" i="76"/>
  <c r="AD13" i="76"/>
  <c r="AH331" i="76"/>
  <c r="AH326" i="76" a="1"/>
  <c r="AH326" i="76" s="1"/>
  <c r="AH325" i="76" a="1"/>
  <c r="AH325" i="76" s="1"/>
  <c r="AZ230" i="76"/>
  <c r="AZ231" i="76"/>
  <c r="AZ229" i="76"/>
  <c r="AZ13" i="76" s="1"/>
  <c r="BG351" i="76"/>
  <c r="AY351" i="76"/>
  <c r="BF351" i="76"/>
  <c r="BE351" i="76"/>
  <c r="BD351" i="76"/>
  <c r="BC351" i="76"/>
  <c r="BB351" i="76"/>
  <c r="BA351" i="76"/>
  <c r="AZ351" i="76"/>
  <c r="BE169" i="76"/>
  <c r="BA288" i="76"/>
  <c r="BG288" i="76"/>
  <c r="AZ288" i="76"/>
  <c r="BC288" i="76"/>
  <c r="BF288" i="76"/>
  <c r="BD288" i="76"/>
  <c r="AY288" i="76"/>
  <c r="BE288" i="76"/>
  <c r="BB288" i="76"/>
  <c r="AN337" i="76"/>
  <c r="AM230" i="76"/>
  <c r="AM229" i="76"/>
  <c r="AM231" i="76"/>
  <c r="AB26" i="76"/>
  <c r="AB334" i="76" s="1"/>
  <c r="BB331" i="76"/>
  <c r="BB326" i="76" a="1"/>
  <c r="BB326" i="76" s="1"/>
  <c r="BB325" i="76" a="1"/>
  <c r="BB325" i="76" s="1"/>
  <c r="AK24" i="76"/>
  <c r="AH340" i="76"/>
  <c r="BD336" i="76"/>
  <c r="BD339" i="76" a="1"/>
  <c r="BD339" i="76" s="1"/>
  <c r="AM235" i="76"/>
  <c r="AM169" i="76"/>
  <c r="AM233" i="76"/>
  <c r="AM234" i="76"/>
  <c r="AK307" i="76"/>
  <c r="AD340" i="72"/>
  <c r="M306" i="73"/>
  <c r="BB26" i="73"/>
  <c r="BB334" i="73" s="1"/>
  <c r="AK306" i="73"/>
  <c r="M64" i="73"/>
  <c r="W276" i="73" s="1"/>
  <c r="AK307" i="74"/>
  <c r="W26" i="75"/>
  <c r="W334" i="75" s="1"/>
  <c r="AK307" i="75"/>
  <c r="Y309" i="75"/>
  <c r="AC78" i="75"/>
  <c r="AF347" i="75" s="1"/>
  <c r="AF78" i="75"/>
  <c r="AE350" i="75" s="1"/>
  <c r="AW62" i="74"/>
  <c r="Y306" i="75"/>
  <c r="AQ324" i="76" a="1"/>
  <c r="AQ324" i="76" s="1"/>
  <c r="BB336" i="76"/>
  <c r="BB339" i="76" a="1"/>
  <c r="BB339" i="76" s="1"/>
  <c r="M289" i="76"/>
  <c r="AE230" i="76"/>
  <c r="AE13" i="76"/>
  <c r="AU26" i="76"/>
  <c r="AU334" i="76" s="1"/>
  <c r="Y235" i="76"/>
  <c r="Y233" i="76"/>
  <c r="Y234" i="76"/>
  <c r="Y196" i="76"/>
  <c r="BA229" i="76"/>
  <c r="BA13" i="76" s="1"/>
  <c r="BA231" i="76"/>
  <c r="BA230" i="76"/>
  <c r="AC234" i="76"/>
  <c r="AC233" i="76"/>
  <c r="AC235" i="76"/>
  <c r="AQ340" i="76"/>
  <c r="BD78" i="76"/>
  <c r="P26" i="76"/>
  <c r="P334" i="76" s="1"/>
  <c r="AS349" i="76"/>
  <c r="AR349" i="76"/>
  <c r="AQ349" i="76"/>
  <c r="AP349" i="76"/>
  <c r="AO349" i="76"/>
  <c r="AN349" i="76"/>
  <c r="AM349" i="76"/>
  <c r="AU349" i="76"/>
  <c r="AT349" i="76"/>
  <c r="AQ169" i="76"/>
  <c r="AP286" i="76"/>
  <c r="AO286" i="76"/>
  <c r="AQ369" i="76"/>
  <c r="AR286" i="76"/>
  <c r="AS286" i="76"/>
  <c r="AT286" i="76"/>
  <c r="AN369" i="76"/>
  <c r="AM369" i="76"/>
  <c r="AN286" i="76"/>
  <c r="AP369" i="76"/>
  <c r="AR369" i="76"/>
  <c r="AS369" i="76"/>
  <c r="AO369" i="76"/>
  <c r="AT369" i="76"/>
  <c r="AQ286" i="76"/>
  <c r="AM286" i="76"/>
  <c r="AU369" i="76"/>
  <c r="AU286" i="76"/>
  <c r="U230" i="76"/>
  <c r="U13" i="76"/>
  <c r="O234" i="76"/>
  <c r="O169" i="76"/>
  <c r="O233" i="76"/>
  <c r="O235" i="76"/>
  <c r="AU230" i="76"/>
  <c r="AU13" i="76"/>
  <c r="W336" i="76"/>
  <c r="W339" i="76" a="1"/>
  <c r="W339" i="76" s="1"/>
  <c r="AB339" i="76" a="1"/>
  <c r="AB339" i="76" s="1"/>
  <c r="AB336" i="76"/>
  <c r="AW65" i="76"/>
  <c r="AZ339" i="76" a="1"/>
  <c r="AZ339" i="76" s="1"/>
  <c r="AZ336" i="76"/>
  <c r="AN234" i="76"/>
  <c r="AN233" i="76"/>
  <c r="AN235" i="76"/>
  <c r="AK65" i="76"/>
  <c r="AO235" i="76"/>
  <c r="AO233" i="76"/>
  <c r="AO234" i="76"/>
  <c r="R331" i="76"/>
  <c r="R326" i="76" a="1"/>
  <c r="R326" i="76" s="1"/>
  <c r="R325" i="76" a="1"/>
  <c r="R325" i="76" s="1"/>
  <c r="R337" i="76"/>
  <c r="R324" i="76" a="1"/>
  <c r="R324" i="76" s="1"/>
  <c r="R340" i="76"/>
  <c r="AQ336" i="76"/>
  <c r="AQ339" i="76" a="1"/>
  <c r="AQ339" i="76" s="1"/>
  <c r="AO365" i="76"/>
  <c r="AD326" i="72" a="1"/>
  <c r="AD326" i="72" s="1"/>
  <c r="AW65" i="73"/>
  <c r="AM78" i="73"/>
  <c r="AK304" i="74"/>
  <c r="AK309" i="74"/>
  <c r="AB337" i="74"/>
  <c r="Y310" i="75"/>
  <c r="AW307" i="75"/>
  <c r="AW310" i="75"/>
  <c r="AD339" i="76" a="1"/>
  <c r="AD339" i="76" s="1"/>
  <c r="AD336" i="76"/>
  <c r="T277" i="76"/>
  <c r="R277" i="76"/>
  <c r="V277" i="76"/>
  <c r="O277" i="76"/>
  <c r="W277" i="76"/>
  <c r="S277" i="76"/>
  <c r="U277" i="76"/>
  <c r="P277" i="76"/>
  <c r="Q277" i="76"/>
  <c r="J194" i="76"/>
  <c r="AW368" i="76"/>
  <c r="BE230" i="76"/>
  <c r="BE13" i="76"/>
  <c r="BC230" i="76"/>
  <c r="BC13" i="76"/>
  <c r="AU331" i="76"/>
  <c r="AU326" i="76" a="1"/>
  <c r="AU326" i="76" s="1"/>
  <c r="AU325" i="76" a="1"/>
  <c r="AU325" i="76" s="1"/>
  <c r="AU324" i="76" a="1"/>
  <c r="AU324" i="76" s="1"/>
  <c r="AU340" i="76"/>
  <c r="AU337" i="76"/>
  <c r="AT339" i="76" a="1"/>
  <c r="AT339" i="76" s="1"/>
  <c r="AT336" i="76"/>
  <c r="AN231" i="76"/>
  <c r="AN229" i="76"/>
  <c r="AN13" i="76" s="1"/>
  <c r="AN230" i="76"/>
  <c r="P234" i="76"/>
  <c r="P235" i="76"/>
  <c r="P233" i="76"/>
  <c r="AW64" i="76"/>
  <c r="BC349" i="76"/>
  <c r="BB349" i="76"/>
  <c r="BA349" i="76"/>
  <c r="AZ349" i="76"/>
  <c r="BG349" i="76"/>
  <c r="AY349" i="76"/>
  <c r="BF349" i="76"/>
  <c r="BE349" i="76"/>
  <c r="BD349" i="76"/>
  <c r="BC169" i="76"/>
  <c r="AZ369" i="76"/>
  <c r="BA286" i="76"/>
  <c r="BG286" i="76"/>
  <c r="BA369" i="76"/>
  <c r="AY286" i="76"/>
  <c r="AZ286" i="76"/>
  <c r="BF286" i="76"/>
  <c r="BB286" i="76"/>
  <c r="BC286" i="76"/>
  <c r="BG369" i="76"/>
  <c r="BF369" i="76"/>
  <c r="BB369" i="76"/>
  <c r="BC369" i="76"/>
  <c r="AY369" i="76"/>
  <c r="BE369" i="76"/>
  <c r="BD369" i="76"/>
  <c r="BD286" i="76"/>
  <c r="BE286" i="76"/>
  <c r="M235" i="76"/>
  <c r="M233" i="76"/>
  <c r="M234" i="76"/>
  <c r="M196" i="76"/>
  <c r="J83" i="76"/>
  <c r="J29" i="76"/>
  <c r="AD325" i="72" a="1"/>
  <c r="AD325" i="72" s="1"/>
  <c r="BB191" i="72" a="1"/>
  <c r="BB191" i="72" s="1"/>
  <c r="M308" i="73"/>
  <c r="AT337" i="73"/>
  <c r="AW196" i="74"/>
  <c r="BB26" i="74"/>
  <c r="BB334" i="74" s="1"/>
  <c r="Y64" i="74"/>
  <c r="AK68" i="74"/>
  <c r="AA78" i="75"/>
  <c r="AH345" i="75" s="1"/>
  <c r="Y68" i="75"/>
  <c r="Y315" i="75"/>
  <c r="Y352" i="75"/>
  <c r="M62" i="75"/>
  <c r="R275" i="75" s="1"/>
  <c r="Y24" i="75"/>
  <c r="AP337" i="74"/>
  <c r="AC326" i="76" a="1"/>
  <c r="AC326" i="76" s="1"/>
  <c r="AC325" i="76" a="1"/>
  <c r="AC325" i="76" s="1"/>
  <c r="AC331" i="76"/>
  <c r="AC337" i="76"/>
  <c r="U350" i="76"/>
  <c r="V287" i="76"/>
  <c r="T245" i="76"/>
  <c r="T246" i="76" s="1"/>
  <c r="AB348" i="76"/>
  <c r="AI348" i="76"/>
  <c r="AA348" i="76"/>
  <c r="AG348" i="76"/>
  <c r="AF348" i="76"/>
  <c r="AH348" i="76"/>
  <c r="AE348" i="76"/>
  <c r="AD348" i="76"/>
  <c r="AC348" i="76"/>
  <c r="AD169" i="76"/>
  <c r="AI339" i="76" a="1"/>
  <c r="AI339" i="76" s="1"/>
  <c r="AI336" i="76"/>
  <c r="AN331" i="76"/>
  <c r="AN326" i="76" a="1"/>
  <c r="AN326" i="76" s="1"/>
  <c r="AN325" i="76" a="1"/>
  <c r="AN325" i="76" s="1"/>
  <c r="AN340" i="76"/>
  <c r="AW24" i="76"/>
  <c r="AG350" i="76"/>
  <c r="AF350" i="76"/>
  <c r="AE350" i="76"/>
  <c r="AD350" i="76"/>
  <c r="AC350" i="76"/>
  <c r="AB350" i="76"/>
  <c r="AI350" i="76"/>
  <c r="AH350" i="76"/>
  <c r="AA350" i="76"/>
  <c r="AF171" i="76"/>
  <c r="AG287" i="76"/>
  <c r="AB287" i="76"/>
  <c r="AF287" i="76"/>
  <c r="AD287" i="76"/>
  <c r="AI287" i="76"/>
  <c r="AH287" i="76"/>
  <c r="AA287" i="76"/>
  <c r="AE287" i="76"/>
  <c r="AF245" i="76"/>
  <c r="AF246" i="76" s="1"/>
  <c r="AC287" i="76"/>
  <c r="AW352" i="76"/>
  <c r="J285" i="76"/>
  <c r="BB230" i="76"/>
  <c r="BB13" i="76"/>
  <c r="BE331" i="76"/>
  <c r="BE325" i="76" a="1"/>
  <c r="BE325" i="76" s="1"/>
  <c r="BE326" i="76" a="1"/>
  <c r="BE326" i="76" s="1"/>
  <c r="BE324" i="76" a="1"/>
  <c r="BE324" i="76" s="1"/>
  <c r="BE340" i="76"/>
  <c r="BE337" i="76"/>
  <c r="AP191" i="76" a="1"/>
  <c r="AP191" i="76" s="1"/>
  <c r="Q230" i="76"/>
  <c r="Q231" i="76"/>
  <c r="Q229" i="76"/>
  <c r="Q13" i="76" s="1"/>
  <c r="V230" i="76"/>
  <c r="V13" i="76"/>
  <c r="BA234" i="76"/>
  <c r="BA233" i="76"/>
  <c r="BA235" i="76"/>
  <c r="Y68" i="76"/>
  <c r="J68" i="76" s="1"/>
  <c r="Y368" i="76"/>
  <c r="AH337" i="76"/>
  <c r="AE178" i="76"/>
  <c r="AE190" i="76"/>
  <c r="AW62" i="73"/>
  <c r="BE275" i="73" s="1"/>
  <c r="U337" i="73"/>
  <c r="U339" i="73" s="1" a="1"/>
  <c r="U339" i="73" s="1"/>
  <c r="Y306" i="73"/>
  <c r="AW64" i="73"/>
  <c r="BA276" i="73" s="1"/>
  <c r="AT326" i="73" a="1"/>
  <c r="AT326" i="73" s="1"/>
  <c r="AQ340" i="74"/>
  <c r="AF324" i="74" a="1"/>
  <c r="AF324" i="74" s="1"/>
  <c r="M65" i="75"/>
  <c r="S277" i="75" s="1"/>
  <c r="AW311" i="75"/>
  <c r="AU336" i="75"/>
  <c r="M352" i="76"/>
  <c r="AB231" i="76"/>
  <c r="AB230" i="76"/>
  <c r="AB229" i="76"/>
  <c r="AB13" i="76" s="1"/>
  <c r="AG230" i="76"/>
  <c r="AG13" i="76"/>
  <c r="M368" i="76"/>
  <c r="AW25" i="76"/>
  <c r="AY26" i="76"/>
  <c r="R348" i="76"/>
  <c r="Q348" i="76"/>
  <c r="W348" i="76"/>
  <c r="O348" i="76"/>
  <c r="V348" i="76"/>
  <c r="S348" i="76"/>
  <c r="P348" i="76"/>
  <c r="U348" i="76"/>
  <c r="T348" i="76"/>
  <c r="R169" i="76"/>
  <c r="BF230" i="76"/>
  <c r="BF13" i="76"/>
  <c r="AP339" i="76" a="1"/>
  <c r="AP339" i="76" s="1"/>
  <c r="AP336" i="76"/>
  <c r="Y289" i="76"/>
  <c r="T339" i="76" a="1"/>
  <c r="T339" i="76" s="1"/>
  <c r="T336" i="76"/>
  <c r="BC326" i="76" a="1"/>
  <c r="BC326" i="76" s="1"/>
  <c r="BC325" i="76" a="1"/>
  <c r="BC325" i="76" s="1"/>
  <c r="BC331" i="76"/>
  <c r="BC340" i="76"/>
  <c r="BC324" i="76" a="1"/>
  <c r="BC324" i="76" s="1"/>
  <c r="BC337" i="76"/>
  <c r="AK289" i="76"/>
  <c r="AK352" i="76"/>
  <c r="O336" i="76"/>
  <c r="O339" i="76" a="1"/>
  <c r="O339" i="76" s="1"/>
  <c r="AO230" i="76"/>
  <c r="AO229" i="76"/>
  <c r="AO13" i="76" s="1"/>
  <c r="AO231" i="76"/>
  <c r="AK235" i="76"/>
  <c r="AK234" i="76"/>
  <c r="AK233" i="76"/>
  <c r="AK196" i="76"/>
  <c r="AS336" i="76"/>
  <c r="AS339" i="76" a="1"/>
  <c r="AS339" i="76" s="1"/>
  <c r="BD288" i="75"/>
  <c r="BA288" i="75"/>
  <c r="BG288" i="75"/>
  <c r="AY288" i="75"/>
  <c r="J67" i="72"/>
  <c r="M66" i="73"/>
  <c r="AO26" i="73"/>
  <c r="AO334" i="73" s="1"/>
  <c r="AT325" i="73" a="1"/>
  <c r="AT325" i="73" s="1"/>
  <c r="AI324" i="74" a="1"/>
  <c r="AI324" i="74" s="1"/>
  <c r="Y307" i="74"/>
  <c r="Q78" i="75"/>
  <c r="U347" i="75" s="1"/>
  <c r="AK68" i="75"/>
  <c r="AK309" i="75"/>
  <c r="Y307" i="75"/>
  <c r="S324" i="75" a="1"/>
  <c r="S324" i="75" s="1"/>
  <c r="BB324" i="75" a="1"/>
  <c r="BB324" i="75" s="1"/>
  <c r="AM78" i="75"/>
  <c r="AO345" i="75" s="1"/>
  <c r="AW304" i="76"/>
  <c r="U26" i="76"/>
  <c r="U334" i="76" s="1"/>
  <c r="J186" i="76"/>
  <c r="AT26" i="76"/>
  <c r="AT334" i="76" s="1"/>
  <c r="AI230" i="76"/>
  <c r="AI13" i="76"/>
  <c r="AA229" i="76"/>
  <c r="AA231" i="76"/>
  <c r="AA230" i="76"/>
  <c r="R191" i="76" a="1"/>
  <c r="R191" i="76" s="1"/>
  <c r="AY331" i="76"/>
  <c r="AY326" i="76" a="1"/>
  <c r="AY326" i="76" s="1"/>
  <c r="AY325" i="76" a="1"/>
  <c r="AY325" i="76" s="1"/>
  <c r="AY324" i="76" a="1"/>
  <c r="AY324" i="76" s="1"/>
  <c r="AY337" i="76"/>
  <c r="AW289" i="76"/>
  <c r="AB235" i="76"/>
  <c r="AB234" i="76"/>
  <c r="AB233" i="76"/>
  <c r="AY229" i="76"/>
  <c r="AY231" i="76"/>
  <c r="AY230" i="76"/>
  <c r="AG26" i="76"/>
  <c r="AG334" i="76" s="1"/>
  <c r="AP331" i="76"/>
  <c r="AP326" i="76" a="1"/>
  <c r="AP326" i="76" s="1"/>
  <c r="AP325" i="76" a="1"/>
  <c r="AP325" i="76" s="1"/>
  <c r="AF336" i="76"/>
  <c r="AF339" i="76" a="1"/>
  <c r="AF339" i="76" s="1"/>
  <c r="Y352" i="76"/>
  <c r="AZ235" i="76"/>
  <c r="AZ234" i="76"/>
  <c r="AZ233" i="76"/>
  <c r="Y66" i="76"/>
  <c r="AD191" i="76" a="1"/>
  <c r="AD191" i="76" s="1"/>
  <c r="AD190" i="76" s="1" a="1"/>
  <c r="AD190" i="76" s="1"/>
  <c r="BF26" i="76"/>
  <c r="BF334" i="76" s="1"/>
  <c r="AP26" i="76"/>
  <c r="AP334" i="76" s="1"/>
  <c r="R230" i="76"/>
  <c r="R13" i="76"/>
  <c r="O230" i="76"/>
  <c r="O231" i="76"/>
  <c r="O229" i="76"/>
  <c r="Q339" i="76" a="1"/>
  <c r="Q339" i="76" s="1"/>
  <c r="Q336" i="76"/>
  <c r="AP230" i="76"/>
  <c r="AP13" i="76"/>
  <c r="AW235" i="76"/>
  <c r="AW234" i="76"/>
  <c r="AW233" i="76"/>
  <c r="AW196" i="76"/>
  <c r="Y24" i="76"/>
  <c r="AK368" i="76"/>
  <c r="S331" i="76"/>
  <c r="S326" i="76" a="1"/>
  <c r="S326" i="76" s="1"/>
  <c r="S325" i="76" a="1"/>
  <c r="S325" i="76" s="1"/>
  <c r="S324" i="76" a="1"/>
  <c r="S324" i="76" s="1"/>
  <c r="S337" i="76"/>
  <c r="AH324" i="76" a="1"/>
  <c r="AH324" i="76" s="1"/>
  <c r="AO351" i="76"/>
  <c r="AN351" i="76"/>
  <c r="AU351" i="76"/>
  <c r="AM351" i="76"/>
  <c r="AT351" i="76"/>
  <c r="AS351" i="76"/>
  <c r="AR351" i="76"/>
  <c r="AQ351" i="76"/>
  <c r="AP351" i="76"/>
  <c r="AS169" i="76"/>
  <c r="AQ288" i="76"/>
  <c r="AP288" i="76"/>
  <c r="AR288" i="76"/>
  <c r="AS288" i="76"/>
  <c r="AT288" i="76"/>
  <c r="AO288" i="76"/>
  <c r="AN288" i="76"/>
  <c r="AU288" i="76"/>
  <c r="AM288" i="76"/>
  <c r="AK66" i="76"/>
  <c r="AT365" i="75"/>
  <c r="O339" i="75" a="1"/>
  <c r="O339" i="75" s="1"/>
  <c r="O336" i="75"/>
  <c r="AI346" i="75"/>
  <c r="AA346" i="75"/>
  <c r="AC346" i="75"/>
  <c r="AB88" i="75"/>
  <c r="AD366" i="75"/>
  <c r="AC366" i="75"/>
  <c r="AG366" i="75"/>
  <c r="AA366" i="75"/>
  <c r="AI366" i="75"/>
  <c r="AD283" i="75"/>
  <c r="AI283" i="75"/>
  <c r="AH283" i="75"/>
  <c r="AE366" i="75"/>
  <c r="AC283" i="75"/>
  <c r="AA283" i="75"/>
  <c r="P350" i="75"/>
  <c r="W350" i="75"/>
  <c r="V350" i="75"/>
  <c r="U350" i="75"/>
  <c r="R350" i="75"/>
  <c r="Q350" i="75"/>
  <c r="T350" i="75"/>
  <c r="T171" i="75"/>
  <c r="P287" i="75"/>
  <c r="W287" i="75"/>
  <c r="U287" i="75"/>
  <c r="Q287" i="75"/>
  <c r="O287" i="75"/>
  <c r="V287" i="75"/>
  <c r="T245" i="75"/>
  <c r="T246" i="75" s="1"/>
  <c r="W345" i="75"/>
  <c r="O345" i="75"/>
  <c r="S345" i="75"/>
  <c r="U345" i="75"/>
  <c r="T345" i="75"/>
  <c r="R345" i="75"/>
  <c r="Q345" i="75"/>
  <c r="P345" i="75"/>
  <c r="V345" i="75"/>
  <c r="O88" i="75"/>
  <c r="Q333" i="75"/>
  <c r="Q282" i="75"/>
  <c r="R282" i="75"/>
  <c r="V365" i="75"/>
  <c r="P333" i="75"/>
  <c r="W333" i="75"/>
  <c r="O365" i="75"/>
  <c r="O282" i="75"/>
  <c r="Q365" i="75"/>
  <c r="R365" i="75"/>
  <c r="T365" i="75"/>
  <c r="T282" i="75"/>
  <c r="W365" i="75"/>
  <c r="T333" i="75"/>
  <c r="P282" i="75"/>
  <c r="S333" i="75"/>
  <c r="W282" i="75"/>
  <c r="V333" i="75"/>
  <c r="P365" i="75"/>
  <c r="S282" i="75"/>
  <c r="O333" i="75"/>
  <c r="R333" i="75"/>
  <c r="U365" i="75"/>
  <c r="U333" i="75"/>
  <c r="V282" i="75"/>
  <c r="S365" i="75"/>
  <c r="U282" i="75"/>
  <c r="AH347" i="75"/>
  <c r="AE347" i="75"/>
  <c r="AD347" i="75"/>
  <c r="AB347" i="75"/>
  <c r="AY275" i="74"/>
  <c r="AZ275" i="74"/>
  <c r="BA275" i="74"/>
  <c r="BC275" i="74"/>
  <c r="BF275" i="74"/>
  <c r="BD275" i="74"/>
  <c r="BB275" i="74"/>
  <c r="BG275" i="74"/>
  <c r="BE275" i="74"/>
  <c r="AB348" i="75"/>
  <c r="AI348" i="75"/>
  <c r="AA348" i="75"/>
  <c r="AF348" i="75"/>
  <c r="AE348" i="75"/>
  <c r="AH348" i="75"/>
  <c r="AG348" i="75"/>
  <c r="AD348" i="75"/>
  <c r="AC348" i="75"/>
  <c r="AD169" i="75"/>
  <c r="BG276" i="75"/>
  <c r="O275" i="75"/>
  <c r="U277" i="75"/>
  <c r="P277" i="75"/>
  <c r="Q277" i="75"/>
  <c r="V277" i="75"/>
  <c r="S339" i="75" a="1"/>
  <c r="S339" i="75" s="1"/>
  <c r="S336" i="75"/>
  <c r="BF275" i="75"/>
  <c r="AN275" i="75"/>
  <c r="O340" i="75"/>
  <c r="V26" i="72"/>
  <c r="V334" i="72" s="1"/>
  <c r="O78" i="72"/>
  <c r="AW68" i="72"/>
  <c r="BA26" i="72"/>
  <c r="BA334" i="72" s="1"/>
  <c r="AB331" i="72"/>
  <c r="BB78" i="72"/>
  <c r="BB348" i="72" s="1"/>
  <c r="AY337" i="72"/>
  <c r="AY336" i="72" s="1"/>
  <c r="M315" i="73"/>
  <c r="M309" i="73"/>
  <c r="M310" i="73"/>
  <c r="AK311" i="73"/>
  <c r="AO331" i="73"/>
  <c r="AD26" i="74"/>
  <c r="AD334" i="74" s="1"/>
  <c r="Y68" i="74"/>
  <c r="AB78" i="74"/>
  <c r="AI346" i="74" s="1"/>
  <c r="AQ26" i="74"/>
  <c r="AQ334" i="74" s="1"/>
  <c r="AP26" i="74"/>
  <c r="AP334" i="74" s="1"/>
  <c r="AG26" i="74"/>
  <c r="AG334" i="74" s="1"/>
  <c r="S26" i="75"/>
  <c r="S334" i="75" s="1"/>
  <c r="T26" i="75"/>
  <c r="T334" i="75" s="1"/>
  <c r="AR78" i="75"/>
  <c r="BE339" i="75" a="1"/>
  <c r="BE339" i="75" s="1"/>
  <c r="BE336" i="75"/>
  <c r="AA231" i="75"/>
  <c r="AA230" i="75"/>
  <c r="AA229" i="75"/>
  <c r="AI230" i="75"/>
  <c r="AI13" i="75"/>
  <c r="AT26" i="75"/>
  <c r="AT334" i="75" s="1"/>
  <c r="BF26" i="75"/>
  <c r="BF334" i="75" s="1"/>
  <c r="J284" i="75"/>
  <c r="AS230" i="75"/>
  <c r="AS13" i="75"/>
  <c r="AK24" i="75"/>
  <c r="AZ325" i="75" a="1"/>
  <c r="AZ325" i="75" s="1"/>
  <c r="AZ331" i="75"/>
  <c r="AZ326" i="75" a="1"/>
  <c r="AZ326" i="75" s="1"/>
  <c r="AZ324" i="75" a="1"/>
  <c r="AZ324" i="75" s="1"/>
  <c r="V351" i="75"/>
  <c r="U351" i="75"/>
  <c r="T351" i="75"/>
  <c r="S351" i="75"/>
  <c r="R351" i="75"/>
  <c r="P351" i="75"/>
  <c r="W351" i="75"/>
  <c r="O351" i="75"/>
  <c r="Q351" i="75"/>
  <c r="U169" i="75"/>
  <c r="O288" i="75"/>
  <c r="R288" i="75"/>
  <c r="P288" i="75"/>
  <c r="T288" i="75"/>
  <c r="V288" i="75"/>
  <c r="W288" i="75"/>
  <c r="Q288" i="75"/>
  <c r="U288" i="75"/>
  <c r="S288" i="75"/>
  <c r="O234" i="75"/>
  <c r="O235" i="75"/>
  <c r="O233" i="75"/>
  <c r="O169" i="75"/>
  <c r="AW229" i="75"/>
  <c r="AY13" i="75"/>
  <c r="AW13" i="75" s="1"/>
  <c r="BE26" i="75"/>
  <c r="BE334" i="75" s="1"/>
  <c r="M310" i="75"/>
  <c r="AK311" i="75"/>
  <c r="Q229" i="75"/>
  <c r="Q13" i="75" s="1"/>
  <c r="Q230" i="75"/>
  <c r="Q231" i="75"/>
  <c r="BE191" i="75"/>
  <c r="AW191" i="75" s="1"/>
  <c r="BE178" i="75"/>
  <c r="BC190" i="75"/>
  <c r="BC178" i="75"/>
  <c r="AB325" i="72" a="1"/>
  <c r="AB325" i="72" s="1"/>
  <c r="U340" i="73"/>
  <c r="AK65" i="74"/>
  <c r="AR277" i="74" s="1"/>
  <c r="Y315" i="74"/>
  <c r="Y24" i="74"/>
  <c r="AW310" i="74"/>
  <c r="P336" i="75"/>
  <c r="P339" i="75" a="1"/>
  <c r="P339" i="75" s="1"/>
  <c r="BG339" i="75" a="1"/>
  <c r="BG339" i="75" s="1"/>
  <c r="BG336" i="75"/>
  <c r="AE230" i="75"/>
  <c r="AE13" i="75"/>
  <c r="AP331" i="75"/>
  <c r="AP325" i="75" a="1"/>
  <c r="AP325" i="75" s="1"/>
  <c r="AP326" i="75" a="1"/>
  <c r="AP326" i="75" s="1"/>
  <c r="AP324" i="75" a="1"/>
  <c r="AP324" i="75" s="1"/>
  <c r="AD191" i="75" a="1"/>
  <c r="AD191" i="75" s="1"/>
  <c r="AN231" i="75"/>
  <c r="AN229" i="75"/>
  <c r="AN13" i="75" s="1"/>
  <c r="AN230" i="75"/>
  <c r="AU230" i="75"/>
  <c r="AU13" i="75"/>
  <c r="AP78" i="75"/>
  <c r="AK66" i="75"/>
  <c r="AP191" i="75" a="1"/>
  <c r="AP191" i="75" s="1"/>
  <c r="AP190" i="75" s="1" a="1"/>
  <c r="AP190" i="75" s="1"/>
  <c r="M309" i="75"/>
  <c r="AO346" i="75"/>
  <c r="AS346" i="75"/>
  <c r="AU346" i="75"/>
  <c r="AT346" i="75"/>
  <c r="AR346" i="75"/>
  <c r="AQ346" i="75"/>
  <c r="AP346" i="75"/>
  <c r="AN346" i="75"/>
  <c r="AM346" i="75"/>
  <c r="AN88" i="75"/>
  <c r="AN97" i="75" s="1"/>
  <c r="AU283" i="75"/>
  <c r="AN366" i="75"/>
  <c r="AP366" i="75"/>
  <c r="AT283" i="75"/>
  <c r="AM283" i="75"/>
  <c r="AQ366" i="75"/>
  <c r="AS366" i="75"/>
  <c r="AP283" i="75"/>
  <c r="AO366" i="75"/>
  <c r="AQ283" i="75"/>
  <c r="AS283" i="75"/>
  <c r="AN283" i="75"/>
  <c r="AR366" i="75"/>
  <c r="AT366" i="75"/>
  <c r="AR283" i="75"/>
  <c r="AO283" i="75"/>
  <c r="AM366" i="75"/>
  <c r="AU366" i="75"/>
  <c r="AK352" i="75"/>
  <c r="S331" i="75"/>
  <c r="S325" i="75" a="1"/>
  <c r="S325" i="75" s="1"/>
  <c r="S326" i="75" a="1"/>
  <c r="S326" i="75" s="1"/>
  <c r="AM331" i="75"/>
  <c r="AM325" i="75" a="1"/>
  <c r="AM325" i="75" s="1"/>
  <c r="AM326" i="75" a="1"/>
  <c r="AM326" i="75" s="1"/>
  <c r="AM324" i="75" a="1"/>
  <c r="AM324" i="75" s="1"/>
  <c r="AM340" i="75"/>
  <c r="AM337" i="75"/>
  <c r="Q26" i="75"/>
  <c r="Q334" i="75" s="1"/>
  <c r="AW230" i="75"/>
  <c r="M306" i="75"/>
  <c r="AO78" i="75"/>
  <c r="AN233" i="75"/>
  <c r="AN235" i="75"/>
  <c r="AN234" i="75"/>
  <c r="BA234" i="75"/>
  <c r="BA233" i="75"/>
  <c r="BA235" i="75"/>
  <c r="AG339" i="75" a="1"/>
  <c r="AG339" i="75" s="1"/>
  <c r="AG336" i="75"/>
  <c r="AA334" i="75"/>
  <c r="AK349" i="75"/>
  <c r="O331" i="75"/>
  <c r="O326" i="75" a="1"/>
  <c r="O326" i="75" s="1"/>
  <c r="O325" i="75" a="1"/>
  <c r="O325" i="75" s="1"/>
  <c r="AR26" i="72"/>
  <c r="AR334" i="72" s="1"/>
  <c r="AB326" i="72" a="1"/>
  <c r="AB326" i="72" s="1"/>
  <c r="Q78" i="73"/>
  <c r="S347" i="73" s="1"/>
  <c r="AP191" i="73" a="1"/>
  <c r="AP191" i="73" s="1"/>
  <c r="Y231" i="73"/>
  <c r="AK304" i="73"/>
  <c r="BG26" i="73"/>
  <c r="BG334" i="73" s="1"/>
  <c r="M315" i="74"/>
  <c r="AB26" i="74"/>
  <c r="AB334" i="74" s="1"/>
  <c r="M306" i="74"/>
  <c r="AR26" i="74"/>
  <c r="AR334" i="74" s="1"/>
  <c r="M308" i="74"/>
  <c r="AW308" i="75"/>
  <c r="AC231" i="75"/>
  <c r="AC230" i="75"/>
  <c r="AC229" i="75"/>
  <c r="AC13" i="75" s="1"/>
  <c r="AH230" i="75"/>
  <c r="AH13" i="75"/>
  <c r="AW309" i="75"/>
  <c r="M289" i="75"/>
  <c r="AK234" i="75"/>
  <c r="AK196" i="75"/>
  <c r="AK233" i="75"/>
  <c r="AK235" i="75"/>
  <c r="AZ336" i="75"/>
  <c r="AZ339" i="75" a="1"/>
  <c r="AZ339" i="75" s="1"/>
  <c r="AG26" i="75"/>
  <c r="AG334" i="75" s="1"/>
  <c r="AG277" i="75"/>
  <c r="AB277" i="75"/>
  <c r="AE277" i="75"/>
  <c r="AA277" i="75"/>
  <c r="AI277" i="75"/>
  <c r="AC277" i="75"/>
  <c r="AH277" i="75"/>
  <c r="AD277" i="75"/>
  <c r="AF277" i="75"/>
  <c r="J285" i="75"/>
  <c r="M311" i="75"/>
  <c r="R348" i="75"/>
  <c r="Q348" i="75"/>
  <c r="V348" i="75"/>
  <c r="U348" i="75"/>
  <c r="S348" i="75"/>
  <c r="P348" i="75"/>
  <c r="O348" i="75"/>
  <c r="W348" i="75"/>
  <c r="T348" i="75"/>
  <c r="R169" i="75"/>
  <c r="AM231" i="75"/>
  <c r="AM229" i="75"/>
  <c r="AM230" i="75"/>
  <c r="AO233" i="75"/>
  <c r="AO235" i="75"/>
  <c r="AO234" i="75"/>
  <c r="J186" i="75"/>
  <c r="O324" i="75" a="1"/>
  <c r="O324" i="75" s="1"/>
  <c r="AK304" i="75"/>
  <c r="AW313" i="75"/>
  <c r="J195" i="75"/>
  <c r="V230" i="75"/>
  <c r="V13" i="75"/>
  <c r="S230" i="75"/>
  <c r="S13" i="75"/>
  <c r="BA337" i="75"/>
  <c r="AT331" i="75"/>
  <c r="AT326" i="75" a="1"/>
  <c r="AT326" i="75" s="1"/>
  <c r="AT325" i="75" a="1"/>
  <c r="AT325" i="75" s="1"/>
  <c r="AT340" i="75"/>
  <c r="AT324" i="75" a="1"/>
  <c r="AT324" i="75" s="1"/>
  <c r="AT337" i="75"/>
  <c r="BB331" i="75"/>
  <c r="BB326" i="75" a="1"/>
  <c r="BB326" i="75" s="1"/>
  <c r="BB325" i="75" a="1"/>
  <c r="BB325" i="75" s="1"/>
  <c r="BA288" i="74"/>
  <c r="BB288" i="74"/>
  <c r="BG288" i="74"/>
  <c r="AQ324" i="74" a="1"/>
  <c r="AQ324" i="74" s="1"/>
  <c r="AQ337" i="74"/>
  <c r="U337" i="75"/>
  <c r="Y310" i="72"/>
  <c r="AK62" i="72"/>
  <c r="AT275" i="72" s="1"/>
  <c r="AY331" i="72"/>
  <c r="M307" i="73"/>
  <c r="S324" i="73" a="1"/>
  <c r="S324" i="73" s="1"/>
  <c r="AB324" i="72" a="1"/>
  <c r="AB324" i="72" s="1"/>
  <c r="AN26" i="73"/>
  <c r="AN334" i="73" s="1"/>
  <c r="AB337" i="72"/>
  <c r="AB336" i="72" s="1"/>
  <c r="AO340" i="73"/>
  <c r="AW368" i="74"/>
  <c r="AK64" i="74"/>
  <c r="AR276" i="74" s="1"/>
  <c r="M24" i="74"/>
  <c r="AI26" i="74"/>
  <c r="AI334" i="74" s="1"/>
  <c r="U181" i="74"/>
  <c r="U12" i="74" s="1"/>
  <c r="AK66" i="74"/>
  <c r="AW196" i="75"/>
  <c r="AW235" i="75"/>
  <c r="AW234" i="75"/>
  <c r="AW233" i="75"/>
  <c r="AA336" i="75"/>
  <c r="AA339" i="75" a="1"/>
  <c r="AA339" i="75" s="1"/>
  <c r="AD230" i="75"/>
  <c r="AD13" i="75"/>
  <c r="AB231" i="75"/>
  <c r="AB230" i="75"/>
  <c r="AB229" i="75"/>
  <c r="AB13" i="75" s="1"/>
  <c r="M352" i="75"/>
  <c r="BF11" i="75"/>
  <c r="BF245" i="75"/>
  <c r="BF246" i="75" s="1"/>
  <c r="Q235" i="75"/>
  <c r="Q233" i="75"/>
  <c r="Q234" i="75"/>
  <c r="AM233" i="75"/>
  <c r="AM235" i="75"/>
  <c r="AM234" i="75"/>
  <c r="AM169" i="75"/>
  <c r="M308" i="75"/>
  <c r="AO331" i="75"/>
  <c r="AO325" i="75" a="1"/>
  <c r="AO325" i="75" s="1"/>
  <c r="AO326" i="75" a="1"/>
  <c r="AO326" i="75" s="1"/>
  <c r="AO340" i="75"/>
  <c r="AO337" i="75"/>
  <c r="AO324" i="75" a="1"/>
  <c r="AO324" i="75" s="1"/>
  <c r="AA234" i="75"/>
  <c r="AA233" i="75"/>
  <c r="AA235" i="75"/>
  <c r="AA169" i="75"/>
  <c r="P78" i="75"/>
  <c r="M315" i="75"/>
  <c r="AO230" i="75"/>
  <c r="AO231" i="75"/>
  <c r="AO229" i="75"/>
  <c r="AO13" i="75" s="1"/>
  <c r="Y25" i="75"/>
  <c r="AK306" i="75"/>
  <c r="AK289" i="75"/>
  <c r="M307" i="75"/>
  <c r="Q325" i="75" a="1"/>
  <c r="Q325" i="75" s="1"/>
  <c r="Q331" i="75"/>
  <c r="Q326" i="75" a="1"/>
  <c r="Q326" i="75" s="1"/>
  <c r="Q337" i="75"/>
  <c r="BF339" i="75" a="1"/>
  <c r="BF339" i="75" s="1"/>
  <c r="BF336" i="75"/>
  <c r="R336" i="75"/>
  <c r="R339" i="75" a="1"/>
  <c r="R339" i="75" s="1"/>
  <c r="AY78" i="75"/>
  <c r="AN336" i="75"/>
  <c r="AN339" i="75" a="1"/>
  <c r="AN339" i="75" s="1"/>
  <c r="Y66" i="75"/>
  <c r="J194" i="75"/>
  <c r="W230" i="75"/>
  <c r="W13" i="75"/>
  <c r="BC26" i="75"/>
  <c r="BC334" i="75" s="1"/>
  <c r="AZ78" i="75"/>
  <c r="AB336" i="75"/>
  <c r="AB339" i="75" a="1"/>
  <c r="AB339" i="75" s="1"/>
  <c r="AK369" i="75"/>
  <c r="AC326" i="75" a="1"/>
  <c r="AC326" i="75" s="1"/>
  <c r="AC325" i="75" a="1"/>
  <c r="AC325" i="75" s="1"/>
  <c r="AC331" i="75"/>
  <c r="AC337" i="75"/>
  <c r="W337" i="74"/>
  <c r="U340" i="75"/>
  <c r="AT11" i="75"/>
  <c r="AT245" i="75"/>
  <c r="AT246" i="75" s="1"/>
  <c r="AW231" i="75"/>
  <c r="M24" i="75"/>
  <c r="AY325" i="72" a="1"/>
  <c r="AY325" i="72" s="1"/>
  <c r="AO324" i="73" a="1"/>
  <c r="AO324" i="73" s="1"/>
  <c r="AO337" i="73"/>
  <c r="R340" i="74"/>
  <c r="AK368" i="74"/>
  <c r="R191" i="74" a="1"/>
  <c r="R191" i="74" s="1"/>
  <c r="R190" i="74" s="1" a="1"/>
  <c r="R190" i="74" s="1"/>
  <c r="M304" i="74"/>
  <c r="M313" i="74"/>
  <c r="AK315" i="74"/>
  <c r="BD78" i="75"/>
  <c r="AW68" i="75"/>
  <c r="AE339" i="75" a="1"/>
  <c r="AE339" i="75" s="1"/>
  <c r="AE336" i="75"/>
  <c r="AP351" i="75"/>
  <c r="AO351" i="75"/>
  <c r="AN351" i="75"/>
  <c r="AU351" i="75"/>
  <c r="AM351" i="75"/>
  <c r="AT351" i="75"/>
  <c r="AR351" i="75"/>
  <c r="AQ351" i="75"/>
  <c r="AS351" i="75"/>
  <c r="AS169" i="75"/>
  <c r="AS288" i="75"/>
  <c r="AQ288" i="75"/>
  <c r="AN288" i="75"/>
  <c r="AP288" i="75"/>
  <c r="AT288" i="75"/>
  <c r="AR288" i="75"/>
  <c r="AM288" i="75"/>
  <c r="AO288" i="75"/>
  <c r="AU288" i="75"/>
  <c r="M313" i="75"/>
  <c r="Q349" i="75"/>
  <c r="P349" i="75"/>
  <c r="W349" i="75"/>
  <c r="O349" i="75"/>
  <c r="T349" i="75"/>
  <c r="S349" i="75"/>
  <c r="V349" i="75"/>
  <c r="U349" i="75"/>
  <c r="R349" i="75"/>
  <c r="S169" i="75"/>
  <c r="O286" i="75"/>
  <c r="R369" i="75"/>
  <c r="V369" i="75"/>
  <c r="O369" i="75"/>
  <c r="Q369" i="75"/>
  <c r="T286" i="75"/>
  <c r="W286" i="75"/>
  <c r="V286" i="75"/>
  <c r="S286" i="75"/>
  <c r="W369" i="75"/>
  <c r="T369" i="75"/>
  <c r="S369" i="75"/>
  <c r="Q286" i="75"/>
  <c r="P369" i="75"/>
  <c r="U369" i="75"/>
  <c r="R286" i="75"/>
  <c r="U286" i="75"/>
  <c r="P286" i="75"/>
  <c r="J67" i="75"/>
  <c r="AW368" i="75"/>
  <c r="Y62" i="75"/>
  <c r="AP230" i="75"/>
  <c r="AP13" i="75"/>
  <c r="M234" i="75"/>
  <c r="M196" i="75"/>
  <c r="M235" i="75"/>
  <c r="M233" i="75"/>
  <c r="J83" i="75"/>
  <c r="J29" i="75"/>
  <c r="AY326" i="75" a="1"/>
  <c r="AY326" i="75" s="1"/>
  <c r="AY325" i="75" a="1"/>
  <c r="AY325" i="75" s="1"/>
  <c r="AY331" i="75"/>
  <c r="AY337" i="75"/>
  <c r="AY340" i="75"/>
  <c r="AS26" i="75"/>
  <c r="AS334" i="75" s="1"/>
  <c r="Y313" i="75"/>
  <c r="U230" i="75"/>
  <c r="U13" i="75"/>
  <c r="S288" i="74"/>
  <c r="W288" i="74"/>
  <c r="AZ235" i="75"/>
  <c r="AZ234" i="75"/>
  <c r="AZ233" i="75"/>
  <c r="P286" i="74"/>
  <c r="P369" i="74"/>
  <c r="M369" i="74" s="1"/>
  <c r="R191" i="75" a="1"/>
  <c r="R191" i="75" s="1"/>
  <c r="AZ340" i="73"/>
  <c r="AZ324" i="73" a="1"/>
  <c r="AZ324" i="73" s="1"/>
  <c r="AW289" i="75"/>
  <c r="Q340" i="75"/>
  <c r="V347" i="75"/>
  <c r="AK308" i="72"/>
  <c r="AY326" i="72" a="1"/>
  <c r="AY326" i="72" s="1"/>
  <c r="M68" i="73"/>
  <c r="AB78" i="73"/>
  <c r="AN340" i="73"/>
  <c r="AW24" i="74"/>
  <c r="Y66" i="74"/>
  <c r="M311" i="74"/>
  <c r="AA78" i="74"/>
  <c r="AF345" i="74" s="1"/>
  <c r="Y368" i="74"/>
  <c r="R26" i="74"/>
  <c r="R334" i="74" s="1"/>
  <c r="AD191" i="74" a="1"/>
  <c r="AD191" i="74" s="1"/>
  <c r="AD190" i="74" s="1" a="1"/>
  <c r="AD190" i="74" s="1"/>
  <c r="AW289" i="74"/>
  <c r="AI349" i="75"/>
  <c r="AA349" i="75"/>
  <c r="AH349" i="75"/>
  <c r="AG349" i="75"/>
  <c r="AD349" i="75"/>
  <c r="AC349" i="75"/>
  <c r="AE349" i="75"/>
  <c r="AB349" i="75"/>
  <c r="AF349" i="75"/>
  <c r="AE169" i="75"/>
  <c r="AB286" i="75"/>
  <c r="AI286" i="75"/>
  <c r="AG286" i="75"/>
  <c r="AA286" i="75"/>
  <c r="AB369" i="75"/>
  <c r="AD286" i="75"/>
  <c r="AA369" i="75"/>
  <c r="AI369" i="75"/>
  <c r="AF369" i="75"/>
  <c r="AH286" i="75"/>
  <c r="AE369" i="75"/>
  <c r="AF286" i="75"/>
  <c r="AG369" i="75"/>
  <c r="AE286" i="75"/>
  <c r="AH369" i="75"/>
  <c r="AD369" i="75"/>
  <c r="AC369" i="75"/>
  <c r="AC286" i="75"/>
  <c r="U326" i="75" a="1"/>
  <c r="U326" i="75" s="1"/>
  <c r="U331" i="75"/>
  <c r="U325" i="75" a="1"/>
  <c r="U325" i="75" s="1"/>
  <c r="AW24" i="75"/>
  <c r="AQ230" i="75"/>
  <c r="AQ13" i="75"/>
  <c r="AF331" i="75"/>
  <c r="AF326" i="75" a="1"/>
  <c r="AF326" i="75" s="1"/>
  <c r="AF325" i="75" a="1"/>
  <c r="AF325" i="75" s="1"/>
  <c r="AF337" i="75"/>
  <c r="AF324" i="75" a="1"/>
  <c r="AF324" i="75" s="1"/>
  <c r="AF340" i="75"/>
  <c r="AC234" i="75"/>
  <c r="AC233" i="75"/>
  <c r="AC235" i="75"/>
  <c r="AW304" i="75"/>
  <c r="AI336" i="75"/>
  <c r="AI339" i="75" a="1"/>
  <c r="AI339" i="75" s="1"/>
  <c r="M257" i="75"/>
  <c r="J257" i="75" s="1"/>
  <c r="W258" i="75"/>
  <c r="AS331" i="75"/>
  <c r="AS326" i="75" a="1"/>
  <c r="AS326" i="75" s="1"/>
  <c r="AS325" i="75" a="1"/>
  <c r="AS325" i="75" s="1"/>
  <c r="AS337" i="75"/>
  <c r="M368" i="75"/>
  <c r="P231" i="75"/>
  <c r="P229" i="75"/>
  <c r="P13" i="75" s="1"/>
  <c r="P230" i="75"/>
  <c r="AR339" i="75" a="1"/>
  <c r="AR339" i="75" s="1"/>
  <c r="AR336" i="75"/>
  <c r="R326" i="75" a="1"/>
  <c r="R326" i="75" s="1"/>
  <c r="R325" i="75" a="1"/>
  <c r="R325" i="75" s="1"/>
  <c r="R331" i="75"/>
  <c r="M66" i="75"/>
  <c r="AK64" i="75"/>
  <c r="AB235" i="75"/>
  <c r="AB234" i="75"/>
  <c r="AB233" i="75"/>
  <c r="R230" i="75"/>
  <c r="R13" i="75"/>
  <c r="M313" i="73"/>
  <c r="AK68" i="73"/>
  <c r="AE26" i="73"/>
  <c r="AE334" i="73" s="1"/>
  <c r="AK311" i="74"/>
  <c r="Q26" i="74"/>
  <c r="Q334" i="74" s="1"/>
  <c r="AO26" i="74"/>
  <c r="AO334" i="74" s="1"/>
  <c r="M310" i="74"/>
  <c r="AZ26" i="74"/>
  <c r="AZ334" i="74" s="1"/>
  <c r="AK308" i="74"/>
  <c r="Y234" i="75"/>
  <c r="Y233" i="75"/>
  <c r="Y235" i="75"/>
  <c r="Y196" i="75"/>
  <c r="AQ339" i="75" a="1"/>
  <c r="AQ339" i="75" s="1"/>
  <c r="AQ336" i="75"/>
  <c r="M304" i="75"/>
  <c r="AG230" i="75"/>
  <c r="AG13" i="75"/>
  <c r="AH339" i="75" a="1"/>
  <c r="AH339" i="75" s="1"/>
  <c r="AH336" i="75"/>
  <c r="AM334" i="75"/>
  <c r="AF351" i="75"/>
  <c r="AE351" i="75"/>
  <c r="AD351" i="75"/>
  <c r="AC351" i="75"/>
  <c r="AB351" i="75"/>
  <c r="AH351" i="75"/>
  <c r="AG351" i="75"/>
  <c r="AI351" i="75"/>
  <c r="AA351" i="75"/>
  <c r="AG169" i="75"/>
  <c r="AA288" i="75"/>
  <c r="AB288" i="75"/>
  <c r="AF288" i="75"/>
  <c r="AI288" i="75"/>
  <c r="AD288" i="75"/>
  <c r="AG288" i="75"/>
  <c r="AH288" i="75"/>
  <c r="AC288" i="75"/>
  <c r="AE288" i="75"/>
  <c r="T339" i="75" a="1"/>
  <c r="T339" i="75" s="1"/>
  <c r="T336" i="75"/>
  <c r="AW25" i="75"/>
  <c r="AY26" i="75"/>
  <c r="Y289" i="75"/>
  <c r="BA331" i="75"/>
  <c r="BA325" i="75" a="1"/>
  <c r="BA325" i="75" s="1"/>
  <c r="BA326" i="75" a="1"/>
  <c r="BA326" i="75" s="1"/>
  <c r="AT230" i="75"/>
  <c r="AT13" i="75"/>
  <c r="BA78" i="75"/>
  <c r="AW65" i="75"/>
  <c r="AE331" i="75"/>
  <c r="AE325" i="75" a="1"/>
  <c r="AE325" i="75" s="1"/>
  <c r="AE326" i="75" a="1"/>
  <c r="AE326" i="75" s="1"/>
  <c r="AE324" i="75" a="1"/>
  <c r="AE324" i="75" s="1"/>
  <c r="M25" i="75"/>
  <c r="O26" i="75"/>
  <c r="AC26" i="75"/>
  <c r="AC334" i="75" s="1"/>
  <c r="O231" i="75"/>
  <c r="O229" i="75"/>
  <c r="O230" i="75"/>
  <c r="BA324" i="75" a="1"/>
  <c r="BA324" i="75" s="1"/>
  <c r="W331" i="75"/>
  <c r="W326" i="75" a="1"/>
  <c r="W326" i="75" s="1"/>
  <c r="W325" i="75" a="1"/>
  <c r="W325" i="75" s="1"/>
  <c r="W340" i="75"/>
  <c r="W337" i="75"/>
  <c r="AW66" i="75"/>
  <c r="BB190" i="75" a="1"/>
  <c r="BB190" i="75" s="1"/>
  <c r="BB78" i="75"/>
  <c r="BB339" i="75" a="1"/>
  <c r="BB339" i="75" s="1"/>
  <c r="BB336" i="75"/>
  <c r="P26" i="75"/>
  <c r="P334" i="75" s="1"/>
  <c r="V26" i="75"/>
  <c r="V334" i="75" s="1"/>
  <c r="AQ190" i="75"/>
  <c r="AQ178" i="75"/>
  <c r="AP337" i="75"/>
  <c r="AO26" i="75"/>
  <c r="AO334" i="75" s="1"/>
  <c r="AW352" i="75"/>
  <c r="AQ276" i="74"/>
  <c r="AE345" i="74"/>
  <c r="AC345" i="74"/>
  <c r="AA345" i="74"/>
  <c r="AI345" i="74"/>
  <c r="AI333" i="74"/>
  <c r="AA333" i="74"/>
  <c r="AC365" i="74"/>
  <c r="AC333" i="74"/>
  <c r="AF333" i="74"/>
  <c r="AG365" i="74"/>
  <c r="AA365" i="74"/>
  <c r="AH333" i="74"/>
  <c r="AB365" i="74"/>
  <c r="AB333" i="74"/>
  <c r="AH365" i="74"/>
  <c r="P339" i="74" a="1"/>
  <c r="P339" i="74" s="1"/>
  <c r="P336" i="74"/>
  <c r="AF347" i="74"/>
  <c r="AC347" i="74"/>
  <c r="AI347" i="74"/>
  <c r="AA347" i="74"/>
  <c r="AH347" i="74"/>
  <c r="AG347" i="74"/>
  <c r="AE347" i="74"/>
  <c r="AD347" i="74"/>
  <c r="AB347" i="74"/>
  <c r="AC88" i="74"/>
  <c r="Q339" i="74" a="1"/>
  <c r="Q339" i="74" s="1"/>
  <c r="Q336" i="74"/>
  <c r="AK304" i="72"/>
  <c r="AK306" i="72"/>
  <c r="AK315" i="72"/>
  <c r="BA78" i="72"/>
  <c r="AZ26" i="73"/>
  <c r="AZ334" i="73" s="1"/>
  <c r="W26" i="73"/>
  <c r="W334" i="73" s="1"/>
  <c r="AH26" i="73"/>
  <c r="AH334" i="73" s="1"/>
  <c r="AW315" i="73"/>
  <c r="AF78" i="73"/>
  <c r="AW309" i="72"/>
  <c r="AK308" i="73"/>
  <c r="AR78" i="73"/>
  <c r="AQ350" i="73" s="1"/>
  <c r="BD26" i="73"/>
  <c r="BD334" i="73" s="1"/>
  <c r="Y308" i="73"/>
  <c r="AW25" i="74"/>
  <c r="AY26" i="74"/>
  <c r="U331" i="74"/>
  <c r="U325" i="74" a="1"/>
  <c r="U325" i="74" s="1"/>
  <c r="U326" i="74" a="1"/>
  <c r="U326" i="74" s="1"/>
  <c r="S331" i="74"/>
  <c r="S326" i="74" a="1"/>
  <c r="S326" i="74" s="1"/>
  <c r="S325" i="74" a="1"/>
  <c r="S325" i="74" s="1"/>
  <c r="S337" i="74"/>
  <c r="S324" i="74" a="1"/>
  <c r="S324" i="74" s="1"/>
  <c r="AH331" i="74"/>
  <c r="AH325" i="74" a="1"/>
  <c r="AH325" i="74" s="1"/>
  <c r="AH326" i="74" a="1"/>
  <c r="AH326" i="74" s="1"/>
  <c r="J195" i="74"/>
  <c r="AY339" i="74" a="1"/>
  <c r="AY339" i="74" s="1"/>
  <c r="AY336" i="74"/>
  <c r="AW66" i="74"/>
  <c r="BB191" i="74" a="1"/>
  <c r="BB191" i="74" s="1"/>
  <c r="BB190" i="74" s="1" a="1"/>
  <c r="BB190" i="74" s="1"/>
  <c r="U245" i="74"/>
  <c r="U246" i="74" s="1"/>
  <c r="U11" i="74"/>
  <c r="AZ230" i="74"/>
  <c r="AZ231" i="74"/>
  <c r="AZ229" i="74"/>
  <c r="AZ13" i="74" s="1"/>
  <c r="BE230" i="74"/>
  <c r="BE13" i="74"/>
  <c r="AA334" i="74"/>
  <c r="AT11" i="74"/>
  <c r="AT245" i="74"/>
  <c r="AT246" i="74" s="1"/>
  <c r="AA229" i="74"/>
  <c r="AA231" i="74"/>
  <c r="AA230" i="74"/>
  <c r="AB231" i="74"/>
  <c r="AB230" i="74"/>
  <c r="AB229" i="74"/>
  <c r="AB13" i="74" s="1"/>
  <c r="AQ230" i="74"/>
  <c r="AQ13" i="74"/>
  <c r="AI337" i="74"/>
  <c r="AC26" i="74"/>
  <c r="AC334" i="74" s="1"/>
  <c r="M65" i="74"/>
  <c r="Q78" i="74"/>
  <c r="BE245" i="74"/>
  <c r="BE246" i="74" s="1"/>
  <c r="BE11" i="74"/>
  <c r="M257" i="74"/>
  <c r="J257" i="74" s="1"/>
  <c r="W258" i="74"/>
  <c r="BD336" i="74"/>
  <c r="BD339" i="74" a="1"/>
  <c r="BD339" i="74" s="1"/>
  <c r="AR331" i="74"/>
  <c r="AR326" i="74" a="1"/>
  <c r="AR326" i="74" s="1"/>
  <c r="AR325" i="74" a="1"/>
  <c r="AR325" i="74" s="1"/>
  <c r="AR78" i="74"/>
  <c r="AW286" i="74"/>
  <c r="AK68" i="72"/>
  <c r="P78" i="73"/>
  <c r="T346" i="73" s="1"/>
  <c r="AW313" i="73"/>
  <c r="Y66" i="73"/>
  <c r="AK310" i="73"/>
  <c r="Y352" i="74"/>
  <c r="U26" i="74"/>
  <c r="U334" i="74" s="1"/>
  <c r="AT331" i="74"/>
  <c r="AT326" i="74" a="1"/>
  <c r="AT326" i="74" s="1"/>
  <c r="AT325" i="74" a="1"/>
  <c r="AT325" i="74" s="1"/>
  <c r="AT337" i="74"/>
  <c r="AT340" i="74"/>
  <c r="V331" i="74"/>
  <c r="V326" i="74" a="1"/>
  <c r="V326" i="74" s="1"/>
  <c r="V325" i="74" a="1"/>
  <c r="V325" i="74" s="1"/>
  <c r="V337" i="74"/>
  <c r="V324" i="74" a="1"/>
  <c r="V324" i="74" s="1"/>
  <c r="J194" i="74"/>
  <c r="BG339" i="74" a="1"/>
  <c r="BG339" i="74" s="1"/>
  <c r="BG336" i="74"/>
  <c r="U324" i="74" a="1"/>
  <c r="U324" i="74" s="1"/>
  <c r="BF230" i="74"/>
  <c r="BF13" i="74"/>
  <c r="AF78" i="74"/>
  <c r="Y25" i="74"/>
  <c r="AZ340" i="74"/>
  <c r="AC231" i="74"/>
  <c r="AC230" i="74"/>
  <c r="AC229" i="74"/>
  <c r="AC13" i="74" s="1"/>
  <c r="AS230" i="74"/>
  <c r="AS13" i="74"/>
  <c r="AT230" i="74"/>
  <c r="AT13" i="74"/>
  <c r="AH245" i="74"/>
  <c r="AH246" i="74" s="1"/>
  <c r="AH11" i="74"/>
  <c r="U337" i="74"/>
  <c r="AP190" i="74" a="1"/>
  <c r="AP190" i="74" s="1"/>
  <c r="AF339" i="74" a="1"/>
  <c r="AF339" i="74" s="1"/>
  <c r="AF336" i="74"/>
  <c r="AP78" i="74"/>
  <c r="AM234" i="74"/>
  <c r="AM233" i="74"/>
  <c r="AM235" i="74"/>
  <c r="AM169" i="74"/>
  <c r="BD78" i="74"/>
  <c r="AW68" i="74"/>
  <c r="BE191" i="74"/>
  <c r="BE178" i="74"/>
  <c r="AH337" i="74"/>
  <c r="W26" i="74"/>
  <c r="W334" i="74" s="1"/>
  <c r="AK62" i="74"/>
  <c r="BF337" i="73"/>
  <c r="BF336" i="73" s="1"/>
  <c r="AK307" i="73"/>
  <c r="AW310" i="73"/>
  <c r="Y307" i="73"/>
  <c r="AZ78" i="74"/>
  <c r="AW64" i="74"/>
  <c r="AU339" i="74" a="1"/>
  <c r="AU339" i="74" s="1"/>
  <c r="AU336" i="74"/>
  <c r="BB230" i="74"/>
  <c r="BB13" i="74"/>
  <c r="AY231" i="74"/>
  <c r="AY230" i="74"/>
  <c r="AY229" i="74"/>
  <c r="Y235" i="74"/>
  <c r="Y234" i="74"/>
  <c r="Y233" i="74"/>
  <c r="Y196" i="74"/>
  <c r="P324" i="74" a="1"/>
  <c r="P324" i="74" s="1"/>
  <c r="Y309" i="74"/>
  <c r="AD230" i="74"/>
  <c r="AD13" i="74"/>
  <c r="AM230" i="74"/>
  <c r="AM231" i="74"/>
  <c r="AM229" i="74"/>
  <c r="M68" i="74"/>
  <c r="T78" i="74"/>
  <c r="Y313" i="74"/>
  <c r="P230" i="74"/>
  <c r="P231" i="74"/>
  <c r="P229" i="74"/>
  <c r="P13" i="74" s="1"/>
  <c r="R230" i="74"/>
  <c r="R13" i="74"/>
  <c r="M289" i="74"/>
  <c r="AU331" i="74"/>
  <c r="AU325" i="74" a="1"/>
  <c r="AU325" i="74" s="1"/>
  <c r="AU326" i="74" a="1"/>
  <c r="AU326" i="74" s="1"/>
  <c r="AH340" i="74"/>
  <c r="BD26" i="74"/>
  <c r="BD334" i="74" s="1"/>
  <c r="AN234" i="74"/>
  <c r="AN233" i="74"/>
  <c r="AN235" i="74"/>
  <c r="AO233" i="74"/>
  <c r="AO234" i="74"/>
  <c r="AO235" i="74"/>
  <c r="Q340" i="74"/>
  <c r="J83" i="74"/>
  <c r="AW309" i="74"/>
  <c r="BF325" i="74" a="1"/>
  <c r="BF325" i="74" s="1"/>
  <c r="BF326" i="74" a="1"/>
  <c r="BF326" i="74" s="1"/>
  <c r="BF331" i="74"/>
  <c r="AW351" i="74"/>
  <c r="AF26" i="73"/>
  <c r="AF334" i="73" s="1"/>
  <c r="AW352" i="73"/>
  <c r="M304" i="73"/>
  <c r="AY78" i="73"/>
  <c r="AK313" i="73"/>
  <c r="Y68" i="73"/>
  <c r="Y64" i="73"/>
  <c r="AW306" i="73"/>
  <c r="AW368" i="73"/>
  <c r="R26" i="73"/>
  <c r="R334" i="73" s="1"/>
  <c r="AS26" i="73"/>
  <c r="AS334" i="73" s="1"/>
  <c r="AW309" i="73"/>
  <c r="AW304" i="73"/>
  <c r="Y315" i="73"/>
  <c r="Y306" i="74"/>
  <c r="Y289" i="74"/>
  <c r="M307" i="74"/>
  <c r="M368" i="74"/>
  <c r="R339" i="74" a="1"/>
  <c r="R339" i="74" s="1"/>
  <c r="R336" i="74"/>
  <c r="Y65" i="74"/>
  <c r="BC230" i="74"/>
  <c r="BC13" i="74"/>
  <c r="BG230" i="74"/>
  <c r="BG13" i="74"/>
  <c r="O331" i="74"/>
  <c r="O325" i="74" a="1"/>
  <c r="O325" i="74" s="1"/>
  <c r="O326" i="74" a="1"/>
  <c r="O326" i="74" s="1"/>
  <c r="O324" i="74" a="1"/>
  <c r="O324" i="74" s="1"/>
  <c r="BF339" i="74" a="1"/>
  <c r="BF339" i="74" s="1"/>
  <c r="BF336" i="74"/>
  <c r="R331" i="74"/>
  <c r="R326" i="74" a="1"/>
  <c r="R326" i="74" s="1"/>
  <c r="R325" i="74" a="1"/>
  <c r="R325" i="74" s="1"/>
  <c r="BF11" i="74"/>
  <c r="BF245" i="74"/>
  <c r="BF246" i="74" s="1"/>
  <c r="BA26" i="74"/>
  <c r="BA334" i="74" s="1"/>
  <c r="Y62" i="74"/>
  <c r="BC26" i="74"/>
  <c r="BC334" i="74" s="1"/>
  <c r="AH230" i="74"/>
  <c r="AH13" i="74"/>
  <c r="AE230" i="74"/>
  <c r="AE13" i="74"/>
  <c r="AU230" i="74"/>
  <c r="AU13" i="74"/>
  <c r="Y311" i="74"/>
  <c r="S230" i="74"/>
  <c r="S13" i="74"/>
  <c r="AO78" i="74"/>
  <c r="AW352" i="74"/>
  <c r="U191" i="74"/>
  <c r="U178" i="74"/>
  <c r="M196" i="74"/>
  <c r="AW308" i="74"/>
  <c r="AY331" i="74"/>
  <c r="AY325" i="74" a="1"/>
  <c r="AY325" i="74" s="1"/>
  <c r="AY326" i="74" a="1"/>
  <c r="AY326" i="74" s="1"/>
  <c r="AD78" i="74"/>
  <c r="AF331" i="74"/>
  <c r="AF326" i="74" a="1"/>
  <c r="AF326" i="74" s="1"/>
  <c r="AF325" i="74" a="1"/>
  <c r="AF325" i="74" s="1"/>
  <c r="Y313" i="72"/>
  <c r="T78" i="73"/>
  <c r="AW308" i="73"/>
  <c r="AW307" i="73"/>
  <c r="Y313" i="73"/>
  <c r="BB339" i="74" a="1"/>
  <c r="BB339" i="74" s="1"/>
  <c r="BB336" i="74"/>
  <c r="M25" i="74"/>
  <c r="O26" i="74"/>
  <c r="AF351" i="74"/>
  <c r="AC351" i="74"/>
  <c r="AB351" i="74"/>
  <c r="AI351" i="74"/>
  <c r="AA351" i="74"/>
  <c r="AH351" i="74"/>
  <c r="AG351" i="74"/>
  <c r="AE351" i="74"/>
  <c r="AD351" i="74"/>
  <c r="AG169" i="74"/>
  <c r="AC288" i="74"/>
  <c r="AA288" i="74"/>
  <c r="AI288" i="74"/>
  <c r="AE288" i="74"/>
  <c r="AB288" i="74"/>
  <c r="AF288" i="74"/>
  <c r="AG288" i="74"/>
  <c r="AD288" i="74"/>
  <c r="AH288" i="74"/>
  <c r="AA234" i="74"/>
  <c r="AA235" i="74"/>
  <c r="AA233" i="74"/>
  <c r="AA169" i="74"/>
  <c r="P78" i="74"/>
  <c r="AN231" i="74"/>
  <c r="AN229" i="74"/>
  <c r="AN13" i="74" s="1"/>
  <c r="AN230" i="74"/>
  <c r="Y304" i="74"/>
  <c r="Q234" i="74"/>
  <c r="Q235" i="74"/>
  <c r="Q233" i="74"/>
  <c r="Q231" i="74"/>
  <c r="Q230" i="74"/>
  <c r="Q229" i="74"/>
  <c r="Q13" i="74" s="1"/>
  <c r="AW307" i="74"/>
  <c r="O337" i="74"/>
  <c r="AW313" i="74"/>
  <c r="AW315" i="74"/>
  <c r="BC11" i="74"/>
  <c r="BC245" i="74"/>
  <c r="BC246" i="74" s="1"/>
  <c r="AW349" i="74"/>
  <c r="T26" i="73"/>
  <c r="T334" i="73" s="1"/>
  <c r="M311" i="73"/>
  <c r="AK315" i="73"/>
  <c r="AI26" i="73"/>
  <c r="AI334" i="73" s="1"/>
  <c r="Y310" i="73"/>
  <c r="AN326" i="74" a="1"/>
  <c r="AN326" i="74" s="1"/>
  <c r="AN331" i="74"/>
  <c r="AN325" i="74" a="1"/>
  <c r="AN325" i="74" s="1"/>
  <c r="AT26" i="74"/>
  <c r="AT334" i="74" s="1"/>
  <c r="Y308" i="74"/>
  <c r="AK24" i="74"/>
  <c r="AI331" i="74"/>
  <c r="AI326" i="74" a="1"/>
  <c r="AI326" i="74" s="1"/>
  <c r="AI325" i="74" a="1"/>
  <c r="AI325" i="74" s="1"/>
  <c r="M66" i="74"/>
  <c r="R78" i="74"/>
  <c r="P235" i="74"/>
  <c r="P233" i="74"/>
  <c r="P234" i="74"/>
  <c r="AU26" i="74"/>
  <c r="AU334" i="74" s="1"/>
  <c r="Y310" i="74"/>
  <c r="AB331" i="74"/>
  <c r="AB325" i="74" a="1"/>
  <c r="AB325" i="74" s="1"/>
  <c r="AB326" i="74" a="1"/>
  <c r="AB326" i="74" s="1"/>
  <c r="AB324" i="74" a="1"/>
  <c r="AB324" i="74" s="1"/>
  <c r="M64" i="74"/>
  <c r="AI230" i="74"/>
  <c r="AI13" i="74"/>
  <c r="AO231" i="74"/>
  <c r="AO230" i="74"/>
  <c r="AO229" i="74"/>
  <c r="AO13" i="74" s="1"/>
  <c r="AN26" i="74"/>
  <c r="AN334" i="74" s="1"/>
  <c r="AS26" i="74"/>
  <c r="AS334" i="74" s="1"/>
  <c r="O230" i="74"/>
  <c r="O231" i="74"/>
  <c r="O229" i="74"/>
  <c r="U230" i="74"/>
  <c r="U13" i="74"/>
  <c r="M352" i="74"/>
  <c r="AA339" i="74" a="1"/>
  <c r="AA339" i="74" s="1"/>
  <c r="AA336" i="74"/>
  <c r="AK289" i="74"/>
  <c r="J284" i="74"/>
  <c r="AP351" i="74"/>
  <c r="AU351" i="74"/>
  <c r="AM351" i="74"/>
  <c r="AT351" i="74"/>
  <c r="AS351" i="74"/>
  <c r="AR351" i="74"/>
  <c r="AQ351" i="74"/>
  <c r="AO351" i="74"/>
  <c r="AN351" i="74"/>
  <c r="AS169" i="74"/>
  <c r="AT288" i="74"/>
  <c r="AO288" i="74"/>
  <c r="AS288" i="74"/>
  <c r="AM288" i="74"/>
  <c r="AU288" i="74"/>
  <c r="AN288" i="74"/>
  <c r="AR288" i="74"/>
  <c r="AP288" i="74"/>
  <c r="AQ288" i="74"/>
  <c r="AW311" i="74"/>
  <c r="AH324" i="74" a="1"/>
  <c r="AH324" i="74" s="1"/>
  <c r="AW369" i="74"/>
  <c r="BD26" i="72"/>
  <c r="BD334" i="72" s="1"/>
  <c r="O78" i="73"/>
  <c r="W345" i="73" s="1"/>
  <c r="AD26" i="73"/>
  <c r="AD334" i="73" s="1"/>
  <c r="AK64" i="73"/>
  <c r="AR276" i="73" s="1"/>
  <c r="Y309" i="73"/>
  <c r="Y304" i="73"/>
  <c r="BB324" i="73" a="1"/>
  <c r="BB324" i="73" s="1"/>
  <c r="AK62" i="73"/>
  <c r="AU275" i="73" s="1"/>
  <c r="Y64" i="72"/>
  <c r="AA276" i="72" s="1"/>
  <c r="AK65" i="73"/>
  <c r="AQ277" i="73" s="1"/>
  <c r="AZ331" i="74"/>
  <c r="AZ326" i="74" a="1"/>
  <c r="AZ326" i="74" s="1"/>
  <c r="AZ325" i="74" a="1"/>
  <c r="AZ325" i="74" s="1"/>
  <c r="AZ337" i="74"/>
  <c r="BA331" i="74"/>
  <c r="BA325" i="74" a="1"/>
  <c r="BA325" i="74" s="1"/>
  <c r="BA326" i="74" a="1"/>
  <c r="BA326" i="74" s="1"/>
  <c r="AE276" i="74"/>
  <c r="AD276" i="74"/>
  <c r="AG276" i="74"/>
  <c r="AC276" i="74"/>
  <c r="AI276" i="74"/>
  <c r="AA276" i="74"/>
  <c r="AF276" i="74"/>
  <c r="AH276" i="74"/>
  <c r="AB276" i="74"/>
  <c r="M309" i="74"/>
  <c r="AK25" i="74"/>
  <c r="AM26" i="74"/>
  <c r="M62" i="74"/>
  <c r="O78" i="74"/>
  <c r="AR339" i="74" a="1"/>
  <c r="AR339" i="74" s="1"/>
  <c r="AR336" i="74"/>
  <c r="BA229" i="74"/>
  <c r="BA13" i="74" s="1"/>
  <c r="BA230" i="74"/>
  <c r="BA231" i="74"/>
  <c r="AB349" i="74"/>
  <c r="AG349" i="74"/>
  <c r="AF349" i="74"/>
  <c r="AE349" i="74"/>
  <c r="AD349" i="74"/>
  <c r="AI349" i="74"/>
  <c r="AH349" i="74"/>
  <c r="AC349" i="74"/>
  <c r="AA349" i="74"/>
  <c r="AE169" i="74"/>
  <c r="AA369" i="74"/>
  <c r="AC369" i="74"/>
  <c r="AD286" i="74"/>
  <c r="AB369" i="74"/>
  <c r="AI286" i="74"/>
  <c r="AC286" i="74"/>
  <c r="AH369" i="74"/>
  <c r="AE369" i="74"/>
  <c r="AI369" i="74"/>
  <c r="AE286" i="74"/>
  <c r="AG369" i="74"/>
  <c r="AG286" i="74"/>
  <c r="AD369" i="74"/>
  <c r="AA286" i="74"/>
  <c r="AB286" i="74"/>
  <c r="AF369" i="74"/>
  <c r="AF286" i="74"/>
  <c r="AH286" i="74"/>
  <c r="AP230" i="74"/>
  <c r="AP13" i="74"/>
  <c r="AG339" i="74" a="1"/>
  <c r="AG339" i="74" s="1"/>
  <c r="AG336" i="74"/>
  <c r="S340" i="74"/>
  <c r="V230" i="74"/>
  <c r="V13" i="74"/>
  <c r="W230" i="74"/>
  <c r="W13" i="74"/>
  <c r="AB234" i="74"/>
  <c r="AB233" i="74"/>
  <c r="AB235" i="74"/>
  <c r="AK352" i="74"/>
  <c r="AK235" i="74"/>
  <c r="AK233" i="74"/>
  <c r="AK234" i="74"/>
  <c r="AK196" i="74"/>
  <c r="AT349" i="74"/>
  <c r="AQ349" i="74"/>
  <c r="AP349" i="74"/>
  <c r="AO349" i="74"/>
  <c r="AN349" i="74"/>
  <c r="AS349" i="74"/>
  <c r="AR349" i="74"/>
  <c r="AM349" i="74"/>
  <c r="AU349" i="74"/>
  <c r="AQ169" i="74"/>
  <c r="AS369" i="74"/>
  <c r="AS286" i="74"/>
  <c r="AT286" i="74"/>
  <c r="AN369" i="74"/>
  <c r="AT369" i="74"/>
  <c r="AU286" i="74"/>
  <c r="AM286" i="74"/>
  <c r="AU369" i="74"/>
  <c r="AR369" i="74"/>
  <c r="AR286" i="74"/>
  <c r="AO286" i="74"/>
  <c r="AM369" i="74"/>
  <c r="AN286" i="74"/>
  <c r="AQ369" i="74"/>
  <c r="AQ286" i="74"/>
  <c r="AO369" i="74"/>
  <c r="AP369" i="74"/>
  <c r="AP286" i="74"/>
  <c r="AO336" i="74"/>
  <c r="AO339" i="74" a="1"/>
  <c r="AO339" i="74" s="1"/>
  <c r="J69" i="74"/>
  <c r="AW304" i="74"/>
  <c r="AW65" i="74"/>
  <c r="BA78" i="74"/>
  <c r="AR340" i="74"/>
  <c r="AW315" i="72"/>
  <c r="AC78" i="73"/>
  <c r="AW311" i="73"/>
  <c r="Y62" i="73"/>
  <c r="AI275" i="73" s="1"/>
  <c r="Y311" i="73"/>
  <c r="AK309" i="73"/>
  <c r="Q326" i="74" a="1"/>
  <c r="Q326" i="74" s="1"/>
  <c r="Q331" i="74"/>
  <c r="Q325" i="74" a="1"/>
  <c r="Q325" i="74" s="1"/>
  <c r="Q324" i="74" a="1"/>
  <c r="Q324" i="74" s="1"/>
  <c r="BA337" i="74"/>
  <c r="BC336" i="74"/>
  <c r="BC339" i="74" a="1"/>
  <c r="BC339" i="74" s="1"/>
  <c r="AB339" i="74" a="1"/>
  <c r="AB339" i="74" s="1"/>
  <c r="AB336" i="74"/>
  <c r="AN340" i="74"/>
  <c r="AG230" i="74"/>
  <c r="AG13" i="74"/>
  <c r="AC234" i="74"/>
  <c r="AC233" i="74"/>
  <c r="AC235" i="74"/>
  <c r="P331" i="74"/>
  <c r="P326" i="74" a="1"/>
  <c r="P326" i="74" s="1"/>
  <c r="P325" i="74" a="1"/>
  <c r="P325" i="74" s="1"/>
  <c r="P340" i="74"/>
  <c r="AE331" i="74"/>
  <c r="AE325" i="74" a="1"/>
  <c r="AE325" i="74" s="1"/>
  <c r="AE326" i="74" a="1"/>
  <c r="AE326" i="74" s="1"/>
  <c r="AE337" i="74"/>
  <c r="J192" i="74"/>
  <c r="AN78" i="74"/>
  <c r="J285" i="74"/>
  <c r="BB78" i="74"/>
  <c r="AW306" i="74"/>
  <c r="J186" i="74"/>
  <c r="BC190" i="74"/>
  <c r="BC178" i="74"/>
  <c r="S346" i="73"/>
  <c r="P283" i="73"/>
  <c r="U366" i="73"/>
  <c r="S275" i="73"/>
  <c r="BF275" i="73"/>
  <c r="AS345" i="73"/>
  <c r="AR345" i="73"/>
  <c r="AQ345" i="73"/>
  <c r="AO345" i="73"/>
  <c r="AM345" i="73"/>
  <c r="AU345" i="73"/>
  <c r="AT345" i="73"/>
  <c r="AP345" i="73"/>
  <c r="AN345" i="73"/>
  <c r="AM88" i="73"/>
  <c r="AQ333" i="73"/>
  <c r="AR333" i="73"/>
  <c r="AQ365" i="73"/>
  <c r="AS333" i="73"/>
  <c r="AT333" i="73"/>
  <c r="AU365" i="73"/>
  <c r="AR365" i="73"/>
  <c r="AN365" i="73"/>
  <c r="AT365" i="73"/>
  <c r="AO365" i="73"/>
  <c r="AM365" i="73"/>
  <c r="AU333" i="73"/>
  <c r="AS365" i="73"/>
  <c r="AO333" i="73"/>
  <c r="AP365" i="73"/>
  <c r="AM333" i="73"/>
  <c r="AP333" i="73"/>
  <c r="AN333" i="73"/>
  <c r="BB276" i="73"/>
  <c r="BD276" i="73"/>
  <c r="BF276" i="73"/>
  <c r="BG276" i="73"/>
  <c r="BF336" i="72"/>
  <c r="BF339" i="72" a="1"/>
  <c r="BF339" i="72" s="1"/>
  <c r="W350" i="73"/>
  <c r="O350" i="73"/>
  <c r="V350" i="73"/>
  <c r="U350" i="73"/>
  <c r="T350" i="73"/>
  <c r="S350" i="73"/>
  <c r="R350" i="73"/>
  <c r="Q350" i="73"/>
  <c r="P350" i="73"/>
  <c r="T171" i="73"/>
  <c r="O287" i="73"/>
  <c r="V287" i="73"/>
  <c r="W287" i="73"/>
  <c r="P287" i="73"/>
  <c r="R287" i="73"/>
  <c r="T287" i="73"/>
  <c r="T245" i="73"/>
  <c r="T246" i="73" s="1"/>
  <c r="U287" i="73"/>
  <c r="S287" i="73"/>
  <c r="Q287" i="73"/>
  <c r="S336" i="73"/>
  <c r="S339" i="73" a="1"/>
  <c r="S339" i="73" s="1"/>
  <c r="AF345" i="73"/>
  <c r="AH333" i="73"/>
  <c r="AI333" i="73"/>
  <c r="T347" i="73"/>
  <c r="P347" i="73"/>
  <c r="W347" i="73"/>
  <c r="Q88" i="73"/>
  <c r="BE350" i="73"/>
  <c r="AY287" i="73"/>
  <c r="AN339" i="73" a="1"/>
  <c r="AN339" i="73" s="1"/>
  <c r="AN336" i="73"/>
  <c r="P345" i="73"/>
  <c r="S345" i="73"/>
  <c r="O88" i="73"/>
  <c r="Q333" i="73"/>
  <c r="V365" i="73"/>
  <c r="Q365" i="73"/>
  <c r="S365" i="73"/>
  <c r="O365" i="73"/>
  <c r="U365" i="73"/>
  <c r="U282" i="73"/>
  <c r="AP276" i="73"/>
  <c r="AT276" i="73"/>
  <c r="AM275" i="73"/>
  <c r="AR277" i="73"/>
  <c r="AM277" i="73"/>
  <c r="AN277" i="73"/>
  <c r="AF275" i="73"/>
  <c r="BB339" i="73" a="1"/>
  <c r="BB339" i="73" s="1"/>
  <c r="BB336" i="73"/>
  <c r="AG350" i="73"/>
  <c r="AF350" i="73"/>
  <c r="AE350" i="73"/>
  <c r="AD350" i="73"/>
  <c r="AC350" i="73"/>
  <c r="AB350" i="73"/>
  <c r="AA350" i="73"/>
  <c r="AH350" i="73"/>
  <c r="AI350" i="73"/>
  <c r="AF171" i="73"/>
  <c r="AE287" i="73"/>
  <c r="AF287" i="73"/>
  <c r="AF245" i="73"/>
  <c r="AF246" i="73" s="1"/>
  <c r="AB287" i="73"/>
  <c r="AG287" i="73"/>
  <c r="AD287" i="73"/>
  <c r="AH287" i="73"/>
  <c r="AI287" i="73"/>
  <c r="AC287" i="73"/>
  <c r="AA287" i="73"/>
  <c r="AS350" i="73"/>
  <c r="AP287" i="73"/>
  <c r="BB78" i="73"/>
  <c r="AW68" i="73"/>
  <c r="Y306" i="72"/>
  <c r="R78" i="72"/>
  <c r="P348" i="72" s="1"/>
  <c r="M304" i="72"/>
  <c r="AB78" i="72"/>
  <c r="W26" i="72"/>
  <c r="W334" i="72" s="1"/>
  <c r="BG347" i="73"/>
  <c r="AY347" i="73"/>
  <c r="BF347" i="73"/>
  <c r="BE347" i="73"/>
  <c r="BD347" i="73"/>
  <c r="BC347" i="73"/>
  <c r="BB347" i="73"/>
  <c r="BA347" i="73"/>
  <c r="AZ347" i="73"/>
  <c r="BA88" i="73"/>
  <c r="AQ26" i="73"/>
  <c r="AQ334" i="73" s="1"/>
  <c r="J192" i="73"/>
  <c r="M24" i="73"/>
  <c r="AG26" i="73"/>
  <c r="AG334" i="73" s="1"/>
  <c r="Q349" i="73"/>
  <c r="P349" i="73"/>
  <c r="W349" i="73"/>
  <c r="O349" i="73"/>
  <c r="V349" i="73"/>
  <c r="U349" i="73"/>
  <c r="T349" i="73"/>
  <c r="R349" i="73"/>
  <c r="S349" i="73"/>
  <c r="S169" i="73"/>
  <c r="O369" i="73"/>
  <c r="Q286" i="73"/>
  <c r="W286" i="73"/>
  <c r="V369" i="73"/>
  <c r="P286" i="73"/>
  <c r="O286" i="73"/>
  <c r="V286" i="73"/>
  <c r="Q369" i="73"/>
  <c r="S286" i="73"/>
  <c r="R369" i="73"/>
  <c r="R286" i="73"/>
  <c r="S369" i="73"/>
  <c r="U369" i="73"/>
  <c r="W369" i="73"/>
  <c r="T369" i="73"/>
  <c r="T286" i="73"/>
  <c r="U286" i="73"/>
  <c r="P369" i="73"/>
  <c r="BA26" i="73"/>
  <c r="BA334" i="73" s="1"/>
  <c r="AR26" i="73"/>
  <c r="AR334" i="73" s="1"/>
  <c r="J285" i="73"/>
  <c r="M234" i="73"/>
  <c r="M196" i="73"/>
  <c r="M235" i="73"/>
  <c r="J83" i="73"/>
  <c r="J29" i="73"/>
  <c r="M233" i="73"/>
  <c r="BG230" i="73"/>
  <c r="BG13" i="73"/>
  <c r="AO351" i="73"/>
  <c r="AN351" i="73"/>
  <c r="AU351" i="73"/>
  <c r="AM351" i="73"/>
  <c r="AT351" i="73"/>
  <c r="AS351" i="73"/>
  <c r="AR351" i="73"/>
  <c r="AP351" i="73"/>
  <c r="AQ351" i="73"/>
  <c r="AS169" i="73"/>
  <c r="AQ288" i="73"/>
  <c r="AR288" i="73"/>
  <c r="AS288" i="73"/>
  <c r="AO288" i="73"/>
  <c r="AT288" i="73"/>
  <c r="AU288" i="73"/>
  <c r="AP288" i="73"/>
  <c r="AM288" i="73"/>
  <c r="AN288" i="73"/>
  <c r="Y65" i="73"/>
  <c r="AN78" i="73"/>
  <c r="BG351" i="73"/>
  <c r="AY351" i="73"/>
  <c r="BF351" i="73"/>
  <c r="BE351" i="73"/>
  <c r="BD351" i="73"/>
  <c r="BC351" i="73"/>
  <c r="BB351" i="73"/>
  <c r="AZ351" i="73"/>
  <c r="BA351" i="73"/>
  <c r="BE169" i="73"/>
  <c r="BB288" i="73"/>
  <c r="AY288" i="73"/>
  <c r="AZ288" i="73"/>
  <c r="BA288" i="73"/>
  <c r="BG288" i="73"/>
  <c r="BE288" i="73"/>
  <c r="BF288" i="73"/>
  <c r="BC288" i="73"/>
  <c r="BD288" i="73"/>
  <c r="AN231" i="73"/>
  <c r="AN229" i="73"/>
  <c r="AN13" i="73" s="1"/>
  <c r="AN230" i="73"/>
  <c r="BF331" i="73"/>
  <c r="BF326" i="73" a="1"/>
  <c r="BF326" i="73" s="1"/>
  <c r="BF325" i="73" a="1"/>
  <c r="BF325" i="73" s="1"/>
  <c r="AW24" i="73"/>
  <c r="BA331" i="73"/>
  <c r="BA326" i="73" a="1"/>
  <c r="BA326" i="73" s="1"/>
  <c r="BA325" i="73" a="1"/>
  <c r="BA325" i="73" s="1"/>
  <c r="BA324" i="73" a="1"/>
  <c r="BA324" i="73" s="1"/>
  <c r="Y289" i="73"/>
  <c r="AK368" i="73"/>
  <c r="Q242" i="73"/>
  <c r="BF26" i="73"/>
  <c r="BF334" i="73" s="1"/>
  <c r="AK286" i="73"/>
  <c r="V230" i="73"/>
  <c r="V13" i="73"/>
  <c r="S348" i="73"/>
  <c r="R348" i="73"/>
  <c r="Q348" i="73"/>
  <c r="P348" i="73"/>
  <c r="W348" i="73"/>
  <c r="O348" i="73"/>
  <c r="V348" i="73"/>
  <c r="U348" i="73"/>
  <c r="T348" i="73"/>
  <c r="R169" i="73"/>
  <c r="AS336" i="73"/>
  <c r="AS339" i="73" a="1"/>
  <c r="AS339" i="73" s="1"/>
  <c r="BC230" i="73"/>
  <c r="BC13" i="73"/>
  <c r="AE347" i="73"/>
  <c r="AD347" i="73"/>
  <c r="AC347" i="73"/>
  <c r="AB347" i="73"/>
  <c r="AI347" i="73"/>
  <c r="AA347" i="73"/>
  <c r="AH347" i="73"/>
  <c r="AG347" i="73"/>
  <c r="AF347" i="73"/>
  <c r="AC88" i="73"/>
  <c r="AM231" i="73"/>
  <c r="AM229" i="73"/>
  <c r="AM230" i="73"/>
  <c r="AQ230" i="73"/>
  <c r="AQ13" i="73"/>
  <c r="AK313" i="72"/>
  <c r="Y65" i="72"/>
  <c r="AI277" i="72" s="1"/>
  <c r="Y68" i="72"/>
  <c r="Y309" i="72"/>
  <c r="BD78" i="72"/>
  <c r="BC350" i="72" s="1"/>
  <c r="AW62" i="72"/>
  <c r="BC275" i="72" s="1"/>
  <c r="BG324" i="72" a="1"/>
  <c r="BG324" i="72" s="1"/>
  <c r="O231" i="73"/>
  <c r="O229" i="73"/>
  <c r="O230" i="73"/>
  <c r="M289" i="73"/>
  <c r="O26" i="73"/>
  <c r="M25" i="73"/>
  <c r="AO233" i="73"/>
  <c r="AO235" i="73"/>
  <c r="AO234" i="73"/>
  <c r="BB331" i="73"/>
  <c r="BB325" i="73" a="1"/>
  <c r="BB325" i="73" s="1"/>
  <c r="BB326" i="73" a="1"/>
  <c r="BB326" i="73" s="1"/>
  <c r="AP78" i="73"/>
  <c r="AD191" i="73" a="1"/>
  <c r="AD191" i="73" s="1"/>
  <c r="AU230" i="73"/>
  <c r="AU13" i="73"/>
  <c r="AW25" i="73"/>
  <c r="AY26" i="73"/>
  <c r="AA339" i="73" a="1"/>
  <c r="AA339" i="73" s="1"/>
  <c r="AA336" i="73"/>
  <c r="AZ235" i="73"/>
  <c r="AZ234" i="73"/>
  <c r="AZ233" i="73"/>
  <c r="AD339" i="73" a="1"/>
  <c r="AD339" i="73" s="1"/>
  <c r="AD336" i="73"/>
  <c r="AT11" i="73"/>
  <c r="AT245" i="73"/>
  <c r="AT246" i="73" s="1"/>
  <c r="AO339" i="73" a="1"/>
  <c r="AO339" i="73" s="1"/>
  <c r="AO336" i="73"/>
  <c r="AK369" i="73"/>
  <c r="BC345" i="73"/>
  <c r="BB345" i="73"/>
  <c r="BA345" i="73"/>
  <c r="BG345" i="73"/>
  <c r="AY345" i="73"/>
  <c r="BE345" i="73"/>
  <c r="AZ345" i="73"/>
  <c r="BF345" i="73"/>
  <c r="BD345" i="73"/>
  <c r="AY88" i="73"/>
  <c r="BA365" i="73"/>
  <c r="BB365" i="73"/>
  <c r="BC365" i="73"/>
  <c r="AZ365" i="73"/>
  <c r="BD365" i="73"/>
  <c r="BE365" i="73"/>
  <c r="AY365" i="73"/>
  <c r="BG365" i="73"/>
  <c r="BF365" i="73"/>
  <c r="AD78" i="72"/>
  <c r="AC348" i="72" s="1"/>
  <c r="Y304" i="72"/>
  <c r="Y315" i="72"/>
  <c r="AM78" i="72"/>
  <c r="AU345" i="72" s="1"/>
  <c r="M308" i="72"/>
  <c r="M368" i="72"/>
  <c r="AW304" i="72"/>
  <c r="W230" i="73"/>
  <c r="W13" i="73"/>
  <c r="AG339" i="73" a="1"/>
  <c r="AG339" i="73" s="1"/>
  <c r="AG336" i="73"/>
  <c r="BC349" i="73"/>
  <c r="BB349" i="73"/>
  <c r="BA349" i="73"/>
  <c r="AZ349" i="73"/>
  <c r="BG349" i="73"/>
  <c r="AY349" i="73"/>
  <c r="BF349" i="73"/>
  <c r="BE349" i="73"/>
  <c r="BD349" i="73"/>
  <c r="BC169" i="73"/>
  <c r="BB369" i="73"/>
  <c r="BA369" i="73"/>
  <c r="BA286" i="73"/>
  <c r="AY369" i="73"/>
  <c r="BB286" i="73"/>
  <c r="AZ369" i="73"/>
  <c r="AY286" i="73"/>
  <c r="AZ286" i="73"/>
  <c r="BG369" i="73"/>
  <c r="BF369" i="73"/>
  <c r="BD369" i="73"/>
  <c r="BG286" i="73"/>
  <c r="BE286" i="73"/>
  <c r="BC286" i="73"/>
  <c r="BF286" i="73"/>
  <c r="BC369" i="73"/>
  <c r="BD286" i="73"/>
  <c r="BE369" i="73"/>
  <c r="T339" i="73" a="1"/>
  <c r="T339" i="73" s="1"/>
  <c r="T336" i="73"/>
  <c r="AW66" i="73"/>
  <c r="J69" i="73"/>
  <c r="AZ230" i="73"/>
  <c r="AZ229" i="73"/>
  <c r="AZ13" i="73" s="1"/>
  <c r="AZ231" i="73"/>
  <c r="R339" i="73" a="1"/>
  <c r="R339" i="73" s="1"/>
  <c r="R336" i="73"/>
  <c r="Y234" i="73"/>
  <c r="Y233" i="73"/>
  <c r="Y235" i="73"/>
  <c r="Y196" i="73"/>
  <c r="BA235" i="73"/>
  <c r="BA234" i="73"/>
  <c r="BA233" i="73"/>
  <c r="AI339" i="73" a="1"/>
  <c r="AI339" i="73" s="1"/>
  <c r="AI336" i="73"/>
  <c r="U26" i="73"/>
  <c r="U334" i="73" s="1"/>
  <c r="BD331" i="73"/>
  <c r="BD326" i="73" a="1"/>
  <c r="BD326" i="73" s="1"/>
  <c r="BD325" i="73" a="1"/>
  <c r="BD325" i="73" s="1"/>
  <c r="BD340" i="73"/>
  <c r="BD337" i="73"/>
  <c r="BD324" i="73" a="1"/>
  <c r="BD324" i="73" s="1"/>
  <c r="BB340" i="73"/>
  <c r="BE326" i="73" a="1"/>
  <c r="BE326" i="73" s="1"/>
  <c r="BE331" i="73"/>
  <c r="BE325" i="73" a="1"/>
  <c r="BE325" i="73" s="1"/>
  <c r="BE324" i="73" a="1"/>
  <c r="BE324" i="73" s="1"/>
  <c r="AE326" i="73" a="1"/>
  <c r="AE326" i="73" s="1"/>
  <c r="AE325" i="73" a="1"/>
  <c r="AE325" i="73" s="1"/>
  <c r="AE331" i="73"/>
  <c r="AE340" i="73"/>
  <c r="AK289" i="73"/>
  <c r="AE351" i="73"/>
  <c r="AD351" i="73"/>
  <c r="AC351" i="73"/>
  <c r="AB351" i="73"/>
  <c r="AI351" i="73"/>
  <c r="AA351" i="73"/>
  <c r="AH351" i="73"/>
  <c r="AG351" i="73"/>
  <c r="AF351" i="73"/>
  <c r="AG169" i="73"/>
  <c r="AI288" i="73"/>
  <c r="AE288" i="73"/>
  <c r="AG288" i="73"/>
  <c r="AH288" i="73"/>
  <c r="AF288" i="73"/>
  <c r="AB288" i="73"/>
  <c r="AD288" i="73"/>
  <c r="AC288" i="73"/>
  <c r="AA288" i="73"/>
  <c r="AQ11" i="73"/>
  <c r="AQ245" i="73"/>
  <c r="AQ246" i="73" s="1"/>
  <c r="AP190" i="73" a="1"/>
  <c r="AP190" i="73" s="1"/>
  <c r="AY230" i="73"/>
  <c r="AY229" i="73"/>
  <c r="AY231" i="73"/>
  <c r="AK311" i="72"/>
  <c r="AK309" i="72"/>
  <c r="P78" i="72"/>
  <c r="S26" i="72"/>
  <c r="S334" i="72" s="1"/>
  <c r="Y307" i="72"/>
  <c r="AN78" i="72"/>
  <c r="AS283" i="72" s="1"/>
  <c r="R230" i="73"/>
  <c r="R13" i="73"/>
  <c r="O336" i="73"/>
  <c r="O339" i="73" a="1"/>
  <c r="O339" i="73" s="1"/>
  <c r="AW234" i="73"/>
  <c r="AW233" i="73"/>
  <c r="AW196" i="73"/>
  <c r="AW235" i="73"/>
  <c r="BA346" i="73"/>
  <c r="AZ346" i="73"/>
  <c r="BG346" i="73"/>
  <c r="AY346" i="73"/>
  <c r="BF346" i="73"/>
  <c r="BE346" i="73"/>
  <c r="BD346" i="73"/>
  <c r="BB346" i="73"/>
  <c r="BC346" i="73"/>
  <c r="AZ88" i="73"/>
  <c r="AZ97" i="73" s="1"/>
  <c r="BA366" i="73"/>
  <c r="AY366" i="73"/>
  <c r="BB366" i="73"/>
  <c r="AZ366" i="73"/>
  <c r="BB283" i="73"/>
  <c r="BA283" i="73"/>
  <c r="AY283" i="73"/>
  <c r="AZ283" i="73"/>
  <c r="BD366" i="73"/>
  <c r="BG283" i="73"/>
  <c r="BE366" i="73"/>
  <c r="BE283" i="73"/>
  <c r="BC283" i="73"/>
  <c r="BF366" i="73"/>
  <c r="BC366" i="73"/>
  <c r="BD283" i="73"/>
  <c r="BG366" i="73"/>
  <c r="BF283" i="73"/>
  <c r="BE230" i="73"/>
  <c r="BE13" i="73"/>
  <c r="AH336" i="73"/>
  <c r="AH339" i="73" a="1"/>
  <c r="AH339" i="73" s="1"/>
  <c r="AT26" i="73"/>
  <c r="AT334" i="73" s="1"/>
  <c r="AO231" i="73"/>
  <c r="AO229" i="73"/>
  <c r="AO13" i="73" s="1"/>
  <c r="AO230" i="73"/>
  <c r="AS230" i="73"/>
  <c r="AS13" i="73"/>
  <c r="Q336" i="73"/>
  <c r="Q339" i="73" a="1"/>
  <c r="Q339" i="73" s="1"/>
  <c r="AB26" i="73"/>
  <c r="AB334" i="73" s="1"/>
  <c r="P26" i="73"/>
  <c r="P334" i="73" s="1"/>
  <c r="AK25" i="73"/>
  <c r="AM26" i="73"/>
  <c r="U351" i="73"/>
  <c r="T351" i="73"/>
  <c r="S351" i="73"/>
  <c r="R351" i="73"/>
  <c r="Q351" i="73"/>
  <c r="P351" i="73"/>
  <c r="W351" i="73"/>
  <c r="V351" i="73"/>
  <c r="O351" i="73"/>
  <c r="U169" i="73"/>
  <c r="V288" i="73"/>
  <c r="Q288" i="73"/>
  <c r="W288" i="73"/>
  <c r="P288" i="73"/>
  <c r="T288" i="73"/>
  <c r="R288" i="73"/>
  <c r="O288" i="73"/>
  <c r="S288" i="73"/>
  <c r="U288" i="73"/>
  <c r="P339" i="73" a="1"/>
  <c r="P339" i="73" s="1"/>
  <c r="P336" i="73"/>
  <c r="AQ190" i="73"/>
  <c r="AQ178" i="73"/>
  <c r="AQ181" i="73"/>
  <c r="AQ12" i="73" s="1"/>
  <c r="AA26" i="73"/>
  <c r="Y25" i="73"/>
  <c r="AC326" i="73" a="1"/>
  <c r="AC326" i="73" s="1"/>
  <c r="AC331" i="73"/>
  <c r="AC325" i="73" a="1"/>
  <c r="AC325" i="73" s="1"/>
  <c r="AC337" i="73"/>
  <c r="AC340" i="73"/>
  <c r="AC324" i="73" a="1"/>
  <c r="AC324" i="73" s="1"/>
  <c r="AK307" i="72"/>
  <c r="AW313" i="72"/>
  <c r="Y308" i="72"/>
  <c r="M68" i="72"/>
  <c r="AW306" i="72"/>
  <c r="Y62" i="72"/>
  <c r="AB275" i="72" s="1"/>
  <c r="U230" i="73"/>
  <c r="U13" i="73"/>
  <c r="S230" i="73"/>
  <c r="S13" i="73"/>
  <c r="Q276" i="73"/>
  <c r="J194" i="73"/>
  <c r="BB277" i="73"/>
  <c r="BD277" i="73"/>
  <c r="BF277" i="73"/>
  <c r="BE277" i="73"/>
  <c r="BA277" i="73"/>
  <c r="AZ277" i="73"/>
  <c r="BG277" i="73"/>
  <c r="BC277" i="73"/>
  <c r="AY277" i="73"/>
  <c r="W336" i="73"/>
  <c r="W339" i="73" a="1"/>
  <c r="W339" i="73" s="1"/>
  <c r="AO78" i="73"/>
  <c r="BF230" i="73"/>
  <c r="BF13" i="73"/>
  <c r="BA230" i="73"/>
  <c r="BA229" i="73"/>
  <c r="BA13" i="73" s="1"/>
  <c r="BA231" i="73"/>
  <c r="AH276" i="73"/>
  <c r="AD276" i="73"/>
  <c r="AE276" i="73"/>
  <c r="AI276" i="73"/>
  <c r="AC276" i="73"/>
  <c r="AF276" i="73"/>
  <c r="AG276" i="73"/>
  <c r="AB276" i="73"/>
  <c r="AA276" i="73"/>
  <c r="AE339" i="73" a="1"/>
  <c r="AE339" i="73" s="1"/>
  <c r="AE336" i="73"/>
  <c r="AP230" i="73"/>
  <c r="AP13" i="73"/>
  <c r="AK234" i="73"/>
  <c r="AK233" i="73"/>
  <c r="AK196" i="73"/>
  <c r="AK235" i="73"/>
  <c r="BC331" i="73"/>
  <c r="BC325" i="73" a="1"/>
  <c r="BC325" i="73" s="1"/>
  <c r="BC326" i="73" a="1"/>
  <c r="BC326" i="73" s="1"/>
  <c r="BC340" i="73"/>
  <c r="BC337" i="73"/>
  <c r="AI349" i="73"/>
  <c r="AA349" i="73"/>
  <c r="AH349" i="73"/>
  <c r="AG349" i="73"/>
  <c r="AF349" i="73"/>
  <c r="AE349" i="73"/>
  <c r="AD349" i="73"/>
  <c r="AC349" i="73"/>
  <c r="AB349" i="73"/>
  <c r="AE169" i="73"/>
  <c r="AG369" i="73"/>
  <c r="AH369" i="73"/>
  <c r="AG286" i="73"/>
  <c r="AH286" i="73"/>
  <c r="AA286" i="73"/>
  <c r="AI369" i="73"/>
  <c r="AE369" i="73"/>
  <c r="AE286" i="73"/>
  <c r="AI286" i="73"/>
  <c r="AC286" i="73"/>
  <c r="AF369" i="73"/>
  <c r="AA369" i="73"/>
  <c r="AF286" i="73"/>
  <c r="AB286" i="73"/>
  <c r="AB369" i="73"/>
  <c r="AC369" i="73"/>
  <c r="AD369" i="73"/>
  <c r="AD286" i="73"/>
  <c r="AM336" i="73"/>
  <c r="AM339" i="73" a="1"/>
  <c r="AM339" i="73" s="1"/>
  <c r="AT339" i="73" a="1"/>
  <c r="AT339" i="73" s="1"/>
  <c r="AT336" i="73"/>
  <c r="AB336" i="73"/>
  <c r="AB339" i="73" a="1"/>
  <c r="AB339" i="73" s="1"/>
  <c r="AK24" i="73"/>
  <c r="AK352" i="73"/>
  <c r="AF337" i="73"/>
  <c r="AK349" i="73"/>
  <c r="AE324" i="73" a="1"/>
  <c r="AE324" i="73" s="1"/>
  <c r="Q231" i="73"/>
  <c r="Q229" i="73"/>
  <c r="Q13" i="73" s="1"/>
  <c r="Q230" i="73"/>
  <c r="Y289" i="72"/>
  <c r="AW64" i="72"/>
  <c r="BA276" i="72" s="1"/>
  <c r="AE26" i="72"/>
  <c r="AE334" i="72" s="1"/>
  <c r="BB26" i="72"/>
  <c r="BB334" i="72" s="1"/>
  <c r="AK310" i="72"/>
  <c r="AK231" i="72"/>
  <c r="M65" i="72"/>
  <c r="S277" i="72" s="1"/>
  <c r="Y311" i="72"/>
  <c r="AK65" i="72"/>
  <c r="AU277" i="72" s="1"/>
  <c r="P231" i="73"/>
  <c r="P229" i="73"/>
  <c r="P13" i="73" s="1"/>
  <c r="P230" i="73"/>
  <c r="P234" i="73"/>
  <c r="P235" i="73"/>
  <c r="P233" i="73"/>
  <c r="M352" i="73"/>
  <c r="J195" i="73"/>
  <c r="BA339" i="73" a="1"/>
  <c r="BA339" i="73" s="1"/>
  <c r="BA336" i="73"/>
  <c r="V26" i="73"/>
  <c r="V334" i="73" s="1"/>
  <c r="Y229" i="73"/>
  <c r="AA13" i="73"/>
  <c r="Y13" i="73" s="1"/>
  <c r="Q234" i="73"/>
  <c r="Q235" i="73"/>
  <c r="Q233" i="73"/>
  <c r="AR339" i="73" a="1"/>
  <c r="AR339" i="73" s="1"/>
  <c r="AR336" i="73"/>
  <c r="BC26" i="73"/>
  <c r="BC334" i="73" s="1"/>
  <c r="S26" i="73"/>
  <c r="S334" i="73" s="1"/>
  <c r="Y368" i="73"/>
  <c r="AN233" i="73"/>
  <c r="AN235" i="73"/>
  <c r="AN234" i="73"/>
  <c r="AC26" i="73"/>
  <c r="AC334" i="73" s="1"/>
  <c r="BB230" i="73"/>
  <c r="BB13" i="73"/>
  <c r="AB234" i="73"/>
  <c r="AB233" i="73"/>
  <c r="AB235" i="73"/>
  <c r="AT230" i="73"/>
  <c r="AT13" i="73"/>
  <c r="AA234" i="73"/>
  <c r="AA233" i="73"/>
  <c r="AA235" i="73"/>
  <c r="AA169" i="73"/>
  <c r="BE26" i="73"/>
  <c r="BE334" i="73" s="1"/>
  <c r="AK66" i="73"/>
  <c r="BE337" i="73"/>
  <c r="S331" i="73"/>
  <c r="S325" i="73" a="1"/>
  <c r="S325" i="73" s="1"/>
  <c r="S326" i="73" a="1"/>
  <c r="S326" i="73" s="1"/>
  <c r="S340" i="73"/>
  <c r="AE324" i="72" a="1"/>
  <c r="AE324" i="72" s="1"/>
  <c r="BB191" i="73" a="1"/>
  <c r="BB191" i="73" s="1"/>
  <c r="M306" i="72"/>
  <c r="AO78" i="72"/>
  <c r="AR347" i="72" s="1"/>
  <c r="AK66" i="72"/>
  <c r="AW308" i="72"/>
  <c r="AW311" i="72"/>
  <c r="AW289" i="73"/>
  <c r="M368" i="73"/>
  <c r="W258" i="73"/>
  <c r="M257" i="73"/>
  <c r="J257" i="73" s="1"/>
  <c r="Y230" i="73"/>
  <c r="O234" i="73"/>
  <c r="O235" i="73"/>
  <c r="O169" i="73"/>
  <c r="O233" i="73"/>
  <c r="J186" i="73"/>
  <c r="AP339" i="73" a="1"/>
  <c r="AP339" i="73" s="1"/>
  <c r="AP336" i="73"/>
  <c r="AY235" i="73"/>
  <c r="AY169" i="73"/>
  <c r="AY234" i="73"/>
  <c r="AY233" i="73"/>
  <c r="Y24" i="73"/>
  <c r="AG346" i="73"/>
  <c r="AF346" i="73"/>
  <c r="AE346" i="73"/>
  <c r="AC346" i="73"/>
  <c r="AA346" i="73"/>
  <c r="AI346" i="73"/>
  <c r="AH346" i="73"/>
  <c r="AD346" i="73"/>
  <c r="AB346" i="73"/>
  <c r="AB88" i="73"/>
  <c r="AG283" i="73"/>
  <c r="AH283" i="73"/>
  <c r="AE366" i="73"/>
  <c r="AA283" i="73"/>
  <c r="AE283" i="73"/>
  <c r="AG366" i="73"/>
  <c r="AH366" i="73"/>
  <c r="AA366" i="73"/>
  <c r="AD366" i="73"/>
  <c r="AB283" i="73"/>
  <c r="AC366" i="73"/>
  <c r="AB366" i="73"/>
  <c r="AI366" i="73"/>
  <c r="AF283" i="73"/>
  <c r="AI283" i="73"/>
  <c r="AD283" i="73"/>
  <c r="AC283" i="73"/>
  <c r="AF366" i="73"/>
  <c r="J67" i="73"/>
  <c r="AY339" i="73" a="1"/>
  <c r="AY339" i="73" s="1"/>
  <c r="AY336" i="73"/>
  <c r="U331" i="73"/>
  <c r="U325" i="73" a="1"/>
  <c r="U325" i="73" s="1"/>
  <c r="U326" i="73" a="1"/>
  <c r="U326" i="73" s="1"/>
  <c r="AD78" i="73"/>
  <c r="Y352" i="73"/>
  <c r="AM234" i="73"/>
  <c r="AM233" i="73"/>
  <c r="AM169" i="73"/>
  <c r="AM235" i="73"/>
  <c r="AF331" i="73"/>
  <c r="AF326" i="73" a="1"/>
  <c r="AF326" i="73" s="1"/>
  <c r="AF325" i="73" a="1"/>
  <c r="AF325" i="73" s="1"/>
  <c r="AO337" i="72"/>
  <c r="AO324" i="72" a="1"/>
  <c r="AO324" i="72" s="1"/>
  <c r="M65" i="73"/>
  <c r="AQ331" i="73"/>
  <c r="AQ325" i="73" a="1"/>
  <c r="AQ325" i="73" s="1"/>
  <c r="AQ326" i="73" a="1"/>
  <c r="AQ326" i="73" s="1"/>
  <c r="AQ340" i="73"/>
  <c r="AQ337" i="73"/>
  <c r="AQ324" i="73" a="1"/>
  <c r="AQ324" i="73" s="1"/>
  <c r="AF340" i="73"/>
  <c r="AN325" i="73" a="1"/>
  <c r="AN325" i="73" s="1"/>
  <c r="AN326" i="73" a="1"/>
  <c r="AN326" i="73" s="1"/>
  <c r="AN331" i="73"/>
  <c r="AN324" i="73" a="1"/>
  <c r="AN324" i="73" s="1"/>
  <c r="AQ336" i="72"/>
  <c r="AQ339" i="72" a="1"/>
  <c r="AQ339" i="72" s="1"/>
  <c r="AH277" i="72"/>
  <c r="AF277" i="72"/>
  <c r="BB350" i="72"/>
  <c r="BA350" i="72"/>
  <c r="BE350" i="72"/>
  <c r="BD245" i="72"/>
  <c r="BD246" i="72" s="1"/>
  <c r="BD171" i="72"/>
  <c r="AZ287" i="72"/>
  <c r="BD287" i="72"/>
  <c r="BE287" i="72"/>
  <c r="BG275" i="72"/>
  <c r="AN365" i="72"/>
  <c r="Q336" i="72"/>
  <c r="Q339" i="72" a="1"/>
  <c r="Q339" i="72" s="1"/>
  <c r="BB276" i="72"/>
  <c r="BE276" i="72"/>
  <c r="BF276" i="72"/>
  <c r="AY276" i="72"/>
  <c r="BG276" i="72"/>
  <c r="R277" i="72"/>
  <c r="O277" i="72"/>
  <c r="V277" i="72"/>
  <c r="S345" i="72"/>
  <c r="R345" i="72"/>
  <c r="Q345" i="72"/>
  <c r="P345" i="72"/>
  <c r="W345" i="72"/>
  <c r="O345" i="72"/>
  <c r="V345" i="72"/>
  <c r="U345" i="72"/>
  <c r="T345" i="72"/>
  <c r="O88" i="72"/>
  <c r="W333" i="72"/>
  <c r="Q365" i="72"/>
  <c r="U282" i="72"/>
  <c r="O365" i="72"/>
  <c r="R333" i="72"/>
  <c r="V365" i="72"/>
  <c r="W282" i="72"/>
  <c r="P365" i="72"/>
  <c r="R365" i="72"/>
  <c r="V333" i="72"/>
  <c r="O333" i="72"/>
  <c r="S365" i="72"/>
  <c r="S282" i="72"/>
  <c r="W365" i="72"/>
  <c r="Q282" i="72"/>
  <c r="U365" i="72"/>
  <c r="V282" i="72"/>
  <c r="P282" i="72"/>
  <c r="O282" i="72"/>
  <c r="Q333" i="72"/>
  <c r="U333" i="72"/>
  <c r="R282" i="72"/>
  <c r="T282" i="72"/>
  <c r="S333" i="72"/>
  <c r="P333" i="72"/>
  <c r="T365" i="72"/>
  <c r="T333" i="72"/>
  <c r="V339" i="72" a="1"/>
  <c r="V339" i="72" s="1"/>
  <c r="V336" i="72"/>
  <c r="T339" i="72" a="1"/>
  <c r="T339" i="72" s="1"/>
  <c r="T336" i="72"/>
  <c r="AQ347" i="72"/>
  <c r="AT347" i="72"/>
  <c r="AD336" i="72"/>
  <c r="AD339" i="72" a="1"/>
  <c r="AD339" i="72" s="1"/>
  <c r="BC347" i="72"/>
  <c r="BE230" i="72"/>
  <c r="BE13" i="72"/>
  <c r="AQ351" i="72"/>
  <c r="AP351" i="72"/>
  <c r="AO351" i="72"/>
  <c r="AN351" i="72"/>
  <c r="AU351" i="72"/>
  <c r="AM351" i="72"/>
  <c r="AT351" i="72"/>
  <c r="AS351" i="72"/>
  <c r="AR351" i="72"/>
  <c r="AS169" i="72"/>
  <c r="AM288" i="72"/>
  <c r="AT288" i="72"/>
  <c r="AO288" i="72"/>
  <c r="AR288" i="72"/>
  <c r="AP288" i="72"/>
  <c r="AS288" i="72"/>
  <c r="AQ288" i="72"/>
  <c r="AU288" i="72"/>
  <c r="AN288" i="72"/>
  <c r="AH230" i="72"/>
  <c r="AH13" i="72"/>
  <c r="AT340" i="72"/>
  <c r="M313" i="72"/>
  <c r="U331" i="72"/>
  <c r="U326" i="72" a="1"/>
  <c r="U326" i="72" s="1"/>
  <c r="U325" i="72" a="1"/>
  <c r="U325" i="72" s="1"/>
  <c r="P230" i="72"/>
  <c r="P231" i="72"/>
  <c r="P229" i="72"/>
  <c r="P13" i="72" s="1"/>
  <c r="W230" i="72"/>
  <c r="W13" i="72"/>
  <c r="AZ26" i="72"/>
  <c r="AZ334" i="72" s="1"/>
  <c r="AT26" i="72"/>
  <c r="AT334" i="72" s="1"/>
  <c r="AK24" i="72"/>
  <c r="T340" i="72"/>
  <c r="AZ234" i="72"/>
  <c r="AZ233" i="72"/>
  <c r="AZ235" i="72"/>
  <c r="BA351" i="72"/>
  <c r="AZ351" i="72"/>
  <c r="BG351" i="72"/>
  <c r="AY351" i="72"/>
  <c r="BF351" i="72"/>
  <c r="BE351" i="72"/>
  <c r="BD351" i="72"/>
  <c r="BC351" i="72"/>
  <c r="BB351" i="72"/>
  <c r="BE169" i="72"/>
  <c r="BC288" i="72"/>
  <c r="BA288" i="72"/>
  <c r="AZ288" i="72"/>
  <c r="BB288" i="72"/>
  <c r="AY288" i="72"/>
  <c r="BD288" i="72"/>
  <c r="BE288" i="72"/>
  <c r="BF288" i="72"/>
  <c r="BG288" i="72"/>
  <c r="AZ78" i="72"/>
  <c r="AY230" i="72"/>
  <c r="AY229" i="72"/>
  <c r="AY231" i="72"/>
  <c r="AC26" i="72"/>
  <c r="AC334" i="72" s="1"/>
  <c r="AK196" i="72"/>
  <c r="AK233" i="72"/>
  <c r="AK235" i="72"/>
  <c r="AK234" i="72"/>
  <c r="AW307" i="72"/>
  <c r="AG339" i="72" a="1"/>
  <c r="AG339" i="72" s="1"/>
  <c r="AG336" i="72"/>
  <c r="U337" i="72"/>
  <c r="AA336" i="72"/>
  <c r="AA339" i="72" a="1"/>
  <c r="AA339" i="72" s="1"/>
  <c r="R26" i="72"/>
  <c r="R334" i="72" s="1"/>
  <c r="AI336" i="72"/>
  <c r="AI339" i="72" a="1"/>
  <c r="AI339" i="72" s="1"/>
  <c r="AU336" i="72"/>
  <c r="AU339" i="72" a="1"/>
  <c r="AU339" i="72" s="1"/>
  <c r="AS339" i="72" a="1"/>
  <c r="AS339" i="72" s="1"/>
  <c r="AS336" i="72"/>
  <c r="AB231" i="72"/>
  <c r="AB230" i="72"/>
  <c r="AB229" i="72"/>
  <c r="AB13" i="72" s="1"/>
  <c r="R191" i="72" a="1"/>
  <c r="R191" i="72" s="1"/>
  <c r="R190" i="72" s="1" a="1"/>
  <c r="R190" i="72" s="1"/>
  <c r="AD230" i="72"/>
  <c r="AD13" i="72"/>
  <c r="BA339" i="72" a="1"/>
  <c r="BA339" i="72" s="1"/>
  <c r="BA336" i="72"/>
  <c r="W339" i="72" a="1"/>
  <c r="W339" i="72" s="1"/>
  <c r="W336" i="72"/>
  <c r="AA78" i="72"/>
  <c r="AD191" i="72" a="1"/>
  <c r="AD191" i="72" s="1"/>
  <c r="AD190" i="72" s="1" a="1"/>
  <c r="AD190" i="72" s="1"/>
  <c r="Y368" i="72"/>
  <c r="M289" i="72"/>
  <c r="AI26" i="72"/>
  <c r="AI334" i="72" s="1"/>
  <c r="R230" i="72"/>
  <c r="R13" i="72"/>
  <c r="Q229" i="72"/>
  <c r="Q13" i="72" s="1"/>
  <c r="Q230" i="72"/>
  <c r="Q231" i="72"/>
  <c r="M24" i="72"/>
  <c r="AF78" i="72"/>
  <c r="AQ324" i="72" a="1"/>
  <c r="AQ324" i="72" s="1"/>
  <c r="AN26" i="72"/>
  <c r="AN334" i="72" s="1"/>
  <c r="AC349" i="72"/>
  <c r="AB349" i="72"/>
  <c r="AI349" i="72"/>
  <c r="AA349" i="72"/>
  <c r="AH349" i="72"/>
  <c r="AG349" i="72"/>
  <c r="AF349" i="72"/>
  <c r="AE349" i="72"/>
  <c r="AD349" i="72"/>
  <c r="AE169" i="72"/>
  <c r="AG369" i="72"/>
  <c r="AH286" i="72"/>
  <c r="AC369" i="72"/>
  <c r="AI286" i="72"/>
  <c r="AG286" i="72"/>
  <c r="AA369" i="72"/>
  <c r="AC286" i="72"/>
  <c r="AH369" i="72"/>
  <c r="AA286" i="72"/>
  <c r="AB369" i="72"/>
  <c r="AF369" i="72"/>
  <c r="AF286" i="72"/>
  <c r="AB286" i="72"/>
  <c r="AE369" i="72"/>
  <c r="AD286" i="72"/>
  <c r="AD369" i="72"/>
  <c r="AE286" i="72"/>
  <c r="AI369" i="72"/>
  <c r="BG326" i="72" a="1"/>
  <c r="BG326" i="72" s="1"/>
  <c r="BG325" i="72" a="1"/>
  <c r="BG325" i="72" s="1"/>
  <c r="BG331" i="72"/>
  <c r="AZ229" i="72"/>
  <c r="AZ13" i="72" s="1"/>
  <c r="AZ231" i="72"/>
  <c r="AZ230" i="72"/>
  <c r="AH26" i="72"/>
  <c r="AH334" i="72" s="1"/>
  <c r="AM233" i="72"/>
  <c r="AM235" i="72"/>
  <c r="AM234" i="72"/>
  <c r="AM169" i="72"/>
  <c r="BC26" i="72"/>
  <c r="BC334" i="72" s="1"/>
  <c r="AK352" i="72"/>
  <c r="AT331" i="72"/>
  <c r="AT326" i="72" a="1"/>
  <c r="AT326" i="72" s="1"/>
  <c r="AT325" i="72" a="1"/>
  <c r="AT325" i="72" s="1"/>
  <c r="BD277" i="72"/>
  <c r="W351" i="72"/>
  <c r="O351" i="72"/>
  <c r="V351" i="72"/>
  <c r="U351" i="72"/>
  <c r="T351" i="72"/>
  <c r="S351" i="72"/>
  <c r="R351" i="72"/>
  <c r="Q351" i="72"/>
  <c r="P351" i="72"/>
  <c r="U169" i="72"/>
  <c r="V288" i="72"/>
  <c r="O288" i="72"/>
  <c r="R288" i="72"/>
  <c r="P288" i="72"/>
  <c r="W288" i="72"/>
  <c r="U288" i="72"/>
  <c r="Q288" i="72"/>
  <c r="S288" i="72"/>
  <c r="T288" i="72"/>
  <c r="BD336" i="72"/>
  <c r="BD339" i="72" a="1"/>
  <c r="BD339" i="72" s="1"/>
  <c r="AE230" i="72"/>
  <c r="AE13" i="72"/>
  <c r="AA231" i="72"/>
  <c r="AA230" i="72"/>
  <c r="AA229" i="72"/>
  <c r="AR326" i="72" a="1"/>
  <c r="AR326" i="72" s="1"/>
  <c r="AR325" i="72" a="1"/>
  <c r="AR325" i="72" s="1"/>
  <c r="AR331" i="72"/>
  <c r="AR324" i="72" a="1"/>
  <c r="AR324" i="72" s="1"/>
  <c r="AR340" i="72"/>
  <c r="J186" i="72"/>
  <c r="T331" i="72"/>
  <c r="T325" i="72" a="1"/>
  <c r="T325" i="72" s="1"/>
  <c r="T326" i="72" a="1"/>
  <c r="T326" i="72" s="1"/>
  <c r="T324" i="72" a="1"/>
  <c r="T324" i="72" s="1"/>
  <c r="AC78" i="72"/>
  <c r="AT11" i="72"/>
  <c r="AT245" i="72"/>
  <c r="AT246" i="72" s="1"/>
  <c r="AF331" i="72"/>
  <c r="AF326" i="72" a="1"/>
  <c r="AF326" i="72" s="1"/>
  <c r="AF325" i="72" a="1"/>
  <c r="AF325" i="72" s="1"/>
  <c r="AF324" i="72" a="1"/>
  <c r="AF324" i="72" s="1"/>
  <c r="AF337" i="72"/>
  <c r="M257" i="72"/>
  <c r="J257" i="72" s="1"/>
  <c r="W258" i="72"/>
  <c r="Y25" i="72"/>
  <c r="AA26" i="72"/>
  <c r="AQ331" i="72"/>
  <c r="AQ326" i="72" a="1"/>
  <c r="AQ326" i="72" s="1"/>
  <c r="AQ325" i="72" a="1"/>
  <c r="AQ325" i="72" s="1"/>
  <c r="AQ340" i="72"/>
  <c r="O234" i="72"/>
  <c r="O235" i="72"/>
  <c r="O233" i="72"/>
  <c r="O169" i="72"/>
  <c r="S230" i="72"/>
  <c r="S13" i="72"/>
  <c r="M25" i="72"/>
  <c r="O26" i="72"/>
  <c r="P336" i="72"/>
  <c r="P339" i="72" a="1"/>
  <c r="P339" i="72" s="1"/>
  <c r="BE26" i="72"/>
  <c r="BE334" i="72" s="1"/>
  <c r="J69" i="72"/>
  <c r="AY78" i="72"/>
  <c r="BG26" i="72"/>
  <c r="BG334" i="72" s="1"/>
  <c r="BF230" i="72"/>
  <c r="BF13" i="72"/>
  <c r="AO233" i="72"/>
  <c r="AO235" i="72"/>
  <c r="AO234" i="72"/>
  <c r="AR78" i="72"/>
  <c r="O339" i="72" a="1"/>
  <c r="O339" i="72" s="1"/>
  <c r="O336" i="72"/>
  <c r="AN336" i="72"/>
  <c r="AN339" i="72" a="1"/>
  <c r="AN339" i="72" s="1"/>
  <c r="M235" i="72"/>
  <c r="M233" i="72"/>
  <c r="M234" i="72"/>
  <c r="M196" i="72"/>
  <c r="J83" i="72"/>
  <c r="J29" i="72"/>
  <c r="P276" i="72"/>
  <c r="T276" i="72"/>
  <c r="S276" i="72"/>
  <c r="V276" i="72"/>
  <c r="O276" i="72"/>
  <c r="Q276" i="72"/>
  <c r="U276" i="72"/>
  <c r="W276" i="72"/>
  <c r="R276" i="72"/>
  <c r="AD348" i="72"/>
  <c r="AD169" i="72"/>
  <c r="AI230" i="72"/>
  <c r="AI13" i="72"/>
  <c r="T78" i="72"/>
  <c r="AW352" i="72"/>
  <c r="S349" i="72"/>
  <c r="R349" i="72"/>
  <c r="Q349" i="72"/>
  <c r="P349" i="72"/>
  <c r="W349" i="72"/>
  <c r="O349" i="72"/>
  <c r="V349" i="72"/>
  <c r="U349" i="72"/>
  <c r="T349" i="72"/>
  <c r="S169" i="72"/>
  <c r="U369" i="72"/>
  <c r="W286" i="72"/>
  <c r="Q369" i="72"/>
  <c r="V286" i="72"/>
  <c r="O369" i="72"/>
  <c r="P369" i="72"/>
  <c r="S286" i="72"/>
  <c r="V369" i="72"/>
  <c r="Q286" i="72"/>
  <c r="R369" i="72"/>
  <c r="O286" i="72"/>
  <c r="W369" i="72"/>
  <c r="R286" i="72"/>
  <c r="S369" i="72"/>
  <c r="T369" i="72"/>
  <c r="U286" i="72"/>
  <c r="T286" i="72"/>
  <c r="P286" i="72"/>
  <c r="M62" i="72"/>
  <c r="Y24" i="72"/>
  <c r="AB276" i="72"/>
  <c r="AP331" i="72"/>
  <c r="AP326" i="72" a="1"/>
  <c r="AP326" i="72" s="1"/>
  <c r="AP325" i="72" a="1"/>
  <c r="AP325" i="72" s="1"/>
  <c r="AP340" i="72"/>
  <c r="AP337" i="72"/>
  <c r="Q324" i="72" a="1"/>
  <c r="Q324" i="72" s="1"/>
  <c r="AW310" i="72"/>
  <c r="BG230" i="72"/>
  <c r="BG13" i="72"/>
  <c r="BA230" i="72"/>
  <c r="BA231" i="72"/>
  <c r="BA229" i="72"/>
  <c r="BA13" i="72" s="1"/>
  <c r="AU349" i="72"/>
  <c r="AM349" i="72"/>
  <c r="AT349" i="72"/>
  <c r="AS349" i="72"/>
  <c r="AR349" i="72"/>
  <c r="AQ349" i="72"/>
  <c r="AP349" i="72"/>
  <c r="AO349" i="72"/>
  <c r="AN349" i="72"/>
  <c r="AQ169" i="72"/>
  <c r="AS369" i="72"/>
  <c r="AM369" i="72"/>
  <c r="AQ369" i="72"/>
  <c r="AS286" i="72"/>
  <c r="AQ286" i="72"/>
  <c r="AR369" i="72"/>
  <c r="AM286" i="72"/>
  <c r="AO286" i="72"/>
  <c r="AT369" i="72"/>
  <c r="AP369" i="72"/>
  <c r="AO369" i="72"/>
  <c r="AU369" i="72"/>
  <c r="AN286" i="72"/>
  <c r="AR286" i="72"/>
  <c r="AN369" i="72"/>
  <c r="AU286" i="72"/>
  <c r="AT286" i="72"/>
  <c r="AP286" i="72"/>
  <c r="AN235" i="72"/>
  <c r="AN234" i="72"/>
  <c r="AN233" i="72"/>
  <c r="AK64" i="72"/>
  <c r="AC336" i="72"/>
  <c r="AC339" i="72" a="1"/>
  <c r="AC339" i="72" s="1"/>
  <c r="BB336" i="72"/>
  <c r="BB339" i="72" a="1"/>
  <c r="BB339" i="72" s="1"/>
  <c r="U340" i="72"/>
  <c r="P235" i="72"/>
  <c r="P233" i="72"/>
  <c r="P234" i="72"/>
  <c r="Y234" i="72"/>
  <c r="Y233" i="72"/>
  <c r="Y235" i="72"/>
  <c r="Y196" i="72"/>
  <c r="T26" i="72"/>
  <c r="T334" i="72" s="1"/>
  <c r="Y352" i="72"/>
  <c r="AS26" i="72"/>
  <c r="AS334" i="72" s="1"/>
  <c r="AC234" i="72"/>
  <c r="AC233" i="72"/>
  <c r="AC235" i="72"/>
  <c r="AC231" i="72"/>
  <c r="AC230" i="72"/>
  <c r="AC229" i="72"/>
  <c r="AC13" i="72" s="1"/>
  <c r="S325" i="72" a="1"/>
  <c r="S325" i="72" s="1"/>
  <c r="S326" i="72" a="1"/>
  <c r="S326" i="72" s="1"/>
  <c r="S331" i="72"/>
  <c r="AF26" i="72"/>
  <c r="AF334" i="72" s="1"/>
  <c r="Q326" i="72" a="1"/>
  <c r="Q326" i="72" s="1"/>
  <c r="Q325" i="72" a="1"/>
  <c r="Q325" i="72" s="1"/>
  <c r="Q331" i="72"/>
  <c r="Q340" i="72"/>
  <c r="Q235" i="72"/>
  <c r="Q233" i="72"/>
  <c r="Q234" i="72"/>
  <c r="AA235" i="72"/>
  <c r="AA234" i="72"/>
  <c r="AA169" i="72"/>
  <c r="AA233" i="72"/>
  <c r="M352" i="72"/>
  <c r="U230" i="72"/>
  <c r="U13" i="72"/>
  <c r="S337" i="72"/>
  <c r="J195" i="72"/>
  <c r="AP78" i="72"/>
  <c r="AW234" i="72"/>
  <c r="AW233" i="72"/>
  <c r="AW235" i="72"/>
  <c r="AW196" i="72"/>
  <c r="BE349" i="72"/>
  <c r="BD349" i="72"/>
  <c r="BC349" i="72"/>
  <c r="BB349" i="72"/>
  <c r="BA349" i="72"/>
  <c r="AZ349" i="72"/>
  <c r="BG349" i="72"/>
  <c r="AY349" i="72"/>
  <c r="BF349" i="72"/>
  <c r="BC169" i="72"/>
  <c r="BD286" i="72"/>
  <c r="AY369" i="72"/>
  <c r="AY286" i="72"/>
  <c r="BA369" i="72"/>
  <c r="BG369" i="72"/>
  <c r="BG286" i="72"/>
  <c r="BC369" i="72"/>
  <c r="BB286" i="72"/>
  <c r="AZ286" i="72"/>
  <c r="BA286" i="72"/>
  <c r="BB369" i="72"/>
  <c r="BC286" i="72"/>
  <c r="BD369" i="72"/>
  <c r="BE369" i="72"/>
  <c r="AZ369" i="72"/>
  <c r="BE286" i="72"/>
  <c r="BF369" i="72"/>
  <c r="BF286" i="72"/>
  <c r="BA234" i="72"/>
  <c r="BA233" i="72"/>
  <c r="BA235" i="72"/>
  <c r="BC230" i="72"/>
  <c r="BC13" i="72"/>
  <c r="AO26" i="72"/>
  <c r="AO334" i="72" s="1"/>
  <c r="AZ339" i="72" a="1"/>
  <c r="AZ339" i="72" s="1"/>
  <c r="AZ336" i="72"/>
  <c r="U324" i="72" a="1"/>
  <c r="U324" i="72" s="1"/>
  <c r="Q26" i="72"/>
  <c r="Q334" i="72" s="1"/>
  <c r="AG351" i="72"/>
  <c r="AF351" i="72"/>
  <c r="AE351" i="72"/>
  <c r="AD351" i="72"/>
  <c r="AC351" i="72"/>
  <c r="AB351" i="72"/>
  <c r="AI351" i="72"/>
  <c r="AA351" i="72"/>
  <c r="AH351" i="72"/>
  <c r="AG169" i="72"/>
  <c r="AA288" i="72"/>
  <c r="AC288" i="72"/>
  <c r="AF288" i="72"/>
  <c r="AH288" i="72"/>
  <c r="AI288" i="72"/>
  <c r="AG288" i="72"/>
  <c r="AD288" i="72"/>
  <c r="AE288" i="72"/>
  <c r="AB288" i="72"/>
  <c r="O231" i="72"/>
  <c r="O229" i="72"/>
  <c r="O230" i="72"/>
  <c r="V326" i="72" a="1"/>
  <c r="V326" i="72" s="1"/>
  <c r="V325" i="72" a="1"/>
  <c r="V325" i="72" s="1"/>
  <c r="V331" i="72"/>
  <c r="V324" i="72" a="1"/>
  <c r="V324" i="72" s="1"/>
  <c r="V340" i="72"/>
  <c r="AW289" i="72"/>
  <c r="J192" i="72"/>
  <c r="Q346" i="72"/>
  <c r="P346" i="72"/>
  <c r="W346" i="72"/>
  <c r="O346" i="72"/>
  <c r="V346" i="72"/>
  <c r="U346" i="72"/>
  <c r="T346" i="72"/>
  <c r="S346" i="72"/>
  <c r="R346" i="72"/>
  <c r="P88" i="72"/>
  <c r="W283" i="72"/>
  <c r="O366" i="72"/>
  <c r="R366" i="72"/>
  <c r="V366" i="72"/>
  <c r="P366" i="72"/>
  <c r="U283" i="72"/>
  <c r="Q283" i="72"/>
  <c r="S366" i="72"/>
  <c r="W366" i="72"/>
  <c r="O283" i="72"/>
  <c r="U366" i="72"/>
  <c r="R283" i="72"/>
  <c r="V283" i="72"/>
  <c r="P283" i="72"/>
  <c r="Q366" i="72"/>
  <c r="T283" i="72"/>
  <c r="T366" i="72"/>
  <c r="S283" i="72"/>
  <c r="J194" i="72"/>
  <c r="AK230" i="72"/>
  <c r="AF340" i="72"/>
  <c r="AR337" i="72"/>
  <c r="J285" i="72"/>
  <c r="M310" i="72"/>
  <c r="AK368" i="72"/>
  <c r="AW368" i="72"/>
  <c r="AH326" i="72" a="1"/>
  <c r="AH326" i="72" s="1"/>
  <c r="AH331" i="72"/>
  <c r="AH325" i="72" a="1"/>
  <c r="AH325" i="72" s="1"/>
  <c r="AH324" i="72" a="1"/>
  <c r="AH324" i="72" s="1"/>
  <c r="AH340" i="72"/>
  <c r="AH337" i="72"/>
  <c r="BB230" i="72"/>
  <c r="BB13" i="72"/>
  <c r="AU326" i="72" a="1"/>
  <c r="AU326" i="72" s="1"/>
  <c r="AU325" i="72" a="1"/>
  <c r="AU325" i="72" s="1"/>
  <c r="AU331" i="72"/>
  <c r="AU340" i="72"/>
  <c r="R326" i="72" a="1"/>
  <c r="R326" i="72" s="1"/>
  <c r="R325" i="72" a="1"/>
  <c r="R325" i="72" s="1"/>
  <c r="R331" i="72"/>
  <c r="R324" i="72" a="1"/>
  <c r="R324" i="72" s="1"/>
  <c r="R337" i="72"/>
  <c r="BG337" i="72"/>
  <c r="AB234" i="72"/>
  <c r="AB233" i="72"/>
  <c r="AB235" i="72"/>
  <c r="AW25" i="72"/>
  <c r="AY26" i="72"/>
  <c r="M66" i="72"/>
  <c r="M307" i="72"/>
  <c r="M315" i="72"/>
  <c r="AG230" i="72"/>
  <c r="AG13" i="72"/>
  <c r="AP26" i="72"/>
  <c r="AP334" i="72" s="1"/>
  <c r="M311" i="72"/>
  <c r="P26" i="72"/>
  <c r="P334" i="72" s="1"/>
  <c r="AT337" i="72"/>
  <c r="AI346" i="72"/>
  <c r="AA346" i="72"/>
  <c r="AH346" i="72"/>
  <c r="AG346" i="72"/>
  <c r="AF346" i="72"/>
  <c r="AE346" i="72"/>
  <c r="AD346" i="72"/>
  <c r="AC346" i="72"/>
  <c r="AB346" i="72"/>
  <c r="AB88" i="72"/>
  <c r="AG283" i="72"/>
  <c r="AB366" i="72"/>
  <c r="AB283" i="72"/>
  <c r="AH283" i="72"/>
  <c r="AF366" i="72"/>
  <c r="AH366" i="72"/>
  <c r="AA283" i="72"/>
  <c r="AI366" i="72"/>
  <c r="AC366" i="72"/>
  <c r="AG366" i="72"/>
  <c r="AE283" i="72"/>
  <c r="AF283" i="72"/>
  <c r="AC283" i="72"/>
  <c r="AD283" i="72"/>
  <c r="AA366" i="72"/>
  <c r="AE366" i="72"/>
  <c r="AD366" i="72"/>
  <c r="AI283" i="72"/>
  <c r="V230" i="72"/>
  <c r="V13" i="72"/>
  <c r="U26" i="72"/>
  <c r="U334" i="72" s="1"/>
  <c r="AK229" i="72"/>
  <c r="AM13" i="72"/>
  <c r="AK13" i="72" s="1"/>
  <c r="AP324" i="72" a="1"/>
  <c r="AP324" i="72" s="1"/>
  <c r="M309" i="72"/>
  <c r="AB26" i="72"/>
  <c r="AB334" i="72" s="1"/>
  <c r="AK25" i="72"/>
  <c r="AM26" i="72"/>
  <c r="AW24" i="72"/>
  <c r="BF26" i="72"/>
  <c r="BF334" i="72" s="1"/>
  <c r="BB190" i="72" a="1"/>
  <c r="BB190" i="72" s="1"/>
  <c r="AY235" i="72"/>
  <c r="AY234" i="72"/>
  <c r="AY233" i="72"/>
  <c r="AY169" i="72"/>
  <c r="S324" i="72" a="1"/>
  <c r="S324" i="72" s="1"/>
  <c r="AP191" i="72" a="1"/>
  <c r="AP191" i="72" s="1"/>
  <c r="AP190" i="72" s="1" a="1"/>
  <c r="AP190" i="72" s="1"/>
  <c r="AK289" i="72"/>
  <c r="AY363" i="55"/>
  <c r="AY18" i="55"/>
  <c r="AM18" i="55"/>
  <c r="AA18" i="55"/>
  <c r="L24" i="43"/>
  <c r="O18" i="55"/>
  <c r="J66" i="72" l="1"/>
  <c r="BA277" i="72"/>
  <c r="AP333" i="72"/>
  <c r="AQ275" i="73"/>
  <c r="BC287" i="73"/>
  <c r="BF350" i="73"/>
  <c r="AW350" i="73" s="1"/>
  <c r="AD333" i="73"/>
  <c r="AA333" i="73"/>
  <c r="AE345" i="73"/>
  <c r="AD366" i="74"/>
  <c r="J307" i="73"/>
  <c r="AC365" i="75"/>
  <c r="AE276" i="76"/>
  <c r="Y276" i="76" s="1"/>
  <c r="AH276" i="76"/>
  <c r="AE275" i="76"/>
  <c r="BD366" i="76"/>
  <c r="BD346" i="76"/>
  <c r="AY277" i="72"/>
  <c r="BE277" i="72"/>
  <c r="AP365" i="72"/>
  <c r="AR275" i="73"/>
  <c r="BF287" i="73"/>
  <c r="BA287" i="73"/>
  <c r="AY350" i="73"/>
  <c r="AB365" i="73"/>
  <c r="AF365" i="73"/>
  <c r="AE333" i="73"/>
  <c r="AG345" i="73"/>
  <c r="AG353" i="73" s="1"/>
  <c r="AG283" i="74"/>
  <c r="AH366" i="76"/>
  <c r="AT333" i="72"/>
  <c r="AO275" i="73"/>
  <c r="AP275" i="73"/>
  <c r="BE287" i="73"/>
  <c r="BE290" i="73" s="1"/>
  <c r="BB287" i="73"/>
  <c r="BB290" i="73" s="1"/>
  <c r="BG350" i="73"/>
  <c r="AC333" i="73"/>
  <c r="AD365" i="73"/>
  <c r="AG333" i="73"/>
  <c r="AH345" i="73"/>
  <c r="AE283" i="74"/>
  <c r="BB348" i="76"/>
  <c r="BB275" i="76"/>
  <c r="S276" i="76"/>
  <c r="M351" i="74"/>
  <c r="BG277" i="72"/>
  <c r="AQ365" i="72"/>
  <c r="AN275" i="73"/>
  <c r="AK275" i="73" s="1"/>
  <c r="BD287" i="73"/>
  <c r="BD171" i="73"/>
  <c r="AZ350" i="73"/>
  <c r="AB333" i="73"/>
  <c r="AA365" i="73"/>
  <c r="AA88" i="73"/>
  <c r="AA345" i="73"/>
  <c r="Y345" i="73" s="1"/>
  <c r="AQ333" i="74"/>
  <c r="AZ277" i="72"/>
  <c r="AO345" i="72"/>
  <c r="AT275" i="73"/>
  <c r="BD245" i="73"/>
  <c r="BD246" i="73" s="1"/>
  <c r="BB350" i="73"/>
  <c r="BA350" i="73"/>
  <c r="AH365" i="73"/>
  <c r="AF333" i="73"/>
  <c r="AB345" i="73"/>
  <c r="AI345" i="73"/>
  <c r="AP333" i="74"/>
  <c r="U276" i="75"/>
  <c r="AK286" i="75"/>
  <c r="BB277" i="72"/>
  <c r="BF277" i="72"/>
  <c r="AT345" i="72"/>
  <c r="AW78" i="73"/>
  <c r="BB333" i="73" s="1"/>
  <c r="AS275" i="73"/>
  <c r="BG287" i="73"/>
  <c r="BC350" i="73"/>
  <c r="AI365" i="73"/>
  <c r="AE365" i="73"/>
  <c r="AC345" i="73"/>
  <c r="AU365" i="74"/>
  <c r="AU370" i="74" s="1"/>
  <c r="AZ287" i="73"/>
  <c r="AC365" i="73"/>
  <c r="AG365" i="73"/>
  <c r="AS345" i="74"/>
  <c r="BF348" i="76"/>
  <c r="AF366" i="76"/>
  <c r="AZ275" i="76"/>
  <c r="BB366" i="76"/>
  <c r="AY366" i="76"/>
  <c r="BC346" i="76"/>
  <c r="W276" i="76"/>
  <c r="P347" i="76"/>
  <c r="AM347" i="76"/>
  <c r="AK347" i="76" s="1"/>
  <c r="AZ348" i="76"/>
  <c r="AD346" i="76"/>
  <c r="BD275" i="76"/>
  <c r="AZ283" i="76"/>
  <c r="BA283" i="76"/>
  <c r="BF346" i="76"/>
  <c r="O276" i="76"/>
  <c r="T347" i="76"/>
  <c r="AU347" i="76"/>
  <c r="BA348" i="76"/>
  <c r="AH346" i="76"/>
  <c r="BC275" i="76"/>
  <c r="V276" i="76"/>
  <c r="Y369" i="76"/>
  <c r="BC348" i="76"/>
  <c r="BE275" i="76"/>
  <c r="AY275" i="76"/>
  <c r="T276" i="76"/>
  <c r="AP365" i="76"/>
  <c r="BB169" i="76"/>
  <c r="AW169" i="76" s="1"/>
  <c r="BD348" i="76"/>
  <c r="BF275" i="76"/>
  <c r="BE283" i="76"/>
  <c r="BB283" i="76"/>
  <c r="BB290" i="76" s="1"/>
  <c r="BG366" i="76"/>
  <c r="AW366" i="76" s="1"/>
  <c r="R347" i="76"/>
  <c r="AP347" i="76"/>
  <c r="P339" i="76" a="1"/>
  <c r="P339" i="76" s="1"/>
  <c r="P336" i="76"/>
  <c r="BG348" i="76"/>
  <c r="BE348" i="76"/>
  <c r="S283" i="76"/>
  <c r="AG283" i="76"/>
  <c r="AG290" i="76" s="1"/>
  <c r="BG275" i="76"/>
  <c r="Q276" i="76"/>
  <c r="U347" i="76"/>
  <c r="AA283" i="76"/>
  <c r="P276" i="76"/>
  <c r="J313" i="76"/>
  <c r="AR345" i="76"/>
  <c r="AA346" i="76"/>
  <c r="AI275" i="76"/>
  <c r="AO275" i="76"/>
  <c r="AC277" i="76"/>
  <c r="Q347" i="76"/>
  <c r="AF347" i="76"/>
  <c r="AH275" i="76"/>
  <c r="AR275" i="76"/>
  <c r="AB277" i="76"/>
  <c r="Y277" i="76" s="1"/>
  <c r="Q88" i="76"/>
  <c r="S347" i="76"/>
  <c r="AD347" i="76"/>
  <c r="AM275" i="76"/>
  <c r="AB275" i="76"/>
  <c r="AQ275" i="76"/>
  <c r="J65" i="76"/>
  <c r="AN275" i="76"/>
  <c r="AT275" i="76"/>
  <c r="AM366" i="76"/>
  <c r="AU275" i="76"/>
  <c r="AP366" i="76"/>
  <c r="P275" i="76"/>
  <c r="Y349" i="76"/>
  <c r="Y286" i="76"/>
  <c r="O347" i="75"/>
  <c r="AS275" i="75"/>
  <c r="P275" i="75"/>
  <c r="AI347" i="75"/>
  <c r="Q88" i="75"/>
  <c r="W347" i="75"/>
  <c r="AT275" i="75"/>
  <c r="W275" i="75"/>
  <c r="AC88" i="75"/>
  <c r="AG347" i="75"/>
  <c r="P347" i="75"/>
  <c r="S347" i="75"/>
  <c r="AQ245" i="75"/>
  <c r="AQ246" i="75" s="1"/>
  <c r="AQ275" i="75"/>
  <c r="AR275" i="75"/>
  <c r="S275" i="75"/>
  <c r="V275" i="75"/>
  <c r="AA347" i="75"/>
  <c r="AC347" i="75"/>
  <c r="AN333" i="75"/>
  <c r="Q347" i="75"/>
  <c r="AP275" i="75"/>
  <c r="Q275" i="75"/>
  <c r="R347" i="75"/>
  <c r="AO275" i="75"/>
  <c r="U275" i="75"/>
  <c r="AI365" i="75"/>
  <c r="AW369" i="75"/>
  <c r="T347" i="75"/>
  <c r="AU275" i="75"/>
  <c r="T275" i="75"/>
  <c r="AI276" i="75"/>
  <c r="T277" i="75"/>
  <c r="M277" i="75" s="1"/>
  <c r="S287" i="75"/>
  <c r="T287" i="75"/>
  <c r="O350" i="75"/>
  <c r="AH366" i="75"/>
  <c r="AF283" i="75"/>
  <c r="AD346" i="75"/>
  <c r="V276" i="75"/>
  <c r="W276" i="75"/>
  <c r="R277" i="75"/>
  <c r="AF346" i="75"/>
  <c r="Q276" i="75"/>
  <c r="O277" i="75"/>
  <c r="AB283" i="75"/>
  <c r="AB366" i="75"/>
  <c r="AG346" i="75"/>
  <c r="Y346" i="75" s="1"/>
  <c r="S276" i="75"/>
  <c r="W277" i="75"/>
  <c r="R287" i="75"/>
  <c r="AG283" i="75"/>
  <c r="AE283" i="75"/>
  <c r="AF366" i="75"/>
  <c r="AH346" i="75"/>
  <c r="P276" i="75"/>
  <c r="AO333" i="75"/>
  <c r="T276" i="75"/>
  <c r="AD287" i="75"/>
  <c r="AU277" i="75"/>
  <c r="R276" i="75"/>
  <c r="AT277" i="75"/>
  <c r="AB346" i="75"/>
  <c r="M288" i="74"/>
  <c r="AD365" i="74"/>
  <c r="AD370" i="74" s="1"/>
  <c r="AO277" i="73"/>
  <c r="R282" i="73"/>
  <c r="P365" i="73"/>
  <c r="W282" i="73"/>
  <c r="R345" i="73"/>
  <c r="Q345" i="73"/>
  <c r="O347" i="73"/>
  <c r="M347" i="73" s="1"/>
  <c r="U347" i="73"/>
  <c r="AY276" i="73"/>
  <c r="AT277" i="73"/>
  <c r="S333" i="73"/>
  <c r="V282" i="73"/>
  <c r="O333" i="73"/>
  <c r="T345" i="73"/>
  <c r="V347" i="73"/>
  <c r="V353" i="73" s="1"/>
  <c r="AZ276" i="73"/>
  <c r="AW276" i="73" s="1"/>
  <c r="AU277" i="73"/>
  <c r="R333" i="73"/>
  <c r="W365" i="73"/>
  <c r="Q282" i="73"/>
  <c r="V345" i="73"/>
  <c r="AP277" i="73"/>
  <c r="T333" i="73"/>
  <c r="T365" i="73"/>
  <c r="M365" i="73" s="1"/>
  <c r="O282" i="73"/>
  <c r="V333" i="73"/>
  <c r="U345" i="73"/>
  <c r="Q347" i="73"/>
  <c r="BC276" i="73"/>
  <c r="AS277" i="73"/>
  <c r="T282" i="73"/>
  <c r="U333" i="73"/>
  <c r="P282" i="73"/>
  <c r="W333" i="73"/>
  <c r="O345" i="73"/>
  <c r="R347" i="73"/>
  <c r="BE276" i="73"/>
  <c r="R365" i="73"/>
  <c r="S282" i="73"/>
  <c r="S290" i="73" s="1"/>
  <c r="P333" i="73"/>
  <c r="M78" i="73"/>
  <c r="AZ336" i="73"/>
  <c r="AZ339" i="73" a="1"/>
  <c r="AZ339" i="73" s="1"/>
  <c r="J68" i="73"/>
  <c r="AF348" i="72"/>
  <c r="AE348" i="72"/>
  <c r="AU347" i="72"/>
  <c r="AM365" i="72"/>
  <c r="AK365" i="72" s="1"/>
  <c r="AR365" i="72"/>
  <c r="AP345" i="72"/>
  <c r="R347" i="72"/>
  <c r="J68" i="72"/>
  <c r="AG348" i="72"/>
  <c r="AN347" i="72"/>
  <c r="AA275" i="72"/>
  <c r="AS365" i="72"/>
  <c r="AO365" i="72"/>
  <c r="AQ345" i="72"/>
  <c r="S347" i="72"/>
  <c r="AH348" i="72"/>
  <c r="AO347" i="72"/>
  <c r="AE275" i="72"/>
  <c r="AM333" i="72"/>
  <c r="AT365" i="72"/>
  <c r="AR345" i="72"/>
  <c r="T347" i="72"/>
  <c r="Q347" i="72"/>
  <c r="AA348" i="72"/>
  <c r="AP347" i="72"/>
  <c r="AF275" i="72"/>
  <c r="AR333" i="72"/>
  <c r="AS333" i="72"/>
  <c r="AQ333" i="72"/>
  <c r="AS345" i="72"/>
  <c r="U347" i="72"/>
  <c r="Q348" i="72"/>
  <c r="V347" i="72"/>
  <c r="AI348" i="72"/>
  <c r="AB348" i="72"/>
  <c r="AO88" i="72"/>
  <c r="AN333" i="72"/>
  <c r="AO333" i="72"/>
  <c r="AM88" i="72"/>
  <c r="AM345" i="72"/>
  <c r="Q88" i="72"/>
  <c r="O347" i="72"/>
  <c r="AU365" i="72"/>
  <c r="AU333" i="72"/>
  <c r="AN345" i="72"/>
  <c r="P347" i="72"/>
  <c r="AY339" i="72" a="1"/>
  <c r="AY339" i="72" s="1"/>
  <c r="J307" i="72"/>
  <c r="J310" i="73"/>
  <c r="J310" i="76"/>
  <c r="J307" i="76"/>
  <c r="J309" i="76"/>
  <c r="M231" i="76"/>
  <c r="Y231" i="76"/>
  <c r="AI346" i="76"/>
  <c r="AH283" i="76"/>
  <c r="R276" i="76"/>
  <c r="AI366" i="76"/>
  <c r="AF283" i="76"/>
  <c r="AF290" i="76" s="1"/>
  <c r="AC283" i="76"/>
  <c r="AC290" i="76" s="1"/>
  <c r="U287" i="76"/>
  <c r="P287" i="76"/>
  <c r="V350" i="76"/>
  <c r="S287" i="76"/>
  <c r="T171" i="76"/>
  <c r="O350" i="76"/>
  <c r="T287" i="76"/>
  <c r="P350" i="76"/>
  <c r="W350" i="76"/>
  <c r="R287" i="76"/>
  <c r="Q350" i="76"/>
  <c r="W287" i="76"/>
  <c r="R350" i="76"/>
  <c r="O287" i="76"/>
  <c r="S350" i="76"/>
  <c r="Q287" i="76"/>
  <c r="AU348" i="76"/>
  <c r="AM348" i="76"/>
  <c r="AP348" i="76"/>
  <c r="AQ348" i="76"/>
  <c r="AP169" i="76"/>
  <c r="AS348" i="76"/>
  <c r="AN348" i="76"/>
  <c r="AT348" i="76"/>
  <c r="AE181" i="76"/>
  <c r="AE12" i="76" s="1"/>
  <c r="AE174" i="76"/>
  <c r="V275" i="76"/>
  <c r="J306" i="76"/>
  <c r="V366" i="76"/>
  <c r="AY347" i="76"/>
  <c r="AN366" i="76"/>
  <c r="AN283" i="76"/>
  <c r="AR346" i="76"/>
  <c r="BG347" i="76"/>
  <c r="Q346" i="76"/>
  <c r="BB347" i="76"/>
  <c r="AT283" i="76"/>
  <c r="AT366" i="76"/>
  <c r="AT346" i="76"/>
  <c r="AQ346" i="76"/>
  <c r="BC347" i="76"/>
  <c r="AU283" i="76"/>
  <c r="AS283" i="76"/>
  <c r="AQ283" i="76"/>
  <c r="AM346" i="76"/>
  <c r="BA88" i="76"/>
  <c r="BE347" i="76"/>
  <c r="AU366" i="76"/>
  <c r="AO283" i="76"/>
  <c r="AO366" i="76"/>
  <c r="AO370" i="76" s="1"/>
  <c r="AU346" i="76"/>
  <c r="AZ347" i="76"/>
  <c r="BF347" i="76"/>
  <c r="AM283" i="76"/>
  <c r="AR283" i="76"/>
  <c r="AN88" i="76"/>
  <c r="AN97" i="76" s="1"/>
  <c r="AO346" i="76"/>
  <c r="J315" i="76"/>
  <c r="BA347" i="76"/>
  <c r="AQ366" i="76"/>
  <c r="AR366" i="76"/>
  <c r="AS346" i="76"/>
  <c r="AP346" i="76"/>
  <c r="AS366" i="76"/>
  <c r="AP283" i="76"/>
  <c r="AP370" i="76"/>
  <c r="J66" i="76"/>
  <c r="AT333" i="76"/>
  <c r="AR333" i="76"/>
  <c r="AT345" i="76"/>
  <c r="AG347" i="76"/>
  <c r="R283" i="76"/>
  <c r="P283" i="76"/>
  <c r="O346" i="76"/>
  <c r="Q333" i="76"/>
  <c r="O88" i="76"/>
  <c r="O91" i="76" s="1"/>
  <c r="O256" i="76" s="1"/>
  <c r="AG346" i="76"/>
  <c r="AZ97" i="76"/>
  <c r="M78" i="76"/>
  <c r="M83" i="76" s="1" a="1"/>
  <c r="M83" i="76" s="1"/>
  <c r="AP333" i="76"/>
  <c r="AS365" i="76"/>
  <c r="AN333" i="76"/>
  <c r="AU345" i="76"/>
  <c r="AB347" i="76"/>
  <c r="S366" i="76"/>
  <c r="P366" i="76"/>
  <c r="P346" i="76"/>
  <c r="P282" i="76"/>
  <c r="R275" i="76"/>
  <c r="AO91" i="76"/>
  <c r="AO256" i="76" s="1"/>
  <c r="AU365" i="76"/>
  <c r="AR365" i="76"/>
  <c r="AQ365" i="76"/>
  <c r="AM345" i="76"/>
  <c r="AE347" i="76"/>
  <c r="W366" i="76"/>
  <c r="U283" i="76"/>
  <c r="R346" i="76"/>
  <c r="O282" i="76"/>
  <c r="T275" i="76"/>
  <c r="Q91" i="76"/>
  <c r="Q256" i="76" s="1"/>
  <c r="P345" i="76"/>
  <c r="AM333" i="76"/>
  <c r="AO333" i="76"/>
  <c r="AK78" i="76"/>
  <c r="AK83" i="76" s="1" a="1"/>
  <c r="AK83" i="76" s="1"/>
  <c r="AH347" i="76"/>
  <c r="Q283" i="76"/>
  <c r="O283" i="76"/>
  <c r="T346" i="76"/>
  <c r="S333" i="76"/>
  <c r="U282" i="76"/>
  <c r="U290" i="76" s="1"/>
  <c r="Q345" i="76"/>
  <c r="U275" i="76"/>
  <c r="BA91" i="76"/>
  <c r="BA256" i="76" s="1"/>
  <c r="AM365" i="76"/>
  <c r="AT365" i="76"/>
  <c r="AM88" i="76"/>
  <c r="AP345" i="76"/>
  <c r="J64" i="76"/>
  <c r="T366" i="76"/>
  <c r="T370" i="76" s="1"/>
  <c r="T283" i="76"/>
  <c r="O366" i="76"/>
  <c r="W346" i="76"/>
  <c r="V282" i="76"/>
  <c r="T333" i="76"/>
  <c r="R345" i="76"/>
  <c r="AU333" i="76"/>
  <c r="AQ333" i="76"/>
  <c r="AQ345" i="76"/>
  <c r="AO345" i="76"/>
  <c r="AI347" i="76"/>
  <c r="J311" i="76"/>
  <c r="W283" i="76"/>
  <c r="Q366" i="76"/>
  <c r="U366" i="76"/>
  <c r="S346" i="76"/>
  <c r="S353" i="76" s="1"/>
  <c r="S365" i="76"/>
  <c r="S370" i="76" s="1"/>
  <c r="R365" i="76"/>
  <c r="S345" i="76"/>
  <c r="J308" i="76"/>
  <c r="R333" i="76"/>
  <c r="AN365" i="76"/>
  <c r="AS333" i="76"/>
  <c r="AS345" i="76"/>
  <c r="AC88" i="76"/>
  <c r="AC91" i="76" s="1"/>
  <c r="AC256" i="76" s="1"/>
  <c r="AC347" i="76"/>
  <c r="R366" i="76"/>
  <c r="V283" i="76"/>
  <c r="V290" i="76" s="1"/>
  <c r="P88" i="76"/>
  <c r="P97" i="76" s="1"/>
  <c r="U346" i="76"/>
  <c r="P333" i="76"/>
  <c r="O365" i="76"/>
  <c r="U345" i="76"/>
  <c r="AQ365" i="75"/>
  <c r="AQ370" i="75" s="1"/>
  <c r="AM88" i="75"/>
  <c r="AM91" i="75" s="1"/>
  <c r="AM256" i="75" s="1"/>
  <c r="AM333" i="75"/>
  <c r="AS345" i="75"/>
  <c r="AP365" i="75"/>
  <c r="AP370" i="75" s="1"/>
  <c r="AT333" i="75"/>
  <c r="AR333" i="75"/>
  <c r="AM365" i="75"/>
  <c r="AM370" i="75" s="1"/>
  <c r="AQ333" i="75"/>
  <c r="Y78" i="75"/>
  <c r="Y83" i="75" s="1" a="1"/>
  <c r="Y83" i="75" s="1"/>
  <c r="AF350" i="75"/>
  <c r="AB287" i="75"/>
  <c r="AO277" i="75"/>
  <c r="AS277" i="75"/>
  <c r="AM277" i="75"/>
  <c r="AQ277" i="75"/>
  <c r="AP277" i="75"/>
  <c r="AR277" i="75"/>
  <c r="AW349" i="75"/>
  <c r="AW286" i="75"/>
  <c r="AS365" i="75"/>
  <c r="AS370" i="75" s="1"/>
  <c r="AN345" i="75"/>
  <c r="AO365" i="75"/>
  <c r="AO370" i="75" s="1"/>
  <c r="AR365" i="75"/>
  <c r="AR370" i="75" s="1"/>
  <c r="AT345" i="75"/>
  <c r="AP333" i="75"/>
  <c r="AN365" i="75"/>
  <c r="AN370" i="75" s="1"/>
  <c r="AS333" i="75"/>
  <c r="BC174" i="75"/>
  <c r="BC181" i="75"/>
  <c r="BC12" i="75" s="1"/>
  <c r="AP345" i="75"/>
  <c r="AR345" i="75"/>
  <c r="AM345" i="75"/>
  <c r="AU345" i="75"/>
  <c r="AQ345" i="75"/>
  <c r="AW351" i="75"/>
  <c r="AN170" i="75"/>
  <c r="AN99" i="75"/>
  <c r="AN98" i="75"/>
  <c r="AN144" i="75"/>
  <c r="AN110" i="75"/>
  <c r="BA275" i="75"/>
  <c r="AH276" i="75"/>
  <c r="J308" i="75"/>
  <c r="BG275" i="75"/>
  <c r="AC276" i="75"/>
  <c r="BE275" i="75"/>
  <c r="AA276" i="75"/>
  <c r="AY275" i="75"/>
  <c r="AE276" i="75"/>
  <c r="Q91" i="75"/>
  <c r="Q256" i="75" s="1"/>
  <c r="BB275" i="75"/>
  <c r="AZ275" i="75"/>
  <c r="AD276" i="75"/>
  <c r="AG276" i="75"/>
  <c r="AU333" i="75"/>
  <c r="AU365" i="75"/>
  <c r="AC91" i="75"/>
  <c r="AC256" i="75" s="1"/>
  <c r="BD275" i="75"/>
  <c r="AF276" i="75"/>
  <c r="AB97" i="75"/>
  <c r="J62" i="75"/>
  <c r="AF345" i="75"/>
  <c r="O91" i="75"/>
  <c r="O256" i="75" s="1"/>
  <c r="AP365" i="74"/>
  <c r="AS365" i="74"/>
  <c r="AM88" i="74"/>
  <c r="AO345" i="74"/>
  <c r="AT333" i="74"/>
  <c r="AN333" i="74"/>
  <c r="AT345" i="74"/>
  <c r="AQ345" i="74"/>
  <c r="AR333" i="74"/>
  <c r="AM333" i="74"/>
  <c r="AU345" i="74"/>
  <c r="AO333" i="74"/>
  <c r="AS333" i="74"/>
  <c r="AM345" i="74"/>
  <c r="AQ365" i="74"/>
  <c r="AN365" i="74"/>
  <c r="AN345" i="74"/>
  <c r="AT365" i="74"/>
  <c r="AU333" i="74"/>
  <c r="AP345" i="74"/>
  <c r="AR365" i="74"/>
  <c r="AO365" i="74"/>
  <c r="AM365" i="74"/>
  <c r="M349" i="74"/>
  <c r="S190" i="74"/>
  <c r="M286" i="74"/>
  <c r="S174" i="74"/>
  <c r="S181" i="74"/>
  <c r="S12" i="74" s="1"/>
  <c r="J310" i="74"/>
  <c r="AQ277" i="74"/>
  <c r="J66" i="74"/>
  <c r="AN336" i="74"/>
  <c r="AG346" i="74"/>
  <c r="AD345" i="74"/>
  <c r="AC91" i="74"/>
  <c r="AC256" i="74" s="1"/>
  <c r="AM91" i="74"/>
  <c r="AM256" i="74" s="1"/>
  <c r="J306" i="73"/>
  <c r="J304" i="73"/>
  <c r="J315" i="73"/>
  <c r="AZ99" i="73"/>
  <c r="AZ110" i="73"/>
  <c r="AZ144" i="73"/>
  <c r="AZ98" i="73"/>
  <c r="AZ170" i="73"/>
  <c r="T366" i="73"/>
  <c r="O283" i="73"/>
  <c r="O290" i="73" s="1"/>
  <c r="AC91" i="73"/>
  <c r="AC256" i="73" s="1"/>
  <c r="AM91" i="73"/>
  <c r="AM256" i="73" s="1"/>
  <c r="S366" i="73"/>
  <c r="S370" i="73" s="1"/>
  <c r="Q283" i="73"/>
  <c r="V366" i="73"/>
  <c r="U346" i="73"/>
  <c r="AY91" i="73"/>
  <c r="AY256" i="73" s="1"/>
  <c r="Q91" i="73"/>
  <c r="Q256" i="73" s="1"/>
  <c r="AC97" i="73"/>
  <c r="AC144" i="73" s="1"/>
  <c r="S283" i="73"/>
  <c r="Q366" i="73"/>
  <c r="Q370" i="73" s="1"/>
  <c r="W283" i="73"/>
  <c r="W290" i="73" s="1"/>
  <c r="V346" i="73"/>
  <c r="AB97" i="73"/>
  <c r="R283" i="73"/>
  <c r="O366" i="73"/>
  <c r="O370" i="73" s="1"/>
  <c r="P88" i="73"/>
  <c r="P97" i="73" s="1"/>
  <c r="O346" i="73"/>
  <c r="O91" i="73"/>
  <c r="O256" i="73" s="1"/>
  <c r="J313" i="73"/>
  <c r="T283" i="73"/>
  <c r="P366" i="73"/>
  <c r="P370" i="73" s="1"/>
  <c r="P346" i="73"/>
  <c r="W346" i="73"/>
  <c r="J309" i="73"/>
  <c r="AA91" i="73"/>
  <c r="AA256" i="73" s="1"/>
  <c r="U283" i="73"/>
  <c r="U290" i="73" s="1"/>
  <c r="V283" i="73"/>
  <c r="V290" i="73" s="1"/>
  <c r="Q346" i="73"/>
  <c r="Q353" i="73" s="1"/>
  <c r="BA91" i="73"/>
  <c r="BA256" i="73" s="1"/>
  <c r="R366" i="73"/>
  <c r="W366" i="73"/>
  <c r="W370" i="73" s="1"/>
  <c r="R346" i="73"/>
  <c r="R353" i="73" s="1"/>
  <c r="J308" i="72"/>
  <c r="AS275" i="72"/>
  <c r="AM283" i="72"/>
  <c r="BA287" i="72"/>
  <c r="BF350" i="72"/>
  <c r="BC287" i="72"/>
  <c r="AY350" i="72"/>
  <c r="BG287" i="72"/>
  <c r="BG350" i="72"/>
  <c r="BF287" i="72"/>
  <c r="AY287" i="72"/>
  <c r="AZ350" i="72"/>
  <c r="BB287" i="72"/>
  <c r="BD350" i="72"/>
  <c r="AC277" i="72"/>
  <c r="AD277" i="72"/>
  <c r="AA277" i="72"/>
  <c r="AG277" i="72"/>
  <c r="AB277" i="72"/>
  <c r="AE277" i="72"/>
  <c r="AP346" i="72"/>
  <c r="AP283" i="72"/>
  <c r="P277" i="72"/>
  <c r="M277" i="72" s="1"/>
  <c r="AH275" i="72"/>
  <c r="U277" i="72"/>
  <c r="T277" i="72"/>
  <c r="AD275" i="72"/>
  <c r="W277" i="72"/>
  <c r="AC275" i="72"/>
  <c r="AG275" i="72"/>
  <c r="Q277" i="72"/>
  <c r="AI275" i="72"/>
  <c r="AZ275" i="72"/>
  <c r="AB339" i="72" a="1"/>
  <c r="AB339" i="72" s="1"/>
  <c r="AP277" i="72"/>
  <c r="AO346" i="72"/>
  <c r="J304" i="72"/>
  <c r="AB97" i="72"/>
  <c r="P97" i="72"/>
  <c r="AM347" i="72"/>
  <c r="AO91" i="72"/>
  <c r="AO256" i="72" s="1"/>
  <c r="AM91" i="72"/>
  <c r="AM256" i="72" s="1"/>
  <c r="BA347" i="72"/>
  <c r="O91" i="72"/>
  <c r="O256" i="72" s="1"/>
  <c r="Q91" i="72"/>
  <c r="Q256" i="72" s="1"/>
  <c r="AI276" i="72"/>
  <c r="AR275" i="72"/>
  <c r="BD347" i="72"/>
  <c r="AZ276" i="72"/>
  <c r="R348" i="72"/>
  <c r="AT287" i="73"/>
  <c r="AT350" i="73"/>
  <c r="BB275" i="73"/>
  <c r="AH366" i="74"/>
  <c r="AH370" i="74" s="1"/>
  <c r="AG366" i="74"/>
  <c r="AG370" i="74" s="1"/>
  <c r="AD283" i="74"/>
  <c r="AC346" i="74"/>
  <c r="J308" i="74"/>
  <c r="AN277" i="74"/>
  <c r="AE365" i="74"/>
  <c r="AI365" i="74"/>
  <c r="AB345" i="74"/>
  <c r="J307" i="75"/>
  <c r="AG333" i="75"/>
  <c r="AA365" i="75"/>
  <c r="AA370" i="75" s="1"/>
  <c r="AA88" i="75"/>
  <c r="AA91" i="75" s="1"/>
  <c r="AA256" i="75" s="1"/>
  <c r="AC345" i="75"/>
  <c r="BF276" i="75"/>
  <c r="AI287" i="75"/>
  <c r="AF171" i="75"/>
  <c r="Y171" i="75" s="1"/>
  <c r="AG350" i="75"/>
  <c r="M348" i="76"/>
  <c r="AE276" i="72"/>
  <c r="AQ275" i="72"/>
  <c r="BE347" i="72"/>
  <c r="BC276" i="72"/>
  <c r="S348" i="72"/>
  <c r="AN287" i="73"/>
  <c r="AM350" i="73"/>
  <c r="BC275" i="73"/>
  <c r="AF283" i="74"/>
  <c r="AA283" i="74"/>
  <c r="AB88" i="74"/>
  <c r="AB97" i="74" s="1"/>
  <c r="AE346" i="74"/>
  <c r="T339" i="74" a="1"/>
  <c r="T339" i="74" s="1"/>
  <c r="AP277" i="74"/>
  <c r="AG365" i="75"/>
  <c r="AH333" i="75"/>
  <c r="AI345" i="75"/>
  <c r="AG345" i="75"/>
  <c r="BE276" i="75"/>
  <c r="AA287" i="75"/>
  <c r="AC350" i="75"/>
  <c r="AH350" i="75"/>
  <c r="AH353" i="75" s="1"/>
  <c r="AF276" i="72"/>
  <c r="AU275" i="72"/>
  <c r="BF347" i="72"/>
  <c r="R169" i="72"/>
  <c r="R178" i="72" s="1"/>
  <c r="T348" i="72"/>
  <c r="AO287" i="73"/>
  <c r="AU350" i="73"/>
  <c r="AY275" i="73"/>
  <c r="BA275" i="73"/>
  <c r="AH283" i="74"/>
  <c r="AC283" i="74"/>
  <c r="AA346" i="74"/>
  <c r="AH346" i="74"/>
  <c r="AU277" i="74"/>
  <c r="AC333" i="75"/>
  <c r="AH365" i="75"/>
  <c r="AH370" i="75" s="1"/>
  <c r="AA345" i="75"/>
  <c r="AZ276" i="75"/>
  <c r="AY276" i="75"/>
  <c r="AE287" i="75"/>
  <c r="AD350" i="75"/>
  <c r="AW230" i="76"/>
  <c r="AW288" i="75"/>
  <c r="AP275" i="72"/>
  <c r="AY347" i="72"/>
  <c r="V348" i="72"/>
  <c r="U348" i="72"/>
  <c r="BF339" i="73" a="1"/>
  <c r="BF339" i="73" s="1"/>
  <c r="AS287" i="73"/>
  <c r="AR287" i="73"/>
  <c r="AN350" i="73"/>
  <c r="BG275" i="73"/>
  <c r="AF366" i="74"/>
  <c r="AC366" i="74"/>
  <c r="AC370" i="74" s="1"/>
  <c r="AB346" i="74"/>
  <c r="AS277" i="74"/>
  <c r="AM277" i="74"/>
  <c r="AD333" i="75"/>
  <c r="AF333" i="75"/>
  <c r="AB345" i="75"/>
  <c r="BD276" i="75"/>
  <c r="AF287" i="75"/>
  <c r="AF290" i="75" s="1"/>
  <c r="AA350" i="75"/>
  <c r="J304" i="76"/>
  <c r="AB366" i="76"/>
  <c r="AB283" i="76"/>
  <c r="AB290" i="76" s="1"/>
  <c r="AE366" i="76"/>
  <c r="AC346" i="76"/>
  <c r="V333" i="76"/>
  <c r="U333" i="76"/>
  <c r="U365" i="76"/>
  <c r="W345" i="76"/>
  <c r="W353" i="76" s="1"/>
  <c r="W275" i="76"/>
  <c r="S275" i="76"/>
  <c r="AR336" i="76"/>
  <c r="AR339" i="76" a="1"/>
  <c r="AR339" i="76" s="1"/>
  <c r="AC276" i="72"/>
  <c r="AD276" i="72"/>
  <c r="AM275" i="72"/>
  <c r="BG347" i="72"/>
  <c r="BD276" i="72"/>
  <c r="O348" i="72"/>
  <c r="AU287" i="73"/>
  <c r="AQ287" i="73"/>
  <c r="AO350" i="73"/>
  <c r="AZ275" i="73"/>
  <c r="AB283" i="74"/>
  <c r="AI283" i="74"/>
  <c r="AD346" i="74"/>
  <c r="AO277" i="74"/>
  <c r="AF365" i="74"/>
  <c r="AD333" i="74"/>
  <c r="AA88" i="74"/>
  <c r="AA91" i="74" s="1"/>
  <c r="AA256" i="74" s="1"/>
  <c r="Y256" i="74" s="1"/>
  <c r="AG345" i="74"/>
  <c r="AB365" i="75"/>
  <c r="AB370" i="75" s="1"/>
  <c r="AB333" i="75"/>
  <c r="AD345" i="75"/>
  <c r="AD353" i="75" s="1"/>
  <c r="BB276" i="75"/>
  <c r="AH287" i="75"/>
  <c r="AH290" i="75" s="1"/>
  <c r="AI350" i="75"/>
  <c r="AG366" i="76"/>
  <c r="AI283" i="76"/>
  <c r="AI290" i="76" s="1"/>
  <c r="AB88" i="76"/>
  <c r="AB97" i="76" s="1"/>
  <c r="AE346" i="76"/>
  <c r="Q282" i="76"/>
  <c r="Q365" i="76"/>
  <c r="R282" i="76"/>
  <c r="W282" i="76"/>
  <c r="V345" i="76"/>
  <c r="Q275" i="76"/>
  <c r="J62" i="76"/>
  <c r="AH276" i="72"/>
  <c r="AG276" i="72"/>
  <c r="AO275" i="72"/>
  <c r="BA88" i="72"/>
  <c r="BA91" i="72" s="1"/>
  <c r="BA256" i="72" s="1"/>
  <c r="AZ347" i="72"/>
  <c r="W348" i="72"/>
  <c r="AM287" i="73"/>
  <c r="AR171" i="73"/>
  <c r="AP350" i="73"/>
  <c r="BD275" i="73"/>
  <c r="AB366" i="74"/>
  <c r="AA366" i="74"/>
  <c r="AF346" i="74"/>
  <c r="AT277" i="74"/>
  <c r="AE333" i="74"/>
  <c r="AG333" i="74"/>
  <c r="AH345" i="74"/>
  <c r="AE333" i="75"/>
  <c r="AD365" i="75"/>
  <c r="AD370" i="75" s="1"/>
  <c r="AI333" i="75"/>
  <c r="AE345" i="75"/>
  <c r="AE353" i="75" s="1"/>
  <c r="BC276" i="75"/>
  <c r="AC287" i="75"/>
  <c r="Y287" i="75" s="1"/>
  <c r="AB350" i="75"/>
  <c r="Y348" i="76"/>
  <c r="J308" i="73"/>
  <c r="AW349" i="76"/>
  <c r="AC366" i="76"/>
  <c r="AA366" i="76"/>
  <c r="AB346" i="76"/>
  <c r="AF346" i="76"/>
  <c r="W365" i="76"/>
  <c r="V365" i="76"/>
  <c r="P365" i="76"/>
  <c r="T282" i="76"/>
  <c r="O345" i="76"/>
  <c r="BE181" i="75"/>
  <c r="BE12" i="75" s="1"/>
  <c r="BE174" i="75"/>
  <c r="J64" i="72"/>
  <c r="AN275" i="72"/>
  <c r="BB347" i="72"/>
  <c r="J66" i="73"/>
  <c r="AR245" i="73"/>
  <c r="AR246" i="73" s="1"/>
  <c r="AR350" i="73"/>
  <c r="AE366" i="74"/>
  <c r="AE370" i="74" s="1"/>
  <c r="AI366" i="74"/>
  <c r="AE365" i="75"/>
  <c r="AE370" i="75" s="1"/>
  <c r="AF365" i="75"/>
  <c r="AA333" i="75"/>
  <c r="AF245" i="75"/>
  <c r="AF246" i="75" s="1"/>
  <c r="AG287" i="75"/>
  <c r="AG290" i="75" s="1"/>
  <c r="J24" i="76"/>
  <c r="AD283" i="76"/>
  <c r="AD290" i="76" s="1"/>
  <c r="AD366" i="76"/>
  <c r="S282" i="76"/>
  <c r="S290" i="76" s="1"/>
  <c r="O333" i="76"/>
  <c r="W333" i="76"/>
  <c r="T365" i="76"/>
  <c r="AN277" i="72"/>
  <c r="AM277" i="72"/>
  <c r="Y349" i="73"/>
  <c r="R276" i="73"/>
  <c r="AD275" i="73"/>
  <c r="Q275" i="73"/>
  <c r="O275" i="73"/>
  <c r="J310" i="75"/>
  <c r="M229" i="76"/>
  <c r="O13" i="76"/>
  <c r="M13" i="76" s="1"/>
  <c r="Y287" i="76"/>
  <c r="Y350" i="76"/>
  <c r="AD178" i="76"/>
  <c r="AD181" i="76"/>
  <c r="AD12" i="76" s="1"/>
  <c r="AD174" i="76"/>
  <c r="AP190" i="76" a="1"/>
  <c r="AP190" i="76" s="1"/>
  <c r="AK169" i="76"/>
  <c r="AN339" i="76" a="1"/>
  <c r="AN339" i="76" s="1"/>
  <c r="AN336" i="76"/>
  <c r="M349" i="76"/>
  <c r="AM339" i="76" a="1"/>
  <c r="AM339" i="76" s="1"/>
  <c r="AM336" i="76"/>
  <c r="Y351" i="76"/>
  <c r="M351" i="76"/>
  <c r="AW229" i="76"/>
  <c r="AY13" i="76"/>
  <c r="AW13" i="76" s="1"/>
  <c r="O334" i="76"/>
  <c r="M26" i="76"/>
  <c r="AT277" i="72"/>
  <c r="P276" i="73"/>
  <c r="AH275" i="73"/>
  <c r="R275" i="73"/>
  <c r="J62" i="73"/>
  <c r="J309" i="74"/>
  <c r="J68" i="75"/>
  <c r="AW288" i="74"/>
  <c r="Y26" i="75"/>
  <c r="Y27" i="75" s="1"/>
  <c r="AW275" i="74"/>
  <c r="S336" i="76"/>
  <c r="S339" i="76" a="1"/>
  <c r="S339" i="76" s="1"/>
  <c r="R190" i="76" a="1"/>
  <c r="R190" i="76" s="1"/>
  <c r="R178" i="76"/>
  <c r="R174" i="76"/>
  <c r="R181" i="76"/>
  <c r="R12" i="76" s="1"/>
  <c r="AU339" i="76" a="1"/>
  <c r="AU339" i="76" s="1"/>
  <c r="AU336" i="76"/>
  <c r="AM370" i="76"/>
  <c r="R339" i="76" a="1"/>
  <c r="R339" i="76" s="1"/>
  <c r="R336" i="76"/>
  <c r="AK349" i="76"/>
  <c r="BA350" i="76"/>
  <c r="AZ350" i="76"/>
  <c r="BG350" i="76"/>
  <c r="AY350" i="76"/>
  <c r="BF350" i="76"/>
  <c r="BE350" i="76"/>
  <c r="BD350" i="76"/>
  <c r="BC350" i="76"/>
  <c r="BB350" i="76"/>
  <c r="BD171" i="76"/>
  <c r="BB287" i="76"/>
  <c r="AY287" i="76"/>
  <c r="BC287" i="76"/>
  <c r="BA287" i="76"/>
  <c r="BF287" i="76"/>
  <c r="BD245" i="76"/>
  <c r="BD246" i="76" s="1"/>
  <c r="BD287" i="76"/>
  <c r="BD290" i="76" s="1"/>
  <c r="BE287" i="76"/>
  <c r="BG287" i="76"/>
  <c r="BG290" i="76" s="1"/>
  <c r="AZ287" i="76"/>
  <c r="AZ290" i="76" s="1"/>
  <c r="BB345" i="74"/>
  <c r="BD365" i="74"/>
  <c r="BD345" i="74"/>
  <c r="AZ345" i="74"/>
  <c r="BG365" i="74"/>
  <c r="BB365" i="74"/>
  <c r="BA345" i="74"/>
  <c r="AY88" i="74"/>
  <c r="BA365" i="74"/>
  <c r="BG345" i="74"/>
  <c r="BC365" i="74"/>
  <c r="AZ365" i="74"/>
  <c r="AY345" i="74"/>
  <c r="BF365" i="74"/>
  <c r="BF345" i="74"/>
  <c r="AY365" i="74"/>
  <c r="BC345" i="74"/>
  <c r="BE345" i="74"/>
  <c r="BE365" i="74"/>
  <c r="AM334" i="76"/>
  <c r="AK26" i="76"/>
  <c r="AK27" i="76" s="1"/>
  <c r="AW346" i="76"/>
  <c r="R370" i="76"/>
  <c r="AO277" i="72"/>
  <c r="J65" i="72"/>
  <c r="U276" i="73"/>
  <c r="AB275" i="73"/>
  <c r="AG275" i="73"/>
  <c r="P275" i="73"/>
  <c r="J66" i="75"/>
  <c r="M230" i="76"/>
  <c r="Y230" i="76"/>
  <c r="S178" i="76"/>
  <c r="S190" i="76"/>
  <c r="S174" i="76"/>
  <c r="S181" i="76"/>
  <c r="S12" i="76" s="1"/>
  <c r="BG345" i="76"/>
  <c r="AY345" i="76"/>
  <c r="BA345" i="76"/>
  <c r="AZ345" i="76"/>
  <c r="BF345" i="76"/>
  <c r="BE345" i="76"/>
  <c r="BC345" i="76"/>
  <c r="BB345" i="76"/>
  <c r="BD345" i="76"/>
  <c r="AW78" i="76"/>
  <c r="AY88" i="76"/>
  <c r="BG365" i="76"/>
  <c r="BA365" i="76"/>
  <c r="BA370" i="76" s="1"/>
  <c r="BF365" i="76"/>
  <c r="BF370" i="76" s="1"/>
  <c r="AY365" i="76"/>
  <c r="BD365" i="76"/>
  <c r="BD370" i="76" s="1"/>
  <c r="AZ365" i="76"/>
  <c r="AZ370" i="76" s="1"/>
  <c r="BB365" i="76"/>
  <c r="BB370" i="76" s="1"/>
  <c r="BC365" i="76"/>
  <c r="BC370" i="76" s="1"/>
  <c r="BE365" i="76"/>
  <c r="BE370" i="76" s="1"/>
  <c r="BB178" i="76"/>
  <c r="BB174" i="76"/>
  <c r="BB181" i="76"/>
  <c r="BB12" i="76" s="1"/>
  <c r="U178" i="76"/>
  <c r="U191" i="76"/>
  <c r="M191" i="76" s="1"/>
  <c r="U174" i="76"/>
  <c r="U181" i="76"/>
  <c r="U12" i="76" s="1"/>
  <c r="AR277" i="72"/>
  <c r="U336" i="73"/>
  <c r="T276" i="73"/>
  <c r="AC275" i="73"/>
  <c r="W275" i="73"/>
  <c r="J24" i="74"/>
  <c r="J315" i="75"/>
  <c r="AK78" i="75"/>
  <c r="AK83" i="75" s="1" a="1"/>
  <c r="AK83" i="75" s="1"/>
  <c r="BC339" i="76" a="1"/>
  <c r="BC339" i="76" s="1"/>
  <c r="BC336" i="76"/>
  <c r="AY334" i="76"/>
  <c r="AW26" i="76"/>
  <c r="J352" i="76"/>
  <c r="BE339" i="76" a="1"/>
  <c r="BE339" i="76" s="1"/>
  <c r="BE336" i="76"/>
  <c r="AP339" i="74" a="1"/>
  <c r="AP339" i="74" s="1"/>
  <c r="AP336" i="74"/>
  <c r="BC190" i="76"/>
  <c r="BC178" i="76"/>
  <c r="BC174" i="76"/>
  <c r="BC181" i="76"/>
  <c r="BC12" i="76" s="1"/>
  <c r="J289" i="76"/>
  <c r="AK231" i="76"/>
  <c r="M286" i="76"/>
  <c r="AA334" i="76"/>
  <c r="Y26" i="76"/>
  <c r="Y27" i="76" s="1"/>
  <c r="AW275" i="76"/>
  <c r="BF290" i="76"/>
  <c r="AS277" i="72"/>
  <c r="S276" i="73"/>
  <c r="AE275" i="73"/>
  <c r="U275" i="73"/>
  <c r="J304" i="75"/>
  <c r="AK351" i="76"/>
  <c r="AY339" i="76" a="1"/>
  <c r="AY339" i="76" s="1"/>
  <c r="AY336" i="76"/>
  <c r="Y229" i="76"/>
  <c r="AA13" i="76"/>
  <c r="Y13" i="76" s="1"/>
  <c r="AH336" i="76"/>
  <c r="AH339" i="76" a="1"/>
  <c r="AH339" i="76" s="1"/>
  <c r="T174" i="76"/>
  <c r="T11" i="76" s="1"/>
  <c r="M171" i="76"/>
  <c r="T178" i="76"/>
  <c r="T181" i="76"/>
  <c r="T12" i="76" s="1"/>
  <c r="J196" i="76"/>
  <c r="AO277" i="76"/>
  <c r="AQ277" i="76"/>
  <c r="AS277" i="76"/>
  <c r="AR277" i="76"/>
  <c r="AU277" i="76"/>
  <c r="AN277" i="76"/>
  <c r="AP277" i="76"/>
  <c r="AT277" i="76"/>
  <c r="AM277" i="76"/>
  <c r="BC277" i="76"/>
  <c r="AZ277" i="76"/>
  <c r="BB277" i="76"/>
  <c r="BA277" i="76"/>
  <c r="BG277" i="76"/>
  <c r="BE277" i="76"/>
  <c r="BD277" i="76"/>
  <c r="BF277" i="76"/>
  <c r="AY277" i="76"/>
  <c r="AK229" i="76"/>
  <c r="AM13" i="76"/>
  <c r="AK13" i="76" s="1"/>
  <c r="BE178" i="76"/>
  <c r="BE191" i="76"/>
  <c r="AW191" i="76" s="1"/>
  <c r="BE174" i="76"/>
  <c r="BE181" i="76"/>
  <c r="BE12" i="76" s="1"/>
  <c r="AW351" i="76"/>
  <c r="AT276" i="76"/>
  <c r="AQ276" i="76"/>
  <c r="AR276" i="76"/>
  <c r="AS276" i="76"/>
  <c r="AN276" i="76"/>
  <c r="AO276" i="76"/>
  <c r="AP276" i="76"/>
  <c r="AU276" i="76"/>
  <c r="AM276" i="76"/>
  <c r="AQ350" i="76"/>
  <c r="AP350" i="76"/>
  <c r="AO350" i="76"/>
  <c r="AN350" i="76"/>
  <c r="AU350" i="76"/>
  <c r="AM350" i="76"/>
  <c r="AT350" i="76"/>
  <c r="AS350" i="76"/>
  <c r="AR350" i="76"/>
  <c r="AR353" i="76" s="1"/>
  <c r="AR171" i="76"/>
  <c r="AO287" i="76"/>
  <c r="AO290" i="76" s="1"/>
  <c r="AN287" i="76"/>
  <c r="AQ287" i="76"/>
  <c r="AQ290" i="76" s="1"/>
  <c r="AP287" i="76"/>
  <c r="AP290" i="76" s="1"/>
  <c r="AR287" i="76"/>
  <c r="AS287" i="76"/>
  <c r="AT287" i="76"/>
  <c r="AM287" i="76"/>
  <c r="AU287" i="76"/>
  <c r="AU290" i="76" s="1"/>
  <c r="AR245" i="76"/>
  <c r="AR246" i="76" s="1"/>
  <c r="Y288" i="76"/>
  <c r="AG178" i="76"/>
  <c r="AG191" i="76"/>
  <c r="Y191" i="76" s="1"/>
  <c r="AG181" i="76"/>
  <c r="AG12" i="76" s="1"/>
  <c r="AG174" i="76"/>
  <c r="M288" i="76"/>
  <c r="AH290" i="76"/>
  <c r="AP178" i="76"/>
  <c r="AP181" i="76"/>
  <c r="AP12" i="76" s="1"/>
  <c r="AP174" i="76"/>
  <c r="BC290" i="76"/>
  <c r="V353" i="76"/>
  <c r="Y171" i="76"/>
  <c r="AF174" i="76"/>
  <c r="AF11" i="76" s="1"/>
  <c r="AF178" i="76"/>
  <c r="AF181" i="76"/>
  <c r="AF12" i="76" s="1"/>
  <c r="AE290" i="76"/>
  <c r="J309" i="72"/>
  <c r="BC348" i="72"/>
  <c r="AQ277" i="72"/>
  <c r="O276" i="73"/>
  <c r="V276" i="73"/>
  <c r="AA275" i="73"/>
  <c r="T275" i="73"/>
  <c r="Y277" i="75"/>
  <c r="J309" i="75"/>
  <c r="AK288" i="76"/>
  <c r="AW369" i="76"/>
  <c r="AY276" i="76"/>
  <c r="BC276" i="76"/>
  <c r="BD276" i="76"/>
  <c r="AZ276" i="76"/>
  <c r="BB276" i="76"/>
  <c r="BA276" i="76"/>
  <c r="BG276" i="76"/>
  <c r="BF276" i="76"/>
  <c r="BE276" i="76"/>
  <c r="M169" i="76"/>
  <c r="Y169" i="76"/>
  <c r="AK230" i="76"/>
  <c r="AW288" i="76"/>
  <c r="AE345" i="76"/>
  <c r="AD345" i="76"/>
  <c r="AC345" i="76"/>
  <c r="AB345" i="76"/>
  <c r="AA345" i="76"/>
  <c r="AI345" i="76"/>
  <c r="AG345" i="76"/>
  <c r="AH345" i="76"/>
  <c r="AF345" i="76"/>
  <c r="AA88" i="76"/>
  <c r="AA91" i="76" s="1"/>
  <c r="AA256" i="76" s="1"/>
  <c r="Y78" i="76"/>
  <c r="Y83" i="76" s="1" a="1"/>
  <c r="Y83" i="76" s="1"/>
  <c r="AG365" i="76"/>
  <c r="AH333" i="76"/>
  <c r="AE365" i="76"/>
  <c r="AE370" i="76" s="1"/>
  <c r="AI333" i="76"/>
  <c r="AB365" i="76"/>
  <c r="AG333" i="76"/>
  <c r="AD365" i="76"/>
  <c r="AB333" i="76"/>
  <c r="AE333" i="76"/>
  <c r="AH365" i="76"/>
  <c r="AH370" i="76" s="1"/>
  <c r="AA333" i="76"/>
  <c r="AI365" i="76"/>
  <c r="AF365" i="76"/>
  <c r="AD333" i="76"/>
  <c r="AA365" i="76"/>
  <c r="AC333" i="76"/>
  <c r="AF333" i="76"/>
  <c r="AC365" i="76"/>
  <c r="AA290" i="76"/>
  <c r="O353" i="76"/>
  <c r="AK288" i="75"/>
  <c r="M287" i="75"/>
  <c r="AS178" i="76"/>
  <c r="AS191" i="76"/>
  <c r="AK191" i="76" s="1"/>
  <c r="AS181" i="76"/>
  <c r="AS12" i="76" s="1"/>
  <c r="AS174" i="76"/>
  <c r="AW231" i="76"/>
  <c r="AC339" i="76" a="1"/>
  <c r="AC339" i="76" s="1"/>
  <c r="AC336" i="76"/>
  <c r="AW286" i="76"/>
  <c r="M277" i="76"/>
  <c r="AK286" i="76"/>
  <c r="AK369" i="76"/>
  <c r="AQ178" i="76"/>
  <c r="AQ190" i="76"/>
  <c r="AQ174" i="76"/>
  <c r="AQ181" i="76"/>
  <c r="AQ12" i="76" s="1"/>
  <c r="M369" i="76"/>
  <c r="J25" i="76"/>
  <c r="BA290" i="76"/>
  <c r="AG191" i="75"/>
  <c r="Y191" i="75" s="1"/>
  <c r="AG178" i="75"/>
  <c r="AG181" i="75"/>
  <c r="AG12" i="75" s="1"/>
  <c r="AG174" i="75"/>
  <c r="AF336" i="75"/>
  <c r="AF339" i="75" a="1"/>
  <c r="AF339" i="75" s="1"/>
  <c r="J311" i="72"/>
  <c r="BD348" i="72"/>
  <c r="AN283" i="72"/>
  <c r="AM366" i="72"/>
  <c r="AT283" i="72"/>
  <c r="AQ346" i="72"/>
  <c r="BF275" i="72"/>
  <c r="AU276" i="73"/>
  <c r="J306" i="74"/>
  <c r="AN276" i="74"/>
  <c r="AP339" i="75" a="1"/>
  <c r="AP339" i="75" s="1"/>
  <c r="AP336" i="75"/>
  <c r="M230" i="75"/>
  <c r="Y351" i="75"/>
  <c r="R190" i="75" a="1"/>
  <c r="R190" i="75" s="1"/>
  <c r="M349" i="75"/>
  <c r="U346" i="75"/>
  <c r="U353" i="75" s="1"/>
  <c r="Q346" i="75"/>
  <c r="Q353" i="75" s="1"/>
  <c r="W346" i="75"/>
  <c r="V346" i="75"/>
  <c r="V353" i="75" s="1"/>
  <c r="T346" i="75"/>
  <c r="T353" i="75" s="1"/>
  <c r="S346" i="75"/>
  <c r="S353" i="75" s="1"/>
  <c r="R346" i="75"/>
  <c r="P346" i="75"/>
  <c r="P353" i="75" s="1"/>
  <c r="O346" i="75"/>
  <c r="P88" i="75"/>
  <c r="P97" i="75" s="1"/>
  <c r="T366" i="75"/>
  <c r="T370" i="75" s="1"/>
  <c r="O283" i="75"/>
  <c r="O290" i="75" s="1"/>
  <c r="R366" i="75"/>
  <c r="R370" i="75" s="1"/>
  <c r="W283" i="75"/>
  <c r="W290" i="75" s="1"/>
  <c r="O366" i="75"/>
  <c r="Q366" i="75"/>
  <c r="Q370" i="75" s="1"/>
  <c r="Q283" i="75"/>
  <c r="Q290" i="75" s="1"/>
  <c r="R283" i="75"/>
  <c r="T283" i="75"/>
  <c r="T290" i="75" s="1"/>
  <c r="U366" i="75"/>
  <c r="U370" i="75" s="1"/>
  <c r="V283" i="75"/>
  <c r="V290" i="75" s="1"/>
  <c r="P366" i="75"/>
  <c r="P370" i="75" s="1"/>
  <c r="P283" i="75"/>
  <c r="P290" i="75" s="1"/>
  <c r="S283" i="75"/>
  <c r="S290" i="75" s="1"/>
  <c r="V366" i="75"/>
  <c r="V370" i="75" s="1"/>
  <c r="U283" i="75"/>
  <c r="W366" i="75"/>
  <c r="W370" i="75" s="1"/>
  <c r="S366" i="75"/>
  <c r="S370" i="75" s="1"/>
  <c r="J311" i="75"/>
  <c r="AK283" i="75"/>
  <c r="U191" i="75"/>
  <c r="M191" i="75" s="1"/>
  <c r="U178" i="75"/>
  <c r="U174" i="75"/>
  <c r="U181" i="75"/>
  <c r="U12" i="75" s="1"/>
  <c r="Y229" i="75"/>
  <c r="AA13" i="75"/>
  <c r="Y13" i="75" s="1"/>
  <c r="Y348" i="75"/>
  <c r="M345" i="75"/>
  <c r="AE290" i="75"/>
  <c r="M288" i="75"/>
  <c r="M365" i="75"/>
  <c r="AB290" i="75"/>
  <c r="BE348" i="72"/>
  <c r="J313" i="72"/>
  <c r="AN366" i="72"/>
  <c r="AS366" i="72"/>
  <c r="AS370" i="72" s="1"/>
  <c r="AN88" i="72"/>
  <c r="AN97" i="72" s="1"/>
  <c r="AR346" i="72"/>
  <c r="BE275" i="72"/>
  <c r="AM276" i="73"/>
  <c r="J315" i="74"/>
  <c r="J311" i="74"/>
  <c r="AP276" i="74"/>
  <c r="M229" i="75"/>
  <c r="O13" i="75"/>
  <c r="M13" i="75" s="1"/>
  <c r="AK26" i="75"/>
  <c r="AS339" i="75" a="1"/>
  <c r="AS339" i="75" s="1"/>
  <c r="AS336" i="75"/>
  <c r="Y286" i="75"/>
  <c r="AY336" i="75"/>
  <c r="AY339" i="75" a="1"/>
  <c r="AY339" i="75" s="1"/>
  <c r="J196" i="75"/>
  <c r="M286" i="75"/>
  <c r="Y169" i="75"/>
  <c r="M348" i="75"/>
  <c r="AM339" i="75" a="1"/>
  <c r="AM339" i="75" s="1"/>
  <c r="AM336" i="75"/>
  <c r="Y230" i="75"/>
  <c r="AD178" i="75"/>
  <c r="AD181" i="75"/>
  <c r="AD12" i="75" s="1"/>
  <c r="AD174" i="75"/>
  <c r="Y283" i="75"/>
  <c r="AA290" i="75"/>
  <c r="AD290" i="75"/>
  <c r="AT370" i="75"/>
  <c r="BF348" i="72"/>
  <c r="AQ366" i="72"/>
  <c r="AQ370" i="72" s="1"/>
  <c r="AP366" i="72"/>
  <c r="AP370" i="72" s="1"/>
  <c r="AT346" i="72"/>
  <c r="AS346" i="72"/>
  <c r="AY275" i="72"/>
  <c r="AN276" i="73"/>
  <c r="M231" i="74"/>
  <c r="Y351" i="74"/>
  <c r="J313" i="74"/>
  <c r="AU276" i="74"/>
  <c r="W339" i="75" a="1"/>
  <c r="W339" i="75" s="1"/>
  <c r="W336" i="75"/>
  <c r="M231" i="75"/>
  <c r="BG277" i="75"/>
  <c r="AY277" i="75"/>
  <c r="BA277" i="75"/>
  <c r="BC277" i="75"/>
  <c r="BB277" i="75"/>
  <c r="BD277" i="75"/>
  <c r="AZ277" i="75"/>
  <c r="BE277" i="75"/>
  <c r="BF277" i="75"/>
  <c r="AY334" i="75"/>
  <c r="AW26" i="75"/>
  <c r="S190" i="75"/>
  <c r="S178" i="75"/>
  <c r="S181" i="75"/>
  <c r="S12" i="75" s="1"/>
  <c r="S174" i="75"/>
  <c r="U336" i="75"/>
  <c r="U339" i="75" a="1"/>
  <c r="U339" i="75" s="1"/>
  <c r="AT348" i="75"/>
  <c r="AS348" i="75"/>
  <c r="AP348" i="75"/>
  <c r="AO348" i="75"/>
  <c r="AM348" i="75"/>
  <c r="AU348" i="75"/>
  <c r="AR348" i="75"/>
  <c r="AQ348" i="75"/>
  <c r="AN348" i="75"/>
  <c r="AP169" i="75"/>
  <c r="AK169" i="75" s="1"/>
  <c r="AD190" i="75" a="1"/>
  <c r="AD190" i="75" s="1"/>
  <c r="M351" i="75"/>
  <c r="Y231" i="75"/>
  <c r="Y347" i="75"/>
  <c r="AR350" i="75"/>
  <c r="AQ350" i="75"/>
  <c r="AP350" i="75"/>
  <c r="AO350" i="75"/>
  <c r="AT350" i="75"/>
  <c r="AS350" i="75"/>
  <c r="AU350" i="75"/>
  <c r="AN350" i="75"/>
  <c r="AM350" i="75"/>
  <c r="AR171" i="75"/>
  <c r="AQ287" i="75"/>
  <c r="AT287" i="75"/>
  <c r="AT290" i="75" s="1"/>
  <c r="AN287" i="75"/>
  <c r="AN290" i="75" s="1"/>
  <c r="AP287" i="75"/>
  <c r="AP290" i="75" s="1"/>
  <c r="AS287" i="75"/>
  <c r="AS290" i="75" s="1"/>
  <c r="AO287" i="75"/>
  <c r="AO290" i="75" s="1"/>
  <c r="AM287" i="75"/>
  <c r="AM290" i="75" s="1"/>
  <c r="AU287" i="75"/>
  <c r="AU290" i="75" s="1"/>
  <c r="AR245" i="75"/>
  <c r="AR246" i="75" s="1"/>
  <c r="AR287" i="75"/>
  <c r="AR290" i="75" s="1"/>
  <c r="AO283" i="72"/>
  <c r="AQ283" i="72"/>
  <c r="AM346" i="72"/>
  <c r="BD275" i="72"/>
  <c r="AO276" i="73"/>
  <c r="J304" i="74"/>
  <c r="M191" i="74"/>
  <c r="Y26" i="74"/>
  <c r="Y27" i="74" s="1"/>
  <c r="AS276" i="74"/>
  <c r="BF347" i="75"/>
  <c r="BE347" i="75"/>
  <c r="BA347" i="75"/>
  <c r="AZ347" i="75"/>
  <c r="AY347" i="75"/>
  <c r="BG347" i="75"/>
  <c r="BD347" i="75"/>
  <c r="BC347" i="75"/>
  <c r="BB347" i="75"/>
  <c r="BA88" i="75"/>
  <c r="BA91" i="75" s="1"/>
  <c r="BA256" i="75" s="1"/>
  <c r="AK351" i="75"/>
  <c r="BB350" i="75"/>
  <c r="BA350" i="75"/>
  <c r="AZ350" i="75"/>
  <c r="BG350" i="75"/>
  <c r="AY350" i="75"/>
  <c r="BF350" i="75"/>
  <c r="BD350" i="75"/>
  <c r="BC350" i="75"/>
  <c r="BE350" i="75"/>
  <c r="BD171" i="75"/>
  <c r="BC287" i="75"/>
  <c r="BF287" i="75"/>
  <c r="BD287" i="75"/>
  <c r="AY287" i="75"/>
  <c r="BE287" i="75"/>
  <c r="BA287" i="75"/>
  <c r="BG287" i="75"/>
  <c r="BD245" i="75"/>
  <c r="BD246" i="75" s="1"/>
  <c r="BB287" i="75"/>
  <c r="AZ287" i="75"/>
  <c r="W336" i="74"/>
  <c r="W339" i="74" a="1"/>
  <c r="W339" i="74" s="1"/>
  <c r="BA339" i="75" a="1"/>
  <c r="BA339" i="75" s="1"/>
  <c r="BA336" i="75"/>
  <c r="AK230" i="75"/>
  <c r="J289" i="75"/>
  <c r="AQ290" i="75"/>
  <c r="M169" i="75"/>
  <c r="AK275" i="75"/>
  <c r="AF370" i="75"/>
  <c r="Y366" i="75"/>
  <c r="BE348" i="75"/>
  <c r="BD348" i="75"/>
  <c r="BC348" i="75"/>
  <c r="AZ348" i="75"/>
  <c r="BG348" i="75"/>
  <c r="AY348" i="75"/>
  <c r="BF348" i="75"/>
  <c r="BB348" i="75"/>
  <c r="BA348" i="75"/>
  <c r="BB169" i="75"/>
  <c r="BB169" i="72"/>
  <c r="BB178" i="72" s="1"/>
  <c r="AY348" i="72"/>
  <c r="J315" i="72"/>
  <c r="AZ348" i="72"/>
  <c r="BG348" i="72"/>
  <c r="AU283" i="72"/>
  <c r="AR366" i="72"/>
  <c r="AR370" i="72" s="1"/>
  <c r="AU346" i="72"/>
  <c r="BA275" i="72"/>
  <c r="AS276" i="73"/>
  <c r="J68" i="74"/>
  <c r="AO276" i="74"/>
  <c r="AM276" i="74"/>
  <c r="O334" i="75"/>
  <c r="M26" i="75"/>
  <c r="AR276" i="75"/>
  <c r="AT276" i="75"/>
  <c r="AS276" i="75"/>
  <c r="AN276" i="75"/>
  <c r="AO276" i="75"/>
  <c r="AP276" i="75"/>
  <c r="AQ276" i="75"/>
  <c r="AM276" i="75"/>
  <c r="AU276" i="75"/>
  <c r="J313" i="75"/>
  <c r="BG346" i="75"/>
  <c r="AY346" i="75"/>
  <c r="BC346" i="75"/>
  <c r="BF346" i="75"/>
  <c r="BE346" i="75"/>
  <c r="BD346" i="75"/>
  <c r="BB346" i="75"/>
  <c r="BA346" i="75"/>
  <c r="AZ346" i="75"/>
  <c r="AZ88" i="75"/>
  <c r="AZ97" i="75" s="1"/>
  <c r="AZ283" i="75"/>
  <c r="BC283" i="75"/>
  <c r="BD366" i="75"/>
  <c r="BF366" i="75"/>
  <c r="AZ366" i="75"/>
  <c r="BB366" i="75"/>
  <c r="BD283" i="75"/>
  <c r="BF283" i="75"/>
  <c r="BG283" i="75"/>
  <c r="BE283" i="75"/>
  <c r="BA366" i="75"/>
  <c r="BA283" i="75"/>
  <c r="BG366" i="75"/>
  <c r="BC366" i="75"/>
  <c r="BE366" i="75"/>
  <c r="AY283" i="75"/>
  <c r="BB283" i="75"/>
  <c r="AY366" i="75"/>
  <c r="Q336" i="75"/>
  <c r="Q339" i="75" a="1"/>
  <c r="Q339" i="75" s="1"/>
  <c r="AQ339" i="74" a="1"/>
  <c r="AQ339" i="74" s="1"/>
  <c r="AQ336" i="74"/>
  <c r="AK229" i="75"/>
  <c r="AM13" i="75"/>
  <c r="AK13" i="75" s="1"/>
  <c r="AK366" i="75"/>
  <c r="AC370" i="75"/>
  <c r="AI370" i="75"/>
  <c r="BA345" i="75"/>
  <c r="BE345" i="75"/>
  <c r="BG345" i="75"/>
  <c r="BF345" i="75"/>
  <c r="BD345" i="75"/>
  <c r="BC345" i="75"/>
  <c r="BB345" i="75"/>
  <c r="AZ345" i="75"/>
  <c r="AY345" i="75"/>
  <c r="AY88" i="75"/>
  <c r="AW78" i="75"/>
  <c r="BD365" i="75"/>
  <c r="BC365" i="75"/>
  <c r="BF365" i="75"/>
  <c r="BA365" i="75"/>
  <c r="AZ365" i="75"/>
  <c r="BB365" i="75"/>
  <c r="AY365" i="75"/>
  <c r="BE365" i="75"/>
  <c r="BG365" i="75"/>
  <c r="BA348" i="72"/>
  <c r="AU366" i="72"/>
  <c r="AO366" i="72"/>
  <c r="AO370" i="72" s="1"/>
  <c r="AN346" i="72"/>
  <c r="BB275" i="72"/>
  <c r="J306" i="72"/>
  <c r="AQ276" i="73"/>
  <c r="AT276" i="74"/>
  <c r="J25" i="75"/>
  <c r="AE178" i="75"/>
  <c r="AE190" i="75"/>
  <c r="AE174" i="75"/>
  <c r="AE181" i="75"/>
  <c r="AE12" i="75" s="1"/>
  <c r="Y349" i="75"/>
  <c r="AD275" i="75"/>
  <c r="AF275" i="75"/>
  <c r="AG275" i="75"/>
  <c r="AB275" i="75"/>
  <c r="AE275" i="75"/>
  <c r="AA275" i="75"/>
  <c r="AI275" i="75"/>
  <c r="AC275" i="75"/>
  <c r="AH275" i="75"/>
  <c r="J24" i="75"/>
  <c r="AC336" i="75"/>
  <c r="AC339" i="75" a="1"/>
  <c r="AC339" i="75" s="1"/>
  <c r="J352" i="75"/>
  <c r="AT339" i="75" a="1"/>
  <c r="AT339" i="75" s="1"/>
  <c r="AT336" i="75"/>
  <c r="AK231" i="75"/>
  <c r="AU347" i="75"/>
  <c r="AM347" i="75"/>
  <c r="AQ347" i="75"/>
  <c r="AT347" i="75"/>
  <c r="AS347" i="75"/>
  <c r="AR347" i="75"/>
  <c r="AP347" i="75"/>
  <c r="AO347" i="75"/>
  <c r="AN347" i="75"/>
  <c r="AO88" i="75"/>
  <c r="AO91" i="75" s="1"/>
  <c r="AO256" i="75" s="1"/>
  <c r="M350" i="75"/>
  <c r="AR283" i="72"/>
  <c r="AT366" i="72"/>
  <c r="J64" i="73"/>
  <c r="Y288" i="75"/>
  <c r="Y369" i="75"/>
  <c r="M369" i="75"/>
  <c r="AS191" i="75"/>
  <c r="AK191" i="75" s="1"/>
  <c r="AS178" i="75"/>
  <c r="AS174" i="75"/>
  <c r="AS181" i="75"/>
  <c r="AS12" i="75" s="1"/>
  <c r="AO336" i="75"/>
  <c r="AO339" i="75" a="1"/>
  <c r="AO339" i="75" s="1"/>
  <c r="R178" i="75"/>
  <c r="R174" i="75"/>
  <c r="R181" i="75"/>
  <c r="R12" i="75" s="1"/>
  <c r="J306" i="75"/>
  <c r="AK346" i="75"/>
  <c r="AK27" i="75"/>
  <c r="J65" i="75"/>
  <c r="AC353" i="75"/>
  <c r="M282" i="75"/>
  <c r="M78" i="75"/>
  <c r="M171" i="75"/>
  <c r="T174" i="75"/>
  <c r="T11" i="75" s="1"/>
  <c r="T178" i="75"/>
  <c r="T181" i="75"/>
  <c r="T12" i="75" s="1"/>
  <c r="AI290" i="75"/>
  <c r="J64" i="75"/>
  <c r="AD348" i="74"/>
  <c r="AI348" i="74"/>
  <c r="AA348" i="74"/>
  <c r="AH348" i="74"/>
  <c r="AG348" i="74"/>
  <c r="AE348" i="74"/>
  <c r="AC348" i="74"/>
  <c r="AB348" i="74"/>
  <c r="AF348" i="74"/>
  <c r="AD169" i="74"/>
  <c r="Y169" i="74" s="1"/>
  <c r="P350" i="74"/>
  <c r="U350" i="74"/>
  <c r="T350" i="74"/>
  <c r="S350" i="74"/>
  <c r="R350" i="74"/>
  <c r="Q350" i="74"/>
  <c r="O350" i="74"/>
  <c r="W350" i="74"/>
  <c r="V350" i="74"/>
  <c r="T171" i="74"/>
  <c r="T287" i="74"/>
  <c r="Q287" i="74"/>
  <c r="W287" i="74"/>
  <c r="U287" i="74"/>
  <c r="T245" i="74"/>
  <c r="T246" i="74" s="1"/>
  <c r="V287" i="74"/>
  <c r="P287" i="74"/>
  <c r="R287" i="74"/>
  <c r="O287" i="74"/>
  <c r="S287" i="74"/>
  <c r="BB346" i="74"/>
  <c r="BG346" i="74"/>
  <c r="AY346" i="74"/>
  <c r="BE346" i="74"/>
  <c r="BC346" i="74"/>
  <c r="BA346" i="74"/>
  <c r="AZ346" i="74"/>
  <c r="BF346" i="74"/>
  <c r="BD346" i="74"/>
  <c r="AZ88" i="74"/>
  <c r="AZ97" i="74" s="1"/>
  <c r="BF366" i="74"/>
  <c r="BD283" i="74"/>
  <c r="BC283" i="74"/>
  <c r="BF283" i="74"/>
  <c r="BE366" i="74"/>
  <c r="BC366" i="74"/>
  <c r="BD366" i="74"/>
  <c r="AY366" i="74"/>
  <c r="BG366" i="74"/>
  <c r="BG370" i="74" s="1"/>
  <c r="BE283" i="74"/>
  <c r="BA366" i="74"/>
  <c r="BG283" i="74"/>
  <c r="BA283" i="74"/>
  <c r="AZ366" i="74"/>
  <c r="AY283" i="74"/>
  <c r="AZ283" i="74"/>
  <c r="BB366" i="74"/>
  <c r="BB283" i="74"/>
  <c r="AW78" i="74"/>
  <c r="AO275" i="74"/>
  <c r="AP275" i="74"/>
  <c r="AM275" i="74"/>
  <c r="AU275" i="74"/>
  <c r="AN275" i="74"/>
  <c r="AQ275" i="74"/>
  <c r="AR275" i="74"/>
  <c r="AT275" i="74"/>
  <c r="AS275" i="74"/>
  <c r="BB350" i="74"/>
  <c r="BG350" i="74"/>
  <c r="AY350" i="74"/>
  <c r="BF350" i="74"/>
  <c r="BE350" i="74"/>
  <c r="BD350" i="74"/>
  <c r="BC350" i="74"/>
  <c r="BA350" i="74"/>
  <c r="AZ350" i="74"/>
  <c r="BD171" i="74"/>
  <c r="BC287" i="74"/>
  <c r="BF287" i="74"/>
  <c r="BE287" i="74"/>
  <c r="BD287" i="74"/>
  <c r="BG287" i="74"/>
  <c r="BA287" i="74"/>
  <c r="BD245" i="74"/>
  <c r="BD246" i="74" s="1"/>
  <c r="AY287" i="74"/>
  <c r="AZ287" i="74"/>
  <c r="BB287" i="74"/>
  <c r="V339" i="74" a="1"/>
  <c r="V339" i="74" s="1"/>
  <c r="V336" i="74"/>
  <c r="AB370" i="74"/>
  <c r="AR346" i="74"/>
  <c r="AO346" i="74"/>
  <c r="AU346" i="74"/>
  <c r="AM346" i="74"/>
  <c r="AN346" i="74"/>
  <c r="AT346" i="74"/>
  <c r="AS346" i="74"/>
  <c r="AQ346" i="74"/>
  <c r="AP346" i="74"/>
  <c r="AN88" i="74"/>
  <c r="AN97" i="74" s="1"/>
  <c r="AU366" i="74"/>
  <c r="AM366" i="74"/>
  <c r="AM283" i="74"/>
  <c r="AU283" i="74"/>
  <c r="AN366" i="74"/>
  <c r="AS366" i="74"/>
  <c r="AS370" i="74" s="1"/>
  <c r="AN283" i="74"/>
  <c r="AO283" i="74"/>
  <c r="AO366" i="74"/>
  <c r="AT366" i="74"/>
  <c r="AT370" i="74" s="1"/>
  <c r="AQ366" i="74"/>
  <c r="AQ370" i="74" s="1"/>
  <c r="AT283" i="74"/>
  <c r="AQ283" i="74"/>
  <c r="AP366" i="74"/>
  <c r="AP370" i="74" s="1"/>
  <c r="AP283" i="74"/>
  <c r="AR366" i="74"/>
  <c r="AR283" i="74"/>
  <c r="AS283" i="74"/>
  <c r="Y369" i="74"/>
  <c r="W345" i="74"/>
  <c r="O345" i="74"/>
  <c r="U345" i="74"/>
  <c r="S345" i="74"/>
  <c r="R345" i="74"/>
  <c r="Q345" i="74"/>
  <c r="P345" i="74"/>
  <c r="V345" i="74"/>
  <c r="T345" i="74"/>
  <c r="M78" i="74"/>
  <c r="O88" i="74"/>
  <c r="R282" i="74"/>
  <c r="T365" i="74"/>
  <c r="S282" i="74"/>
  <c r="U282" i="74"/>
  <c r="Q333" i="74"/>
  <c r="T333" i="74"/>
  <c r="Q365" i="74"/>
  <c r="T282" i="74"/>
  <c r="Q282" i="74"/>
  <c r="R333" i="74"/>
  <c r="V333" i="74"/>
  <c r="P282" i="74"/>
  <c r="O333" i="74"/>
  <c r="O282" i="74"/>
  <c r="S365" i="74"/>
  <c r="W365" i="74"/>
  <c r="S333" i="74"/>
  <c r="P333" i="74"/>
  <c r="V365" i="74"/>
  <c r="W282" i="74"/>
  <c r="U365" i="74"/>
  <c r="O365" i="74"/>
  <c r="W333" i="74"/>
  <c r="P365" i="74"/>
  <c r="R365" i="74"/>
  <c r="U333" i="74"/>
  <c r="V282" i="74"/>
  <c r="AK288" i="74"/>
  <c r="M230" i="74"/>
  <c r="Y288" i="74"/>
  <c r="AP347" i="74"/>
  <c r="AU347" i="74"/>
  <c r="AM347" i="74"/>
  <c r="AS347" i="74"/>
  <c r="AT347" i="74"/>
  <c r="AR347" i="74"/>
  <c r="AQ347" i="74"/>
  <c r="AO347" i="74"/>
  <c r="AN347" i="74"/>
  <c r="AO88" i="74"/>
  <c r="J289" i="74"/>
  <c r="U339" i="74" a="1"/>
  <c r="U339" i="74" s="1"/>
  <c r="U336" i="74"/>
  <c r="M231" i="72"/>
  <c r="AZ347" i="74"/>
  <c r="BE347" i="74"/>
  <c r="BC347" i="74"/>
  <c r="AY347" i="74"/>
  <c r="BG347" i="74"/>
  <c r="BF347" i="74"/>
  <c r="BD347" i="74"/>
  <c r="BB347" i="74"/>
  <c r="BA347" i="74"/>
  <c r="BA88" i="74"/>
  <c r="AE190" i="74"/>
  <c r="AE178" i="74"/>
  <c r="AE181" i="74"/>
  <c r="AE12" i="74" s="1"/>
  <c r="AE174" i="74"/>
  <c r="J62" i="74"/>
  <c r="O275" i="74"/>
  <c r="R275" i="74"/>
  <c r="V275" i="74"/>
  <c r="P275" i="74"/>
  <c r="S275" i="74"/>
  <c r="Q275" i="74"/>
  <c r="W275" i="74"/>
  <c r="U275" i="74"/>
  <c r="T275" i="74"/>
  <c r="J64" i="74"/>
  <c r="R276" i="74"/>
  <c r="V276" i="74"/>
  <c r="P276" i="74"/>
  <c r="W276" i="74"/>
  <c r="Q276" i="74"/>
  <c r="S276" i="74"/>
  <c r="T276" i="74"/>
  <c r="U276" i="74"/>
  <c r="O276" i="74"/>
  <c r="AK229" i="74"/>
  <c r="AM13" i="74"/>
  <c r="AK13" i="74" s="1"/>
  <c r="AR350" i="74"/>
  <c r="AO350" i="74"/>
  <c r="AN350" i="74"/>
  <c r="AU350" i="74"/>
  <c r="AM350" i="74"/>
  <c r="AT350" i="74"/>
  <c r="AQ350" i="74"/>
  <c r="AP350" i="74"/>
  <c r="AS350" i="74"/>
  <c r="AR171" i="74"/>
  <c r="AM287" i="74"/>
  <c r="AU287" i="74"/>
  <c r="AN287" i="74"/>
  <c r="AS287" i="74"/>
  <c r="AT287" i="74"/>
  <c r="AQ287" i="74"/>
  <c r="AP287" i="74"/>
  <c r="AR287" i="74"/>
  <c r="AR245" i="74"/>
  <c r="AR246" i="74" s="1"/>
  <c r="AO287" i="74"/>
  <c r="M169" i="73"/>
  <c r="BD277" i="74"/>
  <c r="BF277" i="74"/>
  <c r="BB277" i="74"/>
  <c r="BG277" i="74"/>
  <c r="AY277" i="74"/>
  <c r="AZ277" i="74"/>
  <c r="BE277" i="74"/>
  <c r="BA277" i="74"/>
  <c r="BC277" i="74"/>
  <c r="AQ178" i="74"/>
  <c r="AQ190" i="74"/>
  <c r="AQ174" i="74"/>
  <c r="AQ181" i="74"/>
  <c r="AQ12" i="74" s="1"/>
  <c r="Y349" i="74"/>
  <c r="AM334" i="74"/>
  <c r="AK26" i="74"/>
  <c r="AK27" i="74" s="1"/>
  <c r="J311" i="73"/>
  <c r="AG191" i="74"/>
  <c r="Y191" i="74" s="1"/>
  <c r="AG178" i="74"/>
  <c r="AG174" i="74"/>
  <c r="AG181" i="74"/>
  <c r="AG12" i="74" s="1"/>
  <c r="J307" i="74"/>
  <c r="AK231" i="74"/>
  <c r="V347" i="74"/>
  <c r="S347" i="74"/>
  <c r="Q347" i="74"/>
  <c r="T347" i="74"/>
  <c r="R347" i="74"/>
  <c r="P347" i="74"/>
  <c r="O347" i="74"/>
  <c r="W347" i="74"/>
  <c r="U347" i="74"/>
  <c r="Q88" i="74"/>
  <c r="Q91" i="74" s="1"/>
  <c r="Q256" i="74" s="1"/>
  <c r="AW191" i="74"/>
  <c r="AY334" i="74"/>
  <c r="AW26" i="74"/>
  <c r="AA370" i="74"/>
  <c r="AK78" i="73"/>
  <c r="AK83" i="73" s="1" a="1"/>
  <c r="AK83" i="73" s="1"/>
  <c r="M349" i="73"/>
  <c r="AE339" i="74" a="1"/>
  <c r="AE339" i="74" s="1"/>
  <c r="AE336" i="74"/>
  <c r="AK286" i="74"/>
  <c r="Y286" i="74"/>
  <c r="AK351" i="74"/>
  <c r="J351" i="74" s="1"/>
  <c r="J352" i="74"/>
  <c r="AK230" i="74"/>
  <c r="AH336" i="74"/>
  <c r="AH339" i="74" a="1"/>
  <c r="AH339" i="74" s="1"/>
  <c r="J65" i="74"/>
  <c r="P277" i="74"/>
  <c r="W277" i="74"/>
  <c r="S277" i="74"/>
  <c r="Q277" i="74"/>
  <c r="V277" i="74"/>
  <c r="T277" i="74"/>
  <c r="U277" i="74"/>
  <c r="O277" i="74"/>
  <c r="R277" i="74"/>
  <c r="Y230" i="74"/>
  <c r="S336" i="74"/>
  <c r="S339" i="74" a="1"/>
  <c r="S339" i="74" s="1"/>
  <c r="AK349" i="74"/>
  <c r="Y276" i="74"/>
  <c r="AS191" i="74"/>
  <c r="AK191" i="74" s="1"/>
  <c r="AS178" i="74"/>
  <c r="AS181" i="74"/>
  <c r="AS12" i="74" s="1"/>
  <c r="AS174" i="74"/>
  <c r="T348" i="74"/>
  <c r="Q348" i="74"/>
  <c r="W348" i="74"/>
  <c r="O348" i="74"/>
  <c r="V348" i="74"/>
  <c r="U348" i="74"/>
  <c r="S348" i="74"/>
  <c r="R348" i="74"/>
  <c r="P348" i="74"/>
  <c r="R169" i="74"/>
  <c r="P346" i="74"/>
  <c r="U346" i="74"/>
  <c r="S346" i="74"/>
  <c r="W346" i="74"/>
  <c r="V346" i="74"/>
  <c r="T346" i="74"/>
  <c r="R346" i="74"/>
  <c r="Q346" i="74"/>
  <c r="O346" i="74"/>
  <c r="P88" i="74"/>
  <c r="P97" i="74" s="1"/>
  <c r="T366" i="74"/>
  <c r="Q366" i="74"/>
  <c r="T283" i="74"/>
  <c r="Q283" i="74"/>
  <c r="S283" i="74"/>
  <c r="S366" i="74"/>
  <c r="W366" i="74"/>
  <c r="W283" i="74"/>
  <c r="U283" i="74"/>
  <c r="V366" i="74"/>
  <c r="R366" i="74"/>
  <c r="U366" i="74"/>
  <c r="V283" i="74"/>
  <c r="O366" i="74"/>
  <c r="P366" i="74"/>
  <c r="P283" i="74"/>
  <c r="R283" i="74"/>
  <c r="O283" i="74"/>
  <c r="O334" i="74"/>
  <c r="M26" i="74"/>
  <c r="J196" i="74"/>
  <c r="AW229" i="74"/>
  <c r="AY13" i="74"/>
  <c r="AW13" i="74" s="1"/>
  <c r="AN348" i="74"/>
  <c r="AS348" i="74"/>
  <c r="AR348" i="74"/>
  <c r="AQ348" i="74"/>
  <c r="AU348" i="74"/>
  <c r="AT348" i="74"/>
  <c r="AP348" i="74"/>
  <c r="AO348" i="74"/>
  <c r="AM348" i="74"/>
  <c r="AP169" i="74"/>
  <c r="AH350" i="74"/>
  <c r="AE350" i="74"/>
  <c r="AD350" i="74"/>
  <c r="AC350" i="74"/>
  <c r="AB350" i="74"/>
  <c r="AI350" i="74"/>
  <c r="AG350" i="74"/>
  <c r="AF350" i="74"/>
  <c r="AA350" i="74"/>
  <c r="AF171" i="74"/>
  <c r="AI287" i="74"/>
  <c r="AC287" i="74"/>
  <c r="AA287" i="74"/>
  <c r="AG287" i="74"/>
  <c r="AG290" i="74" s="1"/>
  <c r="AE287" i="74"/>
  <c r="AE290" i="74" s="1"/>
  <c r="AB287" i="74"/>
  <c r="AH287" i="74"/>
  <c r="AF287" i="74"/>
  <c r="AF290" i="74" s="1"/>
  <c r="AF245" i="74"/>
  <c r="AF246" i="74" s="1"/>
  <c r="AD287" i="74"/>
  <c r="AT339" i="74" a="1"/>
  <c r="AT339" i="74" s="1"/>
  <c r="AT336" i="74"/>
  <c r="Y231" i="74"/>
  <c r="Y347" i="74"/>
  <c r="J310" i="72"/>
  <c r="BA339" i="74" a="1"/>
  <c r="BA339" i="74" s="1"/>
  <c r="BA336" i="74"/>
  <c r="AZ336" i="74"/>
  <c r="AZ339" i="74" a="1"/>
  <c r="AZ339" i="74" s="1"/>
  <c r="O336" i="74"/>
  <c r="O339" i="74" a="1"/>
  <c r="O339" i="74" s="1"/>
  <c r="J25" i="74"/>
  <c r="AB275" i="74"/>
  <c r="AA275" i="74"/>
  <c r="AF275" i="74"/>
  <c r="AE275" i="74"/>
  <c r="AD275" i="74"/>
  <c r="AG275" i="74"/>
  <c r="AC275" i="74"/>
  <c r="AH275" i="74"/>
  <c r="AI275" i="74"/>
  <c r="AW230" i="74"/>
  <c r="AI339" i="74" a="1"/>
  <c r="AI339" i="74" s="1"/>
  <c r="AI336" i="74"/>
  <c r="Y229" i="74"/>
  <c r="AA13" i="74"/>
  <c r="Y13" i="74" s="1"/>
  <c r="Y78" i="74"/>
  <c r="Y83" i="74" s="1" a="1"/>
  <c r="Y83" i="74" s="1"/>
  <c r="BF348" i="74"/>
  <c r="BC348" i="74"/>
  <c r="BB348" i="74"/>
  <c r="BA348" i="74"/>
  <c r="AY348" i="74"/>
  <c r="BG348" i="74"/>
  <c r="BE348" i="74"/>
  <c r="BD348" i="74"/>
  <c r="AZ348" i="74"/>
  <c r="BB169" i="74"/>
  <c r="AK369" i="74"/>
  <c r="M229" i="74"/>
  <c r="O13" i="74"/>
  <c r="M13" i="74" s="1"/>
  <c r="AI277" i="74"/>
  <c r="AD277" i="74"/>
  <c r="AG277" i="74"/>
  <c r="AF277" i="74"/>
  <c r="AC277" i="74"/>
  <c r="AB277" i="74"/>
  <c r="AH277" i="74"/>
  <c r="AA277" i="74"/>
  <c r="AE277" i="74"/>
  <c r="AW231" i="74"/>
  <c r="BD276" i="74"/>
  <c r="BF276" i="74"/>
  <c r="BB276" i="74"/>
  <c r="BG276" i="74"/>
  <c r="AY276" i="74"/>
  <c r="AZ276" i="74"/>
  <c r="BE276" i="74"/>
  <c r="BC276" i="74"/>
  <c r="BA276" i="74"/>
  <c r="AK78" i="74"/>
  <c r="AK83" i="74" s="1" a="1"/>
  <c r="AK83" i="74" s="1"/>
  <c r="AF290" i="73"/>
  <c r="BE339" i="73" a="1"/>
  <c r="BE339" i="73" s="1"/>
  <c r="BE336" i="73"/>
  <c r="Y286" i="73"/>
  <c r="BD290" i="73"/>
  <c r="AZ290" i="73"/>
  <c r="AW231" i="73"/>
  <c r="AW286" i="73"/>
  <c r="BG370" i="73"/>
  <c r="BA333" i="73"/>
  <c r="J25" i="73"/>
  <c r="AK230" i="73"/>
  <c r="AH277" i="73"/>
  <c r="AC277" i="73"/>
  <c r="AD277" i="73"/>
  <c r="AF277" i="73"/>
  <c r="AG277" i="73"/>
  <c r="AE277" i="73"/>
  <c r="AI277" i="73"/>
  <c r="AB277" i="73"/>
  <c r="AA277" i="73"/>
  <c r="AK351" i="73"/>
  <c r="M369" i="73"/>
  <c r="AW347" i="73"/>
  <c r="Y171" i="73"/>
  <c r="AF174" i="73"/>
  <c r="AF11" i="73" s="1"/>
  <c r="AF178" i="73"/>
  <c r="AF181" i="73"/>
  <c r="AF12" i="73" s="1"/>
  <c r="T370" i="72"/>
  <c r="Q370" i="72"/>
  <c r="AO336" i="72"/>
  <c r="AO339" i="72" a="1"/>
  <c r="AO339" i="72" s="1"/>
  <c r="AE290" i="73"/>
  <c r="Y369" i="73"/>
  <c r="AC339" i="73" a="1"/>
  <c r="AC339" i="73" s="1"/>
  <c r="AC336" i="73"/>
  <c r="AW283" i="73"/>
  <c r="AY290" i="73"/>
  <c r="AW229" i="73"/>
  <c r="AY13" i="73"/>
  <c r="AW13" i="73" s="1"/>
  <c r="AY370" i="73"/>
  <c r="AW365" i="73"/>
  <c r="AU348" i="73"/>
  <c r="AM348" i="73"/>
  <c r="AT348" i="73"/>
  <c r="AS348" i="73"/>
  <c r="AR348" i="73"/>
  <c r="AQ348" i="73"/>
  <c r="AP348" i="73"/>
  <c r="AO348" i="73"/>
  <c r="AN348" i="73"/>
  <c r="AP169" i="73"/>
  <c r="O334" i="73"/>
  <c r="M26" i="73"/>
  <c r="M27" i="73" s="1"/>
  <c r="AK229" i="73"/>
  <c r="AM13" i="73"/>
  <c r="AK13" i="73" s="1"/>
  <c r="Y347" i="73"/>
  <c r="S190" i="73"/>
  <c r="S178" i="73"/>
  <c r="S181" i="73"/>
  <c r="S12" i="73" s="1"/>
  <c r="S174" i="73"/>
  <c r="BE348" i="73"/>
  <c r="BE353" i="73" s="1"/>
  <c r="BD348" i="73"/>
  <c r="BD353" i="73" s="1"/>
  <c r="BC348" i="73"/>
  <c r="BC353" i="73" s="1"/>
  <c r="BB348" i="73"/>
  <c r="BB353" i="73" s="1"/>
  <c r="BA348" i="73"/>
  <c r="BA353" i="73" s="1"/>
  <c r="AZ348" i="73"/>
  <c r="AZ353" i="73" s="1"/>
  <c r="BG348" i="73"/>
  <c r="BG353" i="73" s="1"/>
  <c r="AY348" i="73"/>
  <c r="BF348" i="73"/>
  <c r="BB169" i="73"/>
  <c r="AW169" i="73" s="1"/>
  <c r="AK277" i="73"/>
  <c r="T370" i="73"/>
  <c r="S353" i="73"/>
  <c r="AK369" i="72"/>
  <c r="AQ339" i="73" a="1"/>
  <c r="AQ339" i="73" s="1"/>
  <c r="AQ336" i="73"/>
  <c r="Y283" i="73"/>
  <c r="AA290" i="73"/>
  <c r="AF339" i="73" a="1"/>
  <c r="AF339" i="73" s="1"/>
  <c r="AF336" i="73"/>
  <c r="BA290" i="73"/>
  <c r="AW230" i="73"/>
  <c r="BE370" i="73"/>
  <c r="J289" i="73"/>
  <c r="AK231" i="73"/>
  <c r="AW288" i="73"/>
  <c r="AK288" i="73"/>
  <c r="AS191" i="73"/>
  <c r="AK191" i="73" s="1"/>
  <c r="AS178" i="73"/>
  <c r="AS174" i="73"/>
  <c r="AS181" i="73"/>
  <c r="AS12" i="73" s="1"/>
  <c r="J196" i="73"/>
  <c r="T290" i="73"/>
  <c r="P290" i="73"/>
  <c r="AB370" i="73"/>
  <c r="AF370" i="73"/>
  <c r="AK365" i="73"/>
  <c r="AC348" i="73"/>
  <c r="AC353" i="73" s="1"/>
  <c r="AB348" i="73"/>
  <c r="AB353" i="73" s="1"/>
  <c r="AI348" i="73"/>
  <c r="AI353" i="73" s="1"/>
  <c r="AA348" i="73"/>
  <c r="AH348" i="73"/>
  <c r="AH353" i="73" s="1"/>
  <c r="AG348" i="73"/>
  <c r="AF348" i="73"/>
  <c r="AF353" i="73" s="1"/>
  <c r="AE348" i="73"/>
  <c r="AE353" i="73" s="1"/>
  <c r="AD348" i="73"/>
  <c r="AD353" i="73" s="1"/>
  <c r="AD169" i="73"/>
  <c r="Y169" i="73" s="1"/>
  <c r="Y346" i="73"/>
  <c r="BC290" i="73"/>
  <c r="Y351" i="73"/>
  <c r="AW369" i="73"/>
  <c r="AW349" i="73"/>
  <c r="BD370" i="73"/>
  <c r="AY334" i="73"/>
  <c r="AW26" i="73"/>
  <c r="M230" i="73"/>
  <c r="R178" i="73"/>
  <c r="R174" i="73"/>
  <c r="R181" i="73"/>
  <c r="R12" i="73" s="1"/>
  <c r="M286" i="73"/>
  <c r="Y350" i="73"/>
  <c r="R370" i="73"/>
  <c r="M83" i="73" a="1"/>
  <c r="M83" i="73" s="1"/>
  <c r="M345" i="73"/>
  <c r="AD370" i="73"/>
  <c r="M287" i="73"/>
  <c r="M369" i="72"/>
  <c r="AS347" i="72"/>
  <c r="AK347" i="72" s="1"/>
  <c r="AB290" i="73"/>
  <c r="AH290" i="73"/>
  <c r="J352" i="73"/>
  <c r="AO347" i="73"/>
  <c r="AN347" i="73"/>
  <c r="AU347" i="73"/>
  <c r="AM347" i="73"/>
  <c r="AT347" i="73"/>
  <c r="AS347" i="73"/>
  <c r="AR347" i="73"/>
  <c r="AQ347" i="73"/>
  <c r="AP347" i="73"/>
  <c r="AO88" i="73"/>
  <c r="BD336" i="73"/>
  <c r="BD339" i="73" a="1"/>
  <c r="BD339" i="73" s="1"/>
  <c r="AZ370" i="73"/>
  <c r="M229" i="73"/>
  <c r="O13" i="73"/>
  <c r="M13" i="73" s="1"/>
  <c r="BE191" i="73"/>
  <c r="AW191" i="73" s="1"/>
  <c r="BE178" i="73"/>
  <c r="BE181" i="73"/>
  <c r="BE12" i="73" s="1"/>
  <c r="BE174" i="73"/>
  <c r="AW351" i="73"/>
  <c r="J24" i="73"/>
  <c r="AK171" i="73"/>
  <c r="AR178" i="73"/>
  <c r="AR174" i="73"/>
  <c r="AR11" i="73" s="1"/>
  <c r="AR181" i="73"/>
  <c r="AR12" i="73" s="1"/>
  <c r="U370" i="73"/>
  <c r="V370" i="73"/>
  <c r="AW171" i="73"/>
  <c r="BD178" i="73"/>
  <c r="BD174" i="73"/>
  <c r="BD11" i="73" s="1"/>
  <c r="BD181" i="73"/>
  <c r="BD12" i="73" s="1"/>
  <c r="Y365" i="73"/>
  <c r="AA370" i="73"/>
  <c r="M171" i="73"/>
  <c r="T174" i="73"/>
  <c r="T11" i="73" s="1"/>
  <c r="T178" i="73"/>
  <c r="T181" i="73"/>
  <c r="T12" i="73" s="1"/>
  <c r="M350" i="73"/>
  <c r="AK345" i="73"/>
  <c r="AC290" i="73"/>
  <c r="AG290" i="73"/>
  <c r="AE190" i="73"/>
  <c r="AE178" i="73"/>
  <c r="AE174" i="73"/>
  <c r="AE181" i="73"/>
  <c r="AE12" i="73" s="1"/>
  <c r="U191" i="73"/>
  <c r="M191" i="73" s="1"/>
  <c r="U178" i="73"/>
  <c r="U181" i="73"/>
  <c r="U12" i="73" s="1"/>
  <c r="U174" i="73"/>
  <c r="BC370" i="73"/>
  <c r="M231" i="73"/>
  <c r="R290" i="73"/>
  <c r="P353" i="73"/>
  <c r="AH370" i="73"/>
  <c r="Y349" i="72"/>
  <c r="AK169" i="73"/>
  <c r="AD290" i="73"/>
  <c r="Y366" i="73"/>
  <c r="Y276" i="73"/>
  <c r="AW277" i="73"/>
  <c r="AA334" i="73"/>
  <c r="Y26" i="73"/>
  <c r="Y27" i="73" s="1"/>
  <c r="M288" i="73"/>
  <c r="M351" i="73"/>
  <c r="BF290" i="73"/>
  <c r="BG290" i="73"/>
  <c r="AW366" i="73"/>
  <c r="AW346" i="73"/>
  <c r="Y288" i="73"/>
  <c r="BB370" i="73"/>
  <c r="Y287" i="73"/>
  <c r="AI370" i="73"/>
  <c r="AE370" i="73"/>
  <c r="Y78" i="73"/>
  <c r="Y83" i="73" s="1" a="1"/>
  <c r="Y83" i="73" s="1"/>
  <c r="J65" i="73"/>
  <c r="S277" i="73"/>
  <c r="T277" i="73"/>
  <c r="V277" i="73"/>
  <c r="U277" i="73"/>
  <c r="W277" i="73"/>
  <c r="O277" i="73"/>
  <c r="R277" i="73"/>
  <c r="Q277" i="73"/>
  <c r="P277" i="73"/>
  <c r="AI290" i="73"/>
  <c r="BC339" i="73" a="1"/>
  <c r="BC339" i="73" s="1"/>
  <c r="BC336" i="73"/>
  <c r="AM334" i="73"/>
  <c r="AK26" i="73"/>
  <c r="AK27" i="73" s="1"/>
  <c r="AG191" i="73"/>
  <c r="Y191" i="73" s="1"/>
  <c r="AG178" i="73"/>
  <c r="AG181" i="73"/>
  <c r="AG12" i="73" s="1"/>
  <c r="AG174" i="73"/>
  <c r="BC178" i="73"/>
  <c r="BC190" i="73"/>
  <c r="BC174" i="73"/>
  <c r="BC181" i="73"/>
  <c r="BC12" i="73" s="1"/>
  <c r="BF370" i="73"/>
  <c r="BA370" i="73"/>
  <c r="AY353" i="73"/>
  <c r="AW345" i="73"/>
  <c r="AD190" i="73" a="1"/>
  <c r="AD190" i="73" s="1"/>
  <c r="M348" i="73"/>
  <c r="AQ346" i="73"/>
  <c r="AP346" i="73"/>
  <c r="AO346" i="73"/>
  <c r="AU346" i="73"/>
  <c r="AM346" i="73"/>
  <c r="AT346" i="73"/>
  <c r="AR346" i="73"/>
  <c r="AN346" i="73"/>
  <c r="AS346" i="73"/>
  <c r="AN88" i="73"/>
  <c r="AN97" i="73" s="1"/>
  <c r="AQ283" i="73"/>
  <c r="AR283" i="73"/>
  <c r="AQ366" i="73"/>
  <c r="AQ370" i="73" s="1"/>
  <c r="AR366" i="73"/>
  <c r="AR370" i="73" s="1"/>
  <c r="AM283" i="73"/>
  <c r="AU366" i="73"/>
  <c r="AU370" i="73" s="1"/>
  <c r="AS283" i="73"/>
  <c r="AP366" i="73"/>
  <c r="AP370" i="73" s="1"/>
  <c r="AM366" i="73"/>
  <c r="AN366" i="73"/>
  <c r="AN370" i="73" s="1"/>
  <c r="AO283" i="73"/>
  <c r="AT283" i="73"/>
  <c r="AP283" i="73"/>
  <c r="AN283" i="73"/>
  <c r="AO366" i="73"/>
  <c r="AO370" i="73" s="1"/>
  <c r="AS366" i="73"/>
  <c r="AS370" i="73" s="1"/>
  <c r="AT366" i="73"/>
  <c r="AT370" i="73" s="1"/>
  <c r="AU283" i="73"/>
  <c r="Q290" i="73"/>
  <c r="T353" i="73"/>
  <c r="BB190" i="73" a="1"/>
  <c r="BB190" i="73" s="1"/>
  <c r="AC370" i="73"/>
  <c r="AG370" i="73"/>
  <c r="R336" i="72"/>
  <c r="R339" i="72" a="1"/>
  <c r="R339" i="72" s="1"/>
  <c r="BE191" i="72"/>
  <c r="AW191" i="72" s="1"/>
  <c r="BE178" i="72"/>
  <c r="BE174" i="72"/>
  <c r="BE181" i="72"/>
  <c r="BE12" i="72" s="1"/>
  <c r="M345" i="72"/>
  <c r="AT336" i="72"/>
  <c r="AT339" i="72" a="1"/>
  <c r="AT339" i="72" s="1"/>
  <c r="AW286" i="72"/>
  <c r="Y169" i="72"/>
  <c r="M349" i="72"/>
  <c r="Y229" i="72"/>
  <c r="AA13" i="72"/>
  <c r="Y13" i="72" s="1"/>
  <c r="U191" i="72"/>
  <c r="M191" i="72" s="1"/>
  <c r="U178" i="72"/>
  <c r="U174" i="72"/>
  <c r="U181" i="72"/>
  <c r="U12" i="72" s="1"/>
  <c r="M351" i="72"/>
  <c r="Y286" i="72"/>
  <c r="U336" i="72"/>
  <c r="U339" i="72" a="1"/>
  <c r="U339" i="72" s="1"/>
  <c r="R370" i="72"/>
  <c r="Y288" i="72"/>
  <c r="AW369" i="72"/>
  <c r="AO348" i="72"/>
  <c r="AN348" i="72"/>
  <c r="AU348" i="72"/>
  <c r="AM348" i="72"/>
  <c r="AT348" i="72"/>
  <c r="AS348" i="72"/>
  <c r="AR348" i="72"/>
  <c r="AQ348" i="72"/>
  <c r="AP348" i="72"/>
  <c r="AP169" i="72"/>
  <c r="AQ190" i="72"/>
  <c r="AQ178" i="72"/>
  <c r="AQ181" i="72"/>
  <c r="AQ12" i="72" s="1"/>
  <c r="AQ174" i="72"/>
  <c r="AK349" i="72"/>
  <c r="J62" i="72"/>
  <c r="U275" i="72"/>
  <c r="P275" i="72"/>
  <c r="S275" i="72"/>
  <c r="T275" i="72"/>
  <c r="V275" i="72"/>
  <c r="O275" i="72"/>
  <c r="Q275" i="72"/>
  <c r="W275" i="72"/>
  <c r="R275" i="72"/>
  <c r="M286" i="72"/>
  <c r="Y230" i="72"/>
  <c r="AE190" i="72"/>
  <c r="AE178" i="72"/>
  <c r="AE174" i="72"/>
  <c r="AE181" i="72"/>
  <c r="AE12" i="72" s="1"/>
  <c r="U370" i="72"/>
  <c r="P370" i="72"/>
  <c r="J24" i="72"/>
  <c r="AM334" i="72"/>
  <c r="AK26" i="72"/>
  <c r="AY334" i="72"/>
  <c r="AW26" i="72"/>
  <c r="AG191" i="72"/>
  <c r="Y191" i="72" s="1"/>
  <c r="AG178" i="72"/>
  <c r="AG174" i="72"/>
  <c r="AG181" i="72"/>
  <c r="AG12" i="72" s="1"/>
  <c r="AK286" i="72"/>
  <c r="AP339" i="72" a="1"/>
  <c r="AP339" i="72" s="1"/>
  <c r="AP336" i="72"/>
  <c r="Q350" i="72"/>
  <c r="P350" i="72"/>
  <c r="P353" i="72" s="1"/>
  <c r="W350" i="72"/>
  <c r="O350" i="72"/>
  <c r="V350" i="72"/>
  <c r="U350" i="72"/>
  <c r="T350" i="72"/>
  <c r="S350" i="72"/>
  <c r="R350" i="72"/>
  <c r="R353" i="72" s="1"/>
  <c r="T171" i="72"/>
  <c r="U287" i="72"/>
  <c r="U290" i="72" s="1"/>
  <c r="V287" i="72"/>
  <c r="V290" i="72" s="1"/>
  <c r="Q287" i="72"/>
  <c r="Q290" i="72" s="1"/>
  <c r="P287" i="72"/>
  <c r="P290" i="72" s="1"/>
  <c r="O287" i="72"/>
  <c r="R287" i="72"/>
  <c r="R290" i="72" s="1"/>
  <c r="S287" i="72"/>
  <c r="T245" i="72"/>
  <c r="T246" i="72" s="1"/>
  <c r="T287" i="72"/>
  <c r="T290" i="72" s="1"/>
  <c r="W287" i="72"/>
  <c r="W290" i="72" s="1"/>
  <c r="AG347" i="72"/>
  <c r="AF347" i="72"/>
  <c r="AE347" i="72"/>
  <c r="AD347" i="72"/>
  <c r="AC347" i="72"/>
  <c r="AB347" i="72"/>
  <c r="AI347" i="72"/>
  <c r="AA347" i="72"/>
  <c r="AH347" i="72"/>
  <c r="AC88" i="72"/>
  <c r="AC91" i="72" s="1"/>
  <c r="AC256" i="72" s="1"/>
  <c r="Y231" i="72"/>
  <c r="AC345" i="72"/>
  <c r="AB345" i="72"/>
  <c r="AI345" i="72"/>
  <c r="AA345" i="72"/>
  <c r="AH345" i="72"/>
  <c r="AG345" i="72"/>
  <c r="AF345" i="72"/>
  <c r="AE345" i="72"/>
  <c r="AD345" i="72"/>
  <c r="AA88" i="72"/>
  <c r="AA91" i="72" s="1"/>
  <c r="AA256" i="72" s="1"/>
  <c r="Y78" i="72"/>
  <c r="Y83" i="72" s="1" a="1"/>
  <c r="Y83" i="72" s="1"/>
  <c r="AA333" i="72"/>
  <c r="AG333" i="72"/>
  <c r="AH333" i="72"/>
  <c r="AA365" i="72"/>
  <c r="AB365" i="72"/>
  <c r="AB370" i="72" s="1"/>
  <c r="AB333" i="72"/>
  <c r="AE365" i="72"/>
  <c r="AE370" i="72" s="1"/>
  <c r="AF365" i="72"/>
  <c r="AF370" i="72" s="1"/>
  <c r="AH365" i="72"/>
  <c r="AH370" i="72" s="1"/>
  <c r="AI333" i="72"/>
  <c r="AE333" i="72"/>
  <c r="AF333" i="72"/>
  <c r="AI365" i="72"/>
  <c r="AI370" i="72" s="1"/>
  <c r="AC333" i="72"/>
  <c r="AG365" i="72"/>
  <c r="AG370" i="72" s="1"/>
  <c r="AD333" i="72"/>
  <c r="AC365" i="72"/>
  <c r="AC370" i="72" s="1"/>
  <c r="AD365" i="72"/>
  <c r="AD370" i="72" s="1"/>
  <c r="AW231" i="72"/>
  <c r="AW288" i="72"/>
  <c r="AK351" i="72"/>
  <c r="M78" i="72"/>
  <c r="M366" i="72"/>
  <c r="AO276" i="72"/>
  <c r="AT276" i="72"/>
  <c r="AP276" i="72"/>
  <c r="AU276" i="72"/>
  <c r="AS276" i="72"/>
  <c r="AQ276" i="72"/>
  <c r="AR276" i="72"/>
  <c r="AM276" i="72"/>
  <c r="AN276" i="72"/>
  <c r="AF336" i="72"/>
  <c r="AF339" i="72" a="1"/>
  <c r="AF339" i="72" s="1"/>
  <c r="AW277" i="72"/>
  <c r="Y369" i="72"/>
  <c r="AW229" i="72"/>
  <c r="AY13" i="72"/>
  <c r="AW13" i="72" s="1"/>
  <c r="W370" i="72"/>
  <c r="V370" i="72"/>
  <c r="BD174" i="72"/>
  <c r="BD11" i="72" s="1"/>
  <c r="BD178" i="72"/>
  <c r="AW171" i="72"/>
  <c r="BD181" i="72"/>
  <c r="BD12" i="72" s="1"/>
  <c r="AH336" i="72"/>
  <c r="AH339" i="72" a="1"/>
  <c r="AH339" i="72" s="1"/>
  <c r="M283" i="72"/>
  <c r="M346" i="72"/>
  <c r="BC190" i="72"/>
  <c r="BC178" i="72"/>
  <c r="BC181" i="72"/>
  <c r="BC12" i="72" s="1"/>
  <c r="BC174" i="72"/>
  <c r="S339" i="72" a="1"/>
  <c r="S339" i="72" s="1"/>
  <c r="S336" i="72"/>
  <c r="O334" i="72"/>
  <c r="M26" i="72"/>
  <c r="M27" i="72" s="1"/>
  <c r="Y351" i="72"/>
  <c r="S190" i="72"/>
  <c r="S178" i="72"/>
  <c r="S174" i="72"/>
  <c r="S181" i="72"/>
  <c r="S12" i="72" s="1"/>
  <c r="M276" i="72"/>
  <c r="J196" i="72"/>
  <c r="J25" i="72"/>
  <c r="AW230" i="72"/>
  <c r="S290" i="72"/>
  <c r="AN370" i="72"/>
  <c r="M229" i="72"/>
  <c r="O13" i="72"/>
  <c r="M13" i="72" s="1"/>
  <c r="AA334" i="72"/>
  <c r="Y26" i="72"/>
  <c r="Y27" i="72" s="1"/>
  <c r="Y346" i="72"/>
  <c r="AW349" i="72"/>
  <c r="AD178" i="72"/>
  <c r="AD181" i="72"/>
  <c r="AD12" i="72" s="1"/>
  <c r="AD174" i="72"/>
  <c r="AS350" i="72"/>
  <c r="AR350" i="72"/>
  <c r="AQ350" i="72"/>
  <c r="AP350" i="72"/>
  <c r="AO350" i="72"/>
  <c r="AN350" i="72"/>
  <c r="AU350" i="72"/>
  <c r="AM350" i="72"/>
  <c r="AT350" i="72"/>
  <c r="AR171" i="72"/>
  <c r="AS287" i="72"/>
  <c r="AS290" i="72" s="1"/>
  <c r="AM287" i="72"/>
  <c r="AQ287" i="72"/>
  <c r="AR287" i="72"/>
  <c r="AU287" i="72"/>
  <c r="AT287" i="72"/>
  <c r="AP287" i="72"/>
  <c r="AO287" i="72"/>
  <c r="AR245" i="72"/>
  <c r="AR246" i="72" s="1"/>
  <c r="AN287" i="72"/>
  <c r="BE345" i="72"/>
  <c r="BD345" i="72"/>
  <c r="BC345" i="72"/>
  <c r="BB345" i="72"/>
  <c r="BA345" i="72"/>
  <c r="AZ345" i="72"/>
  <c r="BG345" i="72"/>
  <c r="AY345" i="72"/>
  <c r="BF345" i="72"/>
  <c r="AY88" i="72"/>
  <c r="AW78" i="72"/>
  <c r="BG365" i="72"/>
  <c r="BA365" i="72"/>
  <c r="BC365" i="72"/>
  <c r="BD365" i="72"/>
  <c r="BE365" i="72"/>
  <c r="BB365" i="72"/>
  <c r="AZ365" i="72"/>
  <c r="AY365" i="72"/>
  <c r="BF365" i="72"/>
  <c r="BC346" i="72"/>
  <c r="BB346" i="72"/>
  <c r="BA346" i="72"/>
  <c r="AZ346" i="72"/>
  <c r="BG346" i="72"/>
  <c r="AY346" i="72"/>
  <c r="BF346" i="72"/>
  <c r="BE346" i="72"/>
  <c r="BD346" i="72"/>
  <c r="AZ88" i="72"/>
  <c r="AZ97" i="72" s="1"/>
  <c r="BC366" i="72"/>
  <c r="AZ283" i="72"/>
  <c r="BA366" i="72"/>
  <c r="AY283" i="72"/>
  <c r="BB283" i="72"/>
  <c r="BD366" i="72"/>
  <c r="BD283" i="72"/>
  <c r="BG283" i="72"/>
  <c r="BB366" i="72"/>
  <c r="BC283" i="72"/>
  <c r="AZ366" i="72"/>
  <c r="AY366" i="72"/>
  <c r="BA283" i="72"/>
  <c r="BG366" i="72"/>
  <c r="BE283" i="72"/>
  <c r="BE366" i="72"/>
  <c r="BF283" i="72"/>
  <c r="BF366" i="72"/>
  <c r="AW351" i="72"/>
  <c r="AK288" i="72"/>
  <c r="S370" i="72"/>
  <c r="M365" i="72"/>
  <c r="O370" i="72"/>
  <c r="AK78" i="72"/>
  <c r="AK83" i="72" s="1" a="1"/>
  <c r="AK83" i="72" s="1"/>
  <c r="M347" i="72"/>
  <c r="Y366" i="72"/>
  <c r="Y283" i="72"/>
  <c r="BG336" i="72"/>
  <c r="BG339" i="72" a="1"/>
  <c r="BG339" i="72" s="1"/>
  <c r="AR339" i="72" a="1"/>
  <c r="AR339" i="72" s="1"/>
  <c r="AR336" i="72"/>
  <c r="M230" i="72"/>
  <c r="J352" i="72"/>
  <c r="M288" i="72"/>
  <c r="AI350" i="72"/>
  <c r="AA350" i="72"/>
  <c r="AH350" i="72"/>
  <c r="AG350" i="72"/>
  <c r="AF350" i="72"/>
  <c r="AE350" i="72"/>
  <c r="AD350" i="72"/>
  <c r="AC350" i="72"/>
  <c r="AB350" i="72"/>
  <c r="AF245" i="72"/>
  <c r="AF246" i="72" s="1"/>
  <c r="AF171" i="72"/>
  <c r="AG287" i="72"/>
  <c r="AG290" i="72" s="1"/>
  <c r="AA287" i="72"/>
  <c r="AA290" i="72" s="1"/>
  <c r="AH287" i="72"/>
  <c r="AH290" i="72" s="1"/>
  <c r="AB287" i="72"/>
  <c r="AB290" i="72" s="1"/>
  <c r="AF287" i="72"/>
  <c r="AF290" i="72" s="1"/>
  <c r="AI287" i="72"/>
  <c r="AI290" i="72" s="1"/>
  <c r="AC287" i="72"/>
  <c r="AC290" i="72" s="1"/>
  <c r="AD287" i="72"/>
  <c r="AD290" i="72" s="1"/>
  <c r="AE287" i="72"/>
  <c r="AE290" i="72" s="1"/>
  <c r="J289" i="72"/>
  <c r="AK27" i="72"/>
  <c r="AS191" i="72"/>
  <c r="AK191" i="72" s="1"/>
  <c r="AS178" i="72"/>
  <c r="AS174" i="72"/>
  <c r="AS181" i="72"/>
  <c r="AS12" i="72" s="1"/>
  <c r="M282" i="72"/>
  <c r="FA34" i="24"/>
  <c r="EZ34" i="24"/>
  <c r="FA33" i="24"/>
  <c r="EZ33" i="24"/>
  <c r="FA32" i="24"/>
  <c r="EZ32" i="24"/>
  <c r="EY34" i="24"/>
  <c r="EX34" i="24"/>
  <c r="EW34" i="24"/>
  <c r="EV34" i="24"/>
  <c r="EU34" i="24"/>
  <c r="EY33" i="24"/>
  <c r="EX33" i="24"/>
  <c r="EW33" i="24"/>
  <c r="EV33" i="24"/>
  <c r="EU33" i="24"/>
  <c r="EY32" i="24"/>
  <c r="EX32" i="24"/>
  <c r="EW32" i="24"/>
  <c r="EV32" i="24"/>
  <c r="EU32" i="24"/>
  <c r="FB34" i="24"/>
  <c r="ET34" i="24"/>
  <c r="ES34" i="24"/>
  <c r="ER34" i="24"/>
  <c r="EQ34" i="24"/>
  <c r="EP34" i="24"/>
  <c r="EO34" i="24"/>
  <c r="EN34" i="24"/>
  <c r="EM34" i="24"/>
  <c r="EL34" i="24"/>
  <c r="FB33" i="24"/>
  <c r="ET33" i="24"/>
  <c r="ES33" i="24"/>
  <c r="ER33" i="24"/>
  <c r="EQ33" i="24"/>
  <c r="EP33" i="24"/>
  <c r="EO33" i="24"/>
  <c r="EN33" i="24"/>
  <c r="EM33" i="24"/>
  <c r="EL33" i="24"/>
  <c r="FB32" i="24"/>
  <c r="ET32" i="24"/>
  <c r="ES32" i="24"/>
  <c r="ER32" i="24"/>
  <c r="EQ32" i="24"/>
  <c r="EP32" i="24"/>
  <c r="EO32" i="24"/>
  <c r="EN32" i="24"/>
  <c r="EM32" i="24"/>
  <c r="EL32" i="24"/>
  <c r="EK34" i="24"/>
  <c r="EJ34" i="24"/>
  <c r="EI34" i="24"/>
  <c r="EH34" i="24"/>
  <c r="EG34" i="24"/>
  <c r="EF34" i="24"/>
  <c r="EE34" i="24"/>
  <c r="ED34" i="24"/>
  <c r="EC34" i="24"/>
  <c r="EK33" i="24"/>
  <c r="EJ33" i="24"/>
  <c r="EI33" i="24"/>
  <c r="EH33" i="24"/>
  <c r="EG33" i="24"/>
  <c r="EF33" i="24"/>
  <c r="EE33" i="24"/>
  <c r="ED33" i="24"/>
  <c r="EC33" i="24"/>
  <c r="EK32" i="24"/>
  <c r="EJ32" i="24"/>
  <c r="EI32" i="24"/>
  <c r="EH32" i="24"/>
  <c r="EG32" i="24"/>
  <c r="EF32" i="24"/>
  <c r="EE32" i="24"/>
  <c r="ED32" i="24"/>
  <c r="EC32" i="24"/>
  <c r="AZ333" i="73" l="1"/>
  <c r="M276" i="75"/>
  <c r="BF333" i="73"/>
  <c r="AY333" i="73"/>
  <c r="AM370" i="72"/>
  <c r="AD370" i="76"/>
  <c r="AS353" i="76"/>
  <c r="BG370" i="76"/>
  <c r="AK275" i="76"/>
  <c r="Y275" i="76"/>
  <c r="AW283" i="76"/>
  <c r="AW348" i="76"/>
  <c r="M276" i="76"/>
  <c r="M347" i="76"/>
  <c r="BF353" i="73"/>
  <c r="BE333" i="73"/>
  <c r="AW83" i="73" a="1"/>
  <c r="AW83" i="73" s="1"/>
  <c r="U353" i="73"/>
  <c r="T353" i="76"/>
  <c r="M347" i="75"/>
  <c r="O353" i="73"/>
  <c r="BG333" i="73"/>
  <c r="AT370" i="72"/>
  <c r="AF370" i="76"/>
  <c r="T290" i="76"/>
  <c r="AK345" i="72"/>
  <c r="Q353" i="72"/>
  <c r="Y348" i="72"/>
  <c r="AW287" i="73"/>
  <c r="BD333" i="73"/>
  <c r="AC290" i="75"/>
  <c r="O353" i="75"/>
  <c r="M275" i="75"/>
  <c r="AO290" i="72"/>
  <c r="AT353" i="72"/>
  <c r="AC115" i="73"/>
  <c r="M282" i="73"/>
  <c r="BC333" i="73"/>
  <c r="AH290" i="74"/>
  <c r="AU370" i="72"/>
  <c r="AK370" i="72" s="1"/>
  <c r="AN353" i="76"/>
  <c r="O370" i="76"/>
  <c r="AA353" i="73"/>
  <c r="U370" i="76"/>
  <c r="BE290" i="76"/>
  <c r="AT370" i="76"/>
  <c r="AI370" i="76"/>
  <c r="AG370" i="76"/>
  <c r="AO353" i="76"/>
  <c r="AK348" i="76"/>
  <c r="J348" i="76" s="1"/>
  <c r="M350" i="76"/>
  <c r="M275" i="76"/>
  <c r="R353" i="75"/>
  <c r="AF353" i="75"/>
  <c r="AW276" i="75"/>
  <c r="AF181" i="75"/>
  <c r="AF12" i="75" s="1"/>
  <c r="AF174" i="75"/>
  <c r="AF11" i="75" s="1"/>
  <c r="AK277" i="75"/>
  <c r="AF178" i="75"/>
  <c r="AK277" i="74"/>
  <c r="AW275" i="73"/>
  <c r="AK350" i="73"/>
  <c r="AK287" i="73"/>
  <c r="J287" i="73" s="1"/>
  <c r="AC110" i="73"/>
  <c r="AC116" i="73" s="1"/>
  <c r="AC170" i="73"/>
  <c r="AM290" i="72"/>
  <c r="Y277" i="72"/>
  <c r="AW350" i="72"/>
  <c r="T353" i="72"/>
  <c r="AU290" i="72"/>
  <c r="V353" i="72"/>
  <c r="AR290" i="72"/>
  <c r="AK277" i="72"/>
  <c r="AW287" i="72"/>
  <c r="M348" i="72"/>
  <c r="Q353" i="76"/>
  <c r="AA353" i="74"/>
  <c r="AG353" i="74"/>
  <c r="AS290" i="76"/>
  <c r="AU353" i="76"/>
  <c r="AT353" i="75"/>
  <c r="O290" i="76"/>
  <c r="AM97" i="73"/>
  <c r="AA290" i="74"/>
  <c r="R353" i="76"/>
  <c r="AR370" i="76"/>
  <c r="AQ370" i="76"/>
  <c r="AT290" i="76"/>
  <c r="V370" i="76"/>
  <c r="AW347" i="76"/>
  <c r="P370" i="76"/>
  <c r="U353" i="76"/>
  <c r="AN370" i="76"/>
  <c r="Q370" i="76"/>
  <c r="AK345" i="76"/>
  <c r="M256" i="76"/>
  <c r="Y347" i="76"/>
  <c r="AK283" i="76"/>
  <c r="AK366" i="76"/>
  <c r="AK346" i="76"/>
  <c r="M345" i="76"/>
  <c r="AB370" i="76"/>
  <c r="AM353" i="76"/>
  <c r="AN290" i="76"/>
  <c r="AQ353" i="76"/>
  <c r="W290" i="76"/>
  <c r="R290" i="76"/>
  <c r="AR290" i="76"/>
  <c r="Q290" i="76"/>
  <c r="M287" i="76"/>
  <c r="P353" i="76"/>
  <c r="P290" i="76"/>
  <c r="AT353" i="76"/>
  <c r="AS370" i="76"/>
  <c r="AE245" i="76"/>
  <c r="AE246" i="76" s="1"/>
  <c r="AE11" i="76"/>
  <c r="W370" i="76"/>
  <c r="M283" i="76"/>
  <c r="Y366" i="76"/>
  <c r="M346" i="76"/>
  <c r="Y256" i="76"/>
  <c r="M366" i="76"/>
  <c r="M365" i="76"/>
  <c r="Q97" i="76"/>
  <c r="Q115" i="76" s="1"/>
  <c r="AU370" i="76"/>
  <c r="Y283" i="76"/>
  <c r="AC370" i="76"/>
  <c r="M282" i="76"/>
  <c r="AP353" i="76"/>
  <c r="AK365" i="76"/>
  <c r="P99" i="76"/>
  <c r="P98" i="76"/>
  <c r="P110" i="76"/>
  <c r="P144" i="76"/>
  <c r="P170" i="76"/>
  <c r="AB98" i="76"/>
  <c r="AB99" i="76"/>
  <c r="AB110" i="76"/>
  <c r="AB170" i="76"/>
  <c r="AB144" i="76"/>
  <c r="Y346" i="76"/>
  <c r="AY91" i="76"/>
  <c r="AY256" i="76" s="1"/>
  <c r="AW256" i="76" s="1"/>
  <c r="AZ99" i="76"/>
  <c r="AZ110" i="76"/>
  <c r="AZ98" i="76"/>
  <c r="AZ170" i="76"/>
  <c r="AZ144" i="76"/>
  <c r="AA97" i="76"/>
  <c r="AA170" i="76" s="1"/>
  <c r="AN170" i="76"/>
  <c r="AN98" i="76"/>
  <c r="AN99" i="76"/>
  <c r="AN110" i="76"/>
  <c r="AN144" i="76"/>
  <c r="AO97" i="76"/>
  <c r="AO115" i="76" s="1"/>
  <c r="O97" i="76"/>
  <c r="O115" i="76" s="1"/>
  <c r="P132" i="76" s="1"/>
  <c r="P168" i="76" s="1"/>
  <c r="AC97" i="76"/>
  <c r="AC115" i="76" s="1"/>
  <c r="BA97" i="76"/>
  <c r="BA115" i="76" s="1"/>
  <c r="AM91" i="76"/>
  <c r="AM256" i="76" s="1"/>
  <c r="AK256" i="76" s="1"/>
  <c r="AQ353" i="75"/>
  <c r="AK345" i="75"/>
  <c r="AM353" i="75"/>
  <c r="AR353" i="75"/>
  <c r="AI353" i="75"/>
  <c r="AB353" i="75"/>
  <c r="AA353" i="75"/>
  <c r="AN353" i="75"/>
  <c r="AP353" i="75"/>
  <c r="Y256" i="75"/>
  <c r="Y365" i="75"/>
  <c r="AK365" i="75"/>
  <c r="AU370" i="75"/>
  <c r="AK370" i="75" s="1"/>
  <c r="AM97" i="75"/>
  <c r="AM115" i="75" s="1"/>
  <c r="AG370" i="75"/>
  <c r="Y370" i="75" s="1"/>
  <c r="BC245" i="75"/>
  <c r="BC246" i="75" s="1"/>
  <c r="BC11" i="75"/>
  <c r="Q97" i="75"/>
  <c r="Q115" i="75" s="1"/>
  <c r="Y276" i="75"/>
  <c r="AC97" i="75"/>
  <c r="AC115" i="75" s="1"/>
  <c r="M256" i="75"/>
  <c r="AW275" i="75"/>
  <c r="AU353" i="75"/>
  <c r="AG353" i="75"/>
  <c r="AZ99" i="75"/>
  <c r="AZ110" i="75"/>
  <c r="AZ98" i="75"/>
  <c r="AZ170" i="75"/>
  <c r="AZ144" i="75"/>
  <c r="BA97" i="75"/>
  <c r="BA144" i="75" s="1"/>
  <c r="Y350" i="75"/>
  <c r="AO97" i="75"/>
  <c r="AO170" i="75" s="1"/>
  <c r="Y345" i="75"/>
  <c r="O97" i="75"/>
  <c r="O115" i="75" s="1"/>
  <c r="O132" i="75" s="1"/>
  <c r="AN251" i="75"/>
  <c r="AN116" i="75"/>
  <c r="AN252" i="75"/>
  <c r="AK252" i="75" s="1"/>
  <c r="P99" i="75"/>
  <c r="P98" i="75"/>
  <c r="P144" i="75"/>
  <c r="P170" i="75"/>
  <c r="P110" i="75"/>
  <c r="AY91" i="75"/>
  <c r="AY256" i="75" s="1"/>
  <c r="AW256" i="75" s="1"/>
  <c r="AN159" i="75"/>
  <c r="AN161" i="75" s="1"/>
  <c r="AN155" i="75"/>
  <c r="AN153" i="75"/>
  <c r="AN149" i="75"/>
  <c r="AN151" i="75" s="1"/>
  <c r="AB99" i="75"/>
  <c r="AB98" i="75"/>
  <c r="AB170" i="75"/>
  <c r="AB144" i="75"/>
  <c r="AB110" i="75"/>
  <c r="AW366" i="75"/>
  <c r="AA97" i="75"/>
  <c r="AA115" i="75" s="1"/>
  <c r="AB132" i="75" s="1"/>
  <c r="AB168" i="75" s="1"/>
  <c r="AK256" i="75"/>
  <c r="AO370" i="74"/>
  <c r="AC290" i="74"/>
  <c r="AR370" i="74"/>
  <c r="BA370" i="74"/>
  <c r="Y283" i="74"/>
  <c r="AB353" i="74"/>
  <c r="AZ370" i="74"/>
  <c r="BC370" i="74"/>
  <c r="AI290" i="74"/>
  <c r="AK365" i="74"/>
  <c r="AK345" i="74"/>
  <c r="BF370" i="74"/>
  <c r="BB370" i="74"/>
  <c r="AM370" i="74"/>
  <c r="AN370" i="74"/>
  <c r="AD290" i="74"/>
  <c r="AF370" i="74"/>
  <c r="Y366" i="74"/>
  <c r="S11" i="74"/>
  <c r="S245" i="74"/>
  <c r="S246" i="74" s="1"/>
  <c r="Y345" i="74"/>
  <c r="AC353" i="74"/>
  <c r="AM97" i="74"/>
  <c r="AM115" i="74" s="1"/>
  <c r="BD370" i="74"/>
  <c r="Y346" i="74"/>
  <c r="Y365" i="74"/>
  <c r="BE370" i="74"/>
  <c r="AE353" i="74"/>
  <c r="AH353" i="74"/>
  <c r="AR353" i="74"/>
  <c r="AB290" i="74"/>
  <c r="AI370" i="74"/>
  <c r="AB99" i="74"/>
  <c r="AB110" i="74"/>
  <c r="AB144" i="74"/>
  <c r="AB98" i="74"/>
  <c r="AB170" i="74"/>
  <c r="P170" i="74"/>
  <c r="P99" i="74"/>
  <c r="P98" i="74"/>
  <c r="P144" i="74"/>
  <c r="P110" i="74"/>
  <c r="AZ98" i="74"/>
  <c r="AZ110" i="74"/>
  <c r="AZ99" i="74"/>
  <c r="AZ170" i="74"/>
  <c r="AZ144" i="74"/>
  <c r="AN98" i="74"/>
  <c r="AN99" i="74"/>
  <c r="AN170" i="74"/>
  <c r="AN110" i="74"/>
  <c r="AN144" i="74"/>
  <c r="Q97" i="74"/>
  <c r="Q110" i="74" s="1"/>
  <c r="AY91" i="74"/>
  <c r="AY256" i="74" s="1"/>
  <c r="O91" i="74"/>
  <c r="O256" i="74" s="1"/>
  <c r="M256" i="74" s="1"/>
  <c r="AO91" i="74"/>
  <c r="AO256" i="74" s="1"/>
  <c r="AK256" i="74" s="1"/>
  <c r="BA91" i="74"/>
  <c r="BA256" i="74" s="1"/>
  <c r="AA97" i="74"/>
  <c r="AA115" i="74" s="1"/>
  <c r="AC97" i="74"/>
  <c r="AC115" i="74" s="1"/>
  <c r="M366" i="73"/>
  <c r="M283" i="73"/>
  <c r="AK276" i="73"/>
  <c r="J13" i="73"/>
  <c r="AR353" i="73"/>
  <c r="AN353" i="73"/>
  <c r="M256" i="73"/>
  <c r="Y256" i="73"/>
  <c r="Q97" i="73"/>
  <c r="Q115" i="73" s="1"/>
  <c r="AY97" i="73"/>
  <c r="AY115" i="73" s="1"/>
  <c r="M346" i="73"/>
  <c r="M353" i="73" s="1"/>
  <c r="AT353" i="73"/>
  <c r="J286" i="73"/>
  <c r="W353" i="73"/>
  <c r="AN99" i="73"/>
  <c r="AN144" i="73"/>
  <c r="AN170" i="73"/>
  <c r="AN110" i="73"/>
  <c r="AN98" i="73"/>
  <c r="P99" i="73"/>
  <c r="P110" i="73"/>
  <c r="P170" i="73"/>
  <c r="P144" i="73"/>
  <c r="P98" i="73"/>
  <c r="AA97" i="73"/>
  <c r="AA115" i="73" s="1"/>
  <c r="AC132" i="73" s="1"/>
  <c r="AC168" i="73" s="1"/>
  <c r="BA97" i="73"/>
  <c r="BA115" i="73" s="1"/>
  <c r="AZ159" i="73"/>
  <c r="AZ161" i="73" s="1"/>
  <c r="AZ153" i="73"/>
  <c r="AZ149" i="73"/>
  <c r="AZ151" i="73" s="1"/>
  <c r="AZ155" i="73"/>
  <c r="AO91" i="73"/>
  <c r="AO256" i="73" s="1"/>
  <c r="AK256" i="73" s="1"/>
  <c r="O97" i="73"/>
  <c r="O115" i="73" s="1"/>
  <c r="AW256" i="73"/>
  <c r="AZ116" i="73"/>
  <c r="AZ252" i="73"/>
  <c r="AW252" i="73" s="1"/>
  <c r="AZ251" i="73"/>
  <c r="AB99" i="73"/>
  <c r="AB98" i="73"/>
  <c r="AB170" i="73"/>
  <c r="AB110" i="73"/>
  <c r="AB144" i="73"/>
  <c r="U353" i="72"/>
  <c r="AR353" i="72"/>
  <c r="M169" i="72"/>
  <c r="R174" i="72"/>
  <c r="R181" i="72"/>
  <c r="R12" i="72" s="1"/>
  <c r="AO353" i="72"/>
  <c r="AP353" i="72"/>
  <c r="W353" i="72"/>
  <c r="AW169" i="72"/>
  <c r="BB181" i="72"/>
  <c r="BB12" i="72" s="1"/>
  <c r="S353" i="72"/>
  <c r="BB174" i="72"/>
  <c r="AP290" i="72"/>
  <c r="AO97" i="72"/>
  <c r="AO115" i="72" s="1"/>
  <c r="AK256" i="72"/>
  <c r="AK275" i="72"/>
  <c r="AW276" i="72"/>
  <c r="Y275" i="72"/>
  <c r="AT290" i="72"/>
  <c r="Y276" i="72"/>
  <c r="AW347" i="72"/>
  <c r="AZ99" i="72"/>
  <c r="AZ144" i="72"/>
  <c r="AZ170" i="72"/>
  <c r="AZ110" i="72"/>
  <c r="AZ98" i="72"/>
  <c r="Y256" i="72"/>
  <c r="AN98" i="72"/>
  <c r="AN99" i="72"/>
  <c r="AN170" i="72"/>
  <c r="AN110" i="72"/>
  <c r="AN144" i="72"/>
  <c r="AB99" i="72"/>
  <c r="AB144" i="72"/>
  <c r="AB170" i="72"/>
  <c r="AB98" i="72"/>
  <c r="AB110" i="72"/>
  <c r="AK366" i="72"/>
  <c r="O97" i="72"/>
  <c r="O115" i="72" s="1"/>
  <c r="AY91" i="72"/>
  <c r="AY256" i="72" s="1"/>
  <c r="AW256" i="72" s="1"/>
  <c r="AQ290" i="72"/>
  <c r="AM97" i="72"/>
  <c r="AM115" i="72" s="1"/>
  <c r="AA97" i="72"/>
  <c r="AA144" i="72" s="1"/>
  <c r="M256" i="72"/>
  <c r="Q97" i="72"/>
  <c r="Q115" i="72" s="1"/>
  <c r="BA97" i="72"/>
  <c r="BA115" i="72" s="1"/>
  <c r="AC97" i="72"/>
  <c r="AC144" i="72" s="1"/>
  <c r="P99" i="72"/>
  <c r="P98" i="72"/>
  <c r="P170" i="72"/>
  <c r="P110" i="72"/>
  <c r="P144" i="72"/>
  <c r="BE245" i="75"/>
  <c r="BE246" i="75" s="1"/>
  <c r="BE11" i="75"/>
  <c r="M275" i="73"/>
  <c r="AW287" i="76"/>
  <c r="AW350" i="76"/>
  <c r="BB370" i="75"/>
  <c r="AZ370" i="75"/>
  <c r="AS353" i="72"/>
  <c r="J169" i="76"/>
  <c r="AF353" i="74"/>
  <c r="AD353" i="74"/>
  <c r="AK346" i="72"/>
  <c r="M276" i="73"/>
  <c r="BC370" i="75"/>
  <c r="Y275" i="73"/>
  <c r="J191" i="76"/>
  <c r="AA99" i="76"/>
  <c r="AA110" i="76"/>
  <c r="J349" i="73"/>
  <c r="M366" i="75"/>
  <c r="AH353" i="76"/>
  <c r="J288" i="76"/>
  <c r="AK287" i="76"/>
  <c r="AK171" i="76"/>
  <c r="AR174" i="76"/>
  <c r="AR11" i="76" s="1"/>
  <c r="AR178" i="76"/>
  <c r="AR181" i="76"/>
  <c r="AR12" i="76" s="1"/>
  <c r="AW83" i="76" a="1"/>
  <c r="AW83" i="76" s="1"/>
  <c r="BB333" i="76"/>
  <c r="BG333" i="76"/>
  <c r="BC333" i="76"/>
  <c r="BF333" i="76"/>
  <c r="BA333" i="76"/>
  <c r="AY333" i="76"/>
  <c r="BD333" i="76"/>
  <c r="BE333" i="76"/>
  <c r="AZ333" i="76"/>
  <c r="AY353" i="76"/>
  <c r="AW345" i="76"/>
  <c r="AW345" i="74"/>
  <c r="AG353" i="76"/>
  <c r="AP11" i="76"/>
  <c r="AP245" i="76"/>
  <c r="AP246" i="76" s="1"/>
  <c r="AG245" i="76"/>
  <c r="AG246" i="76" s="1"/>
  <c r="AG11" i="76"/>
  <c r="BD353" i="76"/>
  <c r="BG353" i="76"/>
  <c r="AM290" i="76"/>
  <c r="AW171" i="76"/>
  <c r="BD174" i="76"/>
  <c r="BD11" i="76" s="1"/>
  <c r="BD178" i="76"/>
  <c r="BD181" i="76"/>
  <c r="BD12" i="76" s="1"/>
  <c r="AY290" i="76"/>
  <c r="J13" i="76"/>
  <c r="AQ11" i="76"/>
  <c r="AQ245" i="76"/>
  <c r="AQ246" i="76" s="1"/>
  <c r="AI353" i="76"/>
  <c r="AK276" i="76"/>
  <c r="AW277" i="76"/>
  <c r="BB11" i="76"/>
  <c r="BB245" i="76"/>
  <c r="BB246" i="76" s="1"/>
  <c r="AY370" i="76"/>
  <c r="AW365" i="76"/>
  <c r="BB353" i="76"/>
  <c r="J349" i="76"/>
  <c r="AE353" i="76"/>
  <c r="J26" i="75"/>
  <c r="AA353" i="76"/>
  <c r="Y345" i="76"/>
  <c r="AK277" i="76"/>
  <c r="BC353" i="76"/>
  <c r="S245" i="76"/>
  <c r="S246" i="76" s="1"/>
  <c r="S11" i="76"/>
  <c r="AW290" i="76"/>
  <c r="AD11" i="76"/>
  <c r="AD245" i="76"/>
  <c r="AD246" i="76" s="1"/>
  <c r="BC245" i="76"/>
  <c r="BC246" i="76" s="1"/>
  <c r="BC11" i="76"/>
  <c r="BA353" i="76"/>
  <c r="AZ370" i="72"/>
  <c r="AU353" i="73"/>
  <c r="J13" i="74"/>
  <c r="M27" i="75"/>
  <c r="BF370" i="75"/>
  <c r="AK283" i="72"/>
  <c r="AB353" i="76"/>
  <c r="AK350" i="76"/>
  <c r="BE353" i="76"/>
  <c r="J26" i="76"/>
  <c r="M27" i="76"/>
  <c r="J78" i="76"/>
  <c r="AO353" i="73"/>
  <c r="AK276" i="74"/>
  <c r="AW348" i="72"/>
  <c r="Y290" i="76"/>
  <c r="Y365" i="76"/>
  <c r="AA370" i="76"/>
  <c r="AC353" i="76"/>
  <c r="BE245" i="76"/>
  <c r="BE246" i="76" s="1"/>
  <c r="BE11" i="76"/>
  <c r="J286" i="76"/>
  <c r="M370" i="76"/>
  <c r="BF353" i="76"/>
  <c r="AW365" i="74"/>
  <c r="AS245" i="76"/>
  <c r="AS246" i="76" s="1"/>
  <c r="AS11" i="76"/>
  <c r="AF353" i="76"/>
  <c r="AP353" i="74"/>
  <c r="AU353" i="74"/>
  <c r="AW275" i="72"/>
  <c r="AD353" i="76"/>
  <c r="AW276" i="76"/>
  <c r="U11" i="76"/>
  <c r="U245" i="76"/>
  <c r="U246" i="76" s="1"/>
  <c r="AZ353" i="76"/>
  <c r="R11" i="76"/>
  <c r="R245" i="76"/>
  <c r="R246" i="76" s="1"/>
  <c r="J351" i="76"/>
  <c r="BA110" i="75"/>
  <c r="J191" i="75"/>
  <c r="R11" i="75"/>
  <c r="R245" i="75"/>
  <c r="R246" i="75" s="1"/>
  <c r="BA370" i="72"/>
  <c r="J350" i="73"/>
  <c r="AK348" i="74"/>
  <c r="AN353" i="74"/>
  <c r="M348" i="74"/>
  <c r="J282" i="75"/>
  <c r="BG370" i="75"/>
  <c r="BD370" i="75"/>
  <c r="BD353" i="75"/>
  <c r="BB290" i="75"/>
  <c r="BG290" i="75"/>
  <c r="AZ290" i="75"/>
  <c r="AW171" i="75"/>
  <c r="BD174" i="75"/>
  <c r="BD11" i="75" s="1"/>
  <c r="BD178" i="75"/>
  <c r="BD181" i="75"/>
  <c r="BD12" i="75" s="1"/>
  <c r="S245" i="75"/>
  <c r="S246" i="75" s="1"/>
  <c r="S11" i="75"/>
  <c r="O370" i="75"/>
  <c r="M346" i="75"/>
  <c r="M353" i="75" s="1"/>
  <c r="AI353" i="74"/>
  <c r="AO353" i="74"/>
  <c r="J349" i="74"/>
  <c r="J288" i="74"/>
  <c r="BE370" i="75"/>
  <c r="AW83" i="75" a="1"/>
  <c r="AW83" i="75" s="1"/>
  <c r="BC333" i="75"/>
  <c r="BA333" i="75"/>
  <c r="AZ333" i="75"/>
  <c r="BD333" i="75"/>
  <c r="BF333" i="75"/>
  <c r="BE333" i="75"/>
  <c r="BB333" i="75"/>
  <c r="AY333" i="75"/>
  <c r="BG333" i="75"/>
  <c r="BF353" i="75"/>
  <c r="AW283" i="75"/>
  <c r="AY290" i="75"/>
  <c r="BF290" i="75"/>
  <c r="AW346" i="75"/>
  <c r="R290" i="75"/>
  <c r="AW347" i="75"/>
  <c r="AP178" i="75"/>
  <c r="AP174" i="75"/>
  <c r="AP181" i="75"/>
  <c r="AP12" i="75" s="1"/>
  <c r="J349" i="75"/>
  <c r="BC290" i="75"/>
  <c r="J191" i="74"/>
  <c r="Y275" i="75"/>
  <c r="AE11" i="75"/>
  <c r="AE245" i="75"/>
  <c r="AE246" i="75" s="1"/>
  <c r="AY370" i="75"/>
  <c r="AW365" i="75"/>
  <c r="BG353" i="75"/>
  <c r="BD290" i="75"/>
  <c r="AW348" i="75"/>
  <c r="J288" i="75"/>
  <c r="AO353" i="75"/>
  <c r="AT353" i="74"/>
  <c r="AK346" i="74"/>
  <c r="AO115" i="75"/>
  <c r="BE353" i="75"/>
  <c r="AK171" i="75"/>
  <c r="AR178" i="75"/>
  <c r="AR174" i="75"/>
  <c r="AR11" i="75" s="1"/>
  <c r="AR181" i="75"/>
  <c r="AR12" i="75" s="1"/>
  <c r="Y290" i="75"/>
  <c r="AG245" i="75"/>
  <c r="AG246" i="75" s="1"/>
  <c r="AG11" i="75"/>
  <c r="M83" i="75" a="1"/>
  <c r="M83" i="75" s="1"/>
  <c r="J78" i="75"/>
  <c r="AK347" i="75"/>
  <c r="AY353" i="75"/>
  <c r="AW345" i="75"/>
  <c r="BA353" i="75"/>
  <c r="AW287" i="75"/>
  <c r="AK287" i="75"/>
  <c r="AK290" i="75" s="1"/>
  <c r="AK350" i="75"/>
  <c r="W353" i="75"/>
  <c r="AN290" i="72"/>
  <c r="AS353" i="73"/>
  <c r="J351" i="73"/>
  <c r="AQ353" i="74"/>
  <c r="AS245" i="75"/>
  <c r="AS246" i="75" s="1"/>
  <c r="AS11" i="75"/>
  <c r="BA370" i="75"/>
  <c r="AZ353" i="75"/>
  <c r="BA290" i="75"/>
  <c r="AK276" i="75"/>
  <c r="U290" i="75"/>
  <c r="AW350" i="75"/>
  <c r="AS353" i="75"/>
  <c r="AW277" i="75"/>
  <c r="U11" i="75"/>
  <c r="U245" i="75"/>
  <c r="U246" i="75" s="1"/>
  <c r="M283" i="75"/>
  <c r="BC353" i="75"/>
  <c r="BE290" i="75"/>
  <c r="Y348" i="74"/>
  <c r="AC132" i="75"/>
  <c r="AC168" i="75" s="1"/>
  <c r="BB353" i="75"/>
  <c r="BB178" i="75"/>
  <c r="BB181" i="75"/>
  <c r="BB12" i="75" s="1"/>
  <c r="BB174" i="75"/>
  <c r="AW169" i="75"/>
  <c r="J169" i="75" s="1"/>
  <c r="J351" i="75"/>
  <c r="AK348" i="75"/>
  <c r="AD11" i="75"/>
  <c r="AD245" i="75"/>
  <c r="AD246" i="75" s="1"/>
  <c r="J286" i="75"/>
  <c r="J13" i="75"/>
  <c r="AW348" i="74"/>
  <c r="Y287" i="74"/>
  <c r="M366" i="74"/>
  <c r="R178" i="74"/>
  <c r="R174" i="74"/>
  <c r="R181" i="74"/>
  <c r="R12" i="74" s="1"/>
  <c r="M169" i="74"/>
  <c r="J286" i="74"/>
  <c r="M276" i="74"/>
  <c r="AE245" i="74"/>
  <c r="AE246" i="74" s="1"/>
  <c r="AE11" i="74"/>
  <c r="AK347" i="74"/>
  <c r="R370" i="74"/>
  <c r="Q290" i="74"/>
  <c r="R290" i="74"/>
  <c r="R353" i="74"/>
  <c r="AO290" i="74"/>
  <c r="AZ290" i="74"/>
  <c r="AW366" i="74"/>
  <c r="AY370" i="74"/>
  <c r="BG353" i="74"/>
  <c r="AG11" i="74"/>
  <c r="AG245" i="74"/>
  <c r="AG246" i="74" s="1"/>
  <c r="AW277" i="74"/>
  <c r="AK287" i="74"/>
  <c r="P370" i="74"/>
  <c r="W370" i="74"/>
  <c r="T290" i="74"/>
  <c r="S353" i="74"/>
  <c r="AP290" i="74"/>
  <c r="AN290" i="74"/>
  <c r="AW350" i="74"/>
  <c r="AW283" i="74"/>
  <c r="AY290" i="74"/>
  <c r="BD353" i="74"/>
  <c r="BB353" i="74"/>
  <c r="J169" i="73"/>
  <c r="Y275" i="74"/>
  <c r="J26" i="74"/>
  <c r="M27" i="74"/>
  <c r="AS11" i="74"/>
  <c r="AS245" i="74"/>
  <c r="AS246" i="74" s="1"/>
  <c r="M277" i="74"/>
  <c r="AQ11" i="74"/>
  <c r="AQ245" i="74"/>
  <c r="AQ246" i="74" s="1"/>
  <c r="AK171" i="74"/>
  <c r="AR178" i="74"/>
  <c r="AR174" i="74"/>
  <c r="AR11" i="74" s="1"/>
  <c r="AR181" i="74"/>
  <c r="AR12" i="74" s="1"/>
  <c r="S370" i="74"/>
  <c r="Q370" i="74"/>
  <c r="U353" i="74"/>
  <c r="AS353" i="74"/>
  <c r="AW287" i="74"/>
  <c r="AW171" i="74"/>
  <c r="BD178" i="74"/>
  <c r="BD174" i="74"/>
  <c r="BD11" i="74" s="1"/>
  <c r="BD181" i="74"/>
  <c r="BD12" i="74" s="1"/>
  <c r="AK275" i="74"/>
  <c r="BF353" i="74"/>
  <c r="J286" i="72"/>
  <c r="Y277" i="74"/>
  <c r="BB178" i="74"/>
  <c r="BB174" i="74"/>
  <c r="BB181" i="74"/>
  <c r="BB12" i="74" s="1"/>
  <c r="AW169" i="74"/>
  <c r="Y171" i="74"/>
  <c r="AF174" i="74"/>
  <c r="AF11" i="74" s="1"/>
  <c r="AF178" i="74"/>
  <c r="AF181" i="74"/>
  <c r="AF12" i="74" s="1"/>
  <c r="AW347" i="74"/>
  <c r="M365" i="74"/>
  <c r="O370" i="74"/>
  <c r="O290" i="74"/>
  <c r="M282" i="74"/>
  <c r="J78" i="74"/>
  <c r="M83" i="74" a="1"/>
  <c r="M83" i="74" s="1"/>
  <c r="O353" i="74"/>
  <c r="M345" i="74"/>
  <c r="AQ290" i="74"/>
  <c r="BA290" i="74"/>
  <c r="AZ353" i="74"/>
  <c r="M287" i="74"/>
  <c r="AW276" i="74"/>
  <c r="Y350" i="74"/>
  <c r="M283" i="74"/>
  <c r="U370" i="74"/>
  <c r="T353" i="74"/>
  <c r="W353" i="74"/>
  <c r="AT290" i="74"/>
  <c r="AU290" i="74"/>
  <c r="BG290" i="74"/>
  <c r="BF290" i="74"/>
  <c r="BA353" i="74"/>
  <c r="M171" i="74"/>
  <c r="T174" i="74"/>
  <c r="T11" i="74" s="1"/>
  <c r="T178" i="74"/>
  <c r="T181" i="74"/>
  <c r="T12" i="74" s="1"/>
  <c r="AP178" i="74"/>
  <c r="AP181" i="74"/>
  <c r="AP12" i="74" s="1"/>
  <c r="AP174" i="74"/>
  <c r="AK169" i="74"/>
  <c r="W290" i="74"/>
  <c r="P290" i="74"/>
  <c r="U290" i="74"/>
  <c r="V353" i="74"/>
  <c r="AK283" i="74"/>
  <c r="AM290" i="74"/>
  <c r="AW83" i="74" a="1"/>
  <c r="AW83" i="74" s="1"/>
  <c r="BD333" i="74"/>
  <c r="BE333" i="74"/>
  <c r="BA333" i="74"/>
  <c r="BC333" i="74"/>
  <c r="BF333" i="74"/>
  <c r="AZ333" i="74"/>
  <c r="AY333" i="74"/>
  <c r="BG333" i="74"/>
  <c r="BB333" i="74"/>
  <c r="BC290" i="74"/>
  <c r="BC353" i="74"/>
  <c r="AM353" i="74"/>
  <c r="M275" i="74"/>
  <c r="V290" i="74"/>
  <c r="V370" i="74"/>
  <c r="S290" i="74"/>
  <c r="P353" i="74"/>
  <c r="AS290" i="74"/>
  <c r="AK366" i="74"/>
  <c r="BB290" i="74"/>
  <c r="BE290" i="74"/>
  <c r="BD290" i="74"/>
  <c r="BE353" i="74"/>
  <c r="AD178" i="74"/>
  <c r="AD174" i="74"/>
  <c r="AD181" i="74"/>
  <c r="AD12" i="74" s="1"/>
  <c r="BC370" i="72"/>
  <c r="M346" i="74"/>
  <c r="M347" i="74"/>
  <c r="AK350" i="74"/>
  <c r="T370" i="74"/>
  <c r="Q353" i="74"/>
  <c r="AR290" i="74"/>
  <c r="AW346" i="74"/>
  <c r="AY353" i="74"/>
  <c r="M350" i="74"/>
  <c r="AM353" i="72"/>
  <c r="AP290" i="73"/>
  <c r="AK283" i="73"/>
  <c r="AM290" i="73"/>
  <c r="AQ353" i="73"/>
  <c r="Q132" i="73"/>
  <c r="Q168" i="73" s="1"/>
  <c r="AP353" i="73"/>
  <c r="AP178" i="73"/>
  <c r="AP181" i="73"/>
  <c r="AP12" i="73" s="1"/>
  <c r="AP174" i="73"/>
  <c r="AK348" i="73"/>
  <c r="AU353" i="72"/>
  <c r="AT290" i="73"/>
  <c r="AE11" i="73"/>
  <c r="AE245" i="73"/>
  <c r="AE246" i="73" s="1"/>
  <c r="BE245" i="73"/>
  <c r="BE246" i="73" s="1"/>
  <c r="BE11" i="73"/>
  <c r="BF370" i="72"/>
  <c r="M287" i="72"/>
  <c r="AN353" i="72"/>
  <c r="AO290" i="73"/>
  <c r="AK346" i="73"/>
  <c r="AG245" i="73"/>
  <c r="AG246" i="73" s="1"/>
  <c r="AG11" i="73"/>
  <c r="J78" i="73"/>
  <c r="R11" i="73"/>
  <c r="R245" i="73"/>
  <c r="R246" i="73" s="1"/>
  <c r="AW290" i="73"/>
  <c r="AU290" i="73"/>
  <c r="AR290" i="73"/>
  <c r="AC251" i="73"/>
  <c r="AM353" i="73"/>
  <c r="J171" i="73"/>
  <c r="Y348" i="73"/>
  <c r="Y353" i="73" s="1"/>
  <c r="AS245" i="73"/>
  <c r="AS246" i="73" s="1"/>
  <c r="AS11" i="73"/>
  <c r="Y290" i="73"/>
  <c r="M370" i="73"/>
  <c r="AK276" i="72"/>
  <c r="AQ353" i="72"/>
  <c r="AK366" i="73"/>
  <c r="AQ290" i="73"/>
  <c r="J288" i="73"/>
  <c r="U11" i="73"/>
  <c r="U245" i="73"/>
  <c r="U246" i="73" s="1"/>
  <c r="BB370" i="72"/>
  <c r="AC153" i="73"/>
  <c r="AC149" i="73"/>
  <c r="AC159" i="73"/>
  <c r="AC155" i="73"/>
  <c r="AC147" i="73"/>
  <c r="AD178" i="73"/>
  <c r="AD174" i="73"/>
  <c r="AD181" i="73"/>
  <c r="AD12" i="73" s="1"/>
  <c r="AM370" i="73"/>
  <c r="BB178" i="73"/>
  <c r="BB174" i="73"/>
  <c r="BB181" i="73"/>
  <c r="BB12" i="73" s="1"/>
  <c r="AW370" i="73"/>
  <c r="AS290" i="73"/>
  <c r="Y370" i="73"/>
  <c r="AK347" i="73"/>
  <c r="J26" i="73"/>
  <c r="Y277" i="73"/>
  <c r="AN290" i="73"/>
  <c r="BC11" i="73"/>
  <c r="BC245" i="73"/>
  <c r="BC246" i="73" s="1"/>
  <c r="M277" i="73"/>
  <c r="J191" i="73"/>
  <c r="J345" i="73"/>
  <c r="AW115" i="73"/>
  <c r="J282" i="73"/>
  <c r="M290" i="73"/>
  <c r="AW348" i="73"/>
  <c r="AW353" i="73" s="1"/>
  <c r="S11" i="73"/>
  <c r="S245" i="73"/>
  <c r="S246" i="73" s="1"/>
  <c r="M370" i="72"/>
  <c r="S11" i="72"/>
  <c r="S245" i="72"/>
  <c r="S246" i="72" s="1"/>
  <c r="BG370" i="72"/>
  <c r="R245" i="72"/>
  <c r="R246" i="72" s="1"/>
  <c r="R11" i="72"/>
  <c r="AF353" i="72"/>
  <c r="AP178" i="72"/>
  <c r="AP174" i="72"/>
  <c r="AP181" i="72"/>
  <c r="AP12" i="72" s="1"/>
  <c r="Y287" i="72"/>
  <c r="Y290" i="72" s="1"/>
  <c r="BA290" i="72"/>
  <c r="BB290" i="72"/>
  <c r="AY370" i="72"/>
  <c r="AW365" i="72"/>
  <c r="AW83" i="72" a="1"/>
  <c r="AW83" i="72" s="1"/>
  <c r="AZ333" i="72"/>
  <c r="BB333" i="72"/>
  <c r="BG333" i="72"/>
  <c r="BD333" i="72"/>
  <c r="BE333" i="72"/>
  <c r="BA333" i="72"/>
  <c r="BC333" i="72"/>
  <c r="BF333" i="72"/>
  <c r="AY333" i="72"/>
  <c r="BB353" i="72"/>
  <c r="AK350" i="72"/>
  <c r="AD11" i="72"/>
  <c r="AD245" i="72"/>
  <c r="AD246" i="72" s="1"/>
  <c r="J13" i="72"/>
  <c r="AG353" i="72"/>
  <c r="J349" i="72"/>
  <c r="BD290" i="72"/>
  <c r="AR174" i="72"/>
  <c r="AR11" i="72" s="1"/>
  <c r="AR178" i="72"/>
  <c r="AK171" i="72"/>
  <c r="AR181" i="72"/>
  <c r="AR12" i="72" s="1"/>
  <c r="AH353" i="72"/>
  <c r="AE11" i="72"/>
  <c r="AE245" i="72"/>
  <c r="AE246" i="72" s="1"/>
  <c r="J351" i="72"/>
  <c r="AW283" i="72"/>
  <c r="AW290" i="72" s="1"/>
  <c r="AY290" i="72"/>
  <c r="AK169" i="72"/>
  <c r="J282" i="72"/>
  <c r="M290" i="72"/>
  <c r="Y171" i="72"/>
  <c r="AF174" i="72"/>
  <c r="AF11" i="72" s="1"/>
  <c r="AF178" i="72"/>
  <c r="AF181" i="72"/>
  <c r="AF12" i="72" s="1"/>
  <c r="BD353" i="72"/>
  <c r="AA353" i="72"/>
  <c r="Y345" i="72"/>
  <c r="Y347" i="72"/>
  <c r="J347" i="72" s="1"/>
  <c r="M350" i="72"/>
  <c r="M353" i="72" s="1"/>
  <c r="AG11" i="72"/>
  <c r="AG245" i="72"/>
  <c r="AG246" i="72" s="1"/>
  <c r="M275" i="72"/>
  <c r="O353" i="72"/>
  <c r="BE290" i="72"/>
  <c r="BA353" i="72"/>
  <c r="AW346" i="72"/>
  <c r="BC353" i="72"/>
  <c r="Y350" i="72"/>
  <c r="BC290" i="72"/>
  <c r="AZ290" i="72"/>
  <c r="BE370" i="72"/>
  <c r="BF353" i="72"/>
  <c r="BE353" i="72"/>
  <c r="AI353" i="72"/>
  <c r="BB245" i="72"/>
  <c r="BB246" i="72" s="1"/>
  <c r="BB11" i="72"/>
  <c r="AQ11" i="72"/>
  <c r="AQ245" i="72"/>
  <c r="AQ246" i="72" s="1"/>
  <c r="U245" i="72"/>
  <c r="U246" i="72" s="1"/>
  <c r="U11" i="72"/>
  <c r="AZ353" i="72"/>
  <c r="BC11" i="72"/>
  <c r="BC245" i="72"/>
  <c r="BC246" i="72" s="1"/>
  <c r="AS11" i="72"/>
  <c r="AS245" i="72"/>
  <c r="AS246" i="72" s="1"/>
  <c r="BF290" i="72"/>
  <c r="BD370" i="72"/>
  <c r="AY353" i="72"/>
  <c r="AW345" i="72"/>
  <c r="AK287" i="72"/>
  <c r="AA115" i="72"/>
  <c r="AB353" i="72"/>
  <c r="M171" i="72"/>
  <c r="T174" i="72"/>
  <c r="T11" i="72" s="1"/>
  <c r="T178" i="72"/>
  <c r="T181" i="72"/>
  <c r="T12" i="72" s="1"/>
  <c r="O290" i="72"/>
  <c r="AW366" i="72"/>
  <c r="J288" i="72"/>
  <c r="BG290" i="72"/>
  <c r="BG353" i="72"/>
  <c r="J26" i="72"/>
  <c r="AD353" i="72"/>
  <c r="AC353" i="72"/>
  <c r="AK348" i="72"/>
  <c r="M83" i="72" a="1"/>
  <c r="M83" i="72" s="1"/>
  <c r="J78" i="72"/>
  <c r="Y365" i="72"/>
  <c r="AA370" i="72"/>
  <c r="AE353" i="72"/>
  <c r="J191" i="72"/>
  <c r="BE11" i="72"/>
  <c r="BE245" i="72"/>
  <c r="BE246" i="72" s="1"/>
  <c r="L26" i="43"/>
  <c r="L28" i="43" s="1"/>
  <c r="O32" i="76" s="1"/>
  <c r="J287" i="76" l="1"/>
  <c r="AM132" i="72"/>
  <c r="AY132" i="73"/>
  <c r="AA144" i="76"/>
  <c r="AA159" i="76" s="1"/>
  <c r="AA98" i="76"/>
  <c r="AA115" i="76"/>
  <c r="AK290" i="76"/>
  <c r="BA115" i="75"/>
  <c r="Y290" i="74"/>
  <c r="AK290" i="74"/>
  <c r="Q115" i="74"/>
  <c r="Q170" i="74"/>
  <c r="AZ132" i="73"/>
  <c r="AZ168" i="73" s="1"/>
  <c r="AK290" i="73"/>
  <c r="J290" i="73" s="1"/>
  <c r="BA132" i="73"/>
  <c r="BA168" i="73" s="1"/>
  <c r="P132" i="73"/>
  <c r="P168" i="73" s="1"/>
  <c r="P174" i="73" s="1"/>
  <c r="J169" i="72"/>
  <c r="J347" i="76"/>
  <c r="AK115" i="72"/>
  <c r="AK353" i="76"/>
  <c r="AO132" i="72"/>
  <c r="AO168" i="72" s="1"/>
  <c r="O132" i="72"/>
  <c r="AN157" i="75"/>
  <c r="AK370" i="76"/>
  <c r="M115" i="73"/>
  <c r="Y353" i="76"/>
  <c r="M290" i="76"/>
  <c r="J290" i="76" s="1"/>
  <c r="AC115" i="72"/>
  <c r="O132" i="73"/>
  <c r="P132" i="72"/>
  <c r="P168" i="72" s="1"/>
  <c r="AK370" i="74"/>
  <c r="M115" i="72"/>
  <c r="Q132" i="72"/>
  <c r="Q168" i="72" s="1"/>
  <c r="AM99" i="73"/>
  <c r="AM98" i="73"/>
  <c r="AM170" i="73"/>
  <c r="AM115" i="73"/>
  <c r="AM110" i="73"/>
  <c r="AM144" i="73"/>
  <c r="M353" i="76"/>
  <c r="J283" i="76"/>
  <c r="J282" i="76"/>
  <c r="M115" i="76"/>
  <c r="Q132" i="76"/>
  <c r="Q168" i="76" s="1"/>
  <c r="O132" i="76"/>
  <c r="O168" i="76" s="1"/>
  <c r="J346" i="76"/>
  <c r="J256" i="76"/>
  <c r="J171" i="76"/>
  <c r="Q144" i="76"/>
  <c r="Q110" i="76"/>
  <c r="Q170" i="76"/>
  <c r="AW353" i="76"/>
  <c r="AN153" i="76"/>
  <c r="AN149" i="76"/>
  <c r="AN151" i="76" s="1"/>
  <c r="AN159" i="76"/>
  <c r="AN161" i="76" s="1"/>
  <c r="AN155" i="76"/>
  <c r="AB251" i="76"/>
  <c r="AB116" i="76"/>
  <c r="AB252" i="76"/>
  <c r="Y252" i="76" s="1"/>
  <c r="AN116" i="76"/>
  <c r="AN251" i="76"/>
  <c r="AN252" i="76"/>
  <c r="AK252" i="76" s="1"/>
  <c r="AZ116" i="76"/>
  <c r="AZ251" i="76"/>
  <c r="AZ252" i="76"/>
  <c r="AW252" i="76" s="1"/>
  <c r="BA110" i="76"/>
  <c r="BA144" i="76"/>
  <c r="BA170" i="76"/>
  <c r="AC110" i="76"/>
  <c r="Y110" i="76" s="1"/>
  <c r="AC170" i="76"/>
  <c r="Y170" i="76" s="1"/>
  <c r="AC144" i="76"/>
  <c r="Y144" i="76" s="1"/>
  <c r="O144" i="76"/>
  <c r="O110" i="76"/>
  <c r="O99" i="76"/>
  <c r="O98" i="76"/>
  <c r="O170" i="76"/>
  <c r="P159" i="76"/>
  <c r="P161" i="76" s="1"/>
  <c r="P153" i="76"/>
  <c r="P155" i="76"/>
  <c r="P149" i="76"/>
  <c r="P151" i="76" s="1"/>
  <c r="AY97" i="76"/>
  <c r="AY115" i="76" s="1"/>
  <c r="BA132" i="76" s="1"/>
  <c r="BA168" i="76" s="1"/>
  <c r="P116" i="76"/>
  <c r="P190" i="76" s="1"/>
  <c r="P251" i="76"/>
  <c r="P252" i="76"/>
  <c r="M252" i="76" s="1"/>
  <c r="AM97" i="76"/>
  <c r="AM115" i="76" s="1"/>
  <c r="AZ153" i="76"/>
  <c r="AZ159" i="76"/>
  <c r="AZ161" i="76" s="1"/>
  <c r="AZ155" i="76"/>
  <c r="AZ149" i="76"/>
  <c r="AZ151" i="76" s="1"/>
  <c r="AB159" i="76"/>
  <c r="AB161" i="76" s="1"/>
  <c r="AB155" i="76"/>
  <c r="AB149" i="76"/>
  <c r="AB151" i="76" s="1"/>
  <c r="AB153" i="76"/>
  <c r="AO144" i="76"/>
  <c r="AO170" i="76"/>
  <c r="AO110" i="76"/>
  <c r="AM132" i="75"/>
  <c r="BA170" i="75"/>
  <c r="Y115" i="75"/>
  <c r="P132" i="75"/>
  <c r="P168" i="75" s="1"/>
  <c r="P178" i="75" s="1"/>
  <c r="AA132" i="75"/>
  <c r="AA168" i="75" s="1"/>
  <c r="AY97" i="75"/>
  <c r="AY144" i="75" s="1"/>
  <c r="AY155" i="75" s="1"/>
  <c r="M115" i="75"/>
  <c r="Q132" i="75"/>
  <c r="Q168" i="75" s="1"/>
  <c r="J256" i="75"/>
  <c r="Y353" i="75"/>
  <c r="AM170" i="75"/>
  <c r="AK170" i="75" s="1"/>
  <c r="AM110" i="75"/>
  <c r="AM144" i="75"/>
  <c r="AM98" i="75"/>
  <c r="AM99" i="75"/>
  <c r="AC144" i="75"/>
  <c r="AC170" i="75"/>
  <c r="AC181" i="75" s="1"/>
  <c r="AC110" i="75"/>
  <c r="Q170" i="75"/>
  <c r="Q110" i="75"/>
  <c r="Q144" i="75"/>
  <c r="J348" i="75"/>
  <c r="J283" i="75"/>
  <c r="AB116" i="75"/>
  <c r="AB190" i="75" s="1"/>
  <c r="AB251" i="75"/>
  <c r="AB252" i="75"/>
  <c r="Y252" i="75" s="1"/>
  <c r="AB159" i="75"/>
  <c r="AB161" i="75" s="1"/>
  <c r="AB155" i="75"/>
  <c r="AB153" i="75"/>
  <c r="AB149" i="75"/>
  <c r="AB151" i="75" s="1"/>
  <c r="AN126" i="75"/>
  <c r="AN120" i="75"/>
  <c r="AN241" i="75" s="1"/>
  <c r="AN187" i="75"/>
  <c r="AN188" i="75" s="1"/>
  <c r="AN130" i="75"/>
  <c r="AZ153" i="75"/>
  <c r="AZ155" i="75"/>
  <c r="AZ149" i="75"/>
  <c r="AZ151" i="75" s="1"/>
  <c r="AZ159" i="75"/>
  <c r="AZ161" i="75" s="1"/>
  <c r="AO144" i="75"/>
  <c r="AO153" i="75" s="1"/>
  <c r="AA144" i="75"/>
  <c r="AA99" i="75"/>
  <c r="AA98" i="75"/>
  <c r="AA170" i="75"/>
  <c r="AA110" i="75"/>
  <c r="P116" i="75"/>
  <c r="P251" i="75"/>
  <c r="P252" i="75"/>
  <c r="M252" i="75" s="1"/>
  <c r="O110" i="75"/>
  <c r="O99" i="75"/>
  <c r="O98" i="75"/>
  <c r="O144" i="75"/>
  <c r="O170" i="75"/>
  <c r="J350" i="75"/>
  <c r="AO110" i="75"/>
  <c r="AO251" i="75" s="1"/>
  <c r="AZ251" i="75"/>
  <c r="AZ116" i="75"/>
  <c r="AZ252" i="75"/>
  <c r="AW252" i="75" s="1"/>
  <c r="P155" i="75"/>
  <c r="P153" i="75"/>
  <c r="P149" i="75"/>
  <c r="P151" i="75" s="1"/>
  <c r="P159" i="75"/>
  <c r="P161" i="75" s="1"/>
  <c r="Y370" i="74"/>
  <c r="AC132" i="74"/>
  <c r="AC168" i="74" s="1"/>
  <c r="AA132" i="74"/>
  <c r="AA168" i="74" s="1"/>
  <c r="AB132" i="74"/>
  <c r="AB168" i="74" s="1"/>
  <c r="AB178" i="74" s="1"/>
  <c r="Y115" i="74"/>
  <c r="AO97" i="74"/>
  <c r="AO115" i="74" s="1"/>
  <c r="AN132" i="74" s="1"/>
  <c r="AN168" i="74" s="1"/>
  <c r="AN178" i="74" s="1"/>
  <c r="AY97" i="74"/>
  <c r="AY115" i="74" s="1"/>
  <c r="AM98" i="74"/>
  <c r="AM144" i="74"/>
  <c r="AM99" i="74"/>
  <c r="AM170" i="74"/>
  <c r="AM110" i="74"/>
  <c r="Q144" i="74"/>
  <c r="Q159" i="74" s="1"/>
  <c r="AA170" i="74"/>
  <c r="AA110" i="74"/>
  <c r="AA144" i="74"/>
  <c r="AA99" i="74"/>
  <c r="AA98" i="74"/>
  <c r="O97" i="74"/>
  <c r="O115" i="74" s="1"/>
  <c r="O132" i="74" s="1"/>
  <c r="AZ149" i="74"/>
  <c r="AZ151" i="74" s="1"/>
  <c r="AZ155" i="74"/>
  <c r="AZ159" i="74"/>
  <c r="AZ161" i="74" s="1"/>
  <c r="AZ153" i="74"/>
  <c r="AN153" i="74"/>
  <c r="AN149" i="74"/>
  <c r="AN151" i="74" s="1"/>
  <c r="AN159" i="74"/>
  <c r="AN161" i="74" s="1"/>
  <c r="AN155" i="74"/>
  <c r="AZ251" i="74"/>
  <c r="AZ252" i="74"/>
  <c r="AW252" i="74" s="1"/>
  <c r="AZ116" i="74"/>
  <c r="BA97" i="74"/>
  <c r="BA115" i="74" s="1"/>
  <c r="BA132" i="74" s="1"/>
  <c r="BA168" i="74" s="1"/>
  <c r="AN251" i="74"/>
  <c r="AN116" i="74"/>
  <c r="AN252" i="74"/>
  <c r="AK252" i="74" s="1"/>
  <c r="P251" i="74"/>
  <c r="P116" i="74"/>
  <c r="P252" i="74"/>
  <c r="M252" i="74" s="1"/>
  <c r="AB153" i="74"/>
  <c r="AB149" i="74"/>
  <c r="AB151" i="74" s="1"/>
  <c r="AB155" i="74"/>
  <c r="AB159" i="74"/>
  <c r="AB161" i="74" s="1"/>
  <c r="AW256" i="74"/>
  <c r="J256" i="74" s="1"/>
  <c r="P153" i="74"/>
  <c r="P159" i="74"/>
  <c r="P161" i="74" s="1"/>
  <c r="P155" i="74"/>
  <c r="P149" i="74"/>
  <c r="P151" i="74" s="1"/>
  <c r="AB252" i="74"/>
  <c r="Y252" i="74" s="1"/>
  <c r="AB116" i="74"/>
  <c r="AB251" i="74"/>
  <c r="AC144" i="74"/>
  <c r="AC170" i="74"/>
  <c r="AC110" i="74"/>
  <c r="AA132" i="73"/>
  <c r="AA168" i="73" s="1"/>
  <c r="AB132" i="73"/>
  <c r="AB168" i="73" s="1"/>
  <c r="AB181" i="73" s="1"/>
  <c r="Y115" i="73"/>
  <c r="Q170" i="73"/>
  <c r="Q174" i="73" s="1"/>
  <c r="Q110" i="73"/>
  <c r="Q144" i="73"/>
  <c r="J256" i="73"/>
  <c r="J346" i="73"/>
  <c r="AY144" i="73"/>
  <c r="AY110" i="73"/>
  <c r="AY170" i="73"/>
  <c r="AY99" i="73"/>
  <c r="AY98" i="73"/>
  <c r="AZ187" i="73"/>
  <c r="AZ188" i="73" s="1"/>
  <c r="AZ126" i="73"/>
  <c r="AZ120" i="73"/>
  <c r="AZ241" i="73" s="1"/>
  <c r="AZ130" i="73"/>
  <c r="P116" i="73"/>
  <c r="P251" i="73"/>
  <c r="P252" i="73"/>
  <c r="M252" i="73" s="1"/>
  <c r="AB149" i="73"/>
  <c r="AB151" i="73" s="1"/>
  <c r="AB159" i="73"/>
  <c r="AB161" i="73" s="1"/>
  <c r="AB155" i="73"/>
  <c r="AB153" i="73"/>
  <c r="BA144" i="73"/>
  <c r="BA170" i="73"/>
  <c r="BA110" i="73"/>
  <c r="AB116" i="73"/>
  <c r="AB251" i="73"/>
  <c r="AB252" i="73"/>
  <c r="Y252" i="73" s="1"/>
  <c r="O99" i="73"/>
  <c r="O170" i="73"/>
  <c r="O110" i="73"/>
  <c r="O98" i="73"/>
  <c r="O144" i="73"/>
  <c r="AO97" i="73"/>
  <c r="AO115" i="73" s="1"/>
  <c r="AK115" i="73" s="1"/>
  <c r="J115" i="73" s="1"/>
  <c r="AA170" i="73"/>
  <c r="Y170" i="73" s="1"/>
  <c r="AA110" i="73"/>
  <c r="AA144" i="73"/>
  <c r="AA99" i="73"/>
  <c r="AA98" i="73"/>
  <c r="AN251" i="73"/>
  <c r="AN116" i="73"/>
  <c r="AN252" i="73"/>
  <c r="AK252" i="73" s="1"/>
  <c r="AN149" i="73"/>
  <c r="AN151" i="73" s="1"/>
  <c r="AN159" i="73"/>
  <c r="AN161" i="73" s="1"/>
  <c r="AN155" i="73"/>
  <c r="AN153" i="73"/>
  <c r="AZ157" i="73"/>
  <c r="P155" i="73"/>
  <c r="P159" i="73"/>
  <c r="P161" i="73" s="1"/>
  <c r="P153" i="73"/>
  <c r="P149" i="73"/>
  <c r="P151" i="73" s="1"/>
  <c r="AN132" i="72"/>
  <c r="AN168" i="72" s="1"/>
  <c r="AN178" i="72" s="1"/>
  <c r="AA99" i="72"/>
  <c r="AC110" i="72"/>
  <c r="AC251" i="72" s="1"/>
  <c r="AC170" i="72"/>
  <c r="AO110" i="72"/>
  <c r="AO144" i="72"/>
  <c r="AO170" i="72"/>
  <c r="AO178" i="72" s="1"/>
  <c r="AK290" i="72"/>
  <c r="J290" i="72" s="1"/>
  <c r="J346" i="72"/>
  <c r="AY97" i="72"/>
  <c r="AY115" i="72" s="1"/>
  <c r="AY132" i="72" s="1"/>
  <c r="J256" i="72"/>
  <c r="P251" i="72"/>
  <c r="P116" i="72"/>
  <c r="P252" i="72"/>
  <c r="M252" i="72" s="1"/>
  <c r="AM110" i="72"/>
  <c r="AM144" i="72"/>
  <c r="AM99" i="72"/>
  <c r="AM98" i="72"/>
  <c r="AM170" i="72"/>
  <c r="AA110" i="72"/>
  <c r="AB116" i="72"/>
  <c r="AB251" i="72"/>
  <c r="AB252" i="72"/>
  <c r="Y252" i="72" s="1"/>
  <c r="AA170" i="72"/>
  <c r="AB153" i="72"/>
  <c r="AB155" i="72"/>
  <c r="AB149" i="72"/>
  <c r="AB151" i="72" s="1"/>
  <c r="AB159" i="72"/>
  <c r="AB161" i="72" s="1"/>
  <c r="AA98" i="72"/>
  <c r="AZ251" i="72"/>
  <c r="AZ116" i="72"/>
  <c r="AZ252" i="72"/>
  <c r="AW252" i="72" s="1"/>
  <c r="BA144" i="72"/>
  <c r="BA170" i="72"/>
  <c r="BA110" i="72"/>
  <c r="O170" i="72"/>
  <c r="O110" i="72"/>
  <c r="O144" i="72"/>
  <c r="O99" i="72"/>
  <c r="O98" i="72"/>
  <c r="AN149" i="72"/>
  <c r="AN151" i="72" s="1"/>
  <c r="AN159" i="72"/>
  <c r="AN161" i="72" s="1"/>
  <c r="AN155" i="72"/>
  <c r="AN153" i="72"/>
  <c r="Q144" i="72"/>
  <c r="Q110" i="72"/>
  <c r="Q170" i="72"/>
  <c r="AN252" i="72"/>
  <c r="AK252" i="72" s="1"/>
  <c r="AN251" i="72"/>
  <c r="AN116" i="72"/>
  <c r="AZ149" i="72"/>
  <c r="AZ151" i="72" s="1"/>
  <c r="AZ159" i="72"/>
  <c r="AZ161" i="72" s="1"/>
  <c r="AZ155" i="72"/>
  <c r="AZ153" i="72"/>
  <c r="P155" i="72"/>
  <c r="P153" i="72"/>
  <c r="P149" i="72"/>
  <c r="P151" i="72" s="1"/>
  <c r="P159" i="72"/>
  <c r="P161" i="72" s="1"/>
  <c r="J171" i="75"/>
  <c r="J348" i="74"/>
  <c r="AK353" i="73"/>
  <c r="J353" i="73" s="1"/>
  <c r="J345" i="76"/>
  <c r="AW370" i="76"/>
  <c r="AA251" i="76"/>
  <c r="AA116" i="76"/>
  <c r="AK353" i="74"/>
  <c r="J347" i="75"/>
  <c r="AA155" i="76"/>
  <c r="AA149" i="76"/>
  <c r="AA153" i="76"/>
  <c r="AA147" i="76"/>
  <c r="Y370" i="76"/>
  <c r="AZ132" i="76"/>
  <c r="AZ168" i="76" s="1"/>
  <c r="AY132" i="76"/>
  <c r="AK353" i="75"/>
  <c r="P178" i="76"/>
  <c r="P181" i="76"/>
  <c r="P174" i="76"/>
  <c r="J350" i="76"/>
  <c r="AC132" i="76"/>
  <c r="AC168" i="76" s="1"/>
  <c r="Y115" i="76"/>
  <c r="AB132" i="76"/>
  <c r="AB168" i="76" s="1"/>
  <c r="AA132" i="76"/>
  <c r="AW353" i="75"/>
  <c r="AM168" i="75"/>
  <c r="AP11" i="75"/>
  <c r="AP245" i="75"/>
  <c r="AP246" i="75" s="1"/>
  <c r="AW144" i="75"/>
  <c r="AW353" i="74"/>
  <c r="AN132" i="75"/>
  <c r="AN168" i="75" s="1"/>
  <c r="O32" i="74"/>
  <c r="O32" i="75"/>
  <c r="AW353" i="72"/>
  <c r="J171" i="74"/>
  <c r="BB11" i="75"/>
  <c r="BB245" i="75"/>
  <c r="BB246" i="75" s="1"/>
  <c r="AK115" i="75"/>
  <c r="AW290" i="75"/>
  <c r="M370" i="75"/>
  <c r="AO132" i="75"/>
  <c r="AO168" i="75" s="1"/>
  <c r="AW370" i="75"/>
  <c r="M290" i="75"/>
  <c r="J287" i="74"/>
  <c r="AO147" i="75"/>
  <c r="O168" i="75"/>
  <c r="BA116" i="75"/>
  <c r="BA251" i="75"/>
  <c r="AB178" i="75"/>
  <c r="AB174" i="75"/>
  <c r="AB181" i="75"/>
  <c r="J283" i="73"/>
  <c r="J347" i="74"/>
  <c r="J345" i="75"/>
  <c r="BA153" i="75"/>
  <c r="BA149" i="75"/>
  <c r="BA159" i="75"/>
  <c r="BA155" i="75"/>
  <c r="BA147" i="75"/>
  <c r="J171" i="72"/>
  <c r="Y353" i="74"/>
  <c r="J287" i="75"/>
  <c r="J346" i="75"/>
  <c r="Q251" i="74"/>
  <c r="Q116" i="74"/>
  <c r="M353" i="74"/>
  <c r="J345" i="74"/>
  <c r="M370" i="74"/>
  <c r="AD11" i="74"/>
  <c r="AD245" i="74"/>
  <c r="AD246" i="74" s="1"/>
  <c r="BB245" i="74"/>
  <c r="BB246" i="74" s="1"/>
  <c r="BB11" i="74"/>
  <c r="AW290" i="74"/>
  <c r="AZ132" i="74"/>
  <c r="AZ168" i="74" s="1"/>
  <c r="AY132" i="74"/>
  <c r="AW370" i="74"/>
  <c r="J169" i="74"/>
  <c r="J346" i="74"/>
  <c r="AB181" i="74"/>
  <c r="R11" i="74"/>
  <c r="R245" i="74"/>
  <c r="R246" i="74" s="1"/>
  <c r="J350" i="74"/>
  <c r="J283" i="74"/>
  <c r="M290" i="74"/>
  <c r="J282" i="74"/>
  <c r="AP11" i="74"/>
  <c r="AP245" i="74"/>
  <c r="AP246" i="74" s="1"/>
  <c r="O32" i="72"/>
  <c r="O32" i="73"/>
  <c r="AP11" i="73"/>
  <c r="AP245" i="73"/>
  <c r="AP246" i="73" s="1"/>
  <c r="AD11" i="73"/>
  <c r="AD245" i="73"/>
  <c r="AD246" i="73" s="1"/>
  <c r="AK353" i="72"/>
  <c r="AC130" i="73"/>
  <c r="AC126" i="73"/>
  <c r="AC187" i="73"/>
  <c r="AC188" i="73" s="1"/>
  <c r="AC120" i="73"/>
  <c r="J283" i="72"/>
  <c r="J348" i="72"/>
  <c r="AC151" i="73"/>
  <c r="AC243" i="73" s="1"/>
  <c r="AC161" i="73"/>
  <c r="AC157" i="73"/>
  <c r="J347" i="73"/>
  <c r="J348" i="73"/>
  <c r="BB11" i="73"/>
  <c r="BB245" i="73"/>
  <c r="BB246" i="73" s="1"/>
  <c r="P178" i="73"/>
  <c r="P190" i="73"/>
  <c r="P181" i="73"/>
  <c r="AY168" i="73"/>
  <c r="AW132" i="73"/>
  <c r="AK370" i="73"/>
  <c r="AC178" i="73"/>
  <c r="AC174" i="73"/>
  <c r="AC181" i="73"/>
  <c r="AZ178" i="73"/>
  <c r="AZ190" i="73"/>
  <c r="AZ181" i="73"/>
  <c r="AZ174" i="73"/>
  <c r="O168" i="73"/>
  <c r="AA153" i="72"/>
  <c r="AA149" i="72"/>
  <c r="Y144" i="72"/>
  <c r="AA159" i="72"/>
  <c r="AA155" i="72"/>
  <c r="AA147" i="72"/>
  <c r="AC132" i="72"/>
  <c r="AC168" i="72" s="1"/>
  <c r="Y115" i="72"/>
  <c r="AB132" i="72"/>
  <c r="AB168" i="72" s="1"/>
  <c r="AA132" i="72"/>
  <c r="AC153" i="72"/>
  <c r="AC149" i="72"/>
  <c r="AC159" i="72"/>
  <c r="AC147" i="72"/>
  <c r="AC155" i="72"/>
  <c r="AO181" i="72"/>
  <c r="J350" i="72"/>
  <c r="O168" i="72"/>
  <c r="AM168" i="72"/>
  <c r="Y353" i="72"/>
  <c r="Y370" i="72"/>
  <c r="AA251" i="72"/>
  <c r="AA116" i="72"/>
  <c r="J345" i="72"/>
  <c r="J287" i="72"/>
  <c r="P178" i="72"/>
  <c r="P181" i="72"/>
  <c r="P190" i="72"/>
  <c r="P174" i="72"/>
  <c r="AW370" i="72"/>
  <c r="AP11" i="72"/>
  <c r="AP245" i="72"/>
  <c r="AP246" i="72" s="1"/>
  <c r="O32" i="55"/>
  <c r="AW198" i="55"/>
  <c r="AK198" i="55"/>
  <c r="Y198" i="55"/>
  <c r="M132" i="73" l="1"/>
  <c r="AW170" i="73"/>
  <c r="AO174" i="72"/>
  <c r="P132" i="74"/>
  <c r="P168" i="74" s="1"/>
  <c r="AW115" i="74"/>
  <c r="M115" i="74"/>
  <c r="Y132" i="74"/>
  <c r="Q132" i="74"/>
  <c r="Q168" i="74" s="1"/>
  <c r="Q178" i="74" s="1"/>
  <c r="AM132" i="73"/>
  <c r="AM168" i="73" s="1"/>
  <c r="Q178" i="72"/>
  <c r="M132" i="72"/>
  <c r="Q147" i="74"/>
  <c r="Q149" i="74"/>
  <c r="Q153" i="74"/>
  <c r="Q155" i="74"/>
  <c r="AZ157" i="74"/>
  <c r="AC116" i="72"/>
  <c r="Y116" i="72" s="1"/>
  <c r="AN132" i="73"/>
  <c r="AN168" i="73" s="1"/>
  <c r="AN174" i="73" s="1"/>
  <c r="Q178" i="73"/>
  <c r="AC178" i="74"/>
  <c r="AB174" i="73"/>
  <c r="AN190" i="74"/>
  <c r="AM132" i="74"/>
  <c r="AM168" i="74" s="1"/>
  <c r="AW115" i="72"/>
  <c r="J115" i="72" s="1"/>
  <c r="AB190" i="73"/>
  <c r="AN181" i="74"/>
  <c r="AY98" i="72"/>
  <c r="AM147" i="73"/>
  <c r="AM153" i="73"/>
  <c r="AM149" i="73"/>
  <c r="AM159" i="73"/>
  <c r="AM155" i="73"/>
  <c r="AZ132" i="72"/>
  <c r="AZ168" i="72" s="1"/>
  <c r="AZ174" i="72" s="1"/>
  <c r="BA132" i="72"/>
  <c r="BA168" i="72" s="1"/>
  <c r="BA174" i="72" s="1"/>
  <c r="AB178" i="73"/>
  <c r="AB174" i="74"/>
  <c r="AN157" i="72"/>
  <c r="AM116" i="73"/>
  <c r="AM251" i="73"/>
  <c r="Y132" i="73"/>
  <c r="AB190" i="74"/>
  <c r="M170" i="76"/>
  <c r="J353" i="76"/>
  <c r="Q178" i="76"/>
  <c r="AZ12" i="73"/>
  <c r="AY170" i="72"/>
  <c r="AW170" i="72" s="1"/>
  <c r="Q181" i="76"/>
  <c r="Q174" i="76"/>
  <c r="M132" i="76"/>
  <c r="AM132" i="76"/>
  <c r="AO132" i="76"/>
  <c r="AO168" i="76" s="1"/>
  <c r="AO181" i="76" s="1"/>
  <c r="AK115" i="76"/>
  <c r="AN132" i="76"/>
  <c r="AN168" i="76" s="1"/>
  <c r="AN190" i="76" s="1"/>
  <c r="AW115" i="76"/>
  <c r="P157" i="76"/>
  <c r="Q116" i="76"/>
  <c r="Q251" i="76"/>
  <c r="Q159" i="76"/>
  <c r="Q155" i="76"/>
  <c r="Q149" i="76"/>
  <c r="Q153" i="76"/>
  <c r="Q147" i="76"/>
  <c r="BA159" i="76"/>
  <c r="BA155" i="76"/>
  <c r="BA147" i="76"/>
  <c r="BA149" i="76"/>
  <c r="BA153" i="76"/>
  <c r="P126" i="76"/>
  <c r="P120" i="76"/>
  <c r="P241" i="76" s="1"/>
  <c r="P187" i="76"/>
  <c r="P188" i="76" s="1"/>
  <c r="P130" i="76"/>
  <c r="P12" i="76" s="1"/>
  <c r="BA251" i="76"/>
  <c r="BA116" i="76"/>
  <c r="AY170" i="76"/>
  <c r="AW170" i="76" s="1"/>
  <c r="AY110" i="76"/>
  <c r="AY99" i="76"/>
  <c r="AY98" i="76"/>
  <c r="AY144" i="76"/>
  <c r="M110" i="76"/>
  <c r="O116" i="76"/>
  <c r="O251" i="76"/>
  <c r="M251" i="76" s="1"/>
  <c r="AB120" i="76"/>
  <c r="AB241" i="76" s="1"/>
  <c r="AB187" i="76"/>
  <c r="AB188" i="76" s="1"/>
  <c r="AB126" i="76"/>
  <c r="AB130" i="76"/>
  <c r="AO116" i="76"/>
  <c r="AO251" i="76"/>
  <c r="O155" i="76"/>
  <c r="O159" i="76"/>
  <c r="O147" i="76"/>
  <c r="O153" i="76"/>
  <c r="O149" i="76"/>
  <c r="M144" i="76"/>
  <c r="AC159" i="76"/>
  <c r="AC149" i="76"/>
  <c r="AC153" i="76"/>
  <c r="AC155" i="76"/>
  <c r="AC147" i="76"/>
  <c r="Y147" i="76" s="1"/>
  <c r="AZ120" i="76"/>
  <c r="AZ241" i="76" s="1"/>
  <c r="AZ130" i="76"/>
  <c r="AZ187" i="76"/>
  <c r="AZ188" i="76" s="1"/>
  <c r="AZ126" i="76"/>
  <c r="AO153" i="76"/>
  <c r="AO149" i="76"/>
  <c r="AO155" i="76"/>
  <c r="AO159" i="76"/>
  <c r="AO147" i="76"/>
  <c r="AZ157" i="76"/>
  <c r="AB157" i="76"/>
  <c r="AM144" i="76"/>
  <c r="AM99" i="76"/>
  <c r="AM98" i="76"/>
  <c r="AM110" i="76"/>
  <c r="AM170" i="76"/>
  <c r="AK170" i="76" s="1"/>
  <c r="J170" i="76" s="1"/>
  <c r="AC116" i="76"/>
  <c r="Y116" i="76" s="1"/>
  <c r="AC251" i="76"/>
  <c r="Y251" i="76" s="1"/>
  <c r="J252" i="76"/>
  <c r="AN130" i="76"/>
  <c r="AN126" i="76"/>
  <c r="AN120" i="76"/>
  <c r="AN241" i="76" s="1"/>
  <c r="AN187" i="76"/>
  <c r="AN188" i="76" s="1"/>
  <c r="AN157" i="76"/>
  <c r="Q178" i="75"/>
  <c r="AC174" i="75"/>
  <c r="AC178" i="75"/>
  <c r="Y170" i="75"/>
  <c r="P174" i="75"/>
  <c r="Y132" i="75"/>
  <c r="P190" i="75"/>
  <c r="P181" i="75"/>
  <c r="AO149" i="75"/>
  <c r="AO151" i="75" s="1"/>
  <c r="AO243" i="75" s="1"/>
  <c r="AO155" i="75"/>
  <c r="AO157" i="75" s="1"/>
  <c r="AO159" i="75"/>
  <c r="AO161" i="75" s="1"/>
  <c r="AY115" i="75"/>
  <c r="AY159" i="75"/>
  <c r="AY170" i="75"/>
  <c r="AW170" i="75" s="1"/>
  <c r="AY147" i="75"/>
  <c r="AY110" i="75"/>
  <c r="AY149" i="75"/>
  <c r="AY98" i="75"/>
  <c r="AY153" i="75"/>
  <c r="AY99" i="75"/>
  <c r="Q181" i="75"/>
  <c r="Q174" i="75"/>
  <c r="AK110" i="75"/>
  <c r="M132" i="75"/>
  <c r="M170" i="75"/>
  <c r="AM149" i="75"/>
  <c r="AM159" i="75"/>
  <c r="AM155" i="75"/>
  <c r="AM153" i="75"/>
  <c r="AM147" i="75"/>
  <c r="AK147" i="75" s="1"/>
  <c r="AM251" i="75"/>
  <c r="AK251" i="75" s="1"/>
  <c r="AM116" i="75"/>
  <c r="AK144" i="75"/>
  <c r="Q153" i="75"/>
  <c r="Q147" i="75"/>
  <c r="Q149" i="75"/>
  <c r="Q159" i="75"/>
  <c r="Q155" i="75"/>
  <c r="Q116" i="75"/>
  <c r="Q251" i="75"/>
  <c r="AC116" i="75"/>
  <c r="AC251" i="75"/>
  <c r="AO116" i="75"/>
  <c r="AO120" i="75" s="1"/>
  <c r="AC153" i="75"/>
  <c r="AC149" i="75"/>
  <c r="AC159" i="75"/>
  <c r="AC155" i="75"/>
  <c r="AC147" i="75"/>
  <c r="J252" i="75"/>
  <c r="AA251" i="75"/>
  <c r="AA116" i="75"/>
  <c r="Y110" i="75"/>
  <c r="AB157" i="75"/>
  <c r="P157" i="75"/>
  <c r="O153" i="75"/>
  <c r="O149" i="75"/>
  <c r="M144" i="75"/>
  <c r="O155" i="75"/>
  <c r="O147" i="75"/>
  <c r="O159" i="75"/>
  <c r="AZ157" i="75"/>
  <c r="P187" i="75"/>
  <c r="P188" i="75" s="1"/>
  <c r="P130" i="75"/>
  <c r="P126" i="75"/>
  <c r="P120" i="75"/>
  <c r="P241" i="75" s="1"/>
  <c r="AZ126" i="75"/>
  <c r="AZ130" i="75"/>
  <c r="AZ120" i="75"/>
  <c r="AZ241" i="75" s="1"/>
  <c r="AZ187" i="75"/>
  <c r="AZ188" i="75" s="1"/>
  <c r="M110" i="75"/>
  <c r="O116" i="75"/>
  <c r="O251" i="75"/>
  <c r="AA159" i="75"/>
  <c r="AA155" i="75"/>
  <c r="AA147" i="75"/>
  <c r="Y144" i="75"/>
  <c r="AA153" i="75"/>
  <c r="AA149" i="75"/>
  <c r="AB187" i="75"/>
  <c r="AB188" i="75" s="1"/>
  <c r="AB130" i="75"/>
  <c r="AB12" i="75" s="1"/>
  <c r="AB126" i="75"/>
  <c r="AB120" i="75"/>
  <c r="AB241" i="75" s="1"/>
  <c r="AN174" i="74"/>
  <c r="AY98" i="74"/>
  <c r="AY170" i="74"/>
  <c r="AO132" i="74"/>
  <c r="AO168" i="74" s="1"/>
  <c r="AK115" i="74"/>
  <c r="AY144" i="74"/>
  <c r="P157" i="74"/>
  <c r="AO144" i="74"/>
  <c r="AO170" i="74"/>
  <c r="AO110" i="74"/>
  <c r="AY99" i="74"/>
  <c r="AY110" i="74"/>
  <c r="AC181" i="74"/>
  <c r="AC174" i="74"/>
  <c r="AM153" i="74"/>
  <c r="AM149" i="74"/>
  <c r="AM159" i="74"/>
  <c r="AM155" i="74"/>
  <c r="AM147" i="74"/>
  <c r="AB157" i="74"/>
  <c r="Y170" i="74"/>
  <c r="AM116" i="74"/>
  <c r="AM251" i="74"/>
  <c r="AC251" i="74"/>
  <c r="AC116" i="74"/>
  <c r="O144" i="74"/>
  <c r="O170" i="74"/>
  <c r="M170" i="74" s="1"/>
  <c r="O110" i="74"/>
  <c r="O99" i="74"/>
  <c r="O98" i="74"/>
  <c r="AC153" i="74"/>
  <c r="AC149" i="74"/>
  <c r="AC159" i="74"/>
  <c r="AC155" i="74"/>
  <c r="AC147" i="74"/>
  <c r="AN120" i="74"/>
  <c r="AN241" i="74" s="1"/>
  <c r="AN126" i="74"/>
  <c r="AN187" i="74"/>
  <c r="AN188" i="74" s="1"/>
  <c r="AN130" i="74"/>
  <c r="AB187" i="74"/>
  <c r="AB188" i="74" s="1"/>
  <c r="AB120" i="74"/>
  <c r="AB241" i="74" s="1"/>
  <c r="AB130" i="74"/>
  <c r="AB12" i="74" s="1"/>
  <c r="AB126" i="74"/>
  <c r="AN157" i="74"/>
  <c r="AA159" i="74"/>
  <c r="AA147" i="74"/>
  <c r="AA155" i="74"/>
  <c r="AA153" i="74"/>
  <c r="AA149" i="74"/>
  <c r="Y144" i="74"/>
  <c r="P187" i="74"/>
  <c r="P188" i="74" s="1"/>
  <c r="P120" i="74"/>
  <c r="P241" i="74" s="1"/>
  <c r="P126" i="74"/>
  <c r="P130" i="74"/>
  <c r="BA144" i="74"/>
  <c r="BA110" i="74"/>
  <c r="BA170" i="74"/>
  <c r="AA251" i="74"/>
  <c r="AA116" i="74"/>
  <c r="Y110" i="74"/>
  <c r="AZ130" i="74"/>
  <c r="AZ126" i="74"/>
  <c r="AZ187" i="74"/>
  <c r="AZ188" i="74" s="1"/>
  <c r="AZ120" i="74"/>
  <c r="AZ241" i="74" s="1"/>
  <c r="J252" i="74"/>
  <c r="AO132" i="73"/>
  <c r="AO168" i="73" s="1"/>
  <c r="Q181" i="73"/>
  <c r="M170" i="73"/>
  <c r="BA181" i="73"/>
  <c r="BA174" i="73"/>
  <c r="BA178" i="73"/>
  <c r="Q149" i="73"/>
  <c r="Q159" i="73"/>
  <c r="Q147" i="73"/>
  <c r="Q153" i="73"/>
  <c r="Q155" i="73"/>
  <c r="Q116" i="73"/>
  <c r="Q251" i="73"/>
  <c r="P157" i="73"/>
  <c r="AY116" i="73"/>
  <c r="AY251" i="73"/>
  <c r="AN157" i="73"/>
  <c r="AB157" i="73"/>
  <c r="AY159" i="73"/>
  <c r="AY155" i="73"/>
  <c r="AY153" i="73"/>
  <c r="AY147" i="73"/>
  <c r="AY149" i="73"/>
  <c r="AO110" i="73"/>
  <c r="AO144" i="73"/>
  <c r="AO170" i="73"/>
  <c r="AK170" i="73" s="1"/>
  <c r="AB120" i="73"/>
  <c r="AB241" i="73" s="1"/>
  <c r="AB187" i="73"/>
  <c r="AB188" i="73" s="1"/>
  <c r="AB130" i="73"/>
  <c r="AB12" i="73" s="1"/>
  <c r="AB126" i="73"/>
  <c r="J252" i="73"/>
  <c r="AN130" i="73"/>
  <c r="AN126" i="73"/>
  <c r="AN187" i="73"/>
  <c r="AN188" i="73" s="1"/>
  <c r="AN120" i="73"/>
  <c r="AN241" i="73" s="1"/>
  <c r="O159" i="73"/>
  <c r="O155" i="73"/>
  <c r="O149" i="73"/>
  <c r="O153" i="73"/>
  <c r="O147" i="73"/>
  <c r="M144" i="73"/>
  <c r="BA116" i="73"/>
  <c r="BA251" i="73"/>
  <c r="AW110" i="73"/>
  <c r="P187" i="73"/>
  <c r="P188" i="73" s="1"/>
  <c r="P120" i="73"/>
  <c r="P241" i="73" s="1"/>
  <c r="P130" i="73"/>
  <c r="P12" i="73" s="1"/>
  <c r="P126" i="73"/>
  <c r="M110" i="73"/>
  <c r="O116" i="73"/>
  <c r="O251" i="73"/>
  <c r="BA159" i="73"/>
  <c r="AW144" i="73"/>
  <c r="BA155" i="73"/>
  <c r="BA149" i="73"/>
  <c r="BA147" i="73"/>
  <c r="BA153" i="73"/>
  <c r="AA149" i="73"/>
  <c r="Y144" i="73"/>
  <c r="AA155" i="73"/>
  <c r="AA147" i="73"/>
  <c r="AA159" i="73"/>
  <c r="AA153" i="73"/>
  <c r="Y110" i="73"/>
  <c r="AA251" i="73"/>
  <c r="Y251" i="73" s="1"/>
  <c r="AA116" i="73"/>
  <c r="AK132" i="72"/>
  <c r="AN181" i="72"/>
  <c r="AN174" i="72"/>
  <c r="AN190" i="72"/>
  <c r="Q181" i="72"/>
  <c r="AK170" i="72"/>
  <c r="Y110" i="72"/>
  <c r="Q174" i="72"/>
  <c r="Y170" i="72"/>
  <c r="P157" i="72"/>
  <c r="AO116" i="72"/>
  <c r="AO251" i="72"/>
  <c r="AO153" i="72"/>
  <c r="AO149" i="72"/>
  <c r="AO159" i="72"/>
  <c r="AO147" i="72"/>
  <c r="AO155" i="72"/>
  <c r="AB157" i="72"/>
  <c r="AY144" i="72"/>
  <c r="AY99" i="72"/>
  <c r="AY110" i="72"/>
  <c r="AZ187" i="72"/>
  <c r="AZ188" i="72" s="1"/>
  <c r="AZ130" i="72"/>
  <c r="AZ120" i="72"/>
  <c r="AZ241" i="72" s="1"/>
  <c r="AZ126" i="72"/>
  <c r="BA153" i="72"/>
  <c r="BA149" i="72"/>
  <c r="BA147" i="72"/>
  <c r="BA159" i="72"/>
  <c r="BA155" i="72"/>
  <c r="AZ157" i="72"/>
  <c r="Q251" i="72"/>
  <c r="Q116" i="72"/>
  <c r="O147" i="72"/>
  <c r="O159" i="72"/>
  <c r="O155" i="72"/>
  <c r="M144" i="72"/>
  <c r="O153" i="72"/>
  <c r="O149" i="72"/>
  <c r="AM153" i="72"/>
  <c r="AM147" i="72"/>
  <c r="AM155" i="72"/>
  <c r="AK144" i="72"/>
  <c r="AM149" i="72"/>
  <c r="AM159" i="72"/>
  <c r="AK110" i="72"/>
  <c r="AM116" i="72"/>
  <c r="AM251" i="72"/>
  <c r="Q159" i="72"/>
  <c r="Q155" i="72"/>
  <c r="Q147" i="72"/>
  <c r="Q153" i="72"/>
  <c r="Q149" i="72"/>
  <c r="M170" i="72"/>
  <c r="AB187" i="72"/>
  <c r="AB188" i="72" s="1"/>
  <c r="AB120" i="72"/>
  <c r="AB241" i="72" s="1"/>
  <c r="AB130" i="72"/>
  <c r="AB126" i="72"/>
  <c r="BA251" i="72"/>
  <c r="BA116" i="72"/>
  <c r="J252" i="72"/>
  <c r="M110" i="72"/>
  <c r="O116" i="72"/>
  <c r="O251" i="72"/>
  <c r="AN120" i="72"/>
  <c r="AN241" i="72" s="1"/>
  <c r="AN130" i="72"/>
  <c r="AN126" i="72"/>
  <c r="AN187" i="72"/>
  <c r="AN188" i="72" s="1"/>
  <c r="P187" i="72"/>
  <c r="P188" i="72" s="1"/>
  <c r="P120" i="72"/>
  <c r="P241" i="72" s="1"/>
  <c r="P130" i="72"/>
  <c r="P12" i="72" s="1"/>
  <c r="P126" i="72"/>
  <c r="J353" i="75"/>
  <c r="Y132" i="76"/>
  <c r="AA168" i="76"/>
  <c r="AB178" i="76"/>
  <c r="AB190" i="76"/>
  <c r="AB181" i="76"/>
  <c r="AB174" i="76"/>
  <c r="AY168" i="76"/>
  <c r="AW132" i="76"/>
  <c r="AZ178" i="76"/>
  <c r="AZ190" i="76"/>
  <c r="AZ174" i="76"/>
  <c r="AZ181" i="76"/>
  <c r="AC178" i="76"/>
  <c r="AC174" i="76"/>
  <c r="AC181" i="76"/>
  <c r="AA161" i="76"/>
  <c r="AA157" i="76"/>
  <c r="AA151" i="76"/>
  <c r="J290" i="75"/>
  <c r="BA174" i="76"/>
  <c r="BA178" i="76"/>
  <c r="BA181" i="76"/>
  <c r="O178" i="76"/>
  <c r="M168" i="76"/>
  <c r="O174" i="76"/>
  <c r="O181" i="76"/>
  <c r="M181" i="76" s="1"/>
  <c r="AA187" i="76"/>
  <c r="AA130" i="76"/>
  <c r="AA126" i="76"/>
  <c r="AA120" i="76"/>
  <c r="BA187" i="75"/>
  <c r="BA188" i="75" s="1"/>
  <c r="BA126" i="75"/>
  <c r="BA120" i="75"/>
  <c r="BA130" i="75"/>
  <c r="BA151" i="75"/>
  <c r="BA243" i="75" s="1"/>
  <c r="BA161" i="75"/>
  <c r="BA157" i="75"/>
  <c r="AN178" i="75"/>
  <c r="AN174" i="75"/>
  <c r="AN190" i="75"/>
  <c r="AN181" i="75"/>
  <c r="AN12" i="75" s="1"/>
  <c r="M168" i="75"/>
  <c r="O174" i="75"/>
  <c r="O178" i="75"/>
  <c r="O181" i="75"/>
  <c r="AO178" i="75"/>
  <c r="AO181" i="75"/>
  <c r="AO174" i="75"/>
  <c r="Y168" i="75"/>
  <c r="AA178" i="75"/>
  <c r="AA181" i="75"/>
  <c r="Y181" i="75" s="1"/>
  <c r="AA174" i="75"/>
  <c r="AK168" i="75"/>
  <c r="AM178" i="75"/>
  <c r="AM174" i="75"/>
  <c r="AM181" i="75"/>
  <c r="J353" i="72"/>
  <c r="J353" i="74"/>
  <c r="AK132" i="75"/>
  <c r="Q151" i="74"/>
  <c r="Q243" i="74" s="1"/>
  <c r="Q161" i="74"/>
  <c r="Y168" i="74"/>
  <c r="AA178" i="74"/>
  <c r="AA174" i="74"/>
  <c r="AA181" i="74"/>
  <c r="O168" i="74"/>
  <c r="AY168" i="74"/>
  <c r="AW132" i="74"/>
  <c r="P178" i="74"/>
  <c r="P181" i="74"/>
  <c r="P174" i="74"/>
  <c r="P190" i="74"/>
  <c r="Q187" i="74"/>
  <c r="Q188" i="74" s="1"/>
  <c r="Q120" i="74"/>
  <c r="Q130" i="74"/>
  <c r="Q126" i="74"/>
  <c r="AZ178" i="74"/>
  <c r="AZ190" i="74"/>
  <c r="AZ181" i="74"/>
  <c r="AZ174" i="74"/>
  <c r="Q181" i="74"/>
  <c r="J290" i="74"/>
  <c r="AC12" i="73"/>
  <c r="AW168" i="73"/>
  <c r="AY178" i="73"/>
  <c r="AY181" i="73"/>
  <c r="AY174" i="73"/>
  <c r="AM178" i="73"/>
  <c r="AM174" i="73"/>
  <c r="AM181" i="73"/>
  <c r="AC241" i="73"/>
  <c r="O178" i="73"/>
  <c r="M168" i="73"/>
  <c r="O174" i="73"/>
  <c r="O181" i="73"/>
  <c r="AA178" i="73"/>
  <c r="Y168" i="73"/>
  <c r="AA174" i="73"/>
  <c r="AA181" i="73"/>
  <c r="Y181" i="73" s="1"/>
  <c r="AA130" i="72"/>
  <c r="AA126" i="72"/>
  <c r="AA187" i="72"/>
  <c r="AA120" i="72"/>
  <c r="AC178" i="72"/>
  <c r="AC181" i="72"/>
  <c r="AC174" i="72"/>
  <c r="AY168" i="72"/>
  <c r="AC187" i="72"/>
  <c r="AC188" i="72" s="1"/>
  <c r="AC130" i="72"/>
  <c r="AZ181" i="72"/>
  <c r="AZ12" i="72" s="1"/>
  <c r="AZ190" i="72"/>
  <c r="AM178" i="72"/>
  <c r="AK178" i="72" s="1"/>
  <c r="AK168" i="72"/>
  <c r="AM181" i="72"/>
  <c r="AM174" i="72"/>
  <c r="AC151" i="72"/>
  <c r="AC243" i="72" s="1"/>
  <c r="AC161" i="72"/>
  <c r="AC157" i="72"/>
  <c r="O178" i="72"/>
  <c r="M178" i="72" s="1"/>
  <c r="M168" i="72"/>
  <c r="O181" i="72"/>
  <c r="O174" i="72"/>
  <c r="AA168" i="72"/>
  <c r="Y132" i="72"/>
  <c r="AB178" i="72"/>
  <c r="AB190" i="72"/>
  <c r="AB181" i="72"/>
  <c r="AB174" i="72"/>
  <c r="AA151" i="72"/>
  <c r="AA161" i="72"/>
  <c r="Y147" i="72"/>
  <c r="AA157" i="72"/>
  <c r="Y251" i="72"/>
  <c r="M198" i="55"/>
  <c r="W199" i="55"/>
  <c r="V199" i="55"/>
  <c r="U199" i="55"/>
  <c r="S199" i="55"/>
  <c r="R199" i="55"/>
  <c r="Q199" i="55"/>
  <c r="P199" i="55"/>
  <c r="O199" i="55"/>
  <c r="E352" i="55"/>
  <c r="E351" i="55"/>
  <c r="E350" i="55"/>
  <c r="E349" i="55"/>
  <c r="E348" i="55"/>
  <c r="E347" i="55"/>
  <c r="E346" i="55"/>
  <c r="E345" i="55"/>
  <c r="Q174" i="74" l="1"/>
  <c r="M132" i="74"/>
  <c r="Q157" i="74"/>
  <c r="M178" i="76"/>
  <c r="AZ12" i="76"/>
  <c r="Y178" i="74"/>
  <c r="J115" i="74"/>
  <c r="M181" i="73"/>
  <c r="AN181" i="73"/>
  <c r="AK168" i="73"/>
  <c r="AN178" i="73"/>
  <c r="AN190" i="73"/>
  <c r="AC120" i="72"/>
  <c r="AC126" i="72"/>
  <c r="AZ178" i="72"/>
  <c r="AK181" i="72"/>
  <c r="Y178" i="73"/>
  <c r="AY151" i="75"/>
  <c r="AW178" i="73"/>
  <c r="M178" i="73"/>
  <c r="AW170" i="74"/>
  <c r="M181" i="72"/>
  <c r="AK132" i="73"/>
  <c r="J132" i="73" s="1"/>
  <c r="J170" i="73"/>
  <c r="BA178" i="72"/>
  <c r="AW181" i="73"/>
  <c r="AN12" i="74"/>
  <c r="AM161" i="73"/>
  <c r="AM12" i="73" s="1"/>
  <c r="AM151" i="73"/>
  <c r="AM157" i="73"/>
  <c r="BA181" i="72"/>
  <c r="AN12" i="72"/>
  <c r="AM120" i="73"/>
  <c r="AM241" i="73" s="1"/>
  <c r="AM130" i="73"/>
  <c r="AM126" i="73"/>
  <c r="AM187" i="73"/>
  <c r="AM188" i="73" s="1"/>
  <c r="AW132" i="72"/>
  <c r="J132" i="72" s="1"/>
  <c r="J115" i="76"/>
  <c r="AB12" i="76"/>
  <c r="AN178" i="76"/>
  <c r="AN174" i="76"/>
  <c r="AN181" i="76"/>
  <c r="AN12" i="76" s="1"/>
  <c r="AM168" i="76"/>
  <c r="AK132" i="76"/>
  <c r="J132" i="76" s="1"/>
  <c r="AO178" i="76"/>
  <c r="AO174" i="76"/>
  <c r="Q157" i="76"/>
  <c r="Q161" i="76"/>
  <c r="Q151" i="76"/>
  <c r="Q243" i="76" s="1"/>
  <c r="Q187" i="76"/>
  <c r="Q188" i="76" s="1"/>
  <c r="Q120" i="76"/>
  <c r="Q241" i="76" s="1"/>
  <c r="Q130" i="76"/>
  <c r="Q126" i="76"/>
  <c r="AO187" i="76"/>
  <c r="AO188" i="76" s="1"/>
  <c r="AO120" i="76"/>
  <c r="AO241" i="76" s="1"/>
  <c r="AO130" i="76"/>
  <c r="AO126" i="76"/>
  <c r="AY147" i="76"/>
  <c r="AY159" i="76"/>
  <c r="AY153" i="76"/>
  <c r="AY155" i="76"/>
  <c r="AW144" i="76"/>
  <c r="AY149" i="76"/>
  <c r="AC187" i="76"/>
  <c r="AC188" i="76" s="1"/>
  <c r="AC120" i="76"/>
  <c r="AC241" i="76" s="1"/>
  <c r="AC130" i="76"/>
  <c r="Y130" i="76" s="1"/>
  <c r="AC126" i="76"/>
  <c r="Y126" i="76" s="1"/>
  <c r="AO161" i="76"/>
  <c r="AO151" i="76"/>
  <c r="AO243" i="76" s="1"/>
  <c r="AO157" i="76"/>
  <c r="AC161" i="76"/>
  <c r="Y161" i="76" s="1"/>
  <c r="AC157" i="76"/>
  <c r="Y157" i="76" s="1"/>
  <c r="AC151" i="76"/>
  <c r="AC243" i="76" s="1"/>
  <c r="AK110" i="76"/>
  <c r="AM116" i="76"/>
  <c r="AM251" i="76"/>
  <c r="AK251" i="76" s="1"/>
  <c r="AW110" i="76"/>
  <c r="AY116" i="76"/>
  <c r="AY251" i="76"/>
  <c r="AW251" i="76" s="1"/>
  <c r="O161" i="76"/>
  <c r="O157" i="76"/>
  <c r="M147" i="76"/>
  <c r="O151" i="76"/>
  <c r="M151" i="76" s="1"/>
  <c r="BA130" i="76"/>
  <c r="BA126" i="76"/>
  <c r="BA187" i="76"/>
  <c r="BA188" i="76" s="1"/>
  <c r="BA120" i="76"/>
  <c r="BA241" i="76" s="1"/>
  <c r="BA161" i="76"/>
  <c r="BA157" i="76"/>
  <c r="BA151" i="76"/>
  <c r="BA243" i="76" s="1"/>
  <c r="AK144" i="76"/>
  <c r="AM155" i="76"/>
  <c r="AM159" i="76"/>
  <c r="AM149" i="76"/>
  <c r="AM147" i="76"/>
  <c r="AM153" i="76"/>
  <c r="O130" i="76"/>
  <c r="M116" i="76"/>
  <c r="O126" i="76"/>
  <c r="O187" i="76"/>
  <c r="O120" i="76"/>
  <c r="M178" i="75"/>
  <c r="Y178" i="75"/>
  <c r="AO187" i="75"/>
  <c r="AO188" i="75" s="1"/>
  <c r="AW147" i="75"/>
  <c r="P12" i="75"/>
  <c r="Y251" i="75"/>
  <c r="AY157" i="75"/>
  <c r="AW157" i="75" s="1"/>
  <c r="AY161" i="75"/>
  <c r="AW161" i="75" s="1"/>
  <c r="J170" i="75"/>
  <c r="M251" i="75"/>
  <c r="AY251" i="75"/>
  <c r="AW251" i="75" s="1"/>
  <c r="AW110" i="75"/>
  <c r="J110" i="75" s="1"/>
  <c r="AY116" i="75"/>
  <c r="AY132" i="75"/>
  <c r="AZ132" i="75"/>
  <c r="AZ168" i="75" s="1"/>
  <c r="BA132" i="75"/>
  <c r="BA168" i="75" s="1"/>
  <c r="AW115" i="75"/>
  <c r="J115" i="75" s="1"/>
  <c r="AK116" i="75"/>
  <c r="AO126" i="75"/>
  <c r="AO130" i="75"/>
  <c r="AO12" i="75" s="1"/>
  <c r="M181" i="75"/>
  <c r="AM126" i="75"/>
  <c r="AM130" i="75"/>
  <c r="AM187" i="75"/>
  <c r="AM188" i="75" s="1"/>
  <c r="AM120" i="75"/>
  <c r="AM241" i="75" s="1"/>
  <c r="AM151" i="75"/>
  <c r="AK151" i="75" s="1"/>
  <c r="AM161" i="75"/>
  <c r="AK161" i="75" s="1"/>
  <c r="AM157" i="75"/>
  <c r="AK157" i="75" s="1"/>
  <c r="J144" i="75"/>
  <c r="AC120" i="75"/>
  <c r="AC241" i="75" s="1"/>
  <c r="AC126" i="75"/>
  <c r="AC187" i="75"/>
  <c r="AC188" i="75" s="1"/>
  <c r="AC130" i="75"/>
  <c r="AC151" i="75"/>
  <c r="AC243" i="75" s="1"/>
  <c r="AC161" i="75"/>
  <c r="AC157" i="75"/>
  <c r="Q187" i="75"/>
  <c r="Q188" i="75" s="1"/>
  <c r="Q120" i="75"/>
  <c r="Q241" i="75" s="1"/>
  <c r="Q130" i="75"/>
  <c r="Q126" i="75"/>
  <c r="Q157" i="75"/>
  <c r="Q161" i="75"/>
  <c r="Q151" i="75"/>
  <c r="Q243" i="75" s="1"/>
  <c r="AA161" i="75"/>
  <c r="AA151" i="75"/>
  <c r="AA157" i="75"/>
  <c r="Y147" i="75"/>
  <c r="O151" i="75"/>
  <c r="O161" i="75"/>
  <c r="M147" i="75"/>
  <c r="O157" i="75"/>
  <c r="Y116" i="75"/>
  <c r="AA126" i="75"/>
  <c r="AA120" i="75"/>
  <c r="AA187" i="75"/>
  <c r="AA130" i="75"/>
  <c r="O130" i="75"/>
  <c r="O187" i="75"/>
  <c r="O120" i="75"/>
  <c r="M116" i="75"/>
  <c r="O126" i="75"/>
  <c r="AK168" i="74"/>
  <c r="BA181" i="74"/>
  <c r="BA174" i="74"/>
  <c r="BA178" i="74"/>
  <c r="AK132" i="74"/>
  <c r="J132" i="74" s="1"/>
  <c r="AY153" i="74"/>
  <c r="AY147" i="74"/>
  <c r="AY159" i="74"/>
  <c r="AY155" i="74"/>
  <c r="AY149" i="74"/>
  <c r="AO116" i="74"/>
  <c r="AO251" i="74"/>
  <c r="AK251" i="74" s="1"/>
  <c r="AO178" i="74"/>
  <c r="AO181" i="74"/>
  <c r="AO174" i="74"/>
  <c r="AO155" i="74"/>
  <c r="AK144" i="74"/>
  <c r="AO153" i="74"/>
  <c r="AO147" i="74"/>
  <c r="AO149" i="74"/>
  <c r="AO159" i="74"/>
  <c r="AK110" i="74"/>
  <c r="AK170" i="74"/>
  <c r="AY251" i="74"/>
  <c r="AY116" i="74"/>
  <c r="Y181" i="74"/>
  <c r="AM157" i="74"/>
  <c r="AM151" i="74"/>
  <c r="AM161" i="74"/>
  <c r="AM187" i="74"/>
  <c r="AM188" i="74" s="1"/>
  <c r="AM126" i="74"/>
  <c r="AM120" i="74"/>
  <c r="AM241" i="74" s="1"/>
  <c r="AM130" i="74"/>
  <c r="AZ12" i="74"/>
  <c r="AM181" i="74"/>
  <c r="AM174" i="74"/>
  <c r="AA187" i="74"/>
  <c r="AA130" i="74"/>
  <c r="Y116" i="74"/>
  <c r="AA126" i="74"/>
  <c r="AA120" i="74"/>
  <c r="AA157" i="74"/>
  <c r="Y147" i="74"/>
  <c r="AA151" i="74"/>
  <c r="AA161" i="74"/>
  <c r="Y251" i="74"/>
  <c r="AC157" i="74"/>
  <c r="AC161" i="74"/>
  <c r="AC151" i="74"/>
  <c r="AC243" i="74" s="1"/>
  <c r="AM178" i="74"/>
  <c r="P12" i="74"/>
  <c r="O116" i="74"/>
  <c r="M110" i="74"/>
  <c r="O251" i="74"/>
  <c r="M251" i="74" s="1"/>
  <c r="AW110" i="74"/>
  <c r="BA116" i="74"/>
  <c r="BA251" i="74"/>
  <c r="AW144" i="74"/>
  <c r="BA155" i="74"/>
  <c r="BA153" i="74"/>
  <c r="BA147" i="74"/>
  <c r="BA149" i="74"/>
  <c r="BA159" i="74"/>
  <c r="O153" i="74"/>
  <c r="O147" i="74"/>
  <c r="O149" i="74"/>
  <c r="O155" i="74"/>
  <c r="M144" i="74"/>
  <c r="O159" i="74"/>
  <c r="AC120" i="74"/>
  <c r="AC241" i="74" s="1"/>
  <c r="AC126" i="74"/>
  <c r="AC187" i="74"/>
  <c r="AC188" i="74" s="1"/>
  <c r="AC130" i="74"/>
  <c r="M251" i="73"/>
  <c r="AW251" i="73"/>
  <c r="Q151" i="73"/>
  <c r="Q243" i="73" s="1"/>
  <c r="Q157" i="73"/>
  <c r="Q161" i="73"/>
  <c r="AO174" i="73"/>
  <c r="AK174" i="73" s="1"/>
  <c r="Q120" i="73"/>
  <c r="Q241" i="73" s="1"/>
  <c r="Q130" i="73"/>
  <c r="Q126" i="73"/>
  <c r="Q187" i="73"/>
  <c r="Q188" i="73" s="1"/>
  <c r="AY120" i="73"/>
  <c r="AY130" i="73"/>
  <c r="AY126" i="73"/>
  <c r="AY187" i="73"/>
  <c r="AY188" i="73" s="1"/>
  <c r="AN12" i="73"/>
  <c r="AY157" i="73"/>
  <c r="AY161" i="73"/>
  <c r="AY151" i="73"/>
  <c r="O120" i="73"/>
  <c r="O126" i="73"/>
  <c r="O187" i="73"/>
  <c r="O130" i="73"/>
  <c r="M116" i="73"/>
  <c r="BA130" i="73"/>
  <c r="BA126" i="73"/>
  <c r="BA187" i="73"/>
  <c r="BA120" i="73"/>
  <c r="BA241" i="73" s="1"/>
  <c r="AW116" i="73"/>
  <c r="Y147" i="73"/>
  <c r="AA157" i="73"/>
  <c r="Y157" i="73" s="1"/>
  <c r="AA151" i="73"/>
  <c r="Y151" i="73" s="1"/>
  <c r="AA161" i="73"/>
  <c r="Y161" i="73" s="1"/>
  <c r="BA151" i="73"/>
  <c r="AW147" i="73"/>
  <c r="BA161" i="73"/>
  <c r="BA157" i="73"/>
  <c r="O161" i="73"/>
  <c r="M161" i="73" s="1"/>
  <c r="M147" i="73"/>
  <c r="O157" i="73"/>
  <c r="O151" i="73"/>
  <c r="AK144" i="73"/>
  <c r="J144" i="73" s="1"/>
  <c r="AO147" i="73"/>
  <c r="AO153" i="73"/>
  <c r="AO149" i="73"/>
  <c r="AO159" i="73"/>
  <c r="AO155" i="73"/>
  <c r="AK110" i="73"/>
  <c r="J110" i="73" s="1"/>
  <c r="AO251" i="73"/>
  <c r="AK251" i="73" s="1"/>
  <c r="J251" i="73" s="1"/>
  <c r="AO116" i="73"/>
  <c r="AA120" i="73"/>
  <c r="AA130" i="73"/>
  <c r="Y130" i="73" s="1"/>
  <c r="Y116" i="73"/>
  <c r="AA187" i="73"/>
  <c r="AA126" i="73"/>
  <c r="Y126" i="73" s="1"/>
  <c r="AO181" i="73"/>
  <c r="AK181" i="73" s="1"/>
  <c r="AO178" i="73"/>
  <c r="AK178" i="73" s="1"/>
  <c r="J178" i="73" s="1"/>
  <c r="AK251" i="72"/>
  <c r="M251" i="72"/>
  <c r="J170" i="72"/>
  <c r="AO151" i="72"/>
  <c r="AO243" i="72" s="1"/>
  <c r="AO157" i="72"/>
  <c r="AO161" i="72"/>
  <c r="AO120" i="72"/>
  <c r="AO241" i="72" s="1"/>
  <c r="AO126" i="72"/>
  <c r="AO130" i="72"/>
  <c r="AO187" i="72"/>
  <c r="AO188" i="72" s="1"/>
  <c r="AB12" i="72"/>
  <c r="AW110" i="72"/>
  <c r="J110" i="72" s="1"/>
  <c r="AY116" i="72"/>
  <c r="AY251" i="72"/>
  <c r="AW251" i="72" s="1"/>
  <c r="AW144" i="72"/>
  <c r="J144" i="72" s="1"/>
  <c r="AY147" i="72"/>
  <c r="AY155" i="72"/>
  <c r="AY153" i="72"/>
  <c r="AY159" i="72"/>
  <c r="AY149" i="72"/>
  <c r="M147" i="72"/>
  <c r="O157" i="72"/>
  <c r="O151" i="72"/>
  <c r="O161" i="72"/>
  <c r="AM151" i="72"/>
  <c r="AM157" i="72"/>
  <c r="AM161" i="72"/>
  <c r="AK147" i="72"/>
  <c r="Q120" i="72"/>
  <c r="Q241" i="72" s="1"/>
  <c r="Q187" i="72"/>
  <c r="Q188" i="72" s="1"/>
  <c r="Q130" i="72"/>
  <c r="Q126" i="72"/>
  <c r="Q157" i="72"/>
  <c r="Q151" i="72"/>
  <c r="Q243" i="72" s="1"/>
  <c r="Q161" i="72"/>
  <c r="O187" i="72"/>
  <c r="O130" i="72"/>
  <c r="O120" i="72"/>
  <c r="M116" i="72"/>
  <c r="O126" i="72"/>
  <c r="AM187" i="72"/>
  <c r="AM120" i="72"/>
  <c r="AM130" i="72"/>
  <c r="AK116" i="72"/>
  <c r="AM126" i="72"/>
  <c r="BA126" i="72"/>
  <c r="BA187" i="72"/>
  <c r="BA188" i="72" s="1"/>
  <c r="BA120" i="72"/>
  <c r="BA241" i="72" s="1"/>
  <c r="BA130" i="72"/>
  <c r="BA157" i="72"/>
  <c r="BA151" i="72"/>
  <c r="BA243" i="72" s="1"/>
  <c r="BA161" i="72"/>
  <c r="AK181" i="75"/>
  <c r="AK178" i="75"/>
  <c r="M174" i="76"/>
  <c r="AY178" i="76"/>
  <c r="AW178" i="76" s="1"/>
  <c r="AW168" i="76"/>
  <c r="AY174" i="76"/>
  <c r="AY181" i="76"/>
  <c r="AW181" i="76" s="1"/>
  <c r="AW151" i="75"/>
  <c r="AA188" i="76"/>
  <c r="Y168" i="76"/>
  <c r="AA178" i="76"/>
  <c r="Y178" i="76" s="1"/>
  <c r="AA181" i="76"/>
  <c r="Y181" i="76" s="1"/>
  <c r="AA174" i="76"/>
  <c r="Y120" i="76"/>
  <c r="AA241" i="76"/>
  <c r="Y174" i="75"/>
  <c r="BA241" i="75"/>
  <c r="AO241" i="75"/>
  <c r="M174" i="75"/>
  <c r="AK174" i="75"/>
  <c r="J168" i="73"/>
  <c r="AW168" i="74"/>
  <c r="AY178" i="74"/>
  <c r="AY174" i="74"/>
  <c r="AY181" i="74"/>
  <c r="Y174" i="74"/>
  <c r="M168" i="74"/>
  <c r="O178" i="74"/>
  <c r="M178" i="74" s="1"/>
  <c r="O174" i="74"/>
  <c r="O181" i="74"/>
  <c r="M181" i="74" s="1"/>
  <c r="Q12" i="74"/>
  <c r="Q241" i="74"/>
  <c r="M174" i="73"/>
  <c r="AW174" i="73"/>
  <c r="Y157" i="72"/>
  <c r="Y174" i="73"/>
  <c r="Y161" i="72"/>
  <c r="Y151" i="72"/>
  <c r="AK174" i="72"/>
  <c r="Y120" i="72"/>
  <c r="AA241" i="72"/>
  <c r="Y168" i="72"/>
  <c r="AA178" i="72"/>
  <c r="Y178" i="72" s="1"/>
  <c r="AA174" i="72"/>
  <c r="AA181" i="72"/>
  <c r="Y181" i="72" s="1"/>
  <c r="M174" i="72"/>
  <c r="AC12" i="72"/>
  <c r="Y187" i="72"/>
  <c r="AA188" i="72"/>
  <c r="AC241" i="72"/>
  <c r="Y126" i="72"/>
  <c r="AY178" i="72"/>
  <c r="AW178" i="72" s="1"/>
  <c r="AW168" i="72"/>
  <c r="AY174" i="72"/>
  <c r="AY181" i="72"/>
  <c r="Y130" i="72"/>
  <c r="AW162" i="24"/>
  <c r="AW141" i="24"/>
  <c r="AW153" i="24" s="1"/>
  <c r="AK241" i="75" l="1"/>
  <c r="J181" i="73"/>
  <c r="O12" i="73"/>
  <c r="AW181" i="72"/>
  <c r="M161" i="76"/>
  <c r="AW178" i="74"/>
  <c r="J170" i="74"/>
  <c r="AK120" i="75"/>
  <c r="M151" i="73"/>
  <c r="BA12" i="73"/>
  <c r="J251" i="76"/>
  <c r="Q12" i="76"/>
  <c r="M157" i="73"/>
  <c r="O12" i="76"/>
  <c r="AC12" i="76"/>
  <c r="Y187" i="76"/>
  <c r="AA355" i="76" s="1"/>
  <c r="M157" i="76"/>
  <c r="M126" i="76"/>
  <c r="M130" i="76"/>
  <c r="AK168" i="76"/>
  <c r="J168" i="76" s="1"/>
  <c r="AM174" i="76"/>
  <c r="AK174" i="76" s="1"/>
  <c r="AM178" i="76"/>
  <c r="AK178" i="76" s="1"/>
  <c r="J178" i="76" s="1"/>
  <c r="AM181" i="76"/>
  <c r="AK181" i="76" s="1"/>
  <c r="J181" i="76" s="1"/>
  <c r="BA12" i="76"/>
  <c r="AO12" i="76"/>
  <c r="AM151" i="76"/>
  <c r="AK151" i="76" s="1"/>
  <c r="AM157" i="76"/>
  <c r="AK157" i="76" s="1"/>
  <c r="AK147" i="76"/>
  <c r="AM161" i="76"/>
  <c r="AK161" i="76" s="1"/>
  <c r="AY161" i="76"/>
  <c r="AW161" i="76" s="1"/>
  <c r="AW147" i="76"/>
  <c r="AY157" i="76"/>
  <c r="AW157" i="76" s="1"/>
  <c r="AY151" i="76"/>
  <c r="AW151" i="76" s="1"/>
  <c r="M120" i="76"/>
  <c r="O241" i="76"/>
  <c r="M241" i="76" s="1"/>
  <c r="AY120" i="76"/>
  <c r="AY126" i="76"/>
  <c r="AW126" i="76" s="1"/>
  <c r="AY187" i="76"/>
  <c r="AY130" i="76"/>
  <c r="AW116" i="76"/>
  <c r="Y151" i="76"/>
  <c r="M187" i="76"/>
  <c r="O188" i="76"/>
  <c r="J110" i="76"/>
  <c r="AM187" i="76"/>
  <c r="AM120" i="76"/>
  <c r="AM130" i="76"/>
  <c r="AK116" i="76"/>
  <c r="AM126" i="76"/>
  <c r="AK126" i="76" s="1"/>
  <c r="J144" i="76"/>
  <c r="AK126" i="75"/>
  <c r="J251" i="75"/>
  <c r="Y130" i="75"/>
  <c r="M161" i="75"/>
  <c r="BA178" i="75"/>
  <c r="BA181" i="75"/>
  <c r="BA12" i="75" s="1"/>
  <c r="BA174" i="75"/>
  <c r="AZ190" i="75"/>
  <c r="AZ178" i="75"/>
  <c r="AZ181" i="75"/>
  <c r="AZ12" i="75" s="1"/>
  <c r="AZ174" i="75"/>
  <c r="AK187" i="75"/>
  <c r="AK188" i="75" s="1"/>
  <c r="AY168" i="75"/>
  <c r="AW132" i="75"/>
  <c r="J132" i="75" s="1"/>
  <c r="AY120" i="75"/>
  <c r="AY126" i="75"/>
  <c r="AW126" i="75" s="1"/>
  <c r="AY130" i="75"/>
  <c r="AW130" i="75" s="1"/>
  <c r="AY187" i="75"/>
  <c r="AW116" i="75"/>
  <c r="J116" i="75" s="1"/>
  <c r="M130" i="75"/>
  <c r="M126" i="75"/>
  <c r="Y126" i="75"/>
  <c r="AK130" i="75"/>
  <c r="AM12" i="75"/>
  <c r="AA12" i="75"/>
  <c r="Y151" i="75"/>
  <c r="M157" i="75"/>
  <c r="Y161" i="75"/>
  <c r="J147" i="75"/>
  <c r="M151" i="75"/>
  <c r="AC12" i="75"/>
  <c r="Q12" i="75"/>
  <c r="Y157" i="75"/>
  <c r="Y187" i="75"/>
  <c r="AA188" i="75"/>
  <c r="Y120" i="75"/>
  <c r="AA241" i="75"/>
  <c r="Y241" i="75" s="1"/>
  <c r="O12" i="75"/>
  <c r="M120" i="75"/>
  <c r="O241" i="75"/>
  <c r="M241" i="75" s="1"/>
  <c r="O188" i="75"/>
  <c r="M187" i="75"/>
  <c r="AK174" i="74"/>
  <c r="Y126" i="74"/>
  <c r="AY161" i="74"/>
  <c r="AY157" i="74"/>
  <c r="AY151" i="74"/>
  <c r="AW251" i="74"/>
  <c r="J251" i="74" s="1"/>
  <c r="J144" i="74"/>
  <c r="AO157" i="74"/>
  <c r="AK157" i="74" s="1"/>
  <c r="AO151" i="74"/>
  <c r="AK147" i="74"/>
  <c r="AO161" i="74"/>
  <c r="AK161" i="74" s="1"/>
  <c r="AK178" i="74"/>
  <c r="J178" i="74" s="1"/>
  <c r="AO120" i="74"/>
  <c r="AO241" i="74" s="1"/>
  <c r="AK241" i="74" s="1"/>
  <c r="AO187" i="74"/>
  <c r="AO130" i="74"/>
  <c r="AK130" i="74" s="1"/>
  <c r="AO126" i="74"/>
  <c r="AK126" i="74" s="1"/>
  <c r="AK116" i="74"/>
  <c r="AY126" i="74"/>
  <c r="AY187" i="74"/>
  <c r="AY188" i="74" s="1"/>
  <c r="AY130" i="74"/>
  <c r="AY12" i="74" s="1"/>
  <c r="AY120" i="74"/>
  <c r="Y157" i="74"/>
  <c r="AC12" i="74"/>
  <c r="O151" i="74"/>
  <c r="M151" i="74" s="1"/>
  <c r="M147" i="74"/>
  <c r="O161" i="74"/>
  <c r="M161" i="74" s="1"/>
  <c r="O157" i="74"/>
  <c r="M157" i="74" s="1"/>
  <c r="AA241" i="74"/>
  <c r="Y241" i="74" s="1"/>
  <c r="Y120" i="74"/>
  <c r="BA130" i="74"/>
  <c r="BA126" i="74"/>
  <c r="BA187" i="74"/>
  <c r="BA120" i="74"/>
  <c r="BA241" i="74" s="1"/>
  <c r="AW116" i="74"/>
  <c r="BA161" i="74"/>
  <c r="AW161" i="74" s="1"/>
  <c r="AW147" i="74"/>
  <c r="BA151" i="74"/>
  <c r="BA157" i="74"/>
  <c r="Y130" i="74"/>
  <c r="AA12" i="74"/>
  <c r="J110" i="74"/>
  <c r="Y161" i="74"/>
  <c r="Y187" i="74"/>
  <c r="AA188" i="74"/>
  <c r="O130" i="74"/>
  <c r="M130" i="74" s="1"/>
  <c r="M116" i="74"/>
  <c r="O126" i="74"/>
  <c r="M126" i="74" s="1"/>
  <c r="O120" i="74"/>
  <c r="O187" i="74"/>
  <c r="Y151" i="74"/>
  <c r="AK181" i="74"/>
  <c r="AM12" i="74"/>
  <c r="AY12" i="73"/>
  <c r="M130" i="73"/>
  <c r="AW126" i="73"/>
  <c r="M126" i="73"/>
  <c r="AW130" i="73"/>
  <c r="Q12" i="73"/>
  <c r="AW157" i="73"/>
  <c r="AA12" i="73"/>
  <c r="AW161" i="73"/>
  <c r="AW120" i="73"/>
  <c r="AY241" i="73"/>
  <c r="AW241" i="73" s="1"/>
  <c r="BA243" i="73"/>
  <c r="AW151" i="73"/>
  <c r="BA188" i="73"/>
  <c r="AW187" i="73"/>
  <c r="AA188" i="73"/>
  <c r="Y187" i="73"/>
  <c r="O188" i="73"/>
  <c r="M187" i="73"/>
  <c r="Y120" i="73"/>
  <c r="AA241" i="73"/>
  <c r="Y241" i="73" s="1"/>
  <c r="AK147" i="73"/>
  <c r="J147" i="73" s="1"/>
  <c r="AO161" i="73"/>
  <c r="AK161" i="73" s="1"/>
  <c r="AO157" i="73"/>
  <c r="AK157" i="73" s="1"/>
  <c r="AO151" i="73"/>
  <c r="AK116" i="73"/>
  <c r="J116" i="73" s="1"/>
  <c r="AO187" i="73"/>
  <c r="AO120" i="73"/>
  <c r="AO130" i="73"/>
  <c r="AK130" i="73" s="1"/>
  <c r="AO126" i="73"/>
  <c r="AK126" i="73" s="1"/>
  <c r="M120" i="73"/>
  <c r="O241" i="73"/>
  <c r="M241" i="73" s="1"/>
  <c r="J251" i="72"/>
  <c r="AK126" i="72"/>
  <c r="M126" i="72"/>
  <c r="M130" i="72"/>
  <c r="AK130" i="72"/>
  <c r="AK151" i="72"/>
  <c r="AO12" i="72"/>
  <c r="AK161" i="72"/>
  <c r="AK157" i="72"/>
  <c r="J178" i="72"/>
  <c r="O12" i="72"/>
  <c r="AY157" i="72"/>
  <c r="AW157" i="72" s="1"/>
  <c r="AY151" i="72"/>
  <c r="AW151" i="72" s="1"/>
  <c r="AY161" i="72"/>
  <c r="AW161" i="72" s="1"/>
  <c r="AW147" i="72"/>
  <c r="J147" i="72" s="1"/>
  <c r="AY120" i="72"/>
  <c r="AY187" i="72"/>
  <c r="AY130" i="72"/>
  <c r="AW130" i="72" s="1"/>
  <c r="AW116" i="72"/>
  <c r="J116" i="72" s="1"/>
  <c r="AY126" i="72"/>
  <c r="AW126" i="72" s="1"/>
  <c r="BA12" i="72"/>
  <c r="AM12" i="72"/>
  <c r="AK187" i="72"/>
  <c r="AM188" i="72"/>
  <c r="M120" i="72"/>
  <c r="O241" i="72"/>
  <c r="M241" i="72" s="1"/>
  <c r="M161" i="72"/>
  <c r="M187" i="72"/>
  <c r="O188" i="72"/>
  <c r="Q12" i="72"/>
  <c r="M151" i="72"/>
  <c r="M157" i="72"/>
  <c r="AK120" i="72"/>
  <c r="AM241" i="72"/>
  <c r="AK241" i="72" s="1"/>
  <c r="AA12" i="76"/>
  <c r="Y241" i="76"/>
  <c r="Y174" i="76"/>
  <c r="AW174" i="76"/>
  <c r="AS294" i="75"/>
  <c r="J168" i="74"/>
  <c r="J181" i="72"/>
  <c r="AW181" i="74"/>
  <c r="J168" i="72"/>
  <c r="AW174" i="74"/>
  <c r="M174" i="74"/>
  <c r="J174" i="73"/>
  <c r="AA12" i="72"/>
  <c r="Y241" i="72"/>
  <c r="Y224" i="72"/>
  <c r="Y188" i="72"/>
  <c r="AI356" i="72"/>
  <c r="AI294" i="72"/>
  <c r="AA295" i="72"/>
  <c r="AB355" i="72"/>
  <c r="AB295" i="72"/>
  <c r="AI355" i="72"/>
  <c r="AC294" i="72"/>
  <c r="AI295" i="72"/>
  <c r="AD295" i="72"/>
  <c r="AA356" i="72"/>
  <c r="AA294" i="72"/>
  <c r="AE294" i="72"/>
  <c r="AB294" i="72"/>
  <c r="AA355" i="72"/>
  <c r="AB356" i="72"/>
  <c r="AC356" i="72"/>
  <c r="AE356" i="72"/>
  <c r="AD356" i="72"/>
  <c r="AE355" i="72"/>
  <c r="AD355" i="72"/>
  <c r="AF294" i="72"/>
  <c r="AD294" i="72"/>
  <c r="AC295" i="72"/>
  <c r="AC296" i="72" s="1"/>
  <c r="AC298" i="72" s="1"/>
  <c r="AE295" i="72"/>
  <c r="AC355" i="72"/>
  <c r="AH355" i="72"/>
  <c r="AG355" i="72"/>
  <c r="AF355" i="72"/>
  <c r="AG295" i="72"/>
  <c r="AH295" i="72"/>
  <c r="AH356" i="72"/>
  <c r="AG356" i="72"/>
  <c r="AH294" i="72"/>
  <c r="AF295" i="72"/>
  <c r="AF356" i="72"/>
  <c r="AG294" i="72"/>
  <c r="AW174" i="72"/>
  <c r="Y174" i="72"/>
  <c r="W193" i="55"/>
  <c r="V193" i="55"/>
  <c r="U193" i="55"/>
  <c r="S193" i="55"/>
  <c r="R193" i="55"/>
  <c r="Q193" i="55"/>
  <c r="P193" i="55"/>
  <c r="O193" i="55"/>
  <c r="I228" i="24"/>
  <c r="W204" i="55"/>
  <c r="V204" i="55"/>
  <c r="U204" i="55"/>
  <c r="S204" i="55"/>
  <c r="R204" i="55"/>
  <c r="Q204" i="55"/>
  <c r="P204" i="55"/>
  <c r="O204" i="55"/>
  <c r="AI356" i="76" l="1"/>
  <c r="AF356" i="76"/>
  <c r="AD295" i="76"/>
  <c r="AG294" i="76"/>
  <c r="AW157" i="74"/>
  <c r="J157" i="73"/>
  <c r="AK120" i="74"/>
  <c r="J161" i="75"/>
  <c r="AN295" i="75"/>
  <c r="AQ355" i="75"/>
  <c r="AH356" i="76"/>
  <c r="AC294" i="76"/>
  <c r="AD294" i="76"/>
  <c r="AA356" i="76"/>
  <c r="AA357" i="76" s="1"/>
  <c r="AH355" i="76"/>
  <c r="AG355" i="76"/>
  <c r="AA294" i="76"/>
  <c r="AO355" i="75"/>
  <c r="AG356" i="76"/>
  <c r="AC355" i="76"/>
  <c r="AF355" i="76"/>
  <c r="AE356" i="76"/>
  <c r="AF294" i="76"/>
  <c r="AI295" i="76"/>
  <c r="AI296" i="76" s="1"/>
  <c r="AI298" i="76" s="1"/>
  <c r="J130" i="73"/>
  <c r="AG295" i="76"/>
  <c r="AB294" i="76"/>
  <c r="AR295" i="75"/>
  <c r="AI294" i="76"/>
  <c r="AC356" i="76"/>
  <c r="AD355" i="76"/>
  <c r="AE294" i="76"/>
  <c r="AE296" i="76" s="1"/>
  <c r="Y224" i="76"/>
  <c r="AD356" i="76"/>
  <c r="AB295" i="76"/>
  <c r="AB296" i="76" s="1"/>
  <c r="AB298" i="76" s="1"/>
  <c r="AN355" i="75"/>
  <c r="AH294" i="76"/>
  <c r="AA295" i="76"/>
  <c r="AF295" i="76"/>
  <c r="AB355" i="76"/>
  <c r="Y188" i="76"/>
  <c r="AC224" i="76" s="1"/>
  <c r="AB356" i="76"/>
  <c r="AR294" i="75"/>
  <c r="AH295" i="76"/>
  <c r="AH296" i="76" s="1"/>
  <c r="AE355" i="76"/>
  <c r="AT355" i="75"/>
  <c r="AN356" i="75"/>
  <c r="AC295" i="76"/>
  <c r="AI355" i="76"/>
  <c r="AI357" i="76" s="1"/>
  <c r="AE295" i="76"/>
  <c r="J126" i="73"/>
  <c r="J116" i="76"/>
  <c r="J157" i="76"/>
  <c r="J147" i="76"/>
  <c r="J161" i="76"/>
  <c r="AW187" i="76"/>
  <c r="AY188" i="76"/>
  <c r="AW120" i="76"/>
  <c r="AY241" i="76"/>
  <c r="AW241" i="76" s="1"/>
  <c r="J126" i="76"/>
  <c r="T355" i="76"/>
  <c r="BD292" i="76"/>
  <c r="P356" i="76"/>
  <c r="AZ292" i="76"/>
  <c r="BF292" i="76"/>
  <c r="U355" i="76"/>
  <c r="O294" i="76"/>
  <c r="U295" i="76"/>
  <c r="W295" i="76"/>
  <c r="S356" i="76"/>
  <c r="U292" i="76"/>
  <c r="O356" i="76"/>
  <c r="W356" i="76"/>
  <c r="T294" i="76"/>
  <c r="P295" i="76"/>
  <c r="O295" i="76"/>
  <c r="AR292" i="76"/>
  <c r="O355" i="76"/>
  <c r="AS292" i="76"/>
  <c r="AM292" i="76"/>
  <c r="M224" i="76"/>
  <c r="W292" i="76"/>
  <c r="P292" i="76"/>
  <c r="AN292" i="76"/>
  <c r="R295" i="76"/>
  <c r="W355" i="76"/>
  <c r="AB292" i="76"/>
  <c r="S295" i="76"/>
  <c r="AU292" i="76"/>
  <c r="AI292" i="76"/>
  <c r="S294" i="76"/>
  <c r="AT292" i="76"/>
  <c r="V295" i="76"/>
  <c r="M188" i="76"/>
  <c r="R292" i="76"/>
  <c r="T292" i="76"/>
  <c r="T356" i="76"/>
  <c r="BA292" i="76"/>
  <c r="AC292" i="76"/>
  <c r="Q355" i="76"/>
  <c r="BB292" i="76"/>
  <c r="AH292" i="76"/>
  <c r="S292" i="76"/>
  <c r="P355" i="76"/>
  <c r="T295" i="76"/>
  <c r="AG292" i="76"/>
  <c r="AQ292" i="76"/>
  <c r="V356" i="76"/>
  <c r="U356" i="76"/>
  <c r="BG292" i="76"/>
  <c r="U294" i="76"/>
  <c r="Q295" i="76"/>
  <c r="AD292" i="76"/>
  <c r="R355" i="76"/>
  <c r="AP292" i="76"/>
  <c r="BE292" i="76"/>
  <c r="V294" i="76"/>
  <c r="AF292" i="76"/>
  <c r="V355" i="76"/>
  <c r="AE292" i="76"/>
  <c r="AA292" i="76"/>
  <c r="R356" i="76"/>
  <c r="Q294" i="76"/>
  <c r="Q356" i="76"/>
  <c r="AY292" i="76"/>
  <c r="P294" i="76"/>
  <c r="R294" i="76"/>
  <c r="W294" i="76"/>
  <c r="AO292" i="76"/>
  <c r="V292" i="76"/>
  <c r="S355" i="76"/>
  <c r="BC292" i="76"/>
  <c r="O292" i="76"/>
  <c r="Q292" i="76"/>
  <c r="AF296" i="76"/>
  <c r="AF298" i="76" s="1"/>
  <c r="AK130" i="76"/>
  <c r="AM12" i="76"/>
  <c r="J151" i="76"/>
  <c r="AK120" i="76"/>
  <c r="AM241" i="76"/>
  <c r="AK241" i="76" s="1"/>
  <c r="AK187" i="76"/>
  <c r="AM188" i="76"/>
  <c r="AY12" i="76"/>
  <c r="AW130" i="76"/>
  <c r="AO356" i="75"/>
  <c r="AP356" i="75"/>
  <c r="AS295" i="75"/>
  <c r="AR355" i="75"/>
  <c r="AU294" i="75"/>
  <c r="AO294" i="75"/>
  <c r="AQ294" i="75"/>
  <c r="AT356" i="75"/>
  <c r="AS356" i="75"/>
  <c r="AM294" i="75"/>
  <c r="AU295" i="75"/>
  <c r="AP295" i="75"/>
  <c r="AP294" i="75"/>
  <c r="AS355" i="75"/>
  <c r="AM295" i="75"/>
  <c r="AU355" i="75"/>
  <c r="AU356" i="75"/>
  <c r="AM356" i="75"/>
  <c r="AN294" i="75"/>
  <c r="AT294" i="75"/>
  <c r="AM355" i="75"/>
  <c r="AQ356" i="75"/>
  <c r="AR356" i="75"/>
  <c r="AK224" i="75"/>
  <c r="AT295" i="75"/>
  <c r="AO295" i="75"/>
  <c r="AP355" i="75"/>
  <c r="AQ295" i="75"/>
  <c r="AQ296" i="75" s="1"/>
  <c r="AW187" i="75"/>
  <c r="J187" i="75" s="1"/>
  <c r="J188" i="75" s="1"/>
  <c r="AY188" i="75"/>
  <c r="AW120" i="75"/>
  <c r="J120" i="75" s="1"/>
  <c r="AY241" i="75"/>
  <c r="AW241" i="75" s="1"/>
  <c r="J241" i="75" s="1"/>
  <c r="J126" i="75"/>
  <c r="AY174" i="75"/>
  <c r="AW174" i="75" s="1"/>
  <c r="J174" i="75" s="1"/>
  <c r="AW168" i="75"/>
  <c r="J168" i="75" s="1"/>
  <c r="AY178" i="75"/>
  <c r="AW178" i="75" s="1"/>
  <c r="J178" i="75" s="1"/>
  <c r="AY181" i="75"/>
  <c r="AW181" i="75" s="1"/>
  <c r="J181" i="75" s="1"/>
  <c r="J130" i="75"/>
  <c r="J151" i="75"/>
  <c r="J157" i="75"/>
  <c r="M188" i="75"/>
  <c r="AP292" i="75"/>
  <c r="AN292" i="75"/>
  <c r="AQ292" i="75"/>
  <c r="Q295" i="75"/>
  <c r="AG292" i="75"/>
  <c r="AH292" i="75"/>
  <c r="R294" i="75"/>
  <c r="O292" i="75"/>
  <c r="Q355" i="75"/>
  <c r="P356" i="75"/>
  <c r="M224" i="75"/>
  <c r="BC292" i="75"/>
  <c r="T295" i="75"/>
  <c r="AR292" i="75"/>
  <c r="P294" i="75"/>
  <c r="U294" i="75"/>
  <c r="BE292" i="75"/>
  <c r="W355" i="75"/>
  <c r="AA292" i="75"/>
  <c r="W356" i="75"/>
  <c r="AC292" i="75"/>
  <c r="BF292" i="75"/>
  <c r="V292" i="75"/>
  <c r="T294" i="75"/>
  <c r="V295" i="75"/>
  <c r="S356" i="75"/>
  <c r="BB292" i="75"/>
  <c r="AU292" i="75"/>
  <c r="U355" i="75"/>
  <c r="Q356" i="75"/>
  <c r="O355" i="75"/>
  <c r="R355" i="75"/>
  <c r="V294" i="75"/>
  <c r="R356" i="75"/>
  <c r="S355" i="75"/>
  <c r="V355" i="75"/>
  <c r="BA292" i="75"/>
  <c r="O294" i="75"/>
  <c r="R292" i="75"/>
  <c r="P295" i="75"/>
  <c r="AI292" i="75"/>
  <c r="AF292" i="75"/>
  <c r="W294" i="75"/>
  <c r="T292" i="75"/>
  <c r="W295" i="75"/>
  <c r="T355" i="75"/>
  <c r="W292" i="75"/>
  <c r="AM292" i="75"/>
  <c r="P355" i="75"/>
  <c r="T356" i="75"/>
  <c r="AS292" i="75"/>
  <c r="U292" i="75"/>
  <c r="AB292" i="75"/>
  <c r="AZ292" i="75"/>
  <c r="S294" i="75"/>
  <c r="S292" i="75"/>
  <c r="U295" i="75"/>
  <c r="AY292" i="75"/>
  <c r="BD292" i="75"/>
  <c r="Q294" i="75"/>
  <c r="O356" i="75"/>
  <c r="AD292" i="75"/>
  <c r="V356" i="75"/>
  <c r="P292" i="75"/>
  <c r="S295" i="75"/>
  <c r="AE292" i="75"/>
  <c r="U356" i="75"/>
  <c r="AO292" i="75"/>
  <c r="BG292" i="75"/>
  <c r="Q292" i="75"/>
  <c r="AT292" i="75"/>
  <c r="R295" i="75"/>
  <c r="O295" i="75"/>
  <c r="AD294" i="75"/>
  <c r="AG355" i="75"/>
  <c r="AI356" i="75"/>
  <c r="AH295" i="75"/>
  <c r="AF294" i="75"/>
  <c r="AA294" i="75"/>
  <c r="Y188" i="75"/>
  <c r="AG294" i="75"/>
  <c r="AI295" i="75"/>
  <c r="AH356" i="75"/>
  <c r="AC355" i="75"/>
  <c r="AF295" i="75"/>
  <c r="AC356" i="75"/>
  <c r="AE294" i="75"/>
  <c r="AA295" i="75"/>
  <c r="AG295" i="75"/>
  <c r="AG296" i="75" s="1"/>
  <c r="AG298" i="75" s="1"/>
  <c r="AA356" i="75"/>
  <c r="AC295" i="75"/>
  <c r="AD295" i="75"/>
  <c r="AB295" i="75"/>
  <c r="AG356" i="75"/>
  <c r="AF355" i="75"/>
  <c r="AF356" i="75"/>
  <c r="AH355" i="75"/>
  <c r="AE295" i="75"/>
  <c r="AI355" i="75"/>
  <c r="Y224" i="75"/>
  <c r="AB356" i="75"/>
  <c r="AH294" i="75"/>
  <c r="AE356" i="75"/>
  <c r="AC294" i="75"/>
  <c r="AD355" i="75"/>
  <c r="AD356" i="75"/>
  <c r="AB294" i="75"/>
  <c r="AE355" i="75"/>
  <c r="AB355" i="75"/>
  <c r="AA355" i="75"/>
  <c r="AI294" i="75"/>
  <c r="AW151" i="74"/>
  <c r="BA243" i="74"/>
  <c r="AW130" i="74"/>
  <c r="J130" i="74" s="1"/>
  <c r="AW126" i="74"/>
  <c r="J126" i="74" s="1"/>
  <c r="J181" i="74"/>
  <c r="AO243" i="74"/>
  <c r="AK151" i="74"/>
  <c r="AO12" i="74"/>
  <c r="AO188" i="74"/>
  <c r="AK187" i="74"/>
  <c r="J161" i="74"/>
  <c r="AY241" i="74"/>
  <c r="AW241" i="74" s="1"/>
  <c r="AW120" i="74"/>
  <c r="J116" i="74"/>
  <c r="BA12" i="74"/>
  <c r="O12" i="74"/>
  <c r="J174" i="74"/>
  <c r="AD355" i="74"/>
  <c r="AB294" i="74"/>
  <c r="AG356" i="74"/>
  <c r="AH295" i="74"/>
  <c r="AI294" i="74"/>
  <c r="AA356" i="74"/>
  <c r="Y188" i="74"/>
  <c r="AE355" i="74"/>
  <c r="AH356" i="74"/>
  <c r="AH294" i="74"/>
  <c r="AA295" i="74"/>
  <c r="Y224" i="74"/>
  <c r="AI355" i="74"/>
  <c r="AD294" i="74"/>
  <c r="AB355" i="74"/>
  <c r="AA294" i="74"/>
  <c r="AF295" i="74"/>
  <c r="AI356" i="74"/>
  <c r="AG295" i="74"/>
  <c r="AB356" i="74"/>
  <c r="AG355" i="74"/>
  <c r="AD356" i="74"/>
  <c r="AC295" i="74"/>
  <c r="AF356" i="74"/>
  <c r="AE294" i="74"/>
  <c r="AE295" i="74"/>
  <c r="AF294" i="74"/>
  <c r="AD295" i="74"/>
  <c r="AC355" i="74"/>
  <c r="AH355" i="74"/>
  <c r="AG294" i="74"/>
  <c r="AA355" i="74"/>
  <c r="AC356" i="74"/>
  <c r="AI295" i="74"/>
  <c r="AC294" i="74"/>
  <c r="AF355" i="74"/>
  <c r="AE356" i="74"/>
  <c r="AB295" i="74"/>
  <c r="J157" i="74"/>
  <c r="O188" i="74"/>
  <c r="M187" i="74"/>
  <c r="J147" i="74"/>
  <c r="O241" i="74"/>
  <c r="M241" i="74" s="1"/>
  <c r="M120" i="74"/>
  <c r="AW187" i="74"/>
  <c r="BA188" i="74"/>
  <c r="AO241" i="73"/>
  <c r="AK241" i="73" s="1"/>
  <c r="J241" i="73" s="1"/>
  <c r="AK120" i="73"/>
  <c r="J120" i="73" s="1"/>
  <c r="J161" i="73"/>
  <c r="AO12" i="73"/>
  <c r="AY295" i="73"/>
  <c r="BG355" i="73"/>
  <c r="BA355" i="73"/>
  <c r="AY294" i="73"/>
  <c r="BE295" i="73"/>
  <c r="AY355" i="73"/>
  <c r="BD294" i="73"/>
  <c r="BB295" i="73"/>
  <c r="BA294" i="73"/>
  <c r="AZ356" i="73"/>
  <c r="BD356" i="73"/>
  <c r="BE356" i="73"/>
  <c r="BA356" i="73"/>
  <c r="AW224" i="73"/>
  <c r="BG295" i="73"/>
  <c r="BF355" i="73"/>
  <c r="BB294" i="73"/>
  <c r="BC294" i="73"/>
  <c r="AW188" i="73"/>
  <c r="BF294" i="73"/>
  <c r="BD295" i="73"/>
  <c r="BB356" i="73"/>
  <c r="BC356" i="73"/>
  <c r="AZ294" i="73"/>
  <c r="BF356" i="73"/>
  <c r="BG294" i="73"/>
  <c r="BC295" i="73"/>
  <c r="BA295" i="73"/>
  <c r="AY356" i="73"/>
  <c r="BF295" i="73"/>
  <c r="BG356" i="73"/>
  <c r="BC355" i="73"/>
  <c r="BE355" i="73"/>
  <c r="AZ355" i="73"/>
  <c r="AZ295" i="73"/>
  <c r="BD355" i="73"/>
  <c r="BB355" i="73"/>
  <c r="BE294" i="73"/>
  <c r="AO188" i="73"/>
  <c r="AK187" i="73"/>
  <c r="J187" i="73" s="1"/>
  <c r="J188" i="73" s="1"/>
  <c r="AG292" i="73"/>
  <c r="P292" i="73"/>
  <c r="BF292" i="73"/>
  <c r="T355" i="73"/>
  <c r="T295" i="73"/>
  <c r="BB292" i="73"/>
  <c r="AP292" i="73"/>
  <c r="Q355" i="73"/>
  <c r="AQ292" i="73"/>
  <c r="Q356" i="73"/>
  <c r="M188" i="73"/>
  <c r="V355" i="73"/>
  <c r="W356" i="73"/>
  <c r="AO292" i="73"/>
  <c r="BG292" i="73"/>
  <c r="AS292" i="73"/>
  <c r="U292" i="73"/>
  <c r="U295" i="73"/>
  <c r="U355" i="73"/>
  <c r="BA292" i="73"/>
  <c r="AB292" i="73"/>
  <c r="M224" i="73"/>
  <c r="P295" i="73"/>
  <c r="W292" i="73"/>
  <c r="R356" i="73"/>
  <c r="S292" i="73"/>
  <c r="R292" i="73"/>
  <c r="U294" i="73"/>
  <c r="U356" i="73"/>
  <c r="AE292" i="73"/>
  <c r="S294" i="73"/>
  <c r="Q295" i="73"/>
  <c r="R355" i="73"/>
  <c r="R357" i="73" s="1"/>
  <c r="V292" i="73"/>
  <c r="V356" i="73"/>
  <c r="BD292" i="73"/>
  <c r="T292" i="73"/>
  <c r="AM292" i="73"/>
  <c r="Q294" i="73"/>
  <c r="S356" i="73"/>
  <c r="AF292" i="73"/>
  <c r="AY292" i="73"/>
  <c r="BE292" i="73"/>
  <c r="W295" i="73"/>
  <c r="P294" i="73"/>
  <c r="V294" i="73"/>
  <c r="AI292" i="73"/>
  <c r="T294" i="73"/>
  <c r="AD292" i="73"/>
  <c r="O295" i="73"/>
  <c r="Q292" i="73"/>
  <c r="BC292" i="73"/>
  <c r="P356" i="73"/>
  <c r="AH292" i="73"/>
  <c r="AZ292" i="73"/>
  <c r="R295" i="73"/>
  <c r="AR292" i="73"/>
  <c r="T356" i="73"/>
  <c r="O356" i="73"/>
  <c r="O292" i="73"/>
  <c r="O294" i="73"/>
  <c r="AC292" i="73"/>
  <c r="W294" i="73"/>
  <c r="V295" i="73"/>
  <c r="AA292" i="73"/>
  <c r="AN292" i="73"/>
  <c r="W355" i="73"/>
  <c r="P355" i="73"/>
  <c r="R294" i="73"/>
  <c r="AT292" i="73"/>
  <c r="AU292" i="73"/>
  <c r="S295" i="73"/>
  <c r="S355" i="73"/>
  <c r="O355" i="73"/>
  <c r="AO243" i="73"/>
  <c r="AK151" i="73"/>
  <c r="J151" i="73" s="1"/>
  <c r="AG295" i="73"/>
  <c r="AI355" i="73"/>
  <c r="AD355" i="73"/>
  <c r="AE355" i="73"/>
  <c r="AE356" i="73"/>
  <c r="AC356" i="73"/>
  <c r="AF356" i="73"/>
  <c r="AH355" i="73"/>
  <c r="AA295" i="73"/>
  <c r="AB295" i="73"/>
  <c r="AF295" i="73"/>
  <c r="AI294" i="73"/>
  <c r="AA294" i="73"/>
  <c r="AB355" i="73"/>
  <c r="AD294" i="73"/>
  <c r="AC295" i="73"/>
  <c r="AE295" i="73"/>
  <c r="Y188" i="73"/>
  <c r="AD295" i="73"/>
  <c r="AG356" i="73"/>
  <c r="AB294" i="73"/>
  <c r="AF294" i="73"/>
  <c r="AG355" i="73"/>
  <c r="AG294" i="73"/>
  <c r="Y224" i="73"/>
  <c r="AH295" i="73"/>
  <c r="AI295" i="73"/>
  <c r="AD356" i="73"/>
  <c r="AC294" i="73"/>
  <c r="AH294" i="73"/>
  <c r="AA356" i="73"/>
  <c r="AI356" i="73"/>
  <c r="AB356" i="73"/>
  <c r="AF355" i="73"/>
  <c r="AE294" i="73"/>
  <c r="AA355" i="73"/>
  <c r="AH356" i="73"/>
  <c r="AC355" i="73"/>
  <c r="AC357" i="73" s="1"/>
  <c r="AC360" i="73" s="1"/>
  <c r="J126" i="72"/>
  <c r="J130" i="72"/>
  <c r="AY12" i="72"/>
  <c r="J151" i="72"/>
  <c r="AD357" i="72"/>
  <c r="AD359" i="72" s="1"/>
  <c r="J161" i="72"/>
  <c r="J157" i="72"/>
  <c r="AW187" i="72"/>
  <c r="J187" i="72" s="1"/>
  <c r="J188" i="72" s="1"/>
  <c r="AY188" i="72"/>
  <c r="AY241" i="72"/>
  <c r="AW241" i="72" s="1"/>
  <c r="J241" i="72" s="1"/>
  <c r="AW120" i="72"/>
  <c r="J120" i="72" s="1"/>
  <c r="BA292" i="72"/>
  <c r="V292" i="72"/>
  <c r="AM292" i="72"/>
  <c r="T292" i="72"/>
  <c r="P356" i="72"/>
  <c r="AR292" i="72"/>
  <c r="AF292" i="72"/>
  <c r="W295" i="72"/>
  <c r="R295" i="72"/>
  <c r="AE292" i="72"/>
  <c r="O355" i="72"/>
  <c r="T355" i="72"/>
  <c r="AS292" i="72"/>
  <c r="S355" i="72"/>
  <c r="AZ292" i="72"/>
  <c r="AG292" i="72"/>
  <c r="Q356" i="72"/>
  <c r="U294" i="72"/>
  <c r="AA292" i="72"/>
  <c r="T356" i="72"/>
  <c r="AD292" i="72"/>
  <c r="V294" i="72"/>
  <c r="W294" i="72"/>
  <c r="R356" i="72"/>
  <c r="R294" i="72"/>
  <c r="AO292" i="72"/>
  <c r="P355" i="72"/>
  <c r="U356" i="72"/>
  <c r="AN292" i="72"/>
  <c r="S295" i="72"/>
  <c r="P294" i="72"/>
  <c r="AU292" i="72"/>
  <c r="AQ292" i="72"/>
  <c r="S292" i="72"/>
  <c r="S356" i="72"/>
  <c r="V356" i="72"/>
  <c r="BC292" i="72"/>
  <c r="O292" i="72"/>
  <c r="BF292" i="72"/>
  <c r="Q294" i="72"/>
  <c r="Q295" i="72"/>
  <c r="O294" i="72"/>
  <c r="P295" i="72"/>
  <c r="V355" i="72"/>
  <c r="AT292" i="72"/>
  <c r="AB292" i="72"/>
  <c r="T294" i="72"/>
  <c r="U295" i="72"/>
  <c r="BG292" i="72"/>
  <c r="V295" i="72"/>
  <c r="W355" i="72"/>
  <c r="Q292" i="72"/>
  <c r="P292" i="72"/>
  <c r="U292" i="72"/>
  <c r="M224" i="72"/>
  <c r="BD292" i="72"/>
  <c r="W356" i="72"/>
  <c r="T295" i="72"/>
  <c r="AY292" i="72"/>
  <c r="W292" i="72"/>
  <c r="O295" i="72"/>
  <c r="BB292" i="72"/>
  <c r="R292" i="72"/>
  <c r="O356" i="72"/>
  <c r="M188" i="72"/>
  <c r="AI292" i="72"/>
  <c r="AC292" i="72"/>
  <c r="AC299" i="72" s="1"/>
  <c r="BE292" i="72"/>
  <c r="Q355" i="72"/>
  <c r="AP292" i="72"/>
  <c r="U355" i="72"/>
  <c r="R355" i="72"/>
  <c r="AH292" i="72"/>
  <c r="S294" i="72"/>
  <c r="AP295" i="72"/>
  <c r="AN294" i="72"/>
  <c r="AR295" i="72"/>
  <c r="AS355" i="72"/>
  <c r="AO355" i="72"/>
  <c r="AR355" i="72"/>
  <c r="AQ295" i="72"/>
  <c r="AS295" i="72"/>
  <c r="AR294" i="72"/>
  <c r="AP355" i="72"/>
  <c r="AU355" i="72"/>
  <c r="AM295" i="72"/>
  <c r="AU294" i="72"/>
  <c r="AS294" i="72"/>
  <c r="AN295" i="72"/>
  <c r="AT295" i="72"/>
  <c r="AM355" i="72"/>
  <c r="AR356" i="72"/>
  <c r="AS356" i="72"/>
  <c r="AT294" i="72"/>
  <c r="AM294" i="72"/>
  <c r="AK224" i="72"/>
  <c r="AM356" i="72"/>
  <c r="AT355" i="72"/>
  <c r="AQ294" i="72"/>
  <c r="AO294" i="72"/>
  <c r="AO295" i="72"/>
  <c r="AK188" i="72"/>
  <c r="AO356" i="72"/>
  <c r="AP294" i="72"/>
  <c r="AU356" i="72"/>
  <c r="AN356" i="72"/>
  <c r="AP356" i="72"/>
  <c r="AN355" i="72"/>
  <c r="AU295" i="72"/>
  <c r="AQ355" i="72"/>
  <c r="AT356" i="72"/>
  <c r="AQ356" i="72"/>
  <c r="AD357" i="76"/>
  <c r="AD359" i="76" s="1"/>
  <c r="AF357" i="72"/>
  <c r="AF360" i="72" s="1"/>
  <c r="AD296" i="76"/>
  <c r="AD298" i="76" s="1"/>
  <c r="J174" i="76"/>
  <c r="AH357" i="76"/>
  <c r="AF357" i="76"/>
  <c r="AU224" i="75"/>
  <c r="AU12" i="75" s="1"/>
  <c r="AK12" i="75" s="1"/>
  <c r="AN214" i="75"/>
  <c r="AO224" i="75"/>
  <c r="AM214" i="75"/>
  <c r="AN224" i="75"/>
  <c r="AM224" i="75"/>
  <c r="AU214" i="75"/>
  <c r="AO214" i="75"/>
  <c r="AE296" i="72"/>
  <c r="AE298" i="72" s="1"/>
  <c r="AI296" i="72"/>
  <c r="AI298" i="72" s="1"/>
  <c r="AS296" i="75"/>
  <c r="AO357" i="75"/>
  <c r="AH296" i="72"/>
  <c r="AH298" i="72" s="1"/>
  <c r="AI357" i="72"/>
  <c r="AI360" i="72" s="1"/>
  <c r="J174" i="72"/>
  <c r="AA357" i="72"/>
  <c r="Y355" i="72"/>
  <c r="AG296" i="72"/>
  <c r="AB296" i="72"/>
  <c r="AB357" i="72"/>
  <c r="AG357" i="72"/>
  <c r="AE357" i="72"/>
  <c r="Y294" i="72"/>
  <c r="AA296" i="72"/>
  <c r="Y295" i="72"/>
  <c r="AF296" i="72"/>
  <c r="AH357" i="72"/>
  <c r="Y356" i="72"/>
  <c r="AC357" i="72"/>
  <c r="AD296" i="72"/>
  <c r="AC214" i="72"/>
  <c r="AI224" i="72"/>
  <c r="AI12" i="72" s="1"/>
  <c r="Y12" i="72" s="1"/>
  <c r="AB214" i="72"/>
  <c r="AC224" i="72"/>
  <c r="AB224" i="72"/>
  <c r="AI214" i="72"/>
  <c r="AA214" i="72"/>
  <c r="AA224" i="72"/>
  <c r="AJ24" i="61"/>
  <c r="Y24" i="61"/>
  <c r="AJ23" i="61"/>
  <c r="Y23" i="61"/>
  <c r="M23" i="61"/>
  <c r="B23" i="61"/>
  <c r="AH22" i="61"/>
  <c r="AG22" i="61"/>
  <c r="AF22" i="61"/>
  <c r="AE22" i="61"/>
  <c r="AD22" i="61"/>
  <c r="AC22" i="61"/>
  <c r="AB22" i="61"/>
  <c r="AA22" i="61"/>
  <c r="K22" i="61"/>
  <c r="J22" i="61"/>
  <c r="I22" i="61"/>
  <c r="H22" i="61"/>
  <c r="G22" i="61"/>
  <c r="F22" i="61"/>
  <c r="E22" i="61"/>
  <c r="D22" i="61"/>
  <c r="AJ14" i="61"/>
  <c r="AJ15" i="61" s="1"/>
  <c r="Y14" i="61"/>
  <c r="Y15" i="61" s="1"/>
  <c r="M14" i="61"/>
  <c r="M15" i="61" s="1"/>
  <c r="B14" i="61"/>
  <c r="B15" i="61" s="1"/>
  <c r="AT11" i="61" a="1"/>
  <c r="AT11" i="61" s="1"/>
  <c r="AT22" i="61" s="1"/>
  <c r="AS11" i="61" a="1"/>
  <c r="AS11" i="61" s="1"/>
  <c r="AS22" i="61" s="1"/>
  <c r="AR11" i="61" a="1"/>
  <c r="AR11" i="61" s="1"/>
  <c r="AR22" i="61" s="1"/>
  <c r="AQ11" i="61" a="1"/>
  <c r="AQ11" i="61" s="1"/>
  <c r="AQ22" i="61" s="1"/>
  <c r="AP11" i="61" a="1"/>
  <c r="AP11" i="61" s="1"/>
  <c r="AP22" i="61" s="1"/>
  <c r="AO11" i="61" a="1"/>
  <c r="AO11" i="61" s="1"/>
  <c r="AO22" i="61" s="1"/>
  <c r="AN11" i="61" a="1"/>
  <c r="AN11" i="61" s="1"/>
  <c r="AN22" i="61" s="1"/>
  <c r="AM11" i="61" a="1"/>
  <c r="AM11" i="61" s="1"/>
  <c r="AM22" i="61" s="1"/>
  <c r="AL11" i="61" a="1"/>
  <c r="AL11" i="61" s="1"/>
  <c r="AL22" i="61" s="1"/>
  <c r="W11" i="61" a="1"/>
  <c r="W11" i="61" s="1"/>
  <c r="W22" i="61" s="1"/>
  <c r="V11" i="61" a="1"/>
  <c r="V11" i="61" s="1"/>
  <c r="V22" i="61" s="1"/>
  <c r="U11" i="61" a="1"/>
  <c r="U11" i="61" s="1"/>
  <c r="U22" i="61" s="1"/>
  <c r="T11" i="61" a="1"/>
  <c r="T11" i="61" s="1"/>
  <c r="T22" i="61" s="1"/>
  <c r="S11" i="61" a="1"/>
  <c r="S11" i="61" s="1"/>
  <c r="S22" i="61" s="1"/>
  <c r="R11" i="61" a="1"/>
  <c r="R11" i="61" s="1"/>
  <c r="R22" i="61" s="1"/>
  <c r="Q11" i="61" a="1"/>
  <c r="Q11" i="61" s="1"/>
  <c r="Q22" i="61" s="1"/>
  <c r="P11" i="61" a="1"/>
  <c r="P11" i="61" s="1"/>
  <c r="P22" i="61" s="1"/>
  <c r="O11" i="61" a="1"/>
  <c r="O11" i="61" s="1"/>
  <c r="O22" i="61" s="1"/>
  <c r="AT9" i="61"/>
  <c r="AS9" i="61"/>
  <c r="AR9" i="61"/>
  <c r="AQ9" i="61"/>
  <c r="AP9" i="61"/>
  <c r="AO9" i="61"/>
  <c r="AN9" i="61"/>
  <c r="AM9" i="61"/>
  <c r="AL9" i="61"/>
  <c r="W9" i="61"/>
  <c r="V9" i="61"/>
  <c r="U9" i="61"/>
  <c r="T9" i="61"/>
  <c r="S9" i="61"/>
  <c r="R9" i="61"/>
  <c r="Q9" i="61"/>
  <c r="P9" i="61"/>
  <c r="O9" i="61"/>
  <c r="I526" i="24"/>
  <c r="J526" i="24" s="1"/>
  <c r="K526" i="24" s="1"/>
  <c r="L526" i="24" s="1"/>
  <c r="E519" i="24"/>
  <c r="I518" i="24"/>
  <c r="J518" i="24" s="1"/>
  <c r="K518" i="24" s="1"/>
  <c r="E513" i="24"/>
  <c r="E514" i="24" s="1"/>
  <c r="I512" i="24"/>
  <c r="J512" i="24" s="1"/>
  <c r="I508" i="24"/>
  <c r="I506" i="24"/>
  <c r="T488" i="24"/>
  <c r="S488" i="24"/>
  <c r="R488" i="24"/>
  <c r="Q488" i="24"/>
  <c r="P488" i="24"/>
  <c r="O488" i="24"/>
  <c r="N488" i="24"/>
  <c r="M488" i="24"/>
  <c r="L488" i="24"/>
  <c r="K488" i="24"/>
  <c r="J488" i="24"/>
  <c r="I488" i="24"/>
  <c r="I486" i="24"/>
  <c r="J486" i="24" s="1"/>
  <c r="K486" i="24" s="1"/>
  <c r="L486" i="24" s="1"/>
  <c r="M486" i="24" s="1"/>
  <c r="N486" i="24" s="1"/>
  <c r="O486" i="24" s="1"/>
  <c r="P486" i="24" s="1"/>
  <c r="Q486" i="24" s="1"/>
  <c r="R486" i="24" s="1"/>
  <c r="S486" i="24" s="1"/>
  <c r="T486" i="24" s="1"/>
  <c r="L474" i="24"/>
  <c r="K474" i="24"/>
  <c r="J474" i="24"/>
  <c r="I474" i="24"/>
  <c r="T447" i="24"/>
  <c r="S447" i="24"/>
  <c r="R447" i="24"/>
  <c r="Q447" i="24"/>
  <c r="P447" i="24"/>
  <c r="O447" i="24"/>
  <c r="N447" i="24"/>
  <c r="M447" i="24"/>
  <c r="L447" i="24"/>
  <c r="K447" i="24"/>
  <c r="J447" i="24"/>
  <c r="I447" i="24"/>
  <c r="I445" i="24"/>
  <c r="J445" i="24" s="1"/>
  <c r="K445" i="24" s="1"/>
  <c r="L445" i="24" s="1"/>
  <c r="M445" i="24" s="1"/>
  <c r="N445" i="24" s="1"/>
  <c r="O445" i="24" s="1"/>
  <c r="P445" i="24" s="1"/>
  <c r="Q445" i="24" s="1"/>
  <c r="R445" i="24" s="1"/>
  <c r="S445" i="24" s="1"/>
  <c r="T445" i="24" s="1"/>
  <c r="I437" i="24"/>
  <c r="J437" i="24" s="1"/>
  <c r="K437" i="24" s="1"/>
  <c r="L437" i="24" s="1"/>
  <c r="M437" i="24" s="1"/>
  <c r="T429" i="24"/>
  <c r="T428" i="24"/>
  <c r="D428" i="24"/>
  <c r="T427" i="24"/>
  <c r="S427" i="24"/>
  <c r="R427" i="24"/>
  <c r="Q427" i="24"/>
  <c r="P427" i="24"/>
  <c r="O427" i="24"/>
  <c r="N427" i="24"/>
  <c r="M427" i="24"/>
  <c r="L427" i="24"/>
  <c r="K427" i="24"/>
  <c r="J427" i="24"/>
  <c r="I427" i="24"/>
  <c r="I425" i="24"/>
  <c r="J425" i="24" s="1"/>
  <c r="K425" i="24" s="1"/>
  <c r="L425" i="24" s="1"/>
  <c r="M425" i="24" s="1"/>
  <c r="N425" i="24" s="1"/>
  <c r="O425" i="24" s="1"/>
  <c r="P425" i="24" s="1"/>
  <c r="Q425" i="24" s="1"/>
  <c r="R425" i="24" s="1"/>
  <c r="S425" i="24" s="1"/>
  <c r="T425" i="24" s="1"/>
  <c r="E421" i="24"/>
  <c r="I419" i="24"/>
  <c r="AOV393" i="24"/>
  <c r="AOU393" i="24"/>
  <c r="AOT393" i="24"/>
  <c r="AOS393" i="24"/>
  <c r="AOR393" i="24"/>
  <c r="AOQ393" i="24"/>
  <c r="AOP393" i="24"/>
  <c r="AOO393" i="24"/>
  <c r="AON393" i="24"/>
  <c r="AOM393" i="24"/>
  <c r="AOL393" i="24"/>
  <c r="AOK393" i="24"/>
  <c r="AOJ393" i="24"/>
  <c r="AOI393" i="24"/>
  <c r="AOH393" i="24"/>
  <c r="AOG393" i="24"/>
  <c r="AOF393" i="24"/>
  <c r="AOE393" i="24"/>
  <c r="AOD393" i="24"/>
  <c r="AOC393" i="24"/>
  <c r="AOB393" i="24"/>
  <c r="AOA393" i="24"/>
  <c r="ANZ393" i="24"/>
  <c r="ANY393" i="24"/>
  <c r="ANX393" i="24"/>
  <c r="ANW393" i="24"/>
  <c r="ANV393" i="24"/>
  <c r="ANU393" i="24"/>
  <c r="ANT393" i="24"/>
  <c r="ANS393" i="24"/>
  <c r="ANR393" i="24"/>
  <c r="ANQ393" i="24"/>
  <c r="ANP393" i="24"/>
  <c r="ANO393" i="24"/>
  <c r="ANN393" i="24"/>
  <c r="ANM393" i="24"/>
  <c r="ANL393" i="24"/>
  <c r="ANK393" i="24"/>
  <c r="ANJ393" i="24"/>
  <c r="ANI393" i="24"/>
  <c r="ANH393" i="24"/>
  <c r="ANG393" i="24"/>
  <c r="ANF393" i="24"/>
  <c r="ANE393" i="24"/>
  <c r="AND393" i="24"/>
  <c r="ANC393" i="24"/>
  <c r="ANB393" i="24"/>
  <c r="ANA393" i="24"/>
  <c r="AMZ393" i="24"/>
  <c r="AMY393" i="24"/>
  <c r="AMX393" i="24"/>
  <c r="AMW393" i="24"/>
  <c r="AMV393" i="24"/>
  <c r="AMU393" i="24"/>
  <c r="AMT393" i="24"/>
  <c r="AMS393" i="24"/>
  <c r="AMR393" i="24"/>
  <c r="AMQ393" i="24"/>
  <c r="AMP393" i="24"/>
  <c r="AMO393" i="24"/>
  <c r="AMN393" i="24"/>
  <c r="AMM393" i="24"/>
  <c r="AML393" i="24"/>
  <c r="AMK393" i="24"/>
  <c r="AMJ393" i="24"/>
  <c r="AMI393" i="24"/>
  <c r="AMH393" i="24"/>
  <c r="AMG393" i="24"/>
  <c r="AMF393" i="24"/>
  <c r="AME393" i="24"/>
  <c r="AMD393" i="24"/>
  <c r="AMC393" i="24"/>
  <c r="AMB393" i="24"/>
  <c r="AMA393" i="24"/>
  <c r="ALZ393" i="24"/>
  <c r="ALY393" i="24"/>
  <c r="ALX393" i="24"/>
  <c r="ALW393" i="24"/>
  <c r="ALV393" i="24"/>
  <c r="ALU393" i="24"/>
  <c r="ALT393" i="24"/>
  <c r="ALS393" i="24"/>
  <c r="ALR393" i="24"/>
  <c r="ALQ393" i="24"/>
  <c r="ALP393" i="24"/>
  <c r="ALO393" i="24"/>
  <c r="ALN393" i="24"/>
  <c r="ALM393" i="24"/>
  <c r="ALL393" i="24"/>
  <c r="ALK393" i="24"/>
  <c r="ALJ393" i="24"/>
  <c r="ALI393" i="24"/>
  <c r="ALH393" i="24"/>
  <c r="ALG393" i="24"/>
  <c r="ALF393" i="24"/>
  <c r="ALE393" i="24"/>
  <c r="ALD393" i="24"/>
  <c r="ALC393" i="24"/>
  <c r="ALB393" i="24"/>
  <c r="ALA393" i="24"/>
  <c r="AKZ393" i="24"/>
  <c r="AKY393" i="24"/>
  <c r="AKX393" i="24"/>
  <c r="AKW393" i="24"/>
  <c r="AKV393" i="24"/>
  <c r="AKU393" i="24"/>
  <c r="AKT393" i="24"/>
  <c r="AKS393" i="24"/>
  <c r="AKR393" i="24"/>
  <c r="AKQ393" i="24"/>
  <c r="AKP393" i="24"/>
  <c r="AKO393" i="24"/>
  <c r="AKN393" i="24"/>
  <c r="AKM393" i="24"/>
  <c r="AKL393" i="24"/>
  <c r="AKK393" i="24"/>
  <c r="AKJ393" i="24"/>
  <c r="AKI393" i="24"/>
  <c r="AKH393" i="24"/>
  <c r="AKG393" i="24"/>
  <c r="AKF393" i="24"/>
  <c r="AKE393" i="24"/>
  <c r="AKD393" i="24"/>
  <c r="AKC393" i="24"/>
  <c r="AKB393" i="24"/>
  <c r="AKA393" i="24"/>
  <c r="AJZ393" i="24"/>
  <c r="AJY393" i="24"/>
  <c r="AJX393" i="24"/>
  <c r="AJW393" i="24"/>
  <c r="AJV393" i="24"/>
  <c r="AJU393" i="24"/>
  <c r="AJT393" i="24"/>
  <c r="AJS393" i="24"/>
  <c r="AJR393" i="24"/>
  <c r="AJQ393" i="24"/>
  <c r="AJP393" i="24"/>
  <c r="AJO393" i="24"/>
  <c r="AJN393" i="24"/>
  <c r="AJM393" i="24"/>
  <c r="AJL393" i="24"/>
  <c r="AJK393" i="24"/>
  <c r="AJJ393" i="24"/>
  <c r="AJI393" i="24"/>
  <c r="AJH393" i="24"/>
  <c r="AJG393" i="24"/>
  <c r="AJF393" i="24"/>
  <c r="AJE393" i="24"/>
  <c r="AJD393" i="24"/>
  <c r="AJC393" i="24"/>
  <c r="AJB393" i="24"/>
  <c r="AJA393" i="24"/>
  <c r="AIZ393" i="24"/>
  <c r="AIY393" i="24"/>
  <c r="AIX393" i="24"/>
  <c r="AIW393" i="24"/>
  <c r="AIV393" i="24"/>
  <c r="AIU393" i="24"/>
  <c r="AIT393" i="24"/>
  <c r="AIS393" i="24"/>
  <c r="AIR393" i="24"/>
  <c r="AIQ393" i="24"/>
  <c r="AIP393" i="24"/>
  <c r="AIO393" i="24"/>
  <c r="AIN393" i="24"/>
  <c r="AIM393" i="24"/>
  <c r="AIL393" i="24"/>
  <c r="AIK393" i="24"/>
  <c r="AIJ393" i="24"/>
  <c r="AII393" i="24"/>
  <c r="AIH393" i="24"/>
  <c r="AIG393" i="24"/>
  <c r="AIF393" i="24"/>
  <c r="AIE393" i="24"/>
  <c r="AID393" i="24"/>
  <c r="AIC393" i="24"/>
  <c r="AIB393" i="24"/>
  <c r="AIA393" i="24"/>
  <c r="AHZ393" i="24"/>
  <c r="AHY393" i="24"/>
  <c r="AHX393" i="24"/>
  <c r="AHW393" i="24"/>
  <c r="AHV393" i="24"/>
  <c r="AHU393" i="24"/>
  <c r="AHT393" i="24"/>
  <c r="AHS393" i="24"/>
  <c r="AHR393" i="24"/>
  <c r="AHQ393" i="24"/>
  <c r="AHP393" i="24"/>
  <c r="AHO393" i="24"/>
  <c r="AHN393" i="24"/>
  <c r="AHM393" i="24"/>
  <c r="AHL393" i="24"/>
  <c r="AHK393" i="24"/>
  <c r="AHJ393" i="24"/>
  <c r="AHI393" i="24"/>
  <c r="AHH393" i="24"/>
  <c r="AHG393" i="24"/>
  <c r="AHF393" i="24"/>
  <c r="AHE393" i="24"/>
  <c r="AHD393" i="24"/>
  <c r="AHC393" i="24"/>
  <c r="AHB393" i="24"/>
  <c r="AHA393" i="24"/>
  <c r="AGZ393" i="24"/>
  <c r="AGY393" i="24"/>
  <c r="AGX393" i="24"/>
  <c r="AGW393" i="24"/>
  <c r="AGV393" i="24"/>
  <c r="AGU393" i="24"/>
  <c r="AGT393" i="24"/>
  <c r="AGS393" i="24"/>
  <c r="AGR393" i="24"/>
  <c r="AGQ393" i="24"/>
  <c r="AGP393" i="24"/>
  <c r="AGO393" i="24"/>
  <c r="AGN393" i="24"/>
  <c r="AGM393" i="24"/>
  <c r="AGL393" i="24"/>
  <c r="AGK393" i="24"/>
  <c r="AGJ393" i="24"/>
  <c r="AGI393" i="24"/>
  <c r="AGH393" i="24"/>
  <c r="AGG393" i="24"/>
  <c r="AGF393" i="24"/>
  <c r="AGE393" i="24"/>
  <c r="AGD393" i="24"/>
  <c r="AGC393" i="24"/>
  <c r="AGB393" i="24"/>
  <c r="AGA393" i="24"/>
  <c r="AFZ393" i="24"/>
  <c r="AFY393" i="24"/>
  <c r="AFX393" i="24"/>
  <c r="AFW393" i="24"/>
  <c r="AFV393" i="24"/>
  <c r="AFU393" i="24"/>
  <c r="AFT393" i="24"/>
  <c r="AFS393" i="24"/>
  <c r="AFR393" i="24"/>
  <c r="AFQ393" i="24"/>
  <c r="AFP393" i="24"/>
  <c r="AFO393" i="24"/>
  <c r="AFN393" i="24"/>
  <c r="AFM393" i="24"/>
  <c r="AFL393" i="24"/>
  <c r="AFK393" i="24"/>
  <c r="AFJ393" i="24"/>
  <c r="AFI393" i="24"/>
  <c r="AFH393" i="24"/>
  <c r="AFG393" i="24"/>
  <c r="AFF393" i="24"/>
  <c r="AFE393" i="24"/>
  <c r="AFD393" i="24"/>
  <c r="AFC393" i="24"/>
  <c r="AFB393" i="24"/>
  <c r="AFA393" i="24"/>
  <c r="AEZ393" i="24"/>
  <c r="AEY393" i="24"/>
  <c r="AEX393" i="24"/>
  <c r="AEW393" i="24"/>
  <c r="AEV393" i="24"/>
  <c r="AEU393" i="24"/>
  <c r="AET393" i="24"/>
  <c r="AES393" i="24"/>
  <c r="AER393" i="24"/>
  <c r="AEQ393" i="24"/>
  <c r="AEP393" i="24"/>
  <c r="AEO393" i="24"/>
  <c r="AEN393" i="24"/>
  <c r="AEM393" i="24"/>
  <c r="AEL393" i="24"/>
  <c r="AEK393" i="24"/>
  <c r="AEJ393" i="24"/>
  <c r="AEI393" i="24"/>
  <c r="AEH393" i="24"/>
  <c r="AEG393" i="24"/>
  <c r="AEF393" i="24"/>
  <c r="AEE393" i="24"/>
  <c r="AED393" i="24"/>
  <c r="AEC393" i="24"/>
  <c r="AEB393" i="24"/>
  <c r="AEA393" i="24"/>
  <c r="ADZ393" i="24"/>
  <c r="ADY393" i="24"/>
  <c r="ADX393" i="24"/>
  <c r="ADW393" i="24"/>
  <c r="ADV393" i="24"/>
  <c r="ADU393" i="24"/>
  <c r="ADT393" i="24"/>
  <c r="ADS393" i="24"/>
  <c r="ADR393" i="24"/>
  <c r="ADQ393" i="24"/>
  <c r="ADP393" i="24"/>
  <c r="ADO393" i="24"/>
  <c r="ADN393" i="24"/>
  <c r="ADM393" i="24"/>
  <c r="ADL393" i="24"/>
  <c r="ADK393" i="24"/>
  <c r="ADJ393" i="24"/>
  <c r="ADI393" i="24"/>
  <c r="ADH393" i="24"/>
  <c r="ADG393" i="24"/>
  <c r="ADF393" i="24"/>
  <c r="ADE393" i="24"/>
  <c r="ADD393" i="24"/>
  <c r="ADC393" i="24"/>
  <c r="ADB393" i="24"/>
  <c r="ADA393" i="24"/>
  <c r="ACZ393" i="24"/>
  <c r="ACY393" i="24"/>
  <c r="ACX393" i="24"/>
  <c r="ACW393" i="24"/>
  <c r="ACV393" i="24"/>
  <c r="ACU393" i="24"/>
  <c r="ACT393" i="24"/>
  <c r="ACS393" i="24"/>
  <c r="ACR393" i="24"/>
  <c r="ACQ393" i="24"/>
  <c r="ACP393" i="24"/>
  <c r="ACO393" i="24"/>
  <c r="ACN393" i="24"/>
  <c r="ACM393" i="24"/>
  <c r="ACL393" i="24"/>
  <c r="ACK393" i="24"/>
  <c r="ACJ393" i="24"/>
  <c r="ACI393" i="24"/>
  <c r="ACH393" i="24"/>
  <c r="ACG393" i="24"/>
  <c r="ACF393" i="24"/>
  <c r="ACE393" i="24"/>
  <c r="ACD393" i="24"/>
  <c r="ACC393" i="24"/>
  <c r="ACB393" i="24"/>
  <c r="ACA393" i="24"/>
  <c r="ABZ393" i="24"/>
  <c r="ABY393" i="24"/>
  <c r="ABX393" i="24"/>
  <c r="ABW393" i="24"/>
  <c r="ABV393" i="24"/>
  <c r="ABU393" i="24"/>
  <c r="ABT393" i="24"/>
  <c r="ABS393" i="24"/>
  <c r="ABR393" i="24"/>
  <c r="ABQ393" i="24"/>
  <c r="ABP393" i="24"/>
  <c r="ABO393" i="24"/>
  <c r="ABN393" i="24"/>
  <c r="ABM393" i="24"/>
  <c r="ABL393" i="24"/>
  <c r="ABK393" i="24"/>
  <c r="ABJ393" i="24"/>
  <c r="ABI393" i="24"/>
  <c r="ABH393" i="24"/>
  <c r="ABG393" i="24"/>
  <c r="ABF393" i="24"/>
  <c r="ABE393" i="24"/>
  <c r="ABD393" i="24"/>
  <c r="ABC393" i="24"/>
  <c r="ABB393" i="24"/>
  <c r="ABA393" i="24"/>
  <c r="AAZ393" i="24"/>
  <c r="AAY393" i="24"/>
  <c r="AAX393" i="24"/>
  <c r="AAW393" i="24"/>
  <c r="AAV393" i="24"/>
  <c r="AAU393" i="24"/>
  <c r="AAT393" i="24"/>
  <c r="AAS393" i="24"/>
  <c r="AAR393" i="24"/>
  <c r="AAQ393" i="24"/>
  <c r="AAP393" i="24"/>
  <c r="AAO393" i="24"/>
  <c r="AAN393" i="24"/>
  <c r="AAM393" i="24"/>
  <c r="AAL393" i="24"/>
  <c r="AAK393" i="24"/>
  <c r="AAJ393" i="24"/>
  <c r="AAI393" i="24"/>
  <c r="AAH393" i="24"/>
  <c r="AAG393" i="24"/>
  <c r="AAF393" i="24"/>
  <c r="AAE393" i="24"/>
  <c r="AAD393" i="24"/>
  <c r="AAC393" i="24"/>
  <c r="AAB393" i="24"/>
  <c r="AAA393" i="24"/>
  <c r="ZZ393" i="24"/>
  <c r="ZY393" i="24"/>
  <c r="ZX393" i="24"/>
  <c r="ZW393" i="24"/>
  <c r="ZV393" i="24"/>
  <c r="ZU393" i="24"/>
  <c r="ZT393" i="24"/>
  <c r="ZS393" i="24"/>
  <c r="ZR393" i="24"/>
  <c r="ZQ393" i="24"/>
  <c r="ZP393" i="24"/>
  <c r="ZO393" i="24"/>
  <c r="ZN393" i="24"/>
  <c r="ZM393" i="24"/>
  <c r="ZL393" i="24"/>
  <c r="ZK393" i="24"/>
  <c r="ZJ393" i="24"/>
  <c r="ZI393" i="24"/>
  <c r="ZH393" i="24"/>
  <c r="ZG393" i="24"/>
  <c r="ZF393" i="24"/>
  <c r="ZE393" i="24"/>
  <c r="ZD393" i="24"/>
  <c r="ZC393" i="24"/>
  <c r="ZB393" i="24"/>
  <c r="ZA393" i="24"/>
  <c r="YZ393" i="24"/>
  <c r="YY393" i="24"/>
  <c r="YX393" i="24"/>
  <c r="YW393" i="24"/>
  <c r="YV393" i="24"/>
  <c r="YU393" i="24"/>
  <c r="YT393" i="24"/>
  <c r="YS393" i="24"/>
  <c r="YR393" i="24"/>
  <c r="YQ393" i="24"/>
  <c r="YP393" i="24"/>
  <c r="YO393" i="24"/>
  <c r="YN393" i="24"/>
  <c r="YM393" i="24"/>
  <c r="YL393" i="24"/>
  <c r="YK393" i="24"/>
  <c r="YJ393" i="24"/>
  <c r="YI393" i="24"/>
  <c r="YH393" i="24"/>
  <c r="YG393" i="24"/>
  <c r="YF393" i="24"/>
  <c r="YE393" i="24"/>
  <c r="YD393" i="24"/>
  <c r="YC393" i="24"/>
  <c r="YB393" i="24"/>
  <c r="YA393" i="24"/>
  <c r="XZ393" i="24"/>
  <c r="XY393" i="24"/>
  <c r="XX393" i="24"/>
  <c r="XW393" i="24"/>
  <c r="XV393" i="24"/>
  <c r="XU393" i="24"/>
  <c r="XT393" i="24"/>
  <c r="XS393" i="24"/>
  <c r="XR393" i="24"/>
  <c r="XQ393" i="24"/>
  <c r="XP393" i="24"/>
  <c r="XO393" i="24"/>
  <c r="XN393" i="24"/>
  <c r="XM393" i="24"/>
  <c r="XL393" i="24"/>
  <c r="XK393" i="24"/>
  <c r="XJ393" i="24"/>
  <c r="XI393" i="24"/>
  <c r="XH393" i="24"/>
  <c r="XG393" i="24"/>
  <c r="XF393" i="24"/>
  <c r="XE393" i="24"/>
  <c r="XD393" i="24"/>
  <c r="XC393" i="24"/>
  <c r="XB393" i="24"/>
  <c r="XA393" i="24"/>
  <c r="WZ393" i="24"/>
  <c r="WY393" i="24"/>
  <c r="WX393" i="24"/>
  <c r="WW393" i="24"/>
  <c r="WV393" i="24"/>
  <c r="WU393" i="24"/>
  <c r="WT393" i="24"/>
  <c r="WS393" i="24"/>
  <c r="WR393" i="24"/>
  <c r="WQ393" i="24"/>
  <c r="WP393" i="24"/>
  <c r="WO393" i="24"/>
  <c r="WN393" i="24"/>
  <c r="WM393" i="24"/>
  <c r="WL393" i="24"/>
  <c r="WK393" i="24"/>
  <c r="WJ393" i="24"/>
  <c r="WI393" i="24"/>
  <c r="WH393" i="24"/>
  <c r="WG393" i="24"/>
  <c r="WF393" i="24"/>
  <c r="WE393" i="24"/>
  <c r="WD393" i="24"/>
  <c r="WC393" i="24"/>
  <c r="WB393" i="24"/>
  <c r="WA393" i="24"/>
  <c r="VZ393" i="24"/>
  <c r="VY393" i="24"/>
  <c r="VX393" i="24"/>
  <c r="VW393" i="24"/>
  <c r="VV393" i="24"/>
  <c r="VU393" i="24"/>
  <c r="VT393" i="24"/>
  <c r="VS393" i="24"/>
  <c r="VR393" i="24"/>
  <c r="VQ393" i="24"/>
  <c r="VP393" i="24"/>
  <c r="VO393" i="24"/>
  <c r="VN393" i="24"/>
  <c r="VM393" i="24"/>
  <c r="VL393" i="24"/>
  <c r="VK393" i="24"/>
  <c r="VJ393" i="24"/>
  <c r="VI393" i="24"/>
  <c r="VH393" i="24"/>
  <c r="VG393" i="24"/>
  <c r="VF393" i="24"/>
  <c r="VE393" i="24"/>
  <c r="VD393" i="24"/>
  <c r="VC393" i="24"/>
  <c r="VB393" i="24"/>
  <c r="VA393" i="24"/>
  <c r="UZ393" i="24"/>
  <c r="UY393" i="24"/>
  <c r="UX393" i="24"/>
  <c r="UW393" i="24"/>
  <c r="UV393" i="24"/>
  <c r="UU393" i="24"/>
  <c r="UT393" i="24"/>
  <c r="US393" i="24"/>
  <c r="UR393" i="24"/>
  <c r="UQ393" i="24"/>
  <c r="UP393" i="24"/>
  <c r="UO393" i="24"/>
  <c r="UN393" i="24"/>
  <c r="UM393" i="24"/>
  <c r="UL393" i="24"/>
  <c r="UK393" i="24"/>
  <c r="UJ393" i="24"/>
  <c r="UI393" i="24"/>
  <c r="UH393" i="24"/>
  <c r="UG393" i="24"/>
  <c r="UF393" i="24"/>
  <c r="UE393" i="24"/>
  <c r="UD393" i="24"/>
  <c r="UC393" i="24"/>
  <c r="UB393" i="24"/>
  <c r="UA393" i="24"/>
  <c r="TZ393" i="24"/>
  <c r="TY393" i="24"/>
  <c r="TX393" i="24"/>
  <c r="TW393" i="24"/>
  <c r="TV393" i="24"/>
  <c r="TU393" i="24"/>
  <c r="TT393" i="24"/>
  <c r="TS393" i="24"/>
  <c r="TR393" i="24"/>
  <c r="TQ393" i="24"/>
  <c r="TP393" i="24"/>
  <c r="TO393" i="24"/>
  <c r="TN393" i="24"/>
  <c r="TM393" i="24"/>
  <c r="TL393" i="24"/>
  <c r="TK393" i="24"/>
  <c r="TJ393" i="24"/>
  <c r="TI393" i="24"/>
  <c r="TH393" i="24"/>
  <c r="TG393" i="24"/>
  <c r="TF393" i="24"/>
  <c r="TE393" i="24"/>
  <c r="TD393" i="24"/>
  <c r="TC393" i="24"/>
  <c r="TB393" i="24"/>
  <c r="TA393" i="24"/>
  <c r="SZ393" i="24"/>
  <c r="SY393" i="24"/>
  <c r="SX393" i="24"/>
  <c r="SW393" i="24"/>
  <c r="SV393" i="24"/>
  <c r="SU393" i="24"/>
  <c r="ST393" i="24"/>
  <c r="SS393" i="24"/>
  <c r="SR393" i="24"/>
  <c r="SQ393" i="24"/>
  <c r="SP393" i="24"/>
  <c r="SO393" i="24"/>
  <c r="SN393" i="24"/>
  <c r="SM393" i="24"/>
  <c r="SL393" i="24"/>
  <c r="SK393" i="24"/>
  <c r="SJ393" i="24"/>
  <c r="SI393" i="24"/>
  <c r="SH393" i="24"/>
  <c r="SG393" i="24"/>
  <c r="SF393" i="24"/>
  <c r="SE393" i="24"/>
  <c r="SD393" i="24"/>
  <c r="SC393" i="24"/>
  <c r="SB393" i="24"/>
  <c r="SA393" i="24"/>
  <c r="RZ393" i="24"/>
  <c r="RY393" i="24"/>
  <c r="RX393" i="24"/>
  <c r="RW393" i="24"/>
  <c r="RV393" i="24"/>
  <c r="RU393" i="24"/>
  <c r="RT393" i="24"/>
  <c r="RS393" i="24"/>
  <c r="RR393" i="24"/>
  <c r="RQ393" i="24"/>
  <c r="RP393" i="24"/>
  <c r="RO393" i="24"/>
  <c r="RN393" i="24"/>
  <c r="RM393" i="24"/>
  <c r="RL393" i="24"/>
  <c r="RK393" i="24"/>
  <c r="RJ393" i="24"/>
  <c r="RI393" i="24"/>
  <c r="RH393" i="24"/>
  <c r="RG393" i="24"/>
  <c r="RF393" i="24"/>
  <c r="RE393" i="24"/>
  <c r="RD393" i="24"/>
  <c r="RC393" i="24"/>
  <c r="RB393" i="24"/>
  <c r="RA393" i="24"/>
  <c r="QZ393" i="24"/>
  <c r="QY393" i="24"/>
  <c r="QX393" i="24"/>
  <c r="QW393" i="24"/>
  <c r="QV393" i="24"/>
  <c r="QU393" i="24"/>
  <c r="QT393" i="24"/>
  <c r="QS393" i="24"/>
  <c r="QR393" i="24"/>
  <c r="QQ393" i="24"/>
  <c r="QP393" i="24"/>
  <c r="QO393" i="24"/>
  <c r="QN393" i="24"/>
  <c r="QM393" i="24"/>
  <c r="QL393" i="24"/>
  <c r="QK393" i="24"/>
  <c r="QJ393" i="24"/>
  <c r="QI393" i="24"/>
  <c r="QH393" i="24"/>
  <c r="QG393" i="24"/>
  <c r="QF393" i="24"/>
  <c r="QE393" i="24"/>
  <c r="QD393" i="24"/>
  <c r="QC393" i="24"/>
  <c r="QB393" i="24"/>
  <c r="QA393" i="24"/>
  <c r="PZ393" i="24"/>
  <c r="PY393" i="24"/>
  <c r="PX393" i="24"/>
  <c r="PW393" i="24"/>
  <c r="PV393" i="24"/>
  <c r="PU393" i="24"/>
  <c r="PT393" i="24"/>
  <c r="PS393" i="24"/>
  <c r="PR393" i="24"/>
  <c r="PQ393" i="24"/>
  <c r="PP393" i="24"/>
  <c r="PO393" i="24"/>
  <c r="PN393" i="24"/>
  <c r="PM393" i="24"/>
  <c r="PL393" i="24"/>
  <c r="PK393" i="24"/>
  <c r="PJ393" i="24"/>
  <c r="PI393" i="24"/>
  <c r="PH393" i="24"/>
  <c r="PG393" i="24"/>
  <c r="PF393" i="24"/>
  <c r="PE393" i="24"/>
  <c r="PD393" i="24"/>
  <c r="PC393" i="24"/>
  <c r="PB393" i="24"/>
  <c r="PA393" i="24"/>
  <c r="OZ393" i="24"/>
  <c r="OY393" i="24"/>
  <c r="OX393" i="24"/>
  <c r="OW393" i="24"/>
  <c r="OV393" i="24"/>
  <c r="OU393" i="24"/>
  <c r="OT393" i="24"/>
  <c r="OS393" i="24"/>
  <c r="OR393" i="24"/>
  <c r="OQ393" i="24"/>
  <c r="OP393" i="24"/>
  <c r="OO393" i="24"/>
  <c r="ON393" i="24"/>
  <c r="OM393" i="24"/>
  <c r="OL393" i="24"/>
  <c r="OK393" i="24"/>
  <c r="OJ393" i="24"/>
  <c r="OI393" i="24"/>
  <c r="OH393" i="24"/>
  <c r="OG393" i="24"/>
  <c r="OF393" i="24"/>
  <c r="OE393" i="24"/>
  <c r="OD393" i="24"/>
  <c r="OC393" i="24"/>
  <c r="OB393" i="24"/>
  <c r="OA393" i="24"/>
  <c r="NZ393" i="24"/>
  <c r="NY393" i="24"/>
  <c r="NX393" i="24"/>
  <c r="NW393" i="24"/>
  <c r="NV393" i="24"/>
  <c r="NU393" i="24"/>
  <c r="NT393" i="24"/>
  <c r="NS393" i="24"/>
  <c r="NR393" i="24"/>
  <c r="NQ393" i="24"/>
  <c r="NP393" i="24"/>
  <c r="NO393" i="24"/>
  <c r="NN393" i="24"/>
  <c r="NM393" i="24"/>
  <c r="NL393" i="24"/>
  <c r="NK393" i="24"/>
  <c r="NJ393" i="24"/>
  <c r="NI393" i="24"/>
  <c r="NH393" i="24"/>
  <c r="NG393" i="24"/>
  <c r="NF393" i="24"/>
  <c r="NE393" i="24"/>
  <c r="ND393" i="24"/>
  <c r="NC393" i="24"/>
  <c r="NB393" i="24"/>
  <c r="NA393" i="24"/>
  <c r="MZ393" i="24"/>
  <c r="MY393" i="24"/>
  <c r="MX393" i="24"/>
  <c r="MW393" i="24"/>
  <c r="MV393" i="24"/>
  <c r="MU393" i="24"/>
  <c r="MT393" i="24"/>
  <c r="MS393" i="24"/>
  <c r="MR393" i="24"/>
  <c r="MQ393" i="24"/>
  <c r="MP393" i="24"/>
  <c r="MO393" i="24"/>
  <c r="MN393" i="24"/>
  <c r="MM393" i="24"/>
  <c r="ML393" i="24"/>
  <c r="MK393" i="24"/>
  <c r="MJ393" i="24"/>
  <c r="MI393" i="24"/>
  <c r="MH393" i="24"/>
  <c r="MG393" i="24"/>
  <c r="MF393" i="24"/>
  <c r="ME393" i="24"/>
  <c r="MD393" i="24"/>
  <c r="MC393" i="24"/>
  <c r="MB393" i="24"/>
  <c r="MA393" i="24"/>
  <c r="LZ393" i="24"/>
  <c r="LY393" i="24"/>
  <c r="LX393" i="24"/>
  <c r="LW393" i="24"/>
  <c r="LV393" i="24"/>
  <c r="LU393" i="24"/>
  <c r="LT393" i="24"/>
  <c r="LS393" i="24"/>
  <c r="LR393" i="24"/>
  <c r="LQ393" i="24"/>
  <c r="LP393" i="24"/>
  <c r="LO393" i="24"/>
  <c r="LN393" i="24"/>
  <c r="LM393" i="24"/>
  <c r="LL393" i="24"/>
  <c r="LK393" i="24"/>
  <c r="LJ393" i="24"/>
  <c r="LI393" i="24"/>
  <c r="LH393" i="24"/>
  <c r="LG393" i="24"/>
  <c r="LF393" i="24"/>
  <c r="LE393" i="24"/>
  <c r="LD393" i="24"/>
  <c r="LC393" i="24"/>
  <c r="LB393" i="24"/>
  <c r="LA393" i="24"/>
  <c r="KZ393" i="24"/>
  <c r="KY393" i="24"/>
  <c r="KX393" i="24"/>
  <c r="KW393" i="24"/>
  <c r="KV393" i="24"/>
  <c r="KU393" i="24"/>
  <c r="KT393" i="24"/>
  <c r="KS393" i="24"/>
  <c r="KR393" i="24"/>
  <c r="KQ393" i="24"/>
  <c r="KP393" i="24"/>
  <c r="KO393" i="24"/>
  <c r="KN393" i="24"/>
  <c r="KM393" i="24"/>
  <c r="KL393" i="24"/>
  <c r="KK393" i="24"/>
  <c r="KJ393" i="24"/>
  <c r="KI393" i="24"/>
  <c r="KH393" i="24"/>
  <c r="KG393" i="24"/>
  <c r="KF393" i="24"/>
  <c r="KE393" i="24"/>
  <c r="KD393" i="24"/>
  <c r="KC393" i="24"/>
  <c r="KB393" i="24"/>
  <c r="KA393" i="24"/>
  <c r="JZ393" i="24"/>
  <c r="JY393" i="24"/>
  <c r="JX393" i="24"/>
  <c r="JW393" i="24"/>
  <c r="JV393" i="24"/>
  <c r="JU393" i="24"/>
  <c r="JT393" i="24"/>
  <c r="JS393" i="24"/>
  <c r="JR393" i="24"/>
  <c r="JQ393" i="24"/>
  <c r="JP393" i="24"/>
  <c r="JO393" i="24"/>
  <c r="JN393" i="24"/>
  <c r="JM393" i="24"/>
  <c r="JL393" i="24"/>
  <c r="JK393" i="24"/>
  <c r="JJ393" i="24"/>
  <c r="JI393" i="24"/>
  <c r="JH393" i="24"/>
  <c r="JG393" i="24"/>
  <c r="JF393" i="24"/>
  <c r="JE393" i="24"/>
  <c r="JD393" i="24"/>
  <c r="JC393" i="24"/>
  <c r="JB393" i="24"/>
  <c r="JA393" i="24"/>
  <c r="IZ393" i="24"/>
  <c r="IY393" i="24"/>
  <c r="IX393" i="24"/>
  <c r="IW393" i="24"/>
  <c r="IV393" i="24"/>
  <c r="IU393" i="24"/>
  <c r="IT393" i="24"/>
  <c r="IS393" i="24"/>
  <c r="IR393" i="24"/>
  <c r="IQ393" i="24"/>
  <c r="IP393" i="24"/>
  <c r="IO393" i="24"/>
  <c r="IN393" i="24"/>
  <c r="IM393" i="24"/>
  <c r="IL393" i="24"/>
  <c r="IK393" i="24"/>
  <c r="IJ393" i="24"/>
  <c r="II393" i="24"/>
  <c r="IH393" i="24"/>
  <c r="IG393" i="24"/>
  <c r="IF393" i="24"/>
  <c r="IE393" i="24"/>
  <c r="ID393" i="24"/>
  <c r="IC393" i="24"/>
  <c r="IB393" i="24"/>
  <c r="IA393" i="24"/>
  <c r="HZ393" i="24"/>
  <c r="HY393" i="24"/>
  <c r="HX393" i="24"/>
  <c r="HW393" i="24"/>
  <c r="HV393" i="24"/>
  <c r="HU393" i="24"/>
  <c r="HT393" i="24"/>
  <c r="HS393" i="24"/>
  <c r="HR393" i="24"/>
  <c r="HQ393" i="24"/>
  <c r="HP393" i="24"/>
  <c r="HO393" i="24"/>
  <c r="HN393" i="24"/>
  <c r="HM393" i="24"/>
  <c r="HL393" i="24"/>
  <c r="HK393" i="24"/>
  <c r="HJ393" i="24"/>
  <c r="HI393" i="24"/>
  <c r="HH393" i="24"/>
  <c r="HG393" i="24"/>
  <c r="HF393" i="24"/>
  <c r="HE393" i="24"/>
  <c r="HD393" i="24"/>
  <c r="HC393" i="24"/>
  <c r="HB393" i="24"/>
  <c r="HA393" i="24"/>
  <c r="GZ393" i="24"/>
  <c r="GY393" i="24"/>
  <c r="GX393" i="24"/>
  <c r="GW393" i="24"/>
  <c r="GV393" i="24"/>
  <c r="GU393" i="24"/>
  <c r="GT393" i="24"/>
  <c r="GS393" i="24"/>
  <c r="GR393" i="24"/>
  <c r="GQ393" i="24"/>
  <c r="GP393" i="24"/>
  <c r="GO393" i="24"/>
  <c r="GN393" i="24"/>
  <c r="GM393" i="24"/>
  <c r="GL393" i="24"/>
  <c r="GK393" i="24"/>
  <c r="GJ393" i="24"/>
  <c r="GI393" i="24"/>
  <c r="GH393" i="24"/>
  <c r="GG393" i="24"/>
  <c r="GF393" i="24"/>
  <c r="GE393" i="24"/>
  <c r="GD393" i="24"/>
  <c r="GC393" i="24"/>
  <c r="GB393" i="24"/>
  <c r="GA393" i="24"/>
  <c r="FZ393" i="24"/>
  <c r="FY393" i="24"/>
  <c r="FX393" i="24"/>
  <c r="FW393" i="24"/>
  <c r="FV393" i="24"/>
  <c r="FU393" i="24"/>
  <c r="FT393" i="24"/>
  <c r="FS393" i="24"/>
  <c r="FR393" i="24"/>
  <c r="FQ393" i="24"/>
  <c r="FP393" i="24"/>
  <c r="FO393" i="24"/>
  <c r="FN393" i="24"/>
  <c r="FM393" i="24"/>
  <c r="FL393" i="24"/>
  <c r="FK393" i="24"/>
  <c r="FJ393" i="24"/>
  <c r="FI393" i="24"/>
  <c r="FH393" i="24"/>
  <c r="FG393" i="24"/>
  <c r="FF393" i="24"/>
  <c r="FE393" i="24"/>
  <c r="FD393" i="24"/>
  <c r="FC393" i="24"/>
  <c r="FB393" i="24"/>
  <c r="FA393" i="24"/>
  <c r="EZ393" i="24"/>
  <c r="EY393" i="24"/>
  <c r="EX393" i="24"/>
  <c r="EW393" i="24"/>
  <c r="EV393" i="24"/>
  <c r="EU393" i="24"/>
  <c r="ET393" i="24"/>
  <c r="ES393" i="24"/>
  <c r="ER393" i="24"/>
  <c r="EQ393" i="24"/>
  <c r="EP393" i="24"/>
  <c r="EO393" i="24"/>
  <c r="EN393" i="24"/>
  <c r="EM393" i="24"/>
  <c r="EL393" i="24"/>
  <c r="EK393" i="24"/>
  <c r="EJ393" i="24"/>
  <c r="EI393" i="24"/>
  <c r="EH393" i="24"/>
  <c r="EG393" i="24"/>
  <c r="EF393" i="24"/>
  <c r="EE393" i="24"/>
  <c r="ED393" i="24"/>
  <c r="EC393" i="24"/>
  <c r="EB393" i="24"/>
  <c r="EA393" i="24"/>
  <c r="DZ393" i="24"/>
  <c r="DY393" i="24"/>
  <c r="DX393" i="24"/>
  <c r="DW393" i="24"/>
  <c r="DV393" i="24"/>
  <c r="DU393" i="24"/>
  <c r="DT393" i="24"/>
  <c r="DS393" i="24"/>
  <c r="DR393" i="24"/>
  <c r="DQ393" i="24"/>
  <c r="DP393" i="24"/>
  <c r="DO393" i="24"/>
  <c r="DN393" i="24"/>
  <c r="DM393" i="24"/>
  <c r="DL393" i="24"/>
  <c r="DK393" i="24"/>
  <c r="DJ393" i="24"/>
  <c r="DI393" i="24"/>
  <c r="DH393" i="24"/>
  <c r="DG393" i="24"/>
  <c r="DF393" i="24"/>
  <c r="DE393" i="24"/>
  <c r="DD393" i="24"/>
  <c r="DC393" i="24"/>
  <c r="DB393" i="24"/>
  <c r="DA393" i="24"/>
  <c r="CZ393" i="24"/>
  <c r="CY393" i="24"/>
  <c r="CX393" i="24"/>
  <c r="CW393" i="24"/>
  <c r="CV393" i="24"/>
  <c r="CU393" i="24"/>
  <c r="CT393" i="24"/>
  <c r="CS393" i="24"/>
  <c r="CR393" i="24"/>
  <c r="CQ393" i="24"/>
  <c r="CP393" i="24"/>
  <c r="CO393" i="24"/>
  <c r="CN393" i="24"/>
  <c r="CM393" i="24"/>
  <c r="CL393" i="24"/>
  <c r="CK393" i="24"/>
  <c r="CJ393" i="24"/>
  <c r="CI393" i="24"/>
  <c r="CH393" i="24"/>
  <c r="CG393" i="24"/>
  <c r="CF393" i="24"/>
  <c r="CE393" i="24"/>
  <c r="CD393" i="24"/>
  <c r="CC393" i="24"/>
  <c r="CB393" i="24"/>
  <c r="CA393" i="24"/>
  <c r="BZ393" i="24"/>
  <c r="BY393" i="24"/>
  <c r="BX393" i="24"/>
  <c r="BW393" i="24"/>
  <c r="BV393" i="24"/>
  <c r="BU393" i="24"/>
  <c r="BT393" i="24"/>
  <c r="BS393" i="24"/>
  <c r="BR393" i="24"/>
  <c r="BQ393" i="24"/>
  <c r="BP393" i="24"/>
  <c r="BO393" i="24"/>
  <c r="BN393" i="24"/>
  <c r="BM393" i="24"/>
  <c r="BL393" i="24"/>
  <c r="BK393" i="24"/>
  <c r="BJ393" i="24"/>
  <c r="BI393" i="24"/>
  <c r="BH393" i="24"/>
  <c r="BG393" i="24"/>
  <c r="BF393" i="24"/>
  <c r="BE393" i="24"/>
  <c r="BD393" i="24"/>
  <c r="BC393" i="24"/>
  <c r="BB393" i="24"/>
  <c r="BA393" i="24"/>
  <c r="AZ393" i="24"/>
  <c r="AY393" i="24"/>
  <c r="AX393" i="24"/>
  <c r="AW393" i="24"/>
  <c r="AV393" i="24"/>
  <c r="AU393" i="24"/>
  <c r="AT393" i="24"/>
  <c r="AS393" i="24"/>
  <c r="AR393" i="24"/>
  <c r="AQ393" i="24"/>
  <c r="AP393" i="24"/>
  <c r="AO393" i="24"/>
  <c r="AN393" i="24"/>
  <c r="AM393" i="24"/>
  <c r="AL393" i="24"/>
  <c r="AK393" i="24"/>
  <c r="AJ393" i="24"/>
  <c r="AI393" i="24"/>
  <c r="AH393" i="24"/>
  <c r="AG393" i="24"/>
  <c r="AF393" i="24"/>
  <c r="AE393" i="24"/>
  <c r="AD393" i="24"/>
  <c r="AC393" i="24"/>
  <c r="AB393" i="24"/>
  <c r="AA393" i="24"/>
  <c r="Z393" i="24"/>
  <c r="Y393" i="24"/>
  <c r="X393" i="24"/>
  <c r="W393" i="24"/>
  <c r="V393" i="24"/>
  <c r="U393" i="24"/>
  <c r="T393" i="24"/>
  <c r="S393" i="24"/>
  <c r="R393" i="24"/>
  <c r="Q393" i="24"/>
  <c r="P393" i="24"/>
  <c r="O393" i="24"/>
  <c r="N393" i="24"/>
  <c r="M393" i="24"/>
  <c r="L393" i="24"/>
  <c r="K393" i="24"/>
  <c r="J393" i="24"/>
  <c r="I393" i="24"/>
  <c r="I388" i="24"/>
  <c r="J388" i="24" s="1"/>
  <c r="K388" i="24" s="1"/>
  <c r="L388" i="24" s="1"/>
  <c r="M388" i="24" s="1"/>
  <c r="N388" i="24" s="1"/>
  <c r="O388" i="24" s="1"/>
  <c r="P388" i="24" s="1"/>
  <c r="Q388" i="24" s="1"/>
  <c r="R388" i="24" s="1"/>
  <c r="S388" i="24" s="1"/>
  <c r="T388" i="24" s="1"/>
  <c r="U388" i="24" s="1"/>
  <c r="V388" i="24" s="1"/>
  <c r="W388" i="24" s="1"/>
  <c r="X388" i="24" s="1"/>
  <c r="Y388" i="24" s="1"/>
  <c r="Z388" i="24" s="1"/>
  <c r="AA388" i="24" s="1"/>
  <c r="AB388" i="24" s="1"/>
  <c r="AC388" i="24" s="1"/>
  <c r="AD388" i="24" s="1"/>
  <c r="AE388" i="24" s="1"/>
  <c r="AF388" i="24" s="1"/>
  <c r="AG388" i="24" s="1"/>
  <c r="AH388" i="24" s="1"/>
  <c r="AI388" i="24" s="1"/>
  <c r="AJ388" i="24" s="1"/>
  <c r="AK388" i="24" s="1"/>
  <c r="AL388" i="24" s="1"/>
  <c r="AM388" i="24" s="1"/>
  <c r="AN388" i="24" s="1"/>
  <c r="AO388" i="24" s="1"/>
  <c r="AP388" i="24" s="1"/>
  <c r="AQ388" i="24" s="1"/>
  <c r="AR388" i="24" s="1"/>
  <c r="AS388" i="24" s="1"/>
  <c r="AT388" i="24" s="1"/>
  <c r="AU388" i="24" s="1"/>
  <c r="AV388" i="24" s="1"/>
  <c r="AW388" i="24" s="1"/>
  <c r="AX388" i="24" s="1"/>
  <c r="AY388" i="24" s="1"/>
  <c r="AZ388" i="24" s="1"/>
  <c r="BA388" i="24" s="1"/>
  <c r="BB388" i="24" s="1"/>
  <c r="BC388" i="24" s="1"/>
  <c r="BD388" i="24" s="1"/>
  <c r="BE388" i="24" s="1"/>
  <c r="BF388" i="24" s="1"/>
  <c r="BG388" i="24" s="1"/>
  <c r="BH388" i="24" s="1"/>
  <c r="BI388" i="24" s="1"/>
  <c r="BJ388" i="24" s="1"/>
  <c r="BK388" i="24" s="1"/>
  <c r="BL388" i="24" s="1"/>
  <c r="BM388" i="24" s="1"/>
  <c r="BN388" i="24" s="1"/>
  <c r="BO388" i="24" s="1"/>
  <c r="BP388" i="24" s="1"/>
  <c r="BQ388" i="24" s="1"/>
  <c r="BR388" i="24" s="1"/>
  <c r="BS388" i="24" s="1"/>
  <c r="BT388" i="24" s="1"/>
  <c r="BU388" i="24" s="1"/>
  <c r="BV388" i="24" s="1"/>
  <c r="BW388" i="24" s="1"/>
  <c r="BX388" i="24" s="1"/>
  <c r="BY388" i="24" s="1"/>
  <c r="BZ388" i="24" s="1"/>
  <c r="CA388" i="24" s="1"/>
  <c r="CB388" i="24" s="1"/>
  <c r="CC388" i="24" s="1"/>
  <c r="CD388" i="24" s="1"/>
  <c r="CE388" i="24" s="1"/>
  <c r="CF388" i="24" s="1"/>
  <c r="CG388" i="24" s="1"/>
  <c r="CH388" i="24" s="1"/>
  <c r="CI388" i="24" s="1"/>
  <c r="CJ388" i="24" s="1"/>
  <c r="CK388" i="24" s="1"/>
  <c r="CL388" i="24" s="1"/>
  <c r="CM388" i="24" s="1"/>
  <c r="CN388" i="24" s="1"/>
  <c r="CO388" i="24" s="1"/>
  <c r="CP388" i="24" s="1"/>
  <c r="CQ388" i="24" s="1"/>
  <c r="CR388" i="24" s="1"/>
  <c r="CS388" i="24" s="1"/>
  <c r="CT388" i="24" s="1"/>
  <c r="CU388" i="24" s="1"/>
  <c r="CV388" i="24" s="1"/>
  <c r="CW388" i="24" s="1"/>
  <c r="CX388" i="24" s="1"/>
  <c r="CY388" i="24" s="1"/>
  <c r="CZ388" i="24" s="1"/>
  <c r="DA388" i="24" s="1"/>
  <c r="DB388" i="24" s="1"/>
  <c r="DC388" i="24" s="1"/>
  <c r="DD388" i="24" s="1"/>
  <c r="DE388" i="24" s="1"/>
  <c r="DF388" i="24" s="1"/>
  <c r="DG388" i="24" s="1"/>
  <c r="DH388" i="24" s="1"/>
  <c r="DI388" i="24" s="1"/>
  <c r="DJ388" i="24" s="1"/>
  <c r="DK388" i="24" s="1"/>
  <c r="DL388" i="24" s="1"/>
  <c r="DM388" i="24" s="1"/>
  <c r="DN388" i="24" s="1"/>
  <c r="DO388" i="24" s="1"/>
  <c r="DP388" i="24" s="1"/>
  <c r="DQ388" i="24" s="1"/>
  <c r="DR388" i="24" s="1"/>
  <c r="DS388" i="24" s="1"/>
  <c r="DT388" i="24" s="1"/>
  <c r="DU388" i="24" s="1"/>
  <c r="DV388" i="24" s="1"/>
  <c r="DW388" i="24" s="1"/>
  <c r="DX388" i="24" s="1"/>
  <c r="DY388" i="24" s="1"/>
  <c r="DZ388" i="24" s="1"/>
  <c r="EA388" i="24" s="1"/>
  <c r="EB388" i="24" s="1"/>
  <c r="EC388" i="24" s="1"/>
  <c r="ED388" i="24" s="1"/>
  <c r="EE388" i="24" s="1"/>
  <c r="EF388" i="24" s="1"/>
  <c r="EG388" i="24" s="1"/>
  <c r="EH388" i="24" s="1"/>
  <c r="EI388" i="24" s="1"/>
  <c r="EJ388" i="24" s="1"/>
  <c r="EK388" i="24" s="1"/>
  <c r="EL388" i="24" s="1"/>
  <c r="EM388" i="24" s="1"/>
  <c r="EN388" i="24" s="1"/>
  <c r="EO388" i="24" s="1"/>
  <c r="EP388" i="24" s="1"/>
  <c r="EQ388" i="24" s="1"/>
  <c r="ER388" i="24" s="1"/>
  <c r="ES388" i="24" s="1"/>
  <c r="ET388" i="24" s="1"/>
  <c r="EU388" i="24" s="1"/>
  <c r="EV388" i="24" s="1"/>
  <c r="EW388" i="24" s="1"/>
  <c r="EX388" i="24" s="1"/>
  <c r="EY388" i="24" s="1"/>
  <c r="EZ388" i="24" s="1"/>
  <c r="FA388" i="24" s="1"/>
  <c r="FB388" i="24" s="1"/>
  <c r="FC388" i="24" s="1"/>
  <c r="FD388" i="24" s="1"/>
  <c r="FE388" i="24" s="1"/>
  <c r="FF388" i="24" s="1"/>
  <c r="FG388" i="24" s="1"/>
  <c r="FH388" i="24" s="1"/>
  <c r="FI388" i="24" s="1"/>
  <c r="FJ388" i="24" s="1"/>
  <c r="FK388" i="24" s="1"/>
  <c r="FL388" i="24" s="1"/>
  <c r="FM388" i="24" s="1"/>
  <c r="FN388" i="24" s="1"/>
  <c r="FO388" i="24" s="1"/>
  <c r="FP388" i="24" s="1"/>
  <c r="FQ388" i="24" s="1"/>
  <c r="FR388" i="24" s="1"/>
  <c r="FS388" i="24" s="1"/>
  <c r="FT388" i="24" s="1"/>
  <c r="FU388" i="24" s="1"/>
  <c r="FV388" i="24" s="1"/>
  <c r="FW388" i="24" s="1"/>
  <c r="FX388" i="24" s="1"/>
  <c r="FY388" i="24" s="1"/>
  <c r="FZ388" i="24" s="1"/>
  <c r="GA388" i="24" s="1"/>
  <c r="GB388" i="24" s="1"/>
  <c r="GC388" i="24" s="1"/>
  <c r="GD388" i="24" s="1"/>
  <c r="GE388" i="24" s="1"/>
  <c r="GF388" i="24" s="1"/>
  <c r="GG388" i="24" s="1"/>
  <c r="GH388" i="24" s="1"/>
  <c r="GI388" i="24" s="1"/>
  <c r="GJ388" i="24" s="1"/>
  <c r="GK388" i="24" s="1"/>
  <c r="GL388" i="24" s="1"/>
  <c r="GM388" i="24" s="1"/>
  <c r="GN388" i="24" s="1"/>
  <c r="GO388" i="24" s="1"/>
  <c r="GP388" i="24" s="1"/>
  <c r="GQ388" i="24" s="1"/>
  <c r="GR388" i="24" s="1"/>
  <c r="GS388" i="24" s="1"/>
  <c r="GT388" i="24" s="1"/>
  <c r="GU388" i="24" s="1"/>
  <c r="GV388" i="24" s="1"/>
  <c r="GW388" i="24" s="1"/>
  <c r="GX388" i="24" s="1"/>
  <c r="GY388" i="24" s="1"/>
  <c r="GZ388" i="24" s="1"/>
  <c r="HA388" i="24" s="1"/>
  <c r="HB388" i="24" s="1"/>
  <c r="HC388" i="24" s="1"/>
  <c r="HD388" i="24" s="1"/>
  <c r="HE388" i="24" s="1"/>
  <c r="HF388" i="24" s="1"/>
  <c r="HG388" i="24" s="1"/>
  <c r="HH388" i="24" s="1"/>
  <c r="HI388" i="24" s="1"/>
  <c r="HJ388" i="24" s="1"/>
  <c r="HK388" i="24" s="1"/>
  <c r="HL388" i="24" s="1"/>
  <c r="HM388" i="24" s="1"/>
  <c r="HN388" i="24" s="1"/>
  <c r="HO388" i="24" s="1"/>
  <c r="HP388" i="24" s="1"/>
  <c r="HQ388" i="24" s="1"/>
  <c r="HR388" i="24" s="1"/>
  <c r="HS388" i="24" s="1"/>
  <c r="HT388" i="24" s="1"/>
  <c r="HU388" i="24" s="1"/>
  <c r="HV388" i="24" s="1"/>
  <c r="HW388" i="24" s="1"/>
  <c r="HX388" i="24" s="1"/>
  <c r="HY388" i="24" s="1"/>
  <c r="HZ388" i="24" s="1"/>
  <c r="IA388" i="24" s="1"/>
  <c r="IB388" i="24" s="1"/>
  <c r="IC388" i="24" s="1"/>
  <c r="ID388" i="24" s="1"/>
  <c r="IE388" i="24" s="1"/>
  <c r="IF388" i="24" s="1"/>
  <c r="IG388" i="24" s="1"/>
  <c r="IH388" i="24" s="1"/>
  <c r="II388" i="24" s="1"/>
  <c r="IJ388" i="24" s="1"/>
  <c r="IK388" i="24" s="1"/>
  <c r="IL388" i="24" s="1"/>
  <c r="IM388" i="24" s="1"/>
  <c r="IN388" i="24" s="1"/>
  <c r="IO388" i="24" s="1"/>
  <c r="IP388" i="24" s="1"/>
  <c r="IQ388" i="24" s="1"/>
  <c r="IR388" i="24" s="1"/>
  <c r="IS388" i="24" s="1"/>
  <c r="IT388" i="24" s="1"/>
  <c r="IU388" i="24" s="1"/>
  <c r="IV388" i="24" s="1"/>
  <c r="IW388" i="24" s="1"/>
  <c r="IX388" i="24" s="1"/>
  <c r="IY388" i="24" s="1"/>
  <c r="IZ388" i="24" s="1"/>
  <c r="JA388" i="24" s="1"/>
  <c r="JB388" i="24" s="1"/>
  <c r="JC388" i="24" s="1"/>
  <c r="JD388" i="24" s="1"/>
  <c r="JE388" i="24" s="1"/>
  <c r="JF388" i="24" s="1"/>
  <c r="JG388" i="24" s="1"/>
  <c r="JH388" i="24" s="1"/>
  <c r="JI388" i="24" s="1"/>
  <c r="JJ388" i="24" s="1"/>
  <c r="JK388" i="24" s="1"/>
  <c r="JL388" i="24" s="1"/>
  <c r="JM388" i="24" s="1"/>
  <c r="JN388" i="24" s="1"/>
  <c r="JO388" i="24" s="1"/>
  <c r="JP388" i="24" s="1"/>
  <c r="JQ388" i="24" s="1"/>
  <c r="JR388" i="24" s="1"/>
  <c r="JS388" i="24" s="1"/>
  <c r="JT388" i="24" s="1"/>
  <c r="JU388" i="24" s="1"/>
  <c r="JV388" i="24" s="1"/>
  <c r="JW388" i="24" s="1"/>
  <c r="JX388" i="24" s="1"/>
  <c r="JY388" i="24" s="1"/>
  <c r="JZ388" i="24" s="1"/>
  <c r="KA388" i="24" s="1"/>
  <c r="KB388" i="24" s="1"/>
  <c r="KC388" i="24" s="1"/>
  <c r="KD388" i="24" s="1"/>
  <c r="KE388" i="24" s="1"/>
  <c r="KF388" i="24" s="1"/>
  <c r="KG388" i="24" s="1"/>
  <c r="KH388" i="24" s="1"/>
  <c r="KI388" i="24" s="1"/>
  <c r="KJ388" i="24" s="1"/>
  <c r="KK388" i="24" s="1"/>
  <c r="KL388" i="24" s="1"/>
  <c r="KM388" i="24" s="1"/>
  <c r="KN388" i="24" s="1"/>
  <c r="KO388" i="24" s="1"/>
  <c r="KP388" i="24" s="1"/>
  <c r="KQ388" i="24" s="1"/>
  <c r="KR388" i="24" s="1"/>
  <c r="KS388" i="24" s="1"/>
  <c r="KT388" i="24" s="1"/>
  <c r="KU388" i="24" s="1"/>
  <c r="KV388" i="24" s="1"/>
  <c r="KW388" i="24" s="1"/>
  <c r="KX388" i="24" s="1"/>
  <c r="KY388" i="24" s="1"/>
  <c r="KZ388" i="24" s="1"/>
  <c r="LA388" i="24" s="1"/>
  <c r="LB388" i="24" s="1"/>
  <c r="LC388" i="24" s="1"/>
  <c r="LD388" i="24" s="1"/>
  <c r="LE388" i="24" s="1"/>
  <c r="LF388" i="24" s="1"/>
  <c r="LG388" i="24" s="1"/>
  <c r="LH388" i="24" s="1"/>
  <c r="LI388" i="24" s="1"/>
  <c r="LJ388" i="24" s="1"/>
  <c r="LK388" i="24" s="1"/>
  <c r="LL388" i="24" s="1"/>
  <c r="LM388" i="24" s="1"/>
  <c r="LN388" i="24" s="1"/>
  <c r="LO388" i="24" s="1"/>
  <c r="LP388" i="24" s="1"/>
  <c r="LQ388" i="24" s="1"/>
  <c r="LR388" i="24" s="1"/>
  <c r="LS388" i="24" s="1"/>
  <c r="LT388" i="24" s="1"/>
  <c r="LU388" i="24" s="1"/>
  <c r="LV388" i="24" s="1"/>
  <c r="LW388" i="24" s="1"/>
  <c r="LX388" i="24" s="1"/>
  <c r="LY388" i="24" s="1"/>
  <c r="LZ388" i="24" s="1"/>
  <c r="MA388" i="24" s="1"/>
  <c r="MB388" i="24" s="1"/>
  <c r="MC388" i="24" s="1"/>
  <c r="MD388" i="24" s="1"/>
  <c r="ME388" i="24" s="1"/>
  <c r="MF388" i="24" s="1"/>
  <c r="MG388" i="24" s="1"/>
  <c r="MH388" i="24" s="1"/>
  <c r="MI388" i="24" s="1"/>
  <c r="MJ388" i="24" s="1"/>
  <c r="MK388" i="24" s="1"/>
  <c r="ML388" i="24" s="1"/>
  <c r="MM388" i="24" s="1"/>
  <c r="MN388" i="24" s="1"/>
  <c r="MO388" i="24" s="1"/>
  <c r="MP388" i="24" s="1"/>
  <c r="MQ388" i="24" s="1"/>
  <c r="MR388" i="24" s="1"/>
  <c r="MS388" i="24" s="1"/>
  <c r="MT388" i="24" s="1"/>
  <c r="MU388" i="24" s="1"/>
  <c r="MV388" i="24" s="1"/>
  <c r="MW388" i="24" s="1"/>
  <c r="MX388" i="24" s="1"/>
  <c r="MY388" i="24" s="1"/>
  <c r="MZ388" i="24" s="1"/>
  <c r="NA388" i="24" s="1"/>
  <c r="NB388" i="24" s="1"/>
  <c r="NC388" i="24" s="1"/>
  <c r="ND388" i="24" s="1"/>
  <c r="NE388" i="24" s="1"/>
  <c r="NF388" i="24" s="1"/>
  <c r="NG388" i="24" s="1"/>
  <c r="NH388" i="24" s="1"/>
  <c r="NI388" i="24" s="1"/>
  <c r="NJ388" i="24" s="1"/>
  <c r="NK388" i="24" s="1"/>
  <c r="NL388" i="24" s="1"/>
  <c r="NM388" i="24" s="1"/>
  <c r="NN388" i="24" s="1"/>
  <c r="NO388" i="24" s="1"/>
  <c r="NP388" i="24" s="1"/>
  <c r="NQ388" i="24" s="1"/>
  <c r="NR388" i="24" s="1"/>
  <c r="NS388" i="24" s="1"/>
  <c r="NT388" i="24" s="1"/>
  <c r="NU388" i="24" s="1"/>
  <c r="NV388" i="24" s="1"/>
  <c r="NW388" i="24" s="1"/>
  <c r="NX388" i="24" s="1"/>
  <c r="NY388" i="24" s="1"/>
  <c r="NZ388" i="24" s="1"/>
  <c r="OA388" i="24" s="1"/>
  <c r="OB388" i="24" s="1"/>
  <c r="OC388" i="24" s="1"/>
  <c r="OD388" i="24" s="1"/>
  <c r="OE388" i="24" s="1"/>
  <c r="OF388" i="24" s="1"/>
  <c r="OG388" i="24" s="1"/>
  <c r="OH388" i="24" s="1"/>
  <c r="OI388" i="24" s="1"/>
  <c r="OJ388" i="24" s="1"/>
  <c r="OK388" i="24" s="1"/>
  <c r="OL388" i="24" s="1"/>
  <c r="OM388" i="24" s="1"/>
  <c r="ON388" i="24" s="1"/>
  <c r="OO388" i="24" s="1"/>
  <c r="OP388" i="24" s="1"/>
  <c r="OQ388" i="24" s="1"/>
  <c r="OR388" i="24" s="1"/>
  <c r="OS388" i="24" s="1"/>
  <c r="OT388" i="24" s="1"/>
  <c r="OU388" i="24" s="1"/>
  <c r="OV388" i="24" s="1"/>
  <c r="OW388" i="24" s="1"/>
  <c r="OX388" i="24" s="1"/>
  <c r="OY388" i="24" s="1"/>
  <c r="OZ388" i="24" s="1"/>
  <c r="PA388" i="24" s="1"/>
  <c r="PB388" i="24" s="1"/>
  <c r="PC388" i="24" s="1"/>
  <c r="PD388" i="24" s="1"/>
  <c r="PE388" i="24" s="1"/>
  <c r="PF388" i="24" s="1"/>
  <c r="PG388" i="24" s="1"/>
  <c r="PH388" i="24" s="1"/>
  <c r="PI388" i="24" s="1"/>
  <c r="PJ388" i="24" s="1"/>
  <c r="PK388" i="24" s="1"/>
  <c r="PL388" i="24" s="1"/>
  <c r="PM388" i="24" s="1"/>
  <c r="PN388" i="24" s="1"/>
  <c r="PO388" i="24" s="1"/>
  <c r="PP388" i="24" s="1"/>
  <c r="PQ388" i="24" s="1"/>
  <c r="PR388" i="24" s="1"/>
  <c r="PS388" i="24" s="1"/>
  <c r="PT388" i="24" s="1"/>
  <c r="PU388" i="24" s="1"/>
  <c r="PV388" i="24" s="1"/>
  <c r="PW388" i="24" s="1"/>
  <c r="PX388" i="24" s="1"/>
  <c r="PY388" i="24" s="1"/>
  <c r="PZ388" i="24" s="1"/>
  <c r="QA388" i="24" s="1"/>
  <c r="QB388" i="24" s="1"/>
  <c r="QC388" i="24" s="1"/>
  <c r="QD388" i="24" s="1"/>
  <c r="QE388" i="24" s="1"/>
  <c r="QF388" i="24" s="1"/>
  <c r="QG388" i="24" s="1"/>
  <c r="QH388" i="24" s="1"/>
  <c r="QI388" i="24" s="1"/>
  <c r="QJ388" i="24" s="1"/>
  <c r="QK388" i="24" s="1"/>
  <c r="QL388" i="24" s="1"/>
  <c r="QM388" i="24" s="1"/>
  <c r="QN388" i="24" s="1"/>
  <c r="QO388" i="24" s="1"/>
  <c r="QP388" i="24" s="1"/>
  <c r="QQ388" i="24" s="1"/>
  <c r="QR388" i="24" s="1"/>
  <c r="QS388" i="24" s="1"/>
  <c r="QT388" i="24" s="1"/>
  <c r="QU388" i="24" s="1"/>
  <c r="QV388" i="24" s="1"/>
  <c r="QW388" i="24" s="1"/>
  <c r="QX388" i="24" s="1"/>
  <c r="QY388" i="24" s="1"/>
  <c r="QZ388" i="24" s="1"/>
  <c r="RA388" i="24" s="1"/>
  <c r="RB388" i="24" s="1"/>
  <c r="RC388" i="24" s="1"/>
  <c r="RD388" i="24" s="1"/>
  <c r="RE388" i="24" s="1"/>
  <c r="RF388" i="24" s="1"/>
  <c r="RG388" i="24" s="1"/>
  <c r="RH388" i="24" s="1"/>
  <c r="RI388" i="24" s="1"/>
  <c r="RJ388" i="24" s="1"/>
  <c r="RK388" i="24" s="1"/>
  <c r="RL388" i="24" s="1"/>
  <c r="RM388" i="24" s="1"/>
  <c r="RN388" i="24" s="1"/>
  <c r="RO388" i="24" s="1"/>
  <c r="RP388" i="24" s="1"/>
  <c r="RQ388" i="24" s="1"/>
  <c r="RR388" i="24" s="1"/>
  <c r="RS388" i="24" s="1"/>
  <c r="RT388" i="24" s="1"/>
  <c r="RU388" i="24" s="1"/>
  <c r="RV388" i="24" s="1"/>
  <c r="RW388" i="24" s="1"/>
  <c r="RX388" i="24" s="1"/>
  <c r="RY388" i="24" s="1"/>
  <c r="RZ388" i="24" s="1"/>
  <c r="SA388" i="24" s="1"/>
  <c r="SB388" i="24" s="1"/>
  <c r="SC388" i="24" s="1"/>
  <c r="SD388" i="24" s="1"/>
  <c r="SE388" i="24" s="1"/>
  <c r="SF388" i="24" s="1"/>
  <c r="SG388" i="24" s="1"/>
  <c r="SH388" i="24" s="1"/>
  <c r="SI388" i="24" s="1"/>
  <c r="SJ388" i="24" s="1"/>
  <c r="SK388" i="24" s="1"/>
  <c r="SL388" i="24" s="1"/>
  <c r="SM388" i="24" s="1"/>
  <c r="SN388" i="24" s="1"/>
  <c r="SO388" i="24" s="1"/>
  <c r="SP388" i="24" s="1"/>
  <c r="SQ388" i="24" s="1"/>
  <c r="SR388" i="24" s="1"/>
  <c r="SS388" i="24" s="1"/>
  <c r="ST388" i="24" s="1"/>
  <c r="SU388" i="24" s="1"/>
  <c r="SV388" i="24" s="1"/>
  <c r="SW388" i="24" s="1"/>
  <c r="SX388" i="24" s="1"/>
  <c r="SY388" i="24" s="1"/>
  <c r="SZ388" i="24" s="1"/>
  <c r="TA388" i="24" s="1"/>
  <c r="TB388" i="24" s="1"/>
  <c r="TC388" i="24" s="1"/>
  <c r="TD388" i="24" s="1"/>
  <c r="TE388" i="24" s="1"/>
  <c r="TF388" i="24" s="1"/>
  <c r="TG388" i="24" s="1"/>
  <c r="TH388" i="24" s="1"/>
  <c r="TI388" i="24" s="1"/>
  <c r="TJ388" i="24" s="1"/>
  <c r="TK388" i="24" s="1"/>
  <c r="TL388" i="24" s="1"/>
  <c r="TM388" i="24" s="1"/>
  <c r="TN388" i="24" s="1"/>
  <c r="TO388" i="24" s="1"/>
  <c r="TP388" i="24" s="1"/>
  <c r="TQ388" i="24" s="1"/>
  <c r="TR388" i="24" s="1"/>
  <c r="TS388" i="24" s="1"/>
  <c r="TT388" i="24" s="1"/>
  <c r="TU388" i="24" s="1"/>
  <c r="TV388" i="24" s="1"/>
  <c r="TW388" i="24" s="1"/>
  <c r="TX388" i="24" s="1"/>
  <c r="TY388" i="24" s="1"/>
  <c r="TZ388" i="24" s="1"/>
  <c r="UA388" i="24" s="1"/>
  <c r="UB388" i="24" s="1"/>
  <c r="UC388" i="24" s="1"/>
  <c r="UD388" i="24" s="1"/>
  <c r="UE388" i="24" s="1"/>
  <c r="UF388" i="24" s="1"/>
  <c r="UG388" i="24" s="1"/>
  <c r="UH388" i="24" s="1"/>
  <c r="UI388" i="24" s="1"/>
  <c r="UJ388" i="24" s="1"/>
  <c r="UK388" i="24" s="1"/>
  <c r="UL388" i="24" s="1"/>
  <c r="UM388" i="24" s="1"/>
  <c r="UN388" i="24" s="1"/>
  <c r="UO388" i="24" s="1"/>
  <c r="UP388" i="24" s="1"/>
  <c r="UQ388" i="24" s="1"/>
  <c r="UR388" i="24" s="1"/>
  <c r="US388" i="24" s="1"/>
  <c r="UT388" i="24" s="1"/>
  <c r="UU388" i="24" s="1"/>
  <c r="UV388" i="24" s="1"/>
  <c r="UW388" i="24" s="1"/>
  <c r="UX388" i="24" s="1"/>
  <c r="UY388" i="24" s="1"/>
  <c r="UZ388" i="24" s="1"/>
  <c r="VA388" i="24" s="1"/>
  <c r="VB388" i="24" s="1"/>
  <c r="VC388" i="24" s="1"/>
  <c r="VD388" i="24" s="1"/>
  <c r="VE388" i="24" s="1"/>
  <c r="VF388" i="24" s="1"/>
  <c r="VG388" i="24" s="1"/>
  <c r="VH388" i="24" s="1"/>
  <c r="VI388" i="24" s="1"/>
  <c r="VJ388" i="24" s="1"/>
  <c r="VK388" i="24" s="1"/>
  <c r="VL388" i="24" s="1"/>
  <c r="VM388" i="24" s="1"/>
  <c r="VN388" i="24" s="1"/>
  <c r="VO388" i="24" s="1"/>
  <c r="VP388" i="24" s="1"/>
  <c r="VQ388" i="24" s="1"/>
  <c r="VR388" i="24" s="1"/>
  <c r="VS388" i="24" s="1"/>
  <c r="VT388" i="24" s="1"/>
  <c r="VU388" i="24" s="1"/>
  <c r="VV388" i="24" s="1"/>
  <c r="VW388" i="24" s="1"/>
  <c r="VX388" i="24" s="1"/>
  <c r="VY388" i="24" s="1"/>
  <c r="VZ388" i="24" s="1"/>
  <c r="WA388" i="24" s="1"/>
  <c r="WB388" i="24" s="1"/>
  <c r="WC388" i="24" s="1"/>
  <c r="WD388" i="24" s="1"/>
  <c r="WE388" i="24" s="1"/>
  <c r="WF388" i="24" s="1"/>
  <c r="WG388" i="24" s="1"/>
  <c r="WH388" i="24" s="1"/>
  <c r="WI388" i="24" s="1"/>
  <c r="WJ388" i="24" s="1"/>
  <c r="WK388" i="24" s="1"/>
  <c r="WL388" i="24" s="1"/>
  <c r="WM388" i="24" s="1"/>
  <c r="WN388" i="24" s="1"/>
  <c r="WO388" i="24" s="1"/>
  <c r="WP388" i="24" s="1"/>
  <c r="WQ388" i="24" s="1"/>
  <c r="WR388" i="24" s="1"/>
  <c r="WS388" i="24" s="1"/>
  <c r="WT388" i="24" s="1"/>
  <c r="WU388" i="24" s="1"/>
  <c r="WV388" i="24" s="1"/>
  <c r="WW388" i="24" s="1"/>
  <c r="WX388" i="24" s="1"/>
  <c r="WY388" i="24" s="1"/>
  <c r="WZ388" i="24" s="1"/>
  <c r="XA388" i="24" s="1"/>
  <c r="XB388" i="24" s="1"/>
  <c r="XC388" i="24" s="1"/>
  <c r="XD388" i="24" s="1"/>
  <c r="XE388" i="24" s="1"/>
  <c r="XF388" i="24" s="1"/>
  <c r="XG388" i="24" s="1"/>
  <c r="XH388" i="24" s="1"/>
  <c r="XI388" i="24" s="1"/>
  <c r="XJ388" i="24" s="1"/>
  <c r="XK388" i="24" s="1"/>
  <c r="XL388" i="24" s="1"/>
  <c r="XM388" i="24" s="1"/>
  <c r="XN388" i="24" s="1"/>
  <c r="XO388" i="24" s="1"/>
  <c r="XP388" i="24" s="1"/>
  <c r="XQ388" i="24" s="1"/>
  <c r="XR388" i="24" s="1"/>
  <c r="XS388" i="24" s="1"/>
  <c r="XT388" i="24" s="1"/>
  <c r="XU388" i="24" s="1"/>
  <c r="XV388" i="24" s="1"/>
  <c r="XW388" i="24" s="1"/>
  <c r="XX388" i="24" s="1"/>
  <c r="XY388" i="24" s="1"/>
  <c r="XZ388" i="24" s="1"/>
  <c r="YA388" i="24" s="1"/>
  <c r="YB388" i="24" s="1"/>
  <c r="YC388" i="24" s="1"/>
  <c r="YD388" i="24" s="1"/>
  <c r="YE388" i="24" s="1"/>
  <c r="YF388" i="24" s="1"/>
  <c r="YG388" i="24" s="1"/>
  <c r="YH388" i="24" s="1"/>
  <c r="YI388" i="24" s="1"/>
  <c r="YJ388" i="24" s="1"/>
  <c r="YK388" i="24" s="1"/>
  <c r="YL388" i="24" s="1"/>
  <c r="YM388" i="24" s="1"/>
  <c r="YN388" i="24" s="1"/>
  <c r="YO388" i="24" s="1"/>
  <c r="YP388" i="24" s="1"/>
  <c r="YQ388" i="24" s="1"/>
  <c r="YR388" i="24" s="1"/>
  <c r="YS388" i="24" s="1"/>
  <c r="YT388" i="24" s="1"/>
  <c r="YU388" i="24" s="1"/>
  <c r="YV388" i="24" s="1"/>
  <c r="YW388" i="24" s="1"/>
  <c r="YX388" i="24" s="1"/>
  <c r="YY388" i="24" s="1"/>
  <c r="YZ388" i="24" s="1"/>
  <c r="ZA388" i="24" s="1"/>
  <c r="ZB388" i="24" s="1"/>
  <c r="ZC388" i="24" s="1"/>
  <c r="ZD388" i="24" s="1"/>
  <c r="ZE388" i="24" s="1"/>
  <c r="ZF388" i="24" s="1"/>
  <c r="ZG388" i="24" s="1"/>
  <c r="ZH388" i="24" s="1"/>
  <c r="ZI388" i="24" s="1"/>
  <c r="ZJ388" i="24" s="1"/>
  <c r="ZK388" i="24" s="1"/>
  <c r="ZL388" i="24" s="1"/>
  <c r="ZM388" i="24" s="1"/>
  <c r="ZN388" i="24" s="1"/>
  <c r="ZO388" i="24" s="1"/>
  <c r="ZP388" i="24" s="1"/>
  <c r="ZQ388" i="24" s="1"/>
  <c r="ZR388" i="24" s="1"/>
  <c r="ZS388" i="24" s="1"/>
  <c r="ZT388" i="24" s="1"/>
  <c r="ZU388" i="24" s="1"/>
  <c r="ZV388" i="24" s="1"/>
  <c r="ZW388" i="24" s="1"/>
  <c r="ZX388" i="24" s="1"/>
  <c r="ZY388" i="24" s="1"/>
  <c r="ZZ388" i="24" s="1"/>
  <c r="AAA388" i="24" s="1"/>
  <c r="AAB388" i="24" s="1"/>
  <c r="AAC388" i="24" s="1"/>
  <c r="AAD388" i="24" s="1"/>
  <c r="AAE388" i="24" s="1"/>
  <c r="AAF388" i="24" s="1"/>
  <c r="AAG388" i="24" s="1"/>
  <c r="AAH388" i="24" s="1"/>
  <c r="AAI388" i="24" s="1"/>
  <c r="AAJ388" i="24" s="1"/>
  <c r="AAK388" i="24" s="1"/>
  <c r="AAL388" i="24" s="1"/>
  <c r="AAM388" i="24" s="1"/>
  <c r="AAN388" i="24" s="1"/>
  <c r="AAO388" i="24" s="1"/>
  <c r="AAP388" i="24" s="1"/>
  <c r="AAQ388" i="24" s="1"/>
  <c r="AAR388" i="24" s="1"/>
  <c r="AAS388" i="24" s="1"/>
  <c r="AAT388" i="24" s="1"/>
  <c r="AAU388" i="24" s="1"/>
  <c r="AAV388" i="24" s="1"/>
  <c r="AAW388" i="24" s="1"/>
  <c r="AAX388" i="24" s="1"/>
  <c r="AAY388" i="24" s="1"/>
  <c r="AAZ388" i="24" s="1"/>
  <c r="ABA388" i="24" s="1"/>
  <c r="ABB388" i="24" s="1"/>
  <c r="ABC388" i="24" s="1"/>
  <c r="ABD388" i="24" s="1"/>
  <c r="ABE388" i="24" s="1"/>
  <c r="ABF388" i="24" s="1"/>
  <c r="ABG388" i="24" s="1"/>
  <c r="ABH388" i="24" s="1"/>
  <c r="ABI388" i="24" s="1"/>
  <c r="ABJ388" i="24" s="1"/>
  <c r="ABK388" i="24" s="1"/>
  <c r="ABL388" i="24" s="1"/>
  <c r="ABM388" i="24" s="1"/>
  <c r="ABN388" i="24" s="1"/>
  <c r="ABO388" i="24" s="1"/>
  <c r="ABP388" i="24" s="1"/>
  <c r="ABQ388" i="24" s="1"/>
  <c r="ABR388" i="24" s="1"/>
  <c r="ABS388" i="24" s="1"/>
  <c r="ABT388" i="24" s="1"/>
  <c r="ABU388" i="24" s="1"/>
  <c r="ABV388" i="24" s="1"/>
  <c r="ABW388" i="24" s="1"/>
  <c r="ABX388" i="24" s="1"/>
  <c r="ABY388" i="24" s="1"/>
  <c r="ABZ388" i="24" s="1"/>
  <c r="ACA388" i="24" s="1"/>
  <c r="ACB388" i="24" s="1"/>
  <c r="ACC388" i="24" s="1"/>
  <c r="ACD388" i="24" s="1"/>
  <c r="ACE388" i="24" s="1"/>
  <c r="ACF388" i="24" s="1"/>
  <c r="ACG388" i="24" s="1"/>
  <c r="ACH388" i="24" s="1"/>
  <c r="ACI388" i="24" s="1"/>
  <c r="ACJ388" i="24" s="1"/>
  <c r="ACK388" i="24" s="1"/>
  <c r="ACL388" i="24" s="1"/>
  <c r="ACM388" i="24" s="1"/>
  <c r="ACN388" i="24" s="1"/>
  <c r="ACO388" i="24" s="1"/>
  <c r="ACP388" i="24" s="1"/>
  <c r="ACQ388" i="24" s="1"/>
  <c r="ACR388" i="24" s="1"/>
  <c r="ACS388" i="24" s="1"/>
  <c r="ACT388" i="24" s="1"/>
  <c r="ACU388" i="24" s="1"/>
  <c r="ACV388" i="24" s="1"/>
  <c r="ACW388" i="24" s="1"/>
  <c r="ACX388" i="24" s="1"/>
  <c r="ACY388" i="24" s="1"/>
  <c r="ACZ388" i="24" s="1"/>
  <c r="ADA388" i="24" s="1"/>
  <c r="ADB388" i="24" s="1"/>
  <c r="ADC388" i="24" s="1"/>
  <c r="ADD388" i="24" s="1"/>
  <c r="ADE388" i="24" s="1"/>
  <c r="ADF388" i="24" s="1"/>
  <c r="ADG388" i="24" s="1"/>
  <c r="ADH388" i="24" s="1"/>
  <c r="ADI388" i="24" s="1"/>
  <c r="ADJ388" i="24" s="1"/>
  <c r="ADK388" i="24" s="1"/>
  <c r="ADL388" i="24" s="1"/>
  <c r="ADM388" i="24" s="1"/>
  <c r="ADN388" i="24" s="1"/>
  <c r="ADO388" i="24" s="1"/>
  <c r="ADP388" i="24" s="1"/>
  <c r="ADQ388" i="24" s="1"/>
  <c r="ADR388" i="24" s="1"/>
  <c r="ADS388" i="24" s="1"/>
  <c r="ADT388" i="24" s="1"/>
  <c r="ADU388" i="24" s="1"/>
  <c r="ADV388" i="24" s="1"/>
  <c r="ADW388" i="24" s="1"/>
  <c r="ADX388" i="24" s="1"/>
  <c r="ADY388" i="24" s="1"/>
  <c r="ADZ388" i="24" s="1"/>
  <c r="AEA388" i="24" s="1"/>
  <c r="AEB388" i="24" s="1"/>
  <c r="AEC388" i="24" s="1"/>
  <c r="AED388" i="24" s="1"/>
  <c r="AEE388" i="24" s="1"/>
  <c r="AEF388" i="24" s="1"/>
  <c r="AEG388" i="24" s="1"/>
  <c r="AEH388" i="24" s="1"/>
  <c r="AEI388" i="24" s="1"/>
  <c r="AEJ388" i="24" s="1"/>
  <c r="AEK388" i="24" s="1"/>
  <c r="AEL388" i="24" s="1"/>
  <c r="AEM388" i="24" s="1"/>
  <c r="AEN388" i="24" s="1"/>
  <c r="AEO388" i="24" s="1"/>
  <c r="AEP388" i="24" s="1"/>
  <c r="AEQ388" i="24" s="1"/>
  <c r="AER388" i="24" s="1"/>
  <c r="AES388" i="24" s="1"/>
  <c r="AET388" i="24" s="1"/>
  <c r="AEU388" i="24" s="1"/>
  <c r="AEV388" i="24" s="1"/>
  <c r="AEW388" i="24" s="1"/>
  <c r="AEX388" i="24" s="1"/>
  <c r="AEY388" i="24" s="1"/>
  <c r="AEZ388" i="24" s="1"/>
  <c r="AFA388" i="24" s="1"/>
  <c r="AFB388" i="24" s="1"/>
  <c r="AFC388" i="24" s="1"/>
  <c r="AFD388" i="24" s="1"/>
  <c r="AFE388" i="24" s="1"/>
  <c r="AFF388" i="24" s="1"/>
  <c r="AFG388" i="24" s="1"/>
  <c r="AFH388" i="24" s="1"/>
  <c r="AFI388" i="24" s="1"/>
  <c r="AFJ388" i="24" s="1"/>
  <c r="AFK388" i="24" s="1"/>
  <c r="AFL388" i="24" s="1"/>
  <c r="AFM388" i="24" s="1"/>
  <c r="AFN388" i="24" s="1"/>
  <c r="AFO388" i="24" s="1"/>
  <c r="AFP388" i="24" s="1"/>
  <c r="AFQ388" i="24" s="1"/>
  <c r="AFR388" i="24" s="1"/>
  <c r="AFS388" i="24" s="1"/>
  <c r="AFT388" i="24" s="1"/>
  <c r="AFU388" i="24" s="1"/>
  <c r="AFV388" i="24" s="1"/>
  <c r="AFW388" i="24" s="1"/>
  <c r="AFX388" i="24" s="1"/>
  <c r="AFY388" i="24" s="1"/>
  <c r="AFZ388" i="24" s="1"/>
  <c r="AGA388" i="24" s="1"/>
  <c r="AGB388" i="24" s="1"/>
  <c r="AGC388" i="24" s="1"/>
  <c r="AGD388" i="24" s="1"/>
  <c r="AGE388" i="24" s="1"/>
  <c r="AGF388" i="24" s="1"/>
  <c r="AGG388" i="24" s="1"/>
  <c r="AGH388" i="24" s="1"/>
  <c r="AGI388" i="24" s="1"/>
  <c r="AGJ388" i="24" s="1"/>
  <c r="AGK388" i="24" s="1"/>
  <c r="AGL388" i="24" s="1"/>
  <c r="AGM388" i="24" s="1"/>
  <c r="AGN388" i="24" s="1"/>
  <c r="AGO388" i="24" s="1"/>
  <c r="AGP388" i="24" s="1"/>
  <c r="AGQ388" i="24" s="1"/>
  <c r="AGR388" i="24" s="1"/>
  <c r="AGS388" i="24" s="1"/>
  <c r="AGT388" i="24" s="1"/>
  <c r="AGU388" i="24" s="1"/>
  <c r="AGV388" i="24" s="1"/>
  <c r="AGW388" i="24" s="1"/>
  <c r="AGX388" i="24" s="1"/>
  <c r="AGY388" i="24" s="1"/>
  <c r="AGZ388" i="24" s="1"/>
  <c r="AHA388" i="24" s="1"/>
  <c r="AHB388" i="24" s="1"/>
  <c r="AHC388" i="24" s="1"/>
  <c r="AHD388" i="24" s="1"/>
  <c r="AHE388" i="24" s="1"/>
  <c r="AHF388" i="24" s="1"/>
  <c r="AHG388" i="24" s="1"/>
  <c r="AHH388" i="24" s="1"/>
  <c r="AHI388" i="24" s="1"/>
  <c r="AHJ388" i="24" s="1"/>
  <c r="AHK388" i="24" s="1"/>
  <c r="AHL388" i="24" s="1"/>
  <c r="AHM388" i="24" s="1"/>
  <c r="AHN388" i="24" s="1"/>
  <c r="AHO388" i="24" s="1"/>
  <c r="AHP388" i="24" s="1"/>
  <c r="AHQ388" i="24" s="1"/>
  <c r="AHR388" i="24" s="1"/>
  <c r="AHS388" i="24" s="1"/>
  <c r="AHT388" i="24" s="1"/>
  <c r="AHU388" i="24" s="1"/>
  <c r="AHV388" i="24" s="1"/>
  <c r="AHW388" i="24" s="1"/>
  <c r="AHX388" i="24" s="1"/>
  <c r="AHY388" i="24" s="1"/>
  <c r="AHZ388" i="24" s="1"/>
  <c r="AIA388" i="24" s="1"/>
  <c r="AIB388" i="24" s="1"/>
  <c r="AIC388" i="24" s="1"/>
  <c r="AID388" i="24" s="1"/>
  <c r="AIE388" i="24" s="1"/>
  <c r="AIF388" i="24" s="1"/>
  <c r="AIG388" i="24" s="1"/>
  <c r="AIH388" i="24" s="1"/>
  <c r="AII388" i="24" s="1"/>
  <c r="AIJ388" i="24" s="1"/>
  <c r="AIK388" i="24" s="1"/>
  <c r="AIL388" i="24" s="1"/>
  <c r="AIM388" i="24" s="1"/>
  <c r="AIN388" i="24" s="1"/>
  <c r="AIO388" i="24" s="1"/>
  <c r="AIP388" i="24" s="1"/>
  <c r="AIQ388" i="24" s="1"/>
  <c r="AIR388" i="24" s="1"/>
  <c r="AIS388" i="24" s="1"/>
  <c r="AIT388" i="24" s="1"/>
  <c r="AIU388" i="24" s="1"/>
  <c r="AIV388" i="24" s="1"/>
  <c r="AIW388" i="24" s="1"/>
  <c r="AIX388" i="24" s="1"/>
  <c r="AIY388" i="24" s="1"/>
  <c r="AIZ388" i="24" s="1"/>
  <c r="AJA388" i="24" s="1"/>
  <c r="AJB388" i="24" s="1"/>
  <c r="AJC388" i="24" s="1"/>
  <c r="AJD388" i="24" s="1"/>
  <c r="AJE388" i="24" s="1"/>
  <c r="AJF388" i="24" s="1"/>
  <c r="AJG388" i="24" s="1"/>
  <c r="AJH388" i="24" s="1"/>
  <c r="AJI388" i="24" s="1"/>
  <c r="AJJ388" i="24" s="1"/>
  <c r="AJK388" i="24" s="1"/>
  <c r="AJL388" i="24" s="1"/>
  <c r="AJM388" i="24" s="1"/>
  <c r="AJN388" i="24" s="1"/>
  <c r="AJO388" i="24" s="1"/>
  <c r="AJP388" i="24" s="1"/>
  <c r="AJQ388" i="24" s="1"/>
  <c r="AJR388" i="24" s="1"/>
  <c r="AJS388" i="24" s="1"/>
  <c r="AJT388" i="24" s="1"/>
  <c r="AJU388" i="24" s="1"/>
  <c r="AJV388" i="24" s="1"/>
  <c r="AJW388" i="24" s="1"/>
  <c r="AJX388" i="24" s="1"/>
  <c r="AJY388" i="24" s="1"/>
  <c r="AJZ388" i="24" s="1"/>
  <c r="AKA388" i="24" s="1"/>
  <c r="AKB388" i="24" s="1"/>
  <c r="AKC388" i="24" s="1"/>
  <c r="AKD388" i="24" s="1"/>
  <c r="AKE388" i="24" s="1"/>
  <c r="AKF388" i="24" s="1"/>
  <c r="AKG388" i="24" s="1"/>
  <c r="AKH388" i="24" s="1"/>
  <c r="AKI388" i="24" s="1"/>
  <c r="AKJ388" i="24" s="1"/>
  <c r="AKK388" i="24" s="1"/>
  <c r="AKL388" i="24" s="1"/>
  <c r="AKM388" i="24" s="1"/>
  <c r="AKN388" i="24" s="1"/>
  <c r="AKO388" i="24" s="1"/>
  <c r="AKP388" i="24" s="1"/>
  <c r="AKQ388" i="24" s="1"/>
  <c r="AKR388" i="24" s="1"/>
  <c r="AKS388" i="24" s="1"/>
  <c r="AKT388" i="24" s="1"/>
  <c r="AKU388" i="24" s="1"/>
  <c r="AKV388" i="24" s="1"/>
  <c r="AKW388" i="24" s="1"/>
  <c r="AKX388" i="24" s="1"/>
  <c r="AKY388" i="24" s="1"/>
  <c r="AKZ388" i="24" s="1"/>
  <c r="ALA388" i="24" s="1"/>
  <c r="ALB388" i="24" s="1"/>
  <c r="ALC388" i="24" s="1"/>
  <c r="ALD388" i="24" s="1"/>
  <c r="ALE388" i="24" s="1"/>
  <c r="ALF388" i="24" s="1"/>
  <c r="ALG388" i="24" s="1"/>
  <c r="ALH388" i="24" s="1"/>
  <c r="ALI388" i="24" s="1"/>
  <c r="ALJ388" i="24" s="1"/>
  <c r="ALK388" i="24" s="1"/>
  <c r="ALL388" i="24" s="1"/>
  <c r="ALM388" i="24" s="1"/>
  <c r="ALN388" i="24" s="1"/>
  <c r="ALO388" i="24" s="1"/>
  <c r="ALP388" i="24" s="1"/>
  <c r="ALQ388" i="24" s="1"/>
  <c r="ALR388" i="24" s="1"/>
  <c r="ALS388" i="24" s="1"/>
  <c r="ALT388" i="24" s="1"/>
  <c r="ALU388" i="24" s="1"/>
  <c r="ALV388" i="24" s="1"/>
  <c r="ALW388" i="24" s="1"/>
  <c r="ALX388" i="24" s="1"/>
  <c r="ALY388" i="24" s="1"/>
  <c r="ALZ388" i="24" s="1"/>
  <c r="AMA388" i="24" s="1"/>
  <c r="AMB388" i="24" s="1"/>
  <c r="AMC388" i="24" s="1"/>
  <c r="AMD388" i="24" s="1"/>
  <c r="AME388" i="24" s="1"/>
  <c r="AMF388" i="24" s="1"/>
  <c r="AMG388" i="24" s="1"/>
  <c r="AMH388" i="24" s="1"/>
  <c r="AMI388" i="24" s="1"/>
  <c r="AMJ388" i="24" s="1"/>
  <c r="AMK388" i="24" s="1"/>
  <c r="AML388" i="24" s="1"/>
  <c r="AMM388" i="24" s="1"/>
  <c r="AMN388" i="24" s="1"/>
  <c r="AMO388" i="24" s="1"/>
  <c r="AMP388" i="24" s="1"/>
  <c r="AMQ388" i="24" s="1"/>
  <c r="AMR388" i="24" s="1"/>
  <c r="AMS388" i="24" s="1"/>
  <c r="AMT388" i="24" s="1"/>
  <c r="AMU388" i="24" s="1"/>
  <c r="AMV388" i="24" s="1"/>
  <c r="AMW388" i="24" s="1"/>
  <c r="AMX388" i="24" s="1"/>
  <c r="AMY388" i="24" s="1"/>
  <c r="AMZ388" i="24" s="1"/>
  <c r="ANA388" i="24" s="1"/>
  <c r="ANB388" i="24" s="1"/>
  <c r="ANC388" i="24" s="1"/>
  <c r="AND388" i="24" s="1"/>
  <c r="ANE388" i="24" s="1"/>
  <c r="ANF388" i="24" s="1"/>
  <c r="ANG388" i="24" s="1"/>
  <c r="ANH388" i="24" s="1"/>
  <c r="ANI388" i="24" s="1"/>
  <c r="ANJ388" i="24" s="1"/>
  <c r="ANK388" i="24" s="1"/>
  <c r="ANL388" i="24" s="1"/>
  <c r="ANM388" i="24" s="1"/>
  <c r="ANN388" i="24" s="1"/>
  <c r="ANO388" i="24" s="1"/>
  <c r="ANP388" i="24" s="1"/>
  <c r="ANQ388" i="24" s="1"/>
  <c r="ANR388" i="24" s="1"/>
  <c r="ANS388" i="24" s="1"/>
  <c r="ANT388" i="24" s="1"/>
  <c r="ANU388" i="24" s="1"/>
  <c r="ANV388" i="24" s="1"/>
  <c r="ANW388" i="24" s="1"/>
  <c r="ANX388" i="24" s="1"/>
  <c r="ANY388" i="24" s="1"/>
  <c r="ANZ388" i="24" s="1"/>
  <c r="AOA388" i="24" s="1"/>
  <c r="AOB388" i="24" s="1"/>
  <c r="AOC388" i="24" s="1"/>
  <c r="AOD388" i="24" s="1"/>
  <c r="AOE388" i="24" s="1"/>
  <c r="AOF388" i="24" s="1"/>
  <c r="AOG388" i="24" s="1"/>
  <c r="AOH388" i="24" s="1"/>
  <c r="AOI388" i="24" s="1"/>
  <c r="AOJ388" i="24" s="1"/>
  <c r="AOK388" i="24" s="1"/>
  <c r="AOL388" i="24" s="1"/>
  <c r="AOM388" i="24" s="1"/>
  <c r="AON388" i="24" s="1"/>
  <c r="AOO388" i="24" s="1"/>
  <c r="AOP388" i="24" s="1"/>
  <c r="AOQ388" i="24" s="1"/>
  <c r="AOR388" i="24" s="1"/>
  <c r="AOS388" i="24" s="1"/>
  <c r="AOT388" i="24" s="1"/>
  <c r="AOU388" i="24" s="1"/>
  <c r="AOV388" i="24" s="1"/>
  <c r="I381" i="24"/>
  <c r="I374" i="24"/>
  <c r="I372" i="24"/>
  <c r="I366" i="24"/>
  <c r="J366" i="24" s="1"/>
  <c r="I361" i="24"/>
  <c r="I359" i="24"/>
  <c r="I360" i="24" s="1"/>
  <c r="I357" i="24"/>
  <c r="I356" i="24"/>
  <c r="I353" i="24"/>
  <c r="T348" i="24"/>
  <c r="S348" i="24"/>
  <c r="R348" i="24"/>
  <c r="Q348" i="24"/>
  <c r="P348" i="24"/>
  <c r="O348" i="24"/>
  <c r="N348" i="24"/>
  <c r="M348" i="24"/>
  <c r="L348" i="24"/>
  <c r="K348" i="24"/>
  <c r="J348" i="24"/>
  <c r="I348" i="24"/>
  <c r="T346" i="24"/>
  <c r="S346" i="24"/>
  <c r="R346" i="24"/>
  <c r="Q346" i="24"/>
  <c r="P346" i="24"/>
  <c r="O346" i="24"/>
  <c r="N346" i="24"/>
  <c r="M346" i="24"/>
  <c r="L346" i="24"/>
  <c r="K346" i="24"/>
  <c r="J346" i="24"/>
  <c r="I346" i="24"/>
  <c r="I344" i="24"/>
  <c r="J344" i="24" s="1"/>
  <c r="K344" i="24" s="1"/>
  <c r="L344" i="24" s="1"/>
  <c r="M344" i="24" s="1"/>
  <c r="N344" i="24" s="1"/>
  <c r="O344" i="24" s="1"/>
  <c r="P344" i="24" s="1"/>
  <c r="Q344" i="24" s="1"/>
  <c r="R344" i="24" s="1"/>
  <c r="S344" i="24" s="1"/>
  <c r="T344" i="24" s="1"/>
  <c r="T339" i="24"/>
  <c r="S339" i="24"/>
  <c r="R338" i="24"/>
  <c r="Q338" i="24"/>
  <c r="P338" i="24"/>
  <c r="O338" i="24"/>
  <c r="N338" i="24"/>
  <c r="M338" i="24"/>
  <c r="L338" i="24"/>
  <c r="K338" i="24"/>
  <c r="J338" i="24"/>
  <c r="I338" i="24"/>
  <c r="T336" i="24"/>
  <c r="S336" i="24"/>
  <c r="R336" i="24"/>
  <c r="R339" i="24" s="1"/>
  <c r="Q336" i="24"/>
  <c r="Q339" i="24" s="1"/>
  <c r="P336" i="24"/>
  <c r="P339" i="24" s="1"/>
  <c r="O336" i="24"/>
  <c r="O339" i="24" s="1"/>
  <c r="N336" i="24"/>
  <c r="N339" i="24" s="1"/>
  <c r="M336" i="24"/>
  <c r="M339" i="24" s="1"/>
  <c r="L336" i="24"/>
  <c r="L339" i="24" s="1"/>
  <c r="K336" i="24"/>
  <c r="K339" i="24" s="1"/>
  <c r="J336" i="24"/>
  <c r="J339" i="24" s="1"/>
  <c r="I336" i="24"/>
  <c r="I339" i="24" s="1"/>
  <c r="T334" i="24"/>
  <c r="S334" i="24"/>
  <c r="R334" i="24"/>
  <c r="Q334" i="24"/>
  <c r="P334" i="24"/>
  <c r="O334" i="24"/>
  <c r="N334" i="24"/>
  <c r="M334" i="24"/>
  <c r="L334" i="24"/>
  <c r="K334" i="24"/>
  <c r="J334" i="24"/>
  <c r="I334" i="24"/>
  <c r="I332" i="24"/>
  <c r="J332" i="24" s="1"/>
  <c r="K332" i="24" s="1"/>
  <c r="L332" i="24" s="1"/>
  <c r="M332" i="24" s="1"/>
  <c r="N332" i="24" s="1"/>
  <c r="O332" i="24" s="1"/>
  <c r="P332" i="24" s="1"/>
  <c r="Q332" i="24" s="1"/>
  <c r="R332" i="24" s="1"/>
  <c r="S332" i="24" s="1"/>
  <c r="T332" i="24" s="1"/>
  <c r="T326" i="24"/>
  <c r="S326" i="24"/>
  <c r="R326" i="24"/>
  <c r="Q326" i="24"/>
  <c r="P326" i="24"/>
  <c r="O326" i="24"/>
  <c r="N326" i="24"/>
  <c r="M326" i="24"/>
  <c r="L326" i="24"/>
  <c r="K326" i="24"/>
  <c r="J326" i="24"/>
  <c r="I326" i="24"/>
  <c r="I324" i="24"/>
  <c r="J324" i="24" s="1"/>
  <c r="K324" i="24" s="1"/>
  <c r="L324" i="24" s="1"/>
  <c r="M324" i="24" s="1"/>
  <c r="N324" i="24" s="1"/>
  <c r="O324" i="24" s="1"/>
  <c r="P324" i="24" s="1"/>
  <c r="Q324" i="24" s="1"/>
  <c r="R324" i="24" s="1"/>
  <c r="S324" i="24" s="1"/>
  <c r="T324" i="24" s="1"/>
  <c r="I317" i="24"/>
  <c r="J317" i="24" s="1"/>
  <c r="K317" i="24" s="1"/>
  <c r="L317" i="24" s="1"/>
  <c r="M317" i="24" s="1"/>
  <c r="N317" i="24" s="1"/>
  <c r="O317" i="24" s="1"/>
  <c r="P317" i="24" s="1"/>
  <c r="Q317" i="24" s="1"/>
  <c r="R317" i="24" s="1"/>
  <c r="S317" i="24" s="1"/>
  <c r="I312" i="24"/>
  <c r="AW213" i="55"/>
  <c r="I302" i="24"/>
  <c r="J302" i="24" s="1"/>
  <c r="K302" i="24" s="1"/>
  <c r="L302" i="24" s="1"/>
  <c r="M302" i="24" s="1"/>
  <c r="N302" i="24" s="1"/>
  <c r="O302" i="24" s="1"/>
  <c r="P302" i="24" s="1"/>
  <c r="Q302" i="24" s="1"/>
  <c r="R302" i="24" s="1"/>
  <c r="BI298" i="24"/>
  <c r="BH298" i="24"/>
  <c r="BG298" i="24"/>
  <c r="BF298" i="24"/>
  <c r="BE298" i="24"/>
  <c r="BD298" i="24"/>
  <c r="BC298" i="24"/>
  <c r="BB298" i="24"/>
  <c r="BA298" i="24"/>
  <c r="AZ298" i="24"/>
  <c r="AY298" i="24"/>
  <c r="AX298" i="24"/>
  <c r="AW298" i="24"/>
  <c r="AV298" i="24"/>
  <c r="AU298" i="24"/>
  <c r="AT298" i="24"/>
  <c r="AS298" i="24"/>
  <c r="AR298" i="24"/>
  <c r="AQ298" i="24"/>
  <c r="AP298" i="24"/>
  <c r="AO298" i="24"/>
  <c r="AN298" i="24"/>
  <c r="AM298" i="24"/>
  <c r="AL298" i="24"/>
  <c r="AK298" i="24"/>
  <c r="AJ298" i="24"/>
  <c r="AI298" i="24"/>
  <c r="AH298" i="24"/>
  <c r="AG298" i="24"/>
  <c r="AF298" i="24"/>
  <c r="AE298" i="24"/>
  <c r="AD298" i="24"/>
  <c r="AC298" i="24"/>
  <c r="AB298" i="24"/>
  <c r="AA298" i="24"/>
  <c r="Z298" i="24"/>
  <c r="Y298" i="24"/>
  <c r="X298" i="24"/>
  <c r="W298" i="24"/>
  <c r="V298" i="24"/>
  <c r="U298" i="24"/>
  <c r="T298" i="24"/>
  <c r="S298" i="24"/>
  <c r="R298" i="24"/>
  <c r="Q298" i="24"/>
  <c r="P298" i="24"/>
  <c r="O298" i="24"/>
  <c r="N298" i="24"/>
  <c r="M298" i="24"/>
  <c r="L298" i="24"/>
  <c r="K298" i="24"/>
  <c r="J298" i="24"/>
  <c r="I298" i="24"/>
  <c r="BI297" i="24"/>
  <c r="BH297" i="24"/>
  <c r="BG297" i="24"/>
  <c r="BF297" i="24"/>
  <c r="BE297" i="24"/>
  <c r="BD297" i="24"/>
  <c r="BC297" i="24"/>
  <c r="BB297" i="24"/>
  <c r="BA297" i="24"/>
  <c r="AZ297" i="24"/>
  <c r="AY297" i="24"/>
  <c r="AX297" i="24"/>
  <c r="AW297" i="24"/>
  <c r="AV297" i="24"/>
  <c r="AU297" i="24"/>
  <c r="AT297" i="24"/>
  <c r="AS297" i="24"/>
  <c r="AR297" i="24"/>
  <c r="AQ297" i="24"/>
  <c r="AP297" i="24"/>
  <c r="AO297" i="24"/>
  <c r="AN297" i="24"/>
  <c r="AM297" i="24"/>
  <c r="AL297" i="24"/>
  <c r="AK297" i="24"/>
  <c r="AJ297" i="24"/>
  <c r="AI297" i="24"/>
  <c r="AH297" i="24"/>
  <c r="AG297" i="24"/>
  <c r="AF297" i="24"/>
  <c r="AE297" i="24"/>
  <c r="AD297" i="24"/>
  <c r="AC297" i="24"/>
  <c r="AB297" i="24"/>
  <c r="AA297" i="24"/>
  <c r="Z297" i="24"/>
  <c r="Y297" i="24"/>
  <c r="X297" i="24"/>
  <c r="W297" i="24"/>
  <c r="V297" i="24"/>
  <c r="U297" i="24"/>
  <c r="T297" i="24"/>
  <c r="S297" i="24"/>
  <c r="R297" i="24"/>
  <c r="Q297" i="24"/>
  <c r="P297" i="24"/>
  <c r="O297" i="24"/>
  <c r="N297" i="24"/>
  <c r="M297" i="24"/>
  <c r="L297" i="24"/>
  <c r="K297" i="24"/>
  <c r="J297" i="24"/>
  <c r="I297" i="24"/>
  <c r="I285" i="24"/>
  <c r="J285" i="24" s="1"/>
  <c r="K285" i="24" s="1"/>
  <c r="L285" i="24" s="1"/>
  <c r="M285" i="24" s="1"/>
  <c r="N285" i="24" s="1"/>
  <c r="O285" i="24" s="1"/>
  <c r="P285" i="24" s="1"/>
  <c r="Q285" i="24" s="1"/>
  <c r="R285" i="24" s="1"/>
  <c r="S285" i="24" s="1"/>
  <c r="T285" i="24" s="1"/>
  <c r="U285" i="24" s="1"/>
  <c r="V285" i="24" s="1"/>
  <c r="W285" i="24" s="1"/>
  <c r="X285" i="24" s="1"/>
  <c r="Y285" i="24" s="1"/>
  <c r="Z285" i="24" s="1"/>
  <c r="AA285" i="24" s="1"/>
  <c r="AB285" i="24" s="1"/>
  <c r="AC285" i="24" s="1"/>
  <c r="AD285" i="24" s="1"/>
  <c r="AE285" i="24" s="1"/>
  <c r="AF285" i="24" s="1"/>
  <c r="AG285" i="24" s="1"/>
  <c r="AH285" i="24" s="1"/>
  <c r="AI285" i="24" s="1"/>
  <c r="AJ285" i="24" s="1"/>
  <c r="AK285" i="24" s="1"/>
  <c r="AL285" i="24" s="1"/>
  <c r="AM285" i="24" s="1"/>
  <c r="AN285" i="24" s="1"/>
  <c r="AO285" i="24" s="1"/>
  <c r="AP285" i="24" s="1"/>
  <c r="AQ285" i="24" s="1"/>
  <c r="AR285" i="24" s="1"/>
  <c r="AS285" i="24" s="1"/>
  <c r="AT285" i="24" s="1"/>
  <c r="AU285" i="24" s="1"/>
  <c r="AV285" i="24" s="1"/>
  <c r="AW285" i="24" s="1"/>
  <c r="AX285" i="24" s="1"/>
  <c r="AY285" i="24" s="1"/>
  <c r="AZ285" i="24" s="1"/>
  <c r="BA285" i="24" s="1"/>
  <c r="BB285" i="24" s="1"/>
  <c r="BC285" i="24" s="1"/>
  <c r="BD285" i="24" s="1"/>
  <c r="BE285" i="24" s="1"/>
  <c r="BF285" i="24" s="1"/>
  <c r="BG285" i="24" s="1"/>
  <c r="BH285" i="24" s="1"/>
  <c r="BI285" i="24" s="1"/>
  <c r="BJ285" i="24" s="1"/>
  <c r="BK285" i="24" s="1"/>
  <c r="BL285" i="24" s="1"/>
  <c r="BM285" i="24" s="1"/>
  <c r="BN285" i="24" s="1"/>
  <c r="BO285" i="24" s="1"/>
  <c r="BP285" i="24" s="1"/>
  <c r="BQ285" i="24" s="1"/>
  <c r="BR285" i="24" s="1"/>
  <c r="BS285" i="24" s="1"/>
  <c r="BT285" i="24" s="1"/>
  <c r="BU285" i="24" s="1"/>
  <c r="BV285" i="24" s="1"/>
  <c r="BW285" i="24" s="1"/>
  <c r="BX285" i="24" s="1"/>
  <c r="BY285" i="24" s="1"/>
  <c r="BZ285" i="24" s="1"/>
  <c r="CA285" i="24" s="1"/>
  <c r="CB285" i="24" s="1"/>
  <c r="CC285" i="24" s="1"/>
  <c r="CD285" i="24" s="1"/>
  <c r="CE285" i="24" s="1"/>
  <c r="CF285" i="24" s="1"/>
  <c r="CG285" i="24" s="1"/>
  <c r="CH285" i="24" s="1"/>
  <c r="CI285" i="24" s="1"/>
  <c r="CJ285" i="24" s="1"/>
  <c r="CK285" i="24" s="1"/>
  <c r="CL285" i="24" s="1"/>
  <c r="CM285" i="24" s="1"/>
  <c r="CN285" i="24" s="1"/>
  <c r="CO285" i="24" s="1"/>
  <c r="CP285" i="24" s="1"/>
  <c r="CQ285" i="24" s="1"/>
  <c r="CR285" i="24" s="1"/>
  <c r="CS285" i="24" s="1"/>
  <c r="CT285" i="24" s="1"/>
  <c r="CU285" i="24" s="1"/>
  <c r="CV285" i="24" s="1"/>
  <c r="CW285" i="24" s="1"/>
  <c r="CX285" i="24" s="1"/>
  <c r="CY285" i="24" s="1"/>
  <c r="CZ285" i="24" s="1"/>
  <c r="DA285" i="24" s="1"/>
  <c r="DB285" i="24" s="1"/>
  <c r="DC285" i="24" s="1"/>
  <c r="DD285" i="24" s="1"/>
  <c r="AE280" i="24"/>
  <c r="AD280" i="24"/>
  <c r="AC280" i="24"/>
  <c r="AB280" i="24"/>
  <c r="AA280" i="24"/>
  <c r="Z280" i="24"/>
  <c r="Y280" i="24"/>
  <c r="X280" i="24"/>
  <c r="W280" i="24"/>
  <c r="V280" i="24"/>
  <c r="U280" i="24"/>
  <c r="T280" i="24"/>
  <c r="S280" i="24"/>
  <c r="R280" i="24"/>
  <c r="Q280" i="24"/>
  <c r="P280" i="24"/>
  <c r="O280" i="24"/>
  <c r="N280" i="24"/>
  <c r="M280" i="24"/>
  <c r="L280" i="24"/>
  <c r="K280" i="24"/>
  <c r="J280" i="24"/>
  <c r="I280" i="24"/>
  <c r="AE279" i="24"/>
  <c r="AD279" i="24"/>
  <c r="AC279" i="24"/>
  <c r="AB279" i="24"/>
  <c r="AA279" i="24"/>
  <c r="Z279" i="24"/>
  <c r="Y279" i="24"/>
  <c r="X279" i="24"/>
  <c r="W279" i="24"/>
  <c r="V279" i="24"/>
  <c r="U279" i="24"/>
  <c r="T279" i="24"/>
  <c r="S279" i="24"/>
  <c r="R279" i="24"/>
  <c r="Q279" i="24"/>
  <c r="P279" i="24"/>
  <c r="O279" i="24"/>
  <c r="N279" i="24"/>
  <c r="M279" i="24"/>
  <c r="L279" i="24"/>
  <c r="K279" i="24"/>
  <c r="J279" i="24"/>
  <c r="I279" i="24"/>
  <c r="AE278" i="24"/>
  <c r="AD278" i="24"/>
  <c r="AC278" i="24"/>
  <c r="AB278" i="24"/>
  <c r="AA278" i="24"/>
  <c r="Z278" i="24"/>
  <c r="Y278" i="24"/>
  <c r="X278" i="24"/>
  <c r="W278" i="24"/>
  <c r="V278" i="24"/>
  <c r="U278" i="24"/>
  <c r="T278" i="24"/>
  <c r="S278" i="24"/>
  <c r="R278" i="24"/>
  <c r="Q278" i="24"/>
  <c r="P278" i="24"/>
  <c r="O278" i="24"/>
  <c r="N278" i="24"/>
  <c r="M278" i="24"/>
  <c r="L278" i="24"/>
  <c r="K278" i="24"/>
  <c r="J278" i="24"/>
  <c r="I278" i="24"/>
  <c r="AP277" i="24"/>
  <c r="AP280" i="24" s="1"/>
  <c r="AO277" i="24"/>
  <c r="AO280" i="24" s="1"/>
  <c r="AN277" i="24"/>
  <c r="AN280" i="24" s="1"/>
  <c r="AM277" i="24"/>
  <c r="AM280" i="24" s="1"/>
  <c r="AL277" i="24"/>
  <c r="AL280" i="24" s="1"/>
  <c r="AK277" i="24"/>
  <c r="AK280" i="24" s="1"/>
  <c r="AJ277" i="24"/>
  <c r="AJ280" i="24" s="1"/>
  <c r="AI277" i="24"/>
  <c r="AI280" i="24" s="1"/>
  <c r="AH277" i="24"/>
  <c r="AH280" i="24" s="1"/>
  <c r="AG277" i="24"/>
  <c r="AG280" i="24" s="1"/>
  <c r="AF277" i="24"/>
  <c r="AF280" i="24" s="1"/>
  <c r="AP276" i="24"/>
  <c r="AP279" i="24" s="1"/>
  <c r="AO276" i="24"/>
  <c r="AO279" i="24" s="1"/>
  <c r="AN276" i="24"/>
  <c r="AN279" i="24" s="1"/>
  <c r="AM276" i="24"/>
  <c r="AM279" i="24" s="1"/>
  <c r="AL276" i="24"/>
  <c r="AL279" i="24" s="1"/>
  <c r="AK276" i="24"/>
  <c r="AK279" i="24" s="1"/>
  <c r="AJ276" i="24"/>
  <c r="AJ279" i="24" s="1"/>
  <c r="AI276" i="24"/>
  <c r="AI279" i="24" s="1"/>
  <c r="AH276" i="24"/>
  <c r="AH279" i="24" s="1"/>
  <c r="AG276" i="24"/>
  <c r="AG279" i="24" s="1"/>
  <c r="AF276" i="24"/>
  <c r="AF279" i="24" s="1"/>
  <c r="AP275" i="24"/>
  <c r="AP278" i="24" s="1"/>
  <c r="AO275" i="24"/>
  <c r="AO278" i="24" s="1"/>
  <c r="AN275" i="24"/>
  <c r="AN278" i="24" s="1"/>
  <c r="AM275" i="24"/>
  <c r="AM278" i="24" s="1"/>
  <c r="AL275" i="24"/>
  <c r="AL278" i="24" s="1"/>
  <c r="AK275" i="24"/>
  <c r="AK278" i="24" s="1"/>
  <c r="AJ275" i="24"/>
  <c r="AJ278" i="24" s="1"/>
  <c r="AI275" i="24"/>
  <c r="AI278" i="24" s="1"/>
  <c r="AH275" i="24"/>
  <c r="AH278" i="24" s="1"/>
  <c r="AG275" i="24"/>
  <c r="AG278" i="24" s="1"/>
  <c r="AF275" i="24"/>
  <c r="AF278" i="24" s="1"/>
  <c r="AP272" i="24"/>
  <c r="AO272" i="24"/>
  <c r="AN272" i="24"/>
  <c r="AM272" i="24"/>
  <c r="AL272" i="24"/>
  <c r="AK272" i="24"/>
  <c r="AJ272" i="24"/>
  <c r="AI272" i="24"/>
  <c r="AH272" i="24"/>
  <c r="AG272" i="24"/>
  <c r="AF272" i="24"/>
  <c r="AC272" i="24"/>
  <c r="AB272" i="24"/>
  <c r="AA272" i="24"/>
  <c r="Y272" i="24"/>
  <c r="X272" i="24"/>
  <c r="W272" i="24"/>
  <c r="V272" i="24"/>
  <c r="AP271" i="24"/>
  <c r="AO271" i="24"/>
  <c r="AN271" i="24"/>
  <c r="AM271" i="24"/>
  <c r="AL271" i="24"/>
  <c r="AK271" i="24"/>
  <c r="AJ271" i="24"/>
  <c r="AI271" i="24"/>
  <c r="AH271" i="24"/>
  <c r="AG271" i="24"/>
  <c r="AF271" i="24"/>
  <c r="AP270" i="24"/>
  <c r="AO270" i="24"/>
  <c r="AN270" i="24"/>
  <c r="AM270" i="24"/>
  <c r="AL270" i="24"/>
  <c r="AK270" i="24"/>
  <c r="AJ270" i="24"/>
  <c r="AI270" i="24"/>
  <c r="AH270" i="24"/>
  <c r="AG270" i="24"/>
  <c r="AF270" i="24"/>
  <c r="AE270" i="24"/>
  <c r="AE272" i="24" s="1"/>
  <c r="AD270" i="24"/>
  <c r="AD272" i="24" s="1"/>
  <c r="AC270" i="24"/>
  <c r="AB270" i="24"/>
  <c r="AA270" i="24"/>
  <c r="Z270" i="24"/>
  <c r="Z272" i="24" s="1"/>
  <c r="Y270" i="24"/>
  <c r="X270" i="24"/>
  <c r="W270" i="24"/>
  <c r="V270" i="24"/>
  <c r="U270" i="24"/>
  <c r="U272" i="24" s="1"/>
  <c r="T270" i="24"/>
  <c r="T272" i="24" s="1"/>
  <c r="S270" i="24"/>
  <c r="S272" i="24" s="1"/>
  <c r="R270" i="24"/>
  <c r="R272" i="24" s="1"/>
  <c r="Q270" i="24"/>
  <c r="Q272" i="24" s="1"/>
  <c r="P270" i="24"/>
  <c r="P272" i="24" s="1"/>
  <c r="O270" i="24"/>
  <c r="O272" i="24" s="1"/>
  <c r="N270" i="24"/>
  <c r="N272" i="24" s="1"/>
  <c r="M270" i="24"/>
  <c r="M272" i="24" s="1"/>
  <c r="L270" i="24"/>
  <c r="L272" i="24" s="1"/>
  <c r="K270" i="24"/>
  <c r="K272" i="24" s="1"/>
  <c r="J270" i="24"/>
  <c r="J272" i="24" s="1"/>
  <c r="I270" i="24"/>
  <c r="I272" i="24" s="1"/>
  <c r="AP269" i="24"/>
  <c r="AO269" i="24"/>
  <c r="AN269" i="24"/>
  <c r="AM269" i="24"/>
  <c r="AL269" i="24"/>
  <c r="AK269" i="24"/>
  <c r="AJ269" i="24"/>
  <c r="AI269" i="24"/>
  <c r="AH269" i="24"/>
  <c r="AG269" i="24"/>
  <c r="AF269" i="24"/>
  <c r="AE269" i="24"/>
  <c r="AD269" i="24"/>
  <c r="AC269" i="24"/>
  <c r="AB269" i="24"/>
  <c r="AA269" i="24"/>
  <c r="Z269" i="24"/>
  <c r="Y269" i="24"/>
  <c r="X269" i="24"/>
  <c r="W269" i="24"/>
  <c r="V269" i="24"/>
  <c r="U269" i="24"/>
  <c r="T269" i="24"/>
  <c r="S269" i="24"/>
  <c r="R269" i="24"/>
  <c r="Q269" i="24"/>
  <c r="P269" i="24"/>
  <c r="O269" i="24"/>
  <c r="N269" i="24"/>
  <c r="M269" i="24"/>
  <c r="L269" i="24"/>
  <c r="K269" i="24"/>
  <c r="J269" i="24"/>
  <c r="I269" i="24"/>
  <c r="AP268" i="24"/>
  <c r="AO268" i="24"/>
  <c r="AN268" i="24"/>
  <c r="AM268" i="24"/>
  <c r="AL268" i="24"/>
  <c r="AK268" i="24"/>
  <c r="AJ268" i="24"/>
  <c r="AI268" i="24"/>
  <c r="AH268" i="24"/>
  <c r="AG268" i="24"/>
  <c r="AF268" i="24"/>
  <c r="AP265" i="24"/>
  <c r="AO265" i="24"/>
  <c r="AN265" i="24"/>
  <c r="AM265" i="24"/>
  <c r="AL265" i="24"/>
  <c r="AK265" i="24"/>
  <c r="AJ265" i="24"/>
  <c r="AI265" i="24"/>
  <c r="AH265" i="24"/>
  <c r="AG265" i="24"/>
  <c r="AF265" i="24"/>
  <c r="AP264" i="24"/>
  <c r="AO264" i="24"/>
  <c r="AN264" i="24"/>
  <c r="AM264" i="24"/>
  <c r="AL264" i="24"/>
  <c r="AK264" i="24"/>
  <c r="AJ264" i="24"/>
  <c r="AI264" i="24"/>
  <c r="AH264" i="24"/>
  <c r="AG264" i="24"/>
  <c r="AF264" i="24"/>
  <c r="X264" i="24"/>
  <c r="AP261" i="24"/>
  <c r="AO261" i="24"/>
  <c r="AN261" i="24"/>
  <c r="AM261" i="24"/>
  <c r="AL261" i="24"/>
  <c r="AK261" i="24"/>
  <c r="AJ261" i="24"/>
  <c r="AI261" i="24"/>
  <c r="AH261" i="24"/>
  <c r="AG261" i="24"/>
  <c r="AF261" i="24"/>
  <c r="T261" i="24"/>
  <c r="I257" i="24"/>
  <c r="J257" i="24" s="1"/>
  <c r="K257" i="24" s="1"/>
  <c r="L257" i="24" s="1"/>
  <c r="M257" i="24" s="1"/>
  <c r="N257" i="24" s="1"/>
  <c r="O257" i="24" s="1"/>
  <c r="P257" i="24" s="1"/>
  <c r="Q257" i="24" s="1"/>
  <c r="R257" i="24" s="1"/>
  <c r="S257" i="24" s="1"/>
  <c r="T257" i="24" s="1"/>
  <c r="U257" i="24" s="1"/>
  <c r="V257" i="24" s="1"/>
  <c r="W257" i="24" s="1"/>
  <c r="X257" i="24" s="1"/>
  <c r="Y257" i="24" s="1"/>
  <c r="Z257" i="24" s="1"/>
  <c r="AA257" i="24" s="1"/>
  <c r="AB257" i="24" s="1"/>
  <c r="AC257" i="24" s="1"/>
  <c r="AD257" i="24" s="1"/>
  <c r="AE257" i="24" s="1"/>
  <c r="AF257" i="24" s="1"/>
  <c r="AG257" i="24" s="1"/>
  <c r="AH257" i="24" s="1"/>
  <c r="AI257" i="24" s="1"/>
  <c r="AJ257" i="24" s="1"/>
  <c r="AK257" i="24" s="1"/>
  <c r="AL257" i="24" s="1"/>
  <c r="AM257" i="24" s="1"/>
  <c r="AN257" i="24" s="1"/>
  <c r="AO257" i="24" s="1"/>
  <c r="AP257" i="24" s="1"/>
  <c r="I246" i="24"/>
  <c r="J246" i="24" s="1"/>
  <c r="K246" i="24" s="1"/>
  <c r="L246" i="24" s="1"/>
  <c r="M246" i="24" s="1"/>
  <c r="N246" i="24" s="1"/>
  <c r="O246" i="24" s="1"/>
  <c r="P246" i="24" s="1"/>
  <c r="Q246" i="24" s="1"/>
  <c r="I221" i="24"/>
  <c r="I214" i="24"/>
  <c r="AB205" i="24"/>
  <c r="AA205" i="24"/>
  <c r="Z205" i="24"/>
  <c r="Y205" i="24"/>
  <c r="X205" i="24"/>
  <c r="W205" i="24"/>
  <c r="V205" i="24"/>
  <c r="U205" i="24"/>
  <c r="T205" i="24"/>
  <c r="S205" i="24"/>
  <c r="R205" i="24"/>
  <c r="Q205" i="24"/>
  <c r="P205" i="24"/>
  <c r="O205" i="24"/>
  <c r="N205" i="24"/>
  <c r="M205" i="24"/>
  <c r="L205" i="24"/>
  <c r="K205" i="24"/>
  <c r="J205" i="24"/>
  <c r="I205" i="24"/>
  <c r="AB198" i="24"/>
  <c r="AA198" i="24"/>
  <c r="Z198" i="24"/>
  <c r="Y198" i="24"/>
  <c r="X198" i="24"/>
  <c r="W198" i="24"/>
  <c r="V198" i="24"/>
  <c r="U198" i="24"/>
  <c r="T198" i="24"/>
  <c r="S198" i="24"/>
  <c r="R198" i="24"/>
  <c r="Q198" i="24"/>
  <c r="P198" i="24"/>
  <c r="O198" i="24"/>
  <c r="N198" i="24"/>
  <c r="M198" i="24"/>
  <c r="L198" i="24"/>
  <c r="K198" i="24"/>
  <c r="J198" i="24"/>
  <c r="I198" i="24"/>
  <c r="I188" i="24"/>
  <c r="J188" i="24" s="1"/>
  <c r="K188" i="24" s="1"/>
  <c r="L188" i="24" s="1"/>
  <c r="M188" i="24" s="1"/>
  <c r="N188" i="24" s="1"/>
  <c r="O188" i="24" s="1"/>
  <c r="P188" i="24" s="1"/>
  <c r="Q188" i="24" s="1"/>
  <c r="R188" i="24" s="1"/>
  <c r="S188" i="24" s="1"/>
  <c r="T188" i="24" s="1"/>
  <c r="U188" i="24" s="1"/>
  <c r="V188" i="24" s="1"/>
  <c r="W188" i="24" s="1"/>
  <c r="X188" i="24" s="1"/>
  <c r="Y188" i="24" s="1"/>
  <c r="Z188" i="24" s="1"/>
  <c r="AA188" i="24" s="1"/>
  <c r="AB188" i="24" s="1"/>
  <c r="I177" i="24"/>
  <c r="J177" i="24" s="1"/>
  <c r="K177" i="24" s="1"/>
  <c r="L177" i="24" s="1"/>
  <c r="M177" i="24" s="1"/>
  <c r="T172" i="24"/>
  <c r="S172" i="24"/>
  <c r="R172" i="24"/>
  <c r="Q172" i="24"/>
  <c r="P172" i="24"/>
  <c r="O172" i="24"/>
  <c r="N172" i="24"/>
  <c r="M172" i="24"/>
  <c r="L172" i="24"/>
  <c r="K172" i="24"/>
  <c r="J172" i="24"/>
  <c r="I172" i="24"/>
  <c r="I171" i="24"/>
  <c r="J171" i="24" s="1"/>
  <c r="K171" i="24" s="1"/>
  <c r="L171" i="24" s="1"/>
  <c r="M171" i="24" s="1"/>
  <c r="N171" i="24" s="1"/>
  <c r="O171" i="24" s="1"/>
  <c r="P171" i="24" s="1"/>
  <c r="Q171" i="24" s="1"/>
  <c r="R171" i="24" s="1"/>
  <c r="S171" i="24" s="1"/>
  <c r="T171" i="24" s="1"/>
  <c r="BA162" i="24"/>
  <c r="AZ162" i="24"/>
  <c r="AY162" i="24"/>
  <c r="AX162" i="24"/>
  <c r="AV162" i="24"/>
  <c r="AT162" i="24"/>
  <c r="AS162" i="24"/>
  <c r="AQ162" i="24"/>
  <c r="AP162" i="24"/>
  <c r="AO162" i="24"/>
  <c r="AN162" i="24"/>
  <c r="AM162" i="24"/>
  <c r="AL162" i="24"/>
  <c r="AK162" i="24"/>
  <c r="AJ162" i="24"/>
  <c r="AI162" i="24"/>
  <c r="AH162" i="24"/>
  <c r="AG162" i="24"/>
  <c r="AF162" i="24"/>
  <c r="AE162" i="24"/>
  <c r="U162" i="24"/>
  <c r="T162" i="24"/>
  <c r="R162" i="24"/>
  <c r="J162" i="24"/>
  <c r="I162" i="24"/>
  <c r="AE155" i="24"/>
  <c r="U155" i="24"/>
  <c r="AU154" i="24"/>
  <c r="AR154" i="24"/>
  <c r="BA153" i="24"/>
  <c r="AZ153" i="24"/>
  <c r="AY153" i="24"/>
  <c r="AX153" i="24"/>
  <c r="AV153" i="24"/>
  <c r="AU153" i="24"/>
  <c r="AT153" i="24"/>
  <c r="AS153" i="24"/>
  <c r="AR153" i="24"/>
  <c r="AQ153" i="24"/>
  <c r="AP153" i="24"/>
  <c r="AO153" i="24"/>
  <c r="AN153" i="24"/>
  <c r="AM153" i="24"/>
  <c r="AL153" i="24"/>
  <c r="AK153" i="24"/>
  <c r="AJ153" i="24"/>
  <c r="AI153" i="24"/>
  <c r="AH153" i="24"/>
  <c r="AE153" i="24"/>
  <c r="U153" i="24"/>
  <c r="R153" i="24"/>
  <c r="AH150" i="24"/>
  <c r="AH149" i="24"/>
  <c r="AH148" i="24"/>
  <c r="AG141" i="24"/>
  <c r="AG153" i="24" s="1"/>
  <c r="AF141" i="24"/>
  <c r="AF153" i="24" s="1"/>
  <c r="AD141" i="24"/>
  <c r="AD162" i="24" s="1"/>
  <c r="AC141" i="24"/>
  <c r="AC162" i="24" s="1"/>
  <c r="AB141" i="24"/>
  <c r="AB162" i="24" s="1"/>
  <c r="AA141" i="24"/>
  <c r="AA153" i="24" s="1"/>
  <c r="Z141" i="24"/>
  <c r="Z162" i="24" s="1"/>
  <c r="Y141" i="24"/>
  <c r="Y153" i="24" s="1"/>
  <c r="X141" i="24"/>
  <c r="X162" i="24" s="1"/>
  <c r="W141" i="24"/>
  <c r="W162" i="24" s="1"/>
  <c r="V141" i="24"/>
  <c r="V162" i="24" s="1"/>
  <c r="T141" i="24"/>
  <c r="S141" i="24"/>
  <c r="S153" i="24" s="1"/>
  <c r="Q141" i="24"/>
  <c r="Q153" i="24" s="1"/>
  <c r="P141" i="24"/>
  <c r="P162" i="24" s="1"/>
  <c r="O141" i="24"/>
  <c r="O162" i="24" s="1"/>
  <c r="N141" i="24"/>
  <c r="N162" i="24" s="1"/>
  <c r="M141" i="24"/>
  <c r="M162" i="24" s="1"/>
  <c r="L141" i="24"/>
  <c r="K141" i="24"/>
  <c r="K162" i="24" s="1"/>
  <c r="J141" i="24"/>
  <c r="J153" i="24" s="1"/>
  <c r="I141" i="24"/>
  <c r="I153" i="24" s="1"/>
  <c r="I137" i="24"/>
  <c r="J137" i="24" s="1"/>
  <c r="K137" i="24" s="1"/>
  <c r="L137" i="24" s="1"/>
  <c r="M137" i="24" s="1"/>
  <c r="N137" i="24" s="1"/>
  <c r="O137" i="24" s="1"/>
  <c r="P137" i="24" s="1"/>
  <c r="Q137" i="24" s="1"/>
  <c r="R137" i="24" s="1"/>
  <c r="S137" i="24" s="1"/>
  <c r="T137" i="24" s="1"/>
  <c r="U137" i="24" s="1"/>
  <c r="V137" i="24" s="1"/>
  <c r="W137" i="24" s="1"/>
  <c r="X137" i="24" s="1"/>
  <c r="Y137" i="24" s="1"/>
  <c r="Z137" i="24" s="1"/>
  <c r="AA137" i="24" s="1"/>
  <c r="AB137" i="24" s="1"/>
  <c r="AC137" i="24" s="1"/>
  <c r="AD137" i="24" s="1"/>
  <c r="AE137" i="24" s="1"/>
  <c r="AF137" i="24" s="1"/>
  <c r="AG137" i="24" s="1"/>
  <c r="AH137" i="24" s="1"/>
  <c r="AI137" i="24" s="1"/>
  <c r="AJ137" i="24" s="1"/>
  <c r="AK137" i="24" s="1"/>
  <c r="AL137" i="24" s="1"/>
  <c r="AM137" i="24" s="1"/>
  <c r="AN137" i="24" s="1"/>
  <c r="AO137" i="24" s="1"/>
  <c r="AP137" i="24" s="1"/>
  <c r="AQ137" i="24" s="1"/>
  <c r="AR137" i="24" s="1"/>
  <c r="AS137" i="24" s="1"/>
  <c r="AT137" i="24" s="1"/>
  <c r="AU137" i="24" s="1"/>
  <c r="AV137" i="24" s="1"/>
  <c r="AW137" i="24" s="1"/>
  <c r="AX137" i="24" s="1"/>
  <c r="AY137" i="24" s="1"/>
  <c r="AZ137" i="24" s="1"/>
  <c r="BA137" i="24" s="1"/>
  <c r="I122" i="24"/>
  <c r="AH111" i="24"/>
  <c r="AG111" i="24"/>
  <c r="O111" i="24"/>
  <c r="J111" i="24"/>
  <c r="I111" i="24"/>
  <c r="BD106" i="24"/>
  <c r="BC106" i="24"/>
  <c r="BB106" i="24"/>
  <c r="BA106" i="24"/>
  <c r="AZ106" i="24"/>
  <c r="AY106" i="24"/>
  <c r="AX106" i="24"/>
  <c r="AW106" i="24"/>
  <c r="AV106" i="24"/>
  <c r="AU106" i="24"/>
  <c r="AT106" i="24"/>
  <c r="AR106" i="24"/>
  <c r="AQ106" i="24"/>
  <c r="AP106" i="24"/>
  <c r="AO106" i="24"/>
  <c r="AN106" i="24"/>
  <c r="AM106" i="24"/>
  <c r="AL106" i="24"/>
  <c r="AK106" i="24"/>
  <c r="AJ106" i="24"/>
  <c r="AI106" i="24"/>
  <c r="AH106" i="24"/>
  <c r="AG106" i="24"/>
  <c r="AF106" i="24"/>
  <c r="V106" i="24"/>
  <c r="U106" i="24"/>
  <c r="T106" i="24"/>
  <c r="P106" i="24"/>
  <c r="N106" i="24"/>
  <c r="M106" i="24"/>
  <c r="J106" i="24"/>
  <c r="I106" i="24"/>
  <c r="S105" i="24"/>
  <c r="Q105" i="24"/>
  <c r="Q106" i="24" s="1"/>
  <c r="L105" i="24"/>
  <c r="AF99" i="24"/>
  <c r="U99" i="24"/>
  <c r="BD97" i="24"/>
  <c r="BC97" i="24"/>
  <c r="BB97" i="24"/>
  <c r="BA97" i="24"/>
  <c r="AZ97" i="24"/>
  <c r="AY97" i="24"/>
  <c r="AX97" i="24"/>
  <c r="AW97" i="24"/>
  <c r="AV97" i="24"/>
  <c r="AU97" i="24"/>
  <c r="AT97" i="24"/>
  <c r="AR97" i="24"/>
  <c r="AO97" i="24"/>
  <c r="AN97" i="24"/>
  <c r="AM97" i="24"/>
  <c r="AL97" i="24"/>
  <c r="AK97" i="24"/>
  <c r="AJ97" i="24"/>
  <c r="AI97" i="24"/>
  <c r="AF97" i="24"/>
  <c r="U97" i="24"/>
  <c r="T97" i="24"/>
  <c r="Q97" i="24"/>
  <c r="P97" i="24"/>
  <c r="J97" i="24"/>
  <c r="I97" i="24"/>
  <c r="AO94" i="24"/>
  <c r="AN94" i="24"/>
  <c r="AF94" i="24"/>
  <c r="AE94" i="24"/>
  <c r="AD94" i="24"/>
  <c r="AC94" i="24"/>
  <c r="AB94" i="24"/>
  <c r="AA94" i="24"/>
  <c r="Z94" i="24"/>
  <c r="Y94" i="24"/>
  <c r="X94" i="24"/>
  <c r="W94" i="24"/>
  <c r="U94" i="24"/>
  <c r="S94" i="24"/>
  <c r="R94" i="24"/>
  <c r="AO93" i="24"/>
  <c r="AN93" i="24"/>
  <c r="AF93" i="24"/>
  <c r="AE93" i="24"/>
  <c r="AD93" i="24"/>
  <c r="AC93" i="24"/>
  <c r="AB93" i="24"/>
  <c r="AA93" i="24"/>
  <c r="Z93" i="24"/>
  <c r="Y93" i="24"/>
  <c r="X93" i="24"/>
  <c r="W93" i="24"/>
  <c r="U93" i="24"/>
  <c r="S93" i="24"/>
  <c r="R93" i="24"/>
  <c r="AO92" i="24"/>
  <c r="AN92" i="24"/>
  <c r="AF92" i="24"/>
  <c r="AE92" i="24"/>
  <c r="AD92" i="24"/>
  <c r="AC92" i="24"/>
  <c r="AB92" i="24"/>
  <c r="AA92" i="24"/>
  <c r="Z92" i="24"/>
  <c r="Y92" i="24"/>
  <c r="X92" i="24"/>
  <c r="W92" i="24"/>
  <c r="U92" i="24"/>
  <c r="S92" i="24"/>
  <c r="R92" i="24"/>
  <c r="AH85" i="24"/>
  <c r="AH97" i="24" s="1"/>
  <c r="AG85" i="24"/>
  <c r="AG97" i="24" s="1"/>
  <c r="AE85" i="24"/>
  <c r="AE106" i="24" s="1"/>
  <c r="AD85" i="24"/>
  <c r="AD97" i="24" s="1"/>
  <c r="AC85" i="24"/>
  <c r="AC106" i="24" s="1"/>
  <c r="AB85" i="24"/>
  <c r="AB97" i="24" s="1"/>
  <c r="AA85" i="24"/>
  <c r="AA97" i="24" s="1"/>
  <c r="Z85" i="24"/>
  <c r="Z106" i="24" s="1"/>
  <c r="Y85" i="24"/>
  <c r="Y106" i="24" s="1"/>
  <c r="X85" i="24"/>
  <c r="X106" i="24" s="1"/>
  <c r="W85" i="24"/>
  <c r="W106" i="24" s="1"/>
  <c r="V85" i="24"/>
  <c r="V97" i="24" s="1"/>
  <c r="S85" i="24"/>
  <c r="S97" i="24" s="1"/>
  <c r="R85" i="24"/>
  <c r="R97" i="24" s="1"/>
  <c r="O85" i="24"/>
  <c r="O106" i="24" s="1"/>
  <c r="N85" i="24"/>
  <c r="N97" i="24" s="1"/>
  <c r="M85" i="24"/>
  <c r="M97" i="24" s="1"/>
  <c r="L85" i="24"/>
  <c r="K85" i="24"/>
  <c r="K97" i="24" s="1"/>
  <c r="I81" i="24"/>
  <c r="J81" i="24" s="1"/>
  <c r="K81" i="24" s="1"/>
  <c r="L81" i="24" s="1"/>
  <c r="M81" i="24" s="1"/>
  <c r="N81" i="24" s="1"/>
  <c r="O81" i="24" s="1"/>
  <c r="P81" i="24" s="1"/>
  <c r="Q81" i="24" s="1"/>
  <c r="R81" i="24" s="1"/>
  <c r="S81" i="24" s="1"/>
  <c r="T81" i="24" s="1"/>
  <c r="U81" i="24" s="1"/>
  <c r="V81" i="24" s="1"/>
  <c r="W81" i="24" s="1"/>
  <c r="X81" i="24" s="1"/>
  <c r="Y81" i="24" s="1"/>
  <c r="Z81" i="24" s="1"/>
  <c r="AA81" i="24" s="1"/>
  <c r="AB81" i="24" s="1"/>
  <c r="AC81" i="24" s="1"/>
  <c r="AD81" i="24" s="1"/>
  <c r="AE81" i="24" s="1"/>
  <c r="AF81" i="24" s="1"/>
  <c r="AG81" i="24" s="1"/>
  <c r="AH81" i="24" s="1"/>
  <c r="AI81" i="24" s="1"/>
  <c r="AJ81" i="24" s="1"/>
  <c r="AK81" i="24" s="1"/>
  <c r="AL81" i="24" s="1"/>
  <c r="AM81" i="24" s="1"/>
  <c r="AN81" i="24" s="1"/>
  <c r="AO81" i="24" s="1"/>
  <c r="AP81" i="24" s="1"/>
  <c r="AQ81" i="24" s="1"/>
  <c r="AR81" i="24" s="1"/>
  <c r="T76" i="24"/>
  <c r="S76" i="24"/>
  <c r="R76" i="24"/>
  <c r="Q76" i="24"/>
  <c r="P76" i="24"/>
  <c r="O76" i="24"/>
  <c r="N76" i="24"/>
  <c r="M76" i="24"/>
  <c r="L76" i="24"/>
  <c r="K76" i="24"/>
  <c r="J76" i="24"/>
  <c r="I76" i="24"/>
  <c r="E76" i="24"/>
  <c r="E75" i="24"/>
  <c r="E74" i="24"/>
  <c r="E73" i="24"/>
  <c r="T72" i="24"/>
  <c r="S72" i="24"/>
  <c r="R72" i="24"/>
  <c r="Q72" i="24"/>
  <c r="P72" i="24"/>
  <c r="O72" i="24"/>
  <c r="N72" i="24"/>
  <c r="M72" i="24"/>
  <c r="L72" i="24"/>
  <c r="K72" i="24"/>
  <c r="J72" i="24"/>
  <c r="I72" i="24"/>
  <c r="T70" i="24"/>
  <c r="S70" i="24"/>
  <c r="R70" i="24"/>
  <c r="Q70" i="24"/>
  <c r="P70" i="24"/>
  <c r="O70" i="24"/>
  <c r="N70" i="24"/>
  <c r="M70" i="24"/>
  <c r="L70" i="24"/>
  <c r="K70" i="24"/>
  <c r="J70" i="24"/>
  <c r="I70" i="24"/>
  <c r="T66" i="24"/>
  <c r="S66" i="24"/>
  <c r="R66" i="24"/>
  <c r="Q66" i="24"/>
  <c r="P66" i="24"/>
  <c r="O66" i="24"/>
  <c r="N66" i="24"/>
  <c r="M66" i="24"/>
  <c r="L66" i="24"/>
  <c r="K66" i="24"/>
  <c r="J66" i="24"/>
  <c r="I66" i="24"/>
  <c r="I64" i="24"/>
  <c r="J64" i="24" s="1"/>
  <c r="K64" i="24" s="1"/>
  <c r="L64" i="24" s="1"/>
  <c r="M64" i="24" s="1"/>
  <c r="N64" i="24" s="1"/>
  <c r="O64" i="24" s="1"/>
  <c r="P64" i="24" s="1"/>
  <c r="Q64" i="24" s="1"/>
  <c r="R64" i="24" s="1"/>
  <c r="S64" i="24" s="1"/>
  <c r="T64" i="24" s="1"/>
  <c r="I56" i="24"/>
  <c r="J56" i="24" s="1"/>
  <c r="K56" i="24" s="1"/>
  <c r="L56" i="24" s="1"/>
  <c r="M56" i="24" s="1"/>
  <c r="N56" i="24" s="1"/>
  <c r="O56" i="24" s="1"/>
  <c r="P56" i="24" s="1"/>
  <c r="Q56" i="24" s="1"/>
  <c r="V50" i="24"/>
  <c r="U50" i="24"/>
  <c r="T50" i="24"/>
  <c r="S50" i="24"/>
  <c r="R50" i="24"/>
  <c r="Q50" i="24"/>
  <c r="P50" i="24"/>
  <c r="O50" i="24"/>
  <c r="N50" i="24"/>
  <c r="M50" i="24"/>
  <c r="L50" i="24"/>
  <c r="K50" i="24"/>
  <c r="J50" i="24"/>
  <c r="I50" i="24"/>
  <c r="AD49" i="24"/>
  <c r="V49" i="24"/>
  <c r="U49" i="24"/>
  <c r="T49" i="24"/>
  <c r="S49" i="24"/>
  <c r="R49" i="24"/>
  <c r="Q49" i="24"/>
  <c r="P49" i="24"/>
  <c r="O49" i="24"/>
  <c r="N49" i="24"/>
  <c r="M49" i="24"/>
  <c r="L49" i="24"/>
  <c r="K49" i="24"/>
  <c r="J49" i="24"/>
  <c r="I49" i="24"/>
  <c r="V48" i="24"/>
  <c r="U48" i="24"/>
  <c r="T48" i="24"/>
  <c r="S48" i="24"/>
  <c r="R48" i="24"/>
  <c r="Q48" i="24"/>
  <c r="P48" i="24"/>
  <c r="O48" i="24"/>
  <c r="N48" i="24"/>
  <c r="M48" i="24"/>
  <c r="L48" i="24"/>
  <c r="K48" i="24"/>
  <c r="J48" i="24"/>
  <c r="I48" i="24"/>
  <c r="V46" i="24"/>
  <c r="V47" i="24" s="1"/>
  <c r="U46" i="24"/>
  <c r="U47" i="24" s="1"/>
  <c r="T46" i="24"/>
  <c r="T47" i="24" s="1"/>
  <c r="S46" i="24"/>
  <c r="S47" i="24" s="1"/>
  <c r="R46" i="24"/>
  <c r="R47" i="24" s="1"/>
  <c r="Q46" i="24"/>
  <c r="Q47" i="24" s="1"/>
  <c r="P46" i="24"/>
  <c r="P47" i="24" s="1"/>
  <c r="O46" i="24"/>
  <c r="O47" i="24" s="1"/>
  <c r="N46" i="24"/>
  <c r="N47" i="24" s="1"/>
  <c r="M46" i="24"/>
  <c r="M47" i="24" s="1"/>
  <c r="L46" i="24"/>
  <c r="L47" i="24" s="1"/>
  <c r="K46" i="24"/>
  <c r="K47" i="24" s="1"/>
  <c r="J46" i="24"/>
  <c r="J47" i="24" s="1"/>
  <c r="I46" i="24"/>
  <c r="I47" i="24" s="1"/>
  <c r="AF45" i="24"/>
  <c r="AG45" i="24" s="1"/>
  <c r="AF44" i="24"/>
  <c r="AH44" i="24" s="1"/>
  <c r="AI44" i="24" s="1"/>
  <c r="AH43" i="24"/>
  <c r="AI43" i="24" s="1"/>
  <c r="AG43" i="24"/>
  <c r="I39" i="24"/>
  <c r="J39" i="24" s="1"/>
  <c r="K39" i="24" s="1"/>
  <c r="L39" i="24" s="1"/>
  <c r="M39" i="24" s="1"/>
  <c r="N39" i="24" s="1"/>
  <c r="O39" i="24" s="1"/>
  <c r="P39" i="24" s="1"/>
  <c r="Q39" i="24" s="1"/>
  <c r="R39" i="24" s="1"/>
  <c r="S39" i="24" s="1"/>
  <c r="T39" i="24" s="1"/>
  <c r="U39" i="24" s="1"/>
  <c r="V39" i="24" s="1"/>
  <c r="BN35" i="24"/>
  <c r="BM35" i="24"/>
  <c r="BL35" i="24"/>
  <c r="BK35" i="24"/>
  <c r="BJ35" i="24"/>
  <c r="BI35" i="24"/>
  <c r="BH35" i="24"/>
  <c r="BG35" i="24"/>
  <c r="BF35" i="24"/>
  <c r="BE35" i="24"/>
  <c r="BD35" i="24"/>
  <c r="BC35" i="24"/>
  <c r="BB35" i="24"/>
  <c r="BA35" i="24"/>
  <c r="AZ35" i="24"/>
  <c r="AY35" i="24"/>
  <c r="AX35" i="24"/>
  <c r="AW35" i="24"/>
  <c r="AV35" i="24"/>
  <c r="AU35" i="24"/>
  <c r="AT35" i="24"/>
  <c r="AS35" i="24"/>
  <c r="AR35" i="24"/>
  <c r="AQ35" i="24"/>
  <c r="AP35" i="24"/>
  <c r="AO35" i="24"/>
  <c r="AN35" i="24"/>
  <c r="AM35" i="24"/>
  <c r="AL35" i="24"/>
  <c r="AK35" i="24"/>
  <c r="AJ35" i="24"/>
  <c r="AI35" i="24"/>
  <c r="AH35" i="24"/>
  <c r="AG35" i="24"/>
  <c r="AF35" i="24"/>
  <c r="AE35" i="24"/>
  <c r="AD35" i="24"/>
  <c r="AC35" i="24"/>
  <c r="AB35" i="24"/>
  <c r="AA35" i="24"/>
  <c r="Z35" i="24"/>
  <c r="Y35" i="24"/>
  <c r="X35" i="24"/>
  <c r="W35" i="24"/>
  <c r="V35" i="24"/>
  <c r="U35" i="24"/>
  <c r="T35" i="24"/>
  <c r="S35" i="24"/>
  <c r="R35" i="24"/>
  <c r="Q35" i="24"/>
  <c r="P35" i="24"/>
  <c r="O35" i="24"/>
  <c r="N35" i="24"/>
  <c r="M35" i="24"/>
  <c r="L35" i="24"/>
  <c r="K35" i="24"/>
  <c r="J35" i="24"/>
  <c r="I35" i="24"/>
  <c r="EB34" i="24"/>
  <c r="EA34" i="24"/>
  <c r="DZ34" i="24"/>
  <c r="DY34" i="24"/>
  <c r="DX34" i="24"/>
  <c r="DW34" i="24"/>
  <c r="DV34" i="24"/>
  <c r="DU34" i="24"/>
  <c r="DT34" i="24"/>
  <c r="DS34" i="24"/>
  <c r="DR34" i="24"/>
  <c r="DQ34" i="24"/>
  <c r="DP34" i="24"/>
  <c r="DO34" i="24"/>
  <c r="DN34" i="24"/>
  <c r="DM34" i="24"/>
  <c r="DL34" i="24"/>
  <c r="DK34" i="24"/>
  <c r="DJ34" i="24"/>
  <c r="DI34" i="24"/>
  <c r="DH34" i="24"/>
  <c r="DG34" i="24"/>
  <c r="DF34" i="24"/>
  <c r="DE34" i="24"/>
  <c r="DD34" i="24"/>
  <c r="DC34" i="24"/>
  <c r="DB34" i="24"/>
  <c r="DA34" i="24"/>
  <c r="CZ34" i="24"/>
  <c r="CY34" i="24"/>
  <c r="CX34" i="24"/>
  <c r="CW34" i="24"/>
  <c r="CV34" i="24"/>
  <c r="CU34" i="24"/>
  <c r="CT34" i="24"/>
  <c r="CS34" i="24"/>
  <c r="BN34" i="24"/>
  <c r="BM34" i="24"/>
  <c r="BL34" i="24"/>
  <c r="BK34" i="24"/>
  <c r="BJ34" i="24"/>
  <c r="BI34" i="24"/>
  <c r="BH34" i="24"/>
  <c r="BG34" i="24"/>
  <c r="BF34" i="24"/>
  <c r="BE34" i="24"/>
  <c r="BD34" i="24"/>
  <c r="BC34" i="24"/>
  <c r="BB34" i="24"/>
  <c r="BA34" i="24"/>
  <c r="AZ34" i="24"/>
  <c r="AY34" i="24"/>
  <c r="AX34" i="24"/>
  <c r="AW34" i="24"/>
  <c r="AV34" i="24"/>
  <c r="AU34" i="24"/>
  <c r="AT34" i="24"/>
  <c r="AS34" i="24"/>
  <c r="AR34" i="24"/>
  <c r="AQ34" i="24"/>
  <c r="AP34" i="24"/>
  <c r="AO34" i="24"/>
  <c r="AN34" i="24"/>
  <c r="AM34" i="24"/>
  <c r="AL34" i="24"/>
  <c r="AK34" i="24"/>
  <c r="AJ34" i="24"/>
  <c r="AI34" i="24"/>
  <c r="AH34" i="24"/>
  <c r="AG34" i="24"/>
  <c r="AF34" i="24"/>
  <c r="AE34" i="24"/>
  <c r="AD34" i="24"/>
  <c r="AC34" i="24"/>
  <c r="AB34" i="24"/>
  <c r="AA34" i="24"/>
  <c r="Z34" i="24"/>
  <c r="Y34" i="24"/>
  <c r="X34" i="24"/>
  <c r="W34" i="24"/>
  <c r="V34" i="24"/>
  <c r="U34" i="24"/>
  <c r="T34" i="24"/>
  <c r="S34" i="24"/>
  <c r="R34" i="24"/>
  <c r="Q34" i="24"/>
  <c r="P34" i="24"/>
  <c r="O34" i="24"/>
  <c r="N34" i="24"/>
  <c r="M34" i="24"/>
  <c r="L34" i="24"/>
  <c r="K34" i="24"/>
  <c r="J34" i="24"/>
  <c r="I34" i="24"/>
  <c r="EB33" i="24"/>
  <c r="EA33" i="24"/>
  <c r="DZ33" i="24"/>
  <c r="DY33" i="24"/>
  <c r="DX33" i="24"/>
  <c r="DW33" i="24"/>
  <c r="DV33" i="24"/>
  <c r="DU33" i="24"/>
  <c r="EB32" i="24"/>
  <c r="EA32" i="24"/>
  <c r="DZ32" i="24"/>
  <c r="DY32" i="24"/>
  <c r="DX32" i="24"/>
  <c r="DW32" i="24"/>
  <c r="DV32" i="24"/>
  <c r="DU32" i="24"/>
  <c r="DT32" i="24"/>
  <c r="DT33" i="24" s="1"/>
  <c r="DS32" i="24"/>
  <c r="DS33" i="24" s="1"/>
  <c r="DR32" i="24"/>
  <c r="DR33" i="24" s="1"/>
  <c r="DQ32" i="24"/>
  <c r="DQ33" i="24" s="1"/>
  <c r="DP32" i="24"/>
  <c r="DP33" i="24" s="1"/>
  <c r="DO32" i="24"/>
  <c r="DO33" i="24" s="1"/>
  <c r="DN32" i="24"/>
  <c r="DN33" i="24" s="1"/>
  <c r="DM32" i="24"/>
  <c r="DM33" i="24" s="1"/>
  <c r="DL32" i="24"/>
  <c r="DL33" i="24" s="1"/>
  <c r="DK32" i="24"/>
  <c r="DK33" i="24" s="1"/>
  <c r="DJ32" i="24"/>
  <c r="DJ33" i="24" s="1"/>
  <c r="DI32" i="24"/>
  <c r="DI33" i="24" s="1"/>
  <c r="DH32" i="24"/>
  <c r="DH33" i="24" s="1"/>
  <c r="DG32" i="24"/>
  <c r="DG33" i="24" s="1"/>
  <c r="DF32" i="24"/>
  <c r="DF33" i="24" s="1"/>
  <c r="DE32" i="24"/>
  <c r="DE33" i="24" s="1"/>
  <c r="DD32" i="24"/>
  <c r="DD33" i="24" s="1"/>
  <c r="DC32" i="24"/>
  <c r="DC33" i="24" s="1"/>
  <c r="DB32" i="24"/>
  <c r="DB33" i="24" s="1"/>
  <c r="DA32" i="24"/>
  <c r="DA33" i="24" s="1"/>
  <c r="CZ32" i="24"/>
  <c r="CZ33" i="24" s="1"/>
  <c r="CY32" i="24"/>
  <c r="CY33" i="24" s="1"/>
  <c r="CX32" i="24"/>
  <c r="CX33" i="24" s="1"/>
  <c r="CW32" i="24"/>
  <c r="CW33" i="24" s="1"/>
  <c r="CV32" i="24"/>
  <c r="CV33" i="24" s="1"/>
  <c r="CU32" i="24"/>
  <c r="CU33" i="24" s="1"/>
  <c r="CT32" i="24"/>
  <c r="CT33" i="24" s="1"/>
  <c r="CS32" i="24"/>
  <c r="CS33" i="24" s="1"/>
  <c r="BN32" i="24"/>
  <c r="BN33" i="24" s="1"/>
  <c r="BM32" i="24"/>
  <c r="BM33" i="24" s="1"/>
  <c r="BL32" i="24"/>
  <c r="BL33" i="24" s="1"/>
  <c r="BK32" i="24"/>
  <c r="BK33" i="24" s="1"/>
  <c r="BJ32" i="24"/>
  <c r="BJ33" i="24" s="1"/>
  <c r="BI32" i="24"/>
  <c r="BI33" i="24" s="1"/>
  <c r="BH32" i="24"/>
  <c r="BH33" i="24" s="1"/>
  <c r="BG32" i="24"/>
  <c r="BG33" i="24" s="1"/>
  <c r="BF32" i="24"/>
  <c r="BF33" i="24" s="1"/>
  <c r="BE32" i="24"/>
  <c r="BE33" i="24" s="1"/>
  <c r="BD32" i="24"/>
  <c r="BD33" i="24" s="1"/>
  <c r="BC32" i="24"/>
  <c r="BC33" i="24" s="1"/>
  <c r="BB32" i="24"/>
  <c r="BB33" i="24" s="1"/>
  <c r="BA32" i="24"/>
  <c r="BA33" i="24" s="1"/>
  <c r="AZ32" i="24"/>
  <c r="AZ33" i="24" s="1"/>
  <c r="AY32" i="24"/>
  <c r="AY33" i="24" s="1"/>
  <c r="AX32" i="24"/>
  <c r="AX33" i="24" s="1"/>
  <c r="AW32" i="24"/>
  <c r="AW33" i="24" s="1"/>
  <c r="AV32" i="24"/>
  <c r="AV33" i="24" s="1"/>
  <c r="AU32" i="24"/>
  <c r="AU33" i="24" s="1"/>
  <c r="AT32" i="24"/>
  <c r="AT33" i="24" s="1"/>
  <c r="AS32" i="24"/>
  <c r="AS33" i="24" s="1"/>
  <c r="AR32" i="24"/>
  <c r="AR33" i="24" s="1"/>
  <c r="AQ32" i="24"/>
  <c r="AQ33" i="24" s="1"/>
  <c r="AP32" i="24"/>
  <c r="AP33" i="24" s="1"/>
  <c r="AO32" i="24"/>
  <c r="AO33" i="24" s="1"/>
  <c r="AN32" i="24"/>
  <c r="AN33" i="24" s="1"/>
  <c r="AM32" i="24"/>
  <c r="AM33" i="24" s="1"/>
  <c r="AL32" i="24"/>
  <c r="AL33" i="24" s="1"/>
  <c r="AK32" i="24"/>
  <c r="AK33" i="24" s="1"/>
  <c r="AJ32" i="24"/>
  <c r="AJ33" i="24" s="1"/>
  <c r="AI32" i="24"/>
  <c r="AI33" i="24" s="1"/>
  <c r="AH32" i="24"/>
  <c r="AH33" i="24" s="1"/>
  <c r="AG32" i="24"/>
  <c r="AG33" i="24" s="1"/>
  <c r="AF32" i="24"/>
  <c r="AF33" i="24" s="1"/>
  <c r="AE32" i="24"/>
  <c r="AE33" i="24" s="1"/>
  <c r="AD32" i="24"/>
  <c r="AD33" i="24" s="1"/>
  <c r="AC32" i="24"/>
  <c r="AC33" i="24" s="1"/>
  <c r="AB32" i="24"/>
  <c r="AB33" i="24" s="1"/>
  <c r="AA32" i="24"/>
  <c r="AA33" i="24" s="1"/>
  <c r="Z32" i="24"/>
  <c r="Z33" i="24" s="1"/>
  <c r="Y32" i="24"/>
  <c r="Y33" i="24" s="1"/>
  <c r="X32" i="24"/>
  <c r="X33" i="24" s="1"/>
  <c r="W32" i="24"/>
  <c r="W33" i="24" s="1"/>
  <c r="V32" i="24"/>
  <c r="V33" i="24" s="1"/>
  <c r="U32" i="24"/>
  <c r="U33" i="24" s="1"/>
  <c r="T32" i="24"/>
  <c r="T33" i="24" s="1"/>
  <c r="S32" i="24"/>
  <c r="S33" i="24" s="1"/>
  <c r="R32" i="24"/>
  <c r="R33" i="24" s="1"/>
  <c r="Q32" i="24"/>
  <c r="Q33" i="24" s="1"/>
  <c r="P32" i="24"/>
  <c r="P33" i="24" s="1"/>
  <c r="O32" i="24"/>
  <c r="O33" i="24" s="1"/>
  <c r="N32" i="24"/>
  <c r="N33" i="24" s="1"/>
  <c r="M32" i="24"/>
  <c r="M33" i="24" s="1"/>
  <c r="L32" i="24"/>
  <c r="L33" i="24" s="1"/>
  <c r="K32" i="24"/>
  <c r="K33" i="24" s="1"/>
  <c r="J32" i="24"/>
  <c r="J33" i="24" s="1"/>
  <c r="I32" i="24"/>
  <c r="I33" i="24" s="1"/>
  <c r="I18" i="24"/>
  <c r="J18" i="24" s="1"/>
  <c r="K18" i="24" s="1"/>
  <c r="L18" i="24" s="1"/>
  <c r="M18" i="24" s="1"/>
  <c r="N18" i="24" s="1"/>
  <c r="O18" i="24" s="1"/>
  <c r="P18" i="24" s="1"/>
  <c r="Q18" i="24" s="1"/>
  <c r="R18" i="24" s="1"/>
  <c r="S18" i="24" s="1"/>
  <c r="T18" i="24" s="1"/>
  <c r="U18" i="24" s="1"/>
  <c r="V18" i="24" s="1"/>
  <c r="W18" i="24" s="1"/>
  <c r="X18" i="24" s="1"/>
  <c r="Y18" i="24" s="1"/>
  <c r="Z18" i="24" s="1"/>
  <c r="AA18" i="24" s="1"/>
  <c r="AB18" i="24" s="1"/>
  <c r="AC18" i="24" s="1"/>
  <c r="AD18" i="24" s="1"/>
  <c r="AE18" i="24" s="1"/>
  <c r="AF18" i="24" s="1"/>
  <c r="AG18" i="24" s="1"/>
  <c r="AH18" i="24" s="1"/>
  <c r="AI18" i="24" s="1"/>
  <c r="AJ18" i="24" s="1"/>
  <c r="AK18" i="24" s="1"/>
  <c r="AL18" i="24" s="1"/>
  <c r="AM18" i="24" s="1"/>
  <c r="AN18" i="24" s="1"/>
  <c r="AO18" i="24" s="1"/>
  <c r="AP18" i="24" s="1"/>
  <c r="AQ18" i="24" s="1"/>
  <c r="AR18" i="24" s="1"/>
  <c r="AS18" i="24" s="1"/>
  <c r="AT18" i="24" s="1"/>
  <c r="AU18" i="24" s="1"/>
  <c r="AV18" i="24" s="1"/>
  <c r="AW18" i="24" s="1"/>
  <c r="AX18" i="24" s="1"/>
  <c r="AY18" i="24" s="1"/>
  <c r="AZ18" i="24" s="1"/>
  <c r="BA18" i="24" s="1"/>
  <c r="BB18" i="24" s="1"/>
  <c r="BC18" i="24" s="1"/>
  <c r="BD18" i="24" s="1"/>
  <c r="BE18" i="24" s="1"/>
  <c r="BF18" i="24" s="1"/>
  <c r="BG18" i="24" s="1"/>
  <c r="BH18" i="24" s="1"/>
  <c r="BI18" i="24" s="1"/>
  <c r="BJ18" i="24" s="1"/>
  <c r="BK18" i="24" s="1"/>
  <c r="BL18" i="24" s="1"/>
  <c r="BM18" i="24" s="1"/>
  <c r="BN18" i="24" s="1"/>
  <c r="BO18" i="24" s="1"/>
  <c r="BP18" i="24" s="1"/>
  <c r="BQ18" i="24" s="1"/>
  <c r="BR18" i="24" s="1"/>
  <c r="BS18" i="24" s="1"/>
  <c r="BT18" i="24" s="1"/>
  <c r="BU18" i="24" s="1"/>
  <c r="BV18" i="24" s="1"/>
  <c r="BW18" i="24" s="1"/>
  <c r="BX18" i="24" s="1"/>
  <c r="BY18" i="24" s="1"/>
  <c r="BZ18" i="24" s="1"/>
  <c r="CA18" i="24" s="1"/>
  <c r="CB18" i="24" s="1"/>
  <c r="CC18" i="24" s="1"/>
  <c r="CD18" i="24" s="1"/>
  <c r="CE18" i="24" s="1"/>
  <c r="CF18" i="24" s="1"/>
  <c r="CG18" i="24" s="1"/>
  <c r="CH18" i="24" s="1"/>
  <c r="CI18" i="24" s="1"/>
  <c r="CJ18" i="24" s="1"/>
  <c r="CK18" i="24" s="1"/>
  <c r="CL18" i="24" s="1"/>
  <c r="CM18" i="24" s="1"/>
  <c r="CN18" i="24" s="1"/>
  <c r="CO18" i="24" s="1"/>
  <c r="CP18" i="24" s="1"/>
  <c r="CQ18" i="24" s="1"/>
  <c r="CR18" i="24" s="1"/>
  <c r="CS18" i="24" s="1"/>
  <c r="CT18" i="24" s="1"/>
  <c r="CU18" i="24" s="1"/>
  <c r="CV18" i="24" s="1"/>
  <c r="CW18" i="24" s="1"/>
  <c r="CX18" i="24" s="1"/>
  <c r="CY18" i="24" s="1"/>
  <c r="CZ18" i="24" s="1"/>
  <c r="DA18" i="24" s="1"/>
  <c r="DB18" i="24" s="1"/>
  <c r="DC18" i="24" s="1"/>
  <c r="DD18" i="24" s="1"/>
  <c r="DE18" i="24" s="1"/>
  <c r="DF18" i="24" s="1"/>
  <c r="DG18" i="24" s="1"/>
  <c r="DH18" i="24" s="1"/>
  <c r="DI18" i="24" s="1"/>
  <c r="DJ18" i="24" s="1"/>
  <c r="DK18" i="24" s="1"/>
  <c r="DL18" i="24" s="1"/>
  <c r="DM18" i="24" s="1"/>
  <c r="DN18" i="24" s="1"/>
  <c r="DO18" i="24" s="1"/>
  <c r="DP18" i="24" s="1"/>
  <c r="DQ18" i="24" s="1"/>
  <c r="DR18" i="24" s="1"/>
  <c r="DS18" i="24" s="1"/>
  <c r="DT18" i="24" s="1"/>
  <c r="DU18" i="24" s="1"/>
  <c r="DV18" i="24" s="1"/>
  <c r="DW18" i="24" s="1"/>
  <c r="DX18" i="24" s="1"/>
  <c r="DY18" i="24" s="1"/>
  <c r="DZ18" i="24" s="1"/>
  <c r="EA18" i="24" s="1"/>
  <c r="EB18" i="24" s="1"/>
  <c r="EC18" i="24" s="1"/>
  <c r="ED18" i="24" s="1"/>
  <c r="EE18" i="24" s="1"/>
  <c r="EF18" i="24" s="1"/>
  <c r="EG18" i="24" s="1"/>
  <c r="EH18" i="24" s="1"/>
  <c r="EI18" i="24" s="1"/>
  <c r="EJ18" i="24" s="1"/>
  <c r="EK18" i="24" s="1"/>
  <c r="EL18" i="24" s="1"/>
  <c r="EM18" i="24" s="1"/>
  <c r="EN18" i="24" s="1"/>
  <c r="EO18" i="24" s="1"/>
  <c r="EP18" i="24" s="1"/>
  <c r="EQ18" i="24" s="1"/>
  <c r="ER18" i="24" s="1"/>
  <c r="ES18" i="24" s="1"/>
  <c r="ET18" i="24" s="1"/>
  <c r="I12" i="24"/>
  <c r="J12" i="24" s="1"/>
  <c r="F4" i="24"/>
  <c r="F3" i="24"/>
  <c r="E1" i="24"/>
  <c r="E300" i="23"/>
  <c r="E299" i="23"/>
  <c r="E298" i="23"/>
  <c r="E297" i="23"/>
  <c r="E296" i="23"/>
  <c r="E295" i="23"/>
  <c r="E294" i="23"/>
  <c r="E291" i="23"/>
  <c r="E290" i="23"/>
  <c r="E289" i="23"/>
  <c r="E288" i="23"/>
  <c r="E285" i="23"/>
  <c r="E284" i="23"/>
  <c r="E283" i="23"/>
  <c r="E282" i="23"/>
  <c r="E279" i="23"/>
  <c r="E278" i="23"/>
  <c r="E277" i="23"/>
  <c r="E276" i="23"/>
  <c r="E272" i="23"/>
  <c r="E269" i="23"/>
  <c r="E268" i="23"/>
  <c r="E257" i="23"/>
  <c r="E254" i="23"/>
  <c r="E253" i="23"/>
  <c r="E242" i="23"/>
  <c r="E239" i="23"/>
  <c r="E238" i="23"/>
  <c r="E227" i="23"/>
  <c r="E224" i="23"/>
  <c r="E223" i="23"/>
  <c r="E212" i="23"/>
  <c r="E209" i="23"/>
  <c r="E208" i="23"/>
  <c r="E207" i="23"/>
  <c r="E206" i="23"/>
  <c r="E202" i="23"/>
  <c r="E199" i="23"/>
  <c r="E190" i="23"/>
  <c r="E187" i="23"/>
  <c r="E178" i="23"/>
  <c r="E175" i="23"/>
  <c r="E166" i="23"/>
  <c r="E163" i="23"/>
  <c r="E154" i="23"/>
  <c r="E151" i="23"/>
  <c r="E150" i="23"/>
  <c r="E149" i="23"/>
  <c r="E148" i="23"/>
  <c r="E144" i="23"/>
  <c r="E141" i="23"/>
  <c r="E140" i="23"/>
  <c r="E129" i="23"/>
  <c r="E126" i="23"/>
  <c r="E125" i="23"/>
  <c r="E114" i="23"/>
  <c r="E111" i="23"/>
  <c r="E110" i="23"/>
  <c r="E99" i="23"/>
  <c r="E96" i="23"/>
  <c r="E95" i="23"/>
  <c r="E84" i="23"/>
  <c r="E81" i="23"/>
  <c r="E80" i="23"/>
  <c r="E79" i="23"/>
  <c r="E78" i="23"/>
  <c r="E74" i="23"/>
  <c r="E71" i="23"/>
  <c r="E70" i="23"/>
  <c r="E69" i="23"/>
  <c r="E68" i="23"/>
  <c r="I65" i="23"/>
  <c r="E65" i="23"/>
  <c r="I64" i="23"/>
  <c r="E64" i="23"/>
  <c r="I63" i="23"/>
  <c r="E63" i="23"/>
  <c r="I62" i="23"/>
  <c r="E62" i="23"/>
  <c r="I59" i="23"/>
  <c r="E59" i="23"/>
  <c r="I58" i="23"/>
  <c r="E58" i="23"/>
  <c r="I57" i="23"/>
  <c r="E57" i="23"/>
  <c r="I56" i="23"/>
  <c r="E56" i="23"/>
  <c r="I53" i="23"/>
  <c r="E53" i="23"/>
  <c r="I52" i="23"/>
  <c r="E52" i="23"/>
  <c r="I51" i="23"/>
  <c r="E51" i="23"/>
  <c r="I50" i="23"/>
  <c r="E50" i="23"/>
  <c r="E47" i="23"/>
  <c r="E46" i="23"/>
  <c r="E45" i="23"/>
  <c r="E44" i="23"/>
  <c r="E41" i="23"/>
  <c r="E40" i="23"/>
  <c r="E39" i="23"/>
  <c r="E38" i="23"/>
  <c r="E35" i="23"/>
  <c r="E34" i="23"/>
  <c r="E33" i="23"/>
  <c r="E32" i="23"/>
  <c r="E28" i="23"/>
  <c r="E27" i="23"/>
  <c r="E26" i="23"/>
  <c r="E25" i="23"/>
  <c r="E21" i="23"/>
  <c r="E20" i="23"/>
  <c r="E19" i="23"/>
  <c r="E18" i="23"/>
  <c r="I13" i="23"/>
  <c r="I12" i="23"/>
  <c r="I11" i="23"/>
  <c r="F4" i="23"/>
  <c r="E3" i="23"/>
  <c r="E1" i="23"/>
  <c r="AY343" i="55"/>
  <c r="AW343" i="55"/>
  <c r="AM343" i="55"/>
  <c r="AK343" i="55"/>
  <c r="AA343" i="55"/>
  <c r="Y343" i="55"/>
  <c r="O343" i="55"/>
  <c r="M343" i="55"/>
  <c r="J343" i="55"/>
  <c r="AW320" i="55"/>
  <c r="AK320" i="55"/>
  <c r="Y320" i="55"/>
  <c r="M320" i="55"/>
  <c r="AM320" i="55"/>
  <c r="AY302" i="55"/>
  <c r="AW302" i="55"/>
  <c r="AM302" i="55"/>
  <c r="AK302" i="55"/>
  <c r="AA302" i="55"/>
  <c r="Y302" i="55"/>
  <c r="O302" i="55"/>
  <c r="M302" i="55"/>
  <c r="J302" i="55"/>
  <c r="E369" i="55"/>
  <c r="E368" i="55"/>
  <c r="E367" i="55"/>
  <c r="E366" i="55"/>
  <c r="E365" i="55"/>
  <c r="AW363" i="55"/>
  <c r="AM363" i="55"/>
  <c r="AK363" i="55"/>
  <c r="AA363" i="55"/>
  <c r="Y363" i="55"/>
  <c r="O363" i="55"/>
  <c r="M363" i="55"/>
  <c r="E289" i="55"/>
  <c r="E288" i="55"/>
  <c r="E287" i="55"/>
  <c r="E286" i="55"/>
  <c r="E285" i="55"/>
  <c r="E284" i="55"/>
  <c r="E283" i="55"/>
  <c r="E282" i="55"/>
  <c r="AY280" i="55"/>
  <c r="AW280" i="55"/>
  <c r="AM280" i="55"/>
  <c r="AK280" i="55"/>
  <c r="AA280" i="55"/>
  <c r="Y280" i="55"/>
  <c r="O280" i="55"/>
  <c r="M280" i="55"/>
  <c r="J280" i="55"/>
  <c r="E267" i="55"/>
  <c r="O267" i="55" s="1"/>
  <c r="Q262" i="55"/>
  <c r="P262" i="55"/>
  <c r="O262" i="55"/>
  <c r="AY261" i="55"/>
  <c r="AM261" i="55"/>
  <c r="AA261" i="55"/>
  <c r="O261" i="55"/>
  <c r="W250" i="55"/>
  <c r="Q250" i="55"/>
  <c r="P250" i="55"/>
  <c r="O250" i="55"/>
  <c r="AY249" i="55"/>
  <c r="AM249" i="55"/>
  <c r="AA249" i="55"/>
  <c r="O249" i="55"/>
  <c r="BG244" i="55"/>
  <c r="BF244" i="55"/>
  <c r="BE244" i="55"/>
  <c r="BD244" i="55"/>
  <c r="BC244" i="55"/>
  <c r="BB244" i="55"/>
  <c r="BA244" i="55"/>
  <c r="AZ244" i="55"/>
  <c r="AY244" i="55"/>
  <c r="AU244" i="55"/>
  <c r="AT244" i="55"/>
  <c r="AS244" i="55"/>
  <c r="AR244" i="55"/>
  <c r="AQ244" i="55"/>
  <c r="AP244" i="55"/>
  <c r="AO244" i="55"/>
  <c r="AN244" i="55"/>
  <c r="AM244" i="55"/>
  <c r="AI244" i="55"/>
  <c r="AH244" i="55"/>
  <c r="AG244" i="55"/>
  <c r="AF244" i="55"/>
  <c r="AE244" i="55"/>
  <c r="AD244" i="55"/>
  <c r="AC244" i="55"/>
  <c r="AB244" i="55"/>
  <c r="AA244" i="55"/>
  <c r="W244" i="55"/>
  <c r="V244" i="55"/>
  <c r="U244" i="55"/>
  <c r="T244" i="55"/>
  <c r="S244" i="55"/>
  <c r="R244" i="55"/>
  <c r="Q244" i="55"/>
  <c r="P244" i="55"/>
  <c r="O244" i="55"/>
  <c r="W239" i="55"/>
  <c r="V239" i="55"/>
  <c r="U239" i="55"/>
  <c r="T239" i="55"/>
  <c r="S239" i="55"/>
  <c r="R239" i="55"/>
  <c r="Q239" i="55"/>
  <c r="P239" i="55"/>
  <c r="O239" i="55"/>
  <c r="AY238" i="55"/>
  <c r="AM238" i="55"/>
  <c r="AA238" i="55"/>
  <c r="O238" i="55"/>
  <c r="W232" i="55"/>
  <c r="V232" i="55"/>
  <c r="U232" i="55"/>
  <c r="T232" i="55"/>
  <c r="S232" i="55"/>
  <c r="R232" i="55"/>
  <c r="Q232" i="55"/>
  <c r="P232" i="55"/>
  <c r="O232" i="55"/>
  <c r="H231" i="55"/>
  <c r="H230" i="55"/>
  <c r="H229" i="55"/>
  <c r="W228" i="55"/>
  <c r="V228" i="55"/>
  <c r="U228" i="55"/>
  <c r="T228" i="55"/>
  <c r="S228" i="55"/>
  <c r="R228" i="55"/>
  <c r="Q228" i="55"/>
  <c r="P228" i="55"/>
  <c r="O228" i="55"/>
  <c r="AY227" i="55"/>
  <c r="AM227" i="55"/>
  <c r="AA227" i="55"/>
  <c r="O227" i="55"/>
  <c r="W221" i="55"/>
  <c r="Q221" i="55"/>
  <c r="P221" i="55"/>
  <c r="O221" i="55"/>
  <c r="AW219" i="55"/>
  <c r="AK219" i="55"/>
  <c r="Y219" i="55"/>
  <c r="M219" i="55"/>
  <c r="AW217" i="55"/>
  <c r="AK217" i="55"/>
  <c r="Y217" i="55"/>
  <c r="M217" i="55"/>
  <c r="AW216" i="55"/>
  <c r="AK216" i="55"/>
  <c r="Y216" i="55"/>
  <c r="M216" i="55"/>
  <c r="W215" i="55"/>
  <c r="Q215" i="55"/>
  <c r="P215" i="55"/>
  <c r="O215" i="55"/>
  <c r="AK213" i="55"/>
  <c r="W211" i="55"/>
  <c r="Q211" i="55"/>
  <c r="P211" i="55"/>
  <c r="O211" i="55"/>
  <c r="W189" i="55"/>
  <c r="V189" i="55"/>
  <c r="U189" i="55"/>
  <c r="S189" i="55"/>
  <c r="R189" i="55"/>
  <c r="Q189" i="55"/>
  <c r="P189" i="55"/>
  <c r="O189" i="55"/>
  <c r="W185" i="55"/>
  <c r="V185" i="55"/>
  <c r="U185" i="55"/>
  <c r="T185" i="55"/>
  <c r="S185" i="55"/>
  <c r="R185" i="55"/>
  <c r="Q185" i="55"/>
  <c r="P185" i="55"/>
  <c r="O185" i="55"/>
  <c r="AY184" i="55"/>
  <c r="AM184" i="55"/>
  <c r="AA184" i="55"/>
  <c r="O184" i="55"/>
  <c r="V179" i="55"/>
  <c r="U179" i="55"/>
  <c r="T179" i="55"/>
  <c r="S179" i="55"/>
  <c r="R179" i="55"/>
  <c r="Q179" i="55"/>
  <c r="P179" i="55"/>
  <c r="O179" i="55"/>
  <c r="BF177" i="55"/>
  <c r="BE177" i="55"/>
  <c r="BD177" i="55"/>
  <c r="BC177" i="55"/>
  <c r="BB177" i="55"/>
  <c r="BA177" i="55"/>
  <c r="AZ177" i="55"/>
  <c r="AY177" i="55"/>
  <c r="AT177" i="55"/>
  <c r="AS177" i="55"/>
  <c r="AR177" i="55"/>
  <c r="AQ177" i="55"/>
  <c r="AP177" i="55"/>
  <c r="AO177" i="55"/>
  <c r="AN177" i="55"/>
  <c r="AM177" i="55"/>
  <c r="AH177" i="55"/>
  <c r="AG177" i="55"/>
  <c r="AF177" i="55"/>
  <c r="AE177" i="55"/>
  <c r="AD177" i="55"/>
  <c r="AC177" i="55"/>
  <c r="AB177" i="55"/>
  <c r="AA177" i="55"/>
  <c r="V177" i="55"/>
  <c r="U177" i="55"/>
  <c r="T177" i="55"/>
  <c r="S177" i="55"/>
  <c r="R177" i="55"/>
  <c r="Q177" i="55"/>
  <c r="P177" i="55"/>
  <c r="O177" i="55"/>
  <c r="BF176" i="55"/>
  <c r="BE176" i="55"/>
  <c r="BD176" i="55"/>
  <c r="BC176" i="55"/>
  <c r="BB176" i="55"/>
  <c r="BA176" i="55"/>
  <c r="AZ176" i="55"/>
  <c r="AY176" i="55"/>
  <c r="AT176" i="55"/>
  <c r="AS176" i="55"/>
  <c r="AR176" i="55"/>
  <c r="AQ176" i="55"/>
  <c r="AP176" i="55"/>
  <c r="AO176" i="55"/>
  <c r="AN176" i="55"/>
  <c r="AM176" i="55"/>
  <c r="AH176" i="55"/>
  <c r="AG176" i="55"/>
  <c r="AF176" i="55"/>
  <c r="AE176" i="55"/>
  <c r="AD176" i="55"/>
  <c r="AC176" i="55"/>
  <c r="AB176" i="55"/>
  <c r="AA176" i="55"/>
  <c r="V176" i="55"/>
  <c r="U176" i="55"/>
  <c r="T176" i="55"/>
  <c r="S176" i="55"/>
  <c r="Q176" i="55"/>
  <c r="P176" i="55"/>
  <c r="O176" i="55"/>
  <c r="V175" i="55"/>
  <c r="U175" i="55"/>
  <c r="T175" i="55"/>
  <c r="S175" i="55"/>
  <c r="R175" i="55"/>
  <c r="Q175" i="55"/>
  <c r="P175" i="55"/>
  <c r="O175" i="55"/>
  <c r="BD173" i="55"/>
  <c r="AR173" i="55"/>
  <c r="AF173" i="55"/>
  <c r="T173" i="55"/>
  <c r="V172" i="55"/>
  <c r="U172" i="55"/>
  <c r="T172" i="55"/>
  <c r="S172" i="55"/>
  <c r="R172" i="55"/>
  <c r="Q172" i="55"/>
  <c r="P172" i="55"/>
  <c r="O172" i="55"/>
  <c r="BA166" i="55"/>
  <c r="AZ166" i="55"/>
  <c r="AY166" i="55"/>
  <c r="AO166" i="55"/>
  <c r="AN166" i="55"/>
  <c r="AM166" i="55"/>
  <c r="AC166" i="55"/>
  <c r="AB166" i="55"/>
  <c r="AA166" i="55"/>
  <c r="Q166" i="55"/>
  <c r="P166" i="55"/>
  <c r="O166" i="55"/>
  <c r="V165" i="55"/>
  <c r="U165" i="55"/>
  <c r="T165" i="55"/>
  <c r="S165" i="55"/>
  <c r="R165" i="55"/>
  <c r="Q165" i="55"/>
  <c r="P165" i="55"/>
  <c r="O165" i="55"/>
  <c r="AY164" i="55"/>
  <c r="AM164" i="55"/>
  <c r="AA164" i="55"/>
  <c r="O164" i="55"/>
  <c r="Q158" i="55"/>
  <c r="P158" i="55"/>
  <c r="O158" i="55"/>
  <c r="Q152" i="55"/>
  <c r="P152" i="55"/>
  <c r="O152" i="55"/>
  <c r="Q148" i="55"/>
  <c r="P148" i="55"/>
  <c r="O148" i="55"/>
  <c r="BA145" i="55"/>
  <c r="AZ145" i="55"/>
  <c r="AZ147" i="55" s="1"/>
  <c r="AY145" i="55"/>
  <c r="AO145" i="55"/>
  <c r="AN145" i="55"/>
  <c r="AN147" i="55" s="1"/>
  <c r="AM145" i="55"/>
  <c r="AC145" i="55"/>
  <c r="AB145" i="55"/>
  <c r="AB147" i="55" s="1"/>
  <c r="AA145" i="55"/>
  <c r="Q145" i="55"/>
  <c r="P145" i="55"/>
  <c r="P147" i="55" s="1"/>
  <c r="O145" i="55"/>
  <c r="Q139" i="55"/>
  <c r="P139" i="55"/>
  <c r="O139" i="55"/>
  <c r="AY138" i="55"/>
  <c r="AM138" i="55"/>
  <c r="AA138" i="55"/>
  <c r="O138" i="55"/>
  <c r="BA134" i="55"/>
  <c r="AZ134" i="55"/>
  <c r="AY134" i="55"/>
  <c r="AO134" i="55"/>
  <c r="AN134" i="55"/>
  <c r="AM134" i="55"/>
  <c r="AC134" i="55"/>
  <c r="AB134" i="55"/>
  <c r="AA134" i="55"/>
  <c r="Q134" i="55"/>
  <c r="P134" i="55"/>
  <c r="O134" i="55"/>
  <c r="BA133" i="55"/>
  <c r="AZ133" i="55"/>
  <c r="AY133" i="55"/>
  <c r="AO133" i="55"/>
  <c r="AN133" i="55"/>
  <c r="AM133" i="55"/>
  <c r="AC133" i="55"/>
  <c r="AB133" i="55"/>
  <c r="AA133" i="55"/>
  <c r="Q133" i="55"/>
  <c r="P133" i="55"/>
  <c r="O133" i="55"/>
  <c r="Q131" i="55"/>
  <c r="P131" i="55"/>
  <c r="O131" i="55"/>
  <c r="Q127" i="55"/>
  <c r="P127" i="55"/>
  <c r="O127" i="55"/>
  <c r="Q121" i="55"/>
  <c r="P121" i="55"/>
  <c r="O121" i="55"/>
  <c r="Q117" i="55"/>
  <c r="P117" i="55"/>
  <c r="O117" i="55"/>
  <c r="AZ115" i="55"/>
  <c r="AN115" i="55"/>
  <c r="AB115" i="55"/>
  <c r="P115" i="55"/>
  <c r="BA114" i="55"/>
  <c r="AY114" i="55"/>
  <c r="AO114" i="55"/>
  <c r="AM114" i="55"/>
  <c r="AC114" i="55"/>
  <c r="AA114" i="55"/>
  <c r="Q114" i="55"/>
  <c r="O114" i="55"/>
  <c r="BA111" i="55"/>
  <c r="AZ111" i="55"/>
  <c r="AY111" i="55"/>
  <c r="AO111" i="55"/>
  <c r="AN111" i="55"/>
  <c r="AM111" i="55"/>
  <c r="AC111" i="55"/>
  <c r="AB111" i="55"/>
  <c r="AA111" i="55"/>
  <c r="Q111" i="55"/>
  <c r="P111" i="55"/>
  <c r="O111" i="55"/>
  <c r="BA108" i="55"/>
  <c r="BA140" i="55" s="1"/>
  <c r="AZ108" i="55"/>
  <c r="AZ143" i="55" s="1"/>
  <c r="AY108" i="55"/>
  <c r="AY143" i="55" s="1"/>
  <c r="AO108" i="55"/>
  <c r="AO143" i="55" s="1"/>
  <c r="AN108" i="55"/>
  <c r="AN143" i="55" s="1"/>
  <c r="AM108" i="55"/>
  <c r="AM143" i="55" s="1"/>
  <c r="AC108" i="55"/>
  <c r="AC140" i="55" s="1"/>
  <c r="AB108" i="55"/>
  <c r="AB143" i="55" s="1"/>
  <c r="AA108" i="55"/>
  <c r="AA140" i="55" s="1"/>
  <c r="Q108" i="55"/>
  <c r="Q140" i="55" s="1"/>
  <c r="P108" i="55"/>
  <c r="P143" i="55" s="1"/>
  <c r="O108" i="55"/>
  <c r="O143" i="55" s="1"/>
  <c r="Q107" i="55"/>
  <c r="P107" i="55"/>
  <c r="O107" i="55"/>
  <c r="BA105" i="55"/>
  <c r="BA240" i="55" s="1"/>
  <c r="AZ105" i="55"/>
  <c r="AZ240" i="55" s="1"/>
  <c r="AY105" i="55"/>
  <c r="AY240" i="55" s="1"/>
  <c r="AO105" i="55"/>
  <c r="AO240" i="55" s="1"/>
  <c r="AN105" i="55"/>
  <c r="AN240" i="55" s="1"/>
  <c r="AM105" i="55"/>
  <c r="AM240" i="55" s="1"/>
  <c r="AC105" i="55"/>
  <c r="AC240" i="55" s="1"/>
  <c r="AB105" i="55"/>
  <c r="AB240" i="55" s="1"/>
  <c r="AA105" i="55"/>
  <c r="AA240" i="55" s="1"/>
  <c r="Q105" i="55"/>
  <c r="Q240" i="55" s="1"/>
  <c r="P105" i="55"/>
  <c r="P240" i="55" s="1"/>
  <c r="O105" i="55"/>
  <c r="O240" i="55" s="1"/>
  <c r="BA104" i="55"/>
  <c r="BA113" i="55" s="1"/>
  <c r="AZ104" i="55"/>
  <c r="AY104" i="55"/>
  <c r="AY113" i="55" s="1"/>
  <c r="AO104" i="55"/>
  <c r="AO113" i="55" s="1"/>
  <c r="AN104" i="55"/>
  <c r="AM104" i="55"/>
  <c r="AM113" i="55" s="1"/>
  <c r="AC104" i="55"/>
  <c r="AC113" i="55" s="1"/>
  <c r="AB104" i="55"/>
  <c r="AA104" i="55"/>
  <c r="AA113" i="55" s="1"/>
  <c r="Q104" i="55"/>
  <c r="Q113" i="55" s="1"/>
  <c r="P104" i="55"/>
  <c r="O104" i="55"/>
  <c r="O113" i="55" s="1"/>
  <c r="Q103" i="55"/>
  <c r="P103" i="55"/>
  <c r="O103" i="55"/>
  <c r="AY102" i="55"/>
  <c r="AM102" i="55"/>
  <c r="AA102" i="55"/>
  <c r="O102" i="55"/>
  <c r="Q96" i="55"/>
  <c r="P96" i="55"/>
  <c r="O96" i="55"/>
  <c r="Q92" i="55"/>
  <c r="P92" i="55"/>
  <c r="O92" i="55"/>
  <c r="Q89" i="55"/>
  <c r="P89" i="55"/>
  <c r="O89" i="55"/>
  <c r="BA86" i="55"/>
  <c r="AZ86" i="55"/>
  <c r="AY86" i="55"/>
  <c r="AO86" i="55"/>
  <c r="AN86" i="55"/>
  <c r="AM86" i="55"/>
  <c r="AC86" i="55"/>
  <c r="AB86" i="55"/>
  <c r="AA86" i="55"/>
  <c r="Q86" i="55"/>
  <c r="O86" i="55"/>
  <c r="Q85" i="55"/>
  <c r="P85" i="55"/>
  <c r="O85" i="55"/>
  <c r="AZ84" i="55"/>
  <c r="AZ263" i="55" s="1"/>
  <c r="AY84" i="55"/>
  <c r="AY263" i="55" s="1"/>
  <c r="AN84" i="55"/>
  <c r="AN263" i="55" s="1"/>
  <c r="AB84" i="55"/>
  <c r="AB263" i="55" s="1"/>
  <c r="P84" i="55"/>
  <c r="P263" i="55" s="1"/>
  <c r="E84" i="55"/>
  <c r="Q82" i="55"/>
  <c r="P82" i="55"/>
  <c r="O82" i="55"/>
  <c r="AY81" i="55"/>
  <c r="AM81" i="55"/>
  <c r="AA81" i="55"/>
  <c r="O81" i="55"/>
  <c r="W77" i="55"/>
  <c r="V77" i="55"/>
  <c r="U77" i="55"/>
  <c r="T77" i="55"/>
  <c r="S77" i="55"/>
  <c r="R77" i="55"/>
  <c r="Q77" i="55"/>
  <c r="P77" i="55"/>
  <c r="O77" i="55"/>
  <c r="O76" i="55"/>
  <c r="E71" i="55"/>
  <c r="E69" i="55"/>
  <c r="E68" i="55"/>
  <c r="E67" i="55"/>
  <c r="E66" i="55"/>
  <c r="E65" i="55"/>
  <c r="E64" i="55"/>
  <c r="E62" i="55"/>
  <c r="AY59" i="55"/>
  <c r="AM59" i="55"/>
  <c r="AA59" i="55"/>
  <c r="O59" i="55"/>
  <c r="M59" i="55"/>
  <c r="J59" i="55"/>
  <c r="AY36" i="55"/>
  <c r="AM36" i="55"/>
  <c r="AA36" i="55"/>
  <c r="O36" i="55"/>
  <c r="M36" i="55"/>
  <c r="J36" i="55"/>
  <c r="BG28" i="55"/>
  <c r="BF28" i="55"/>
  <c r="BE28" i="55"/>
  <c r="BD28" i="55"/>
  <c r="BC28" i="55"/>
  <c r="BB28" i="55"/>
  <c r="BA28" i="55"/>
  <c r="AZ28" i="55"/>
  <c r="AY28" i="55"/>
  <c r="AU28" i="55"/>
  <c r="AT28" i="55"/>
  <c r="AS28" i="55"/>
  <c r="AR28" i="55"/>
  <c r="AQ28" i="55"/>
  <c r="AP28" i="55"/>
  <c r="AO28" i="55"/>
  <c r="AN28" i="55"/>
  <c r="AM28" i="55"/>
  <c r="AI28" i="55"/>
  <c r="AH28" i="55"/>
  <c r="AG28" i="55"/>
  <c r="AF28" i="55"/>
  <c r="AE28" i="55"/>
  <c r="AD28" i="55"/>
  <c r="AC28" i="55"/>
  <c r="AB28" i="55"/>
  <c r="AA28" i="55"/>
  <c r="AX27" i="55"/>
  <c r="BG22" i="55"/>
  <c r="BF22" i="55"/>
  <c r="BE22" i="55"/>
  <c r="BD22" i="55"/>
  <c r="BC22" i="55"/>
  <c r="BB22" i="55"/>
  <c r="BA22" i="55"/>
  <c r="AZ22" i="55"/>
  <c r="AY22" i="55"/>
  <c r="AU22" i="55"/>
  <c r="AT22" i="55"/>
  <c r="AS22" i="55"/>
  <c r="AR22" i="55"/>
  <c r="AQ22" i="55"/>
  <c r="AP22" i="55"/>
  <c r="AO22" i="55"/>
  <c r="AN22" i="55"/>
  <c r="AM22" i="55"/>
  <c r="AI22" i="55"/>
  <c r="AH22" i="55"/>
  <c r="AG22" i="55"/>
  <c r="AF22" i="55"/>
  <c r="AE22" i="55"/>
  <c r="AD22" i="55"/>
  <c r="AC22" i="55"/>
  <c r="AB22" i="55"/>
  <c r="AA22" i="55"/>
  <c r="W22" i="55"/>
  <c r="V22" i="55"/>
  <c r="U22" i="55"/>
  <c r="T22" i="55"/>
  <c r="S22" i="55"/>
  <c r="R22" i="55"/>
  <c r="Q22" i="55"/>
  <c r="P22" i="55"/>
  <c r="O22" i="55"/>
  <c r="BG21" i="55"/>
  <c r="BF21" i="55"/>
  <c r="BE21" i="55"/>
  <c r="BD21" i="55"/>
  <c r="BC21" i="55"/>
  <c r="BB21" i="55"/>
  <c r="BA21" i="55"/>
  <c r="AZ21" i="55"/>
  <c r="AY21" i="55"/>
  <c r="AU21" i="55"/>
  <c r="AT21" i="55"/>
  <c r="AS21" i="55"/>
  <c r="AR21" i="55"/>
  <c r="AQ21" i="55"/>
  <c r="AP21" i="55"/>
  <c r="AO21" i="55"/>
  <c r="AN21" i="55"/>
  <c r="AM21" i="55"/>
  <c r="AI21" i="55"/>
  <c r="AH21" i="55"/>
  <c r="AG21" i="55"/>
  <c r="AF21" i="55"/>
  <c r="AE21" i="55"/>
  <c r="AD21" i="55"/>
  <c r="AC21" i="55"/>
  <c r="AB21" i="55"/>
  <c r="AA21" i="55"/>
  <c r="BG18" i="55"/>
  <c r="BF18" i="55"/>
  <c r="BE18" i="55"/>
  <c r="BD18" i="55"/>
  <c r="BC18" i="55"/>
  <c r="BB18" i="55"/>
  <c r="BA18" i="55"/>
  <c r="AZ18" i="55"/>
  <c r="AU18" i="55"/>
  <c r="AT18" i="55"/>
  <c r="AS18" i="55"/>
  <c r="AR18" i="55"/>
  <c r="AQ18" i="55"/>
  <c r="AP18" i="55"/>
  <c r="AO18" i="55"/>
  <c r="AN18" i="55"/>
  <c r="AI18" i="55"/>
  <c r="AH18" i="55"/>
  <c r="AG18" i="55"/>
  <c r="AF18" i="55"/>
  <c r="AE18" i="55"/>
  <c r="AD18" i="55"/>
  <c r="AC18" i="55"/>
  <c r="AB18" i="55"/>
  <c r="W18" i="55"/>
  <c r="V18" i="55"/>
  <c r="U18" i="55"/>
  <c r="T18" i="55"/>
  <c r="S18" i="55"/>
  <c r="R18" i="55"/>
  <c r="Q18" i="55"/>
  <c r="P18" i="55"/>
  <c r="BG17" i="55"/>
  <c r="BF17" i="55"/>
  <c r="BE17" i="55"/>
  <c r="BD17" i="55"/>
  <c r="BC17" i="55"/>
  <c r="BB17" i="55"/>
  <c r="BB291" i="55" s="1"/>
  <c r="BA17" i="55"/>
  <c r="AZ17" i="55"/>
  <c r="AY17" i="55"/>
  <c r="AU17" i="55"/>
  <c r="AT17" i="55"/>
  <c r="AS17" i="55"/>
  <c r="AR17" i="55"/>
  <c r="AQ17" i="55"/>
  <c r="AP17" i="55"/>
  <c r="AO17" i="55"/>
  <c r="AN17" i="55"/>
  <c r="AM17" i="55"/>
  <c r="AI17" i="55"/>
  <c r="AH17" i="55"/>
  <c r="AG17" i="55"/>
  <c r="AF17" i="55"/>
  <c r="AE17" i="55"/>
  <c r="AD17" i="55"/>
  <c r="AC17" i="55"/>
  <c r="AB17" i="55"/>
  <c r="AA17" i="55"/>
  <c r="W17" i="55"/>
  <c r="V17" i="55"/>
  <c r="U17" i="55"/>
  <c r="T17" i="55"/>
  <c r="S17" i="55"/>
  <c r="R17" i="55"/>
  <c r="Q17" i="55"/>
  <c r="P17" i="55"/>
  <c r="O17" i="55"/>
  <c r="AY16" i="55"/>
  <c r="AM16" i="55"/>
  <c r="AA16" i="55"/>
  <c r="O16" i="55"/>
  <c r="M16" i="55"/>
  <c r="BG10" i="55"/>
  <c r="BF10" i="55"/>
  <c r="BE10" i="55"/>
  <c r="BD10" i="55"/>
  <c r="BC10" i="55"/>
  <c r="BB10" i="55"/>
  <c r="BA10" i="55"/>
  <c r="AZ10" i="55"/>
  <c r="AY10" i="55"/>
  <c r="AW10" i="55"/>
  <c r="AW16" i="55" s="1"/>
  <c r="AU10" i="55"/>
  <c r="AT10" i="55"/>
  <c r="AS10" i="55"/>
  <c r="AR10" i="55"/>
  <c r="AQ10" i="55"/>
  <c r="AP10" i="55"/>
  <c r="AO10" i="55"/>
  <c r="AN10" i="55"/>
  <c r="AM10" i="55"/>
  <c r="AK10" i="55"/>
  <c r="AK36" i="55" s="1"/>
  <c r="AI10" i="55"/>
  <c r="AH10" i="55"/>
  <c r="AG10" i="55"/>
  <c r="AF10" i="55"/>
  <c r="AE10" i="55"/>
  <c r="AD10" i="55"/>
  <c r="AC10" i="55"/>
  <c r="AB10" i="55"/>
  <c r="AA10" i="55"/>
  <c r="Y10" i="55"/>
  <c r="Y16" i="55" s="1"/>
  <c r="M10" i="55"/>
  <c r="J10" i="55"/>
  <c r="J16" i="55" s="1"/>
  <c r="G6" i="55"/>
  <c r="H5" i="55"/>
  <c r="G5" i="55"/>
  <c r="E3" i="55"/>
  <c r="E2" i="55"/>
  <c r="E1" i="55"/>
  <c r="T72" i="43"/>
  <c r="S72" i="43"/>
  <c r="R72" i="43"/>
  <c r="Q72" i="43"/>
  <c r="P72" i="43"/>
  <c r="O72" i="43"/>
  <c r="N72" i="43"/>
  <c r="M72" i="43"/>
  <c r="L72" i="43"/>
  <c r="T70" i="43"/>
  <c r="T71" i="43" s="1"/>
  <c r="S70" i="43"/>
  <c r="S71" i="43" s="1"/>
  <c r="R70" i="43"/>
  <c r="R71" i="43" s="1"/>
  <c r="Q70" i="43"/>
  <c r="Q71" i="43" s="1"/>
  <c r="P70" i="43"/>
  <c r="P71" i="43" s="1"/>
  <c r="O70" i="43"/>
  <c r="O71" i="43" s="1"/>
  <c r="N70" i="43"/>
  <c r="N71" i="43" s="1"/>
  <c r="M70" i="43"/>
  <c r="M71" i="43" s="1"/>
  <c r="L70" i="43"/>
  <c r="L71" i="43" s="1"/>
  <c r="T67" i="43"/>
  <c r="S67" i="43"/>
  <c r="R67" i="43"/>
  <c r="Q67" i="43"/>
  <c r="P67" i="43"/>
  <c r="O67" i="43"/>
  <c r="N67" i="43"/>
  <c r="M67" i="43"/>
  <c r="L67" i="43"/>
  <c r="L63" i="43"/>
  <c r="M63" i="43" s="1"/>
  <c r="N63" i="43" s="1"/>
  <c r="O63" i="43" s="1"/>
  <c r="P63" i="43" s="1"/>
  <c r="Q63" i="43" s="1"/>
  <c r="R63" i="43" s="1"/>
  <c r="S63" i="43" s="1"/>
  <c r="T63" i="43" s="1"/>
  <c r="J63" i="43"/>
  <c r="T56" i="43"/>
  <c r="S56" i="43"/>
  <c r="R56" i="43"/>
  <c r="Q56" i="43"/>
  <c r="P56" i="43"/>
  <c r="O56" i="43"/>
  <c r="N56" i="43"/>
  <c r="M56" i="43"/>
  <c r="L56" i="43"/>
  <c r="T54" i="43"/>
  <c r="T55" i="43" s="1"/>
  <c r="S54" i="43"/>
  <c r="S55" i="43" s="1"/>
  <c r="R54" i="43"/>
  <c r="R55" i="43" s="1"/>
  <c r="Q54" i="43"/>
  <c r="Q55" i="43" s="1"/>
  <c r="P54" i="43"/>
  <c r="P55" i="43" s="1"/>
  <c r="O54" i="43"/>
  <c r="O55" i="43" s="1"/>
  <c r="N54" i="43"/>
  <c r="N55" i="43" s="1"/>
  <c r="M54" i="43"/>
  <c r="M55" i="43" s="1"/>
  <c r="L54" i="43"/>
  <c r="L55" i="43" s="1"/>
  <c r="T51" i="43"/>
  <c r="S51" i="43"/>
  <c r="R51" i="43"/>
  <c r="Q51" i="43"/>
  <c r="P51" i="43"/>
  <c r="O51" i="43"/>
  <c r="N51" i="43"/>
  <c r="M51" i="43"/>
  <c r="L51" i="43"/>
  <c r="L47" i="43"/>
  <c r="M47" i="43" s="1"/>
  <c r="N47" i="43" s="1"/>
  <c r="O47" i="43" s="1"/>
  <c r="P47" i="43" s="1"/>
  <c r="Q47" i="43" s="1"/>
  <c r="R47" i="43" s="1"/>
  <c r="S47" i="43" s="1"/>
  <c r="T47" i="43" s="1"/>
  <c r="J47" i="43"/>
  <c r="T40" i="43"/>
  <c r="S40" i="43"/>
  <c r="R40" i="43"/>
  <c r="Q40" i="43"/>
  <c r="P40" i="43"/>
  <c r="O40" i="43"/>
  <c r="N40" i="43"/>
  <c r="M40" i="43"/>
  <c r="L40" i="43"/>
  <c r="T38" i="43"/>
  <c r="T39" i="43" s="1"/>
  <c r="S38" i="43"/>
  <c r="S39" i="43" s="1"/>
  <c r="R38" i="43"/>
  <c r="R39" i="43" s="1"/>
  <c r="Q38" i="43"/>
  <c r="Q39" i="43" s="1"/>
  <c r="P38" i="43"/>
  <c r="P39" i="43" s="1"/>
  <c r="O38" i="43"/>
  <c r="O39" i="43" s="1"/>
  <c r="N38" i="43"/>
  <c r="N39" i="43" s="1"/>
  <c r="M38" i="43"/>
  <c r="M39" i="43" s="1"/>
  <c r="L38" i="43"/>
  <c r="T35" i="43"/>
  <c r="S35" i="43"/>
  <c r="R35" i="43"/>
  <c r="Q35" i="43"/>
  <c r="P35" i="43"/>
  <c r="O35" i="43"/>
  <c r="N35" i="43"/>
  <c r="M35" i="43"/>
  <c r="L35" i="43"/>
  <c r="L31" i="43"/>
  <c r="M31" i="43" s="1"/>
  <c r="N31" i="43" s="1"/>
  <c r="O31" i="43" s="1"/>
  <c r="P31" i="43" s="1"/>
  <c r="Q31" i="43" s="1"/>
  <c r="R31" i="43" s="1"/>
  <c r="S31" i="43" s="1"/>
  <c r="T31" i="43" s="1"/>
  <c r="J31" i="43"/>
  <c r="T24" i="43"/>
  <c r="S24" i="43"/>
  <c r="R24" i="43"/>
  <c r="Q24" i="43"/>
  <c r="P24" i="43"/>
  <c r="O24" i="43"/>
  <c r="N24" i="43"/>
  <c r="M24" i="43"/>
  <c r="T22" i="43"/>
  <c r="T23" i="43" s="1"/>
  <c r="S22" i="43"/>
  <c r="S23" i="43" s="1"/>
  <c r="R22" i="43"/>
  <c r="R23" i="43" s="1"/>
  <c r="Q22" i="43"/>
  <c r="Q23" i="43" s="1"/>
  <c r="P22" i="43"/>
  <c r="P23" i="43" s="1"/>
  <c r="O22" i="43"/>
  <c r="O23" i="43" s="1"/>
  <c r="N22" i="43"/>
  <c r="N23" i="43" s="1"/>
  <c r="M22" i="43"/>
  <c r="M23" i="43" s="1"/>
  <c r="L22" i="43"/>
  <c r="L23" i="43" s="1"/>
  <c r="T19" i="43"/>
  <c r="S19" i="43"/>
  <c r="R19" i="43"/>
  <c r="Q19" i="43"/>
  <c r="P19" i="43"/>
  <c r="O19" i="43"/>
  <c r="N19" i="43"/>
  <c r="M19" i="43"/>
  <c r="L19" i="43"/>
  <c r="L15" i="43"/>
  <c r="M15" i="43" s="1"/>
  <c r="N15" i="43" s="1"/>
  <c r="O15" i="43" s="1"/>
  <c r="P15" i="43" s="1"/>
  <c r="Q15" i="43" s="1"/>
  <c r="R15" i="43" s="1"/>
  <c r="S15" i="43" s="1"/>
  <c r="T15" i="43" s="1"/>
  <c r="E1" i="43"/>
  <c r="E1" i="30"/>
  <c r="E1" i="15"/>
  <c r="K90" i="23"/>
  <c r="K160" i="23"/>
  <c r="J12" i="23"/>
  <c r="K185" i="23"/>
  <c r="J162" i="23"/>
  <c r="J120" i="23"/>
  <c r="J135" i="23"/>
  <c r="K232" i="23"/>
  <c r="K27" i="23"/>
  <c r="K149" i="23"/>
  <c r="J123" i="23"/>
  <c r="K70" i="23"/>
  <c r="K294" i="23"/>
  <c r="J159" i="23"/>
  <c r="J223" i="23"/>
  <c r="J198" i="23"/>
  <c r="K105" i="23"/>
  <c r="J218" i="23"/>
  <c r="K235" i="23"/>
  <c r="K40" i="23"/>
  <c r="K63" i="23"/>
  <c r="K198" i="23"/>
  <c r="J28" i="23"/>
  <c r="J93" i="23"/>
  <c r="K291" i="23"/>
  <c r="K79" i="23"/>
  <c r="J64" i="23"/>
  <c r="K250" i="23"/>
  <c r="K246" i="23"/>
  <c r="J185" i="23"/>
  <c r="K103" i="23"/>
  <c r="J234" i="23"/>
  <c r="J92" i="23"/>
  <c r="K12" i="23"/>
  <c r="K158" i="23"/>
  <c r="J170" i="23"/>
  <c r="J221" i="23"/>
  <c r="K163" i="23"/>
  <c r="K28" i="23"/>
  <c r="J276" i="23"/>
  <c r="J290" i="23"/>
  <c r="K20" i="23"/>
  <c r="K238" i="23"/>
  <c r="K21" i="23"/>
  <c r="K264" i="23"/>
  <c r="J107" i="23"/>
  <c r="J262" i="23"/>
  <c r="J207" i="23"/>
  <c r="J118" i="23"/>
  <c r="J160" i="23"/>
  <c r="K39" i="23"/>
  <c r="K78" i="23"/>
  <c r="K289" i="23"/>
  <c r="K107" i="23"/>
  <c r="J285" i="23"/>
  <c r="J186" i="23"/>
  <c r="J196" i="23"/>
  <c r="J89" i="23"/>
  <c r="K218" i="23"/>
  <c r="K251" i="23"/>
  <c r="J246" i="23"/>
  <c r="J20" i="23"/>
  <c r="K134" i="23"/>
  <c r="J46" i="23"/>
  <c r="K175" i="23"/>
  <c r="J197" i="23"/>
  <c r="K266" i="23"/>
  <c r="J94" i="23"/>
  <c r="K18" i="23"/>
  <c r="K208" i="23"/>
  <c r="J18" i="23"/>
  <c r="K38" i="23"/>
  <c r="J14" i="23"/>
  <c r="J41" i="23"/>
  <c r="J254" i="23"/>
  <c r="K25" i="23"/>
  <c r="K80" i="23"/>
  <c r="J134" i="23"/>
  <c r="J25" i="23"/>
  <c r="K141" i="23"/>
  <c r="J173" i="23"/>
  <c r="J38" i="23"/>
  <c r="J27" i="23"/>
  <c r="K26" i="23"/>
  <c r="K45" i="23"/>
  <c r="J295" i="23"/>
  <c r="J231" i="23"/>
  <c r="K111" i="23"/>
  <c r="J224" i="23"/>
  <c r="K95" i="23"/>
  <c r="K223" i="23"/>
  <c r="K174" i="23"/>
  <c r="K216" i="23"/>
  <c r="J51" i="23"/>
  <c r="K182" i="23"/>
  <c r="J194" i="23"/>
  <c r="K35" i="23"/>
  <c r="K195" i="23"/>
  <c r="K236" i="23"/>
  <c r="J91" i="23"/>
  <c r="J174" i="23"/>
  <c r="J239" i="23"/>
  <c r="K221" i="23"/>
  <c r="J33" i="23"/>
  <c r="J39" i="23"/>
  <c r="K62" i="23"/>
  <c r="K47" i="23"/>
  <c r="J261" i="23"/>
  <c r="J233" i="23"/>
  <c r="K248" i="23"/>
  <c r="K207" i="23"/>
  <c r="J122" i="23"/>
  <c r="K104" i="23"/>
  <c r="J268" i="23"/>
  <c r="J88" i="23"/>
  <c r="J110" i="23"/>
  <c r="K224" i="23"/>
  <c r="J282" i="23"/>
  <c r="K88" i="23"/>
  <c r="K138" i="23"/>
  <c r="J47" i="23"/>
  <c r="J35" i="23"/>
  <c r="K277" i="23"/>
  <c r="J219" i="23"/>
  <c r="K234" i="23"/>
  <c r="J277" i="23"/>
  <c r="J108" i="23"/>
  <c r="J96" i="23"/>
  <c r="J126" i="23"/>
  <c r="J291" i="23"/>
  <c r="K220" i="23"/>
  <c r="K284" i="23"/>
  <c r="J172" i="23"/>
  <c r="K14" i="23"/>
  <c r="J50" i="23"/>
  <c r="J57" i="23"/>
  <c r="J139" i="23"/>
  <c r="K268" i="23"/>
  <c r="J182" i="23"/>
  <c r="K298" i="23"/>
  <c r="J265" i="23"/>
  <c r="K187" i="23"/>
  <c r="K41" i="23"/>
  <c r="K93" i="23"/>
  <c r="J149" i="23"/>
  <c r="J289" i="23"/>
  <c r="J11" i="23"/>
  <c r="J208" i="23"/>
  <c r="K194" i="23"/>
  <c r="J248" i="23"/>
  <c r="K186" i="23"/>
  <c r="J263" i="23"/>
  <c r="J199" i="23"/>
  <c r="J283" i="23"/>
  <c r="K170" i="23"/>
  <c r="J95" i="23"/>
  <c r="K59" i="23"/>
  <c r="K123" i="23"/>
  <c r="K299" i="23"/>
  <c r="J81" i="23"/>
  <c r="J247" i="23"/>
  <c r="J103" i="23"/>
  <c r="K121" i="23"/>
  <c r="K118" i="23"/>
  <c r="J90" i="23"/>
  <c r="K171" i="23"/>
  <c r="J140" i="23"/>
  <c r="K124" i="23"/>
  <c r="K110" i="23"/>
  <c r="K252" i="23"/>
  <c r="K267" i="23"/>
  <c r="J106" i="23"/>
  <c r="J104" i="23"/>
  <c r="J78" i="23"/>
  <c r="J58" i="23"/>
  <c r="K122" i="23"/>
  <c r="K206" i="23"/>
  <c r="J32" i="23"/>
  <c r="K50" i="23"/>
  <c r="K151" i="23"/>
  <c r="J71" i="23"/>
  <c r="K254" i="23"/>
  <c r="J34" i="23"/>
  <c r="K282" i="23"/>
  <c r="J44" i="23"/>
  <c r="J136" i="23"/>
  <c r="K133" i="23"/>
  <c r="J125" i="23"/>
  <c r="J56" i="23"/>
  <c r="K278" i="23"/>
  <c r="K58" i="23"/>
  <c r="J137" i="23"/>
  <c r="J249" i="23"/>
  <c r="K247" i="23"/>
  <c r="J70" i="23"/>
  <c r="K283" i="23"/>
  <c r="J111" i="23"/>
  <c r="J163" i="23"/>
  <c r="J138" i="23"/>
  <c r="J284" i="23"/>
  <c r="K263" i="23"/>
  <c r="J187" i="23"/>
  <c r="K81" i="23"/>
  <c r="K159" i="23"/>
  <c r="K68" i="23"/>
  <c r="K261" i="23"/>
  <c r="K91" i="23"/>
  <c r="K94" i="23"/>
  <c r="J21" i="23"/>
  <c r="K13" i="23"/>
  <c r="K237" i="23"/>
  <c r="J109" i="23"/>
  <c r="K51" i="23"/>
  <c r="K295" i="23"/>
  <c r="J53" i="23"/>
  <c r="J253" i="23"/>
  <c r="J232" i="23"/>
  <c r="K106" i="23"/>
  <c r="J124" i="23"/>
  <c r="J217" i="23"/>
  <c r="K285" i="23"/>
  <c r="K297" i="23"/>
  <c r="K120" i="23"/>
  <c r="J300" i="23"/>
  <c r="J148" i="23"/>
  <c r="K279" i="23"/>
  <c r="J69" i="23"/>
  <c r="J45" i="23"/>
  <c r="K136" i="23"/>
  <c r="K197" i="23"/>
  <c r="J251" i="23"/>
  <c r="K119" i="23"/>
  <c r="K300" i="23"/>
  <c r="K69" i="23"/>
  <c r="J121" i="23"/>
  <c r="K11" i="23"/>
  <c r="J237" i="23"/>
  <c r="J195" i="23"/>
  <c r="J206" i="23"/>
  <c r="J62" i="23"/>
  <c r="J31" i="23"/>
  <c r="J158" i="23"/>
  <c r="J220" i="23"/>
  <c r="K173" i="23"/>
  <c r="K46" i="23"/>
  <c r="K183" i="23"/>
  <c r="K219" i="23"/>
  <c r="K139" i="23"/>
  <c r="J297" i="23"/>
  <c r="J184" i="23"/>
  <c r="K44" i="23"/>
  <c r="K217" i="23"/>
  <c r="J238" i="23"/>
  <c r="J175" i="23"/>
  <c r="K222" i="23"/>
  <c r="K31" i="23"/>
  <c r="J52" i="23"/>
  <c r="J296" i="23"/>
  <c r="K290" i="23"/>
  <c r="K34" i="23"/>
  <c r="J222" i="23"/>
  <c r="J150" i="23"/>
  <c r="J19" i="23"/>
  <c r="J119" i="23"/>
  <c r="K32" i="23"/>
  <c r="J250" i="23"/>
  <c r="J266" i="23"/>
  <c r="J236" i="23"/>
  <c r="K148" i="23"/>
  <c r="K137" i="23"/>
  <c r="J183" i="23"/>
  <c r="K19" i="23"/>
  <c r="J105" i="23"/>
  <c r="K162" i="23"/>
  <c r="J161" i="23"/>
  <c r="K53" i="23"/>
  <c r="K109" i="23"/>
  <c r="K71" i="23"/>
  <c r="K172" i="23"/>
  <c r="J264" i="23"/>
  <c r="J40" i="23"/>
  <c r="J26" i="23"/>
  <c r="K57" i="23"/>
  <c r="K126" i="23"/>
  <c r="K209" i="23"/>
  <c r="K108" i="23"/>
  <c r="J63" i="23"/>
  <c r="J59" i="23"/>
  <c r="K199" i="23"/>
  <c r="J252" i="23"/>
  <c r="K125" i="23"/>
  <c r="J267" i="23"/>
  <c r="J299" i="23"/>
  <c r="J278" i="23"/>
  <c r="J209" i="23"/>
  <c r="K161" i="23"/>
  <c r="K89" i="23"/>
  <c r="J13" i="23"/>
  <c r="K269" i="23"/>
  <c r="J151" i="23"/>
  <c r="K231" i="23"/>
  <c r="J216" i="23"/>
  <c r="J235" i="23"/>
  <c r="J269" i="23"/>
  <c r="J80" i="23"/>
  <c r="K276" i="23"/>
  <c r="K262" i="23"/>
  <c r="K288" i="23"/>
  <c r="K296" i="23"/>
  <c r="K253" i="23"/>
  <c r="K135" i="23"/>
  <c r="J79" i="23"/>
  <c r="K265" i="23"/>
  <c r="J141" i="23"/>
  <c r="J279" i="23"/>
  <c r="J294" i="23"/>
  <c r="K184" i="23"/>
  <c r="J288" i="23"/>
  <c r="K96" i="23"/>
  <c r="K196" i="23"/>
  <c r="J68" i="23"/>
  <c r="K33" i="23"/>
  <c r="K150" i="23"/>
  <c r="K65" i="23"/>
  <c r="K92" i="23"/>
  <c r="K140" i="23"/>
  <c r="K52" i="23"/>
  <c r="K233" i="23"/>
  <c r="K239" i="23"/>
  <c r="K56" i="23"/>
  <c r="J65" i="23"/>
  <c r="J298" i="23"/>
  <c r="K64" i="23"/>
  <c r="J171" i="23"/>
  <c r="K249" i="23"/>
  <c r="AN357" i="75" l="1"/>
  <c r="AN360" i="75" s="1"/>
  <c r="AR296" i="75"/>
  <c r="AG296" i="76"/>
  <c r="Y294" i="76"/>
  <c r="AI224" i="76"/>
  <c r="AI12" i="76" s="1"/>
  <c r="Y12" i="76" s="1"/>
  <c r="AC214" i="76"/>
  <c r="AI214" i="76"/>
  <c r="AA224" i="76"/>
  <c r="AB224" i="76"/>
  <c r="Y355" i="76"/>
  <c r="AC296" i="76"/>
  <c r="AB214" i="76"/>
  <c r="AA214" i="76"/>
  <c r="AQ357" i="75"/>
  <c r="AQ360" i="75" s="1"/>
  <c r="AU296" i="75"/>
  <c r="J151" i="74"/>
  <c r="Y295" i="76"/>
  <c r="AC357" i="76"/>
  <c r="AE357" i="76"/>
  <c r="AE360" i="76" s="1"/>
  <c r="AP296" i="75"/>
  <c r="AU357" i="75"/>
  <c r="AU360" i="75" s="1"/>
  <c r="AN296" i="75"/>
  <c r="AN298" i="75" s="1"/>
  <c r="AG357" i="76"/>
  <c r="AG359" i="76" s="1"/>
  <c r="AS357" i="75"/>
  <c r="AS360" i="75" s="1"/>
  <c r="AA296" i="76"/>
  <c r="Y356" i="76"/>
  <c r="AT357" i="75"/>
  <c r="AB299" i="76"/>
  <c r="AG357" i="74"/>
  <c r="AG360" i="74" s="1"/>
  <c r="AB357" i="76"/>
  <c r="AB360" i="76" s="1"/>
  <c r="AG360" i="76"/>
  <c r="AD360" i="76"/>
  <c r="AM357" i="75"/>
  <c r="AM359" i="75" s="1"/>
  <c r="AT296" i="75"/>
  <c r="AT298" i="75" s="1"/>
  <c r="AI357" i="74"/>
  <c r="P357" i="76"/>
  <c r="AF299" i="76"/>
  <c r="S357" i="76"/>
  <c r="U296" i="76"/>
  <c r="U298" i="76" s="1"/>
  <c r="AI299" i="76"/>
  <c r="J120" i="76"/>
  <c r="W357" i="76"/>
  <c r="W359" i="76" s="1"/>
  <c r="R296" i="76"/>
  <c r="R298" i="76" s="1"/>
  <c r="W296" i="76"/>
  <c r="W298" i="76" s="1"/>
  <c r="T357" i="76"/>
  <c r="T359" i="76" s="1"/>
  <c r="J241" i="76"/>
  <c r="T296" i="76"/>
  <c r="T298" i="76" s="1"/>
  <c r="P224" i="76"/>
  <c r="W224" i="76"/>
  <c r="W12" i="76" s="1"/>
  <c r="M12" i="76" s="1"/>
  <c r="O224" i="76"/>
  <c r="Q224" i="76"/>
  <c r="W214" i="76"/>
  <c r="Q214" i="76"/>
  <c r="O214" i="76"/>
  <c r="P214" i="76"/>
  <c r="O357" i="76"/>
  <c r="M355" i="76"/>
  <c r="V296" i="76"/>
  <c r="V298" i="76" s="1"/>
  <c r="Q357" i="76"/>
  <c r="O296" i="76"/>
  <c r="O298" i="76" s="1"/>
  <c r="M295" i="76"/>
  <c r="J130" i="76"/>
  <c r="P296" i="76"/>
  <c r="P298" i="76" s="1"/>
  <c r="M294" i="76"/>
  <c r="R357" i="76"/>
  <c r="U357" i="76"/>
  <c r="AD299" i="76"/>
  <c r="AR295" i="76"/>
  <c r="AM355" i="76"/>
  <c r="AP294" i="76"/>
  <c r="AP355" i="76"/>
  <c r="AK188" i="76"/>
  <c r="AN356" i="76"/>
  <c r="AR355" i="76"/>
  <c r="AP356" i="76"/>
  <c r="AR294" i="76"/>
  <c r="AK224" i="76"/>
  <c r="AS295" i="76"/>
  <c r="AO295" i="76"/>
  <c r="AT355" i="76"/>
  <c r="AM295" i="76"/>
  <c r="AO355" i="76"/>
  <c r="AS294" i="76"/>
  <c r="AT356" i="76"/>
  <c r="AU356" i="76"/>
  <c r="AR356" i="76"/>
  <c r="AN355" i="76"/>
  <c r="AT295" i="76"/>
  <c r="AM356" i="76"/>
  <c r="AU295" i="76"/>
  <c r="AQ355" i="76"/>
  <c r="AP295" i="76"/>
  <c r="AS355" i="76"/>
  <c r="AM294" i="76"/>
  <c r="AQ356" i="76"/>
  <c r="AU355" i="76"/>
  <c r="AS356" i="76"/>
  <c r="AT294" i="76"/>
  <c r="AU294" i="76"/>
  <c r="AQ295" i="76"/>
  <c r="AO294" i="76"/>
  <c r="AN294" i="76"/>
  <c r="AN295" i="76"/>
  <c r="AO356" i="76"/>
  <c r="AQ294" i="76"/>
  <c r="J187" i="76"/>
  <c r="J188" i="76" s="1"/>
  <c r="Q296" i="76"/>
  <c r="S296" i="76"/>
  <c r="M356" i="76"/>
  <c r="AY295" i="76"/>
  <c r="BG294" i="76"/>
  <c r="BB356" i="76"/>
  <c r="BE294" i="76"/>
  <c r="BC294" i="76"/>
  <c r="BF295" i="76"/>
  <c r="BF355" i="76"/>
  <c r="BF356" i="76"/>
  <c r="BB294" i="76"/>
  <c r="BB355" i="76"/>
  <c r="AY355" i="76"/>
  <c r="BD355" i="76"/>
  <c r="BG355" i="76"/>
  <c r="BA356" i="76"/>
  <c r="BB295" i="76"/>
  <c r="AZ295" i="76"/>
  <c r="AY356" i="76"/>
  <c r="BA355" i="76"/>
  <c r="BC356" i="76"/>
  <c r="BE295" i="76"/>
  <c r="BE296" i="76" s="1"/>
  <c r="BE299" i="76" s="1"/>
  <c r="BD295" i="76"/>
  <c r="BF294" i="76"/>
  <c r="BA294" i="76"/>
  <c r="BA295" i="76"/>
  <c r="BG356" i="76"/>
  <c r="BG295" i="76"/>
  <c r="BG296" i="76" s="1"/>
  <c r="BG298" i="76" s="1"/>
  <c r="BD356" i="76"/>
  <c r="BE355" i="76"/>
  <c r="AW188" i="76"/>
  <c r="AZ356" i="76"/>
  <c r="AZ355" i="76"/>
  <c r="BC355" i="76"/>
  <c r="BC295" i="76"/>
  <c r="AW224" i="76"/>
  <c r="AZ294" i="76"/>
  <c r="BD294" i="76"/>
  <c r="BE356" i="76"/>
  <c r="AY294" i="76"/>
  <c r="V357" i="76"/>
  <c r="AO296" i="75"/>
  <c r="AO298" i="75" s="1"/>
  <c r="AK356" i="75"/>
  <c r="AS359" i="75"/>
  <c r="AR357" i="75"/>
  <c r="AR360" i="75" s="1"/>
  <c r="AK295" i="75"/>
  <c r="AK294" i="75"/>
  <c r="AP357" i="75"/>
  <c r="AP359" i="75" s="1"/>
  <c r="AK355" i="75"/>
  <c r="AM296" i="75"/>
  <c r="AM298" i="75" s="1"/>
  <c r="AY12" i="75"/>
  <c r="AQ359" i="75"/>
  <c r="AW188" i="75"/>
  <c r="BC294" i="75"/>
  <c r="BA356" i="75"/>
  <c r="AZ355" i="75"/>
  <c r="BD356" i="75"/>
  <c r="BE295" i="75"/>
  <c r="BB356" i="75"/>
  <c r="BC356" i="75"/>
  <c r="BF294" i="75"/>
  <c r="BG355" i="75"/>
  <c r="BG356" i="75"/>
  <c r="BB295" i="75"/>
  <c r="BD294" i="75"/>
  <c r="BA294" i="75"/>
  <c r="BC355" i="75"/>
  <c r="BA355" i="75"/>
  <c r="AZ295" i="75"/>
  <c r="BG294" i="75"/>
  <c r="BE294" i="75"/>
  <c r="BB355" i="75"/>
  <c r="BF356" i="75"/>
  <c r="BE355" i="75"/>
  <c r="AZ294" i="75"/>
  <c r="AY356" i="75"/>
  <c r="AY355" i="75"/>
  <c r="BD355" i="75"/>
  <c r="BG295" i="75"/>
  <c r="BF295" i="75"/>
  <c r="BB294" i="75"/>
  <c r="AY294" i="75"/>
  <c r="AY295" i="75"/>
  <c r="BC295" i="75"/>
  <c r="BF355" i="75"/>
  <c r="AW224" i="75"/>
  <c r="J224" i="75" s="1"/>
  <c r="AZ356" i="75"/>
  <c r="BA295" i="75"/>
  <c r="BE356" i="75"/>
  <c r="BD295" i="75"/>
  <c r="S296" i="75"/>
  <c r="S298" i="75" s="1"/>
  <c r="R296" i="75"/>
  <c r="R298" i="75" s="1"/>
  <c r="P296" i="75"/>
  <c r="P298" i="75" s="1"/>
  <c r="AE296" i="75"/>
  <c r="AE298" i="75" s="1"/>
  <c r="AI296" i="75"/>
  <c r="AI298" i="75" s="1"/>
  <c r="U296" i="75"/>
  <c r="U298" i="75" s="1"/>
  <c r="AE357" i="75"/>
  <c r="AD296" i="75"/>
  <c r="AD298" i="75" s="1"/>
  <c r="V357" i="75"/>
  <c r="V359" i="75" s="1"/>
  <c r="AH357" i="75"/>
  <c r="P357" i="75"/>
  <c r="AB296" i="75"/>
  <c r="AB298" i="75" s="1"/>
  <c r="W296" i="75"/>
  <c r="W298" i="75" s="1"/>
  <c r="U357" i="75"/>
  <c r="U360" i="75" s="1"/>
  <c r="T296" i="75"/>
  <c r="AB357" i="75"/>
  <c r="AI357" i="75"/>
  <c r="AC296" i="75"/>
  <c r="AC298" i="75" s="1"/>
  <c r="S357" i="75"/>
  <c r="AN359" i="75"/>
  <c r="AF357" i="75"/>
  <c r="T357" i="75"/>
  <c r="T360" i="75" s="1"/>
  <c r="M294" i="75"/>
  <c r="AF296" i="75"/>
  <c r="AF298" i="75" s="1"/>
  <c r="AH296" i="75"/>
  <c r="AH298" i="75" s="1"/>
  <c r="M356" i="75"/>
  <c r="AG299" i="75"/>
  <c r="AC357" i="75"/>
  <c r="Q296" i="75"/>
  <c r="Q298" i="75" s="1"/>
  <c r="AG357" i="75"/>
  <c r="Y356" i="75"/>
  <c r="W357" i="75"/>
  <c r="AD357" i="75"/>
  <c r="O296" i="75"/>
  <c r="M295" i="75"/>
  <c r="V296" i="75"/>
  <c r="V298" i="75" s="1"/>
  <c r="Q357" i="75"/>
  <c r="Y355" i="75"/>
  <c r="AA357" i="75"/>
  <c r="AA296" i="75"/>
  <c r="Y295" i="75"/>
  <c r="AA224" i="75"/>
  <c r="AB214" i="75"/>
  <c r="AI214" i="75"/>
  <c r="AB224" i="75"/>
  <c r="AC214" i="75"/>
  <c r="AI224" i="75"/>
  <c r="AI12" i="75" s="1"/>
  <c r="Y12" i="75" s="1"/>
  <c r="AC224" i="75"/>
  <c r="AA214" i="75"/>
  <c r="R357" i="75"/>
  <c r="O224" i="75"/>
  <c r="W214" i="75"/>
  <c r="P214" i="75"/>
  <c r="Q214" i="75"/>
  <c r="P224" i="75"/>
  <c r="W224" i="75"/>
  <c r="W12" i="75" s="1"/>
  <c r="M12" i="75" s="1"/>
  <c r="Q224" i="75"/>
  <c r="O214" i="75"/>
  <c r="Y294" i="75"/>
  <c r="O357" i="75"/>
  <c r="M355" i="75"/>
  <c r="AH296" i="74"/>
  <c r="AH298" i="74" s="1"/>
  <c r="AK224" i="74"/>
  <c r="AS295" i="74"/>
  <c r="AP355" i="74"/>
  <c r="AP356" i="74"/>
  <c r="AQ356" i="74"/>
  <c r="AU355" i="74"/>
  <c r="AT294" i="74"/>
  <c r="AR295" i="74"/>
  <c r="AM356" i="74"/>
  <c r="AN355" i="74"/>
  <c r="AQ295" i="74"/>
  <c r="AR355" i="74"/>
  <c r="AR294" i="74"/>
  <c r="AM295" i="74"/>
  <c r="AN295" i="74"/>
  <c r="AS294" i="74"/>
  <c r="AU356" i="74"/>
  <c r="AT355" i="74"/>
  <c r="AU295" i="74"/>
  <c r="AT295" i="74"/>
  <c r="AS356" i="74"/>
  <c r="AP295" i="74"/>
  <c r="AN294" i="74"/>
  <c r="AN356" i="74"/>
  <c r="AQ294" i="74"/>
  <c r="AO294" i="74"/>
  <c r="AU294" i="74"/>
  <c r="AO356" i="74"/>
  <c r="AO355" i="74"/>
  <c r="AM294" i="74"/>
  <c r="AR356" i="74"/>
  <c r="AO295" i="74"/>
  <c r="AM355" i="74"/>
  <c r="AT356" i="74"/>
  <c r="AP294" i="74"/>
  <c r="AQ355" i="74"/>
  <c r="AS355" i="74"/>
  <c r="AK188" i="74"/>
  <c r="J120" i="74"/>
  <c r="J241" i="74"/>
  <c r="AF296" i="74"/>
  <c r="AF298" i="74" s="1"/>
  <c r="AD357" i="74"/>
  <c r="AD360" i="74" s="1"/>
  <c r="AI296" i="74"/>
  <c r="AI298" i="74" s="1"/>
  <c r="AE357" i="74"/>
  <c r="AC296" i="74"/>
  <c r="AC298" i="74" s="1"/>
  <c r="AB357" i="74"/>
  <c r="AB296" i="74"/>
  <c r="AB298" i="74" s="1"/>
  <c r="AA357" i="74"/>
  <c r="Y355" i="74"/>
  <c r="Y294" i="74"/>
  <c r="AA214" i="74"/>
  <c r="AB224" i="74"/>
  <c r="AA224" i="74"/>
  <c r="AI214" i="74"/>
  <c r="AC214" i="74"/>
  <c r="AI224" i="74"/>
  <c r="AI12" i="74" s="1"/>
  <c r="Y12" i="74" s="1"/>
  <c r="AB214" i="74"/>
  <c r="AC224" i="74"/>
  <c r="AH357" i="74"/>
  <c r="Y356" i="74"/>
  <c r="BE356" i="74"/>
  <c r="BF355" i="74"/>
  <c r="BG356" i="74"/>
  <c r="BD294" i="74"/>
  <c r="BF294" i="74"/>
  <c r="BE294" i="74"/>
  <c r="BD355" i="74"/>
  <c r="AY294" i="74"/>
  <c r="BG294" i="74"/>
  <c r="AY295" i="74"/>
  <c r="BC356" i="74"/>
  <c r="AY356" i="74"/>
  <c r="BG355" i="74"/>
  <c r="BA356" i="74"/>
  <c r="BC295" i="74"/>
  <c r="BG295" i="74"/>
  <c r="AZ356" i="74"/>
  <c r="BB295" i="74"/>
  <c r="AW224" i="74"/>
  <c r="BE355" i="74"/>
  <c r="BA295" i="74"/>
  <c r="BB355" i="74"/>
  <c r="BA355" i="74"/>
  <c r="AW188" i="74"/>
  <c r="BC355" i="74"/>
  <c r="AY355" i="74"/>
  <c r="BD295" i="74"/>
  <c r="BB294" i="74"/>
  <c r="BC294" i="74"/>
  <c r="AZ355" i="74"/>
  <c r="BA294" i="74"/>
  <c r="AZ295" i="74"/>
  <c r="BF356" i="74"/>
  <c r="BE295" i="74"/>
  <c r="AZ294" i="74"/>
  <c r="BB356" i="74"/>
  <c r="BD356" i="74"/>
  <c r="BF295" i="74"/>
  <c r="AC357" i="74"/>
  <c r="AF357" i="74"/>
  <c r="AD296" i="74"/>
  <c r="AD298" i="74" s="1"/>
  <c r="AG296" i="74"/>
  <c r="AG298" i="74" s="1"/>
  <c r="AA296" i="74"/>
  <c r="AA298" i="74" s="1"/>
  <c r="Y295" i="74"/>
  <c r="AE296" i="74"/>
  <c r="AE298" i="74" s="1"/>
  <c r="AT292" i="74"/>
  <c r="Q294" i="74"/>
  <c r="AE292" i="74"/>
  <c r="S294" i="74"/>
  <c r="V356" i="74"/>
  <c r="O295" i="74"/>
  <c r="P294" i="74"/>
  <c r="U292" i="74"/>
  <c r="BF292" i="74"/>
  <c r="U355" i="74"/>
  <c r="Q295" i="74"/>
  <c r="V294" i="74"/>
  <c r="R292" i="74"/>
  <c r="AF292" i="74"/>
  <c r="AH292" i="74"/>
  <c r="S356" i="74"/>
  <c r="V355" i="74"/>
  <c r="T295" i="74"/>
  <c r="M188" i="74"/>
  <c r="Q356" i="74"/>
  <c r="BE292" i="74"/>
  <c r="O355" i="74"/>
  <c r="AO292" i="74"/>
  <c r="AP292" i="74"/>
  <c r="BB292" i="74"/>
  <c r="R355" i="74"/>
  <c r="O292" i="74"/>
  <c r="AA292" i="74"/>
  <c r="M224" i="74"/>
  <c r="AM292" i="74"/>
  <c r="Q292" i="74"/>
  <c r="W294" i="74"/>
  <c r="V292" i="74"/>
  <c r="O356" i="74"/>
  <c r="O294" i="74"/>
  <c r="U295" i="74"/>
  <c r="W295" i="74"/>
  <c r="AU292" i="74"/>
  <c r="J187" i="74"/>
  <c r="J188" i="74" s="1"/>
  <c r="R356" i="74"/>
  <c r="BC292" i="74"/>
  <c r="AG292" i="74"/>
  <c r="P355" i="74"/>
  <c r="AS292" i="74"/>
  <c r="W356" i="74"/>
  <c r="W292" i="74"/>
  <c r="AR292" i="74"/>
  <c r="T356" i="74"/>
  <c r="AC292" i="74"/>
  <c r="BD292" i="74"/>
  <c r="S355" i="74"/>
  <c r="BA292" i="74"/>
  <c r="S292" i="74"/>
  <c r="AD292" i="74"/>
  <c r="AD299" i="74" s="1"/>
  <c r="AQ292" i="74"/>
  <c r="P292" i="74"/>
  <c r="T294" i="74"/>
  <c r="S295" i="74"/>
  <c r="U356" i="74"/>
  <c r="R294" i="74"/>
  <c r="P356" i="74"/>
  <c r="AY292" i="74"/>
  <c r="V295" i="74"/>
  <c r="P295" i="74"/>
  <c r="Q355" i="74"/>
  <c r="T292" i="74"/>
  <c r="AB292" i="74"/>
  <c r="AI292" i="74"/>
  <c r="U294" i="74"/>
  <c r="AN292" i="74"/>
  <c r="BG292" i="74"/>
  <c r="AZ292" i="74"/>
  <c r="W355" i="74"/>
  <c r="R295" i="74"/>
  <c r="T355" i="74"/>
  <c r="AZ357" i="73"/>
  <c r="P357" i="73"/>
  <c r="P359" i="73" s="1"/>
  <c r="AC296" i="73"/>
  <c r="AC298" i="73" s="1"/>
  <c r="AH357" i="73"/>
  <c r="AH360" i="73" s="1"/>
  <c r="W296" i="73"/>
  <c r="W298" i="73" s="1"/>
  <c r="BA296" i="73"/>
  <c r="BA298" i="73" s="1"/>
  <c r="AG357" i="73"/>
  <c r="AG359" i="73" s="1"/>
  <c r="S357" i="73"/>
  <c r="S360" i="73" s="1"/>
  <c r="BB357" i="73"/>
  <c r="BB360" i="73" s="1"/>
  <c r="BC296" i="73"/>
  <c r="BC298" i="73" s="1"/>
  <c r="AF357" i="73"/>
  <c r="AF360" i="73" s="1"/>
  <c r="T296" i="73"/>
  <c r="T298" i="73" s="1"/>
  <c r="AB296" i="73"/>
  <c r="AB298" i="73" s="1"/>
  <c r="BF296" i="73"/>
  <c r="BF298" i="73" s="1"/>
  <c r="W357" i="73"/>
  <c r="W360" i="73" s="1"/>
  <c r="M356" i="73"/>
  <c r="BD357" i="73"/>
  <c r="AZ296" i="73"/>
  <c r="AZ298" i="73" s="1"/>
  <c r="AH296" i="73"/>
  <c r="AH298" i="73" s="1"/>
  <c r="AI357" i="73"/>
  <c r="AI359" i="73" s="1"/>
  <c r="P296" i="73"/>
  <c r="P298" i="73" s="1"/>
  <c r="BG296" i="73"/>
  <c r="BG298" i="73" s="1"/>
  <c r="AE296" i="73"/>
  <c r="AE298" i="73" s="1"/>
  <c r="AE357" i="73"/>
  <c r="AI296" i="73"/>
  <c r="AI224" i="73"/>
  <c r="AI12" i="73" s="1"/>
  <c r="Y12" i="73" s="1"/>
  <c r="AC214" i="73"/>
  <c r="AC224" i="73"/>
  <c r="AA214" i="73"/>
  <c r="AB214" i="73"/>
  <c r="AB224" i="73"/>
  <c r="AI214" i="73"/>
  <c r="AA224" i="73"/>
  <c r="Y295" i="73"/>
  <c r="AA296" i="73"/>
  <c r="AG296" i="73"/>
  <c r="M294" i="73"/>
  <c r="AW355" i="73"/>
  <c r="AY357" i="73"/>
  <c r="BB359" i="73"/>
  <c r="AW356" i="73"/>
  <c r="BD296" i="73"/>
  <c r="BE296" i="73"/>
  <c r="BE298" i="73" s="1"/>
  <c r="Y356" i="73"/>
  <c r="V357" i="73"/>
  <c r="T357" i="73"/>
  <c r="AW294" i="73"/>
  <c r="AB357" i="73"/>
  <c r="O357" i="73"/>
  <c r="M355" i="73"/>
  <c r="O296" i="73"/>
  <c r="M295" i="73"/>
  <c r="U357" i="73"/>
  <c r="O214" i="73"/>
  <c r="P224" i="73"/>
  <c r="P214" i="73"/>
  <c r="O224" i="73"/>
  <c r="Q224" i="73"/>
  <c r="W214" i="73"/>
  <c r="W224" i="73"/>
  <c r="W12" i="73" s="1"/>
  <c r="M12" i="73" s="1"/>
  <c r="Q214" i="73"/>
  <c r="AY214" i="73"/>
  <c r="AZ224" i="73"/>
  <c r="AZ214" i="73"/>
  <c r="AY224" i="73"/>
  <c r="BG214" i="73"/>
  <c r="BA214" i="73"/>
  <c r="BA224" i="73"/>
  <c r="BG224" i="73"/>
  <c r="BG12" i="73" s="1"/>
  <c r="AW12" i="73" s="1"/>
  <c r="BA357" i="73"/>
  <c r="Y294" i="73"/>
  <c r="U296" i="73"/>
  <c r="AZ360" i="73"/>
  <c r="AZ359" i="73"/>
  <c r="BG357" i="73"/>
  <c r="AC359" i="73"/>
  <c r="AA357" i="73"/>
  <c r="Y355" i="73"/>
  <c r="S296" i="73"/>
  <c r="S298" i="73" s="1"/>
  <c r="V296" i="73"/>
  <c r="R296" i="73"/>
  <c r="R298" i="73" s="1"/>
  <c r="R360" i="73"/>
  <c r="R359" i="73"/>
  <c r="BE357" i="73"/>
  <c r="AY296" i="73"/>
  <c r="AW295" i="73"/>
  <c r="AD296" i="73"/>
  <c r="AF296" i="73"/>
  <c r="AD357" i="73"/>
  <c r="Q296" i="73"/>
  <c r="Q298" i="73" s="1"/>
  <c r="Q357" i="73"/>
  <c r="AR355" i="73"/>
  <c r="AM295" i="73"/>
  <c r="AU355" i="73"/>
  <c r="AM294" i="73"/>
  <c r="AN356" i="73"/>
  <c r="AQ294" i="73"/>
  <c r="AR295" i="73"/>
  <c r="AP356" i="73"/>
  <c r="AN295" i="73"/>
  <c r="AT294" i="73"/>
  <c r="AM355" i="73"/>
  <c r="AO295" i="73"/>
  <c r="AR294" i="73"/>
  <c r="AS294" i="73"/>
  <c r="AS295" i="73"/>
  <c r="AP295" i="73"/>
  <c r="AQ295" i="73"/>
  <c r="AT356" i="73"/>
  <c r="AN355" i="73"/>
  <c r="AS355" i="73"/>
  <c r="AO355" i="73"/>
  <c r="AT295" i="73"/>
  <c r="AO356" i="73"/>
  <c r="AO294" i="73"/>
  <c r="AT355" i="73"/>
  <c r="AP355" i="73"/>
  <c r="AU295" i="73"/>
  <c r="AN294" i="73"/>
  <c r="AK224" i="73"/>
  <c r="J224" i="73" s="1"/>
  <c r="AU294" i="73"/>
  <c r="AK188" i="73"/>
  <c r="AP294" i="73"/>
  <c r="AM356" i="73"/>
  <c r="AS356" i="73"/>
  <c r="AQ356" i="73"/>
  <c r="AQ355" i="73"/>
  <c r="AU356" i="73"/>
  <c r="AR356" i="73"/>
  <c r="BC357" i="73"/>
  <c r="BF357" i="73"/>
  <c r="BB296" i="73"/>
  <c r="BB298" i="73" s="1"/>
  <c r="V357" i="72"/>
  <c r="V360" i="72" s="1"/>
  <c r="AD360" i="72"/>
  <c r="R357" i="72"/>
  <c r="R360" i="72" s="1"/>
  <c r="Q296" i="72"/>
  <c r="Q298" i="72" s="1"/>
  <c r="AI299" i="72"/>
  <c r="AU357" i="72"/>
  <c r="AU359" i="72" s="1"/>
  <c r="AE299" i="72"/>
  <c r="AO296" i="72"/>
  <c r="AO298" i="72" s="1"/>
  <c r="AT296" i="72"/>
  <c r="AT298" i="72" s="1"/>
  <c r="P296" i="72"/>
  <c r="P298" i="72" s="1"/>
  <c r="T296" i="72"/>
  <c r="T298" i="72" s="1"/>
  <c r="AU296" i="72"/>
  <c r="AU298" i="72" s="1"/>
  <c r="AR296" i="72"/>
  <c r="AR298" i="72" s="1"/>
  <c r="AI359" i="72"/>
  <c r="Q357" i="72"/>
  <c r="AP296" i="72"/>
  <c r="AP298" i="72" s="1"/>
  <c r="AT357" i="72"/>
  <c r="AS296" i="72"/>
  <c r="W357" i="72"/>
  <c r="W360" i="72" s="1"/>
  <c r="BC295" i="72"/>
  <c r="BE294" i="72"/>
  <c r="BA294" i="72"/>
  <c r="AZ356" i="72"/>
  <c r="BG356" i="72"/>
  <c r="BA355" i="72"/>
  <c r="BD355" i="72"/>
  <c r="BE355" i="72"/>
  <c r="BA295" i="72"/>
  <c r="BF294" i="72"/>
  <c r="BD356" i="72"/>
  <c r="BB355" i="72"/>
  <c r="AY295" i="72"/>
  <c r="BA356" i="72"/>
  <c r="BE356" i="72"/>
  <c r="BF355" i="72"/>
  <c r="BG295" i="72"/>
  <c r="AY356" i="72"/>
  <c r="BD295" i="72"/>
  <c r="AZ295" i="72"/>
  <c r="AW224" i="72"/>
  <c r="J224" i="72" s="1"/>
  <c r="BC356" i="72"/>
  <c r="BF295" i="72"/>
  <c r="AY294" i="72"/>
  <c r="BB294" i="72"/>
  <c r="AW188" i="72"/>
  <c r="BC294" i="72"/>
  <c r="BF356" i="72"/>
  <c r="BG355" i="72"/>
  <c r="AZ355" i="72"/>
  <c r="AY355" i="72"/>
  <c r="AZ294" i="72"/>
  <c r="BE295" i="72"/>
  <c r="BC355" i="72"/>
  <c r="BB356" i="72"/>
  <c r="BB295" i="72"/>
  <c r="BG294" i="72"/>
  <c r="BD294" i="72"/>
  <c r="P357" i="72"/>
  <c r="AQ357" i="72"/>
  <c r="U357" i="72"/>
  <c r="U359" i="72" s="1"/>
  <c r="AO214" i="72"/>
  <c r="AN214" i="72"/>
  <c r="AU224" i="72"/>
  <c r="AU12" i="72" s="1"/>
  <c r="AK12" i="72" s="1"/>
  <c r="AN224" i="72"/>
  <c r="AU214" i="72"/>
  <c r="AO224" i="72"/>
  <c r="AM214" i="72"/>
  <c r="AM224" i="72"/>
  <c r="AK295" i="72"/>
  <c r="AM296" i="72"/>
  <c r="AS357" i="72"/>
  <c r="S296" i="72"/>
  <c r="S357" i="72"/>
  <c r="AN357" i="72"/>
  <c r="AP357" i="72"/>
  <c r="O296" i="72"/>
  <c r="M295" i="72"/>
  <c r="AK355" i="72"/>
  <c r="AM357" i="72"/>
  <c r="T357" i="72"/>
  <c r="M355" i="72"/>
  <c r="O357" i="72"/>
  <c r="AK356" i="72"/>
  <c r="AN296" i="72"/>
  <c r="AQ296" i="72"/>
  <c r="V296" i="72"/>
  <c r="M294" i="72"/>
  <c r="AR357" i="72"/>
  <c r="O224" i="72"/>
  <c r="W224" i="72"/>
  <c r="W12" i="72" s="1"/>
  <c r="M12" i="72" s="1"/>
  <c r="W214" i="72"/>
  <c r="P224" i="72"/>
  <c r="P214" i="72"/>
  <c r="O214" i="72"/>
  <c r="Q214" i="72"/>
  <c r="Q224" i="72"/>
  <c r="R296" i="72"/>
  <c r="AK294" i="72"/>
  <c r="AO357" i="72"/>
  <c r="M356" i="72"/>
  <c r="U296" i="72"/>
  <c r="W296" i="72"/>
  <c r="AF359" i="72"/>
  <c r="AC298" i="76"/>
  <c r="AC299" i="76"/>
  <c r="AA84" i="76"/>
  <c r="AY84" i="76"/>
  <c r="O84" i="76"/>
  <c r="AM84" i="76"/>
  <c r="BA84" i="76"/>
  <c r="Q84" i="76"/>
  <c r="AO84" i="76"/>
  <c r="AC84" i="76"/>
  <c r="AB245" i="76"/>
  <c r="AB246" i="76" s="1"/>
  <c r="AB264" i="76" s="1"/>
  <c r="AB11" i="76"/>
  <c r="AH360" i="76"/>
  <c r="AH359" i="76"/>
  <c r="AC11" i="76"/>
  <c r="AC245" i="76"/>
  <c r="AC246" i="76" s="1"/>
  <c r="AB106" i="76"/>
  <c r="P106" i="76"/>
  <c r="AZ106" i="76"/>
  <c r="AN106" i="76"/>
  <c r="AZ142" i="76"/>
  <c r="AN142" i="76"/>
  <c r="AB142" i="76"/>
  <c r="P142" i="76"/>
  <c r="AG298" i="76"/>
  <c r="AG299" i="76"/>
  <c r="Y357" i="76"/>
  <c r="AY141" i="76"/>
  <c r="AA141" i="76"/>
  <c r="AM141" i="76"/>
  <c r="O141" i="76"/>
  <c r="AM106" i="76"/>
  <c r="AC106" i="76"/>
  <c r="Q142" i="76"/>
  <c r="AO106" i="76"/>
  <c r="O106" i="76"/>
  <c r="BA106" i="76"/>
  <c r="Q106" i="76"/>
  <c r="AY106" i="76"/>
  <c r="AA106" i="76"/>
  <c r="AO142" i="76"/>
  <c r="AC142" i="76"/>
  <c r="BA142" i="76"/>
  <c r="AF360" i="76"/>
  <c r="AF359" i="76"/>
  <c r="AI245" i="76"/>
  <c r="AI246" i="76" s="1"/>
  <c r="AI11" i="76"/>
  <c r="AA360" i="76"/>
  <c r="AA359" i="76"/>
  <c r="AC360" i="76"/>
  <c r="AC359" i="76"/>
  <c r="AE298" i="76"/>
  <c r="AE299" i="76"/>
  <c r="AA298" i="76"/>
  <c r="AA299" i="76"/>
  <c r="AI360" i="76"/>
  <c r="AI359" i="76"/>
  <c r="Y296" i="76"/>
  <c r="Y298" i="76" s="1"/>
  <c r="AH298" i="76"/>
  <c r="AH299" i="76"/>
  <c r="AA11" i="76"/>
  <c r="AA245" i="76"/>
  <c r="AO360" i="75"/>
  <c r="AO359" i="75"/>
  <c r="AT359" i="75"/>
  <c r="AT360" i="75"/>
  <c r="AS298" i="75"/>
  <c r="AS299" i="75"/>
  <c r="AP298" i="75"/>
  <c r="AP299" i="75"/>
  <c r="AY84" i="75"/>
  <c r="O84" i="75"/>
  <c r="AM84" i="75"/>
  <c r="AA84" i="75"/>
  <c r="Q84" i="75"/>
  <c r="AO84" i="75"/>
  <c r="AC84" i="75"/>
  <c r="BA84" i="75"/>
  <c r="AU298" i="75"/>
  <c r="AU299" i="75"/>
  <c r="AM11" i="75"/>
  <c r="AM245" i="75"/>
  <c r="AM360" i="75"/>
  <c r="AN106" i="75"/>
  <c r="P106" i="75"/>
  <c r="AB106" i="75"/>
  <c r="AZ106" i="75"/>
  <c r="AB142" i="75"/>
  <c r="AZ142" i="75"/>
  <c r="P142" i="75"/>
  <c r="AN142" i="75"/>
  <c r="AN245" i="75"/>
  <c r="AN246" i="75" s="1"/>
  <c r="AN264" i="75" s="1"/>
  <c r="AN11" i="75"/>
  <c r="O141" i="75"/>
  <c r="AA141" i="75"/>
  <c r="AM141" i="75"/>
  <c r="AY141" i="75"/>
  <c r="AO106" i="75"/>
  <c r="O106" i="75"/>
  <c r="AM106" i="75"/>
  <c r="AY106" i="75"/>
  <c r="AC142" i="75"/>
  <c r="Q142" i="75"/>
  <c r="AC106" i="75"/>
  <c r="Q106" i="75"/>
  <c r="AA106" i="75"/>
  <c r="BA106" i="75"/>
  <c r="AO142" i="75"/>
  <c r="BA142" i="75"/>
  <c r="AQ298" i="75"/>
  <c r="AQ299" i="75"/>
  <c r="AO11" i="75"/>
  <c r="AO245" i="75"/>
  <c r="AO246" i="75" s="1"/>
  <c r="AR298" i="75"/>
  <c r="AR299" i="75"/>
  <c r="AU11" i="75"/>
  <c r="AU245" i="75"/>
  <c r="AU246" i="75" s="1"/>
  <c r="AM84" i="74"/>
  <c r="AA84" i="74"/>
  <c r="AY84" i="74"/>
  <c r="O84" i="74"/>
  <c r="AC84" i="74"/>
  <c r="BA84" i="74"/>
  <c r="Q84" i="74"/>
  <c r="AO84" i="74"/>
  <c r="AZ106" i="74"/>
  <c r="P106" i="74"/>
  <c r="AB106" i="74"/>
  <c r="AN106" i="74"/>
  <c r="AN142" i="74"/>
  <c r="AB142" i="74"/>
  <c r="AZ142" i="74"/>
  <c r="P142" i="74"/>
  <c r="O141" i="74"/>
  <c r="AY141" i="74"/>
  <c r="AA141" i="74"/>
  <c r="AM141" i="74"/>
  <c r="Q106" i="74"/>
  <c r="AY106" i="74"/>
  <c r="BA106" i="74"/>
  <c r="AA106" i="74"/>
  <c r="O106" i="74"/>
  <c r="AM106" i="74"/>
  <c r="AO106" i="74"/>
  <c r="AC106" i="74"/>
  <c r="AO142" i="74"/>
  <c r="Q142" i="74"/>
  <c r="AC142" i="74"/>
  <c r="BA142" i="74"/>
  <c r="AC84" i="73"/>
  <c r="BA84" i="73"/>
  <c r="Q84" i="73"/>
  <c r="AO84" i="73"/>
  <c r="P106" i="73"/>
  <c r="AZ106" i="73"/>
  <c r="AN106" i="73"/>
  <c r="AB106" i="73"/>
  <c r="P142" i="73"/>
  <c r="AZ142" i="73"/>
  <c r="AN142" i="73"/>
  <c r="AB142" i="73"/>
  <c r="AM141" i="73"/>
  <c r="AY141" i="73"/>
  <c r="O141" i="73"/>
  <c r="AA141" i="73"/>
  <c r="AY106" i="73"/>
  <c r="AO106" i="73"/>
  <c r="O106" i="73"/>
  <c r="BA106" i="73"/>
  <c r="AA106" i="73"/>
  <c r="Q106" i="73"/>
  <c r="AM106" i="73"/>
  <c r="AC106" i="73"/>
  <c r="AC142" i="73"/>
  <c r="AO142" i="73"/>
  <c r="Q142" i="73"/>
  <c r="BA142" i="73"/>
  <c r="AA84" i="73"/>
  <c r="AY84" i="73"/>
  <c r="O84" i="73"/>
  <c r="AM84" i="73"/>
  <c r="Y296" i="72"/>
  <c r="Y298" i="72" s="1"/>
  <c r="AM84" i="55"/>
  <c r="AM263" i="55" s="1"/>
  <c r="AH299" i="72"/>
  <c r="AF298" i="72"/>
  <c r="AF299" i="72"/>
  <c r="AA84" i="72"/>
  <c r="AY84" i="72"/>
  <c r="O84" i="72"/>
  <c r="AM84" i="72"/>
  <c r="L162" i="24"/>
  <c r="AO84" i="72"/>
  <c r="AC84" i="72"/>
  <c r="BA84" i="72"/>
  <c r="Q84" i="72"/>
  <c r="AB360" i="72"/>
  <c r="AB359" i="72"/>
  <c r="Y357" i="72"/>
  <c r="AI11" i="72"/>
  <c r="AI245" i="72"/>
  <c r="AI246" i="72" s="1"/>
  <c r="AN106" i="72"/>
  <c r="P106" i="72"/>
  <c r="AB106" i="72"/>
  <c r="AZ106" i="72"/>
  <c r="AZ142" i="72"/>
  <c r="P142" i="72"/>
  <c r="AB142" i="72"/>
  <c r="AN142" i="72"/>
  <c r="AB11" i="72"/>
  <c r="AB245" i="72"/>
  <c r="AB246" i="72" s="1"/>
  <c r="AB264" i="72" s="1"/>
  <c r="AA298" i="72"/>
  <c r="AA299" i="72"/>
  <c r="AB298" i="72"/>
  <c r="AB299" i="72"/>
  <c r="AA360" i="72"/>
  <c r="AA359" i="72"/>
  <c r="AM141" i="72"/>
  <c r="AY141" i="72"/>
  <c r="O141" i="72"/>
  <c r="AA141" i="72"/>
  <c r="AM106" i="72"/>
  <c r="AY106" i="72"/>
  <c r="AO106" i="72"/>
  <c r="BA106" i="72"/>
  <c r="Q106" i="72"/>
  <c r="AA106" i="72"/>
  <c r="AC106" i="72"/>
  <c r="O106" i="72"/>
  <c r="AO142" i="72"/>
  <c r="AC142" i="72"/>
  <c r="Q142" i="72"/>
  <c r="BA142" i="72"/>
  <c r="AG298" i="72"/>
  <c r="AG299" i="72"/>
  <c r="AC11" i="72"/>
  <c r="AC245" i="72"/>
  <c r="AC246" i="72" s="1"/>
  <c r="AD298" i="72"/>
  <c r="AD299" i="72"/>
  <c r="AE360" i="72"/>
  <c r="AE359" i="72"/>
  <c r="AC360" i="72"/>
  <c r="AC359" i="72"/>
  <c r="AG360" i="72"/>
  <c r="AG359" i="72"/>
  <c r="AA11" i="72"/>
  <c r="AA245" i="72"/>
  <c r="AH360" i="72"/>
  <c r="AH359" i="72"/>
  <c r="L97" i="24"/>
  <c r="AK223" i="55"/>
  <c r="AS81" i="24"/>
  <c r="AT81" i="24" s="1"/>
  <c r="AU81" i="24" s="1"/>
  <c r="AV81" i="24" s="1"/>
  <c r="AW81" i="24" s="1"/>
  <c r="AX81" i="24" s="1"/>
  <c r="AY81" i="24" s="1"/>
  <c r="AZ81" i="24" s="1"/>
  <c r="BA81" i="24" s="1"/>
  <c r="BB81" i="24" s="1"/>
  <c r="BC81" i="24" s="1"/>
  <c r="BD81" i="24" s="1"/>
  <c r="Q84" i="55"/>
  <c r="Q263" i="55" s="1"/>
  <c r="Q58" i="43"/>
  <c r="Q60" i="43" s="1"/>
  <c r="AR32" i="76" s="1"/>
  <c r="BA84" i="55"/>
  <c r="BA263" i="55" s="1"/>
  <c r="AW263" i="55" s="1"/>
  <c r="R26" i="43"/>
  <c r="R28" i="43" s="1"/>
  <c r="U32" i="76" s="1"/>
  <c r="R58" i="43"/>
  <c r="R60" i="43" s="1"/>
  <c r="AS32" i="76" s="1"/>
  <c r="R74" i="43"/>
  <c r="R76" i="43" s="1"/>
  <c r="BE32" i="76" s="1"/>
  <c r="Q42" i="43"/>
  <c r="Q44" i="43" s="1"/>
  <c r="AF32" i="76" s="1"/>
  <c r="P58" i="43"/>
  <c r="P60" i="43" s="1"/>
  <c r="AQ32" i="76" s="1"/>
  <c r="R42" i="43"/>
  <c r="R44" i="43" s="1"/>
  <c r="AG32" i="76" s="1"/>
  <c r="P26" i="43"/>
  <c r="P28" i="43" s="1"/>
  <c r="S32" i="76" s="1"/>
  <c r="O58" i="43"/>
  <c r="O60" i="43" s="1"/>
  <c r="AP32" i="76" s="1"/>
  <c r="T153" i="24"/>
  <c r="L42" i="43"/>
  <c r="L44" i="43" s="1"/>
  <c r="AA32" i="76" s="1"/>
  <c r="O291" i="55"/>
  <c r="AB291" i="55"/>
  <c r="U291" i="55"/>
  <c r="V291" i="55"/>
  <c r="AG291" i="55"/>
  <c r="W291" i="55"/>
  <c r="Q291" i="55"/>
  <c r="AU291" i="55"/>
  <c r="P291" i="55"/>
  <c r="AI291" i="55"/>
  <c r="BE291" i="55"/>
  <c r="R291" i="55"/>
  <c r="AN291" i="55"/>
  <c r="AY291" i="55"/>
  <c r="BG291" i="55"/>
  <c r="AF291" i="55"/>
  <c r="AH291" i="55"/>
  <c r="AA291" i="55"/>
  <c r="AD291" i="55"/>
  <c r="T291" i="55"/>
  <c r="BC53" i="55"/>
  <c r="BC291" i="55"/>
  <c r="AT38" i="55"/>
  <c r="AT54" i="55" s="1"/>
  <c r="AT291" i="55"/>
  <c r="AR53" i="55"/>
  <c r="AR291" i="55"/>
  <c r="BD20" i="55"/>
  <c r="BD291" i="55"/>
  <c r="AM19" i="55"/>
  <c r="AM61" i="55" s="1"/>
  <c r="AM291" i="55"/>
  <c r="BF19" i="55"/>
  <c r="BF25" i="55" s="1"/>
  <c r="BF291" i="55"/>
  <c r="AS291" i="55"/>
  <c r="AC291" i="55"/>
  <c r="S291" i="55"/>
  <c r="AO51" i="55"/>
  <c r="AO291" i="55"/>
  <c r="AZ37" i="55"/>
  <c r="AZ291" i="55"/>
  <c r="AE291" i="55"/>
  <c r="AP37" i="55"/>
  <c r="AP291" i="55"/>
  <c r="BA60" i="55"/>
  <c r="BA291" i="55"/>
  <c r="AQ70" i="55"/>
  <c r="AQ291" i="55"/>
  <c r="S42" i="43"/>
  <c r="S44" i="43" s="1"/>
  <c r="AH32" i="76" s="1"/>
  <c r="T42" i="43"/>
  <c r="T44" i="43" s="1"/>
  <c r="AI32" i="76" s="1"/>
  <c r="M42" i="43"/>
  <c r="M44" i="43" s="1"/>
  <c r="AB32" i="76" s="1"/>
  <c r="S74" i="43"/>
  <c r="S76" i="43" s="1"/>
  <c r="BF32" i="76" s="1"/>
  <c r="M213" i="55"/>
  <c r="AC84" i="55"/>
  <c r="AC263" i="55" s="1"/>
  <c r="Y213" i="55"/>
  <c r="AO84" i="55"/>
  <c r="AO263" i="55" s="1"/>
  <c r="P74" i="43"/>
  <c r="P76" i="43" s="1"/>
  <c r="BC32" i="76" s="1"/>
  <c r="N42" i="43"/>
  <c r="N44" i="43" s="1"/>
  <c r="AC32" i="76" s="1"/>
  <c r="T26" i="43"/>
  <c r="T28" i="43" s="1"/>
  <c r="W32" i="76" s="1"/>
  <c r="O42" i="43"/>
  <c r="O44" i="43" s="1"/>
  <c r="AD32" i="76" s="1"/>
  <c r="S26" i="43"/>
  <c r="S28" i="43" s="1"/>
  <c r="V32" i="76" s="1"/>
  <c r="S58" i="43"/>
  <c r="S60" i="43" s="1"/>
  <c r="AT32" i="76" s="1"/>
  <c r="N26" i="43"/>
  <c r="N28" i="43" s="1"/>
  <c r="Q32" i="76" s="1"/>
  <c r="T58" i="43"/>
  <c r="T60" i="43" s="1"/>
  <c r="AU32" i="76" s="1"/>
  <c r="O74" i="43"/>
  <c r="O76" i="43" s="1"/>
  <c r="BB32" i="76" s="1"/>
  <c r="T74" i="43"/>
  <c r="T76" i="43" s="1"/>
  <c r="BG32" i="76" s="1"/>
  <c r="O26" i="43"/>
  <c r="O28" i="43" s="1"/>
  <c r="R32" i="76" s="1"/>
  <c r="N58" i="43"/>
  <c r="N60" i="43" s="1"/>
  <c r="AO32" i="76" s="1"/>
  <c r="EU18" i="24"/>
  <c r="EV18" i="24" s="1"/>
  <c r="EW18" i="24" s="1"/>
  <c r="EX18" i="24" s="1"/>
  <c r="EY18" i="24" s="1"/>
  <c r="Q74" i="43"/>
  <c r="Q76" i="43" s="1"/>
  <c r="BD32" i="76" s="1"/>
  <c r="P42" i="43"/>
  <c r="P44" i="43" s="1"/>
  <c r="AE32" i="76" s="1"/>
  <c r="Q26" i="43"/>
  <c r="Q28" i="43" s="1"/>
  <c r="T32" i="76" s="1"/>
  <c r="AW223" i="55"/>
  <c r="L74" i="43"/>
  <c r="L76" i="43" s="1"/>
  <c r="AY32" i="76" s="1"/>
  <c r="M74" i="43"/>
  <c r="M76" i="43" s="1"/>
  <c r="AZ32" i="76" s="1"/>
  <c r="L58" i="43"/>
  <c r="L60" i="43" s="1"/>
  <c r="AM32" i="76" s="1"/>
  <c r="M26" i="43"/>
  <c r="M28" i="43" s="1"/>
  <c r="P32" i="76" s="1"/>
  <c r="M58" i="43"/>
  <c r="M60" i="43" s="1"/>
  <c r="AN32" i="76" s="1"/>
  <c r="N74" i="43"/>
  <c r="N76" i="43" s="1"/>
  <c r="BA32" i="76" s="1"/>
  <c r="AB19" i="55"/>
  <c r="AB67" i="55" s="1"/>
  <c r="R72" i="55"/>
  <c r="AA33" i="55"/>
  <c r="Q21" i="55"/>
  <c r="AI38" i="55"/>
  <c r="AI54" i="55" s="1"/>
  <c r="T60" i="55"/>
  <c r="V53" i="55"/>
  <c r="P33" i="55"/>
  <c r="O70" i="55"/>
  <c r="W38" i="55"/>
  <c r="AH38" i="55"/>
  <c r="AH54" i="55" s="1"/>
  <c r="I375" i="24"/>
  <c r="M22" i="55"/>
  <c r="O27" i="55" s="1"/>
  <c r="AP193" i="55"/>
  <c r="AP199" i="55"/>
  <c r="AD193" i="55"/>
  <c r="AD199" i="55"/>
  <c r="AN193" i="55"/>
  <c r="AN199" i="55"/>
  <c r="BF193" i="55"/>
  <c r="BF199" i="55"/>
  <c r="AY193" i="55"/>
  <c r="AY199" i="55"/>
  <c r="AZ193" i="55"/>
  <c r="AZ199" i="55"/>
  <c r="AG193" i="55"/>
  <c r="AG199" i="55"/>
  <c r="AQ193" i="55"/>
  <c r="AQ199" i="55"/>
  <c r="BA193" i="55"/>
  <c r="BA199" i="55"/>
  <c r="AH193" i="55"/>
  <c r="AH199" i="55"/>
  <c r="BB193" i="55"/>
  <c r="BB199" i="55"/>
  <c r="AA193" i="55"/>
  <c r="AA199" i="55"/>
  <c r="AI193" i="55"/>
  <c r="AI199" i="55"/>
  <c r="AS193" i="55"/>
  <c r="AS199" i="55"/>
  <c r="BC193" i="55"/>
  <c r="BC199" i="55"/>
  <c r="AT193" i="55"/>
  <c r="AT199" i="55"/>
  <c r="AE193" i="55"/>
  <c r="AE199" i="55"/>
  <c r="AO193" i="55"/>
  <c r="AO199" i="55"/>
  <c r="BG193" i="55"/>
  <c r="BG199" i="55"/>
  <c r="AB193" i="55"/>
  <c r="AB199" i="55"/>
  <c r="AC193" i="55"/>
  <c r="AC199" i="55"/>
  <c r="AM193" i="55"/>
  <c r="AM199" i="55"/>
  <c r="AU193" i="55"/>
  <c r="AU199" i="55"/>
  <c r="BE193" i="55"/>
  <c r="BE199" i="55"/>
  <c r="AQ20" i="55"/>
  <c r="M223" i="55"/>
  <c r="Y223" i="55"/>
  <c r="AC97" i="24"/>
  <c r="L106" i="24"/>
  <c r="AA84" i="55"/>
  <c r="AA263" i="55" s="1"/>
  <c r="AB140" i="55"/>
  <c r="AB141" i="55" s="1"/>
  <c r="AB142" i="55" s="1"/>
  <c r="AH45" i="24"/>
  <c r="AI45" i="24" s="1"/>
  <c r="AI48" i="24" s="1"/>
  <c r="AH50" i="24" s="1"/>
  <c r="AG51" i="24" s="1"/>
  <c r="AE52" i="24" s="1"/>
  <c r="V153" i="24"/>
  <c r="J24" i="43"/>
  <c r="J56" i="43"/>
  <c r="J71" i="43"/>
  <c r="AE97" i="24"/>
  <c r="AD106" i="24"/>
  <c r="Q162" i="24"/>
  <c r="AA15" i="61"/>
  <c r="R106" i="24"/>
  <c r="X153" i="24"/>
  <c r="AB18" i="61"/>
  <c r="E14" i="61"/>
  <c r="J38" i="43"/>
  <c r="W97" i="24"/>
  <c r="S106" i="24"/>
  <c r="L153" i="24"/>
  <c r="Z153" i="24"/>
  <c r="S162" i="24"/>
  <c r="L39" i="43"/>
  <c r="J39" i="43" s="1"/>
  <c r="AU29" i="55"/>
  <c r="AU313" i="55" s="1"/>
  <c r="O84" i="55"/>
  <c r="O263" i="55" s="1"/>
  <c r="Y97" i="24"/>
  <c r="N153" i="24"/>
  <c r="AB153" i="24"/>
  <c r="AN140" i="55"/>
  <c r="AN242" i="55" s="1"/>
  <c r="AN243" i="55" s="1"/>
  <c r="Z97" i="24"/>
  <c r="P153" i="24"/>
  <c r="AD153" i="24"/>
  <c r="Y162" i="24"/>
  <c r="J70" i="43"/>
  <c r="AB106" i="24"/>
  <c r="AA162" i="24"/>
  <c r="AC18" i="61"/>
  <c r="Q18" i="61"/>
  <c r="Q15" i="61"/>
  <c r="Q17" i="61"/>
  <c r="Q13" i="61"/>
  <c r="Q16" i="61"/>
  <c r="Q14" i="61"/>
  <c r="AP16" i="61"/>
  <c r="AP14" i="61"/>
  <c r="AP15" i="61"/>
  <c r="AP18" i="61"/>
  <c r="AP17" i="61"/>
  <c r="AP13" i="61"/>
  <c r="AT18" i="61"/>
  <c r="AT17" i="61"/>
  <c r="AT13" i="61"/>
  <c r="AT16" i="61"/>
  <c r="AT14" i="61"/>
  <c r="AT15" i="61"/>
  <c r="R17" i="61"/>
  <c r="R13" i="61"/>
  <c r="R16" i="61"/>
  <c r="R14" i="61"/>
  <c r="R18" i="61"/>
  <c r="R15" i="61"/>
  <c r="W14" i="61"/>
  <c r="W18" i="61"/>
  <c r="W15" i="61"/>
  <c r="W17" i="61"/>
  <c r="W13" i="61"/>
  <c r="W16" i="61"/>
  <c r="AL18" i="61"/>
  <c r="AL17" i="61"/>
  <c r="AL13" i="61"/>
  <c r="AL16" i="61"/>
  <c r="AL14" i="61"/>
  <c r="AL15" i="61"/>
  <c r="AQ16" i="61"/>
  <c r="AQ14" i="61"/>
  <c r="AQ15" i="61"/>
  <c r="AQ18" i="61"/>
  <c r="AQ17" i="61"/>
  <c r="AQ13" i="61"/>
  <c r="U16" i="61"/>
  <c r="U14" i="61"/>
  <c r="U18" i="61"/>
  <c r="U15" i="61"/>
  <c r="U17" i="61"/>
  <c r="U13" i="61"/>
  <c r="V14" i="61"/>
  <c r="V18" i="61"/>
  <c r="V15" i="61"/>
  <c r="V17" i="61"/>
  <c r="V13" i="61"/>
  <c r="V16" i="61"/>
  <c r="J23" i="43"/>
  <c r="J55" i="43"/>
  <c r="S17" i="61"/>
  <c r="S13" i="61"/>
  <c r="S16" i="61"/>
  <c r="S14" i="61"/>
  <c r="S18" i="61"/>
  <c r="S15" i="61"/>
  <c r="AR15" i="61"/>
  <c r="AR18" i="61"/>
  <c r="AR17" i="61"/>
  <c r="AR13" i="61"/>
  <c r="AR16" i="61"/>
  <c r="AR14" i="61"/>
  <c r="P18" i="61"/>
  <c r="P15" i="61"/>
  <c r="P17" i="61"/>
  <c r="P13" i="61"/>
  <c r="P16" i="61"/>
  <c r="P14" i="61"/>
  <c r="AO17" i="61"/>
  <c r="AO13" i="61"/>
  <c r="AO16" i="61"/>
  <c r="AO14" i="61"/>
  <c r="AO15" i="61"/>
  <c r="AO18" i="61"/>
  <c r="T16" i="61"/>
  <c r="T14" i="61"/>
  <c r="T18" i="61"/>
  <c r="T15" i="61"/>
  <c r="T17" i="61"/>
  <c r="T13" i="61"/>
  <c r="AM18" i="61"/>
  <c r="AM17" i="61"/>
  <c r="AM13" i="61"/>
  <c r="AM16" i="61"/>
  <c r="AM14" i="61"/>
  <c r="AM15" i="61"/>
  <c r="O14" i="61"/>
  <c r="O18" i="61"/>
  <c r="O15" i="61"/>
  <c r="O17" i="61"/>
  <c r="O13" i="61"/>
  <c r="O16" i="61"/>
  <c r="AN17" i="61"/>
  <c r="AN13" i="61"/>
  <c r="AN16" i="61"/>
  <c r="AN14" i="61"/>
  <c r="AN15" i="61"/>
  <c r="AN18" i="61"/>
  <c r="AS15" i="61"/>
  <c r="AS18" i="61"/>
  <c r="AS17" i="61"/>
  <c r="AS13" i="61"/>
  <c r="AS16" i="61"/>
  <c r="AS14" i="61"/>
  <c r="I13" i="61"/>
  <c r="AE13" i="61"/>
  <c r="F14" i="61"/>
  <c r="AH14" i="61"/>
  <c r="H15" i="61"/>
  <c r="AB15" i="61"/>
  <c r="K16" i="61"/>
  <c r="AG16" i="61"/>
  <c r="I17" i="61"/>
  <c r="AE17" i="61"/>
  <c r="G18" i="61"/>
  <c r="J22" i="43"/>
  <c r="J40" i="43"/>
  <c r="J54" i="43"/>
  <c r="J72" i="43"/>
  <c r="BE29" i="55"/>
  <c r="BE30" i="55" s="1"/>
  <c r="K106" i="24"/>
  <c r="AA106" i="24"/>
  <c r="K153" i="24"/>
  <c r="J13" i="61"/>
  <c r="AF13" i="61"/>
  <c r="G14" i="61"/>
  <c r="AA14" i="61"/>
  <c r="I15" i="61"/>
  <c r="AC15" i="61"/>
  <c r="D16" i="61"/>
  <c r="AH16" i="61"/>
  <c r="J17" i="61"/>
  <c r="AF17" i="61"/>
  <c r="H18" i="61"/>
  <c r="AD18" i="61"/>
  <c r="O97" i="24"/>
  <c r="K13" i="61"/>
  <c r="AG13" i="61"/>
  <c r="H14" i="61"/>
  <c r="AB14" i="61"/>
  <c r="J15" i="61"/>
  <c r="AD15" i="61"/>
  <c r="E16" i="61"/>
  <c r="AA16" i="61"/>
  <c r="K17" i="61"/>
  <c r="AG17" i="61"/>
  <c r="I18" i="61"/>
  <c r="AE18" i="61"/>
  <c r="AC29" i="55"/>
  <c r="AC30" i="55" s="1"/>
  <c r="AG44" i="24"/>
  <c r="X97" i="24"/>
  <c r="M153" i="24"/>
  <c r="AC153" i="24"/>
  <c r="D13" i="61"/>
  <c r="AH13" i="61"/>
  <c r="I14" i="61"/>
  <c r="AC14" i="61"/>
  <c r="K15" i="61"/>
  <c r="AE15" i="61"/>
  <c r="F16" i="61"/>
  <c r="AB16" i="61"/>
  <c r="D17" i="61"/>
  <c r="AH17" i="61"/>
  <c r="J18" i="61"/>
  <c r="AF18" i="61"/>
  <c r="L12" i="43"/>
  <c r="S29" i="55"/>
  <c r="S313" i="55" s="1"/>
  <c r="E13" i="61"/>
  <c r="AA13" i="61"/>
  <c r="J14" i="61"/>
  <c r="AD14" i="61"/>
  <c r="D15" i="61"/>
  <c r="AF15" i="61"/>
  <c r="G16" i="61"/>
  <c r="AC16" i="61"/>
  <c r="E17" i="61"/>
  <c r="AA17" i="61"/>
  <c r="K18" i="61"/>
  <c r="AG18" i="61"/>
  <c r="O153" i="24"/>
  <c r="W153" i="24"/>
  <c r="F13" i="61"/>
  <c r="AB13" i="61"/>
  <c r="K14" i="61"/>
  <c r="AE14" i="61"/>
  <c r="E15" i="61"/>
  <c r="AG15" i="61"/>
  <c r="H16" i="61"/>
  <c r="AD16" i="61"/>
  <c r="F17" i="61"/>
  <c r="AB17" i="61"/>
  <c r="D18" i="61"/>
  <c r="AH18" i="61"/>
  <c r="G13" i="61"/>
  <c r="AC13" i="61"/>
  <c r="D14" i="61"/>
  <c r="AF14" i="61"/>
  <c r="F15" i="61"/>
  <c r="AH15" i="61"/>
  <c r="I16" i="61"/>
  <c r="AE16" i="61"/>
  <c r="G17" i="61"/>
  <c r="AC17" i="61"/>
  <c r="E18" i="61"/>
  <c r="AA18" i="61"/>
  <c r="H13" i="61"/>
  <c r="AD13" i="61"/>
  <c r="AG14" i="61"/>
  <c r="G15" i="61"/>
  <c r="J16" i="61"/>
  <c r="AF16" i="61"/>
  <c r="H17" i="61"/>
  <c r="AD17" i="61"/>
  <c r="F18" i="61"/>
  <c r="U20" i="55"/>
  <c r="Q106" i="55"/>
  <c r="T29" i="55"/>
  <c r="T313" i="55" s="1"/>
  <c r="AP51" i="55"/>
  <c r="BA51" i="55"/>
  <c r="AO204" i="55"/>
  <c r="BG204" i="55"/>
  <c r="AG204" i="55"/>
  <c r="AQ204" i="55"/>
  <c r="BA204" i="55"/>
  <c r="AR20" i="55"/>
  <c r="T37" i="55"/>
  <c r="W53" i="55"/>
  <c r="AD60" i="55"/>
  <c r="AF70" i="55"/>
  <c r="AZ140" i="55"/>
  <c r="AZ242" i="55" s="1"/>
  <c r="AZ243" i="55" s="1"/>
  <c r="AZ106" i="55"/>
  <c r="AD204" i="55"/>
  <c r="AH204" i="55"/>
  <c r="BB204" i="55"/>
  <c r="AS20" i="55"/>
  <c r="AT33" i="55"/>
  <c r="BA37" i="55"/>
  <c r="AH53" i="55"/>
  <c r="AN204" i="55"/>
  <c r="BF204" i="55"/>
  <c r="AP204" i="55"/>
  <c r="BC20" i="55"/>
  <c r="P38" i="55"/>
  <c r="P54" i="55" s="1"/>
  <c r="AZ204" i="55"/>
  <c r="AA106" i="55"/>
  <c r="AA204" i="55"/>
  <c r="AS204" i="55"/>
  <c r="AE204" i="55"/>
  <c r="AY204" i="55"/>
  <c r="W20" i="55"/>
  <c r="AI204" i="55"/>
  <c r="BC204" i="55"/>
  <c r="AB204" i="55"/>
  <c r="AT204" i="55"/>
  <c r="AC204" i="55"/>
  <c r="AM204" i="55"/>
  <c r="AU204" i="55"/>
  <c r="BE204" i="55"/>
  <c r="BE38" i="55"/>
  <c r="BE54" i="55" s="1"/>
  <c r="V20" i="55"/>
  <c r="BB20" i="55"/>
  <c r="BE33" i="55"/>
  <c r="S37" i="55"/>
  <c r="O38" i="55"/>
  <c r="I32" i="23" s="1"/>
  <c r="BD38" i="55"/>
  <c r="BD54" i="55" s="1"/>
  <c r="AZ51" i="55"/>
  <c r="AG53" i="55"/>
  <c r="AE60" i="55"/>
  <c r="AO106" i="55"/>
  <c r="AD29" i="55"/>
  <c r="AD30" i="55" s="1"/>
  <c r="AF20" i="55"/>
  <c r="AD37" i="55"/>
  <c r="S51" i="55"/>
  <c r="AK59" i="55"/>
  <c r="AP60" i="55"/>
  <c r="BA106" i="55"/>
  <c r="AG20" i="55"/>
  <c r="AE37" i="55"/>
  <c r="AA38" i="55"/>
  <c r="I33" i="23" s="1"/>
  <c r="T51" i="55"/>
  <c r="AS53" i="55"/>
  <c r="AZ60" i="55"/>
  <c r="AH20" i="55"/>
  <c r="AO37" i="55"/>
  <c r="AD51" i="55"/>
  <c r="AO60" i="55"/>
  <c r="AE51" i="55"/>
  <c r="O53" i="55"/>
  <c r="BD53" i="55"/>
  <c r="S60" i="55"/>
  <c r="O106" i="55"/>
  <c r="O20" i="55"/>
  <c r="AI33" i="55"/>
  <c r="AS38" i="55"/>
  <c r="P140" i="55"/>
  <c r="P242" i="55" s="1"/>
  <c r="P243" i="55" s="1"/>
  <c r="AW22" i="55"/>
  <c r="Q28" i="55"/>
  <c r="AM29" i="55"/>
  <c r="AM30" i="55" s="1"/>
  <c r="Q19" i="55"/>
  <c r="Q67" i="55" s="1"/>
  <c r="AU78" i="55"/>
  <c r="AU186" i="55" s="1"/>
  <c r="AK73" i="55"/>
  <c r="AT78" i="55"/>
  <c r="AT169" i="55" s="1"/>
  <c r="AK71" i="55"/>
  <c r="I40" i="23" s="1"/>
  <c r="AK22" i="55"/>
  <c r="BF354" i="55"/>
  <c r="BF344" i="55"/>
  <c r="BF358" i="55"/>
  <c r="BF338" i="55"/>
  <c r="BF323" i="55"/>
  <c r="BF321" i="55"/>
  <c r="BF327" i="55"/>
  <c r="BF335" i="55"/>
  <c r="BF332" i="55"/>
  <c r="BF297" i="55"/>
  <c r="BF314" i="55"/>
  <c r="BF316" i="55"/>
  <c r="BF364" i="55"/>
  <c r="BF303" i="55"/>
  <c r="BF312" i="55"/>
  <c r="BF305" i="55"/>
  <c r="BF274" i="55"/>
  <c r="BF293" i="55"/>
  <c r="BF281" i="55"/>
  <c r="BF268" i="55"/>
  <c r="BF72" i="55"/>
  <c r="BF70" i="55"/>
  <c r="BF38" i="55"/>
  <c r="BF52" i="55"/>
  <c r="BF60" i="55"/>
  <c r="BF51" i="55"/>
  <c r="BF37" i="55"/>
  <c r="BF33" i="55"/>
  <c r="BF29" i="55"/>
  <c r="BF317" i="55" s="1"/>
  <c r="BF20" i="55"/>
  <c r="BF53" i="55"/>
  <c r="Y261" i="55"/>
  <c r="Y273" i="55"/>
  <c r="Y267" i="55"/>
  <c r="Y249" i="55"/>
  <c r="Y184" i="55"/>
  <c r="Y227" i="55"/>
  <c r="Y238" i="55"/>
  <c r="Y164" i="55"/>
  <c r="Y102" i="55"/>
  <c r="Y76" i="55"/>
  <c r="Y138" i="55"/>
  <c r="Y59" i="55"/>
  <c r="Y36" i="55"/>
  <c r="AH239" i="55"/>
  <c r="AH172" i="55"/>
  <c r="AH185" i="55"/>
  <c r="AH175" i="55"/>
  <c r="AH232" i="55"/>
  <c r="AH189" i="55"/>
  <c r="AH179" i="55"/>
  <c r="AH228" i="55"/>
  <c r="AH76" i="55"/>
  <c r="AH165" i="55"/>
  <c r="AR239" i="55"/>
  <c r="AR185" i="55"/>
  <c r="AR172" i="55"/>
  <c r="AR232" i="55"/>
  <c r="AR175" i="55"/>
  <c r="AR179" i="55"/>
  <c r="AR228" i="55"/>
  <c r="AR76" i="55"/>
  <c r="AR165" i="55"/>
  <c r="BB228" i="55"/>
  <c r="BB179" i="55"/>
  <c r="BB239" i="55"/>
  <c r="BB185" i="55"/>
  <c r="BB232" i="55"/>
  <c r="BB172" i="55"/>
  <c r="BB189" i="55"/>
  <c r="BB175" i="55"/>
  <c r="BB165" i="55"/>
  <c r="BB76" i="55"/>
  <c r="Q354" i="55"/>
  <c r="Q344" i="55"/>
  <c r="Q358" i="55"/>
  <c r="Q323" i="55"/>
  <c r="Q338" i="55"/>
  <c r="Q327" i="55"/>
  <c r="Q335" i="55"/>
  <c r="Q332" i="55"/>
  <c r="Q297" i="55"/>
  <c r="Q314" i="55"/>
  <c r="Q321" i="55"/>
  <c r="Q316" i="55"/>
  <c r="Q364" i="55"/>
  <c r="Q303" i="55"/>
  <c r="Q312" i="55"/>
  <c r="Q305" i="55"/>
  <c r="Q274" i="55"/>
  <c r="Q293" i="55"/>
  <c r="Q281" i="55"/>
  <c r="Q268" i="55"/>
  <c r="Q72" i="55"/>
  <c r="Q70" i="55"/>
  <c r="Q38" i="55"/>
  <c r="Q60" i="55"/>
  <c r="Q51" i="55"/>
  <c r="Q37" i="55"/>
  <c r="Q29" i="55"/>
  <c r="Q313" i="55" s="1"/>
  <c r="Q33" i="55"/>
  <c r="Q20" i="55"/>
  <c r="Q53" i="55"/>
  <c r="AB354" i="55"/>
  <c r="AB344" i="55"/>
  <c r="AB358" i="55"/>
  <c r="AB323" i="55"/>
  <c r="AB321" i="55"/>
  <c r="AB327" i="55"/>
  <c r="AB338" i="55"/>
  <c r="AB335" i="55"/>
  <c r="AB332" i="55"/>
  <c r="AB297" i="55"/>
  <c r="AB314" i="55"/>
  <c r="AB316" i="55"/>
  <c r="AB364" i="55"/>
  <c r="AB303" i="55"/>
  <c r="AB312" i="55"/>
  <c r="AB305" i="55"/>
  <c r="AB274" i="55"/>
  <c r="AB293" i="55"/>
  <c r="AB281" i="55"/>
  <c r="AB268" i="55"/>
  <c r="AB72" i="55"/>
  <c r="AB70" i="55"/>
  <c r="AB38" i="55"/>
  <c r="AB29" i="55"/>
  <c r="AB60" i="55"/>
  <c r="AB51" i="55"/>
  <c r="AB37" i="55"/>
  <c r="AB33" i="55"/>
  <c r="AB20" i="55"/>
  <c r="AB53" i="55"/>
  <c r="AM354" i="55"/>
  <c r="AM344" i="55"/>
  <c r="AM358" i="55"/>
  <c r="AM323" i="55"/>
  <c r="AM321" i="55"/>
  <c r="AM338" i="55"/>
  <c r="AM327" i="55"/>
  <c r="AM335" i="55"/>
  <c r="AM332" i="55"/>
  <c r="AM297" i="55"/>
  <c r="AM314" i="55"/>
  <c r="AM316" i="55"/>
  <c r="AM364" i="55"/>
  <c r="AM303" i="55"/>
  <c r="AM312" i="55"/>
  <c r="AM305" i="55"/>
  <c r="AM274" i="55"/>
  <c r="AM293" i="55"/>
  <c r="AM281" i="55"/>
  <c r="AM268" i="55"/>
  <c r="AM72" i="55"/>
  <c r="AM70" i="55"/>
  <c r="AM38" i="55"/>
  <c r="I34" i="23" s="1"/>
  <c r="AM60" i="55"/>
  <c r="AM51" i="55"/>
  <c r="AM37" i="55"/>
  <c r="AM33" i="55"/>
  <c r="AM20" i="55"/>
  <c r="AM53" i="55"/>
  <c r="AU354" i="55"/>
  <c r="AU344" i="55"/>
  <c r="AU358" i="55"/>
  <c r="AU323" i="55"/>
  <c r="AU321" i="55"/>
  <c r="AU338" i="55"/>
  <c r="AU327" i="55"/>
  <c r="AU335" i="55"/>
  <c r="AU332" i="55"/>
  <c r="AU297" i="55"/>
  <c r="AU314" i="55"/>
  <c r="AU316" i="55"/>
  <c r="AU364" i="55"/>
  <c r="AU303" i="55"/>
  <c r="AU312" i="55"/>
  <c r="AU305" i="55"/>
  <c r="AU274" i="55"/>
  <c r="AU293" i="55"/>
  <c r="AU281" i="55"/>
  <c r="AU268" i="55"/>
  <c r="AU72" i="55"/>
  <c r="AU70" i="55"/>
  <c r="AU38" i="55"/>
  <c r="AU60" i="55"/>
  <c r="AU51" i="55"/>
  <c r="AU37" i="55"/>
  <c r="AU33" i="55"/>
  <c r="AU20" i="55"/>
  <c r="AU53" i="55"/>
  <c r="AU19" i="55"/>
  <c r="AU368" i="55" s="1"/>
  <c r="AA262" i="55"/>
  <c r="AA250" i="55"/>
  <c r="AA172" i="55"/>
  <c r="AA189" i="55"/>
  <c r="AA185" i="55"/>
  <c r="AA175" i="55"/>
  <c r="AA232" i="55"/>
  <c r="AA221" i="55"/>
  <c r="AA179" i="55"/>
  <c r="AA228" i="55"/>
  <c r="AA239" i="55"/>
  <c r="AA215" i="55"/>
  <c r="AA211" i="55"/>
  <c r="AA107" i="55"/>
  <c r="AA103" i="55"/>
  <c r="AA148" i="55"/>
  <c r="AA96" i="55"/>
  <c r="AA89" i="55"/>
  <c r="AA76" i="55"/>
  <c r="AA127" i="55"/>
  <c r="AA121" i="55"/>
  <c r="AA165" i="55"/>
  <c r="AA85" i="55"/>
  <c r="AA158" i="55"/>
  <c r="AA152" i="55"/>
  <c r="AA139" i="55"/>
  <c r="AA92" i="55"/>
  <c r="AA131" i="55"/>
  <c r="AA117" i="55"/>
  <c r="AA82" i="55"/>
  <c r="BC239" i="55"/>
  <c r="BC185" i="55"/>
  <c r="BC232" i="55"/>
  <c r="BC172" i="55"/>
  <c r="BC189" i="55"/>
  <c r="BC175" i="55"/>
  <c r="BC228" i="55"/>
  <c r="BC179" i="55"/>
  <c r="BC165" i="55"/>
  <c r="BC76" i="55"/>
  <c r="AC354" i="55"/>
  <c r="AC344" i="55"/>
  <c r="AC358" i="55"/>
  <c r="AC323" i="55"/>
  <c r="AC321" i="55"/>
  <c r="AC327" i="55"/>
  <c r="AC338" i="55"/>
  <c r="AC335" i="55"/>
  <c r="AC332" i="55"/>
  <c r="AC314" i="55"/>
  <c r="AC316" i="55"/>
  <c r="AC364" i="55"/>
  <c r="AC303" i="55"/>
  <c r="AC312" i="55"/>
  <c r="AC305" i="55"/>
  <c r="AC274" i="55"/>
  <c r="AC297" i="55"/>
  <c r="AC293" i="55"/>
  <c r="AC281" i="55"/>
  <c r="AC268" i="55"/>
  <c r="AC70" i="55"/>
  <c r="BG354" i="55"/>
  <c r="BG344" i="55"/>
  <c r="BG358" i="55"/>
  <c r="BG323" i="55"/>
  <c r="BG321" i="55"/>
  <c r="BG327" i="55"/>
  <c r="BG335" i="55"/>
  <c r="BG332" i="55"/>
  <c r="BG338" i="55"/>
  <c r="BG314" i="55"/>
  <c r="BG316" i="55"/>
  <c r="BG364" i="55"/>
  <c r="BG303" i="55"/>
  <c r="BG312" i="55"/>
  <c r="BG305" i="55"/>
  <c r="BG274" i="55"/>
  <c r="BG293" i="55"/>
  <c r="BG297" i="55"/>
  <c r="BG281" i="55"/>
  <c r="BG268" i="55"/>
  <c r="BG70" i="55"/>
  <c r="AN19" i="55"/>
  <c r="AN67" i="55" s="1"/>
  <c r="BF367" i="55"/>
  <c r="BF284" i="55"/>
  <c r="BF282" i="55"/>
  <c r="BF285" i="55"/>
  <c r="R28" i="55"/>
  <c r="AN29" i="55"/>
  <c r="AN313" i="55" s="1"/>
  <c r="AK261" i="55"/>
  <c r="AK273" i="55"/>
  <c r="AK267" i="55"/>
  <c r="AK249" i="55"/>
  <c r="AK227" i="55"/>
  <c r="AK238" i="55"/>
  <c r="AK184" i="55"/>
  <c r="AK164" i="55"/>
  <c r="AK102" i="55"/>
  <c r="AK76" i="55"/>
  <c r="AK138" i="55"/>
  <c r="AT185" i="55"/>
  <c r="AT172" i="55"/>
  <c r="AT232" i="55"/>
  <c r="AT175" i="55"/>
  <c r="AT189" i="55"/>
  <c r="AT179" i="55"/>
  <c r="AT228" i="55"/>
  <c r="AT239" i="55"/>
  <c r="AT76" i="55"/>
  <c r="AT165" i="55"/>
  <c r="S354" i="55"/>
  <c r="S344" i="55"/>
  <c r="S358" i="55"/>
  <c r="S338" i="55"/>
  <c r="S327" i="55"/>
  <c r="S335" i="55"/>
  <c r="S332" i="55"/>
  <c r="S323" i="55"/>
  <c r="S321" i="55"/>
  <c r="S316" i="55"/>
  <c r="S303" i="55"/>
  <c r="S312" i="55"/>
  <c r="S305" i="55"/>
  <c r="S314" i="55"/>
  <c r="S364" i="55"/>
  <c r="S293" i="55"/>
  <c r="S281" i="55"/>
  <c r="S268" i="55"/>
  <c r="S297" i="55"/>
  <c r="S274" i="55"/>
  <c r="S72" i="55"/>
  <c r="S70" i="55"/>
  <c r="AO354" i="55"/>
  <c r="AO344" i="55"/>
  <c r="AO338" i="55"/>
  <c r="AO327" i="55"/>
  <c r="AO335" i="55"/>
  <c r="AO332" i="55"/>
  <c r="AO358" i="55"/>
  <c r="AO323" i="55"/>
  <c r="AO321" i="55"/>
  <c r="AO316" i="55"/>
  <c r="AO303" i="55"/>
  <c r="AO312" i="55"/>
  <c r="AO305" i="55"/>
  <c r="AO314" i="55"/>
  <c r="AO293" i="55"/>
  <c r="AO281" i="55"/>
  <c r="AO297" i="55"/>
  <c r="AO268" i="55"/>
  <c r="AO364" i="55"/>
  <c r="AO274" i="55"/>
  <c r="AO72" i="55"/>
  <c r="AO70" i="55"/>
  <c r="AW212" i="55"/>
  <c r="AZ173" i="55"/>
  <c r="AN173" i="55"/>
  <c r="AB173" i="55"/>
  <c r="P173" i="55"/>
  <c r="AK212" i="55"/>
  <c r="AY173" i="55"/>
  <c r="AM173" i="55"/>
  <c r="AA173" i="55"/>
  <c r="O173" i="55"/>
  <c r="Y212" i="55"/>
  <c r="BF173" i="55"/>
  <c r="AT173" i="55"/>
  <c r="AH173" i="55"/>
  <c r="V173" i="55"/>
  <c r="M212" i="55"/>
  <c r="BE173" i="55"/>
  <c r="AS173" i="55"/>
  <c r="AG173" i="55"/>
  <c r="U173" i="55"/>
  <c r="BC173" i="55"/>
  <c r="AQ173" i="55"/>
  <c r="AE173" i="55"/>
  <c r="S173" i="55"/>
  <c r="BB173" i="55"/>
  <c r="AP173" i="55"/>
  <c r="AD173" i="55"/>
  <c r="R173" i="55"/>
  <c r="BA173" i="55"/>
  <c r="AO173" i="55"/>
  <c r="AC173" i="55"/>
  <c r="Q173" i="55"/>
  <c r="AC262" i="55"/>
  <c r="AC250" i="55"/>
  <c r="AC189" i="55"/>
  <c r="AC185" i="55"/>
  <c r="AC175" i="55"/>
  <c r="AC232" i="55"/>
  <c r="AC221" i="55"/>
  <c r="AC179" i="55"/>
  <c r="AC228" i="55"/>
  <c r="AC239" i="55"/>
  <c r="AC215" i="55"/>
  <c r="AC211" i="55"/>
  <c r="AC172" i="55"/>
  <c r="AC148" i="55"/>
  <c r="AC96" i="55"/>
  <c r="AC89" i="55"/>
  <c r="AC76" i="55"/>
  <c r="AC127" i="55"/>
  <c r="AC121" i="55"/>
  <c r="AC165" i="55"/>
  <c r="AC85" i="55"/>
  <c r="AC158" i="55"/>
  <c r="AC152" i="55"/>
  <c r="AC139" i="55"/>
  <c r="AC92" i="55"/>
  <c r="AC131" i="55"/>
  <c r="AC117" i="55"/>
  <c r="AC82" i="55"/>
  <c r="AC107" i="55"/>
  <c r="AC103" i="55"/>
  <c r="AM262" i="55"/>
  <c r="AM250" i="55"/>
  <c r="AM185" i="55"/>
  <c r="AM172" i="55"/>
  <c r="AM232" i="55"/>
  <c r="AM189" i="55"/>
  <c r="AM175" i="55"/>
  <c r="AM215" i="55"/>
  <c r="AM211" i="55"/>
  <c r="AM179" i="55"/>
  <c r="AM228" i="55"/>
  <c r="AM239" i="55"/>
  <c r="AM221" i="55"/>
  <c r="AM127" i="55"/>
  <c r="AM121" i="55"/>
  <c r="AM76" i="55"/>
  <c r="AM85" i="55"/>
  <c r="AM158" i="55"/>
  <c r="AM152" i="55"/>
  <c r="AM139" i="55"/>
  <c r="AM92" i="55"/>
  <c r="AM165" i="55"/>
  <c r="AM131" i="55"/>
  <c r="AM117" i="55"/>
  <c r="AM82" i="55"/>
  <c r="AM107" i="55"/>
  <c r="AM103" i="55"/>
  <c r="AM148" i="55"/>
  <c r="AM96" i="55"/>
  <c r="AM89" i="55"/>
  <c r="AU250" i="55"/>
  <c r="AU215" i="55"/>
  <c r="AU211" i="55"/>
  <c r="AU185" i="55"/>
  <c r="AU232" i="55"/>
  <c r="AU189" i="55"/>
  <c r="AU228" i="55"/>
  <c r="AU221" i="55"/>
  <c r="AU239" i="55"/>
  <c r="AU76" i="55"/>
  <c r="BE185" i="55"/>
  <c r="BE232" i="55"/>
  <c r="BE172" i="55"/>
  <c r="BE175" i="55"/>
  <c r="BE228" i="55"/>
  <c r="BE189" i="55"/>
  <c r="BE179" i="55"/>
  <c r="BE239" i="55"/>
  <c r="BE76" i="55"/>
  <c r="BE165" i="55"/>
  <c r="T354" i="55"/>
  <c r="T344" i="55"/>
  <c r="T338" i="55"/>
  <c r="T358" i="55"/>
  <c r="T327" i="55"/>
  <c r="T335" i="55"/>
  <c r="T332" i="55"/>
  <c r="T323" i="55"/>
  <c r="T321" i="55"/>
  <c r="T316" i="55"/>
  <c r="T364" i="55"/>
  <c r="T303" i="55"/>
  <c r="T312" i="55"/>
  <c r="T305" i="55"/>
  <c r="T314" i="55"/>
  <c r="T293" i="55"/>
  <c r="T281" i="55"/>
  <c r="T268" i="55"/>
  <c r="T297" i="55"/>
  <c r="T274" i="55"/>
  <c r="T72" i="55"/>
  <c r="AE354" i="55"/>
  <c r="AE344" i="55"/>
  <c r="AE338" i="55"/>
  <c r="AE358" i="55"/>
  <c r="AE327" i="55"/>
  <c r="AE335" i="55"/>
  <c r="AE332" i="55"/>
  <c r="AE323" i="55"/>
  <c r="AE321" i="55"/>
  <c r="AE316" i="55"/>
  <c r="AE364" i="55"/>
  <c r="AE303" i="55"/>
  <c r="AE312" i="55"/>
  <c r="AE305" i="55"/>
  <c r="AE314" i="55"/>
  <c r="AE297" i="55"/>
  <c r="AE293" i="55"/>
  <c r="AE281" i="55"/>
  <c r="AE268" i="55"/>
  <c r="AE274" i="55"/>
  <c r="AE72" i="55"/>
  <c r="AP354" i="55"/>
  <c r="AP344" i="55"/>
  <c r="AP338" i="55"/>
  <c r="AP358" i="55"/>
  <c r="AP327" i="55"/>
  <c r="AP335" i="55"/>
  <c r="AP332" i="55"/>
  <c r="AP323" i="55"/>
  <c r="AP321" i="55"/>
  <c r="AP316" i="55"/>
  <c r="AP364" i="55"/>
  <c r="AP303" i="55"/>
  <c r="AP312" i="55"/>
  <c r="AP305" i="55"/>
  <c r="AP314" i="55"/>
  <c r="AP293" i="55"/>
  <c r="AP281" i="55"/>
  <c r="AP297" i="55"/>
  <c r="AP268" i="55"/>
  <c r="AP274" i="55"/>
  <c r="AP72" i="55"/>
  <c r="BA354" i="55"/>
  <c r="BA344" i="55"/>
  <c r="BA338" i="55"/>
  <c r="BA358" i="55"/>
  <c r="BA327" i="55"/>
  <c r="BA335" i="55"/>
  <c r="BA332" i="55"/>
  <c r="BA323" i="55"/>
  <c r="BA321" i="55"/>
  <c r="BA316" i="55"/>
  <c r="BA364" i="55"/>
  <c r="BA303" i="55"/>
  <c r="BA312" i="55"/>
  <c r="BA305" i="55"/>
  <c r="BA314" i="55"/>
  <c r="BA293" i="55"/>
  <c r="BA281" i="55"/>
  <c r="BA268" i="55"/>
  <c r="BA297" i="55"/>
  <c r="BA274" i="55"/>
  <c r="BA72" i="55"/>
  <c r="T19" i="55"/>
  <c r="AE19" i="55"/>
  <c r="AP19" i="55"/>
  <c r="AP67" i="55" s="1"/>
  <c r="BA19" i="55"/>
  <c r="P20" i="55"/>
  <c r="AA20" i="55"/>
  <c r="AI20" i="55"/>
  <c r="AT20" i="55"/>
  <c r="BE20" i="55"/>
  <c r="T21" i="55"/>
  <c r="T28" i="55"/>
  <c r="V29" i="55"/>
  <c r="AF29" i="55"/>
  <c r="AF30" i="55" s="1"/>
  <c r="AP29" i="55"/>
  <c r="AP313" i="55" s="1"/>
  <c r="AZ29" i="55"/>
  <c r="AZ313" i="55" s="1"/>
  <c r="S33" i="55"/>
  <c r="AD33" i="55"/>
  <c r="AO33" i="55"/>
  <c r="AZ33" i="55"/>
  <c r="V37" i="55"/>
  <c r="AG37" i="55"/>
  <c r="AR37" i="55"/>
  <c r="BC37" i="55"/>
  <c r="R38" i="55"/>
  <c r="R54" i="55" s="1"/>
  <c r="AC38" i="55"/>
  <c r="AC54" i="55" s="1"/>
  <c r="AN38" i="55"/>
  <c r="AN54" i="55" s="1"/>
  <c r="AY38" i="55"/>
  <c r="I35" i="23" s="1"/>
  <c r="BG38" i="55"/>
  <c r="BG54" i="55" s="1"/>
  <c r="V51" i="55"/>
  <c r="AG51" i="55"/>
  <c r="AR51" i="55"/>
  <c r="BC51" i="55"/>
  <c r="AR52" i="55"/>
  <c r="V60" i="55"/>
  <c r="AG60" i="55"/>
  <c r="AR60" i="55"/>
  <c r="BC60" i="55"/>
  <c r="E217" i="23"/>
  <c r="E159" i="23"/>
  <c r="E89" i="23"/>
  <c r="E232" i="23"/>
  <c r="E171" i="23"/>
  <c r="E104" i="23"/>
  <c r="E247" i="23"/>
  <c r="E183" i="23"/>
  <c r="E119" i="23"/>
  <c r="E262" i="23"/>
  <c r="E195" i="23"/>
  <c r="E134" i="23"/>
  <c r="E265" i="23"/>
  <c r="E198" i="23"/>
  <c r="E137" i="23"/>
  <c r="E220" i="23"/>
  <c r="E162" i="23"/>
  <c r="E92" i="23"/>
  <c r="E235" i="23"/>
  <c r="E174" i="23"/>
  <c r="E107" i="23"/>
  <c r="E250" i="23"/>
  <c r="E186" i="23"/>
  <c r="E122" i="23"/>
  <c r="AY72" i="55"/>
  <c r="AD232" i="55"/>
  <c r="AD179" i="55"/>
  <c r="AD228" i="55"/>
  <c r="AD239" i="55"/>
  <c r="AD172" i="55"/>
  <c r="AD189" i="55"/>
  <c r="AD185" i="55"/>
  <c r="AD175" i="55"/>
  <c r="AD165" i="55"/>
  <c r="AD76" i="55"/>
  <c r="AF358" i="55"/>
  <c r="AF354" i="55"/>
  <c r="AF344" i="55"/>
  <c r="AF327" i="55"/>
  <c r="AF335" i="55"/>
  <c r="AF332" i="55"/>
  <c r="AF338" i="55"/>
  <c r="AF323" i="55"/>
  <c r="AF321" i="55"/>
  <c r="AF303" i="55"/>
  <c r="AF312" i="55"/>
  <c r="AF305" i="55"/>
  <c r="AF297" i="55"/>
  <c r="AF314" i="55"/>
  <c r="AF316" i="55"/>
  <c r="AF281" i="55"/>
  <c r="AF268" i="55"/>
  <c r="AF274" i="55"/>
  <c r="AF364" i="55"/>
  <c r="AF293" i="55"/>
  <c r="AF72" i="55"/>
  <c r="AQ358" i="55"/>
  <c r="AQ354" i="55"/>
  <c r="AQ344" i="55"/>
  <c r="AQ327" i="55"/>
  <c r="AQ335" i="55"/>
  <c r="AQ332" i="55"/>
  <c r="AQ323" i="55"/>
  <c r="AQ321" i="55"/>
  <c r="AQ338" i="55"/>
  <c r="AQ303" i="55"/>
  <c r="AQ312" i="55"/>
  <c r="AQ305" i="55"/>
  <c r="AQ297" i="55"/>
  <c r="AQ314" i="55"/>
  <c r="AQ316" i="55"/>
  <c r="AQ281" i="55"/>
  <c r="AQ268" i="55"/>
  <c r="AQ364" i="55"/>
  <c r="AQ274" i="55"/>
  <c r="AQ293" i="55"/>
  <c r="AQ72" i="55"/>
  <c r="BB358" i="55"/>
  <c r="BB354" i="55"/>
  <c r="BB344" i="55"/>
  <c r="BB327" i="55"/>
  <c r="BB338" i="55"/>
  <c r="BB335" i="55"/>
  <c r="BB332" i="55"/>
  <c r="BB323" i="55"/>
  <c r="BB321" i="55"/>
  <c r="BB303" i="55"/>
  <c r="BB312" i="55"/>
  <c r="BB305" i="55"/>
  <c r="BB297" i="55"/>
  <c r="BB314" i="55"/>
  <c r="BB316" i="55"/>
  <c r="BB281" i="55"/>
  <c r="BB364" i="55"/>
  <c r="BB268" i="55"/>
  <c r="BB274" i="55"/>
  <c r="BB293" i="55"/>
  <c r="BB72" i="55"/>
  <c r="U19" i="55"/>
  <c r="U67" i="55" s="1"/>
  <c r="AF19" i="55"/>
  <c r="AF67" i="55" s="1"/>
  <c r="AQ19" i="55"/>
  <c r="BB19" i="55"/>
  <c r="BB67" i="55" s="1"/>
  <c r="U21" i="55"/>
  <c r="M73" i="55"/>
  <c r="M71" i="55"/>
  <c r="W78" i="55"/>
  <c r="W186" i="55" s="1"/>
  <c r="V78" i="55"/>
  <c r="V169" i="55" s="1"/>
  <c r="U28" i="55"/>
  <c r="O29" i="55"/>
  <c r="O313" i="55" s="1"/>
  <c r="W29" i="55"/>
  <c r="AG29" i="55"/>
  <c r="AQ29" i="55"/>
  <c r="AQ304" i="55" s="1"/>
  <c r="BA29" i="55"/>
  <c r="BA304" i="55" s="1"/>
  <c r="T33" i="55"/>
  <c r="AE33" i="55"/>
  <c r="AP33" i="55"/>
  <c r="BA33" i="55"/>
  <c r="O37" i="55"/>
  <c r="W37" i="55"/>
  <c r="AH37" i="55"/>
  <c r="AS37" i="55"/>
  <c r="BD37" i="55"/>
  <c r="S38" i="55"/>
  <c r="S54" i="55" s="1"/>
  <c r="AD38" i="55"/>
  <c r="AD54" i="55" s="1"/>
  <c r="AO38" i="55"/>
  <c r="AZ38" i="55"/>
  <c r="O51" i="55"/>
  <c r="W51" i="55"/>
  <c r="AH51" i="55"/>
  <c r="AS51" i="55"/>
  <c r="BD51" i="55"/>
  <c r="AS52" i="55"/>
  <c r="R53" i="55"/>
  <c r="AC53" i="55"/>
  <c r="AN53" i="55"/>
  <c r="AY53" i="55"/>
  <c r="BG53" i="55"/>
  <c r="O60" i="55"/>
  <c r="W60" i="55"/>
  <c r="AH60" i="55"/>
  <c r="AS60" i="55"/>
  <c r="BD60" i="55"/>
  <c r="E216" i="23"/>
  <c r="E158" i="23"/>
  <c r="E88" i="23"/>
  <c r="E231" i="23"/>
  <c r="E170" i="23"/>
  <c r="E103" i="23"/>
  <c r="E246" i="23"/>
  <c r="E182" i="23"/>
  <c r="E261" i="23"/>
  <c r="E194" i="23"/>
  <c r="E133" i="23"/>
  <c r="E118" i="23"/>
  <c r="BA70" i="55"/>
  <c r="BG72" i="55"/>
  <c r="Q141" i="55"/>
  <c r="Q142" i="55" s="1"/>
  <c r="AC72" i="55"/>
  <c r="AW261" i="55"/>
  <c r="AW267" i="55"/>
  <c r="AW249" i="55"/>
  <c r="AW273" i="55"/>
  <c r="AW227" i="55"/>
  <c r="AW238" i="55"/>
  <c r="AW184" i="55"/>
  <c r="AW138" i="55"/>
  <c r="AW164" i="55"/>
  <c r="AW102" i="55"/>
  <c r="AW76" i="55"/>
  <c r="AO262" i="55"/>
  <c r="AO250" i="55"/>
  <c r="AO232" i="55"/>
  <c r="AO189" i="55"/>
  <c r="AO175" i="55"/>
  <c r="AO215" i="55"/>
  <c r="AO211" i="55"/>
  <c r="AO179" i="55"/>
  <c r="AO228" i="55"/>
  <c r="AO239" i="55"/>
  <c r="AO221" i="55"/>
  <c r="AO185" i="55"/>
  <c r="AO172" i="55"/>
  <c r="AO85" i="55"/>
  <c r="AO158" i="55"/>
  <c r="AO152" i="55"/>
  <c r="AO139" i="55"/>
  <c r="AO92" i="55"/>
  <c r="AO165" i="55"/>
  <c r="AO131" i="55"/>
  <c r="AO117" i="55"/>
  <c r="AO82" i="55"/>
  <c r="AO107" i="55"/>
  <c r="AO103" i="55"/>
  <c r="AO148" i="55"/>
  <c r="AO96" i="55"/>
  <c r="AO89" i="55"/>
  <c r="AO127" i="55"/>
  <c r="AO121" i="55"/>
  <c r="AO76" i="55"/>
  <c r="V338" i="55"/>
  <c r="V358" i="55"/>
  <c r="V354" i="55"/>
  <c r="V344" i="55"/>
  <c r="V327" i="55"/>
  <c r="V335" i="55"/>
  <c r="V332" i="55"/>
  <c r="V323" i="55"/>
  <c r="V321" i="55"/>
  <c r="V312" i="55"/>
  <c r="V305" i="55"/>
  <c r="V314" i="55"/>
  <c r="V316" i="55"/>
  <c r="V364" i="55"/>
  <c r="V303" i="55"/>
  <c r="V268" i="55"/>
  <c r="V297" i="55"/>
  <c r="V274" i="55"/>
  <c r="V293" i="55"/>
  <c r="V281" i="55"/>
  <c r="V72" i="55"/>
  <c r="V70" i="55"/>
  <c r="AG338" i="55"/>
  <c r="AG358" i="55"/>
  <c r="AG354" i="55"/>
  <c r="AG344" i="55"/>
  <c r="AG327" i="55"/>
  <c r="AG335" i="55"/>
  <c r="AG332" i="55"/>
  <c r="AG323" i="55"/>
  <c r="AG321" i="55"/>
  <c r="AG312" i="55"/>
  <c r="AG305" i="55"/>
  <c r="AG314" i="55"/>
  <c r="AG316" i="55"/>
  <c r="AG364" i="55"/>
  <c r="AG303" i="55"/>
  <c r="AG268" i="55"/>
  <c r="AG274" i="55"/>
  <c r="AG293" i="55"/>
  <c r="AG297" i="55"/>
  <c r="AG281" i="55"/>
  <c r="AG72" i="55"/>
  <c r="AG70" i="55"/>
  <c r="AR338" i="55"/>
  <c r="AR358" i="55"/>
  <c r="AR354" i="55"/>
  <c r="AR344" i="55"/>
  <c r="AR327" i="55"/>
  <c r="AR335" i="55"/>
  <c r="AR332" i="55"/>
  <c r="AR323" i="55"/>
  <c r="AR321" i="55"/>
  <c r="AR312" i="55"/>
  <c r="AR305" i="55"/>
  <c r="AR314" i="55"/>
  <c r="AR316" i="55"/>
  <c r="AR364" i="55"/>
  <c r="AR303" i="55"/>
  <c r="AR268" i="55"/>
  <c r="AR297" i="55"/>
  <c r="AR274" i="55"/>
  <c r="AR293" i="55"/>
  <c r="AR281" i="55"/>
  <c r="AR72" i="55"/>
  <c r="AR70" i="55"/>
  <c r="BC338" i="55"/>
  <c r="BC358" i="55"/>
  <c r="BC354" i="55"/>
  <c r="BC344" i="55"/>
  <c r="BC327" i="55"/>
  <c r="BC335" i="55"/>
  <c r="BC332" i="55"/>
  <c r="BC323" i="55"/>
  <c r="BC321" i="55"/>
  <c r="BC312" i="55"/>
  <c r="BC305" i="55"/>
  <c r="BC314" i="55"/>
  <c r="BC316" i="55"/>
  <c r="BC364" i="55"/>
  <c r="BC303" i="55"/>
  <c r="BC268" i="55"/>
  <c r="BC274" i="55"/>
  <c r="BC297" i="55"/>
  <c r="BC293" i="55"/>
  <c r="BC281" i="55"/>
  <c r="BC72" i="55"/>
  <c r="BC70" i="55"/>
  <c r="V19" i="55"/>
  <c r="AG19" i="55"/>
  <c r="AR19" i="55"/>
  <c r="BC19" i="55"/>
  <c r="BC67" i="55" s="1"/>
  <c r="R20" i="55"/>
  <c r="AC20" i="55"/>
  <c r="AN20" i="55"/>
  <c r="AY20" i="55"/>
  <c r="BG20" i="55"/>
  <c r="V21" i="55"/>
  <c r="Y22" i="55"/>
  <c r="AR367" i="55"/>
  <c r="AR285" i="55"/>
  <c r="AR284" i="55"/>
  <c r="AR282" i="55"/>
  <c r="V28" i="55"/>
  <c r="P29" i="55"/>
  <c r="P313" i="55" s="1"/>
  <c r="AH29" i="55"/>
  <c r="AH30" i="55" s="1"/>
  <c r="AR29" i="55"/>
  <c r="AR313" i="55" s="1"/>
  <c r="BB29" i="55"/>
  <c r="BB30" i="55" s="1"/>
  <c r="U33" i="55"/>
  <c r="AF33" i="55"/>
  <c r="AQ33" i="55"/>
  <c r="BB33" i="55"/>
  <c r="P37" i="55"/>
  <c r="AA37" i="55"/>
  <c r="AI37" i="55"/>
  <c r="AT37" i="55"/>
  <c r="BE37" i="55"/>
  <c r="T38" i="55"/>
  <c r="AE38" i="55"/>
  <c r="AP38" i="55"/>
  <c r="AP54" i="55" s="1"/>
  <c r="BA38" i="55"/>
  <c r="P51" i="55"/>
  <c r="AA51" i="55"/>
  <c r="AI51" i="55"/>
  <c r="AT51" i="55"/>
  <c r="BE51" i="55"/>
  <c r="AT52" i="55"/>
  <c r="S53" i="55"/>
  <c r="AD53" i="55"/>
  <c r="AO53" i="55"/>
  <c r="AZ53" i="55"/>
  <c r="P60" i="55"/>
  <c r="AA60" i="55"/>
  <c r="AI60" i="55"/>
  <c r="AT60" i="55"/>
  <c r="BE60" i="55"/>
  <c r="BB70" i="55"/>
  <c r="AA141" i="55"/>
  <c r="AA142" i="55" s="1"/>
  <c r="BA141" i="55"/>
  <c r="BA142" i="55" s="1"/>
  <c r="BB180" i="55"/>
  <c r="AP180" i="55"/>
  <c r="AD180" i="55"/>
  <c r="R180" i="55"/>
  <c r="BA180" i="55"/>
  <c r="AO180" i="55"/>
  <c r="AC180" i="55"/>
  <c r="Q180" i="55"/>
  <c r="AZ180" i="55"/>
  <c r="AN180" i="55"/>
  <c r="AB180" i="55"/>
  <c r="P180" i="55"/>
  <c r="AY180" i="55"/>
  <c r="AM180" i="55"/>
  <c r="AA180" i="55"/>
  <c r="O180" i="55"/>
  <c r="AW222" i="55"/>
  <c r="BF180" i="55"/>
  <c r="AT180" i="55"/>
  <c r="AH180" i="55"/>
  <c r="V180" i="55"/>
  <c r="AK222" i="55"/>
  <c r="BE180" i="55"/>
  <c r="AS180" i="55"/>
  <c r="AG180" i="55"/>
  <c r="U180" i="55"/>
  <c r="Y222" i="55"/>
  <c r="BD180" i="55"/>
  <c r="AR180" i="55"/>
  <c r="AF180" i="55"/>
  <c r="T180" i="55"/>
  <c r="M222" i="55"/>
  <c r="BC180" i="55"/>
  <c r="AQ180" i="55"/>
  <c r="AE180" i="55"/>
  <c r="S180" i="55"/>
  <c r="AN250" i="55"/>
  <c r="AN262" i="55"/>
  <c r="AN185" i="55"/>
  <c r="AN172" i="55"/>
  <c r="AN232" i="55"/>
  <c r="AN189" i="55"/>
  <c r="AN175" i="55"/>
  <c r="AN215" i="55"/>
  <c r="AN211" i="55"/>
  <c r="AN179" i="55"/>
  <c r="AN228" i="55"/>
  <c r="AN239" i="55"/>
  <c r="AN221" i="55"/>
  <c r="AN85" i="55"/>
  <c r="AN158" i="55"/>
  <c r="AN152" i="55"/>
  <c r="AN139" i="55"/>
  <c r="AN92" i="55"/>
  <c r="AN165" i="55"/>
  <c r="AN131" i="55"/>
  <c r="AN117" i="55"/>
  <c r="AN82" i="55"/>
  <c r="AN107" i="55"/>
  <c r="AN103" i="55"/>
  <c r="AN148" i="55"/>
  <c r="AN96" i="55"/>
  <c r="AN89" i="55"/>
  <c r="AN127" i="55"/>
  <c r="AN121" i="55"/>
  <c r="AN76" i="55"/>
  <c r="BF185" i="55"/>
  <c r="BF232" i="55"/>
  <c r="BF172" i="55"/>
  <c r="BF175" i="55"/>
  <c r="BF228" i="55"/>
  <c r="BF189" i="55"/>
  <c r="BF179" i="55"/>
  <c r="BF239" i="55"/>
  <c r="BF165" i="55"/>
  <c r="BF76" i="55"/>
  <c r="U358" i="55"/>
  <c r="U354" i="55"/>
  <c r="U344" i="55"/>
  <c r="U338" i="55"/>
  <c r="U327" i="55"/>
  <c r="U335" i="55"/>
  <c r="U332" i="55"/>
  <c r="U323" i="55"/>
  <c r="U303" i="55"/>
  <c r="U321" i="55"/>
  <c r="U312" i="55"/>
  <c r="U305" i="55"/>
  <c r="U297" i="55"/>
  <c r="U314" i="55"/>
  <c r="U316" i="55"/>
  <c r="U364" i="55"/>
  <c r="U281" i="55"/>
  <c r="U268" i="55"/>
  <c r="U274" i="55"/>
  <c r="U293" i="55"/>
  <c r="U72" i="55"/>
  <c r="AE228" i="55"/>
  <c r="AE239" i="55"/>
  <c r="AE172" i="55"/>
  <c r="AE189" i="55"/>
  <c r="AE185" i="55"/>
  <c r="AE175" i="55"/>
  <c r="AE232" i="55"/>
  <c r="AE179" i="55"/>
  <c r="AE165" i="55"/>
  <c r="AE76" i="55"/>
  <c r="AY262" i="55"/>
  <c r="AY250" i="55"/>
  <c r="AY185" i="55"/>
  <c r="AY232" i="55"/>
  <c r="AY172" i="55"/>
  <c r="AY189" i="55"/>
  <c r="AY175" i="55"/>
  <c r="AY228" i="55"/>
  <c r="AY221" i="55"/>
  <c r="AY179" i="55"/>
  <c r="AY239" i="55"/>
  <c r="AY215" i="55"/>
  <c r="AY211" i="55"/>
  <c r="AY158" i="55"/>
  <c r="AY152" i="55"/>
  <c r="AY139" i="55"/>
  <c r="AY92" i="55"/>
  <c r="AY131" i="55"/>
  <c r="AY117" i="55"/>
  <c r="AY82" i="55"/>
  <c r="AY107" i="55"/>
  <c r="AY103" i="55"/>
  <c r="AY165" i="55"/>
  <c r="AY148" i="55"/>
  <c r="AY96" i="55"/>
  <c r="AY89" i="55"/>
  <c r="AY127" i="55"/>
  <c r="AY121" i="55"/>
  <c r="AY76" i="55"/>
  <c r="AY85" i="55"/>
  <c r="BG250" i="55"/>
  <c r="BG221" i="55"/>
  <c r="BG185" i="55"/>
  <c r="BG232" i="55"/>
  <c r="BG228" i="55"/>
  <c r="BG189" i="55"/>
  <c r="BG215" i="55"/>
  <c r="BG211" i="55"/>
  <c r="BG239" i="55"/>
  <c r="BG76" i="55"/>
  <c r="J273" i="55"/>
  <c r="J249" i="55"/>
  <c r="J261" i="55"/>
  <c r="J238" i="55"/>
  <c r="J184" i="55"/>
  <c r="J227" i="55"/>
  <c r="J81" i="55"/>
  <c r="J138" i="55"/>
  <c r="J164" i="55"/>
  <c r="J102" i="55"/>
  <c r="J76" i="55"/>
  <c r="AF228" i="55"/>
  <c r="AF239" i="55"/>
  <c r="AF172" i="55"/>
  <c r="AF185" i="55"/>
  <c r="AF175" i="55"/>
  <c r="AF232" i="55"/>
  <c r="AF179" i="55"/>
  <c r="AF76" i="55"/>
  <c r="AF165" i="55"/>
  <c r="AP179" i="55"/>
  <c r="AP228" i="55"/>
  <c r="AP239" i="55"/>
  <c r="AP185" i="55"/>
  <c r="AP172" i="55"/>
  <c r="AP232" i="55"/>
  <c r="AP189" i="55"/>
  <c r="AP175" i="55"/>
  <c r="AP165" i="55"/>
  <c r="AP76" i="55"/>
  <c r="AZ262" i="55"/>
  <c r="AZ250" i="55"/>
  <c r="AZ232" i="55"/>
  <c r="AZ172" i="55"/>
  <c r="AZ189" i="55"/>
  <c r="AZ175" i="55"/>
  <c r="AZ228" i="55"/>
  <c r="AZ221" i="55"/>
  <c r="AZ179" i="55"/>
  <c r="AZ239" i="55"/>
  <c r="AZ215" i="55"/>
  <c r="AZ211" i="55"/>
  <c r="AZ185" i="55"/>
  <c r="AZ131" i="55"/>
  <c r="AZ117" i="55"/>
  <c r="AZ82" i="55"/>
  <c r="AZ107" i="55"/>
  <c r="AZ103" i="55"/>
  <c r="AZ165" i="55"/>
  <c r="AZ148" i="55"/>
  <c r="AZ96" i="55"/>
  <c r="AZ89" i="55"/>
  <c r="AZ127" i="55"/>
  <c r="AZ121" i="55"/>
  <c r="AZ76" i="55"/>
  <c r="AZ85" i="55"/>
  <c r="AZ158" i="55"/>
  <c r="AZ152" i="55"/>
  <c r="AZ139" i="55"/>
  <c r="AZ92" i="55"/>
  <c r="O358" i="55"/>
  <c r="O344" i="55"/>
  <c r="O335" i="55"/>
  <c r="O332" i="55"/>
  <c r="O323" i="55"/>
  <c r="O354" i="55"/>
  <c r="O338" i="55"/>
  <c r="O327" i="55"/>
  <c r="O312" i="55"/>
  <c r="O305" i="55"/>
  <c r="O314" i="55"/>
  <c r="O321" i="55"/>
  <c r="O316" i="55"/>
  <c r="O364" i="55"/>
  <c r="O303" i="55"/>
  <c r="O268" i="55"/>
  <c r="O297" i="55"/>
  <c r="O274" i="55"/>
  <c r="O293" i="55"/>
  <c r="O281" i="55"/>
  <c r="O72" i="55"/>
  <c r="W358" i="55"/>
  <c r="W338" i="55"/>
  <c r="W335" i="55"/>
  <c r="W332" i="55"/>
  <c r="W323" i="55"/>
  <c r="W321" i="55"/>
  <c r="W354" i="55"/>
  <c r="W344" i="55"/>
  <c r="W327" i="55"/>
  <c r="W312" i="55"/>
  <c r="W305" i="55"/>
  <c r="W297" i="55"/>
  <c r="W314" i="55"/>
  <c r="W316" i="55"/>
  <c r="W364" i="55"/>
  <c r="W303" i="55"/>
  <c r="W268" i="55"/>
  <c r="W274" i="55"/>
  <c r="W293" i="55"/>
  <c r="W281" i="55"/>
  <c r="W70" i="55"/>
  <c r="W72" i="55"/>
  <c r="AH358" i="55"/>
  <c r="AH335" i="55"/>
  <c r="AH332" i="55"/>
  <c r="AH354" i="55"/>
  <c r="AH338" i="55"/>
  <c r="AH323" i="55"/>
  <c r="AH321" i="55"/>
  <c r="AH344" i="55"/>
  <c r="AH327" i="55"/>
  <c r="AH312" i="55"/>
  <c r="AH305" i="55"/>
  <c r="AH297" i="55"/>
  <c r="AH314" i="55"/>
  <c r="AH316" i="55"/>
  <c r="AH364" i="55"/>
  <c r="AH303" i="55"/>
  <c r="AH268" i="55"/>
  <c r="AH274" i="55"/>
  <c r="AH293" i="55"/>
  <c r="AH281" i="55"/>
  <c r="AH70" i="55"/>
  <c r="AH72" i="55"/>
  <c r="AS358" i="55"/>
  <c r="AS335" i="55"/>
  <c r="AS332" i="55"/>
  <c r="AS354" i="55"/>
  <c r="AS323" i="55"/>
  <c r="AS321" i="55"/>
  <c r="AS344" i="55"/>
  <c r="AS338" i="55"/>
  <c r="AS327" i="55"/>
  <c r="AS312" i="55"/>
  <c r="AS305" i="55"/>
  <c r="AS297" i="55"/>
  <c r="AS314" i="55"/>
  <c r="AS316" i="55"/>
  <c r="AS364" i="55"/>
  <c r="AS303" i="55"/>
  <c r="AS268" i="55"/>
  <c r="AS274" i="55"/>
  <c r="AS293" i="55"/>
  <c r="AS281" i="55"/>
  <c r="AS70" i="55"/>
  <c r="AS72" i="55"/>
  <c r="BD358" i="55"/>
  <c r="BD354" i="55"/>
  <c r="BD338" i="55"/>
  <c r="BD335" i="55"/>
  <c r="BD332" i="55"/>
  <c r="BD323" i="55"/>
  <c r="BD321" i="55"/>
  <c r="BD344" i="55"/>
  <c r="BD327" i="55"/>
  <c r="BD312" i="55"/>
  <c r="BD305" i="55"/>
  <c r="BD297" i="55"/>
  <c r="BD314" i="55"/>
  <c r="BD316" i="55"/>
  <c r="BD364" i="55"/>
  <c r="BD303" i="55"/>
  <c r="BD268" i="55"/>
  <c r="BD274" i="55"/>
  <c r="BD293" i="55"/>
  <c r="BD281" i="55"/>
  <c r="BD70" i="55"/>
  <c r="BD72" i="55"/>
  <c r="O19" i="55"/>
  <c r="W19" i="55"/>
  <c r="AH19" i="55"/>
  <c r="AH67" i="55" s="1"/>
  <c r="AS19" i="55"/>
  <c r="BD19" i="55"/>
  <c r="S20" i="55"/>
  <c r="AD20" i="55"/>
  <c r="AO20" i="55"/>
  <c r="AZ20" i="55"/>
  <c r="O21" i="55"/>
  <c r="W21" i="55"/>
  <c r="AH78" i="55"/>
  <c r="AH169" i="55" s="1"/>
  <c r="Y73" i="55"/>
  <c r="Y71" i="55"/>
  <c r="I39" i="23" s="1"/>
  <c r="AI78" i="55"/>
  <c r="AI186" i="55" s="1"/>
  <c r="AS367" i="55"/>
  <c r="AS285" i="55"/>
  <c r="AS284" i="55"/>
  <c r="AS282" i="55"/>
  <c r="O28" i="55"/>
  <c r="W28" i="55"/>
  <c r="AA29" i="55"/>
  <c r="AA30" i="55" s="1"/>
  <c r="AI29" i="55"/>
  <c r="AI313" i="55" s="1"/>
  <c r="AS29" i="55"/>
  <c r="AS330" i="55" s="1"/>
  <c r="BC29" i="55"/>
  <c r="BC30" i="55" s="1"/>
  <c r="V33" i="55"/>
  <c r="AG33" i="55"/>
  <c r="AR33" i="55"/>
  <c r="BC33" i="55"/>
  <c r="U38" i="55"/>
  <c r="AF38" i="55"/>
  <c r="AQ38" i="55"/>
  <c r="BB38" i="55"/>
  <c r="T53" i="55"/>
  <c r="AE53" i="55"/>
  <c r="AP53" i="55"/>
  <c r="BA53" i="55"/>
  <c r="E218" i="23"/>
  <c r="E160" i="23"/>
  <c r="E90" i="23"/>
  <c r="E233" i="23"/>
  <c r="E172" i="23"/>
  <c r="E105" i="23"/>
  <c r="E248" i="23"/>
  <c r="E184" i="23"/>
  <c r="E120" i="23"/>
  <c r="E263" i="23"/>
  <c r="E196" i="23"/>
  <c r="E135" i="23"/>
  <c r="T70" i="55"/>
  <c r="AI250" i="55"/>
  <c r="AI221" i="55"/>
  <c r="AI185" i="55"/>
  <c r="AI232" i="55"/>
  <c r="AI189" i="55"/>
  <c r="AI215" i="55"/>
  <c r="AI211" i="55"/>
  <c r="AI228" i="55"/>
  <c r="AI239" i="55"/>
  <c r="AI76" i="55"/>
  <c r="AN354" i="55"/>
  <c r="AN344" i="55"/>
  <c r="AN358" i="55"/>
  <c r="AN323" i="55"/>
  <c r="AN321" i="55"/>
  <c r="AN338" i="55"/>
  <c r="AN327" i="55"/>
  <c r="AN335" i="55"/>
  <c r="AN332" i="55"/>
  <c r="AN314" i="55"/>
  <c r="AN316" i="55"/>
  <c r="AN364" i="55"/>
  <c r="AN303" i="55"/>
  <c r="AN312" i="55"/>
  <c r="AN305" i="55"/>
  <c r="AN274" i="55"/>
  <c r="AN293" i="55"/>
  <c r="AN281" i="55"/>
  <c r="AN297" i="55"/>
  <c r="AN268" i="55"/>
  <c r="AN70" i="55"/>
  <c r="R19" i="55"/>
  <c r="R67" i="55" s="1"/>
  <c r="AY19" i="55"/>
  <c r="AY67" i="55" s="1"/>
  <c r="R21" i="55"/>
  <c r="M267" i="55"/>
  <c r="M249" i="55"/>
  <c r="M261" i="55"/>
  <c r="M273" i="55"/>
  <c r="M238" i="55"/>
  <c r="M184" i="55"/>
  <c r="M227" i="55"/>
  <c r="M138" i="55"/>
  <c r="M164" i="55"/>
  <c r="M102" i="55"/>
  <c r="M76" i="55"/>
  <c r="M81" i="55"/>
  <c r="AG239" i="55"/>
  <c r="AG172" i="55"/>
  <c r="AG185" i="55"/>
  <c r="AG175" i="55"/>
  <c r="AG232" i="55"/>
  <c r="AG189" i="55"/>
  <c r="AG179" i="55"/>
  <c r="AG228" i="55"/>
  <c r="AG76" i="55"/>
  <c r="AG165" i="55"/>
  <c r="AQ228" i="55"/>
  <c r="AQ239" i="55"/>
  <c r="AQ185" i="55"/>
  <c r="AQ172" i="55"/>
  <c r="AQ232" i="55"/>
  <c r="AQ189" i="55"/>
  <c r="AQ175" i="55"/>
  <c r="AQ179" i="55"/>
  <c r="AQ165" i="55"/>
  <c r="AQ76" i="55"/>
  <c r="BA262" i="55"/>
  <c r="BA250" i="55"/>
  <c r="BA189" i="55"/>
  <c r="BA175" i="55"/>
  <c r="BA228" i="55"/>
  <c r="BA221" i="55"/>
  <c r="BA179" i="55"/>
  <c r="BA239" i="55"/>
  <c r="BA215" i="55"/>
  <c r="BA211" i="55"/>
  <c r="BA185" i="55"/>
  <c r="BA232" i="55"/>
  <c r="BA172" i="55"/>
  <c r="BA107" i="55"/>
  <c r="BA103" i="55"/>
  <c r="BA165" i="55"/>
  <c r="BA148" i="55"/>
  <c r="BA96" i="55"/>
  <c r="BA89" i="55"/>
  <c r="BA127" i="55"/>
  <c r="BA121" i="55"/>
  <c r="BA76" i="55"/>
  <c r="BA85" i="55"/>
  <c r="BA158" i="55"/>
  <c r="BA152" i="55"/>
  <c r="BA139" i="55"/>
  <c r="BA92" i="55"/>
  <c r="BA131" i="55"/>
  <c r="BA117" i="55"/>
  <c r="BA82" i="55"/>
  <c r="P358" i="55"/>
  <c r="P354" i="55"/>
  <c r="P344" i="55"/>
  <c r="P338" i="55"/>
  <c r="P335" i="55"/>
  <c r="P332" i="55"/>
  <c r="P323" i="55"/>
  <c r="P327" i="55"/>
  <c r="P314" i="55"/>
  <c r="P321" i="55"/>
  <c r="P316" i="55"/>
  <c r="P364" i="55"/>
  <c r="P303" i="55"/>
  <c r="P312" i="55"/>
  <c r="P305" i="55"/>
  <c r="P297" i="55"/>
  <c r="P274" i="55"/>
  <c r="P293" i="55"/>
  <c r="P281" i="55"/>
  <c r="P268" i="55"/>
  <c r="P70" i="55"/>
  <c r="P72" i="55"/>
  <c r="AA358" i="55"/>
  <c r="AA354" i="55"/>
  <c r="AA344" i="55"/>
  <c r="AA338" i="55"/>
  <c r="AA335" i="55"/>
  <c r="AA332" i="55"/>
  <c r="AA323" i="55"/>
  <c r="AA327" i="55"/>
  <c r="AA321" i="55"/>
  <c r="AA314" i="55"/>
  <c r="AA316" i="55"/>
  <c r="AA364" i="55"/>
  <c r="AA303" i="55"/>
  <c r="AA312" i="55"/>
  <c r="AA305" i="55"/>
  <c r="AA274" i="55"/>
  <c r="AA297" i="55"/>
  <c r="AA293" i="55"/>
  <c r="AA281" i="55"/>
  <c r="AA268" i="55"/>
  <c r="AA70" i="55"/>
  <c r="AA72" i="55"/>
  <c r="AI358" i="55"/>
  <c r="AI354" i="55"/>
  <c r="AI344" i="55"/>
  <c r="AI338" i="55"/>
  <c r="AI335" i="55"/>
  <c r="AI332" i="55"/>
  <c r="AI323" i="55"/>
  <c r="AI321" i="55"/>
  <c r="AI327" i="55"/>
  <c r="AI314" i="55"/>
  <c r="AI316" i="55"/>
  <c r="AI364" i="55"/>
  <c r="AI303" i="55"/>
  <c r="AI312" i="55"/>
  <c r="AI305" i="55"/>
  <c r="AI274" i="55"/>
  <c r="AI293" i="55"/>
  <c r="AI281" i="55"/>
  <c r="AI297" i="55"/>
  <c r="AI268" i="55"/>
  <c r="AI70" i="55"/>
  <c r="AI72" i="55"/>
  <c r="AT358" i="55"/>
  <c r="AT354" i="55"/>
  <c r="AT344" i="55"/>
  <c r="AT338" i="55"/>
  <c r="AT335" i="55"/>
  <c r="AT332" i="55"/>
  <c r="AT323" i="55"/>
  <c r="AT321" i="55"/>
  <c r="AT327" i="55"/>
  <c r="AT314" i="55"/>
  <c r="AT316" i="55"/>
  <c r="AT364" i="55"/>
  <c r="AT303" i="55"/>
  <c r="AT312" i="55"/>
  <c r="AT305" i="55"/>
  <c r="AT297" i="55"/>
  <c r="AT274" i="55"/>
  <c r="AT293" i="55"/>
  <c r="AT281" i="55"/>
  <c r="AT268" i="55"/>
  <c r="AT70" i="55"/>
  <c r="AT72" i="55"/>
  <c r="BE358" i="55"/>
  <c r="BE354" i="55"/>
  <c r="BE344" i="55"/>
  <c r="BE338" i="55"/>
  <c r="BE335" i="55"/>
  <c r="BE332" i="55"/>
  <c r="BE323" i="55"/>
  <c r="BE321" i="55"/>
  <c r="BE327" i="55"/>
  <c r="BE314" i="55"/>
  <c r="BE316" i="55"/>
  <c r="BE364" i="55"/>
  <c r="BE303" i="55"/>
  <c r="BE312" i="55"/>
  <c r="BE305" i="55"/>
  <c r="BE274" i="55"/>
  <c r="BE297" i="55"/>
  <c r="BE293" i="55"/>
  <c r="BE281" i="55"/>
  <c r="BE268" i="55"/>
  <c r="BE70" i="55"/>
  <c r="BE72" i="55"/>
  <c r="P19" i="55"/>
  <c r="AA19" i="55"/>
  <c r="AI19" i="55"/>
  <c r="AT19" i="55"/>
  <c r="BE19" i="55"/>
  <c r="T20" i="55"/>
  <c r="AE20" i="55"/>
  <c r="AP20" i="55"/>
  <c r="BA20" i="55"/>
  <c r="P21" i="55"/>
  <c r="AT367" i="55"/>
  <c r="AT285" i="55"/>
  <c r="AT284" i="55"/>
  <c r="AT282" i="55"/>
  <c r="P28" i="55"/>
  <c r="R29" i="55"/>
  <c r="AT29" i="55"/>
  <c r="AT304" i="55" s="1"/>
  <c r="BD29" i="55"/>
  <c r="BD330" i="55" s="1"/>
  <c r="O33" i="55"/>
  <c r="W33" i="55"/>
  <c r="AH33" i="55"/>
  <c r="AS33" i="55"/>
  <c r="BD33" i="55"/>
  <c r="R37" i="55"/>
  <c r="AC37" i="55"/>
  <c r="AN37" i="55"/>
  <c r="AY37" i="55"/>
  <c r="BG37" i="55"/>
  <c r="V38" i="55"/>
  <c r="AG38" i="55"/>
  <c r="AR38" i="55"/>
  <c r="BC38" i="55"/>
  <c r="R51" i="55"/>
  <c r="AC51" i="55"/>
  <c r="AN51" i="55"/>
  <c r="AY51" i="55"/>
  <c r="BG51" i="55"/>
  <c r="U53" i="55"/>
  <c r="AF53" i="55"/>
  <c r="AQ53" i="55"/>
  <c r="BB53" i="55"/>
  <c r="R60" i="55"/>
  <c r="AC60" i="55"/>
  <c r="AN60" i="55"/>
  <c r="AY60" i="55"/>
  <c r="BG60" i="55"/>
  <c r="E221" i="23"/>
  <c r="E93" i="23"/>
  <c r="E236" i="23"/>
  <c r="E108" i="23"/>
  <c r="E251" i="23"/>
  <c r="E266" i="23"/>
  <c r="E138" i="23"/>
  <c r="E123" i="23"/>
  <c r="U70" i="55"/>
  <c r="AC141" i="55"/>
  <c r="AC142" i="55" s="1"/>
  <c r="E234" i="23"/>
  <c r="E173" i="23"/>
  <c r="E106" i="23"/>
  <c r="E249" i="23"/>
  <c r="E185" i="23"/>
  <c r="E121" i="23"/>
  <c r="E264" i="23"/>
  <c r="E197" i="23"/>
  <c r="E136" i="23"/>
  <c r="E219" i="23"/>
  <c r="E161" i="23"/>
  <c r="E91" i="23"/>
  <c r="AE70" i="55"/>
  <c r="AS239" i="55"/>
  <c r="AS185" i="55"/>
  <c r="AS172" i="55"/>
  <c r="AS232" i="55"/>
  <c r="AS175" i="55"/>
  <c r="AS189" i="55"/>
  <c r="AS179" i="55"/>
  <c r="AS228" i="55"/>
  <c r="AS76" i="55"/>
  <c r="AS165" i="55"/>
  <c r="R354" i="55"/>
  <c r="R344" i="55"/>
  <c r="R358" i="55"/>
  <c r="R323" i="55"/>
  <c r="R321" i="55"/>
  <c r="R338" i="55"/>
  <c r="R327" i="55"/>
  <c r="R335" i="55"/>
  <c r="R332" i="55"/>
  <c r="R314" i="55"/>
  <c r="R316" i="55"/>
  <c r="R364" i="55"/>
  <c r="R303" i="55"/>
  <c r="R312" i="55"/>
  <c r="R305" i="55"/>
  <c r="R274" i="55"/>
  <c r="R293" i="55"/>
  <c r="R281" i="55"/>
  <c r="R268" i="55"/>
  <c r="R297" i="55"/>
  <c r="R70" i="55"/>
  <c r="AY354" i="55"/>
  <c r="AY344" i="55"/>
  <c r="AY358" i="55"/>
  <c r="AY323" i="55"/>
  <c r="AY321" i="55"/>
  <c r="AY338" i="55"/>
  <c r="AY327" i="55"/>
  <c r="AY335" i="55"/>
  <c r="AY332" i="55"/>
  <c r="AY314" i="55"/>
  <c r="AY316" i="55"/>
  <c r="AY364" i="55"/>
  <c r="AY303" i="55"/>
  <c r="AY312" i="55"/>
  <c r="AY305" i="55"/>
  <c r="AY297" i="55"/>
  <c r="AY274" i="55"/>
  <c r="AY293" i="55"/>
  <c r="AY281" i="55"/>
  <c r="AY268" i="55"/>
  <c r="AY70" i="55"/>
  <c r="AC19" i="55"/>
  <c r="BG19" i="55"/>
  <c r="AB262" i="55"/>
  <c r="AB250" i="55"/>
  <c r="AB172" i="55"/>
  <c r="AB189" i="55"/>
  <c r="AB185" i="55"/>
  <c r="AB175" i="55"/>
  <c r="AB232" i="55"/>
  <c r="AB221" i="55"/>
  <c r="AB179" i="55"/>
  <c r="AB228" i="55"/>
  <c r="AB239" i="55"/>
  <c r="AB215" i="55"/>
  <c r="AB211" i="55"/>
  <c r="AB107" i="55"/>
  <c r="AB103" i="55"/>
  <c r="AB148" i="55"/>
  <c r="AB96" i="55"/>
  <c r="AB89" i="55"/>
  <c r="AB76" i="55"/>
  <c r="AB127" i="55"/>
  <c r="AB121" i="55"/>
  <c r="AB165" i="55"/>
  <c r="AB85" i="55"/>
  <c r="AB158" i="55"/>
  <c r="AB152" i="55"/>
  <c r="AB139" i="55"/>
  <c r="AB92" i="55"/>
  <c r="AB131" i="55"/>
  <c r="AB117" i="55"/>
  <c r="AB82" i="55"/>
  <c r="BD239" i="55"/>
  <c r="BD185" i="55"/>
  <c r="BD232" i="55"/>
  <c r="BD172" i="55"/>
  <c r="BD175" i="55"/>
  <c r="BD228" i="55"/>
  <c r="BD179" i="55"/>
  <c r="BD76" i="55"/>
  <c r="BD165" i="55"/>
  <c r="AK16" i="55"/>
  <c r="AD354" i="55"/>
  <c r="AD344" i="55"/>
  <c r="AD327" i="55"/>
  <c r="AD338" i="55"/>
  <c r="AD335" i="55"/>
  <c r="AD332" i="55"/>
  <c r="AD358" i="55"/>
  <c r="AD323" i="55"/>
  <c r="AD321" i="55"/>
  <c r="AD316" i="55"/>
  <c r="AD303" i="55"/>
  <c r="AD312" i="55"/>
  <c r="AD305" i="55"/>
  <c r="AD314" i="55"/>
  <c r="AD297" i="55"/>
  <c r="AD293" i="55"/>
  <c r="AD281" i="55"/>
  <c r="AD268" i="55"/>
  <c r="AD364" i="55"/>
  <c r="AD274" i="55"/>
  <c r="AD72" i="55"/>
  <c r="AD70" i="55"/>
  <c r="AZ354" i="55"/>
  <c r="AZ344" i="55"/>
  <c r="AZ338" i="55"/>
  <c r="AZ327" i="55"/>
  <c r="AZ358" i="55"/>
  <c r="AZ335" i="55"/>
  <c r="AZ332" i="55"/>
  <c r="AZ323" i="55"/>
  <c r="AZ321" i="55"/>
  <c r="AZ316" i="55"/>
  <c r="AZ303" i="55"/>
  <c r="AZ312" i="55"/>
  <c r="AZ305" i="55"/>
  <c r="AZ314" i="55"/>
  <c r="AZ293" i="55"/>
  <c r="AZ281" i="55"/>
  <c r="AZ364" i="55"/>
  <c r="AZ268" i="55"/>
  <c r="AZ297" i="55"/>
  <c r="AZ274" i="55"/>
  <c r="AZ72" i="55"/>
  <c r="AZ70" i="55"/>
  <c r="S19" i="55"/>
  <c r="AD19" i="55"/>
  <c r="AO19" i="55"/>
  <c r="AZ19" i="55"/>
  <c r="S21" i="55"/>
  <c r="AW71" i="55"/>
  <c r="I41" i="23" s="1"/>
  <c r="BG78" i="55"/>
  <c r="BG186" i="55" s="1"/>
  <c r="BF78" i="55"/>
  <c r="BF169" i="55" s="1"/>
  <c r="AW73" i="55"/>
  <c r="S28" i="55"/>
  <c r="U29" i="55"/>
  <c r="AE29" i="55"/>
  <c r="AO29" i="55"/>
  <c r="AY29" i="55"/>
  <c r="AY313" i="55" s="1"/>
  <c r="BG29" i="55"/>
  <c r="BG304" i="55" s="1"/>
  <c r="R33" i="55"/>
  <c r="AC33" i="55"/>
  <c r="AN33" i="55"/>
  <c r="AY33" i="55"/>
  <c r="BG33" i="55"/>
  <c r="AW36" i="55"/>
  <c r="U37" i="55"/>
  <c r="AF37" i="55"/>
  <c r="AQ37" i="55"/>
  <c r="BB37" i="55"/>
  <c r="U51" i="55"/>
  <c r="AF51" i="55"/>
  <c r="AQ51" i="55"/>
  <c r="BB51" i="55"/>
  <c r="P53" i="55"/>
  <c r="AA53" i="55"/>
  <c r="AI53" i="55"/>
  <c r="AT53" i="55"/>
  <c r="BE53" i="55"/>
  <c r="AW59" i="55"/>
  <c r="U60" i="55"/>
  <c r="AF60" i="55"/>
  <c r="AQ60" i="55"/>
  <c r="BB60" i="55"/>
  <c r="V67" i="55"/>
  <c r="AP70" i="55"/>
  <c r="AN72" i="55"/>
  <c r="P106" i="55"/>
  <c r="AY106" i="55"/>
  <c r="AN118" i="55"/>
  <c r="AA122" i="55"/>
  <c r="BA122" i="55"/>
  <c r="AN124" i="55"/>
  <c r="AA128" i="55"/>
  <c r="BA128" i="55"/>
  <c r="AM140" i="55"/>
  <c r="Q143" i="55"/>
  <c r="O118" i="55"/>
  <c r="AO118" i="55"/>
  <c r="AB122" i="55"/>
  <c r="O124" i="55"/>
  <c r="AO124" i="55"/>
  <c r="AB128" i="55"/>
  <c r="AA143" i="55"/>
  <c r="BA143" i="55"/>
  <c r="E222" i="23"/>
  <c r="E94" i="23"/>
  <c r="E237" i="23"/>
  <c r="E109" i="23"/>
  <c r="E252" i="23"/>
  <c r="E124" i="23"/>
  <c r="E267" i="23"/>
  <c r="E139" i="23"/>
  <c r="P118" i="55"/>
  <c r="AY118" i="55"/>
  <c r="AC122" i="55"/>
  <c r="P124" i="55"/>
  <c r="AY124" i="55"/>
  <c r="AC128" i="55"/>
  <c r="O140" i="55"/>
  <c r="AO140" i="55"/>
  <c r="AB106" i="55"/>
  <c r="Q118" i="55"/>
  <c r="AZ118" i="55"/>
  <c r="AM122" i="55"/>
  <c r="Q124" i="55"/>
  <c r="AZ124" i="55"/>
  <c r="AM128" i="55"/>
  <c r="AY140" i="55"/>
  <c r="AC143" i="55"/>
  <c r="AC106" i="55"/>
  <c r="AA118" i="55"/>
  <c r="BA118" i="55"/>
  <c r="AN122" i="55"/>
  <c r="AA124" i="55"/>
  <c r="BA124" i="55"/>
  <c r="AN128" i="55"/>
  <c r="AM106" i="55"/>
  <c r="AB118" i="55"/>
  <c r="O122" i="55"/>
  <c r="AO122" i="55"/>
  <c r="AB124" i="55"/>
  <c r="O128" i="55"/>
  <c r="AO128" i="55"/>
  <c r="AN106" i="55"/>
  <c r="AC118" i="55"/>
  <c r="P122" i="55"/>
  <c r="AY122" i="55"/>
  <c r="AC124" i="55"/>
  <c r="P128" i="55"/>
  <c r="AY128" i="55"/>
  <c r="AM118" i="55"/>
  <c r="Q122" i="55"/>
  <c r="AZ122" i="55"/>
  <c r="AM124" i="55"/>
  <c r="Q128" i="55"/>
  <c r="AZ128" i="55"/>
  <c r="AA267" i="55"/>
  <c r="AM267" i="55"/>
  <c r="AY267" i="55"/>
  <c r="E268" i="55"/>
  <c r="AY320" i="55"/>
  <c r="O320" i="55"/>
  <c r="AA320" i="55"/>
  <c r="I472" i="24"/>
  <c r="J472" i="24"/>
  <c r="T317" i="24"/>
  <c r="J419" i="24"/>
  <c r="I421" i="24" a="1"/>
  <c r="I421" i="24" s="1"/>
  <c r="Q20" i="23"/>
  <c r="N21" i="23"/>
  <c r="Q13" i="23"/>
  <c r="N18" i="23"/>
  <c r="R19" i="23"/>
  <c r="O21" i="23"/>
  <c r="N11" i="23"/>
  <c r="M18" i="23"/>
  <c r="R12" i="23"/>
  <c r="N20" i="23"/>
  <c r="P18" i="23"/>
  <c r="P21" i="23"/>
  <c r="R18" i="23"/>
  <c r="M13" i="23"/>
  <c r="P19" i="23"/>
  <c r="R20" i="23"/>
  <c r="O18" i="23"/>
  <c r="O20" i="23"/>
  <c r="Q18" i="23"/>
  <c r="N12" i="23"/>
  <c r="M21" i="23"/>
  <c r="M12" i="23"/>
  <c r="O13" i="23"/>
  <c r="R11" i="23"/>
  <c r="Q21" i="23"/>
  <c r="O11" i="23"/>
  <c r="P12" i="23"/>
  <c r="M19" i="23"/>
  <c r="P20" i="23"/>
  <c r="R13" i="23"/>
  <c r="P11" i="23"/>
  <c r="N13" i="23"/>
  <c r="P13" i="23"/>
  <c r="M11" i="23"/>
  <c r="M20" i="23"/>
  <c r="Q12" i="23"/>
  <c r="O12" i="23"/>
  <c r="Q19" i="23"/>
  <c r="Q11" i="23"/>
  <c r="N19" i="23"/>
  <c r="R21" i="23"/>
  <c r="O19" i="23"/>
  <c r="P360" i="73" l="1"/>
  <c r="AB299" i="74"/>
  <c r="V296" i="74"/>
  <c r="V298" i="74" s="1"/>
  <c r="AT299" i="75"/>
  <c r="AE359" i="76"/>
  <c r="AB359" i="76"/>
  <c r="Y359" i="76" s="1"/>
  <c r="AF299" i="74"/>
  <c r="W299" i="73"/>
  <c r="AU360" i="72"/>
  <c r="AE299" i="73"/>
  <c r="AG359" i="74"/>
  <c r="W357" i="74"/>
  <c r="W359" i="74" s="1"/>
  <c r="Q357" i="74"/>
  <c r="Q360" i="74" s="1"/>
  <c r="AZ296" i="74"/>
  <c r="AZ298" i="74" s="1"/>
  <c r="AH299" i="74"/>
  <c r="BG357" i="74"/>
  <c r="BG359" i="74" s="1"/>
  <c r="J224" i="74"/>
  <c r="AN299" i="75"/>
  <c r="AU359" i="75"/>
  <c r="AC299" i="74"/>
  <c r="AF359" i="73"/>
  <c r="AC299" i="73"/>
  <c r="W299" i="75"/>
  <c r="AD359" i="74"/>
  <c r="AK296" i="75"/>
  <c r="AK298" i="75" s="1"/>
  <c r="AO299" i="75"/>
  <c r="AI360" i="74"/>
  <c r="AI359" i="74"/>
  <c r="AP360" i="75"/>
  <c r="AI299" i="74"/>
  <c r="AH359" i="73"/>
  <c r="V299" i="74"/>
  <c r="U299" i="76"/>
  <c r="T299" i="76"/>
  <c r="W360" i="76"/>
  <c r="R299" i="76"/>
  <c r="S360" i="76"/>
  <c r="S359" i="76"/>
  <c r="P359" i="76"/>
  <c r="P360" i="76"/>
  <c r="W299" i="76"/>
  <c r="BE298" i="76"/>
  <c r="T360" i="76"/>
  <c r="AT296" i="76"/>
  <c r="AT298" i="76" s="1"/>
  <c r="BC296" i="76"/>
  <c r="AZ357" i="76"/>
  <c r="AZ360" i="76" s="1"/>
  <c r="BB296" i="76"/>
  <c r="BB299" i="76" s="1"/>
  <c r="AS357" i="76"/>
  <c r="AS360" i="76" s="1"/>
  <c r="P299" i="76"/>
  <c r="O299" i="76"/>
  <c r="BA357" i="76"/>
  <c r="BA360" i="76" s="1"/>
  <c r="BB357" i="76"/>
  <c r="BB360" i="76" s="1"/>
  <c r="AU357" i="76"/>
  <c r="AU359" i="76" s="1"/>
  <c r="AT357" i="76"/>
  <c r="AT360" i="76" s="1"/>
  <c r="AN357" i="76"/>
  <c r="AN360" i="76" s="1"/>
  <c r="V299" i="76"/>
  <c r="BC357" i="76"/>
  <c r="BC360" i="76" s="1"/>
  <c r="BA296" i="76"/>
  <c r="BA298" i="76" s="1"/>
  <c r="AZ296" i="76"/>
  <c r="AS296" i="76"/>
  <c r="AS298" i="76" s="1"/>
  <c r="U360" i="76"/>
  <c r="U359" i="76"/>
  <c r="AW356" i="76"/>
  <c r="AY296" i="76"/>
  <c r="AW295" i="76"/>
  <c r="AN296" i="76"/>
  <c r="AO296" i="76"/>
  <c r="AP357" i="76"/>
  <c r="O11" i="76"/>
  <c r="O245" i="76"/>
  <c r="P245" i="76"/>
  <c r="P246" i="76" s="1"/>
  <c r="P264" i="76" s="1"/>
  <c r="P11" i="76"/>
  <c r="V360" i="76"/>
  <c r="V359" i="76"/>
  <c r="AK294" i="76"/>
  <c r="AS299" i="76"/>
  <c r="R360" i="76"/>
  <c r="R359" i="76"/>
  <c r="M296" i="76"/>
  <c r="Q245" i="76"/>
  <c r="Q246" i="76" s="1"/>
  <c r="Q11" i="76"/>
  <c r="BG299" i="76"/>
  <c r="BB298" i="76"/>
  <c r="BF357" i="76"/>
  <c r="S298" i="76"/>
  <c r="S299" i="76"/>
  <c r="J224" i="76"/>
  <c r="AM357" i="76"/>
  <c r="AK355" i="76"/>
  <c r="W11" i="76"/>
  <c r="W245" i="76"/>
  <c r="W246" i="76" s="1"/>
  <c r="AW294" i="76"/>
  <c r="BF296" i="76"/>
  <c r="AQ296" i="76"/>
  <c r="AP296" i="76"/>
  <c r="AR296" i="76"/>
  <c r="M357" i="76"/>
  <c r="AY224" i="76"/>
  <c r="BG224" i="76"/>
  <c r="BG12" i="76" s="1"/>
  <c r="AW12" i="76" s="1"/>
  <c r="BA224" i="76"/>
  <c r="AZ224" i="76"/>
  <c r="BG214" i="76"/>
  <c r="BA214" i="76"/>
  <c r="AZ214" i="76"/>
  <c r="AY214" i="76"/>
  <c r="BD296" i="76"/>
  <c r="BG357" i="76"/>
  <c r="Q298" i="76"/>
  <c r="Q299" i="76"/>
  <c r="AQ357" i="76"/>
  <c r="O360" i="76"/>
  <c r="O359" i="76"/>
  <c r="AM214" i="76"/>
  <c r="AU214" i="76"/>
  <c r="AN224" i="76"/>
  <c r="AM224" i="76"/>
  <c r="AU224" i="76"/>
  <c r="AU12" i="76" s="1"/>
  <c r="AK12" i="76" s="1"/>
  <c r="AO214" i="76"/>
  <c r="AN214" i="76"/>
  <c r="AO224" i="76"/>
  <c r="BE357" i="76"/>
  <c r="BD357" i="76"/>
  <c r="AU296" i="76"/>
  <c r="AO357" i="76"/>
  <c r="AR357" i="76"/>
  <c r="Q360" i="76"/>
  <c r="Q359" i="76"/>
  <c r="AY357" i="76"/>
  <c r="AW355" i="76"/>
  <c r="AK356" i="76"/>
  <c r="AM296" i="76"/>
  <c r="AK295" i="76"/>
  <c r="AK357" i="75"/>
  <c r="S299" i="75"/>
  <c r="AM299" i="75"/>
  <c r="AR359" i="75"/>
  <c r="BD357" i="75"/>
  <c r="BF357" i="75"/>
  <c r="BF359" i="75" s="1"/>
  <c r="BC357" i="75"/>
  <c r="AH299" i="75"/>
  <c r="BA296" i="75"/>
  <c r="BG357" i="75"/>
  <c r="BE296" i="75"/>
  <c r="AW295" i="75"/>
  <c r="J295" i="75" s="1"/>
  <c r="AY296" i="75"/>
  <c r="U299" i="75"/>
  <c r="BD296" i="75"/>
  <c r="AW294" i="75"/>
  <c r="J294" i="75" s="1"/>
  <c r="BE357" i="75"/>
  <c r="BF296" i="75"/>
  <c r="BB357" i="75"/>
  <c r="BB296" i="75"/>
  <c r="AZ357" i="75"/>
  <c r="BG296" i="75"/>
  <c r="AW355" i="75"/>
  <c r="J355" i="75" s="1"/>
  <c r="AY357" i="75"/>
  <c r="AZ296" i="75"/>
  <c r="BA224" i="75"/>
  <c r="AY214" i="75"/>
  <c r="AZ224" i="75"/>
  <c r="AY224" i="75"/>
  <c r="AZ214" i="75"/>
  <c r="BG214" i="75"/>
  <c r="BA214" i="75"/>
  <c r="BG224" i="75"/>
  <c r="BG12" i="75" s="1"/>
  <c r="AW12" i="75" s="1"/>
  <c r="J12" i="75" s="1"/>
  <c r="BC296" i="75"/>
  <c r="AW356" i="75"/>
  <c r="J356" i="75" s="1"/>
  <c r="BA357" i="75"/>
  <c r="AE299" i="75"/>
  <c r="R299" i="75"/>
  <c r="P299" i="75"/>
  <c r="AI299" i="75"/>
  <c r="M296" i="75"/>
  <c r="V360" i="75"/>
  <c r="AD299" i="75"/>
  <c r="AB299" i="75"/>
  <c r="AE360" i="75"/>
  <c r="AE359" i="75"/>
  <c r="U359" i="75"/>
  <c r="T298" i="75"/>
  <c r="T299" i="75"/>
  <c r="Q299" i="75"/>
  <c r="P360" i="75"/>
  <c r="P359" i="75"/>
  <c r="AH360" i="75"/>
  <c r="AH359" i="75"/>
  <c r="M357" i="75"/>
  <c r="AF299" i="75"/>
  <c r="S360" i="75"/>
  <c r="S359" i="75"/>
  <c r="AI360" i="75"/>
  <c r="AI359" i="75"/>
  <c r="T359" i="75"/>
  <c r="AC299" i="75"/>
  <c r="AF360" i="75"/>
  <c r="AF359" i="75"/>
  <c r="AB360" i="75"/>
  <c r="AB359" i="75"/>
  <c r="AC360" i="75"/>
  <c r="AC359" i="75"/>
  <c r="O11" i="75"/>
  <c r="O245" i="75"/>
  <c r="R360" i="75"/>
  <c r="R359" i="75"/>
  <c r="AA245" i="75"/>
  <c r="AA11" i="75"/>
  <c r="Y296" i="75"/>
  <c r="AA298" i="75"/>
  <c r="AA299" i="75"/>
  <c r="O298" i="75"/>
  <c r="O299" i="75"/>
  <c r="AD360" i="75"/>
  <c r="AD359" i="75"/>
  <c r="AG360" i="75"/>
  <c r="AG359" i="75"/>
  <c r="AB11" i="75"/>
  <c r="AB245" i="75"/>
  <c r="AB246" i="75" s="1"/>
  <c r="AB264" i="75" s="1"/>
  <c r="V299" i="75"/>
  <c r="Q245" i="75"/>
  <c r="Q246" i="75" s="1"/>
  <c r="Q11" i="75"/>
  <c r="AC245" i="75"/>
  <c r="AC246" i="75" s="1"/>
  <c r="AC11" i="75"/>
  <c r="AA360" i="75"/>
  <c r="AA359" i="75"/>
  <c r="W360" i="75"/>
  <c r="W359" i="75"/>
  <c r="P245" i="75"/>
  <c r="P246" i="75" s="1"/>
  <c r="P264" i="75" s="1"/>
  <c r="P11" i="75"/>
  <c r="Y357" i="75"/>
  <c r="O359" i="75"/>
  <c r="O360" i="75"/>
  <c r="W245" i="75"/>
  <c r="W246" i="75" s="1"/>
  <c r="W11" i="75"/>
  <c r="AI245" i="75"/>
  <c r="AI246" i="75" s="1"/>
  <c r="AI11" i="75"/>
  <c r="Q359" i="75"/>
  <c r="Q360" i="75"/>
  <c r="AS357" i="74"/>
  <c r="BE357" i="74"/>
  <c r="BE359" i="74" s="1"/>
  <c r="AP357" i="74"/>
  <c r="AQ357" i="74"/>
  <c r="Y357" i="74"/>
  <c r="S296" i="74"/>
  <c r="S298" i="74" s="1"/>
  <c r="AO296" i="74"/>
  <c r="AO298" i="74" s="1"/>
  <c r="P296" i="74"/>
  <c r="P298" i="74" s="1"/>
  <c r="AT296" i="74"/>
  <c r="AR296" i="74"/>
  <c r="AR298" i="74" s="1"/>
  <c r="AN296" i="74"/>
  <c r="AU224" i="74"/>
  <c r="AU12" i="74" s="1"/>
  <c r="AK12" i="74" s="1"/>
  <c r="AN214" i="74"/>
  <c r="AO224" i="74"/>
  <c r="AM214" i="74"/>
  <c r="AN224" i="74"/>
  <c r="AM224" i="74"/>
  <c r="AO214" i="74"/>
  <c r="AU214" i="74"/>
  <c r="AK294" i="74"/>
  <c r="AP296" i="74"/>
  <c r="AP298" i="74" s="1"/>
  <c r="AM296" i="74"/>
  <c r="AK295" i="74"/>
  <c r="AU357" i="74"/>
  <c r="AO357" i="74"/>
  <c r="AR357" i="74"/>
  <c r="AU296" i="74"/>
  <c r="AU298" i="74" s="1"/>
  <c r="AQ296" i="74"/>
  <c r="AQ298" i="74" s="1"/>
  <c r="AT357" i="74"/>
  <c r="AN357" i="74"/>
  <c r="AS296" i="74"/>
  <c r="AS298" i="74" s="1"/>
  <c r="AM357" i="74"/>
  <c r="AK355" i="74"/>
  <c r="AK356" i="74"/>
  <c r="BA296" i="74"/>
  <c r="BA298" i="74" s="1"/>
  <c r="W296" i="74"/>
  <c r="W298" i="74" s="1"/>
  <c r="T357" i="74"/>
  <c r="T359" i="74" s="1"/>
  <c r="S357" i="74"/>
  <c r="S360" i="74" s="1"/>
  <c r="Q296" i="74"/>
  <c r="Q298" i="74" s="1"/>
  <c r="AE299" i="74"/>
  <c r="BE296" i="74"/>
  <c r="BE298" i="74" s="1"/>
  <c r="P357" i="74"/>
  <c r="AG299" i="74"/>
  <c r="BC357" i="74"/>
  <c r="BC359" i="74" s="1"/>
  <c r="V357" i="74"/>
  <c r="V360" i="74" s="1"/>
  <c r="AA299" i="74"/>
  <c r="M294" i="74"/>
  <c r="BB296" i="74"/>
  <c r="BB298" i="74" s="1"/>
  <c r="BF357" i="74"/>
  <c r="BF359" i="74" s="1"/>
  <c r="R296" i="74"/>
  <c r="R298" i="74" s="1"/>
  <c r="AB360" i="74"/>
  <c r="AB359" i="74"/>
  <c r="AE360" i="74"/>
  <c r="AE359" i="74"/>
  <c r="Y296" i="74"/>
  <c r="Y298" i="74" s="1"/>
  <c r="BF296" i="74"/>
  <c r="Q214" i="74"/>
  <c r="W224" i="74"/>
  <c r="W12" i="74" s="1"/>
  <c r="M12" i="74" s="1"/>
  <c r="P214" i="74"/>
  <c r="Q224" i="74"/>
  <c r="O214" i="74"/>
  <c r="P224" i="74"/>
  <c r="W214" i="74"/>
  <c r="O224" i="74"/>
  <c r="AF360" i="74"/>
  <c r="AF359" i="74"/>
  <c r="AI11" i="74"/>
  <c r="AI245" i="74"/>
  <c r="AI246" i="74" s="1"/>
  <c r="M356" i="74"/>
  <c r="R357" i="74"/>
  <c r="T296" i="74"/>
  <c r="T298" i="74" s="1"/>
  <c r="U357" i="74"/>
  <c r="BF360" i="74"/>
  <c r="W360" i="74"/>
  <c r="BA224" i="74"/>
  <c r="AZ214" i="74"/>
  <c r="AY214" i="74"/>
  <c r="AZ224" i="74"/>
  <c r="AY224" i="74"/>
  <c r="BG214" i="74"/>
  <c r="BA214" i="74"/>
  <c r="BG224" i="74"/>
  <c r="BG12" i="74" s="1"/>
  <c r="AW12" i="74" s="1"/>
  <c r="BG296" i="74"/>
  <c r="AW294" i="74"/>
  <c r="AY357" i="74"/>
  <c r="AW355" i="74"/>
  <c r="AC360" i="74"/>
  <c r="AC359" i="74"/>
  <c r="BA357" i="74"/>
  <c r="BC296" i="74"/>
  <c r="BC298" i="74" s="1"/>
  <c r="BD357" i="74"/>
  <c r="AH360" i="74"/>
  <c r="AH359" i="74"/>
  <c r="AA11" i="74"/>
  <c r="AA245" i="74"/>
  <c r="AW295" i="74"/>
  <c r="AY296" i="74"/>
  <c r="Q359" i="74"/>
  <c r="AZ357" i="74"/>
  <c r="BB357" i="74"/>
  <c r="O357" i="74"/>
  <c r="M355" i="74"/>
  <c r="O296" i="74"/>
  <c r="O298" i="74" s="1"/>
  <c r="M295" i="74"/>
  <c r="AB245" i="74"/>
  <c r="AB246" i="74" s="1"/>
  <c r="AB264" i="74" s="1"/>
  <c r="AB11" i="74"/>
  <c r="AW356" i="74"/>
  <c r="U296" i="74"/>
  <c r="U298" i="74" s="1"/>
  <c r="BD296" i="74"/>
  <c r="AC11" i="74"/>
  <c r="AC245" i="74"/>
  <c r="AC246" i="74" s="1"/>
  <c r="AA360" i="74"/>
  <c r="AA359" i="74"/>
  <c r="S359" i="73"/>
  <c r="AG360" i="73"/>
  <c r="BA299" i="73"/>
  <c r="AZ299" i="73"/>
  <c r="AB299" i="73"/>
  <c r="P299" i="73"/>
  <c r="W359" i="73"/>
  <c r="AH299" i="73"/>
  <c r="BF299" i="73"/>
  <c r="T299" i="73"/>
  <c r="BC299" i="73"/>
  <c r="BG299" i="73"/>
  <c r="AI360" i="73"/>
  <c r="AQ296" i="73"/>
  <c r="AQ298" i="73" s="1"/>
  <c r="AO296" i="73"/>
  <c r="AO298" i="73" s="1"/>
  <c r="BD360" i="73"/>
  <c r="BD359" i="73"/>
  <c r="AN357" i="73"/>
  <c r="AN360" i="73" s="1"/>
  <c r="AW296" i="73"/>
  <c r="AW298" i="73" s="1"/>
  <c r="AP357" i="73"/>
  <c r="AP359" i="73" s="1"/>
  <c r="AO357" i="73"/>
  <c r="AO360" i="73" s="1"/>
  <c r="AI298" i="73"/>
  <c r="AI299" i="73"/>
  <c r="AQ357" i="73"/>
  <c r="AQ360" i="73" s="1"/>
  <c r="S299" i="73"/>
  <c r="BE299" i="73"/>
  <c r="AE360" i="73"/>
  <c r="AE359" i="73"/>
  <c r="AK356" i="73"/>
  <c r="J356" i="73" s="1"/>
  <c r="AT357" i="73"/>
  <c r="AN296" i="73"/>
  <c r="AR357" i="73"/>
  <c r="AY298" i="73"/>
  <c r="AY299" i="73"/>
  <c r="Y357" i="73"/>
  <c r="V360" i="73"/>
  <c r="V359" i="73"/>
  <c r="AG298" i="73"/>
  <c r="AG299" i="73"/>
  <c r="AB245" i="73"/>
  <c r="AB246" i="73" s="1"/>
  <c r="AB264" i="73" s="1"/>
  <c r="AB11" i="73"/>
  <c r="BF360" i="73"/>
  <c r="BF359" i="73"/>
  <c r="AP296" i="73"/>
  <c r="Q360" i="73"/>
  <c r="Q359" i="73"/>
  <c r="BE360" i="73"/>
  <c r="BE359" i="73"/>
  <c r="AA360" i="73"/>
  <c r="AA359" i="73"/>
  <c r="AZ245" i="73"/>
  <c r="AZ246" i="73" s="1"/>
  <c r="AZ264" i="73" s="1"/>
  <c r="AZ11" i="73"/>
  <c r="P245" i="73"/>
  <c r="P246" i="73" s="1"/>
  <c r="P264" i="73" s="1"/>
  <c r="P11" i="73"/>
  <c r="M357" i="73"/>
  <c r="AY360" i="73"/>
  <c r="AY359" i="73"/>
  <c r="AA298" i="73"/>
  <c r="AA299" i="73"/>
  <c r="AA11" i="73"/>
  <c r="AA245" i="73"/>
  <c r="BC360" i="73"/>
  <c r="BC359" i="73"/>
  <c r="AN214" i="73"/>
  <c r="AO214" i="73"/>
  <c r="AO224" i="73"/>
  <c r="AU224" i="73"/>
  <c r="AU12" i="73" s="1"/>
  <c r="AK12" i="73" s="1"/>
  <c r="J12" i="73" s="1"/>
  <c r="AM214" i="73"/>
  <c r="AN224" i="73"/>
  <c r="AM224" i="73"/>
  <c r="AU214" i="73"/>
  <c r="AS296" i="73"/>
  <c r="AR296" i="73"/>
  <c r="O360" i="73"/>
  <c r="O359" i="73"/>
  <c r="Q299" i="73"/>
  <c r="BD298" i="73"/>
  <c r="BD299" i="73"/>
  <c r="AW357" i="73"/>
  <c r="Y296" i="73"/>
  <c r="Y298" i="73" s="1"/>
  <c r="AT296" i="73"/>
  <c r="BG360" i="73"/>
  <c r="BG359" i="73"/>
  <c r="BA360" i="73"/>
  <c r="BA359" i="73"/>
  <c r="AY245" i="73"/>
  <c r="AY11" i="73"/>
  <c r="O11" i="73"/>
  <c r="O245" i="73"/>
  <c r="AB360" i="73"/>
  <c r="AB359" i="73"/>
  <c r="BB299" i="73"/>
  <c r="AC11" i="73"/>
  <c r="AC245" i="73"/>
  <c r="AC246" i="73" s="1"/>
  <c r="BG245" i="73"/>
  <c r="BG246" i="73" s="1"/>
  <c r="BG11" i="73"/>
  <c r="O298" i="73"/>
  <c r="O299" i="73"/>
  <c r="AD359" i="73"/>
  <c r="AD360" i="73"/>
  <c r="Q245" i="73"/>
  <c r="Q246" i="73" s="1"/>
  <c r="Q11" i="73"/>
  <c r="U360" i="73"/>
  <c r="U359" i="73"/>
  <c r="T360" i="73"/>
  <c r="T359" i="73"/>
  <c r="AS357" i="73"/>
  <c r="AK294" i="73"/>
  <c r="J294" i="73" s="1"/>
  <c r="AF298" i="73"/>
  <c r="AF299" i="73"/>
  <c r="R299" i="73"/>
  <c r="AK295" i="73"/>
  <c r="AM296" i="73"/>
  <c r="AU296" i="73"/>
  <c r="AM357" i="73"/>
  <c r="AK355" i="73"/>
  <c r="AU357" i="73"/>
  <c r="AD298" i="73"/>
  <c r="AD299" i="73"/>
  <c r="V298" i="73"/>
  <c r="V299" i="73"/>
  <c r="U298" i="73"/>
  <c r="U299" i="73"/>
  <c r="BA245" i="73"/>
  <c r="BA246" i="73" s="1"/>
  <c r="BA11" i="73"/>
  <c r="W245" i="73"/>
  <c r="W246" i="73" s="1"/>
  <c r="W11" i="73"/>
  <c r="M296" i="73"/>
  <c r="AI245" i="73"/>
  <c r="AI246" i="73" s="1"/>
  <c r="AI11" i="73"/>
  <c r="V359" i="72"/>
  <c r="W359" i="72"/>
  <c r="AT299" i="72"/>
  <c r="BG357" i="72"/>
  <c r="BG360" i="72" s="1"/>
  <c r="R359" i="72"/>
  <c r="Q299" i="72"/>
  <c r="BC357" i="72"/>
  <c r="BC360" i="72" s="1"/>
  <c r="AR299" i="72"/>
  <c r="AZ296" i="72"/>
  <c r="AZ298" i="72" s="1"/>
  <c r="BB357" i="72"/>
  <c r="BE296" i="72"/>
  <c r="BE298" i="72" s="1"/>
  <c r="AO299" i="72"/>
  <c r="BD296" i="72"/>
  <c r="T299" i="72"/>
  <c r="BF296" i="72"/>
  <c r="BD357" i="72"/>
  <c r="BD359" i="72" s="1"/>
  <c r="BB296" i="72"/>
  <c r="P299" i="72"/>
  <c r="AZ224" i="72"/>
  <c r="AY224" i="72"/>
  <c r="AY214" i="72"/>
  <c r="BA214" i="72"/>
  <c r="AZ214" i="72"/>
  <c r="BG214" i="72"/>
  <c r="BG224" i="72"/>
  <c r="BG12" i="72" s="1"/>
  <c r="AW12" i="72" s="1"/>
  <c r="J12" i="72" s="1"/>
  <c r="BA224" i="72"/>
  <c r="AW356" i="72"/>
  <c r="J356" i="72" s="1"/>
  <c r="Q360" i="72"/>
  <c r="Q359" i="72"/>
  <c r="AU299" i="72"/>
  <c r="BG296" i="72"/>
  <c r="BA296" i="72"/>
  <c r="BC296" i="72"/>
  <c r="AW294" i="72"/>
  <c r="J294" i="72" s="1"/>
  <c r="BF357" i="72"/>
  <c r="BE357" i="72"/>
  <c r="AY357" i="72"/>
  <c r="AW355" i="72"/>
  <c r="AS298" i="72"/>
  <c r="AS299" i="72"/>
  <c r="AP299" i="72"/>
  <c r="AZ357" i="72"/>
  <c r="BA357" i="72"/>
  <c r="AT360" i="72"/>
  <c r="AT359" i="72"/>
  <c r="AY296" i="72"/>
  <c r="AW295" i="72"/>
  <c r="U360" i="72"/>
  <c r="P360" i="72"/>
  <c r="P359" i="72"/>
  <c r="AQ360" i="72"/>
  <c r="AQ359" i="72"/>
  <c r="M357" i="72"/>
  <c r="W298" i="72"/>
  <c r="W299" i="72"/>
  <c r="O245" i="72"/>
  <c r="O11" i="72"/>
  <c r="AN360" i="72"/>
  <c r="AN359" i="72"/>
  <c r="U298" i="72"/>
  <c r="U299" i="72"/>
  <c r="P245" i="72"/>
  <c r="P246" i="72" s="1"/>
  <c r="P264" i="72" s="1"/>
  <c r="P11" i="72"/>
  <c r="V298" i="72"/>
  <c r="V299" i="72"/>
  <c r="T360" i="72"/>
  <c r="T359" i="72"/>
  <c r="S360" i="72"/>
  <c r="S359" i="72"/>
  <c r="AM245" i="72"/>
  <c r="AM11" i="72"/>
  <c r="AQ298" i="72"/>
  <c r="AQ299" i="72"/>
  <c r="AM360" i="72"/>
  <c r="AM359" i="72"/>
  <c r="S298" i="72"/>
  <c r="S299" i="72"/>
  <c r="AO360" i="72"/>
  <c r="AO359" i="72"/>
  <c r="W11" i="72"/>
  <c r="W245" i="72"/>
  <c r="W246" i="72" s="1"/>
  <c r="AN298" i="72"/>
  <c r="AN299" i="72"/>
  <c r="AK357" i="72"/>
  <c r="AU11" i="72"/>
  <c r="AU245" i="72"/>
  <c r="AU246" i="72" s="1"/>
  <c r="R298" i="72"/>
  <c r="R299" i="72"/>
  <c r="O360" i="72"/>
  <c r="O359" i="72"/>
  <c r="M296" i="72"/>
  <c r="AS360" i="72"/>
  <c r="AS359" i="72"/>
  <c r="AR360" i="72"/>
  <c r="AR359" i="72"/>
  <c r="O298" i="72"/>
  <c r="O299" i="72"/>
  <c r="AM298" i="72"/>
  <c r="AM299" i="72"/>
  <c r="AN245" i="72"/>
  <c r="AN246" i="72" s="1"/>
  <c r="AN264" i="72" s="1"/>
  <c r="AN11" i="72"/>
  <c r="Q11" i="72"/>
  <c r="Q245" i="72"/>
  <c r="Q246" i="72" s="1"/>
  <c r="AP360" i="72"/>
  <c r="AP359" i="72"/>
  <c r="AK296" i="72"/>
  <c r="AK298" i="72" s="1"/>
  <c r="AO245" i="72"/>
  <c r="AO246" i="72" s="1"/>
  <c r="AO11" i="72"/>
  <c r="Y299" i="76"/>
  <c r="Y360" i="76"/>
  <c r="AO253" i="76"/>
  <c r="AO254" i="76"/>
  <c r="AZ255" i="76"/>
  <c r="AW255" i="76" s="1"/>
  <c r="AZ254" i="76"/>
  <c r="BA263" i="76"/>
  <c r="BA190" i="76"/>
  <c r="Q263" i="76"/>
  <c r="Q190" i="76"/>
  <c r="Y245" i="76"/>
  <c r="AC253" i="76"/>
  <c r="AC254" i="76"/>
  <c r="P255" i="76"/>
  <c r="M255" i="76" s="1"/>
  <c r="P254" i="76"/>
  <c r="AM263" i="76"/>
  <c r="AM190" i="76"/>
  <c r="AN254" i="76"/>
  <c r="AN255" i="76"/>
  <c r="AK255" i="76" s="1"/>
  <c r="Y11" i="76"/>
  <c r="AB254" i="76"/>
  <c r="AB255" i="76"/>
  <c r="Y255" i="76" s="1"/>
  <c r="O263" i="76"/>
  <c r="O190" i="76"/>
  <c r="O142" i="76"/>
  <c r="O254" i="76" s="1"/>
  <c r="O242" i="76"/>
  <c r="O243" i="76" s="1"/>
  <c r="AY263" i="76"/>
  <c r="AY190" i="76"/>
  <c r="Q253" i="76"/>
  <c r="Q254" i="76"/>
  <c r="AM142" i="76"/>
  <c r="AM254" i="76" s="1"/>
  <c r="AM242" i="76"/>
  <c r="AM243" i="76" s="1"/>
  <c r="AA263" i="76"/>
  <c r="AA190" i="76"/>
  <c r="BA253" i="76"/>
  <c r="BA254" i="76"/>
  <c r="AA142" i="76"/>
  <c r="AA254" i="76" s="1"/>
  <c r="Y254" i="76" s="1"/>
  <c r="AA242" i="76"/>
  <c r="AA243" i="76" s="1"/>
  <c r="AC263" i="76"/>
  <c r="AC264" i="76" s="1"/>
  <c r="AC190" i="76"/>
  <c r="AY142" i="76"/>
  <c r="AY254" i="76" s="1"/>
  <c r="AY242" i="76"/>
  <c r="AY243" i="76" s="1"/>
  <c r="AO263" i="76"/>
  <c r="AO190" i="76"/>
  <c r="AZ32" i="74"/>
  <c r="AZ32" i="75"/>
  <c r="W32" i="74"/>
  <c r="W32" i="75"/>
  <c r="AB32" i="74"/>
  <c r="AB32" i="75"/>
  <c r="BE32" i="74"/>
  <c r="BE32" i="75"/>
  <c r="AO263" i="75"/>
  <c r="AO264" i="75" s="1"/>
  <c r="AO190" i="75"/>
  <c r="AY32" i="74"/>
  <c r="AY32" i="75"/>
  <c r="BG32" i="74"/>
  <c r="BG32" i="75"/>
  <c r="AC32" i="74"/>
  <c r="AC32" i="75"/>
  <c r="AI32" i="74"/>
  <c r="AI32" i="75"/>
  <c r="AA32" i="74"/>
  <c r="AA32" i="75"/>
  <c r="AS32" i="74"/>
  <c r="AS32" i="75"/>
  <c r="AZ255" i="75"/>
  <c r="AW255" i="75" s="1"/>
  <c r="AZ254" i="75"/>
  <c r="AK359" i="75"/>
  <c r="Q263" i="75"/>
  <c r="Q190" i="75"/>
  <c r="R32" i="74"/>
  <c r="R32" i="75"/>
  <c r="O142" i="75"/>
  <c r="O254" i="75" s="1"/>
  <c r="O242" i="75"/>
  <c r="O243" i="75" s="1"/>
  <c r="BB32" i="74"/>
  <c r="BB32" i="75"/>
  <c r="BC32" i="74"/>
  <c r="BC32" i="75"/>
  <c r="AH32" i="74"/>
  <c r="AH32" i="75"/>
  <c r="U32" i="74"/>
  <c r="U32" i="75"/>
  <c r="AB254" i="75"/>
  <c r="AB255" i="75"/>
  <c r="Y255" i="75" s="1"/>
  <c r="AK360" i="75"/>
  <c r="AA263" i="75"/>
  <c r="AA190" i="75"/>
  <c r="T32" i="74"/>
  <c r="T32" i="75"/>
  <c r="AU32" i="74"/>
  <c r="AU32" i="75"/>
  <c r="AP32" i="74"/>
  <c r="AP32" i="75"/>
  <c r="BA254" i="75"/>
  <c r="BA253" i="75"/>
  <c r="P255" i="75"/>
  <c r="M255" i="75" s="1"/>
  <c r="P254" i="75"/>
  <c r="AK245" i="75"/>
  <c r="AM190" i="75"/>
  <c r="AK190" i="75" s="1"/>
  <c r="AM263" i="75"/>
  <c r="BA32" i="74"/>
  <c r="BA32" i="75"/>
  <c r="AE32" i="74"/>
  <c r="AE32" i="75"/>
  <c r="Q32" i="74"/>
  <c r="Q32" i="75"/>
  <c r="S32" i="74"/>
  <c r="S32" i="75"/>
  <c r="AR32" i="74"/>
  <c r="AR32" i="75"/>
  <c r="AO254" i="75"/>
  <c r="AO253" i="75"/>
  <c r="AN255" i="75"/>
  <c r="AK255" i="75" s="1"/>
  <c r="AN254" i="75"/>
  <c r="AK11" i="75"/>
  <c r="AK140" i="75" s="1"/>
  <c r="O263" i="75"/>
  <c r="O190" i="75"/>
  <c r="AN32" i="74"/>
  <c r="AN32" i="75"/>
  <c r="BD32" i="74"/>
  <c r="BD32" i="75"/>
  <c r="AT32" i="74"/>
  <c r="AT32" i="75"/>
  <c r="AG32" i="74"/>
  <c r="AG32" i="75"/>
  <c r="Q253" i="75"/>
  <c r="Q254" i="75"/>
  <c r="AY142" i="75"/>
  <c r="AY254" i="75" s="1"/>
  <c r="AY242" i="75"/>
  <c r="AY243" i="75" s="1"/>
  <c r="AY263" i="75"/>
  <c r="AY190" i="75"/>
  <c r="P32" i="74"/>
  <c r="P32" i="75"/>
  <c r="V32" i="74"/>
  <c r="V32" i="75"/>
  <c r="AQ32" i="74"/>
  <c r="AQ32" i="75"/>
  <c r="AC253" i="75"/>
  <c r="AC254" i="75"/>
  <c r="AM142" i="75"/>
  <c r="AM254" i="75" s="1"/>
  <c r="AM242" i="75"/>
  <c r="AM243" i="75" s="1"/>
  <c r="BA263" i="75"/>
  <c r="BA190" i="75"/>
  <c r="AM32" i="74"/>
  <c r="AM32" i="75"/>
  <c r="AO32" i="74"/>
  <c r="AO32" i="75"/>
  <c r="AD32" i="74"/>
  <c r="AD32" i="75"/>
  <c r="BF32" i="74"/>
  <c r="BF32" i="75"/>
  <c r="AF32" i="74"/>
  <c r="AF32" i="75"/>
  <c r="AA142" i="75"/>
  <c r="AA253" i="75" s="1"/>
  <c r="AA242" i="75"/>
  <c r="AA243" i="75" s="1"/>
  <c r="AC263" i="75"/>
  <c r="AC190" i="75"/>
  <c r="BA254" i="74"/>
  <c r="BA253" i="74"/>
  <c r="AA263" i="74"/>
  <c r="AA190" i="74"/>
  <c r="AM263" i="74"/>
  <c r="AM190" i="74"/>
  <c r="AZ254" i="74"/>
  <c r="AZ255" i="74"/>
  <c r="AW255" i="74" s="1"/>
  <c r="Q253" i="74"/>
  <c r="Q254" i="74"/>
  <c r="AO263" i="74"/>
  <c r="AO190" i="74"/>
  <c r="AC254" i="74"/>
  <c r="AC253" i="74"/>
  <c r="AM142" i="74"/>
  <c r="AM253" i="74" s="1"/>
  <c r="AM242" i="74"/>
  <c r="AM243" i="74" s="1"/>
  <c r="Q263" i="74"/>
  <c r="Q190" i="74"/>
  <c r="Y245" i="72"/>
  <c r="AO254" i="74"/>
  <c r="AO253" i="74"/>
  <c r="AA142" i="74"/>
  <c r="AA253" i="74" s="1"/>
  <c r="AA242" i="74"/>
  <c r="AA243" i="74" s="1"/>
  <c r="AN254" i="74"/>
  <c r="AN255" i="74"/>
  <c r="AK255" i="74" s="1"/>
  <c r="BA190" i="74"/>
  <c r="BA263" i="74"/>
  <c r="AY263" i="74"/>
  <c r="AY190" i="74"/>
  <c r="AY142" i="74"/>
  <c r="AY253" i="74" s="1"/>
  <c r="AY242" i="74"/>
  <c r="AY243" i="74" s="1"/>
  <c r="AB254" i="74"/>
  <c r="AB255" i="74"/>
  <c r="Y255" i="74" s="1"/>
  <c r="AC263" i="74"/>
  <c r="AC190" i="74"/>
  <c r="O142" i="74"/>
  <c r="O253" i="74" s="1"/>
  <c r="O242" i="74"/>
  <c r="O243" i="74" s="1"/>
  <c r="P255" i="74"/>
  <c r="M255" i="74" s="1"/>
  <c r="P254" i="74"/>
  <c r="O263" i="74"/>
  <c r="O190" i="74"/>
  <c r="P32" i="72"/>
  <c r="P32" i="73"/>
  <c r="AY142" i="73"/>
  <c r="AY253" i="73" s="1"/>
  <c r="AY242" i="73"/>
  <c r="AY243" i="73" s="1"/>
  <c r="BF32" i="72"/>
  <c r="BF32" i="73"/>
  <c r="AZ32" i="72"/>
  <c r="AZ32" i="73"/>
  <c r="R32" i="72"/>
  <c r="R32" i="73"/>
  <c r="W32" i="72"/>
  <c r="W32" i="73"/>
  <c r="AB32" i="72"/>
  <c r="AB32" i="73"/>
  <c r="BE32" i="72"/>
  <c r="BE32" i="73"/>
  <c r="BA254" i="73"/>
  <c r="BA253" i="73"/>
  <c r="AC263" i="73"/>
  <c r="AC190" i="73"/>
  <c r="AY190" i="73"/>
  <c r="AY263" i="73"/>
  <c r="AM32" i="72"/>
  <c r="AM32" i="73"/>
  <c r="AF32" i="72"/>
  <c r="AF32" i="73"/>
  <c r="AM142" i="73"/>
  <c r="AM253" i="73" s="1"/>
  <c r="AM242" i="73"/>
  <c r="AM243" i="73" s="1"/>
  <c r="AY32" i="72"/>
  <c r="AY32" i="73"/>
  <c r="BG32" i="72"/>
  <c r="BG32" i="73"/>
  <c r="AC32" i="72"/>
  <c r="AC32" i="73"/>
  <c r="AI32" i="72"/>
  <c r="AI32" i="73"/>
  <c r="AA32" i="72"/>
  <c r="AA32" i="73"/>
  <c r="AS32" i="72"/>
  <c r="AS32" i="73"/>
  <c r="AB255" i="73"/>
  <c r="Y255" i="73" s="1"/>
  <c r="AB254" i="73"/>
  <c r="V32" i="72"/>
  <c r="V32" i="73"/>
  <c r="AQ32" i="72"/>
  <c r="AQ32" i="73"/>
  <c r="Q263" i="73"/>
  <c r="Q264" i="73" s="1"/>
  <c r="Q190" i="73"/>
  <c r="AD32" i="72"/>
  <c r="AD32" i="73"/>
  <c r="BB32" i="72"/>
  <c r="BB32" i="73"/>
  <c r="BC32" i="72"/>
  <c r="BC32" i="73"/>
  <c r="AH32" i="72"/>
  <c r="AH32" i="73"/>
  <c r="U32" i="72"/>
  <c r="U32" i="73"/>
  <c r="AO253" i="73"/>
  <c r="AO254" i="73"/>
  <c r="AN254" i="73"/>
  <c r="AN255" i="73"/>
  <c r="AK255" i="73" s="1"/>
  <c r="Q254" i="73"/>
  <c r="Q253" i="73"/>
  <c r="AO32" i="72"/>
  <c r="AO32" i="73"/>
  <c r="AA190" i="73"/>
  <c r="AA263" i="73"/>
  <c r="BA190" i="73"/>
  <c r="BA263" i="73"/>
  <c r="T32" i="72"/>
  <c r="T32" i="73"/>
  <c r="AU32" i="72"/>
  <c r="AU32" i="73"/>
  <c r="AK263" i="55"/>
  <c r="AP32" i="72"/>
  <c r="AP32" i="73"/>
  <c r="AZ255" i="73"/>
  <c r="AW255" i="73" s="1"/>
  <c r="AZ254" i="73"/>
  <c r="BA32" i="72"/>
  <c r="BA32" i="73"/>
  <c r="AE32" i="72"/>
  <c r="AE32" i="73"/>
  <c r="Q32" i="72"/>
  <c r="Q32" i="73"/>
  <c r="S32" i="72"/>
  <c r="S32" i="73"/>
  <c r="AR32" i="72"/>
  <c r="AR32" i="73"/>
  <c r="AM263" i="73"/>
  <c r="AM190" i="73"/>
  <c r="AC254" i="73"/>
  <c r="AC253" i="73"/>
  <c r="AA142" i="73"/>
  <c r="AA253" i="73" s="1"/>
  <c r="AA242" i="73"/>
  <c r="AA243" i="73" s="1"/>
  <c r="P254" i="73"/>
  <c r="P255" i="73"/>
  <c r="M255" i="73" s="1"/>
  <c r="AN32" i="72"/>
  <c r="AN32" i="73"/>
  <c r="BD32" i="72"/>
  <c r="BD32" i="73"/>
  <c r="AT32" i="72"/>
  <c r="AT32" i="73"/>
  <c r="AG32" i="72"/>
  <c r="AG32" i="73"/>
  <c r="O263" i="73"/>
  <c r="O190" i="73"/>
  <c r="O142" i="73"/>
  <c r="O253" i="73" s="1"/>
  <c r="O242" i="73"/>
  <c r="O243" i="73" s="1"/>
  <c r="AO263" i="73"/>
  <c r="AO190" i="73"/>
  <c r="AY142" i="72"/>
  <c r="AY254" i="72" s="1"/>
  <c r="AY242" i="72"/>
  <c r="AY243" i="72" s="1"/>
  <c r="AN255" i="72"/>
  <c r="AK255" i="72" s="1"/>
  <c r="AN254" i="72"/>
  <c r="AO263" i="72"/>
  <c r="AO190" i="72"/>
  <c r="Q253" i="72"/>
  <c r="Q254" i="72"/>
  <c r="AM142" i="72"/>
  <c r="AM254" i="72" s="1"/>
  <c r="AM242" i="72"/>
  <c r="AM243" i="72" s="1"/>
  <c r="Y299" i="72"/>
  <c r="BA254" i="72"/>
  <c r="BA253" i="72"/>
  <c r="Y359" i="72"/>
  <c r="AM263" i="72"/>
  <c r="AM190" i="72"/>
  <c r="AO254" i="72"/>
  <c r="AO253" i="72"/>
  <c r="Y360" i="72"/>
  <c r="O263" i="72"/>
  <c r="O190" i="72"/>
  <c r="AY263" i="72"/>
  <c r="AY190" i="72"/>
  <c r="Y11" i="72"/>
  <c r="Y140" i="72" s="1"/>
  <c r="AZ254" i="72"/>
  <c r="AZ255" i="72"/>
  <c r="AW255" i="72" s="1"/>
  <c r="Q263" i="72"/>
  <c r="Q190" i="72"/>
  <c r="AA263" i="72"/>
  <c r="AA190" i="72"/>
  <c r="AA142" i="72"/>
  <c r="AA253" i="72" s="1"/>
  <c r="AA242" i="72"/>
  <c r="AA243" i="72" s="1"/>
  <c r="AB254" i="72"/>
  <c r="AB255" i="72"/>
  <c r="Y255" i="72" s="1"/>
  <c r="BA190" i="72"/>
  <c r="BA263" i="72"/>
  <c r="AC254" i="72"/>
  <c r="AC253" i="72"/>
  <c r="O142" i="72"/>
  <c r="O253" i="72" s="1"/>
  <c r="O242" i="72"/>
  <c r="O243" i="72" s="1"/>
  <c r="P255" i="72"/>
  <c r="M255" i="72" s="1"/>
  <c r="P254" i="72"/>
  <c r="AC263" i="72"/>
  <c r="AC264" i="72" s="1"/>
  <c r="AC190" i="72"/>
  <c r="AN32" i="55"/>
  <c r="AO32" i="55"/>
  <c r="AM32" i="55"/>
  <c r="AZ32" i="55"/>
  <c r="R32" i="55"/>
  <c r="W32" i="55"/>
  <c r="AB32" i="55"/>
  <c r="BE32" i="55"/>
  <c r="AT32" i="55"/>
  <c r="V32" i="55"/>
  <c r="AF32" i="55"/>
  <c r="AY32" i="55"/>
  <c r="BG32" i="55"/>
  <c r="AC32" i="55"/>
  <c r="AI32" i="55"/>
  <c r="AA32" i="55"/>
  <c r="AS32" i="55"/>
  <c r="AG32" i="55"/>
  <c r="AQ32" i="55"/>
  <c r="AD32" i="55"/>
  <c r="BB32" i="55"/>
  <c r="BC32" i="55"/>
  <c r="AH32" i="55"/>
  <c r="U32" i="55"/>
  <c r="T32" i="55"/>
  <c r="AU32" i="55"/>
  <c r="AP32" i="55"/>
  <c r="BD32" i="55"/>
  <c r="P32" i="55"/>
  <c r="BF32" i="55"/>
  <c r="BA32" i="55"/>
  <c r="AE32" i="55"/>
  <c r="Q32" i="55"/>
  <c r="S32" i="55"/>
  <c r="AR32" i="55"/>
  <c r="T30" i="55"/>
  <c r="BA242" i="55"/>
  <c r="AC242" i="55"/>
  <c r="AA242" i="55"/>
  <c r="U52" i="55"/>
  <c r="AG52" i="55"/>
  <c r="AM67" i="55"/>
  <c r="AM66" i="55"/>
  <c r="AA368" i="55"/>
  <c r="AA61" i="55"/>
  <c r="AM63" i="55"/>
  <c r="AM24" i="55"/>
  <c r="AF52" i="55"/>
  <c r="AM25" i="55"/>
  <c r="W52" i="55"/>
  <c r="BF63" i="55"/>
  <c r="BF24" i="55"/>
  <c r="BF26" i="55" s="1"/>
  <c r="BF334" i="55" s="1"/>
  <c r="BF61" i="55"/>
  <c r="BF67" i="55"/>
  <c r="AU67" i="55"/>
  <c r="BF66" i="55"/>
  <c r="AB322" i="55"/>
  <c r="AB326" i="55" s="1" a="1"/>
  <c r="AB326" i="55" s="1"/>
  <c r="W65" i="55"/>
  <c r="U65" i="55"/>
  <c r="U368" i="55"/>
  <c r="AE65" i="55"/>
  <c r="AE368" i="55"/>
  <c r="Q65" i="55"/>
  <c r="Q368" i="55"/>
  <c r="AZ67" i="55"/>
  <c r="AZ368" i="55"/>
  <c r="P65" i="55"/>
  <c r="P368" i="55"/>
  <c r="O368" i="55"/>
  <c r="BC65" i="55"/>
  <c r="BC368" i="55"/>
  <c r="T65" i="55"/>
  <c r="T368" i="55"/>
  <c r="AM65" i="55"/>
  <c r="AM368" i="55"/>
  <c r="AR65" i="55"/>
  <c r="AR368" i="55"/>
  <c r="AD67" i="55"/>
  <c r="AD368" i="55"/>
  <c r="BG65" i="55"/>
  <c r="BG368" i="55"/>
  <c r="AG65" i="55"/>
  <c r="AG368" i="55"/>
  <c r="AN65" i="55"/>
  <c r="AN368" i="55"/>
  <c r="S67" i="55"/>
  <c r="S368" i="55"/>
  <c r="AC67" i="55"/>
  <c r="AC368" i="55"/>
  <c r="V65" i="55"/>
  <c r="AR67" i="55"/>
  <c r="BE67" i="55"/>
  <c r="BE368" i="55"/>
  <c r="AY65" i="55"/>
  <c r="AY368" i="55"/>
  <c r="BD65" i="55"/>
  <c r="BD368" i="55"/>
  <c r="BB65" i="55"/>
  <c r="BB368" i="55"/>
  <c r="AB65" i="55"/>
  <c r="AB368" i="55"/>
  <c r="AT65" i="55"/>
  <c r="AT368" i="55"/>
  <c r="R65" i="55"/>
  <c r="R368" i="55"/>
  <c r="AS65" i="55"/>
  <c r="AS368" i="55"/>
  <c r="AQ65" i="55"/>
  <c r="AQ368" i="55"/>
  <c r="BA65" i="55"/>
  <c r="BA368" i="55"/>
  <c r="AO65" i="55"/>
  <c r="AO368" i="55"/>
  <c r="AI65" i="55"/>
  <c r="AI368" i="55"/>
  <c r="AH65" i="55"/>
  <c r="AH368" i="55"/>
  <c r="AF65" i="55"/>
  <c r="AF368" i="55"/>
  <c r="AP65" i="55"/>
  <c r="AP368" i="55"/>
  <c r="BF65" i="55"/>
  <c r="BF368" i="55"/>
  <c r="BA67" i="55"/>
  <c r="BD67" i="55"/>
  <c r="AT67" i="55"/>
  <c r="AP330" i="55"/>
  <c r="AS304" i="55"/>
  <c r="AT330" i="55"/>
  <c r="AP304" i="55"/>
  <c r="AZ330" i="55"/>
  <c r="BE330" i="55"/>
  <c r="BD304" i="55"/>
  <c r="AZ304" i="55"/>
  <c r="BE304" i="55"/>
  <c r="AQ330" i="55"/>
  <c r="P67" i="55"/>
  <c r="BG330" i="55"/>
  <c r="BC330" i="55"/>
  <c r="W67" i="55"/>
  <c r="AE67" i="55"/>
  <c r="BF330" i="55"/>
  <c r="BC304" i="55"/>
  <c r="BF304" i="55"/>
  <c r="AR330" i="55"/>
  <c r="BA330" i="55"/>
  <c r="AU330" i="55"/>
  <c r="AR304" i="55"/>
  <c r="AU304" i="55"/>
  <c r="Y263" i="55"/>
  <c r="AI67" i="55"/>
  <c r="AO67" i="55"/>
  <c r="BF69" i="55"/>
  <c r="AS67" i="55"/>
  <c r="T67" i="55"/>
  <c r="AG67" i="55"/>
  <c r="BG67" i="55"/>
  <c r="AQ67" i="55"/>
  <c r="AB63" i="55"/>
  <c r="AB61" i="55"/>
  <c r="W54" i="55"/>
  <c r="AB66" i="55"/>
  <c r="AB24" i="55"/>
  <c r="AB25" i="55"/>
  <c r="V69" i="55"/>
  <c r="AD65" i="55"/>
  <c r="AZ65" i="55"/>
  <c r="S65" i="55"/>
  <c r="AC65" i="55"/>
  <c r="BE65" i="55"/>
  <c r="AU65" i="55"/>
  <c r="AG69" i="55"/>
  <c r="AA65" i="55"/>
  <c r="AS69" i="55"/>
  <c r="AG66" i="55"/>
  <c r="T69" i="55"/>
  <c r="AH66" i="55"/>
  <c r="AR69" i="55"/>
  <c r="W66" i="55"/>
  <c r="W368" i="55" s="1"/>
  <c r="AT66" i="55"/>
  <c r="O65" i="55"/>
  <c r="Q69" i="55"/>
  <c r="AQ66" i="55"/>
  <c r="AE69" i="55"/>
  <c r="V66" i="55"/>
  <c r="V368" i="55" s="1"/>
  <c r="AT69" i="55"/>
  <c r="AF69" i="55"/>
  <c r="BA66" i="55"/>
  <c r="BD66" i="55"/>
  <c r="R69" i="55"/>
  <c r="BC69" i="55"/>
  <c r="U69" i="55"/>
  <c r="AP66" i="55"/>
  <c r="AB69" i="55"/>
  <c r="J42" i="43"/>
  <c r="AH69" i="55"/>
  <c r="AH52" i="55"/>
  <c r="W69" i="55"/>
  <c r="V52" i="55"/>
  <c r="EZ18" i="24"/>
  <c r="FA18" i="24" s="1"/>
  <c r="FB18" i="24" s="1"/>
  <c r="J37" i="43"/>
  <c r="Y195" i="55" a="1"/>
  <c r="Y195" i="55" s="1"/>
  <c r="AW195" i="55" a="1"/>
  <c r="AW195" i="55" s="1"/>
  <c r="AK195" i="55" a="1"/>
  <c r="AK195" i="55" s="1"/>
  <c r="AU69" i="55"/>
  <c r="AU30" i="55"/>
  <c r="AN141" i="55"/>
  <c r="AN142" i="55" s="1"/>
  <c r="O352" i="55"/>
  <c r="AT178" i="55"/>
  <c r="BF178" i="55"/>
  <c r="V178" i="55"/>
  <c r="AH178" i="55"/>
  <c r="Q242" i="55"/>
  <c r="AB242" i="55"/>
  <c r="BE313" i="55"/>
  <c r="J74" i="43"/>
  <c r="AE52" i="55"/>
  <c r="AG30" i="55"/>
  <c r="AN30" i="55"/>
  <c r="AT174" i="55"/>
  <c r="AP289" i="55" s="1"/>
  <c r="AN69" i="55"/>
  <c r="AT181" i="55"/>
  <c r="AT12" i="55" s="1"/>
  <c r="BA68" i="55"/>
  <c r="AC313" i="55"/>
  <c r="J69" i="43"/>
  <c r="AR30" i="55"/>
  <c r="AQ52" i="55"/>
  <c r="M12" i="43"/>
  <c r="J12" i="43" s="1"/>
  <c r="J53" i="43"/>
  <c r="S30" i="55"/>
  <c r="P69" i="55"/>
  <c r="AP68" i="55"/>
  <c r="BG52" i="55"/>
  <c r="AQ68" i="55"/>
  <c r="AY52" i="55"/>
  <c r="M263" i="55"/>
  <c r="O54" i="55"/>
  <c r="BE322" i="55"/>
  <c r="BE340" i="55" s="1"/>
  <c r="J26" i="43"/>
  <c r="BA52" i="55"/>
  <c r="V68" i="55"/>
  <c r="O69" i="55"/>
  <c r="M11" i="43"/>
  <c r="W322" i="55"/>
  <c r="W324" i="55" s="1" a="1"/>
  <c r="W324" i="55" s="1"/>
  <c r="BF30" i="55"/>
  <c r="BF309" i="55"/>
  <c r="BF322" i="55"/>
  <c r="BF324" i="55" s="1" a="1"/>
  <c r="BF324" i="55" s="1"/>
  <c r="AC52" i="55"/>
  <c r="J58" i="43"/>
  <c r="AF68" i="55"/>
  <c r="L11" i="43"/>
  <c r="J21" i="43"/>
  <c r="AS54" i="55"/>
  <c r="W313" i="55"/>
  <c r="T68" i="55"/>
  <c r="AZ30" i="55"/>
  <c r="AM68" i="55"/>
  <c r="AZ141" i="55"/>
  <c r="AZ142" i="55" s="1"/>
  <c r="AZ68" i="55"/>
  <c r="T52" i="55"/>
  <c r="AI68" i="55"/>
  <c r="AI322" i="55"/>
  <c r="AI325" i="55" s="1" a="1"/>
  <c r="AI325" i="55" s="1"/>
  <c r="R322" i="55"/>
  <c r="AR310" i="55"/>
  <c r="AM313" i="55"/>
  <c r="AM322" i="55"/>
  <c r="AM324" i="55" s="1" a="1"/>
  <c r="AM324" i="55" s="1"/>
  <c r="AR309" i="55"/>
  <c r="AC69" i="55"/>
  <c r="AM69" i="55"/>
  <c r="P141" i="55"/>
  <c r="P142" i="55" s="1"/>
  <c r="BA54" i="55"/>
  <c r="AG313" i="55"/>
  <c r="V322" i="55"/>
  <c r="V326" i="55" s="1" a="1"/>
  <c r="V326" i="55" s="1"/>
  <c r="BF315" i="55"/>
  <c r="AD313" i="55"/>
  <c r="AH322" i="55"/>
  <c r="AE54" i="55"/>
  <c r="V30" i="55"/>
  <c r="M195" i="55" s="1" a="1"/>
  <c r="M195" i="55" s="1"/>
  <c r="AG322" i="55"/>
  <c r="AG326" i="55" s="1" a="1"/>
  <c r="AG326" i="55" s="1"/>
  <c r="V313" i="55"/>
  <c r="Q66" i="55"/>
  <c r="AA68" i="55"/>
  <c r="AA313" i="55"/>
  <c r="AD322" i="55"/>
  <c r="R68" i="55"/>
  <c r="BF307" i="55"/>
  <c r="AH68" i="55"/>
  <c r="BG31" i="55"/>
  <c r="AC31" i="55"/>
  <c r="AH313" i="55"/>
  <c r="V181" i="55"/>
  <c r="V12" i="55" s="1"/>
  <c r="AR315" i="55"/>
  <c r="AR68" i="55"/>
  <c r="AT310" i="55"/>
  <c r="AN322" i="55"/>
  <c r="AN326" i="55" s="1" a="1"/>
  <c r="AN326" i="55" s="1"/>
  <c r="AR307" i="55"/>
  <c r="AN68" i="55"/>
  <c r="BF68" i="55"/>
  <c r="AN52" i="55"/>
  <c r="BB66" i="55"/>
  <c r="AR311" i="55"/>
  <c r="AU52" i="55"/>
  <c r="AT306" i="55"/>
  <c r="AA54" i="55"/>
  <c r="AH31" i="55"/>
  <c r="AP69" i="55"/>
  <c r="BC66" i="55"/>
  <c r="AT308" i="55"/>
  <c r="AA322" i="55"/>
  <c r="AA325" i="55" s="1" a="1"/>
  <c r="AA325" i="55" s="1"/>
  <c r="AS317" i="55"/>
  <c r="AR308" i="55"/>
  <c r="BB69" i="55"/>
  <c r="T54" i="55"/>
  <c r="O52" i="55"/>
  <c r="BG68" i="55"/>
  <c r="AP52" i="55"/>
  <c r="AB68" i="55"/>
  <c r="AB313" i="55"/>
  <c r="Q322" i="55"/>
  <c r="AY322" i="55"/>
  <c r="AR306" i="55"/>
  <c r="AR322" i="55"/>
  <c r="AR340" i="55" s="1"/>
  <c r="BA69" i="55"/>
  <c r="AY141" i="55"/>
  <c r="AY142" i="55" s="1"/>
  <c r="U54" i="55"/>
  <c r="AO61" i="55"/>
  <c r="AO25" i="55"/>
  <c r="AO63" i="55"/>
  <c r="AO24" i="55"/>
  <c r="AO66" i="55"/>
  <c r="Y186" i="55"/>
  <c r="AI188" i="55"/>
  <c r="AZ69" i="55"/>
  <c r="AD24" i="55"/>
  <c r="AD61" i="55"/>
  <c r="AD63" i="55"/>
  <c r="AD25" i="55"/>
  <c r="AD69" i="55"/>
  <c r="AY69" i="55"/>
  <c r="AD66" i="55"/>
  <c r="O31" i="55"/>
  <c r="BE25" i="55"/>
  <c r="BE61" i="55"/>
  <c r="BE24" i="55"/>
  <c r="BE63" i="55"/>
  <c r="BE66" i="55"/>
  <c r="BE52" i="55"/>
  <c r="BE69" i="55"/>
  <c r="AT322" i="55"/>
  <c r="R63" i="55"/>
  <c r="R25" i="55"/>
  <c r="R61" i="55"/>
  <c r="R24" i="55"/>
  <c r="R52" i="55"/>
  <c r="AC66" i="55"/>
  <c r="AG31" i="55"/>
  <c r="BD61" i="55"/>
  <c r="BD63" i="55"/>
  <c r="BD25" i="55"/>
  <c r="BD24" i="55"/>
  <c r="BD52" i="55"/>
  <c r="BD69" i="55"/>
  <c r="Y29" i="55"/>
  <c r="AM141" i="55"/>
  <c r="AM142" i="55" s="1"/>
  <c r="AY63" i="55"/>
  <c r="AY25" i="55"/>
  <c r="AY61" i="55"/>
  <c r="AY24" i="55"/>
  <c r="AO69" i="55"/>
  <c r="S25" i="55"/>
  <c r="S24" i="55"/>
  <c r="S61" i="55"/>
  <c r="S63" i="55"/>
  <c r="S322" i="55"/>
  <c r="S68" i="55"/>
  <c r="S69" i="55"/>
  <c r="AY66" i="55"/>
  <c r="R313" i="55"/>
  <c r="S66" i="55"/>
  <c r="AT25" i="55"/>
  <c r="AT63" i="55"/>
  <c r="AT64" i="55" s="1"/>
  <c r="AT270" i="55" s="1"/>
  <c r="AT61" i="55"/>
  <c r="AT24" i="55"/>
  <c r="AT313" i="55"/>
  <c r="R66" i="55"/>
  <c r="V31" i="55"/>
  <c r="AS61" i="55"/>
  <c r="AS63" i="55"/>
  <c r="AS24" i="55"/>
  <c r="AS66" i="55"/>
  <c r="AS25" i="55"/>
  <c r="AS306" i="55"/>
  <c r="P68" i="55"/>
  <c r="I47" i="23"/>
  <c r="BG257" i="55"/>
  <c r="AZ322" i="55"/>
  <c r="W31" i="55"/>
  <c r="BG30" i="55"/>
  <c r="BG322" i="55"/>
  <c r="BG313" i="55"/>
  <c r="AE68" i="55"/>
  <c r="AI63" i="55"/>
  <c r="AI24" i="55"/>
  <c r="AI61" i="55"/>
  <c r="AI25" i="55"/>
  <c r="AI66" i="55"/>
  <c r="AI69" i="55"/>
  <c r="AI52" i="55"/>
  <c r="AT315" i="55"/>
  <c r="AT307" i="55"/>
  <c r="S52" i="55"/>
  <c r="AY31" i="55"/>
  <c r="AZ31" i="55"/>
  <c r="BC31" i="55"/>
  <c r="BF31" i="55"/>
  <c r="AY68" i="55"/>
  <c r="BA31" i="55"/>
  <c r="AW29" i="55"/>
  <c r="BB31" i="55"/>
  <c r="AY30" i="55"/>
  <c r="BE31" i="55"/>
  <c r="BC54" i="55"/>
  <c r="BC52" i="55"/>
  <c r="BD322" i="55"/>
  <c r="BD313" i="55"/>
  <c r="BD30" i="55"/>
  <c r="BD68" i="55"/>
  <c r="AA63" i="55"/>
  <c r="AA24" i="55"/>
  <c r="AA25" i="55"/>
  <c r="AA69" i="55"/>
  <c r="AA52" i="55"/>
  <c r="AA66" i="55"/>
  <c r="AA67" i="55"/>
  <c r="AT68" i="55"/>
  <c r="AT309" i="55"/>
  <c r="AT311" i="55"/>
  <c r="AD68" i="55"/>
  <c r="BC322" i="55"/>
  <c r="BC337" i="55" s="1"/>
  <c r="BC68" i="55"/>
  <c r="BC313" i="55"/>
  <c r="W61" i="55"/>
  <c r="W63" i="55"/>
  <c r="W25" i="55"/>
  <c r="W24" i="55"/>
  <c r="W68" i="55"/>
  <c r="U68" i="55"/>
  <c r="U30" i="55"/>
  <c r="U313" i="55"/>
  <c r="AZ25" i="55"/>
  <c r="AZ61" i="55"/>
  <c r="AZ24" i="55"/>
  <c r="AZ63" i="55"/>
  <c r="AZ66" i="55"/>
  <c r="V54" i="55"/>
  <c r="AO141" i="55"/>
  <c r="AO142" i="55" s="1"/>
  <c r="AO313" i="55"/>
  <c r="AO68" i="55"/>
  <c r="AO30" i="55"/>
  <c r="AO322" i="55"/>
  <c r="AO324" i="55" s="1" a="1"/>
  <c r="AO324" i="55" s="1"/>
  <c r="BF192" i="55"/>
  <c r="BG63" i="55"/>
  <c r="BG25" i="55"/>
  <c r="BG61" i="55"/>
  <c r="BG24" i="55"/>
  <c r="BG69" i="55"/>
  <c r="BG66" i="55"/>
  <c r="AD52" i="55"/>
  <c r="AR54" i="55"/>
  <c r="AT30" i="55"/>
  <c r="P63" i="55"/>
  <c r="P25" i="55"/>
  <c r="P24" i="55"/>
  <c r="P61" i="55"/>
  <c r="P52" i="55"/>
  <c r="P66" i="55"/>
  <c r="P322" i="55"/>
  <c r="AS308" i="55"/>
  <c r="AS310" i="55"/>
  <c r="AS322" i="55"/>
  <c r="AS30" i="55"/>
  <c r="AS315" i="55"/>
  <c r="AS311" i="55"/>
  <c r="AS309" i="55"/>
  <c r="AS68" i="55"/>
  <c r="AS313" i="55"/>
  <c r="AS307" i="55"/>
  <c r="O61" i="55"/>
  <c r="O63" i="55"/>
  <c r="O25" i="55"/>
  <c r="O24" i="55"/>
  <c r="O68" i="55"/>
  <c r="O67" i="55"/>
  <c r="O66" i="55"/>
  <c r="O322" i="55"/>
  <c r="U322" i="55"/>
  <c r="O141" i="55"/>
  <c r="O142" i="55" s="1"/>
  <c r="R31" i="55"/>
  <c r="AE30" i="55"/>
  <c r="AE322" i="55"/>
  <c r="AE324" i="55" s="1" a="1"/>
  <c r="AE324" i="55" s="1"/>
  <c r="AE313" i="55"/>
  <c r="BG188" i="55"/>
  <c r="AW186" i="55"/>
  <c r="AC63" i="55"/>
  <c r="AC25" i="55"/>
  <c r="AC24" i="55"/>
  <c r="AC61" i="55"/>
  <c r="AC322" i="55"/>
  <c r="AC324" i="55" s="1" a="1"/>
  <c r="AC324" i="55" s="1"/>
  <c r="AC68" i="55"/>
  <c r="AG54" i="55"/>
  <c r="BD31" i="55"/>
  <c r="R30" i="55"/>
  <c r="U31" i="55"/>
  <c r="BE68" i="55"/>
  <c r="AT317" i="55"/>
  <c r="AF54" i="55"/>
  <c r="AI30" i="55"/>
  <c r="AH192" i="55"/>
  <c r="AH181" i="55"/>
  <c r="AH12" i="55" s="1"/>
  <c r="AQ30" i="55"/>
  <c r="V352" i="55"/>
  <c r="U352" i="55"/>
  <c r="W352" i="55"/>
  <c r="W289" i="55"/>
  <c r="V289" i="55"/>
  <c r="U289" i="55"/>
  <c r="V192" i="55"/>
  <c r="O30" i="55"/>
  <c r="I31" i="23" s="1"/>
  <c r="I18" i="23"/>
  <c r="R27" i="55"/>
  <c r="J22" i="55"/>
  <c r="W27" i="55"/>
  <c r="O4" i="55"/>
  <c r="V27" i="55"/>
  <c r="O8" i="55"/>
  <c r="U27" i="55"/>
  <c r="O5" i="55"/>
  <c r="Q27" i="55"/>
  <c r="T27" i="55"/>
  <c r="S27" i="55"/>
  <c r="O3" i="55"/>
  <c r="P27" i="55"/>
  <c r="AP61" i="55"/>
  <c r="AP25" i="55"/>
  <c r="AP63" i="55"/>
  <c r="AP24" i="55"/>
  <c r="BA322" i="55"/>
  <c r="BA324" i="55" s="1" a="1"/>
  <c r="BA324" i="55" s="1"/>
  <c r="AU54" i="55"/>
  <c r="AM52" i="55"/>
  <c r="Q31" i="55"/>
  <c r="BF310" i="55"/>
  <c r="AS31" i="55"/>
  <c r="I45" i="23"/>
  <c r="AI257" i="55"/>
  <c r="AG68" i="55"/>
  <c r="W188" i="55"/>
  <c r="M186" i="55"/>
  <c r="AQ54" i="55"/>
  <c r="AE66" i="55"/>
  <c r="AE61" i="55"/>
  <c r="AE63" i="55"/>
  <c r="AE25" i="55"/>
  <c r="AE24" i="55"/>
  <c r="V174" i="55"/>
  <c r="O289" i="55" s="1"/>
  <c r="Q52" i="55"/>
  <c r="Q54" i="55"/>
  <c r="AT31" i="55"/>
  <c r="AB30" i="55"/>
  <c r="BF181" i="55"/>
  <c r="BF12" i="55" s="1"/>
  <c r="AR317" i="55"/>
  <c r="BB68" i="55"/>
  <c r="AZ54" i="55"/>
  <c r="AZ52" i="55"/>
  <c r="AQ313" i="55"/>
  <c r="AQ322" i="55"/>
  <c r="AP30" i="55"/>
  <c r="T24" i="55"/>
  <c r="T66" i="55"/>
  <c r="T61" i="55"/>
  <c r="T63" i="55"/>
  <c r="T25" i="55"/>
  <c r="AP322" i="55"/>
  <c r="AP324" i="55" s="1" a="1"/>
  <c r="AP324" i="55" s="1"/>
  <c r="AH174" i="55"/>
  <c r="AE289" i="55" s="1"/>
  <c r="AM54" i="55"/>
  <c r="BF54" i="55"/>
  <c r="AM31" i="55"/>
  <c r="AU31" i="55"/>
  <c r="Q30" i="55"/>
  <c r="AF31" i="55"/>
  <c r="AI31" i="55"/>
  <c r="I19" i="23"/>
  <c r="AB27" i="55"/>
  <c r="AA27" i="55"/>
  <c r="AG27" i="55"/>
  <c r="AI27" i="55"/>
  <c r="AF27" i="55"/>
  <c r="AA5" i="55"/>
  <c r="AE27" i="55"/>
  <c r="AD27" i="55"/>
  <c r="AA3" i="55"/>
  <c r="AC27" i="55"/>
  <c r="AA8" i="55"/>
  <c r="AH27" i="55"/>
  <c r="AA4" i="55"/>
  <c r="AO52" i="55"/>
  <c r="AO54" i="55"/>
  <c r="P31" i="55"/>
  <c r="I38" i="23"/>
  <c r="J71" i="55"/>
  <c r="AU61" i="55"/>
  <c r="AU25" i="55"/>
  <c r="AU63" i="55"/>
  <c r="AU24" i="55"/>
  <c r="AN31" i="55"/>
  <c r="Q61" i="55"/>
  <c r="Q24" i="55"/>
  <c r="Q63" i="55"/>
  <c r="Q25" i="55"/>
  <c r="P30" i="55"/>
  <c r="BC61" i="55"/>
  <c r="BC24" i="55"/>
  <c r="BC63" i="55"/>
  <c r="BC25" i="55"/>
  <c r="BB25" i="55"/>
  <c r="BB61" i="55"/>
  <c r="BB24" i="55"/>
  <c r="BB63" i="55"/>
  <c r="BB52" i="55"/>
  <c r="BF174" i="55"/>
  <c r="BG289" i="55" s="1"/>
  <c r="AN63" i="55"/>
  <c r="AN24" i="55"/>
  <c r="AN61" i="55"/>
  <c r="AN25" i="55"/>
  <c r="AY54" i="55"/>
  <c r="AU68" i="55"/>
  <c r="AB52" i="55"/>
  <c r="BF313" i="55"/>
  <c r="BF311" i="55"/>
  <c r="AB31" i="55"/>
  <c r="AQ31" i="55"/>
  <c r="AT352" i="55"/>
  <c r="AS352" i="55"/>
  <c r="AR352" i="55"/>
  <c r="AT289" i="55"/>
  <c r="AS289" i="55"/>
  <c r="AR289" i="55"/>
  <c r="AT192" i="55"/>
  <c r="W30" i="55"/>
  <c r="AR66" i="55"/>
  <c r="AR61" i="55"/>
  <c r="AR25" i="55"/>
  <c r="AR63" i="55"/>
  <c r="AR24" i="55"/>
  <c r="AE31" i="55"/>
  <c r="I44" i="23"/>
  <c r="W257" i="55"/>
  <c r="J73" i="55"/>
  <c r="AQ61" i="55"/>
  <c r="AQ25" i="55"/>
  <c r="AQ63" i="55"/>
  <c r="AQ24" i="55"/>
  <c r="BB313" i="55"/>
  <c r="BB322" i="55"/>
  <c r="AF322" i="55"/>
  <c r="M29" i="55"/>
  <c r="T322" i="55"/>
  <c r="T324" i="55" s="1" a="1"/>
  <c r="T324" i="55" s="1"/>
  <c r="AN66" i="55"/>
  <c r="AB54" i="55"/>
  <c r="AO31" i="55"/>
  <c r="AR31" i="55"/>
  <c r="I46" i="23"/>
  <c r="AU257" i="55"/>
  <c r="AA31" i="55"/>
  <c r="I21" i="23"/>
  <c r="BD27" i="55"/>
  <c r="AY4" i="55"/>
  <c r="BC27" i="55"/>
  <c r="BA27" i="55"/>
  <c r="AZ27" i="55"/>
  <c r="AY3" i="55"/>
  <c r="AY8" i="55"/>
  <c r="BG27" i="55"/>
  <c r="AY27" i="55"/>
  <c r="BF27" i="55"/>
  <c r="BE27" i="55"/>
  <c r="BB27" i="55"/>
  <c r="AY5" i="55"/>
  <c r="S31" i="55"/>
  <c r="AH61" i="55"/>
  <c r="AH63" i="55"/>
  <c r="AH25" i="55"/>
  <c r="AH24" i="55"/>
  <c r="AG61" i="55"/>
  <c r="AG63" i="55"/>
  <c r="AG25" i="55"/>
  <c r="AG24" i="55"/>
  <c r="T31" i="55"/>
  <c r="AF66" i="55"/>
  <c r="AF61" i="55"/>
  <c r="AF63" i="55"/>
  <c r="AF25" i="55"/>
  <c r="AF24" i="55"/>
  <c r="AQ69" i="55"/>
  <c r="AF313" i="55"/>
  <c r="AU322" i="55"/>
  <c r="AU324" i="55" s="1" a="1"/>
  <c r="AU324" i="55" s="1"/>
  <c r="AP31" i="55"/>
  <c r="I20" i="23"/>
  <c r="AT27" i="55"/>
  <c r="AM4" i="55"/>
  <c r="AQ27" i="55"/>
  <c r="AM5" i="55"/>
  <c r="AP27" i="55"/>
  <c r="AM3" i="55"/>
  <c r="AO27" i="55"/>
  <c r="AM8" i="55"/>
  <c r="AS27" i="55"/>
  <c r="AN27" i="55"/>
  <c r="AU27" i="55"/>
  <c r="AM27" i="55"/>
  <c r="AR27" i="55"/>
  <c r="AU188" i="55"/>
  <c r="AK186" i="55"/>
  <c r="BB54" i="55"/>
  <c r="V61" i="55"/>
  <c r="V63" i="55"/>
  <c r="V25" i="55"/>
  <c r="V24" i="55"/>
  <c r="BA30" i="55"/>
  <c r="U61" i="55"/>
  <c r="U66" i="55"/>
  <c r="U63" i="55"/>
  <c r="U25" i="55"/>
  <c r="U24" i="55"/>
  <c r="AD31" i="55"/>
  <c r="BA25" i="55"/>
  <c r="BA61" i="55"/>
  <c r="BA24" i="55"/>
  <c r="BA63" i="55"/>
  <c r="BA313" i="55"/>
  <c r="AU66" i="55"/>
  <c r="Q68" i="55"/>
  <c r="BF308" i="55"/>
  <c r="BF306" i="55"/>
  <c r="AK29" i="55"/>
  <c r="M22" i="23"/>
  <c r="N22" i="23"/>
  <c r="O22" i="23"/>
  <c r="P22" i="23"/>
  <c r="Q22" i="23"/>
  <c r="R22" i="23"/>
  <c r="L472" i="24"/>
  <c r="K472" i="24"/>
  <c r="K419" i="24"/>
  <c r="K421" i="24" s="1" a="1"/>
  <c r="K421" i="24" s="1"/>
  <c r="G328" i="76" s="1"/>
  <c r="J421" i="24" a="1"/>
  <c r="J421" i="24" s="1"/>
  <c r="P40" i="23"/>
  <c r="P58" i="23"/>
  <c r="R28" i="23"/>
  <c r="R63" i="23"/>
  <c r="R34" i="23" a="1"/>
  <c r="Q46" i="23"/>
  <c r="R35" i="23" a="1"/>
  <c r="P65" i="23"/>
  <c r="Q64" i="23"/>
  <c r="Q45" i="23"/>
  <c r="N50" i="23"/>
  <c r="Q41" i="23"/>
  <c r="P173" i="23"/>
  <c r="Q51" i="23"/>
  <c r="Q65" i="23"/>
  <c r="M35" i="23" a="1"/>
  <c r="N65" i="23"/>
  <c r="O53" i="23"/>
  <c r="N47" i="23"/>
  <c r="P44" i="23"/>
  <c r="O63" i="23"/>
  <c r="N38" i="23"/>
  <c r="M27" i="23"/>
  <c r="M65" i="23"/>
  <c r="M32" i="23" a="1"/>
  <c r="P41" i="23"/>
  <c r="M34" i="23" a="1"/>
  <c r="R47" i="23"/>
  <c r="P197" i="23"/>
  <c r="N26" i="23"/>
  <c r="O35" i="23" a="1"/>
  <c r="M39" i="23"/>
  <c r="R46" i="23"/>
  <c r="Q173" i="23"/>
  <c r="Q197" i="23"/>
  <c r="R50" i="23"/>
  <c r="R38" i="23"/>
  <c r="R41" i="23"/>
  <c r="R25" i="23"/>
  <c r="M38" i="23"/>
  <c r="P63" i="23"/>
  <c r="R39" i="23"/>
  <c r="O34" i="23" a="1"/>
  <c r="N63" i="23"/>
  <c r="O62" i="23"/>
  <c r="M59" i="23"/>
  <c r="Q52" i="23"/>
  <c r="M28" i="23"/>
  <c r="P47" i="23"/>
  <c r="O58" i="23"/>
  <c r="M25" i="23"/>
  <c r="O173" i="23"/>
  <c r="R27" i="23"/>
  <c r="R124" i="23"/>
  <c r="Q44" i="23"/>
  <c r="O45" i="23"/>
  <c r="O51" i="23"/>
  <c r="N58" i="23"/>
  <c r="P45" i="23"/>
  <c r="N185" i="23"/>
  <c r="M26" i="23"/>
  <c r="M46" i="23"/>
  <c r="M62" i="23"/>
  <c r="Q161" i="23"/>
  <c r="P53" i="23"/>
  <c r="Q50" i="23"/>
  <c r="O197" i="23"/>
  <c r="P51" i="23"/>
  <c r="Q33" i="23" a="1"/>
  <c r="O25" i="23"/>
  <c r="Q56" i="23"/>
  <c r="R197" i="23"/>
  <c r="O46" i="23"/>
  <c r="N45" i="23"/>
  <c r="M41" i="23"/>
  <c r="O38" i="23"/>
  <c r="P33" i="23" a="1"/>
  <c r="R53" i="23"/>
  <c r="O41" i="23"/>
  <c r="Q39" i="23"/>
  <c r="Q53" i="23"/>
  <c r="N40" i="23"/>
  <c r="Q40" i="23"/>
  <c r="P64" i="23"/>
  <c r="N173" i="23"/>
  <c r="P59" i="23"/>
  <c r="R58" i="23"/>
  <c r="O28" i="23"/>
  <c r="M47" i="23"/>
  <c r="Q34" i="23" a="1"/>
  <c r="P62" i="23"/>
  <c r="Q26" i="23"/>
  <c r="R62" i="23"/>
  <c r="N44" i="23"/>
  <c r="M45" i="23"/>
  <c r="O65" i="23"/>
  <c r="O161" i="23"/>
  <c r="R40" i="23"/>
  <c r="M33" i="23" a="1"/>
  <c r="P27" i="23"/>
  <c r="Q58" i="23"/>
  <c r="N27" i="23"/>
  <c r="N56" i="23"/>
  <c r="N33" i="23" a="1"/>
  <c r="Q28" i="23"/>
  <c r="P35" i="23" a="1"/>
  <c r="M58" i="23"/>
  <c r="O40" i="23"/>
  <c r="R52" i="23"/>
  <c r="R173" i="23"/>
  <c r="R32" i="23" a="1"/>
  <c r="P26" i="23"/>
  <c r="N62" i="23"/>
  <c r="P25" i="23"/>
  <c r="R59" i="23"/>
  <c r="R45" i="23"/>
  <c r="R109" i="23"/>
  <c r="R26" i="23"/>
  <c r="M57" i="23"/>
  <c r="Q185" i="23"/>
  <c r="O27" i="23"/>
  <c r="N51" i="23"/>
  <c r="P32" i="23" a="1"/>
  <c r="M44" i="23"/>
  <c r="P161" i="23"/>
  <c r="Q63" i="23"/>
  <c r="M56" i="23"/>
  <c r="P34" i="23" a="1"/>
  <c r="R57" i="23"/>
  <c r="R65" i="23"/>
  <c r="N197" i="23"/>
  <c r="N46" i="23"/>
  <c r="P185" i="23"/>
  <c r="R33" i="23" a="1"/>
  <c r="N53" i="23"/>
  <c r="R94" i="23"/>
  <c r="P57" i="23"/>
  <c r="P50" i="23"/>
  <c r="N35" i="23" a="1"/>
  <c r="N59" i="23"/>
  <c r="N25" i="23"/>
  <c r="R161" i="23"/>
  <c r="N39" i="23"/>
  <c r="Q32" i="23" a="1"/>
  <c r="N161" i="23"/>
  <c r="O44" i="23"/>
  <c r="Q47" i="23"/>
  <c r="Q38" i="23"/>
  <c r="O26" i="23"/>
  <c r="N34" i="23" a="1"/>
  <c r="O52" i="23"/>
  <c r="P52" i="23"/>
  <c r="O32" i="23" a="1"/>
  <c r="P56" i="23"/>
  <c r="O64" i="23"/>
  <c r="M53" i="23"/>
  <c r="R64" i="23"/>
  <c r="M63" i="23"/>
  <c r="P46" i="23"/>
  <c r="N28" i="23"/>
  <c r="M52" i="23"/>
  <c r="P28" i="23"/>
  <c r="Q62" i="23"/>
  <c r="M51" i="23"/>
  <c r="P38" i="23"/>
  <c r="O56" i="23"/>
  <c r="Q25" i="23"/>
  <c r="O47" i="23"/>
  <c r="Q59" i="23"/>
  <c r="N32" i="23" a="1"/>
  <c r="Q35" i="23" a="1"/>
  <c r="O39" i="23"/>
  <c r="O50" i="23"/>
  <c r="P39" i="23"/>
  <c r="O57" i="23"/>
  <c r="Q27" i="23"/>
  <c r="R51" i="23"/>
  <c r="R56" i="23"/>
  <c r="O185" i="23"/>
  <c r="M64" i="23"/>
  <c r="N64" i="23"/>
  <c r="O59" i="23"/>
  <c r="N57" i="23"/>
  <c r="R139" i="23"/>
  <c r="N41" i="23"/>
  <c r="R185" i="23"/>
  <c r="Q57" i="23"/>
  <c r="R44" i="23"/>
  <c r="N52" i="23"/>
  <c r="M40" i="23"/>
  <c r="O33" i="23" a="1"/>
  <c r="M50" i="23"/>
  <c r="AK299" i="75" l="1"/>
  <c r="BG360" i="74"/>
  <c r="AZ299" i="74"/>
  <c r="AO359" i="73"/>
  <c r="BE360" i="74"/>
  <c r="BE299" i="74"/>
  <c r="AN258" i="74"/>
  <c r="T360" i="74"/>
  <c r="AT299" i="76"/>
  <c r="Q258" i="72"/>
  <c r="BB359" i="76"/>
  <c r="AT359" i="76"/>
  <c r="AZ359" i="76"/>
  <c r="AU360" i="76"/>
  <c r="M190" i="76"/>
  <c r="M200" i="76" s="1"/>
  <c r="J356" i="76"/>
  <c r="AK296" i="76"/>
  <c r="AK298" i="76" s="1"/>
  <c r="AS359" i="76"/>
  <c r="M11" i="76"/>
  <c r="M140" i="76" s="1"/>
  <c r="Q264" i="76"/>
  <c r="AN359" i="76"/>
  <c r="AW357" i="76"/>
  <c r="J294" i="76"/>
  <c r="BA359" i="76"/>
  <c r="BA299" i="76"/>
  <c r="M245" i="76"/>
  <c r="BC359" i="76"/>
  <c r="BC298" i="76"/>
  <c r="BC299" i="76"/>
  <c r="AZ298" i="76"/>
  <c r="AZ299" i="76"/>
  <c r="M298" i="76"/>
  <c r="AW296" i="76"/>
  <c r="AW298" i="76" s="1"/>
  <c r="AM298" i="76"/>
  <c r="AM299" i="76"/>
  <c r="AN245" i="76"/>
  <c r="AN246" i="76" s="1"/>
  <c r="AN264" i="76" s="1"/>
  <c r="AN11" i="76"/>
  <c r="AM11" i="76"/>
  <c r="AM245" i="76"/>
  <c r="AM246" i="76" s="1"/>
  <c r="BG359" i="76"/>
  <c r="BG360" i="76"/>
  <c r="M359" i="76"/>
  <c r="BD298" i="76"/>
  <c r="BD299" i="76"/>
  <c r="Q258" i="76"/>
  <c r="AR360" i="76"/>
  <c r="AR359" i="76"/>
  <c r="AO11" i="76"/>
  <c r="AO245" i="76"/>
  <c r="AO246" i="76" s="1"/>
  <c r="AO264" i="76" s="1"/>
  <c r="AZ11" i="76"/>
  <c r="AZ245" i="76"/>
  <c r="AZ246" i="76" s="1"/>
  <c r="AZ264" i="76" s="1"/>
  <c r="AR298" i="76"/>
  <c r="AR299" i="76"/>
  <c r="BF360" i="76"/>
  <c r="BF359" i="76"/>
  <c r="AN298" i="76"/>
  <c r="AN299" i="76"/>
  <c r="AO360" i="76"/>
  <c r="AO359" i="76"/>
  <c r="J12" i="76"/>
  <c r="BA11" i="76"/>
  <c r="BA245" i="76"/>
  <c r="BA246" i="76" s="1"/>
  <c r="BA264" i="76" s="1"/>
  <c r="AP298" i="76"/>
  <c r="AP299" i="76"/>
  <c r="AK357" i="76"/>
  <c r="J355" i="76"/>
  <c r="AY299" i="76"/>
  <c r="AY298" i="76"/>
  <c r="M360" i="76"/>
  <c r="Y190" i="76"/>
  <c r="Y200" i="76" s="1"/>
  <c r="AW263" i="76"/>
  <c r="AY359" i="76"/>
  <c r="AY360" i="76"/>
  <c r="AU298" i="76"/>
  <c r="AU299" i="76"/>
  <c r="AQ360" i="76"/>
  <c r="AQ359" i="76"/>
  <c r="BG245" i="76"/>
  <c r="BG246" i="76" s="1"/>
  <c r="BG11" i="76"/>
  <c r="AQ298" i="76"/>
  <c r="AQ299" i="76"/>
  <c r="AM359" i="76"/>
  <c r="AM360" i="76"/>
  <c r="J295" i="76"/>
  <c r="AY11" i="76"/>
  <c r="AY245" i="76"/>
  <c r="AY246" i="76" s="1"/>
  <c r="O253" i="76"/>
  <c r="O258" i="76" s="1"/>
  <c r="AM253" i="76"/>
  <c r="AK253" i="76" s="1"/>
  <c r="BD360" i="76"/>
  <c r="BD359" i="76"/>
  <c r="M299" i="76"/>
  <c r="BF299" i="76"/>
  <c r="BF298" i="76"/>
  <c r="AP360" i="76"/>
  <c r="AP359" i="76"/>
  <c r="P258" i="76"/>
  <c r="BE359" i="76"/>
  <c r="BE360" i="76"/>
  <c r="AU11" i="76"/>
  <c r="AU245" i="76"/>
  <c r="AU246" i="76" s="1"/>
  <c r="AO298" i="76"/>
  <c r="AO299" i="76"/>
  <c r="BF360" i="75"/>
  <c r="M190" i="75"/>
  <c r="M200" i="75" s="1"/>
  <c r="BC360" i="75"/>
  <c r="BC359" i="75"/>
  <c r="BD360" i="75"/>
  <c r="BD359" i="75"/>
  <c r="BG360" i="75"/>
  <c r="BG359" i="75"/>
  <c r="BA299" i="75"/>
  <c r="BA298" i="75"/>
  <c r="M298" i="75"/>
  <c r="BE299" i="75"/>
  <c r="BE298" i="75"/>
  <c r="BF299" i="75"/>
  <c r="BF298" i="75"/>
  <c r="BG11" i="75"/>
  <c r="BG245" i="75"/>
  <c r="BG246" i="75" s="1"/>
  <c r="AW357" i="75"/>
  <c r="BE360" i="75"/>
  <c r="BE359" i="75"/>
  <c r="AZ11" i="75"/>
  <c r="AZ245" i="75"/>
  <c r="AZ246" i="75" s="1"/>
  <c r="AZ264" i="75" s="1"/>
  <c r="AY360" i="75"/>
  <c r="AY359" i="75"/>
  <c r="BD298" i="75"/>
  <c r="BD299" i="75"/>
  <c r="BA245" i="75"/>
  <c r="BA246" i="75" s="1"/>
  <c r="BA264" i="75" s="1"/>
  <c r="BA11" i="75"/>
  <c r="BA360" i="75"/>
  <c r="BA359" i="75"/>
  <c r="BG298" i="75"/>
  <c r="BG299" i="75"/>
  <c r="AY11" i="75"/>
  <c r="AY245" i="75"/>
  <c r="AZ359" i="75"/>
  <c r="AZ360" i="75"/>
  <c r="AY298" i="75"/>
  <c r="AY299" i="75"/>
  <c r="BC298" i="75"/>
  <c r="BC299" i="75"/>
  <c r="BB298" i="75"/>
  <c r="BB299" i="75"/>
  <c r="AW296" i="75"/>
  <c r="AW298" i="75" s="1"/>
  <c r="AZ298" i="75"/>
  <c r="AZ299" i="75"/>
  <c r="BB359" i="75"/>
  <c r="BB360" i="75"/>
  <c r="M11" i="75"/>
  <c r="M140" i="75" s="1"/>
  <c r="Y11" i="75"/>
  <c r="Y140" i="75" s="1"/>
  <c r="J357" i="75"/>
  <c r="AC264" i="75"/>
  <c r="Q264" i="75"/>
  <c r="M359" i="75"/>
  <c r="Y245" i="75"/>
  <c r="M245" i="75"/>
  <c r="Y299" i="75"/>
  <c r="M299" i="75"/>
  <c r="AK254" i="75"/>
  <c r="Y359" i="75"/>
  <c r="AW263" i="75"/>
  <c r="M360" i="75"/>
  <c r="Y360" i="75"/>
  <c r="Y298" i="75"/>
  <c r="S359" i="74"/>
  <c r="S299" i="74"/>
  <c r="V359" i="74"/>
  <c r="AS360" i="74"/>
  <c r="AS359" i="74"/>
  <c r="Q299" i="74"/>
  <c r="BC360" i="74"/>
  <c r="P299" i="74"/>
  <c r="Y11" i="74"/>
  <c r="Y140" i="74" s="1"/>
  <c r="AO299" i="74"/>
  <c r="AP360" i="74"/>
  <c r="AP359" i="74"/>
  <c r="AQ360" i="74"/>
  <c r="AQ359" i="74"/>
  <c r="BA299" i="74"/>
  <c r="AR299" i="74"/>
  <c r="AK296" i="74"/>
  <c r="AK298" i="74" s="1"/>
  <c r="AP299" i="74"/>
  <c r="AT298" i="74"/>
  <c r="AT299" i="74"/>
  <c r="AT359" i="74"/>
  <c r="AT360" i="74"/>
  <c r="AO359" i="74"/>
  <c r="AO360" i="74"/>
  <c r="AO245" i="74"/>
  <c r="AO246" i="74" s="1"/>
  <c r="AO264" i="74" s="1"/>
  <c r="AO11" i="74"/>
  <c r="AU359" i="74"/>
  <c r="AU360" i="74"/>
  <c r="AK357" i="74"/>
  <c r="AU299" i="74"/>
  <c r="AM11" i="74"/>
  <c r="AM245" i="74"/>
  <c r="AM246" i="74" s="1"/>
  <c r="AM360" i="74"/>
  <c r="AM359" i="74"/>
  <c r="AR360" i="74"/>
  <c r="AR359" i="74"/>
  <c r="AM298" i="74"/>
  <c r="AM299" i="74"/>
  <c r="AS299" i="74"/>
  <c r="AN245" i="74"/>
  <c r="AN246" i="74" s="1"/>
  <c r="AN264" i="74" s="1"/>
  <c r="AN11" i="74"/>
  <c r="AQ299" i="74"/>
  <c r="AN360" i="74"/>
  <c r="AN359" i="74"/>
  <c r="AU245" i="74"/>
  <c r="AU246" i="74" s="1"/>
  <c r="AU11" i="74"/>
  <c r="AN298" i="74"/>
  <c r="AN299" i="74"/>
  <c r="O299" i="74"/>
  <c r="W299" i="74"/>
  <c r="Y299" i="74"/>
  <c r="J294" i="74"/>
  <c r="R299" i="74"/>
  <c r="J12" i="74"/>
  <c r="BB299" i="74"/>
  <c r="P360" i="74"/>
  <c r="P359" i="74"/>
  <c r="Y245" i="74"/>
  <c r="AW357" i="74"/>
  <c r="J356" i="74"/>
  <c r="BF298" i="74"/>
  <c r="BF299" i="74"/>
  <c r="AC264" i="74"/>
  <c r="Y359" i="74"/>
  <c r="Y360" i="74"/>
  <c r="M296" i="74"/>
  <c r="J295" i="74"/>
  <c r="BG298" i="74"/>
  <c r="BG299" i="74"/>
  <c r="W245" i="74"/>
  <c r="W246" i="74" s="1"/>
  <c r="W11" i="74"/>
  <c r="M298" i="74"/>
  <c r="AY298" i="74"/>
  <c r="AY299" i="74"/>
  <c r="BA360" i="74"/>
  <c r="BA359" i="74"/>
  <c r="T299" i="74"/>
  <c r="M357" i="74"/>
  <c r="J355" i="74"/>
  <c r="AW296" i="74"/>
  <c r="AW298" i="74" s="1"/>
  <c r="BA245" i="74"/>
  <c r="BA246" i="74" s="1"/>
  <c r="BA264" i="74" s="1"/>
  <c r="BA11" i="74"/>
  <c r="O11" i="74"/>
  <c r="O245" i="74"/>
  <c r="AZ258" i="74"/>
  <c r="O359" i="74"/>
  <c r="O360" i="74"/>
  <c r="BG245" i="74"/>
  <c r="BG246" i="74" s="1"/>
  <c r="BG11" i="74"/>
  <c r="BC299" i="74"/>
  <c r="BD298" i="74"/>
  <c r="BD299" i="74"/>
  <c r="U299" i="74"/>
  <c r="U360" i="74"/>
  <c r="U359" i="74"/>
  <c r="P11" i="74"/>
  <c r="P245" i="74"/>
  <c r="P246" i="74" s="1"/>
  <c r="P264" i="74" s="1"/>
  <c r="BB360" i="74"/>
  <c r="BB359" i="74"/>
  <c r="AZ360" i="74"/>
  <c r="AZ359" i="74"/>
  <c r="AY360" i="74"/>
  <c r="AY359" i="74"/>
  <c r="AY11" i="74"/>
  <c r="AY245" i="74"/>
  <c r="AY246" i="74" s="1"/>
  <c r="R360" i="74"/>
  <c r="R359" i="74"/>
  <c r="Q11" i="74"/>
  <c r="Q245" i="74"/>
  <c r="Q246" i="74" s="1"/>
  <c r="Q264" i="74" s="1"/>
  <c r="BD360" i="74"/>
  <c r="BD359" i="74"/>
  <c r="AZ245" i="74"/>
  <c r="AZ246" i="74" s="1"/>
  <c r="AZ264" i="74" s="1"/>
  <c r="AZ11" i="74"/>
  <c r="AQ359" i="73"/>
  <c r="M11" i="73"/>
  <c r="M140" i="73" s="1"/>
  <c r="AN359" i="73"/>
  <c r="Y11" i="73"/>
  <c r="Y140" i="73" s="1"/>
  <c r="AP360" i="73"/>
  <c r="AY254" i="73"/>
  <c r="AW11" i="73"/>
  <c r="AW140" i="73" s="1"/>
  <c r="AQ299" i="73"/>
  <c r="Y190" i="73"/>
  <c r="Y200" i="73" s="1"/>
  <c r="AK357" i="73"/>
  <c r="AC264" i="73"/>
  <c r="AO299" i="73"/>
  <c r="M298" i="73"/>
  <c r="M245" i="73"/>
  <c r="AK296" i="73"/>
  <c r="AK298" i="73" s="1"/>
  <c r="AW360" i="73"/>
  <c r="AW245" i="73"/>
  <c r="BA264" i="73"/>
  <c r="Y245" i="73"/>
  <c r="AM298" i="73"/>
  <c r="AM299" i="73"/>
  <c r="AT298" i="73"/>
  <c r="AT299" i="73"/>
  <c r="AU359" i="73"/>
  <c r="AU360" i="73"/>
  <c r="AR298" i="73"/>
  <c r="AR299" i="73"/>
  <c r="AO245" i="73"/>
  <c r="AO246" i="73" s="1"/>
  <c r="AO264" i="73" s="1"/>
  <c r="AO11" i="73"/>
  <c r="AW359" i="73"/>
  <c r="Y359" i="73"/>
  <c r="AS298" i="73"/>
  <c r="AS299" i="73"/>
  <c r="AN245" i="73"/>
  <c r="AN246" i="73" s="1"/>
  <c r="AN264" i="73" s="1"/>
  <c r="AN11" i="73"/>
  <c r="Y360" i="73"/>
  <c r="AW299" i="73"/>
  <c r="AM360" i="73"/>
  <c r="AM359" i="73"/>
  <c r="AU11" i="73"/>
  <c r="AU245" i="73"/>
  <c r="AU246" i="73" s="1"/>
  <c r="J357" i="73"/>
  <c r="J355" i="73"/>
  <c r="AR359" i="73"/>
  <c r="AR360" i="73"/>
  <c r="AN298" i="73"/>
  <c r="AN299" i="73"/>
  <c r="J295" i="73"/>
  <c r="AU298" i="73"/>
  <c r="AU299" i="73"/>
  <c r="M359" i="73"/>
  <c r="AM245" i="73"/>
  <c r="AM246" i="73" s="1"/>
  <c r="AM11" i="73"/>
  <c r="AT360" i="73"/>
  <c r="AT359" i="73"/>
  <c r="AS360" i="73"/>
  <c r="AS359" i="73"/>
  <c r="M299" i="73"/>
  <c r="M360" i="73"/>
  <c r="Y299" i="73"/>
  <c r="AP298" i="73"/>
  <c r="AP299" i="73"/>
  <c r="BE299" i="72"/>
  <c r="BG359" i="72"/>
  <c r="M11" i="72"/>
  <c r="M140" i="72" s="1"/>
  <c r="AO264" i="72"/>
  <c r="AK11" i="72"/>
  <c r="AK140" i="72" s="1"/>
  <c r="BC359" i="72"/>
  <c r="AZ299" i="72"/>
  <c r="BB360" i="72"/>
  <c r="BB359" i="72"/>
  <c r="BD360" i="72"/>
  <c r="BD298" i="72"/>
  <c r="BD299" i="72"/>
  <c r="BB298" i="72"/>
  <c r="BB299" i="72"/>
  <c r="M360" i="72"/>
  <c r="BF298" i="72"/>
  <c r="BF299" i="72"/>
  <c r="BC298" i="72"/>
  <c r="BC299" i="72"/>
  <c r="BA298" i="72"/>
  <c r="BA299" i="72"/>
  <c r="BG245" i="72"/>
  <c r="BG246" i="72" s="1"/>
  <c r="BG11" i="72"/>
  <c r="J355" i="72"/>
  <c r="AW357" i="72"/>
  <c r="J357" i="72" s="1"/>
  <c r="BG298" i="72"/>
  <c r="BG299" i="72"/>
  <c r="AZ245" i="72"/>
  <c r="AZ246" i="72" s="1"/>
  <c r="AZ264" i="72" s="1"/>
  <c r="AZ11" i="72"/>
  <c r="BA360" i="72"/>
  <c r="BA359" i="72"/>
  <c r="AY360" i="72"/>
  <c r="AY359" i="72"/>
  <c r="BA245" i="72"/>
  <c r="BA246" i="72" s="1"/>
  <c r="BA264" i="72" s="1"/>
  <c r="BA11" i="72"/>
  <c r="AZ360" i="72"/>
  <c r="AZ359" i="72"/>
  <c r="AY11" i="72"/>
  <c r="AY245" i="72"/>
  <c r="AW296" i="72"/>
  <c r="J295" i="72"/>
  <c r="BE360" i="72"/>
  <c r="BE359" i="72"/>
  <c r="AY298" i="72"/>
  <c r="AY299" i="72"/>
  <c r="BF360" i="72"/>
  <c r="BF359" i="72"/>
  <c r="AK245" i="72"/>
  <c r="M245" i="72"/>
  <c r="AK299" i="72"/>
  <c r="AK359" i="72"/>
  <c r="Q264" i="72"/>
  <c r="M359" i="72"/>
  <c r="AK360" i="72"/>
  <c r="M299" i="72"/>
  <c r="AY253" i="72"/>
  <c r="AW253" i="72" s="1"/>
  <c r="M298" i="72"/>
  <c r="AK254" i="76"/>
  <c r="AN258" i="76"/>
  <c r="AO258" i="76"/>
  <c r="AC258" i="75"/>
  <c r="AW254" i="76"/>
  <c r="AK190" i="76"/>
  <c r="AK200" i="76" s="1"/>
  <c r="AW254" i="73"/>
  <c r="AW254" i="75"/>
  <c r="M254" i="75"/>
  <c r="M254" i="76"/>
  <c r="AZ258" i="76"/>
  <c r="AN258" i="75"/>
  <c r="AK263" i="75"/>
  <c r="Y263" i="76"/>
  <c r="M263" i="76"/>
  <c r="J255" i="76"/>
  <c r="M243" i="76"/>
  <c r="O246" i="76"/>
  <c r="AN328" i="76"/>
  <c r="R328" i="76"/>
  <c r="AC328" i="76"/>
  <c r="BG328" i="76"/>
  <c r="BC328" i="76"/>
  <c r="AR328" i="76"/>
  <c r="AE328" i="76"/>
  <c r="AS328" i="76"/>
  <c r="T328" i="76"/>
  <c r="AH328" i="76"/>
  <c r="W328" i="76"/>
  <c r="AI328" i="76"/>
  <c r="AM328" i="76"/>
  <c r="AB328" i="76"/>
  <c r="AU328" i="76"/>
  <c r="BE328" i="76"/>
  <c r="AD328" i="76"/>
  <c r="P328" i="76"/>
  <c r="O328" i="76"/>
  <c r="AO328" i="76"/>
  <c r="BF328" i="76"/>
  <c r="AA328" i="76"/>
  <c r="AF328" i="76"/>
  <c r="BB328" i="76"/>
  <c r="AY328" i="76"/>
  <c r="AQ328" i="76"/>
  <c r="AZ328" i="76"/>
  <c r="Q328" i="76"/>
  <c r="AP328" i="76"/>
  <c r="BD328" i="76"/>
  <c r="AG328" i="76"/>
  <c r="AT328" i="76"/>
  <c r="U328" i="76"/>
  <c r="V328" i="76"/>
  <c r="BA328" i="76"/>
  <c r="S328" i="76"/>
  <c r="AM253" i="75"/>
  <c r="AM258" i="75" s="1"/>
  <c r="AK243" i="76"/>
  <c r="AB258" i="76"/>
  <c r="Y140" i="76"/>
  <c r="AC258" i="76"/>
  <c r="P258" i="75"/>
  <c r="AZ258" i="75"/>
  <c r="Y243" i="76"/>
  <c r="AA246" i="76"/>
  <c r="AY253" i="76"/>
  <c r="AB258" i="73"/>
  <c r="BA258" i="73"/>
  <c r="AW243" i="76"/>
  <c r="AA253" i="76"/>
  <c r="O254" i="74"/>
  <c r="M254" i="74" s="1"/>
  <c r="M263" i="75"/>
  <c r="Y263" i="75"/>
  <c r="BA258" i="76"/>
  <c r="AW190" i="76"/>
  <c r="AK263" i="76"/>
  <c r="Y253" i="75"/>
  <c r="M190" i="73"/>
  <c r="M200" i="73" s="1"/>
  <c r="M190" i="74"/>
  <c r="M201" i="74" s="1"/>
  <c r="AA254" i="74"/>
  <c r="Y254" i="74" s="1"/>
  <c r="Q258" i="74"/>
  <c r="Q258" i="75"/>
  <c r="AO258" i="75"/>
  <c r="AK200" i="75"/>
  <c r="AK201" i="75"/>
  <c r="AK292" i="75" s="1"/>
  <c r="AY253" i="75"/>
  <c r="M263" i="74"/>
  <c r="AK243" i="75"/>
  <c r="AM246" i="75"/>
  <c r="G328" i="74"/>
  <c r="AA328" i="74" s="1"/>
  <c r="G328" i="75"/>
  <c r="Y190" i="74"/>
  <c r="Y243" i="75"/>
  <c r="AA246" i="75"/>
  <c r="AA254" i="75"/>
  <c r="Y254" i="75" s="1"/>
  <c r="AB258" i="75"/>
  <c r="P258" i="73"/>
  <c r="AO258" i="73"/>
  <c r="J255" i="74"/>
  <c r="AW190" i="75"/>
  <c r="J255" i="75"/>
  <c r="O253" i="75"/>
  <c r="AW243" i="75"/>
  <c r="BA258" i="75"/>
  <c r="Y190" i="75"/>
  <c r="M243" i="75"/>
  <c r="O246" i="75"/>
  <c r="AK253" i="74"/>
  <c r="AW253" i="74"/>
  <c r="BA258" i="72"/>
  <c r="M243" i="74"/>
  <c r="O246" i="74"/>
  <c r="AM254" i="74"/>
  <c r="AK254" i="74" s="1"/>
  <c r="AC258" i="74"/>
  <c r="AY254" i="74"/>
  <c r="AW254" i="74" s="1"/>
  <c r="Q258" i="73"/>
  <c r="Y263" i="72"/>
  <c r="AN258" i="72"/>
  <c r="AM254" i="73"/>
  <c r="AK254" i="73" s="1"/>
  <c r="AC258" i="73"/>
  <c r="M253" i="74"/>
  <c r="AW190" i="74"/>
  <c r="AW263" i="72"/>
  <c r="AW263" i="74"/>
  <c r="AK190" i="73"/>
  <c r="AK200" i="73" s="1"/>
  <c r="AN258" i="73"/>
  <c r="AB258" i="74"/>
  <c r="Y243" i="74"/>
  <c r="AA246" i="74"/>
  <c r="AK190" i="74"/>
  <c r="Y263" i="74"/>
  <c r="AK254" i="72"/>
  <c r="M263" i="73"/>
  <c r="Y263" i="73"/>
  <c r="Y253" i="74"/>
  <c r="AK263" i="74"/>
  <c r="BA258" i="74"/>
  <c r="P258" i="74"/>
  <c r="AW243" i="74"/>
  <c r="AO258" i="74"/>
  <c r="AK243" i="74"/>
  <c r="M253" i="73"/>
  <c r="Y253" i="73"/>
  <c r="M243" i="73"/>
  <c r="O246" i="73"/>
  <c r="Y243" i="73"/>
  <c r="AA246" i="73"/>
  <c r="AZ258" i="73"/>
  <c r="AA254" i="73"/>
  <c r="Y254" i="73" s="1"/>
  <c r="AW263" i="73"/>
  <c r="AW190" i="73"/>
  <c r="AW253" i="73"/>
  <c r="AY258" i="73"/>
  <c r="AK243" i="73"/>
  <c r="AB258" i="72"/>
  <c r="AK253" i="73"/>
  <c r="AW243" i="73"/>
  <c r="AY246" i="73"/>
  <c r="O254" i="73"/>
  <c r="M254" i="73" s="1"/>
  <c r="AW254" i="72"/>
  <c r="AK263" i="73"/>
  <c r="G328" i="72"/>
  <c r="BE328" i="72" s="1"/>
  <c r="G328" i="73"/>
  <c r="AC258" i="72"/>
  <c r="Y190" i="72"/>
  <c r="Y200" i="72" s="1"/>
  <c r="AM253" i="72"/>
  <c r="AK253" i="72" s="1"/>
  <c r="J255" i="73"/>
  <c r="M253" i="72"/>
  <c r="Y253" i="72"/>
  <c r="O254" i="72"/>
  <c r="M254" i="72" s="1"/>
  <c r="AZ258" i="72"/>
  <c r="AO258" i="72"/>
  <c r="P258" i="72"/>
  <c r="AK190" i="72"/>
  <c r="AK243" i="72"/>
  <c r="AM246" i="72"/>
  <c r="AW243" i="72"/>
  <c r="J255" i="72"/>
  <c r="AK263" i="72"/>
  <c r="M190" i="72"/>
  <c r="AA254" i="72"/>
  <c r="Y254" i="72" s="1"/>
  <c r="M243" i="72"/>
  <c r="O246" i="72"/>
  <c r="M263" i="72"/>
  <c r="Y243" i="72"/>
  <c r="AA246" i="72"/>
  <c r="AW190" i="72"/>
  <c r="AY324" i="55" a="1"/>
  <c r="AY324" i="55" s="1"/>
  <c r="AO242" i="55"/>
  <c r="AY242" i="55"/>
  <c r="AM242" i="55"/>
  <c r="AT55" i="55"/>
  <c r="AT62" i="55" s="1"/>
  <c r="AT269" i="55" s="1"/>
  <c r="AH64" i="55"/>
  <c r="AH270" i="55" s="1"/>
  <c r="AC64" i="55"/>
  <c r="AC270" i="55" s="1"/>
  <c r="AH55" i="55"/>
  <c r="AH62" i="55" s="1"/>
  <c r="AH269" i="55" s="1"/>
  <c r="AH340" i="55" s="1"/>
  <c r="AN64" i="55"/>
  <c r="AN270" i="55" s="1"/>
  <c r="BE64" i="55"/>
  <c r="BE270" i="55" s="1"/>
  <c r="AC55" i="55"/>
  <c r="AC62" i="55" s="1"/>
  <c r="AC269" i="55" s="1"/>
  <c r="AC337" i="55" s="1"/>
  <c r="AC339" i="55" s="1" a="1"/>
  <c r="AC339" i="55" s="1"/>
  <c r="BF64" i="55"/>
  <c r="BF270" i="55" s="1"/>
  <c r="AB243" i="55"/>
  <c r="AD64" i="55"/>
  <c r="AD270" i="55" s="1"/>
  <c r="AD55" i="55"/>
  <c r="AD62" i="55" s="1"/>
  <c r="AD269" i="55" s="1"/>
  <c r="AD340" i="55" s="1"/>
  <c r="R32" i="23"/>
  <c r="R34" i="23"/>
  <c r="R33" i="23"/>
  <c r="R35" i="23"/>
  <c r="P55" i="55"/>
  <c r="P62" i="55" s="1"/>
  <c r="P269" i="55" s="1"/>
  <c r="AN55" i="55"/>
  <c r="AN62" i="55" s="1"/>
  <c r="AN269" i="55" s="1"/>
  <c r="AN340" i="55" s="1"/>
  <c r="P64" i="55"/>
  <c r="P270" i="55" s="1"/>
  <c r="BE326" i="55" a="1"/>
  <c r="BE326" i="55" s="1"/>
  <c r="Q34" i="23"/>
  <c r="Q32" i="23"/>
  <c r="Q35" i="23"/>
  <c r="Q33" i="23"/>
  <c r="P34" i="23"/>
  <c r="P33" i="23"/>
  <c r="P35" i="23"/>
  <c r="P32" i="23"/>
  <c r="AM26" i="55"/>
  <c r="AM334" i="55" s="1"/>
  <c r="R55" i="55"/>
  <c r="R62" i="55" s="1"/>
  <c r="R269" i="55" s="1"/>
  <c r="AP64" i="55"/>
  <c r="AP270" i="55" s="1"/>
  <c r="R64" i="55"/>
  <c r="R270" i="55" s="1"/>
  <c r="AP55" i="55"/>
  <c r="AP62" i="55" s="1"/>
  <c r="AP269" i="55" s="1"/>
  <c r="O33" i="23"/>
  <c r="O35" i="23"/>
  <c r="O32" i="23"/>
  <c r="O34" i="23"/>
  <c r="S64" i="55"/>
  <c r="S270" i="55" s="1"/>
  <c r="BD64" i="55"/>
  <c r="BD270" i="55" s="1"/>
  <c r="AI55" i="55"/>
  <c r="AI62" i="55" s="1"/>
  <c r="AI269" i="55" s="1"/>
  <c r="AI337" i="55" s="1"/>
  <c r="AI339" i="55" s="1" a="1"/>
  <c r="AI339" i="55" s="1"/>
  <c r="BD55" i="55"/>
  <c r="BD62" i="55" s="1"/>
  <c r="BD269" i="55" s="1"/>
  <c r="AI64" i="55"/>
  <c r="AI270" i="55" s="1"/>
  <c r="N34" i="23"/>
  <c r="N32" i="23"/>
  <c r="N33" i="23"/>
  <c r="N35" i="23"/>
  <c r="BE55" i="55"/>
  <c r="BE62" i="55" s="1"/>
  <c r="BE269" i="55" s="1"/>
  <c r="BG55" i="55"/>
  <c r="BG62" i="55" s="1"/>
  <c r="BG269" i="55" s="1"/>
  <c r="S55" i="55"/>
  <c r="S62" i="55" s="1"/>
  <c r="S269" i="55" s="1"/>
  <c r="G328" i="55"/>
  <c r="AM328" i="55" s="1"/>
  <c r="AM329" i="55" s="1"/>
  <c r="BG64" i="55"/>
  <c r="BG270" i="55" s="1"/>
  <c r="M368" i="55"/>
  <c r="AW368" i="55"/>
  <c r="Y368" i="55"/>
  <c r="AK368" i="55"/>
  <c r="BF337" i="55"/>
  <c r="BF339" i="55" s="1" a="1"/>
  <c r="BF339" i="55" s="1"/>
  <c r="AN325" i="55" a="1"/>
  <c r="AN325" i="55" s="1"/>
  <c r="S78" i="55"/>
  <c r="S169" i="55" s="1"/>
  <c r="AG324" i="55" a="1"/>
  <c r="AG324" i="55" s="1"/>
  <c r="AB324" i="55" a="1"/>
  <c r="AB324" i="55" s="1"/>
  <c r="AB325" i="55" a="1"/>
  <c r="AB325" i="55" s="1"/>
  <c r="AQ78" i="55"/>
  <c r="AR286" i="55" s="1"/>
  <c r="AN324" i="55" a="1"/>
  <c r="AN324" i="55" s="1"/>
  <c r="AG325" i="55" a="1"/>
  <c r="AG325" i="55" s="1"/>
  <c r="AW67" i="55"/>
  <c r="AK67" i="55"/>
  <c r="Y67" i="55"/>
  <c r="R325" i="55" a="1"/>
  <c r="R325" i="55" s="1"/>
  <c r="R326" i="55" a="1"/>
  <c r="R326" i="55" s="1"/>
  <c r="AB26" i="55"/>
  <c r="AB334" i="55" s="1"/>
  <c r="BC78" i="55"/>
  <c r="BC169" i="55" s="1"/>
  <c r="AI324" i="55" a="1"/>
  <c r="AI324" i="55" s="1"/>
  <c r="U55" i="55"/>
  <c r="Y194" i="55"/>
  <c r="Y196" i="55" s="1"/>
  <c r="W64" i="55"/>
  <c r="W270" i="55" s="1"/>
  <c r="W55" i="55"/>
  <c r="U64" i="55"/>
  <c r="U270" i="55" s="1"/>
  <c r="V64" i="55"/>
  <c r="V270" i="55" s="1"/>
  <c r="V55" i="55"/>
  <c r="BF325" i="55" a="1"/>
  <c r="BF325" i="55" s="1"/>
  <c r="BF340" i="55"/>
  <c r="BF326" i="55" a="1"/>
  <c r="BF326" i="55" s="1"/>
  <c r="BF331" i="55"/>
  <c r="AF55" i="55"/>
  <c r="AF62" i="55" s="1"/>
  <c r="AF269" i="55" s="1"/>
  <c r="AF340" i="55" s="1"/>
  <c r="AR64" i="55"/>
  <c r="AR270" i="55" s="1"/>
  <c r="V325" i="55" a="1"/>
  <c r="V325" i="55" s="1"/>
  <c r="AP352" i="55"/>
  <c r="AS64" i="55"/>
  <c r="AS270" i="55" s="1"/>
  <c r="AF64" i="55"/>
  <c r="AF270" i="55" s="1"/>
  <c r="AG55" i="55"/>
  <c r="AG62" i="55" s="1"/>
  <c r="AG269" i="55" s="1"/>
  <c r="AG337" i="55" s="1"/>
  <c r="AF289" i="55"/>
  <c r="AS55" i="55"/>
  <c r="AS62" i="55" s="1"/>
  <c r="AS269" i="55" s="1"/>
  <c r="BF55" i="55"/>
  <c r="BF62" i="55" s="1"/>
  <c r="BF269" i="55" s="1"/>
  <c r="AG64" i="55"/>
  <c r="AG270" i="55" s="1"/>
  <c r="BE337" i="55"/>
  <c r="BE336" i="55" s="1"/>
  <c r="BE325" i="55" a="1"/>
  <c r="BE325" i="55" s="1"/>
  <c r="BE324" i="55" a="1"/>
  <c r="BE324" i="55" s="1"/>
  <c r="AH289" i="55"/>
  <c r="AR55" i="55"/>
  <c r="AR62" i="55" s="1"/>
  <c r="AR269" i="55" s="1"/>
  <c r="AH352" i="55"/>
  <c r="AF352" i="55"/>
  <c r="AG289" i="55"/>
  <c r="BF289" i="55"/>
  <c r="BF352" i="55"/>
  <c r="AG352" i="55"/>
  <c r="V324" i="55" a="1"/>
  <c r="V324" i="55" s="1"/>
  <c r="AW194" i="55"/>
  <c r="AW196" i="55" s="1"/>
  <c r="Q325" i="55" a="1"/>
  <c r="Q325" i="55" s="1"/>
  <c r="Q326" i="55" a="1"/>
  <c r="Q326" i="55" s="1"/>
  <c r="AK194" i="55"/>
  <c r="AK196" i="55" s="1"/>
  <c r="I28" i="23"/>
  <c r="Q324" i="55" a="1"/>
  <c r="Q324" i="55" s="1"/>
  <c r="BB191" i="55" a="1"/>
  <c r="BB191" i="55" s="1"/>
  <c r="BB190" i="55" s="1" a="1"/>
  <c r="BB190" i="55" s="1"/>
  <c r="AP191" i="55" a="1"/>
  <c r="AP191" i="55" s="1"/>
  <c r="AP190" i="55" s="1" a="1"/>
  <c r="AP190" i="55" s="1"/>
  <c r="AU352" i="55"/>
  <c r="AD191" i="55" a="1"/>
  <c r="AD191" i="55" s="1"/>
  <c r="AD190" i="55" s="1" a="1"/>
  <c r="AD190" i="55" s="1"/>
  <c r="AQ352" i="55"/>
  <c r="AN352" i="55"/>
  <c r="AO352" i="55"/>
  <c r="AM352" i="55"/>
  <c r="R191" i="55" a="1"/>
  <c r="R191" i="55" s="1"/>
  <c r="R190" i="55" s="1" a="1"/>
  <c r="R190" i="55" s="1"/>
  <c r="AA326" i="55" a="1"/>
  <c r="AA326" i="55" s="1"/>
  <c r="AI326" i="55" a="1"/>
  <c r="AI326" i="55" s="1"/>
  <c r="AQ289" i="55"/>
  <c r="AO289" i="55"/>
  <c r="AT245" i="55"/>
  <c r="AT246" i="55" s="1"/>
  <c r="O64" i="55"/>
  <c r="O270" i="55" s="1"/>
  <c r="I27" i="23"/>
  <c r="I26" i="23"/>
  <c r="M194" i="55"/>
  <c r="O55" i="55"/>
  <c r="BA64" i="55"/>
  <c r="BA270" i="55" s="1"/>
  <c r="AM289" i="55"/>
  <c r="AN289" i="55"/>
  <c r="AU289" i="55"/>
  <c r="AT11" i="55"/>
  <c r="M67" i="55"/>
  <c r="AD326" i="55" a="1"/>
  <c r="AD326" i="55" s="1"/>
  <c r="M69" i="55"/>
  <c r="R324" i="55" a="1"/>
  <c r="R324" i="55" s="1"/>
  <c r="AA55" i="55"/>
  <c r="AA64" i="55"/>
  <c r="AA270" i="55" s="1"/>
  <c r="AA324" i="55" a="1"/>
  <c r="AA324" i="55" s="1"/>
  <c r="BD26" i="55"/>
  <c r="BD334" i="55" s="1"/>
  <c r="R26" i="55"/>
  <c r="R334" i="55" s="1"/>
  <c r="U78" i="55"/>
  <c r="T352" i="55"/>
  <c r="AR325" i="55" a="1"/>
  <c r="AR325" i="55" s="1"/>
  <c r="AR337" i="55"/>
  <c r="AR336" i="55" s="1"/>
  <c r="AO26" i="55"/>
  <c r="AO334" i="55" s="1"/>
  <c r="AR326" i="55" a="1"/>
  <c r="AR326" i="55" s="1"/>
  <c r="AR324" i="55" a="1"/>
  <c r="AR324" i="55" s="1"/>
  <c r="AS78" i="55"/>
  <c r="AE64" i="55"/>
  <c r="AE270" i="55" s="1"/>
  <c r="AM325" i="55" a="1"/>
  <c r="AM325" i="55" s="1"/>
  <c r="AE55" i="55"/>
  <c r="AE62" i="55" s="1"/>
  <c r="AE269" i="55" s="1"/>
  <c r="AE337" i="55" s="1"/>
  <c r="AE336" i="55" s="1"/>
  <c r="AM326" i="55" a="1"/>
  <c r="AM326" i="55" s="1"/>
  <c r="W325" i="55" a="1"/>
  <c r="W325" i="55" s="1"/>
  <c r="AR331" i="55"/>
  <c r="W326" i="55" a="1"/>
  <c r="W326" i="55" s="1"/>
  <c r="AD325" i="55" a="1"/>
  <c r="AD325" i="55" s="1"/>
  <c r="BE26" i="55"/>
  <c r="BE334" i="55" s="1"/>
  <c r="AP26" i="55"/>
  <c r="AP334" i="55" s="1"/>
  <c r="AE78" i="55"/>
  <c r="AG78" i="55"/>
  <c r="J11" i="43"/>
  <c r="G2" i="43" s="1"/>
  <c r="F2" i="76" s="1"/>
  <c r="Q26" i="55"/>
  <c r="Q334" i="55" s="1"/>
  <c r="R352" i="55"/>
  <c r="BA55" i="55"/>
  <c r="BA62" i="55" s="1"/>
  <c r="BA269" i="55" s="1"/>
  <c r="BA340" i="55" s="1"/>
  <c r="T55" i="55"/>
  <c r="AQ55" i="55"/>
  <c r="AQ62" i="55" s="1"/>
  <c r="AQ269" i="55" s="1"/>
  <c r="S352" i="55"/>
  <c r="T64" i="55"/>
  <c r="T270" i="55" s="1"/>
  <c r="AH324" i="55" a="1"/>
  <c r="AH324" i="55" s="1"/>
  <c r="BC324" i="55" a="1"/>
  <c r="BC324" i="55" s="1"/>
  <c r="P352" i="55"/>
  <c r="AH325" i="55" a="1"/>
  <c r="AH325" i="55" s="1"/>
  <c r="Q352" i="55"/>
  <c r="AH326" i="55" a="1"/>
  <c r="AH326" i="55" s="1"/>
  <c r="AK68" i="55"/>
  <c r="AE352" i="55"/>
  <c r="AU64" i="55"/>
  <c r="AU270" i="55" s="1"/>
  <c r="Q289" i="55"/>
  <c r="BA289" i="55"/>
  <c r="AD324" i="55" a="1"/>
  <c r="AD324" i="55" s="1"/>
  <c r="AP337" i="55"/>
  <c r="AP336" i="55" s="1"/>
  <c r="BB289" i="55"/>
  <c r="AC352" i="55"/>
  <c r="AO78" i="55"/>
  <c r="BC289" i="55"/>
  <c r="Y66" i="55"/>
  <c r="R289" i="55"/>
  <c r="S289" i="55"/>
  <c r="AP340" i="55"/>
  <c r="AD352" i="55"/>
  <c r="BD289" i="55"/>
  <c r="AY325" i="55" a="1"/>
  <c r="AY325" i="55" s="1"/>
  <c r="AW69" i="55"/>
  <c r="AK24" i="55"/>
  <c r="AK65" i="55"/>
  <c r="AM277" i="55" s="1"/>
  <c r="BG340" i="55"/>
  <c r="AY326" i="55" a="1"/>
  <c r="AY326" i="55" s="1"/>
  <c r="BG337" i="55"/>
  <c r="BG336" i="55" s="1"/>
  <c r="AW313" i="55"/>
  <c r="U26" i="55"/>
  <c r="U334" i="55" s="1"/>
  <c r="AN26" i="55"/>
  <c r="AN334" i="55" s="1"/>
  <c r="M313" i="55"/>
  <c r="R78" i="55"/>
  <c r="R169" i="55" s="1"/>
  <c r="AR78" i="55"/>
  <c r="AO350" i="55" s="1"/>
  <c r="AW52" i="55"/>
  <c r="BB78" i="55"/>
  <c r="BB169" i="55" s="1"/>
  <c r="S26" i="55"/>
  <c r="S334" i="55" s="1"/>
  <c r="AD26" i="55"/>
  <c r="AD334" i="55" s="1"/>
  <c r="Y313" i="55"/>
  <c r="M66" i="55"/>
  <c r="AU26" i="55"/>
  <c r="AU334" i="55" s="1"/>
  <c r="BD78" i="55"/>
  <c r="AA352" i="55"/>
  <c r="BE289" i="55"/>
  <c r="W26" i="55"/>
  <c r="W334" i="55" s="1"/>
  <c r="Y52" i="55"/>
  <c r="AK313" i="55"/>
  <c r="T78" i="55"/>
  <c r="AK66" i="55"/>
  <c r="AH26" i="55"/>
  <c r="AH334" i="55" s="1"/>
  <c r="BA26" i="55"/>
  <c r="BA334" i="55" s="1"/>
  <c r="AQ26" i="55"/>
  <c r="AQ334" i="55" s="1"/>
  <c r="T289" i="55"/>
  <c r="AI352" i="55"/>
  <c r="M68" i="55"/>
  <c r="AW66" i="55"/>
  <c r="Y68" i="55"/>
  <c r="J52" i="55"/>
  <c r="AK25" i="55"/>
  <c r="Y65" i="55"/>
  <c r="AB277" i="55" s="1"/>
  <c r="BB26" i="55"/>
  <c r="BB334" i="55" s="1"/>
  <c r="Q78" i="55"/>
  <c r="T26" i="55"/>
  <c r="T334" i="55" s="1"/>
  <c r="AB352" i="55"/>
  <c r="AC26" i="55"/>
  <c r="AC334" i="55" s="1"/>
  <c r="P26" i="55"/>
  <c r="P334" i="55" s="1"/>
  <c r="BE78" i="55"/>
  <c r="AZ26" i="55"/>
  <c r="AZ334" i="55" s="1"/>
  <c r="AT26" i="55"/>
  <c r="AT334" i="55" s="1"/>
  <c r="AK69" i="55"/>
  <c r="AQ64" i="55"/>
  <c r="AQ270" i="55" s="1"/>
  <c r="AZ55" i="55"/>
  <c r="AZ62" i="55" s="1"/>
  <c r="AZ269" i="55" s="1"/>
  <c r="BC64" i="55"/>
  <c r="BC270" i="55" s="1"/>
  <c r="BC339" i="55" a="1"/>
  <c r="BC339" i="55" s="1"/>
  <c r="BC336" i="55"/>
  <c r="BB352" i="55"/>
  <c r="M52" i="55"/>
  <c r="S326" i="55" a="1"/>
  <c r="S326" i="55" s="1"/>
  <c r="S325" i="55" a="1"/>
  <c r="S325" i="55" s="1"/>
  <c r="AC78" i="55"/>
  <c r="AW24" i="55"/>
  <c r="AT331" i="55"/>
  <c r="AT326" i="55" a="1"/>
  <c r="AT326" i="55" s="1"/>
  <c r="AT325" i="55" a="1"/>
  <c r="AT325" i="55" s="1"/>
  <c r="AT337" i="55"/>
  <c r="AT324" i="55" a="1"/>
  <c r="AT324" i="55" s="1"/>
  <c r="AT340" i="55"/>
  <c r="AM55" i="55"/>
  <c r="AM62" i="55" s="1"/>
  <c r="AM64" i="55"/>
  <c r="AQ326" i="55" a="1"/>
  <c r="AQ326" i="55" s="1"/>
  <c r="AQ325" i="55" a="1"/>
  <c r="AQ325" i="55" s="1"/>
  <c r="AE326" i="55" a="1"/>
  <c r="AE326" i="55" s="1"/>
  <c r="AE325" i="55" a="1"/>
  <c r="AE325" i="55" s="1"/>
  <c r="U326" i="55" a="1"/>
  <c r="U326" i="55" s="1"/>
  <c r="U325" i="55" a="1"/>
  <c r="U325" i="55" s="1"/>
  <c r="V26" i="55"/>
  <c r="V334" i="55" s="1"/>
  <c r="AU55" i="55"/>
  <c r="AU62" i="55" s="1"/>
  <c r="AU269" i="55" s="1"/>
  <c r="AU337" i="55" s="1"/>
  <c r="AH11" i="55"/>
  <c r="AH245" i="55"/>
  <c r="AH246" i="55" s="1"/>
  <c r="BB324" i="55" a="1"/>
  <c r="BB324" i="55" s="1"/>
  <c r="O326" i="55" a="1"/>
  <c r="O326" i="55" s="1"/>
  <c r="O325" i="55" a="1"/>
  <c r="O325" i="55" s="1"/>
  <c r="O324" i="55" a="1"/>
  <c r="O324" i="55" s="1"/>
  <c r="P326" i="55" a="1"/>
  <c r="P326" i="55" s="1"/>
  <c r="P325" i="55" a="1"/>
  <c r="P325" i="55" s="1"/>
  <c r="P324" i="55" a="1"/>
  <c r="P324" i="55" s="1"/>
  <c r="BC352" i="55"/>
  <c r="BA78" i="55"/>
  <c r="BB13" i="55"/>
  <c r="AU258" i="55"/>
  <c r="AK257" i="55"/>
  <c r="AF326" i="55" a="1"/>
  <c r="AF326" i="55" s="1"/>
  <c r="AF325" i="55" a="1"/>
  <c r="AF325" i="55" s="1"/>
  <c r="AR26" i="55"/>
  <c r="AR334" i="55" s="1"/>
  <c r="AH230" i="55"/>
  <c r="AH234" i="55" s="1"/>
  <c r="AH13" i="55"/>
  <c r="AI230" i="55"/>
  <c r="AI234" i="55" s="1"/>
  <c r="AI13" i="55"/>
  <c r="AE26" i="55"/>
  <c r="AE334" i="55" s="1"/>
  <c r="J186" i="55"/>
  <c r="V230" i="55"/>
  <c r="V234" i="55" s="1"/>
  <c r="V13" i="55"/>
  <c r="I22" i="23"/>
  <c r="AS331" i="55"/>
  <c r="AS326" i="55" a="1"/>
  <c r="AS326" i="55" s="1"/>
  <c r="AS325" i="55" a="1"/>
  <c r="AS325" i="55" s="1"/>
  <c r="AS340" i="55"/>
  <c r="AS337" i="55"/>
  <c r="AS324" i="55" a="1"/>
  <c r="AS324" i="55" s="1"/>
  <c r="BG26" i="55"/>
  <c r="BG334" i="55" s="1"/>
  <c r="BD352" i="55"/>
  <c r="AP78" i="55"/>
  <c r="AF78" i="55"/>
  <c r="AA26" i="55"/>
  <c r="AA334" i="55" s="1"/>
  <c r="Y25" i="55"/>
  <c r="BD326" i="55" a="1"/>
  <c r="BD326" i="55" s="1"/>
  <c r="BD325" i="55" a="1"/>
  <c r="BD325" i="55" s="1"/>
  <c r="BD324" i="55" a="1"/>
  <c r="BD324" i="55" s="1"/>
  <c r="BD340" i="55"/>
  <c r="BD337" i="55"/>
  <c r="U324" i="55" a="1"/>
  <c r="U324" i="55" s="1"/>
  <c r="AY55" i="55"/>
  <c r="AY62" i="55" s="1"/>
  <c r="AO64" i="55"/>
  <c r="AO270" i="55" s="1"/>
  <c r="AG13" i="55"/>
  <c r="AA289" i="55"/>
  <c r="AF324" i="55" a="1"/>
  <c r="AF324" i="55" s="1"/>
  <c r="AY289" i="55"/>
  <c r="BE352" i="55"/>
  <c r="AD78" i="55"/>
  <c r="AY26" i="55"/>
  <c r="AY334" i="55" s="1"/>
  <c r="AW25" i="55"/>
  <c r="AS13" i="55"/>
  <c r="AT230" i="55"/>
  <c r="AT234" i="55" s="1"/>
  <c r="AT13" i="55"/>
  <c r="AE13" i="55"/>
  <c r="I25" i="23"/>
  <c r="J83" i="55"/>
  <c r="J29" i="55"/>
  <c r="AP13" i="55"/>
  <c r="BC13" i="55"/>
  <c r="AG26" i="55"/>
  <c r="AG334" i="55" s="1"/>
  <c r="BF230" i="55"/>
  <c r="BF234" i="55" s="1"/>
  <c r="BF13" i="55"/>
  <c r="BB326" i="55" a="1"/>
  <c r="BB326" i="55" s="1"/>
  <c r="BB325" i="55" a="1"/>
  <c r="BB325" i="55" s="1"/>
  <c r="W258" i="55"/>
  <c r="M257" i="55"/>
  <c r="BA352" i="55"/>
  <c r="AZ64" i="55"/>
  <c r="AZ270" i="55" s="1"/>
  <c r="Y24" i="55"/>
  <c r="AW68" i="55"/>
  <c r="BG258" i="55"/>
  <c r="AW257" i="55"/>
  <c r="AY64" i="55"/>
  <c r="AO55" i="55"/>
  <c r="AO62" i="55" s="1"/>
  <c r="AO269" i="55" s="1"/>
  <c r="AO337" i="55" s="1"/>
  <c r="AO339" i="55" s="1" a="1"/>
  <c r="AO339" i="55" s="1"/>
  <c r="AQ340" i="55"/>
  <c r="Q64" i="55"/>
  <c r="S324" i="55" a="1"/>
  <c r="S324" i="55" s="1"/>
  <c r="BA326" i="55" a="1"/>
  <c r="BA326" i="55" s="1"/>
  <c r="BA325" i="55" a="1"/>
  <c r="BA325" i="55" s="1"/>
  <c r="S13" i="55"/>
  <c r="AI289" i="55"/>
  <c r="M65" i="55"/>
  <c r="AU230" i="55"/>
  <c r="AU234" i="55" s="1"/>
  <c r="AU13" i="55"/>
  <c r="AQ13" i="55"/>
  <c r="BF11" i="55"/>
  <c r="BF245" i="55"/>
  <c r="BF246" i="55" s="1"/>
  <c r="BB64" i="55"/>
  <c r="BB270" i="55" s="1"/>
  <c r="BC26" i="55"/>
  <c r="BC334" i="55" s="1"/>
  <c r="AP326" i="55" a="1"/>
  <c r="AP326" i="55" s="1"/>
  <c r="AP325" i="55" a="1"/>
  <c r="AP325" i="55" s="1"/>
  <c r="V11" i="55"/>
  <c r="V245" i="55"/>
  <c r="V246" i="55" s="1"/>
  <c r="W230" i="55"/>
  <c r="W234" i="55" s="1"/>
  <c r="W13" i="55"/>
  <c r="AQ337" i="55"/>
  <c r="P289" i="55"/>
  <c r="AB289" i="55"/>
  <c r="AC326" i="55" a="1"/>
  <c r="AC326" i="55" s="1"/>
  <c r="AC325" i="55" a="1"/>
  <c r="AC325" i="55" s="1"/>
  <c r="Y69" i="55"/>
  <c r="O242" i="55"/>
  <c r="M24" i="55"/>
  <c r="AZ289" i="55"/>
  <c r="AY352" i="55"/>
  <c r="AO326" i="55" a="1"/>
  <c r="AO326" i="55" s="1"/>
  <c r="AO325" i="55" a="1"/>
  <c r="AO325" i="55" s="1"/>
  <c r="AW65" i="55"/>
  <c r="AI26" i="55"/>
  <c r="AI334" i="55" s="1"/>
  <c r="AS26" i="55"/>
  <c r="AS334" i="55" s="1"/>
  <c r="BB55" i="55"/>
  <c r="BB62" i="55" s="1"/>
  <c r="BB269" i="55" s="1"/>
  <c r="BB340" i="55" s="1"/>
  <c r="AF26" i="55"/>
  <c r="AF334" i="55" s="1"/>
  <c r="U230" i="55"/>
  <c r="U234" i="55" s="1"/>
  <c r="U13" i="55"/>
  <c r="BE13" i="55"/>
  <c r="AB64" i="55"/>
  <c r="AB55" i="55"/>
  <c r="AB62" i="55" s="1"/>
  <c r="BG230" i="55"/>
  <c r="BG234" i="55" s="1"/>
  <c r="BG13" i="55"/>
  <c r="Q55" i="55"/>
  <c r="Q62" i="55" s="1"/>
  <c r="AD13" i="55"/>
  <c r="AD289" i="55"/>
  <c r="AC289" i="55"/>
  <c r="M25" i="55"/>
  <c r="O26" i="55"/>
  <c r="O334" i="55" s="1"/>
  <c r="BG352" i="55"/>
  <c r="BC326" i="55" a="1"/>
  <c r="BC326" i="55" s="1"/>
  <c r="BC325" i="55" a="1"/>
  <c r="BC325" i="55" s="1"/>
  <c r="BC340" i="55"/>
  <c r="AU326" i="55" a="1"/>
  <c r="AU326" i="55" s="1"/>
  <c r="AU325" i="55" a="1"/>
  <c r="AU325" i="55" s="1"/>
  <c r="T326" i="55" a="1"/>
  <c r="T326" i="55" s="1"/>
  <c r="T325" i="55" a="1"/>
  <c r="T325" i="55" s="1"/>
  <c r="AI258" i="55"/>
  <c r="Y257" i="55"/>
  <c r="AK52" i="55"/>
  <c r="R13" i="55"/>
  <c r="AQ324" i="55" a="1"/>
  <c r="AQ324" i="55" s="1"/>
  <c r="AZ352" i="55"/>
  <c r="BC55" i="55"/>
  <c r="BC62" i="55" s="1"/>
  <c r="BC269" i="55" s="1"/>
  <c r="BG326" i="55" a="1"/>
  <c r="BG326" i="55" s="1"/>
  <c r="BG325" i="55" a="1"/>
  <c r="BG325" i="55" s="1"/>
  <c r="BG324" i="55" a="1"/>
  <c r="BG324" i="55" s="1"/>
  <c r="AZ326" i="55" a="1"/>
  <c r="AZ326" i="55" s="1"/>
  <c r="AZ325" i="55" a="1"/>
  <c r="AZ325" i="55" s="1"/>
  <c r="AZ324" i="55" a="1"/>
  <c r="AZ324" i="55" s="1"/>
  <c r="M33" i="23"/>
  <c r="M34" i="23"/>
  <c r="M32" i="23"/>
  <c r="M29" i="23"/>
  <c r="M35" i="23"/>
  <c r="N29" i="23"/>
  <c r="O29" i="23"/>
  <c r="R29" i="23"/>
  <c r="P29" i="23"/>
  <c r="Q29" i="23"/>
  <c r="O267" i="23"/>
  <c r="N252" i="23"/>
  <c r="O124" i="23"/>
  <c r="P237" i="23"/>
  <c r="N94" i="23"/>
  <c r="O300" i="23"/>
  <c r="P124" i="23"/>
  <c r="P300" i="23"/>
  <c r="O222" i="23"/>
  <c r="Q139" i="23"/>
  <c r="N139" i="23"/>
  <c r="P267" i="23"/>
  <c r="P109" i="23"/>
  <c r="N124" i="23"/>
  <c r="O109" i="23"/>
  <c r="Q300" i="23"/>
  <c r="R267" i="23"/>
  <c r="O252" i="23"/>
  <c r="Q109" i="23"/>
  <c r="P252" i="23"/>
  <c r="N222" i="23"/>
  <c r="R300" i="23"/>
  <c r="Q124" i="23"/>
  <c r="N109" i="23"/>
  <c r="N300" i="23"/>
  <c r="Q252" i="23"/>
  <c r="Q267" i="23"/>
  <c r="P222" i="23"/>
  <c r="R237" i="23"/>
  <c r="O94" i="23"/>
  <c r="P94" i="23"/>
  <c r="P139" i="23"/>
  <c r="Q222" i="23"/>
  <c r="O237" i="23"/>
  <c r="R252" i="23"/>
  <c r="Q237" i="23"/>
  <c r="N267" i="23"/>
  <c r="Q94" i="23"/>
  <c r="N237" i="23"/>
  <c r="R222" i="23"/>
  <c r="O139" i="23"/>
  <c r="R14" i="23" a="1"/>
  <c r="AK201" i="76" l="1"/>
  <c r="AK292" i="76" s="1"/>
  <c r="M201" i="75"/>
  <c r="Y258" i="74"/>
  <c r="M253" i="76"/>
  <c r="M201" i="76"/>
  <c r="M292" i="76" s="1"/>
  <c r="Y201" i="74"/>
  <c r="Y292" i="74" s="1"/>
  <c r="Y201" i="76"/>
  <c r="Y292" i="76" s="1"/>
  <c r="J357" i="76"/>
  <c r="AK258" i="76"/>
  <c r="AM258" i="76"/>
  <c r="AW11" i="76"/>
  <c r="AW140" i="76" s="1"/>
  <c r="AK11" i="76"/>
  <c r="AK140" i="76" s="1"/>
  <c r="J254" i="76"/>
  <c r="J298" i="76"/>
  <c r="J296" i="76"/>
  <c r="AW299" i="76"/>
  <c r="AK245" i="76"/>
  <c r="AW245" i="76"/>
  <c r="AK360" i="76"/>
  <c r="AK359" i="76"/>
  <c r="AK299" i="76"/>
  <c r="AW360" i="76"/>
  <c r="AW359" i="76"/>
  <c r="AW245" i="75"/>
  <c r="J245" i="75" s="1"/>
  <c r="J296" i="75"/>
  <c r="J298" i="75"/>
  <c r="AY246" i="75"/>
  <c r="AY264" i="75" s="1"/>
  <c r="AW264" i="75" s="1"/>
  <c r="AW11" i="75"/>
  <c r="AW140" i="75" s="1"/>
  <c r="AW359" i="75"/>
  <c r="J359" i="75" s="1"/>
  <c r="AW299" i="75"/>
  <c r="J299" i="75" s="1"/>
  <c r="AW360" i="75"/>
  <c r="J360" i="75" s="1"/>
  <c r="W328" i="74"/>
  <c r="J254" i="75"/>
  <c r="J190" i="75"/>
  <c r="AK253" i="75"/>
  <c r="AK258" i="75" s="1"/>
  <c r="AW11" i="74"/>
  <c r="AW140" i="74" s="1"/>
  <c r="AK11" i="74"/>
  <c r="AK140" i="74" s="1"/>
  <c r="M11" i="74"/>
  <c r="M140" i="74" s="1"/>
  <c r="AK359" i="74"/>
  <c r="AK360" i="74"/>
  <c r="AK245" i="74"/>
  <c r="AK299" i="74"/>
  <c r="M200" i="74"/>
  <c r="M203" i="74" s="1"/>
  <c r="O258" i="74"/>
  <c r="J357" i="74"/>
  <c r="Y200" i="74"/>
  <c r="AW359" i="74"/>
  <c r="M360" i="74"/>
  <c r="M245" i="74"/>
  <c r="AW245" i="74"/>
  <c r="AA258" i="74"/>
  <c r="AW360" i="74"/>
  <c r="M359" i="74"/>
  <c r="M299" i="74"/>
  <c r="AW299" i="74"/>
  <c r="J296" i="74"/>
  <c r="J298" i="74"/>
  <c r="Y201" i="73"/>
  <c r="Y292" i="73" s="1"/>
  <c r="AK258" i="73"/>
  <c r="AK11" i="73"/>
  <c r="AK140" i="73" s="1"/>
  <c r="J296" i="73"/>
  <c r="J298" i="73"/>
  <c r="AK245" i="73"/>
  <c r="J245" i="73" s="1"/>
  <c r="AK359" i="73"/>
  <c r="J359" i="73" s="1"/>
  <c r="AK360" i="73"/>
  <c r="J360" i="73" s="1"/>
  <c r="AK299" i="73"/>
  <c r="J299" i="73" s="1"/>
  <c r="AY258" i="72"/>
  <c r="AW11" i="72"/>
  <c r="AW140" i="72" s="1"/>
  <c r="AW245" i="72"/>
  <c r="J245" i="72" s="1"/>
  <c r="AW299" i="72"/>
  <c r="J299" i="72" s="1"/>
  <c r="AY246" i="72"/>
  <c r="AW359" i="72"/>
  <c r="J359" i="72" s="1"/>
  <c r="AW298" i="72"/>
  <c r="J298" i="72" s="1"/>
  <c r="J296" i="72"/>
  <c r="AW360" i="72"/>
  <c r="J360" i="72" s="1"/>
  <c r="P328" i="74"/>
  <c r="AD328" i="74"/>
  <c r="AU328" i="74"/>
  <c r="J254" i="74"/>
  <c r="AW258" i="73"/>
  <c r="AW200" i="76"/>
  <c r="J200" i="76" s="1"/>
  <c r="AW201" i="76"/>
  <c r="AW292" i="76" s="1"/>
  <c r="AW258" i="72"/>
  <c r="J254" i="73"/>
  <c r="AN328" i="74"/>
  <c r="Q328" i="74"/>
  <c r="BG328" i="74"/>
  <c r="T328" i="74"/>
  <c r="Y253" i="76"/>
  <c r="Y258" i="76" s="1"/>
  <c r="AA258" i="76"/>
  <c r="AW253" i="76"/>
  <c r="AW258" i="76" s="1"/>
  <c r="AY258" i="76"/>
  <c r="AK258" i="72"/>
  <c r="J190" i="74"/>
  <c r="AB328" i="74"/>
  <c r="V328" i="74"/>
  <c r="AO328" i="74"/>
  <c r="AP328" i="74"/>
  <c r="AA264" i="76"/>
  <c r="Y264" i="76" s="1"/>
  <c r="Y246" i="76"/>
  <c r="O264" i="76"/>
  <c r="M264" i="76" s="1"/>
  <c r="M246" i="76"/>
  <c r="AT328" i="72"/>
  <c r="M201" i="73"/>
  <c r="M292" i="73" s="1"/>
  <c r="AH328" i="74"/>
  <c r="AI328" i="74"/>
  <c r="BE328" i="74"/>
  <c r="BA328" i="74"/>
  <c r="J243" i="76"/>
  <c r="M258" i="76"/>
  <c r="AF328" i="74"/>
  <c r="AS328" i="74"/>
  <c r="AM328" i="74"/>
  <c r="AZ328" i="74"/>
  <c r="BC328" i="74"/>
  <c r="AY264" i="76"/>
  <c r="AW264" i="76" s="1"/>
  <c r="AW246" i="76"/>
  <c r="J190" i="76"/>
  <c r="AT328" i="74"/>
  <c r="U328" i="74"/>
  <c r="AC328" i="74"/>
  <c r="AR328" i="74"/>
  <c r="R328" i="74"/>
  <c r="AM264" i="76"/>
  <c r="AK264" i="76" s="1"/>
  <c r="AK246" i="76"/>
  <c r="M203" i="76"/>
  <c r="M202" i="76"/>
  <c r="AE328" i="74"/>
  <c r="O328" i="74"/>
  <c r="AG328" i="74"/>
  <c r="BF328" i="74"/>
  <c r="S328" i="74"/>
  <c r="Y203" i="76"/>
  <c r="Y202" i="76"/>
  <c r="Y214" i="76" s="1"/>
  <c r="AM258" i="73"/>
  <c r="BB328" i="74"/>
  <c r="AQ328" i="74"/>
  <c r="AY328" i="74"/>
  <c r="BD328" i="74"/>
  <c r="AK203" i="76"/>
  <c r="AK202" i="76"/>
  <c r="AK214" i="76" s="1"/>
  <c r="AF328" i="72"/>
  <c r="AA264" i="75"/>
  <c r="Y264" i="75" s="1"/>
  <c r="Y246" i="75"/>
  <c r="AW253" i="75"/>
  <c r="AW258" i="75" s="1"/>
  <c r="AY258" i="75"/>
  <c r="BC328" i="72"/>
  <c r="AO328" i="72"/>
  <c r="AB328" i="72"/>
  <c r="AG328" i="72"/>
  <c r="AK201" i="73"/>
  <c r="AK292" i="73" s="1"/>
  <c r="M246" i="75"/>
  <c r="O264" i="75"/>
  <c r="M264" i="75" s="1"/>
  <c r="M253" i="75"/>
  <c r="O258" i="75"/>
  <c r="AA328" i="75"/>
  <c r="BB328" i="75"/>
  <c r="AB328" i="75"/>
  <c r="AQ328" i="75"/>
  <c r="AF328" i="75"/>
  <c r="AU328" i="75"/>
  <c r="BG328" i="75"/>
  <c r="AD328" i="75"/>
  <c r="AM328" i="75"/>
  <c r="AZ328" i="75"/>
  <c r="AP328" i="75"/>
  <c r="AE328" i="75"/>
  <c r="AG328" i="75"/>
  <c r="AH328" i="75"/>
  <c r="BD328" i="75"/>
  <c r="BA328" i="75"/>
  <c r="BC328" i="75"/>
  <c r="O328" i="75"/>
  <c r="BF328" i="75"/>
  <c r="AT328" i="75"/>
  <c r="T328" i="75"/>
  <c r="Q328" i="75"/>
  <c r="AY328" i="75"/>
  <c r="W328" i="75"/>
  <c r="U328" i="75"/>
  <c r="R328" i="75"/>
  <c r="AR328" i="75"/>
  <c r="BE328" i="75"/>
  <c r="AN328" i="75"/>
  <c r="P328" i="75"/>
  <c r="AI328" i="75"/>
  <c r="S328" i="75"/>
  <c r="AO328" i="75"/>
  <c r="AS328" i="75"/>
  <c r="V328" i="75"/>
  <c r="AC328" i="75"/>
  <c r="AK203" i="75"/>
  <c r="AK202" i="75"/>
  <c r="AK214" i="75" s="1"/>
  <c r="AA258" i="75"/>
  <c r="F2" i="74"/>
  <c r="F2" i="75"/>
  <c r="BB328" i="72"/>
  <c r="J243" i="75"/>
  <c r="M292" i="75"/>
  <c r="Y258" i="75"/>
  <c r="AD328" i="72"/>
  <c r="U328" i="72"/>
  <c r="Y200" i="75"/>
  <c r="Y201" i="75"/>
  <c r="Y292" i="75" s="1"/>
  <c r="AW200" i="75"/>
  <c r="AW201" i="75"/>
  <c r="AW292" i="75" s="1"/>
  <c r="M203" i="75"/>
  <c r="M202" i="75"/>
  <c r="AM264" i="75"/>
  <c r="AK264" i="75" s="1"/>
  <c r="AK246" i="75"/>
  <c r="AA328" i="72"/>
  <c r="BF328" i="72"/>
  <c r="AI328" i="72"/>
  <c r="S328" i="72"/>
  <c r="V328" i="72"/>
  <c r="AH328" i="72"/>
  <c r="W328" i="72"/>
  <c r="R328" i="72"/>
  <c r="O328" i="72"/>
  <c r="AP328" i="72"/>
  <c r="AU328" i="72"/>
  <c r="BG328" i="72"/>
  <c r="AZ328" i="72"/>
  <c r="AY328" i="72"/>
  <c r="AQ328" i="72"/>
  <c r="Q328" i="72"/>
  <c r="T328" i="72"/>
  <c r="AM328" i="72"/>
  <c r="AE328" i="72"/>
  <c r="AS328" i="72"/>
  <c r="BD328" i="72"/>
  <c r="AN328" i="72"/>
  <c r="BA328" i="72"/>
  <c r="P328" i="72"/>
  <c r="AR328" i="72"/>
  <c r="AC328" i="72"/>
  <c r="AW200" i="74"/>
  <c r="AW201" i="74"/>
  <c r="AW292" i="74" s="1"/>
  <c r="O264" i="74"/>
  <c r="M264" i="74" s="1"/>
  <c r="M246" i="74"/>
  <c r="J253" i="74"/>
  <c r="M258" i="74"/>
  <c r="J243" i="74"/>
  <c r="M292" i="74"/>
  <c r="AM264" i="74"/>
  <c r="AK264" i="74" s="1"/>
  <c r="AK246" i="74"/>
  <c r="Y203" i="74"/>
  <c r="Y202" i="74"/>
  <c r="Y214" i="74" s="1"/>
  <c r="AY258" i="74"/>
  <c r="AK200" i="74"/>
  <c r="AK201" i="74"/>
  <c r="AK292" i="74" s="1"/>
  <c r="AW258" i="74"/>
  <c r="Y246" i="74"/>
  <c r="AA264" i="74"/>
  <c r="Y264" i="74" s="1"/>
  <c r="AM258" i="74"/>
  <c r="AY264" i="74"/>
  <c r="AW264" i="74" s="1"/>
  <c r="AW246" i="74"/>
  <c r="AK258" i="74"/>
  <c r="M203" i="73"/>
  <c r="M202" i="73"/>
  <c r="F2" i="72"/>
  <c r="F2" i="73"/>
  <c r="AA264" i="73"/>
  <c r="Y264" i="73" s="1"/>
  <c r="Y246" i="73"/>
  <c r="AM258" i="72"/>
  <c r="O258" i="72"/>
  <c r="AY264" i="73"/>
  <c r="AW264" i="73" s="1"/>
  <c r="AW246" i="73"/>
  <c r="O264" i="73"/>
  <c r="M264" i="73" s="1"/>
  <c r="M246" i="73"/>
  <c r="Y201" i="72"/>
  <c r="Y292" i="72" s="1"/>
  <c r="AK203" i="73"/>
  <c r="AK202" i="73"/>
  <c r="AK214" i="73" s="1"/>
  <c r="AW200" i="73"/>
  <c r="AW201" i="73"/>
  <c r="AW292" i="73" s="1"/>
  <c r="J243" i="73"/>
  <c r="P328" i="73"/>
  <c r="U328" i="73"/>
  <c r="AY328" i="73"/>
  <c r="AP328" i="73"/>
  <c r="AB328" i="73"/>
  <c r="R328" i="73"/>
  <c r="Q328" i="73"/>
  <c r="AT328" i="73"/>
  <c r="AD328" i="73"/>
  <c r="BD328" i="73"/>
  <c r="AI328" i="73"/>
  <c r="AA328" i="73"/>
  <c r="AQ328" i="73"/>
  <c r="BF328" i="73"/>
  <c r="AE328" i="73"/>
  <c r="AO328" i="73"/>
  <c r="AR328" i="73"/>
  <c r="BA328" i="73"/>
  <c r="AG328" i="73"/>
  <c r="AH328" i="73"/>
  <c r="BB328" i="73"/>
  <c r="AU328" i="73"/>
  <c r="BG328" i="73"/>
  <c r="AS328" i="73"/>
  <c r="W328" i="73"/>
  <c r="AM328" i="73"/>
  <c r="BE328" i="73"/>
  <c r="O328" i="73"/>
  <c r="AN328" i="73"/>
  <c r="AC328" i="73"/>
  <c r="S328" i="73"/>
  <c r="T328" i="73"/>
  <c r="BC328" i="73"/>
  <c r="V328" i="73"/>
  <c r="AZ328" i="73"/>
  <c r="AF328" i="73"/>
  <c r="AA258" i="73"/>
  <c r="Y258" i="73"/>
  <c r="Y203" i="73"/>
  <c r="Y202" i="73"/>
  <c r="Y214" i="73" s="1"/>
  <c r="O258" i="73"/>
  <c r="J190" i="73"/>
  <c r="AK246" i="73"/>
  <c r="AM264" i="73"/>
  <c r="AK264" i="73" s="1"/>
  <c r="J253" i="73"/>
  <c r="M258" i="73"/>
  <c r="M200" i="72"/>
  <c r="J190" i="72"/>
  <c r="M201" i="72"/>
  <c r="J243" i="72"/>
  <c r="AK246" i="72"/>
  <c r="AM264" i="72"/>
  <c r="AK264" i="72" s="1"/>
  <c r="AK200" i="72"/>
  <c r="AK201" i="72"/>
  <c r="AK292" i="72" s="1"/>
  <c r="J254" i="72"/>
  <c r="M246" i="72"/>
  <c r="O264" i="72"/>
  <c r="M264" i="72" s="1"/>
  <c r="AW200" i="72"/>
  <c r="AW201" i="72"/>
  <c r="AW292" i="72" s="1"/>
  <c r="AA258" i="72"/>
  <c r="AA264" i="72"/>
  <c r="Y264" i="72" s="1"/>
  <c r="Y246" i="72"/>
  <c r="Y258" i="72"/>
  <c r="AY264" i="72"/>
  <c r="AW264" i="72" s="1"/>
  <c r="AW246" i="72"/>
  <c r="Y203" i="72"/>
  <c r="Y202" i="72"/>
  <c r="Y214" i="72" s="1"/>
  <c r="J253" i="72"/>
  <c r="M258" i="72"/>
  <c r="AN337" i="55"/>
  <c r="AN339" i="55" s="1" a="1"/>
  <c r="AN339" i="55" s="1"/>
  <c r="BF336" i="55"/>
  <c r="AO88" i="55"/>
  <c r="Q88" i="55"/>
  <c r="Q91" i="55" s="1"/>
  <c r="Q256" i="55" s="1"/>
  <c r="R14" i="23"/>
  <c r="AH337" i="55"/>
  <c r="AH336" i="55" s="1"/>
  <c r="AC340" i="55"/>
  <c r="AD337" i="55"/>
  <c r="AD339" i="55" s="1" a="1"/>
  <c r="AD339" i="55" s="1"/>
  <c r="AT328" i="55"/>
  <c r="AT329" i="55" s="1"/>
  <c r="AI340" i="55"/>
  <c r="AI328" i="55"/>
  <c r="AI329" i="55" s="1"/>
  <c r="AE328" i="55"/>
  <c r="AE329" i="55" s="1"/>
  <c r="BE328" i="55"/>
  <c r="BE329" i="55" s="1"/>
  <c r="AR328" i="55"/>
  <c r="AR329" i="55" s="1"/>
  <c r="AS328" i="55"/>
  <c r="AS329" i="55" s="1"/>
  <c r="BC328" i="55"/>
  <c r="BC329" i="55" s="1"/>
  <c r="O328" i="55"/>
  <c r="O329" i="55" s="1"/>
  <c r="R328" i="55"/>
  <c r="R329" i="55" s="1"/>
  <c r="AP328" i="55"/>
  <c r="AP329" i="55" s="1"/>
  <c r="BG328" i="55"/>
  <c r="BG329" i="55" s="1"/>
  <c r="AF328" i="55"/>
  <c r="AF329" i="55" s="1"/>
  <c r="T328" i="55"/>
  <c r="T329" i="55" s="1"/>
  <c r="BF328" i="55"/>
  <c r="BF329" i="55" s="1"/>
  <c r="AQ328" i="55"/>
  <c r="AQ329" i="55" s="1"/>
  <c r="AB328" i="55"/>
  <c r="AB329" i="55" s="1"/>
  <c r="AD328" i="55"/>
  <c r="AD329" i="55" s="1"/>
  <c r="U328" i="55"/>
  <c r="U329" i="55" s="1"/>
  <c r="Q328" i="55"/>
  <c r="Q329" i="55" s="1"/>
  <c r="BB328" i="55"/>
  <c r="BB329" i="55" s="1"/>
  <c r="AG328" i="55"/>
  <c r="AG329" i="55" s="1"/>
  <c r="BD328" i="55"/>
  <c r="BD329" i="55" s="1"/>
  <c r="AH328" i="55"/>
  <c r="AH329" i="55" s="1"/>
  <c r="AY328" i="55"/>
  <c r="AY329" i="55" s="1"/>
  <c r="AO328" i="55"/>
  <c r="AO329" i="55" s="1"/>
  <c r="BA328" i="55"/>
  <c r="BA329" i="55" s="1"/>
  <c r="S328" i="55"/>
  <c r="S329" i="55" s="1"/>
  <c r="V328" i="55"/>
  <c r="V329" i="55" s="1"/>
  <c r="P328" i="55"/>
  <c r="P329" i="55" s="1"/>
  <c r="AC328" i="55"/>
  <c r="AC329" i="55" s="1"/>
  <c r="AZ328" i="55"/>
  <c r="AZ329" i="55" s="1"/>
  <c r="AA328" i="55"/>
  <c r="AA329" i="55" s="1"/>
  <c r="AU328" i="55"/>
  <c r="AU329" i="55" s="1"/>
  <c r="W328" i="55"/>
  <c r="W329" i="55" s="1"/>
  <c r="AN328" i="55"/>
  <c r="AN329" i="55" s="1"/>
  <c r="AR369" i="55"/>
  <c r="AQ169" i="55"/>
  <c r="AQ190" i="55" s="1"/>
  <c r="AT286" i="55"/>
  <c r="AS369" i="55"/>
  <c r="AT369" i="55"/>
  <c r="BG369" i="55"/>
  <c r="AS286" i="55"/>
  <c r="BF369" i="55"/>
  <c r="BC369" i="55"/>
  <c r="AE340" i="55"/>
  <c r="AF337" i="55"/>
  <c r="AF339" i="55" s="1" a="1"/>
  <c r="AF339" i="55" s="1"/>
  <c r="AG339" i="55" a="1"/>
  <c r="AG339" i="55" s="1"/>
  <c r="AG336" i="55"/>
  <c r="AG340" i="55"/>
  <c r="AI336" i="55"/>
  <c r="AA62" i="55"/>
  <c r="AA269" i="55" s="1"/>
  <c r="W62" i="55"/>
  <c r="W269" i="55" s="1"/>
  <c r="W337" i="55" s="1"/>
  <c r="W339" i="55" s="1" a="1"/>
  <c r="W339" i="55" s="1"/>
  <c r="V62" i="55"/>
  <c r="V269" i="55" s="1"/>
  <c r="V337" i="55" s="1"/>
  <c r="V339" i="55" s="1" a="1"/>
  <c r="V339" i="55" s="1"/>
  <c r="U62" i="55"/>
  <c r="U269" i="55" s="1"/>
  <c r="U337" i="55" s="1"/>
  <c r="T62" i="55"/>
  <c r="T269" i="55" s="1"/>
  <c r="T337" i="55" s="1"/>
  <c r="T336" i="55" s="1"/>
  <c r="S340" i="55"/>
  <c r="S337" i="55"/>
  <c r="S339" i="55" s="1" a="1"/>
  <c r="S339" i="55" s="1"/>
  <c r="R337" i="55"/>
  <c r="R336" i="55" s="1"/>
  <c r="R340" i="55"/>
  <c r="P337" i="55"/>
  <c r="P339" i="55" s="1" a="1"/>
  <c r="P339" i="55" s="1"/>
  <c r="P340" i="55"/>
  <c r="O62" i="55"/>
  <c r="O269" i="55" s="1"/>
  <c r="BD369" i="55"/>
  <c r="BC286" i="55"/>
  <c r="BD286" i="55"/>
  <c r="BA286" i="55"/>
  <c r="BG286" i="55"/>
  <c r="AZ286" i="55"/>
  <c r="BA369" i="55"/>
  <c r="BE369" i="55"/>
  <c r="AZ369" i="55"/>
  <c r="BE286" i="55"/>
  <c r="BF286" i="55"/>
  <c r="J67" i="55"/>
  <c r="V340" i="55"/>
  <c r="W340" i="55"/>
  <c r="U169" i="55"/>
  <c r="U178" i="55" s="1"/>
  <c r="BB337" i="55"/>
  <c r="BB339" i="55" s="1" a="1"/>
  <c r="BB339" i="55" s="1"/>
  <c r="AO340" i="55"/>
  <c r="BE339" i="55" a="1"/>
  <c r="BE339" i="55" s="1"/>
  <c r="AR339" i="55" a="1"/>
  <c r="AR339" i="55" s="1"/>
  <c r="AK352" i="55"/>
  <c r="M196" i="55"/>
  <c r="AK289" i="55"/>
  <c r="I124" i="23" s="1"/>
  <c r="AC336" i="55"/>
  <c r="AP339" i="55" a="1"/>
  <c r="AP339" i="55" s="1"/>
  <c r="AE339" i="55" a="1"/>
  <c r="AE339" i="55" s="1"/>
  <c r="BF288" i="55"/>
  <c r="AE169" i="55"/>
  <c r="AE190" i="55" s="1"/>
  <c r="BG339" i="55" a="1"/>
  <c r="BG339" i="55" s="1"/>
  <c r="AA277" i="55"/>
  <c r="BA337" i="55"/>
  <c r="BA336" i="55" s="1"/>
  <c r="F2" i="55"/>
  <c r="I14" i="23" s="1"/>
  <c r="BG287" i="55"/>
  <c r="M352" i="55"/>
  <c r="I222" i="23" s="1"/>
  <c r="BF287" i="55"/>
  <c r="AR277" i="55"/>
  <c r="AS288" i="55"/>
  <c r="AD277" i="55"/>
  <c r="AG169" i="55"/>
  <c r="AG191" i="55" s="1"/>
  <c r="AT277" i="55"/>
  <c r="AP277" i="55"/>
  <c r="AR288" i="55"/>
  <c r="AI277" i="55"/>
  <c r="AH277" i="55"/>
  <c r="AT288" i="55"/>
  <c r="AS169" i="55"/>
  <c r="AS191" i="55" s="1"/>
  <c r="AF277" i="55"/>
  <c r="M289" i="55"/>
  <c r="I94" i="23" s="1"/>
  <c r="AE277" i="55"/>
  <c r="AG277" i="55"/>
  <c r="AS277" i="55"/>
  <c r="AN277" i="55"/>
  <c r="AQ277" i="55"/>
  <c r="AO277" i="55"/>
  <c r="AU277" i="55"/>
  <c r="J68" i="55"/>
  <c r="BD245" i="55"/>
  <c r="BD246" i="55" s="1"/>
  <c r="AY287" i="55" s="1"/>
  <c r="AC277" i="55"/>
  <c r="BD171" i="55"/>
  <c r="BD178" i="55" s="1"/>
  <c r="BB287" i="55"/>
  <c r="J66" i="55"/>
  <c r="BC287" i="55"/>
  <c r="BA287" i="55"/>
  <c r="AZ287" i="55"/>
  <c r="BD287" i="55"/>
  <c r="V287" i="55"/>
  <c r="BD229" i="55"/>
  <c r="BD13" i="55" s="1"/>
  <c r="BE287" i="55"/>
  <c r="S287" i="55"/>
  <c r="T287" i="55"/>
  <c r="U287" i="55"/>
  <c r="BE169" i="55"/>
  <c r="BE181" i="55" s="1"/>
  <c r="Y352" i="55"/>
  <c r="J313" i="55"/>
  <c r="T229" i="55"/>
  <c r="T13" i="55" s="1"/>
  <c r="R287" i="55"/>
  <c r="W287" i="55"/>
  <c r="T171" i="55"/>
  <c r="T181" i="55" s="1"/>
  <c r="T12" i="55" s="1"/>
  <c r="Q287" i="55"/>
  <c r="T245" i="55"/>
  <c r="T246" i="55" s="1"/>
  <c r="O287" i="55" s="1"/>
  <c r="J25" i="55"/>
  <c r="P287" i="55"/>
  <c r="AT287" i="55"/>
  <c r="AR287" i="55"/>
  <c r="AR171" i="55"/>
  <c r="AK171" i="55" s="1"/>
  <c r="AQ350" i="55"/>
  <c r="AQ287" i="55"/>
  <c r="AM350" i="55"/>
  <c r="AR350" i="55"/>
  <c r="J69" i="55"/>
  <c r="AO336" i="55"/>
  <c r="AO287" i="55"/>
  <c r="AP287" i="55"/>
  <c r="AU350" i="55"/>
  <c r="AK26" i="55"/>
  <c r="AR245" i="55"/>
  <c r="AR246" i="55" s="1"/>
  <c r="AS350" i="55"/>
  <c r="AP350" i="55"/>
  <c r="AM287" i="55"/>
  <c r="AN287" i="55"/>
  <c r="AT350" i="55"/>
  <c r="AW289" i="55"/>
  <c r="I139" i="23" s="1"/>
  <c r="AN350" i="55"/>
  <c r="AR229" i="55"/>
  <c r="AR13" i="55" s="1"/>
  <c r="AS287" i="55"/>
  <c r="AU287" i="55"/>
  <c r="AU340" i="55"/>
  <c r="AZ340" i="55"/>
  <c r="AZ337" i="55"/>
  <c r="AU336" i="55"/>
  <c r="AU339" i="55" a="1"/>
  <c r="AU339" i="55" s="1"/>
  <c r="Q270" i="55"/>
  <c r="P78" i="55"/>
  <c r="M64" i="55"/>
  <c r="J257" i="55"/>
  <c r="AF171" i="55"/>
  <c r="AC287" i="55"/>
  <c r="AI287" i="55"/>
  <c r="AH287" i="55"/>
  <c r="AF287" i="55"/>
  <c r="AG287" i="55"/>
  <c r="AE287" i="55"/>
  <c r="AB287" i="55"/>
  <c r="AF245" i="55"/>
  <c r="AF246" i="55" s="1"/>
  <c r="AA287" i="55"/>
  <c r="AD287" i="55"/>
  <c r="AM78" i="55"/>
  <c r="AK62" i="55"/>
  <c r="AM269" i="55"/>
  <c r="Y26" i="55"/>
  <c r="Y27" i="55" s="1"/>
  <c r="S190" i="55"/>
  <c r="S178" i="55"/>
  <c r="W369" i="55" s="1"/>
  <c r="S181" i="55"/>
  <c r="S174" i="55"/>
  <c r="W286" i="55" s="1"/>
  <c r="Y289" i="55"/>
  <c r="BD339" i="55" a="1"/>
  <c r="BD339" i="55" s="1"/>
  <c r="BD336" i="55"/>
  <c r="AP169" i="55"/>
  <c r="AF229" i="55"/>
  <c r="BA88" i="55"/>
  <c r="BC190" i="55"/>
  <c r="BC178" i="55"/>
  <c r="BC181" i="55"/>
  <c r="BC174" i="55"/>
  <c r="AT339" i="55" a="1"/>
  <c r="AT339" i="55" s="1"/>
  <c r="AT336" i="55"/>
  <c r="R178" i="55"/>
  <c r="R174" i="55"/>
  <c r="W285" i="55" s="1"/>
  <c r="R181" i="55"/>
  <c r="BB178" i="55"/>
  <c r="BB174" i="55"/>
  <c r="BB181" i="55"/>
  <c r="BA277" i="55"/>
  <c r="BF277" i="55"/>
  <c r="BG277" i="55"/>
  <c r="BB277" i="55"/>
  <c r="BC277" i="55"/>
  <c r="AZ277" i="55"/>
  <c r="AY277" i="55"/>
  <c r="BD277" i="55"/>
  <c r="BE277" i="55"/>
  <c r="AW352" i="55"/>
  <c r="J65" i="55"/>
  <c r="V277" i="55"/>
  <c r="S277" i="55"/>
  <c r="T277" i="55"/>
  <c r="U277" i="55"/>
  <c r="W277" i="55"/>
  <c r="Q277" i="55"/>
  <c r="P277" i="55"/>
  <c r="R277" i="55"/>
  <c r="O277" i="55"/>
  <c r="AY270" i="55"/>
  <c r="AW64" i="55"/>
  <c r="AZ78" i="55"/>
  <c r="AY78" i="55"/>
  <c r="AY269" i="55"/>
  <c r="AW62" i="55"/>
  <c r="AB269" i="55"/>
  <c r="AW26" i="55"/>
  <c r="BA93" i="55" s="1"/>
  <c r="BA95" i="55" s="1"/>
  <c r="AC88" i="55"/>
  <c r="M26" i="55"/>
  <c r="O93" i="55" s="1"/>
  <c r="O95" i="55" s="1"/>
  <c r="Q269" i="55"/>
  <c r="AB270" i="55"/>
  <c r="Y64" i="55"/>
  <c r="AB78" i="55"/>
  <c r="J24" i="55"/>
  <c r="AQ339" i="55" a="1"/>
  <c r="AQ339" i="55" s="1"/>
  <c r="AQ336" i="55"/>
  <c r="AD169" i="55"/>
  <c r="AS339" i="55" a="1"/>
  <c r="AS339" i="55" s="1"/>
  <c r="AS336" i="55"/>
  <c r="AN78" i="55"/>
  <c r="AM270" i="55"/>
  <c r="AK64" i="55"/>
  <c r="M252" i="23"/>
  <c r="M139" i="23"/>
  <c r="P121" i="23"/>
  <c r="M300" i="23"/>
  <c r="R137" i="23"/>
  <c r="M124" i="23"/>
  <c r="M94" i="23"/>
  <c r="R136" i="23"/>
  <c r="M237" i="23"/>
  <c r="M222" i="23"/>
  <c r="M267" i="23"/>
  <c r="P136" i="23"/>
  <c r="N121" i="23"/>
  <c r="M109" i="23"/>
  <c r="P137" i="23"/>
  <c r="O14" i="23" a="1"/>
  <c r="Q14" i="23" a="1"/>
  <c r="P14" i="23" a="1"/>
  <c r="M14" i="23" a="1"/>
  <c r="N14" i="23" a="1"/>
  <c r="J11" i="74" l="1"/>
  <c r="J11" i="76"/>
  <c r="J201" i="76"/>
  <c r="J292" i="76"/>
  <c r="J360" i="76"/>
  <c r="J299" i="76"/>
  <c r="J245" i="76"/>
  <c r="J359" i="76"/>
  <c r="AW246" i="75"/>
  <c r="J246" i="75" s="1"/>
  <c r="J11" i="75"/>
  <c r="J258" i="74"/>
  <c r="J200" i="74"/>
  <c r="M202" i="74"/>
  <c r="M214" i="74" s="1"/>
  <c r="J359" i="74"/>
  <c r="J360" i="74"/>
  <c r="J299" i="74"/>
  <c r="J245" i="74"/>
  <c r="J11" i="73"/>
  <c r="J11" i="72"/>
  <c r="J258" i="73"/>
  <c r="J246" i="76"/>
  <c r="J246" i="74"/>
  <c r="J253" i="76"/>
  <c r="J258" i="76" s="1"/>
  <c r="J201" i="75"/>
  <c r="M214" i="76"/>
  <c r="AW203" i="76"/>
  <c r="J203" i="76" s="1"/>
  <c r="AW202" i="76"/>
  <c r="AW214" i="76" s="1"/>
  <c r="J292" i="75"/>
  <c r="AW203" i="75"/>
  <c r="AW202" i="75"/>
  <c r="AW214" i="75" s="1"/>
  <c r="M214" i="75"/>
  <c r="J200" i="75"/>
  <c r="Y203" i="75"/>
  <c r="Y202" i="75"/>
  <c r="Y214" i="75" s="1"/>
  <c r="J253" i="75"/>
  <c r="J258" i="75" s="1"/>
  <c r="M258" i="75"/>
  <c r="J201" i="73"/>
  <c r="J292" i="73"/>
  <c r="J201" i="74"/>
  <c r="AK203" i="74"/>
  <c r="AK202" i="74"/>
  <c r="AK214" i="74" s="1"/>
  <c r="J292" i="74"/>
  <c r="J258" i="72"/>
  <c r="AW203" i="74"/>
  <c r="AW202" i="74"/>
  <c r="AW214" i="74" s="1"/>
  <c r="AW203" i="73"/>
  <c r="J203" i="73" s="1"/>
  <c r="AW202" i="73"/>
  <c r="AW214" i="73" s="1"/>
  <c r="M214" i="73"/>
  <c r="J200" i="73"/>
  <c r="J246" i="73"/>
  <c r="J246" i="72"/>
  <c r="AW203" i="72"/>
  <c r="AW202" i="72"/>
  <c r="AW214" i="72" s="1"/>
  <c r="M292" i="72"/>
  <c r="J292" i="72" s="1"/>
  <c r="J201" i="72"/>
  <c r="AK203" i="72"/>
  <c r="AK202" i="72"/>
  <c r="AK214" i="72" s="1"/>
  <c r="M203" i="72"/>
  <c r="J200" i="72"/>
  <c r="M202" i="72"/>
  <c r="O350" i="55"/>
  <c r="AN336" i="55"/>
  <c r="Q231" i="55"/>
  <c r="Q235" i="55" s="1"/>
  <c r="P350" i="55"/>
  <c r="S350" i="55"/>
  <c r="W350" i="55"/>
  <c r="V350" i="55"/>
  <c r="U350" i="55"/>
  <c r="T350" i="55"/>
  <c r="R350" i="55"/>
  <c r="Q350" i="55"/>
  <c r="BA91" i="55"/>
  <c r="BA256" i="55" s="1"/>
  <c r="AC91" i="55"/>
  <c r="AC256" i="55" s="1"/>
  <c r="AO91" i="55"/>
  <c r="AO256" i="55" s="1"/>
  <c r="AH339" i="55" a="1"/>
  <c r="AH339" i="55" s="1"/>
  <c r="AD336" i="55"/>
  <c r="Q14" i="23"/>
  <c r="AQ174" i="55"/>
  <c r="AQ11" i="55" s="1"/>
  <c r="AQ181" i="55"/>
  <c r="AQ349" i="55" s="1"/>
  <c r="AQ178" i="55"/>
  <c r="AM369" i="55" s="1"/>
  <c r="P14" i="23"/>
  <c r="O14" i="23"/>
  <c r="N14" i="23"/>
  <c r="W336" i="55"/>
  <c r="BF365" i="55"/>
  <c r="BE365" i="55"/>
  <c r="BD365" i="55"/>
  <c r="BG365" i="55"/>
  <c r="BC365" i="55"/>
  <c r="AZ365" i="55"/>
  <c r="BA365" i="55"/>
  <c r="AU365" i="55"/>
  <c r="AT365" i="55"/>
  <c r="AS365" i="55"/>
  <c r="AR365" i="55"/>
  <c r="AQ365" i="55"/>
  <c r="AP365" i="55"/>
  <c r="AF336" i="55"/>
  <c r="V336" i="55"/>
  <c r="S336" i="55"/>
  <c r="P336" i="55"/>
  <c r="Y62" i="55"/>
  <c r="AI275" i="55" s="1"/>
  <c r="AI311" i="55" s="1"/>
  <c r="AA78" i="55"/>
  <c r="AA337" i="55"/>
  <c r="AA340" i="55"/>
  <c r="U336" i="55"/>
  <c r="U339" i="55" a="1"/>
  <c r="U339" i="55" s="1"/>
  <c r="M62" i="55"/>
  <c r="S275" i="55" s="1"/>
  <c r="S311" i="55" s="1"/>
  <c r="U340" i="55"/>
  <c r="O78" i="55"/>
  <c r="T340" i="55"/>
  <c r="T339" i="55" a="1"/>
  <c r="T339" i="55" s="1"/>
  <c r="R339" i="55" a="1"/>
  <c r="R339" i="55" s="1"/>
  <c r="O337" i="55"/>
  <c r="O340" i="55"/>
  <c r="V285" i="55"/>
  <c r="U285" i="55"/>
  <c r="V286" i="55"/>
  <c r="U286" i="55"/>
  <c r="V369" i="55"/>
  <c r="U369" i="55"/>
  <c r="U191" i="55"/>
  <c r="U174" i="55"/>
  <c r="W288" i="55" s="1"/>
  <c r="Q337" i="55"/>
  <c r="Q340" i="55"/>
  <c r="U181" i="55"/>
  <c r="V351" i="55" s="1"/>
  <c r="AY369" i="55"/>
  <c r="BB369" i="55"/>
  <c r="AY286" i="55"/>
  <c r="BB286" i="55"/>
  <c r="BB336" i="55"/>
  <c r="T233" i="55"/>
  <c r="BC12" i="55"/>
  <c r="BE349" i="55"/>
  <c r="BC349" i="55"/>
  <c r="BB349" i="55"/>
  <c r="BF349" i="55"/>
  <c r="BG349" i="55"/>
  <c r="BD349" i="55"/>
  <c r="AY349" i="55"/>
  <c r="BA349" i="55"/>
  <c r="AZ349" i="55"/>
  <c r="AB337" i="55"/>
  <c r="AB340" i="55"/>
  <c r="AT333" i="55"/>
  <c r="AS333" i="55"/>
  <c r="AR333" i="55"/>
  <c r="I252" i="23"/>
  <c r="AE174" i="55"/>
  <c r="AG178" i="55"/>
  <c r="T178" i="55"/>
  <c r="BE174" i="55"/>
  <c r="BB288" i="55" s="1"/>
  <c r="BE178" i="55"/>
  <c r="BE191" i="55"/>
  <c r="BD233" i="55"/>
  <c r="BD181" i="55"/>
  <c r="AE181" i="55"/>
  <c r="AB349" i="55" s="1"/>
  <c r="AE178" i="55"/>
  <c r="M27" i="55"/>
  <c r="BD174" i="55"/>
  <c r="BD11" i="55" s="1"/>
  <c r="AW171" i="55"/>
  <c r="AG174" i="55"/>
  <c r="BA339" i="55" a="1"/>
  <c r="BA339" i="55" s="1"/>
  <c r="AR181" i="55"/>
  <c r="AR12" i="55" s="1"/>
  <c r="AR178" i="55"/>
  <c r="AR174" i="55"/>
  <c r="AR11" i="55" s="1"/>
  <c r="M14" i="23"/>
  <c r="AG181" i="55"/>
  <c r="AA351" i="55" s="1"/>
  <c r="T174" i="55"/>
  <c r="T11" i="55" s="1"/>
  <c r="M171" i="55"/>
  <c r="AK277" i="55"/>
  <c r="AS181" i="55"/>
  <c r="AR351" i="55" s="1"/>
  <c r="Y277" i="55"/>
  <c r="AR233" i="55"/>
  <c r="AC93" i="55"/>
  <c r="AC95" i="55" s="1"/>
  <c r="AS178" i="55"/>
  <c r="AS174" i="55"/>
  <c r="AU288" i="55" s="1"/>
  <c r="AW287" i="55"/>
  <c r="AA93" i="55"/>
  <c r="AA95" i="55" s="1"/>
  <c r="J352" i="55"/>
  <c r="M287" i="55"/>
  <c r="AK350" i="55"/>
  <c r="AK287" i="55"/>
  <c r="I237" i="23"/>
  <c r="AK27" i="55"/>
  <c r="AO93" i="55"/>
  <c r="AO95" i="55" s="1"/>
  <c r="AM93" i="55"/>
  <c r="AM95" i="55" s="1"/>
  <c r="J26" i="55"/>
  <c r="AZ339" i="55" a="1"/>
  <c r="AZ339" i="55" s="1"/>
  <c r="AZ336" i="55"/>
  <c r="AY340" i="55"/>
  <c r="AY337" i="55"/>
  <c r="R11" i="55"/>
  <c r="P285" i="55"/>
  <c r="S285" i="55"/>
  <c r="O285" i="55"/>
  <c r="T285" i="55"/>
  <c r="Q285" i="55"/>
  <c r="R285" i="55"/>
  <c r="R245" i="55"/>
  <c r="R246" i="55" s="1"/>
  <c r="S12" i="55"/>
  <c r="V349" i="55"/>
  <c r="T349" i="55"/>
  <c r="S349" i="55"/>
  <c r="R349" i="55"/>
  <c r="U349" i="55"/>
  <c r="W349" i="55"/>
  <c r="O349" i="55"/>
  <c r="Q349" i="55"/>
  <c r="P349" i="55"/>
  <c r="BE230" i="55"/>
  <c r="BE234" i="55" s="1"/>
  <c r="P88" i="55"/>
  <c r="AD178" i="55"/>
  <c r="AD174" i="55"/>
  <c r="AD181" i="55"/>
  <c r="AP369" i="55"/>
  <c r="AO369" i="55"/>
  <c r="AQ369" i="55"/>
  <c r="AU369" i="55"/>
  <c r="AW78" i="55"/>
  <c r="AY88" i="55"/>
  <c r="AY91" i="55" s="1"/>
  <c r="AY256" i="55" s="1"/>
  <c r="BB12" i="55"/>
  <c r="BG348" i="55"/>
  <c r="AY348" i="55"/>
  <c r="BF348" i="55"/>
  <c r="BA348" i="55"/>
  <c r="BE348" i="55"/>
  <c r="BD348" i="55"/>
  <c r="BC348" i="55"/>
  <c r="BB348" i="55"/>
  <c r="AZ348" i="55"/>
  <c r="O369" i="55"/>
  <c r="T369" i="55"/>
  <c r="S369" i="55"/>
  <c r="R369" i="55"/>
  <c r="P369" i="55"/>
  <c r="Q369" i="55"/>
  <c r="AB88" i="55"/>
  <c r="BF366" i="55"/>
  <c r="BF283" i="55"/>
  <c r="AZ88" i="55"/>
  <c r="BB11" i="55"/>
  <c r="BB285" i="55"/>
  <c r="BE285" i="55"/>
  <c r="AZ285" i="55"/>
  <c r="BA285" i="55"/>
  <c r="BC285" i="55"/>
  <c r="BG285" i="55"/>
  <c r="AY285" i="55"/>
  <c r="BB245" i="55"/>
  <c r="BB246" i="55" s="1"/>
  <c r="BD285" i="55"/>
  <c r="AP178" i="55"/>
  <c r="AP181" i="55"/>
  <c r="AP174" i="55"/>
  <c r="S230" i="55"/>
  <c r="S234" i="55" s="1"/>
  <c r="Y287" i="55"/>
  <c r="AU276" i="55"/>
  <c r="AS276" i="55"/>
  <c r="AM276" i="55"/>
  <c r="AP276" i="55"/>
  <c r="AT276" i="55"/>
  <c r="AO276" i="55"/>
  <c r="AR276" i="55"/>
  <c r="AQ276" i="55"/>
  <c r="AN276" i="55"/>
  <c r="AB276" i="55"/>
  <c r="AA276" i="55"/>
  <c r="AG276" i="55"/>
  <c r="AC276" i="55"/>
  <c r="AF276" i="55"/>
  <c r="AD276" i="55"/>
  <c r="AI276" i="55"/>
  <c r="AH276" i="55"/>
  <c r="AE276" i="55"/>
  <c r="BG276" i="55"/>
  <c r="BF276" i="55"/>
  <c r="BD276" i="55"/>
  <c r="BE276" i="55"/>
  <c r="BC276" i="55"/>
  <c r="AZ276" i="55"/>
  <c r="AY276" i="55"/>
  <c r="BB276" i="55"/>
  <c r="BA276" i="55"/>
  <c r="BC230" i="55"/>
  <c r="BC234" i="55" s="1"/>
  <c r="AQ230" i="55"/>
  <c r="AQ234" i="55" s="1"/>
  <c r="BE12" i="55"/>
  <c r="BF351" i="55"/>
  <c r="BE351" i="55"/>
  <c r="BD351" i="55"/>
  <c r="BB351" i="55"/>
  <c r="BA351" i="55"/>
  <c r="AZ351" i="55"/>
  <c r="BC351" i="55"/>
  <c r="BG351" i="55"/>
  <c r="AY351" i="55"/>
  <c r="Y171" i="55"/>
  <c r="AF174" i="55"/>
  <c r="AF11" i="55" s="1"/>
  <c r="AF178" i="55"/>
  <c r="AF181" i="55"/>
  <c r="AS230" i="55"/>
  <c r="AS234" i="55" s="1"/>
  <c r="AS366" i="55"/>
  <c r="AS283" i="55"/>
  <c r="AT283" i="55"/>
  <c r="AN88" i="55"/>
  <c r="AN231" i="55" s="1"/>
  <c r="AN235" i="55" s="1"/>
  <c r="AR283" i="55"/>
  <c r="AT366" i="55"/>
  <c r="AR366" i="55"/>
  <c r="M277" i="55"/>
  <c r="AY93" i="55"/>
  <c r="AY95" i="55" s="1"/>
  <c r="AM340" i="55"/>
  <c r="AM337" i="55"/>
  <c r="AG230" i="55"/>
  <c r="AG234" i="55" s="1"/>
  <c r="AE230" i="55"/>
  <c r="AE234" i="55" s="1"/>
  <c r="AW277" i="55"/>
  <c r="BB230" i="55"/>
  <c r="BB234" i="55" s="1"/>
  <c r="BC11" i="55"/>
  <c r="BC245" i="55"/>
  <c r="BC246" i="55" s="1"/>
  <c r="I109" i="23"/>
  <c r="AT275" i="55"/>
  <c r="AR275" i="55"/>
  <c r="AM275" i="55"/>
  <c r="AU275" i="55"/>
  <c r="AU311" i="55" s="1"/>
  <c r="AS275" i="55"/>
  <c r="AQ275" i="55"/>
  <c r="AQ311" i="55" s="1"/>
  <c r="AN275" i="55"/>
  <c r="AP275" i="55"/>
  <c r="AP311" i="55" s="1"/>
  <c r="AO275" i="55"/>
  <c r="AO311" i="55" s="1"/>
  <c r="I300" i="23"/>
  <c r="Q93" i="55"/>
  <c r="Q95" i="55" s="1"/>
  <c r="Q97" i="55" s="1"/>
  <c r="Q115" i="55" s="1"/>
  <c r="AO286" i="55"/>
  <c r="AU286" i="55"/>
  <c r="AP286" i="55"/>
  <c r="AQ286" i="55"/>
  <c r="BE275" i="55"/>
  <c r="BE311" i="55" s="1"/>
  <c r="BC275" i="55"/>
  <c r="BC311" i="55" s="1"/>
  <c r="BB275" i="55"/>
  <c r="BB311" i="55" s="1"/>
  <c r="BG275" i="55"/>
  <c r="BG311" i="55" s="1"/>
  <c r="BF275" i="55"/>
  <c r="BA275" i="55"/>
  <c r="BA311" i="55" s="1"/>
  <c r="AZ275" i="55"/>
  <c r="AZ311" i="55" s="1"/>
  <c r="BD275" i="55"/>
  <c r="BD311" i="55" s="1"/>
  <c r="AY275" i="55"/>
  <c r="I267" i="23"/>
  <c r="R12" i="55"/>
  <c r="U348" i="55"/>
  <c r="W348" i="55"/>
  <c r="T348" i="55"/>
  <c r="O348" i="55"/>
  <c r="S348" i="55"/>
  <c r="R348" i="55"/>
  <c r="V348" i="55"/>
  <c r="Q348" i="55"/>
  <c r="P348" i="55"/>
  <c r="AF13" i="55"/>
  <c r="AF233" i="55"/>
  <c r="S11" i="55"/>
  <c r="S245" i="55"/>
  <c r="S246" i="55" s="1"/>
  <c r="T286" i="55"/>
  <c r="P286" i="55"/>
  <c r="S286" i="55"/>
  <c r="Q286" i="55"/>
  <c r="R286" i="55"/>
  <c r="O286" i="55"/>
  <c r="AK78" i="55"/>
  <c r="AK83" i="55" s="1" a="1"/>
  <c r="AK83" i="55" s="1"/>
  <c r="AM88" i="55"/>
  <c r="AM91" i="55" s="1"/>
  <c r="AM256" i="55" s="1"/>
  <c r="V276" i="55"/>
  <c r="J64" i="55"/>
  <c r="R276" i="55"/>
  <c r="U276" i="55"/>
  <c r="W276" i="55"/>
  <c r="T276" i="55"/>
  <c r="P276" i="55"/>
  <c r="O276" i="55"/>
  <c r="S276" i="55"/>
  <c r="Q276" i="55"/>
  <c r="J289" i="55"/>
  <c r="R122" i="23"/>
  <c r="Q137" i="23"/>
  <c r="P249" i="23"/>
  <c r="P186" i="23"/>
  <c r="O121" i="23"/>
  <c r="R235" i="23"/>
  <c r="R265" i="23"/>
  <c r="R198" i="23"/>
  <c r="R264" i="23"/>
  <c r="P91" i="23"/>
  <c r="O137" i="23"/>
  <c r="R174" i="23"/>
  <c r="P220" i="23"/>
  <c r="R121" i="23"/>
  <c r="P92" i="23"/>
  <c r="N220" i="23"/>
  <c r="N92" i="23"/>
  <c r="R106" i="23"/>
  <c r="R220" i="23"/>
  <c r="N235" i="23"/>
  <c r="R234" i="23"/>
  <c r="N136" i="23"/>
  <c r="R186" i="23"/>
  <c r="P264" i="23"/>
  <c r="R91" i="23"/>
  <c r="R219" i="23"/>
  <c r="N198" i="23"/>
  <c r="N174" i="23"/>
  <c r="N249" i="23"/>
  <c r="O138" i="23"/>
  <c r="R162" i="23"/>
  <c r="Q136" i="23"/>
  <c r="P219" i="23"/>
  <c r="O136" i="23"/>
  <c r="R92" i="23"/>
  <c r="N162" i="23"/>
  <c r="N106" i="23"/>
  <c r="N137" i="23"/>
  <c r="P198" i="23"/>
  <c r="N234" i="23"/>
  <c r="R107" i="23"/>
  <c r="R249" i="23"/>
  <c r="P265" i="23"/>
  <c r="P162" i="23"/>
  <c r="R250" i="23"/>
  <c r="N107" i="23"/>
  <c r="J214" i="76" l="1"/>
  <c r="J203" i="75"/>
  <c r="J202" i="76"/>
  <c r="J203" i="74"/>
  <c r="J202" i="75"/>
  <c r="J214" i="75"/>
  <c r="J202" i="73"/>
  <c r="J214" i="73"/>
  <c r="J214" i="74"/>
  <c r="J202" i="74"/>
  <c r="M214" i="72"/>
  <c r="J214" i="72" s="1"/>
  <c r="J202" i="72"/>
  <c r="J203" i="72"/>
  <c r="BA97" i="55"/>
  <c r="BA110" i="55" s="1"/>
  <c r="AW256" i="55"/>
  <c r="AK256" i="55"/>
  <c r="M350" i="55"/>
  <c r="AN311" i="55"/>
  <c r="AF12" i="55"/>
  <c r="AD350" i="55"/>
  <c r="AA350" i="55"/>
  <c r="AB350" i="55"/>
  <c r="AI350" i="55"/>
  <c r="AG350" i="55"/>
  <c r="AE350" i="55"/>
  <c r="AH350" i="55"/>
  <c r="AC350" i="55"/>
  <c r="AF350" i="55"/>
  <c r="AN286" i="55"/>
  <c r="AN349" i="55"/>
  <c r="AM286" i="55"/>
  <c r="AP349" i="55"/>
  <c r="AR349" i="55"/>
  <c r="BA231" i="55"/>
  <c r="BA235" i="55" s="1"/>
  <c r="AN369" i="55"/>
  <c r="AK369" i="55" s="1"/>
  <c r="AM349" i="55"/>
  <c r="AT349" i="55"/>
  <c r="AO231" i="55"/>
  <c r="AO235" i="55" s="1"/>
  <c r="AO349" i="55"/>
  <c r="AC231" i="55"/>
  <c r="AC235" i="55" s="1"/>
  <c r="AC97" i="55"/>
  <c r="AC115" i="55" s="1"/>
  <c r="AO97" i="55"/>
  <c r="AO170" i="55" s="1"/>
  <c r="AA88" i="55"/>
  <c r="AA91" i="55" s="1"/>
  <c r="M78" i="55"/>
  <c r="M83" i="55" s="1" a="1"/>
  <c r="M83" i="55" s="1"/>
  <c r="AS349" i="55"/>
  <c r="AQ245" i="55"/>
  <c r="AQ246" i="55" s="1"/>
  <c r="AU349" i="55"/>
  <c r="AQ12" i="55"/>
  <c r="AW369" i="55"/>
  <c r="M285" i="55"/>
  <c r="M369" i="55"/>
  <c r="Y78" i="55"/>
  <c r="Y83" i="55" s="1" a="1"/>
  <c r="Y83" i="55" s="1"/>
  <c r="AG275" i="55"/>
  <c r="AG311" i="55" s="1"/>
  <c r="AF275" i="55"/>
  <c r="AF311" i="55" s="1"/>
  <c r="AH275" i="55"/>
  <c r="AH311" i="55" s="1"/>
  <c r="AE275" i="55"/>
  <c r="AE311" i="55" s="1"/>
  <c r="AC275" i="55"/>
  <c r="AC311" i="55" s="1"/>
  <c r="AA275" i="55"/>
  <c r="V275" i="55"/>
  <c r="V311" i="55" s="1"/>
  <c r="AD275" i="55"/>
  <c r="AD311" i="55" s="1"/>
  <c r="AB275" i="55"/>
  <c r="AB311" i="55" s="1"/>
  <c r="O88" i="55"/>
  <c r="W275" i="55"/>
  <c r="W311" i="55" s="1"/>
  <c r="R275" i="55"/>
  <c r="R311" i="55" s="1"/>
  <c r="J62" i="55"/>
  <c r="P275" i="55"/>
  <c r="T275" i="55"/>
  <c r="T311" i="55" s="1"/>
  <c r="Q275" i="55"/>
  <c r="Q311" i="55" s="1"/>
  <c r="O275" i="55"/>
  <c r="U275" i="55"/>
  <c r="U311" i="55" s="1"/>
  <c r="AA336" i="55"/>
  <c r="AA339" i="55" a="1"/>
  <c r="AA339" i="55" s="1"/>
  <c r="O336" i="55"/>
  <c r="O339" i="55" a="1"/>
  <c r="O339" i="55" s="1"/>
  <c r="V288" i="55"/>
  <c r="U288" i="55"/>
  <c r="U12" i="55"/>
  <c r="S288" i="55"/>
  <c r="R288" i="55"/>
  <c r="Q288" i="55"/>
  <c r="U11" i="55"/>
  <c r="U245" i="55"/>
  <c r="U246" i="55" s="1"/>
  <c r="O288" i="55"/>
  <c r="P288" i="55"/>
  <c r="T288" i="55"/>
  <c r="U351" i="55"/>
  <c r="O351" i="55"/>
  <c r="S351" i="55"/>
  <c r="W351" i="55"/>
  <c r="R351" i="55"/>
  <c r="Q351" i="55"/>
  <c r="T351" i="55"/>
  <c r="Q339" i="55" a="1"/>
  <c r="Q339" i="55" s="1"/>
  <c r="Q336" i="55"/>
  <c r="P351" i="55"/>
  <c r="BF290" i="55"/>
  <c r="AR290" i="55"/>
  <c r="AT290" i="55"/>
  <c r="AS290" i="55"/>
  <c r="AW286" i="55"/>
  <c r="BD12" i="55"/>
  <c r="BB350" i="55"/>
  <c r="BC350" i="55"/>
  <c r="AY350" i="55"/>
  <c r="BD350" i="55"/>
  <c r="BA350" i="55"/>
  <c r="AZ350" i="55"/>
  <c r="BG350" i="55"/>
  <c r="BF350" i="55"/>
  <c r="BE350" i="55"/>
  <c r="AW349" i="55"/>
  <c r="AH285" i="55"/>
  <c r="AG285" i="55"/>
  <c r="AF285" i="55"/>
  <c r="AE369" i="55"/>
  <c r="AF369" i="55"/>
  <c r="AG369" i="55"/>
  <c r="AH369" i="55"/>
  <c r="AE11" i="55"/>
  <c r="AG286" i="55"/>
  <c r="AH286" i="55"/>
  <c r="AF286" i="55"/>
  <c r="AG11" i="55"/>
  <c r="AG288" i="55"/>
  <c r="AF288" i="55"/>
  <c r="AH288" i="55"/>
  <c r="AB339" i="55" a="1"/>
  <c r="AB339" i="55" s="1"/>
  <c r="AB336" i="55"/>
  <c r="BF333" i="55"/>
  <c r="AW83" i="55" a="1"/>
  <c r="AW83" i="55" s="1"/>
  <c r="AA369" i="55"/>
  <c r="AI369" i="55"/>
  <c r="AB286" i="55"/>
  <c r="AA286" i="55"/>
  <c r="AC369" i="55"/>
  <c r="AB369" i="55"/>
  <c r="AE245" i="55"/>
  <c r="AE246" i="55" s="1"/>
  <c r="AB288" i="55"/>
  <c r="AE286" i="55"/>
  <c r="AC286" i="55"/>
  <c r="AD286" i="55"/>
  <c r="AI286" i="55"/>
  <c r="BC288" i="55"/>
  <c r="AY288" i="55"/>
  <c r="BG288" i="55"/>
  <c r="BA288" i="55"/>
  <c r="BE245" i="55"/>
  <c r="BE246" i="55" s="1"/>
  <c r="AZ288" i="55"/>
  <c r="BE11" i="55"/>
  <c r="BE288" i="55"/>
  <c r="BD288" i="55"/>
  <c r="AD369" i="55"/>
  <c r="AF349" i="55"/>
  <c r="AE12" i="55"/>
  <c r="AG349" i="55"/>
  <c r="AC349" i="55"/>
  <c r="AH349" i="55"/>
  <c r="AA349" i="55"/>
  <c r="AI349" i="55"/>
  <c r="AE349" i="55"/>
  <c r="AD349" i="55"/>
  <c r="AS245" i="55"/>
  <c r="AS246" i="55" s="1"/>
  <c r="AS11" i="55"/>
  <c r="AI288" i="55"/>
  <c r="AA288" i="55"/>
  <c r="AC288" i="55"/>
  <c r="AE288" i="55"/>
  <c r="AD288" i="55"/>
  <c r="AG245" i="55"/>
  <c r="AG246" i="55" s="1"/>
  <c r="AG351" i="55"/>
  <c r="AC351" i="55"/>
  <c r="AB351" i="55"/>
  <c r="AH351" i="55"/>
  <c r="AE351" i="55"/>
  <c r="AG12" i="55"/>
  <c r="AD351" i="55"/>
  <c r="AI351" i="55"/>
  <c r="AQ288" i="55"/>
  <c r="AF351" i="55"/>
  <c r="AP288" i="55"/>
  <c r="AO351" i="55"/>
  <c r="AT351" i="55"/>
  <c r="AU351" i="55"/>
  <c r="J171" i="55"/>
  <c r="J287" i="55"/>
  <c r="AM351" i="55"/>
  <c r="AQ351" i="55"/>
  <c r="AN351" i="55"/>
  <c r="AS351" i="55"/>
  <c r="AS12" i="55"/>
  <c r="AP351" i="55"/>
  <c r="AS370" i="55"/>
  <c r="AO288" i="55"/>
  <c r="AN288" i="55"/>
  <c r="AM288" i="55"/>
  <c r="AW351" i="55"/>
  <c r="I266" i="23" s="1"/>
  <c r="I197" i="23"/>
  <c r="AR370" i="55"/>
  <c r="AT370" i="55"/>
  <c r="AN97" i="55"/>
  <c r="AN144" i="55" s="1"/>
  <c r="AN153" i="55" s="1"/>
  <c r="BF370" i="55"/>
  <c r="M348" i="55"/>
  <c r="AK275" i="55"/>
  <c r="AM311" i="55"/>
  <c r="AW276" i="55"/>
  <c r="AP230" i="55"/>
  <c r="AP234" i="55" s="1"/>
  <c r="M349" i="55"/>
  <c r="AY336" i="55"/>
  <c r="AY339" i="55" a="1"/>
  <c r="AY339" i="55" s="1"/>
  <c r="M286" i="55"/>
  <c r="P97" i="55"/>
  <c r="P231" i="55"/>
  <c r="AM336" i="55"/>
  <c r="AM339" i="55" a="1"/>
  <c r="AM339" i="55" s="1"/>
  <c r="AY231" i="55"/>
  <c r="AY97" i="55"/>
  <c r="AY115" i="55" s="1"/>
  <c r="M276" i="55"/>
  <c r="AM97" i="55"/>
  <c r="AM115" i="55" s="1"/>
  <c r="AM231" i="55"/>
  <c r="AP245" i="55"/>
  <c r="AP246" i="55" s="1"/>
  <c r="AP11" i="55"/>
  <c r="AU285" i="55"/>
  <c r="AM285" i="55"/>
  <c r="AP285" i="55"/>
  <c r="AQ285" i="55"/>
  <c r="AN285" i="55"/>
  <c r="AO285" i="55"/>
  <c r="AD12" i="55"/>
  <c r="AI348" i="55"/>
  <c r="AA348" i="55"/>
  <c r="AH348" i="55"/>
  <c r="AF348" i="55"/>
  <c r="AE348" i="55"/>
  <c r="AD348" i="55"/>
  <c r="AG348" i="55"/>
  <c r="AC348" i="55"/>
  <c r="AB348" i="55"/>
  <c r="Q170" i="55"/>
  <c r="Q110" i="55"/>
  <c r="Q144" i="55"/>
  <c r="AP12" i="55"/>
  <c r="AS348" i="55"/>
  <c r="AR348" i="55"/>
  <c r="AP348" i="55"/>
  <c r="AO348" i="55"/>
  <c r="AN348" i="55"/>
  <c r="AQ348" i="55"/>
  <c r="AU348" i="55"/>
  <c r="AM348" i="55"/>
  <c r="AT348" i="55"/>
  <c r="AD11" i="55"/>
  <c r="AA285" i="55"/>
  <c r="AC285" i="55"/>
  <c r="AB285" i="55"/>
  <c r="AD245" i="55"/>
  <c r="AD246" i="55" s="1"/>
  <c r="AI285" i="55"/>
  <c r="AE285" i="55"/>
  <c r="AD285" i="55"/>
  <c r="AW285" i="55"/>
  <c r="AZ231" i="55"/>
  <c r="AZ235" i="55" s="1"/>
  <c r="AZ97" i="55"/>
  <c r="AW275" i="55"/>
  <c r="AY311" i="55"/>
  <c r="AW311" i="55" s="1"/>
  <c r="Y276" i="55"/>
  <c r="AK276" i="55"/>
  <c r="AB231" i="55"/>
  <c r="AB235" i="55" s="1"/>
  <c r="AB97" i="55"/>
  <c r="AW348" i="55"/>
  <c r="AD230" i="55"/>
  <c r="AD234" i="55" s="1"/>
  <c r="M192" i="55"/>
  <c r="Q91" i="23"/>
  <c r="Q220" i="23"/>
  <c r="Q236" i="23"/>
  <c r="Q108" i="23"/>
  <c r="Q174" i="23"/>
  <c r="Q235" i="23"/>
  <c r="O234" i="23"/>
  <c r="O174" i="23"/>
  <c r="P138" i="23"/>
  <c r="N219" i="23"/>
  <c r="P106" i="23"/>
  <c r="Q264" i="23"/>
  <c r="O106" i="23"/>
  <c r="P107" i="23"/>
  <c r="O93" i="23"/>
  <c r="Q107" i="23"/>
  <c r="O249" i="23"/>
  <c r="Q265" i="23"/>
  <c r="P122" i="23"/>
  <c r="O236" i="23"/>
  <c r="Q122" i="23"/>
  <c r="N138" i="23"/>
  <c r="Q93" i="23"/>
  <c r="Q138" i="23"/>
  <c r="M137" i="23"/>
  <c r="M186" i="23"/>
  <c r="N264" i="23"/>
  <c r="Q121" i="23"/>
  <c r="O91" i="23"/>
  <c r="O299" i="23"/>
  <c r="Q106" i="23"/>
  <c r="M220" i="23"/>
  <c r="O221" i="23"/>
  <c r="Q249" i="23"/>
  <c r="Q162" i="23"/>
  <c r="P235" i="23"/>
  <c r="Q250" i="23"/>
  <c r="O264" i="23"/>
  <c r="O108" i="23"/>
  <c r="M219" i="23"/>
  <c r="N122" i="23"/>
  <c r="O235" i="23"/>
  <c r="P174" i="23"/>
  <c r="M136" i="23"/>
  <c r="O266" i="23"/>
  <c r="O219" i="23"/>
  <c r="Q219" i="23"/>
  <c r="R138" i="23"/>
  <c r="R299" i="23"/>
  <c r="O107" i="23"/>
  <c r="M265" i="23"/>
  <c r="O92" i="23"/>
  <c r="O186" i="23"/>
  <c r="M197" i="23"/>
  <c r="M162" i="23"/>
  <c r="M264" i="23"/>
  <c r="P234" i="23"/>
  <c r="P250" i="23"/>
  <c r="Q186" i="23"/>
  <c r="N265" i="23"/>
  <c r="M91" i="23"/>
  <c r="M266" i="23"/>
  <c r="O250" i="23"/>
  <c r="Q92" i="23"/>
  <c r="O162" i="23"/>
  <c r="O265" i="23"/>
  <c r="Q234" i="23"/>
  <c r="O220" i="23"/>
  <c r="O122" i="23"/>
  <c r="M92" i="23"/>
  <c r="O198" i="23"/>
  <c r="M161" i="23"/>
  <c r="Q221" i="23"/>
  <c r="O123" i="23"/>
  <c r="M198" i="23"/>
  <c r="O251" i="23"/>
  <c r="Q198" i="23"/>
  <c r="N250" i="23"/>
  <c r="N186" i="23"/>
  <c r="N91" i="23"/>
  <c r="BA170" i="55" l="1"/>
  <c r="BA144" i="55"/>
  <c r="BA149" i="55" s="1"/>
  <c r="AO110" i="55"/>
  <c r="AO116" i="55" s="1"/>
  <c r="BA116" i="55"/>
  <c r="BA187" i="55" s="1"/>
  <c r="BA188" i="55" s="1"/>
  <c r="BA251" i="55"/>
  <c r="BA115" i="55"/>
  <c r="AZ132" i="55" s="1"/>
  <c r="AZ168" i="55" s="1"/>
  <c r="AK311" i="55"/>
  <c r="AK286" i="55"/>
  <c r="AC144" i="55"/>
  <c r="AC159" i="55" s="1"/>
  <c r="Y350" i="55"/>
  <c r="AA231" i="55"/>
  <c r="Y231" i="55" s="1"/>
  <c r="Y235" i="55" s="1"/>
  <c r="AC170" i="55"/>
  <c r="AC110" i="55"/>
  <c r="AC116" i="55" s="1"/>
  <c r="AC130" i="55" s="1"/>
  <c r="AO144" i="55"/>
  <c r="AO147" i="55" s="1"/>
  <c r="AO115" i="55"/>
  <c r="AN132" i="55" s="1"/>
  <c r="AN168" i="55" s="1"/>
  <c r="AA256" i="55"/>
  <c r="Y256" i="55" s="1"/>
  <c r="AA97" i="55"/>
  <c r="AA110" i="55" s="1"/>
  <c r="O91" i="55"/>
  <c r="O256" i="55" s="1"/>
  <c r="M256" i="55" s="1"/>
  <c r="AK349" i="55"/>
  <c r="I250" i="23" s="1"/>
  <c r="Y369" i="55"/>
  <c r="I174" i="23" s="1"/>
  <c r="J78" i="55"/>
  <c r="Y275" i="55"/>
  <c r="M275" i="55"/>
  <c r="M288" i="55"/>
  <c r="I93" i="23" s="1"/>
  <c r="M351" i="55"/>
  <c r="I221" i="23" s="1"/>
  <c r="I198" i="23"/>
  <c r="I137" i="23"/>
  <c r="AW350" i="55"/>
  <c r="I265" i="23"/>
  <c r="Y286" i="55"/>
  <c r="I107" i="23" s="1"/>
  <c r="AW288" i="55"/>
  <c r="I138" i="23" s="1"/>
  <c r="Y349" i="55"/>
  <c r="I235" i="23" s="1"/>
  <c r="Y288" i="55"/>
  <c r="I108" i="23" s="1"/>
  <c r="Y351" i="55"/>
  <c r="AK288" i="55"/>
  <c r="I123" i="23" s="1"/>
  <c r="AK351" i="55"/>
  <c r="I251" i="23" s="1"/>
  <c r="Y348" i="55"/>
  <c r="I234" i="23" s="1"/>
  <c r="AN110" i="55"/>
  <c r="AN252" i="55" s="1"/>
  <c r="AM307" i="55" s="1"/>
  <c r="AN170" i="55"/>
  <c r="AN99" i="55"/>
  <c r="AN98" i="55"/>
  <c r="AN155" i="55"/>
  <c r="AN157" i="55" s="1"/>
  <c r="AN149" i="55"/>
  <c r="AN151" i="55" s="1"/>
  <c r="AN159" i="55"/>
  <c r="AN161" i="55" s="1"/>
  <c r="I136" i="23"/>
  <c r="AY98" i="55"/>
  <c r="AY144" i="55"/>
  <c r="AY110" i="55"/>
  <c r="AY99" i="55"/>
  <c r="AY170" i="55"/>
  <c r="P170" i="55"/>
  <c r="P110" i="55"/>
  <c r="P99" i="55"/>
  <c r="P98" i="55"/>
  <c r="P144" i="55"/>
  <c r="AW231" i="55"/>
  <c r="AW235" i="55" s="1"/>
  <c r="AY235" i="55"/>
  <c r="I161" i="23"/>
  <c r="I264" i="23"/>
  <c r="AK348" i="55"/>
  <c r="Q155" i="55"/>
  <c r="Q149" i="55"/>
  <c r="Q159" i="55"/>
  <c r="Q153" i="55"/>
  <c r="Q147" i="55"/>
  <c r="AB144" i="55"/>
  <c r="AB170" i="55"/>
  <c r="AB110" i="55"/>
  <c r="AB99" i="55"/>
  <c r="AB98" i="55"/>
  <c r="Q254" i="55"/>
  <c r="Q253" i="55"/>
  <c r="Q116" i="55"/>
  <c r="Q251" i="55"/>
  <c r="I92" i="23"/>
  <c r="I220" i="23"/>
  <c r="I219" i="23"/>
  <c r="AM235" i="55"/>
  <c r="AK231" i="55"/>
  <c r="AK235" i="55" s="1"/>
  <c r="I186" i="23"/>
  <c r="AZ99" i="55"/>
  <c r="AZ170" i="55"/>
  <c r="AZ98" i="55"/>
  <c r="AZ110" i="55"/>
  <c r="AZ144" i="55"/>
  <c r="Y285" i="55"/>
  <c r="AM110" i="55"/>
  <c r="AM144" i="55"/>
  <c r="AM99" i="55"/>
  <c r="AM98" i="55"/>
  <c r="AM170" i="55"/>
  <c r="I162" i="23"/>
  <c r="I91" i="23"/>
  <c r="AK285" i="55"/>
  <c r="P235" i="55"/>
  <c r="M191" i="55"/>
  <c r="P123" i="23"/>
  <c r="R221" i="23"/>
  <c r="N236" i="23"/>
  <c r="P236" i="23"/>
  <c r="Q123" i="23"/>
  <c r="M174" i="23"/>
  <c r="Q251" i="23"/>
  <c r="M251" i="23"/>
  <c r="P251" i="23"/>
  <c r="R108" i="23"/>
  <c r="R236" i="23"/>
  <c r="N93" i="23"/>
  <c r="R123" i="23"/>
  <c r="R251" i="23"/>
  <c r="M236" i="23"/>
  <c r="M221" i="23"/>
  <c r="R93" i="23"/>
  <c r="R266" i="23"/>
  <c r="Q266" i="23"/>
  <c r="M235" i="23"/>
  <c r="M173" i="23"/>
  <c r="P266" i="23"/>
  <c r="M249" i="23"/>
  <c r="M106" i="23"/>
  <c r="P93" i="23"/>
  <c r="N108" i="23"/>
  <c r="M93" i="23"/>
  <c r="N299" i="23"/>
  <c r="M107" i="23"/>
  <c r="P108" i="23"/>
  <c r="M185" i="23"/>
  <c r="N221" i="23"/>
  <c r="P221" i="23"/>
  <c r="N266" i="23"/>
  <c r="M138" i="23"/>
  <c r="P299" i="23"/>
  <c r="Q299" i="23"/>
  <c r="M250" i="23"/>
  <c r="M123" i="23"/>
  <c r="N251" i="23"/>
  <c r="N123" i="23"/>
  <c r="M121" i="23"/>
  <c r="M234" i="23"/>
  <c r="M122" i="23"/>
  <c r="M108" i="23"/>
  <c r="BA147" i="55" l="1"/>
  <c r="BA151" i="55" s="1"/>
  <c r="BA155" i="55"/>
  <c r="BA254" i="55"/>
  <c r="BA159" i="55"/>
  <c r="BA153" i="55"/>
  <c r="BA253" i="55"/>
  <c r="AO251" i="55"/>
  <c r="AO254" i="55"/>
  <c r="BA120" i="55"/>
  <c r="BA126" i="55"/>
  <c r="BA130" i="55"/>
  <c r="AC251" i="55"/>
  <c r="AY132" i="55"/>
  <c r="AY168" i="55" s="1"/>
  <c r="AW115" i="55"/>
  <c r="BA132" i="55"/>
  <c r="BA168" i="55" s="1"/>
  <c r="BA178" i="55" s="1"/>
  <c r="AC149" i="55"/>
  <c r="AC254" i="55"/>
  <c r="AC253" i="55"/>
  <c r="AC155" i="55"/>
  <c r="AC147" i="55"/>
  <c r="AC153" i="55"/>
  <c r="J350" i="55"/>
  <c r="AA311" i="55"/>
  <c r="Y311" i="55" s="1"/>
  <c r="P311" i="55"/>
  <c r="I122" i="23"/>
  <c r="O311" i="55"/>
  <c r="O231" i="55"/>
  <c r="AA235" i="55"/>
  <c r="AA144" i="55"/>
  <c r="Y144" i="55" s="1"/>
  <c r="AA115" i="55"/>
  <c r="AC132" i="55" s="1"/>
  <c r="AC168" i="55" s="1"/>
  <c r="AA98" i="55"/>
  <c r="AA99" i="55"/>
  <c r="AO153" i="55"/>
  <c r="AO149" i="55"/>
  <c r="AO151" i="55" s="1"/>
  <c r="AO243" i="55" s="1"/>
  <c r="AO155" i="55"/>
  <c r="AO253" i="55"/>
  <c r="AK115" i="55"/>
  <c r="AO132" i="55"/>
  <c r="AO168" i="55" s="1"/>
  <c r="AO181" i="55" s="1"/>
  <c r="AM132" i="55"/>
  <c r="AM168" i="55" s="1"/>
  <c r="AO159" i="55"/>
  <c r="AO161" i="55" s="1"/>
  <c r="AN174" i="55"/>
  <c r="J256" i="55"/>
  <c r="O97" i="55"/>
  <c r="O98" i="55" s="1"/>
  <c r="J286" i="55"/>
  <c r="BA229" i="55"/>
  <c r="BA233" i="55" s="1"/>
  <c r="J349" i="55"/>
  <c r="J288" i="55"/>
  <c r="I236" i="23"/>
  <c r="AC187" i="55"/>
  <c r="AC188" i="55" s="1"/>
  <c r="AC126" i="55"/>
  <c r="J351" i="55"/>
  <c r="AC120" i="55"/>
  <c r="AC229" i="55"/>
  <c r="AC13" i="55" s="1"/>
  <c r="J348" i="55"/>
  <c r="AN181" i="55"/>
  <c r="I173" i="23"/>
  <c r="AO187" i="55"/>
  <c r="AO188" i="55" s="1"/>
  <c r="AO229" i="55"/>
  <c r="AO126" i="55"/>
  <c r="AO120" i="55"/>
  <c r="AO130" i="55"/>
  <c r="AK170" i="55"/>
  <c r="AN178" i="55"/>
  <c r="AK252" i="55"/>
  <c r="AP307" i="55"/>
  <c r="AQ307" i="55"/>
  <c r="AN251" i="55"/>
  <c r="AN307" i="55"/>
  <c r="AN254" i="55"/>
  <c r="AU307" i="55"/>
  <c r="AN116" i="55"/>
  <c r="AN126" i="55" s="1"/>
  <c r="AO307" i="55"/>
  <c r="AN255" i="55"/>
  <c r="AY169" i="55"/>
  <c r="AM169" i="55"/>
  <c r="AB149" i="55"/>
  <c r="AB151" i="55" s="1"/>
  <c r="AB159" i="55"/>
  <c r="AB161" i="55" s="1"/>
  <c r="AB153" i="55"/>
  <c r="AB155" i="55"/>
  <c r="AW144" i="55"/>
  <c r="AY147" i="55"/>
  <c r="AY149" i="55"/>
  <c r="AY159" i="55"/>
  <c r="AY153" i="55"/>
  <c r="AY155" i="55"/>
  <c r="AK110" i="55"/>
  <c r="AM116" i="55"/>
  <c r="AM251" i="55"/>
  <c r="AM254" i="55"/>
  <c r="AM253" i="55"/>
  <c r="AA170" i="55"/>
  <c r="Y170" i="55" s="1"/>
  <c r="Q161" i="55"/>
  <c r="Q157" i="55"/>
  <c r="Q151" i="55"/>
  <c r="Q243" i="55" s="1"/>
  <c r="I106" i="23"/>
  <c r="Q258" i="55"/>
  <c r="AZ149" i="55"/>
  <c r="AZ151" i="55" s="1"/>
  <c r="AZ153" i="55"/>
  <c r="AZ155" i="55"/>
  <c r="AZ159" i="55"/>
  <c r="AZ161" i="55" s="1"/>
  <c r="Q187" i="55"/>
  <c r="Q188" i="55" s="1"/>
  <c r="Q126" i="55"/>
  <c r="Q120" i="55"/>
  <c r="Q130" i="55"/>
  <c r="Q229" i="55"/>
  <c r="P255" i="55"/>
  <c r="P116" i="55"/>
  <c r="P251" i="55"/>
  <c r="P254" i="55"/>
  <c r="P252" i="55"/>
  <c r="P155" i="55"/>
  <c r="P153" i="55"/>
  <c r="P149" i="55"/>
  <c r="P151" i="55" s="1"/>
  <c r="P159" i="55"/>
  <c r="P161" i="55" s="1"/>
  <c r="AZ252" i="55"/>
  <c r="AZ251" i="55"/>
  <c r="AZ254" i="55"/>
  <c r="AZ255" i="55"/>
  <c r="AZ116" i="55"/>
  <c r="BD284" i="55"/>
  <c r="BA241" i="55"/>
  <c r="AM153" i="55"/>
  <c r="AM149" i="55"/>
  <c r="AM159" i="55"/>
  <c r="AM147" i="55"/>
  <c r="AM155" i="55"/>
  <c r="AK144" i="55"/>
  <c r="BD367" i="55"/>
  <c r="Y110" i="55"/>
  <c r="AA116" i="55"/>
  <c r="AA251" i="55"/>
  <c r="AW170" i="55"/>
  <c r="I121" i="23"/>
  <c r="AZ178" i="55"/>
  <c r="AZ181" i="55"/>
  <c r="AZ174" i="55"/>
  <c r="AB252" i="55"/>
  <c r="AB254" i="55"/>
  <c r="AB251" i="55"/>
  <c r="AB255" i="55"/>
  <c r="AB116" i="55"/>
  <c r="I249" i="23"/>
  <c r="J285" i="55"/>
  <c r="I185" i="23"/>
  <c r="AY254" i="55"/>
  <c r="AY253" i="55"/>
  <c r="AY251" i="55"/>
  <c r="AW110" i="55"/>
  <c r="AY116" i="55"/>
  <c r="R172" i="23"/>
  <c r="R105" i="23"/>
  <c r="N172" i="23"/>
  <c r="Q196" i="23"/>
  <c r="R195" i="23"/>
  <c r="P298" i="23"/>
  <c r="R298" i="23"/>
  <c r="M299" i="23"/>
  <c r="R295" i="23"/>
  <c r="N105" i="23"/>
  <c r="BA161" i="55" l="1"/>
  <c r="BA258" i="55"/>
  <c r="BA157" i="55"/>
  <c r="BG367" i="55" s="1"/>
  <c r="AO258" i="55"/>
  <c r="AC151" i="55"/>
  <c r="AC243" i="55" s="1"/>
  <c r="AC258" i="55"/>
  <c r="BA181" i="55"/>
  <c r="BA12" i="55" s="1"/>
  <c r="BA190" i="55"/>
  <c r="BA230" i="55" s="1"/>
  <c r="BA234" i="55" s="1"/>
  <c r="AW168" i="55"/>
  <c r="AW132" i="55"/>
  <c r="BA174" i="55"/>
  <c r="AC161" i="55"/>
  <c r="AB132" i="55"/>
  <c r="AB168" i="55" s="1"/>
  <c r="AB174" i="55" s="1"/>
  <c r="AC157" i="55"/>
  <c r="AA132" i="55"/>
  <c r="AA168" i="55" s="1"/>
  <c r="Y115" i="55"/>
  <c r="AO157" i="55"/>
  <c r="M311" i="55"/>
  <c r="J311" i="55" s="1"/>
  <c r="O235" i="55"/>
  <c r="M231" i="55"/>
  <c r="M235" i="55" s="1"/>
  <c r="AA254" i="55"/>
  <c r="AA309" i="55" s="1"/>
  <c r="AA155" i="55"/>
  <c r="AA147" i="55"/>
  <c r="Y147" i="55" s="1"/>
  <c r="BB347" i="55"/>
  <c r="AA149" i="55"/>
  <c r="AA169" i="55"/>
  <c r="Y169" i="55" s="1"/>
  <c r="AA253" i="55"/>
  <c r="AA308" i="55" s="1"/>
  <c r="AA153" i="55"/>
  <c r="AA159" i="55"/>
  <c r="I299" i="23"/>
  <c r="O99" i="55"/>
  <c r="O169" i="55" s="1"/>
  <c r="O115" i="55"/>
  <c r="M115" i="55" s="1"/>
  <c r="AO190" i="55"/>
  <c r="AO230" i="55" s="1"/>
  <c r="AO234" i="55" s="1"/>
  <c r="AY284" i="55"/>
  <c r="BA243" i="55"/>
  <c r="AK168" i="55"/>
  <c r="AK132" i="55"/>
  <c r="AO174" i="55"/>
  <c r="AN284" i="55" s="1"/>
  <c r="AO178" i="55"/>
  <c r="AM367" i="55" s="1"/>
  <c r="AM174" i="55"/>
  <c r="AY174" i="55"/>
  <c r="O144" i="55"/>
  <c r="O155" i="55" s="1"/>
  <c r="O170" i="55"/>
  <c r="M170" i="55" s="1"/>
  <c r="J170" i="55" s="1"/>
  <c r="O110" i="55"/>
  <c r="W306" i="55"/>
  <c r="R308" i="55"/>
  <c r="S308" i="55"/>
  <c r="T308" i="55"/>
  <c r="Q308" i="55"/>
  <c r="V308" i="55"/>
  <c r="W308" i="55"/>
  <c r="W307" i="55"/>
  <c r="V307" i="55"/>
  <c r="U307" i="55"/>
  <c r="W310" i="55"/>
  <c r="V310" i="55"/>
  <c r="U310" i="55"/>
  <c r="U306" i="55"/>
  <c r="V306" i="55"/>
  <c r="V284" i="55"/>
  <c r="BB284" i="55"/>
  <c r="BF347" i="55"/>
  <c r="AY347" i="55"/>
  <c r="BA13" i="55"/>
  <c r="AZ347" i="55"/>
  <c r="BG347" i="55"/>
  <c r="BD347" i="55"/>
  <c r="BE347" i="55"/>
  <c r="AC241" i="55"/>
  <c r="AG306" i="55"/>
  <c r="AH306" i="55"/>
  <c r="AF306" i="55"/>
  <c r="AF310" i="55"/>
  <c r="AH310" i="55"/>
  <c r="AG310" i="55"/>
  <c r="AG309" i="55"/>
  <c r="AH309" i="55"/>
  <c r="AF309" i="55"/>
  <c r="BA284" i="55"/>
  <c r="AH307" i="55"/>
  <c r="AF307" i="55"/>
  <c r="AG307" i="55"/>
  <c r="AG308" i="55"/>
  <c r="AF308" i="55"/>
  <c r="AH308" i="55"/>
  <c r="V367" i="55"/>
  <c r="BC347" i="55"/>
  <c r="BA347" i="55"/>
  <c r="BC367" i="55"/>
  <c r="BA367" i="55"/>
  <c r="BE284" i="55"/>
  <c r="BE367" i="55"/>
  <c r="BC284" i="55"/>
  <c r="AZ284" i="55"/>
  <c r="BG284" i="55"/>
  <c r="AY367" i="55"/>
  <c r="BB367" i="55"/>
  <c r="AZ367" i="55"/>
  <c r="AC233" i="55"/>
  <c r="AN120" i="55"/>
  <c r="AN241" i="55" s="1"/>
  <c r="AN229" i="55"/>
  <c r="AN233" i="55" s="1"/>
  <c r="AN130" i="55"/>
  <c r="AN12" i="55" s="1"/>
  <c r="AU367" i="55"/>
  <c r="AP367" i="55"/>
  <c r="AQ367" i="55"/>
  <c r="AO367" i="55"/>
  <c r="AO13" i="55"/>
  <c r="AO233" i="55"/>
  <c r="AO12" i="55"/>
  <c r="AR347" i="55"/>
  <c r="AQ347" i="55"/>
  <c r="AO347" i="55"/>
  <c r="AS347" i="55"/>
  <c r="AP347" i="55"/>
  <c r="AT347" i="55"/>
  <c r="AN347" i="55"/>
  <c r="AM347" i="55"/>
  <c r="AU347" i="55"/>
  <c r="AU284" i="55"/>
  <c r="AQ284" i="55"/>
  <c r="AP284" i="55"/>
  <c r="AO241" i="55"/>
  <c r="AO284" i="55"/>
  <c r="AM178" i="55"/>
  <c r="AN187" i="55"/>
  <c r="AN188" i="55" s="1"/>
  <c r="AN190" i="55"/>
  <c r="AK307" i="55"/>
  <c r="AN258" i="55"/>
  <c r="AN310" i="55"/>
  <c r="AK255" i="55"/>
  <c r="AO310" i="55"/>
  <c r="AQ310" i="55"/>
  <c r="AM310" i="55"/>
  <c r="AP310" i="55"/>
  <c r="AU310" i="55"/>
  <c r="AM181" i="55"/>
  <c r="AK181" i="55" s="1"/>
  <c r="AK169" i="55"/>
  <c r="P157" i="55"/>
  <c r="AY178" i="55"/>
  <c r="AW178" i="55" s="1"/>
  <c r="AW169" i="55"/>
  <c r="AY181" i="55"/>
  <c r="AB258" i="55"/>
  <c r="AZ157" i="55"/>
  <c r="AQ309" i="55"/>
  <c r="AP309" i="55"/>
  <c r="AK254" i="55"/>
  <c r="AM309" i="55"/>
  <c r="AU309" i="55"/>
  <c r="AN309" i="55"/>
  <c r="AO309" i="55"/>
  <c r="AN366" i="55"/>
  <c r="AP366" i="55"/>
  <c r="AM366" i="55"/>
  <c r="AQ366" i="55"/>
  <c r="AU366" i="55"/>
  <c r="AO366" i="55"/>
  <c r="AZ258" i="55"/>
  <c r="P307" i="55"/>
  <c r="S307" i="55"/>
  <c r="T307" i="55"/>
  <c r="R307" i="55"/>
  <c r="Q307" i="55"/>
  <c r="O307" i="55"/>
  <c r="M252" i="55"/>
  <c r="Q241" i="55"/>
  <c r="AN306" i="55"/>
  <c r="AP306" i="55"/>
  <c r="AK251" i="55"/>
  <c r="AM258" i="55"/>
  <c r="AU306" i="55"/>
  <c r="AM306" i="55"/>
  <c r="AO306" i="55"/>
  <c r="AQ306" i="55"/>
  <c r="BG306" i="55"/>
  <c r="BA306" i="55"/>
  <c r="AZ306" i="55"/>
  <c r="BC306" i="55"/>
  <c r="BD306" i="55"/>
  <c r="AY258" i="55"/>
  <c r="BB306" i="55"/>
  <c r="AW251" i="55"/>
  <c r="AY306" i="55"/>
  <c r="BE306" i="55"/>
  <c r="BE307" i="55"/>
  <c r="AW252" i="55"/>
  <c r="BA307" i="55"/>
  <c r="AZ307" i="55"/>
  <c r="AY307" i="55"/>
  <c r="BB307" i="55"/>
  <c r="BC307" i="55"/>
  <c r="BG307" i="55"/>
  <c r="BD307" i="55"/>
  <c r="AK192" i="55"/>
  <c r="AM126" i="55"/>
  <c r="AK191" i="55"/>
  <c r="AM187" i="55"/>
  <c r="AM190" i="55"/>
  <c r="AM120" i="55"/>
  <c r="AM229" i="55"/>
  <c r="AM130" i="55"/>
  <c r="AK116" i="55"/>
  <c r="AY157" i="55"/>
  <c r="AY161" i="55"/>
  <c r="AW161" i="55" s="1"/>
  <c r="AY151" i="55"/>
  <c r="AW147" i="55"/>
  <c r="AZ308" i="55"/>
  <c r="BC308" i="55"/>
  <c r="AW253" i="55"/>
  <c r="BA308" i="55"/>
  <c r="BG308" i="55"/>
  <c r="AY308" i="55"/>
  <c r="BB308" i="55"/>
  <c r="BD308" i="55"/>
  <c r="BE308" i="55"/>
  <c r="AB130" i="55"/>
  <c r="AB187" i="55"/>
  <c r="AB188" i="55" s="1"/>
  <c r="AB120" i="55"/>
  <c r="AB126" i="55"/>
  <c r="AB229" i="55"/>
  <c r="AD306" i="55"/>
  <c r="AI306" i="55"/>
  <c r="AE306" i="55"/>
  <c r="AC306" i="55"/>
  <c r="Y251" i="55"/>
  <c r="AA306" i="55"/>
  <c r="AB306" i="55"/>
  <c r="P258" i="55"/>
  <c r="Q306" i="55"/>
  <c r="S306" i="55"/>
  <c r="T306" i="55"/>
  <c r="R306" i="55"/>
  <c r="BC309" i="55"/>
  <c r="BE309" i="55"/>
  <c r="AY309" i="55"/>
  <c r="AW254" i="55"/>
  <c r="BD309" i="55"/>
  <c r="BB309" i="55"/>
  <c r="BG309" i="55"/>
  <c r="AZ309" i="55"/>
  <c r="BA309" i="55"/>
  <c r="AB310" i="55"/>
  <c r="AC310" i="55"/>
  <c r="AE310" i="55"/>
  <c r="AI310" i="55"/>
  <c r="AA310" i="55"/>
  <c r="AD310" i="55"/>
  <c r="Y255" i="55"/>
  <c r="AB309" i="55"/>
  <c r="AC309" i="55"/>
  <c r="AE309" i="55"/>
  <c r="AI309" i="55"/>
  <c r="AD309" i="55"/>
  <c r="P120" i="55"/>
  <c r="V283" i="55" s="1"/>
  <c r="P130" i="55"/>
  <c r="P126" i="55"/>
  <c r="P187" i="55"/>
  <c r="P229" i="55"/>
  <c r="AA126" i="55"/>
  <c r="AA120" i="55"/>
  <c r="AA187" i="55"/>
  <c r="AA130" i="55"/>
  <c r="Y116" i="55"/>
  <c r="AM151" i="55"/>
  <c r="AK147" i="55"/>
  <c r="AM161" i="55"/>
  <c r="AK161" i="55" s="1"/>
  <c r="AM157" i="55"/>
  <c r="R310" i="55"/>
  <c r="T310" i="55"/>
  <c r="Q310" i="55"/>
  <c r="M255" i="55"/>
  <c r="O310" i="55"/>
  <c r="S310" i="55"/>
  <c r="P310" i="55"/>
  <c r="AC178" i="55"/>
  <c r="AH367" i="55" s="1"/>
  <c r="AC174" i="55"/>
  <c r="AF284" i="55" s="1"/>
  <c r="AC181" i="55"/>
  <c r="AC190" i="55"/>
  <c r="AB157" i="55"/>
  <c r="AZ190" i="55"/>
  <c r="AZ130" i="55"/>
  <c r="AZ187" i="55"/>
  <c r="AZ188" i="55" s="1"/>
  <c r="AZ229" i="55"/>
  <c r="AZ126" i="55"/>
  <c r="AZ120" i="55"/>
  <c r="Q13" i="55"/>
  <c r="Q233" i="55"/>
  <c r="AY187" i="55"/>
  <c r="AY190" i="55"/>
  <c r="AY130" i="55"/>
  <c r="AW116" i="55"/>
  <c r="AY229" i="55"/>
  <c r="AY126" i="55"/>
  <c r="AY120" i="55"/>
  <c r="Y252" i="55"/>
  <c r="AB307" i="55"/>
  <c r="AA307" i="55"/>
  <c r="AD307" i="55"/>
  <c r="AE307" i="55"/>
  <c r="AI307" i="55"/>
  <c r="AC307" i="55"/>
  <c r="AC308" i="55"/>
  <c r="AI308" i="55"/>
  <c r="AE308" i="55"/>
  <c r="AD308" i="55"/>
  <c r="AB308" i="55"/>
  <c r="BD310" i="55"/>
  <c r="AW255" i="55"/>
  <c r="AY310" i="55"/>
  <c r="BB310" i="55"/>
  <c r="AZ310" i="55"/>
  <c r="BG310" i="55"/>
  <c r="BE310" i="55"/>
  <c r="BA310" i="55"/>
  <c r="BC310" i="55"/>
  <c r="AK253" i="55"/>
  <c r="AO308" i="55"/>
  <c r="AU308" i="55"/>
  <c r="AN308" i="55"/>
  <c r="AP308" i="55"/>
  <c r="AM308" i="55"/>
  <c r="AQ308" i="55"/>
  <c r="Q68" i="23"/>
  <c r="P105" i="23"/>
  <c r="R135" i="23"/>
  <c r="O105" i="23"/>
  <c r="P135" i="23"/>
  <c r="O172" i="23"/>
  <c r="R104" i="23"/>
  <c r="R134" i="23"/>
  <c r="Q295" i="23"/>
  <c r="O296" i="23"/>
  <c r="Q298" i="23"/>
  <c r="R68" i="23"/>
  <c r="P160" i="23"/>
  <c r="R69" i="23"/>
  <c r="P195" i="23"/>
  <c r="P295" i="23"/>
  <c r="N171" i="23"/>
  <c r="N195" i="23"/>
  <c r="O69" i="23"/>
  <c r="R296" i="23"/>
  <c r="R70" i="23"/>
  <c r="N298" i="23"/>
  <c r="R120" i="23"/>
  <c r="R119" i="23"/>
  <c r="R171" i="23"/>
  <c r="Q194" i="23"/>
  <c r="N295" i="23"/>
  <c r="R160" i="23"/>
  <c r="R90" i="23"/>
  <c r="O295" i="23"/>
  <c r="N196" i="23"/>
  <c r="Q133" i="23"/>
  <c r="Q134" i="23"/>
  <c r="O104" i="23"/>
  <c r="R248" i="23"/>
  <c r="N69" i="23"/>
  <c r="P134" i="23"/>
  <c r="R297" i="23"/>
  <c r="P90" i="23"/>
  <c r="O298" i="23"/>
  <c r="R184" i="23"/>
  <c r="P172" i="23"/>
  <c r="P171" i="23"/>
  <c r="O134" i="23"/>
  <c r="P184" i="23"/>
  <c r="Q135" i="23"/>
  <c r="P120" i="23"/>
  <c r="Q71" i="23"/>
  <c r="N135" i="23"/>
  <c r="P196" i="23"/>
  <c r="AW174" i="55" l="1"/>
  <c r="AB190" i="55"/>
  <c r="Y132" i="55"/>
  <c r="AW181" i="55"/>
  <c r="AB181" i="55"/>
  <c r="AB12" i="55" s="1"/>
  <c r="AB178" i="55"/>
  <c r="AK157" i="55"/>
  <c r="J115" i="55"/>
  <c r="Y254" i="55"/>
  <c r="AA229" i="55"/>
  <c r="Y229" i="55" s="1"/>
  <c r="Y233" i="55" s="1"/>
  <c r="AA151" i="55"/>
  <c r="Y151" i="55" s="1"/>
  <c r="AA161" i="55"/>
  <c r="Y161" i="55" s="1"/>
  <c r="AA190" i="55"/>
  <c r="AA230" i="55" s="1"/>
  <c r="AA258" i="55"/>
  <c r="Y253" i="55"/>
  <c r="AA157" i="55"/>
  <c r="Y157" i="55" s="1"/>
  <c r="AM284" i="55"/>
  <c r="AK284" i="55" s="1"/>
  <c r="AN367" i="55"/>
  <c r="AK367" i="55" s="1"/>
  <c r="AY365" i="55"/>
  <c r="AN365" i="55"/>
  <c r="AM365" i="55"/>
  <c r="Q132" i="55"/>
  <c r="Q168" i="55" s="1"/>
  <c r="Q181" i="55" s="1"/>
  <c r="O132" i="55"/>
  <c r="O168" i="55" s="1"/>
  <c r="P132" i="55"/>
  <c r="P168" i="55" s="1"/>
  <c r="P190" i="55" s="1"/>
  <c r="P230" i="55" s="1"/>
  <c r="AK178" i="55"/>
  <c r="M144" i="55"/>
  <c r="J144" i="55" s="1"/>
  <c r="AK174" i="55"/>
  <c r="O254" i="55"/>
  <c r="P309" i="55" s="1"/>
  <c r="AW151" i="55"/>
  <c r="AY243" i="55"/>
  <c r="AW243" i="55" s="1"/>
  <c r="AK151" i="55"/>
  <c r="AM243" i="55"/>
  <c r="AK243" i="55" s="1"/>
  <c r="O159" i="55"/>
  <c r="O253" i="55"/>
  <c r="O153" i="55"/>
  <c r="O149" i="55"/>
  <c r="O147" i="55"/>
  <c r="O116" i="55"/>
  <c r="O251" i="55"/>
  <c r="P306" i="55" s="1"/>
  <c r="M110" i="55"/>
  <c r="J110" i="55" s="1"/>
  <c r="AW367" i="55"/>
  <c r="I196" i="23" s="1"/>
  <c r="AK366" i="55"/>
  <c r="BB365" i="55"/>
  <c r="AO365" i="55"/>
  <c r="AG284" i="55"/>
  <c r="AH315" i="55"/>
  <c r="M169" i="55"/>
  <c r="J169" i="55" s="1"/>
  <c r="U309" i="55"/>
  <c r="U315" i="55" s="1"/>
  <c r="Q309" i="55"/>
  <c r="Q315" i="55" s="1"/>
  <c r="V309" i="55"/>
  <c r="V315" i="55" s="1"/>
  <c r="S309" i="55"/>
  <c r="S315" i="55" s="1"/>
  <c r="W309" i="55"/>
  <c r="W315" i="55" s="1"/>
  <c r="R309" i="55"/>
  <c r="T309" i="55"/>
  <c r="T315" i="55" s="1"/>
  <c r="W366" i="55"/>
  <c r="U366" i="55"/>
  <c r="W283" i="55"/>
  <c r="V366" i="55"/>
  <c r="U283" i="55"/>
  <c r="AF367" i="55"/>
  <c r="AG367" i="55"/>
  <c r="AF315" i="55"/>
  <c r="AG366" i="55"/>
  <c r="AH366" i="55"/>
  <c r="AF366" i="55"/>
  <c r="AG315" i="55"/>
  <c r="AW284" i="55"/>
  <c r="I135" i="23" s="1"/>
  <c r="AW347" i="55"/>
  <c r="AH284" i="55"/>
  <c r="AF283" i="55"/>
  <c r="AH283" i="55"/>
  <c r="AG283" i="55"/>
  <c r="AP346" i="55"/>
  <c r="AR346" i="55"/>
  <c r="AM346" i="55"/>
  <c r="AU346" i="55"/>
  <c r="AO346" i="55"/>
  <c r="AN346" i="55"/>
  <c r="AQ346" i="55"/>
  <c r="AS346" i="55"/>
  <c r="AT346" i="55"/>
  <c r="AP283" i="55"/>
  <c r="AM283" i="55"/>
  <c r="AN283" i="55"/>
  <c r="AN13" i="55"/>
  <c r="AQ283" i="55"/>
  <c r="AO283" i="55"/>
  <c r="AU283" i="55"/>
  <c r="Y126" i="55"/>
  <c r="AK347" i="55"/>
  <c r="AN230" i="55"/>
  <c r="AN234" i="55" s="1"/>
  <c r="AK310" i="55"/>
  <c r="AW157" i="55"/>
  <c r="AI346" i="55"/>
  <c r="Y130" i="55"/>
  <c r="AB315" i="55"/>
  <c r="BG315" i="55"/>
  <c r="AU315" i="55"/>
  <c r="Y307" i="55"/>
  <c r="AK308" i="55"/>
  <c r="M310" i="55"/>
  <c r="AC315" i="55"/>
  <c r="AK258" i="55"/>
  <c r="AW191" i="55"/>
  <c r="AC230" i="55"/>
  <c r="AC234" i="55" s="1"/>
  <c r="AM188" i="55"/>
  <c r="AK187" i="55"/>
  <c r="AY188" i="55"/>
  <c r="AW187" i="55"/>
  <c r="AZ233" i="55"/>
  <c r="AZ13" i="55"/>
  <c r="AA347" i="55"/>
  <c r="AC347" i="55"/>
  <c r="AH347" i="55"/>
  <c r="AF347" i="55"/>
  <c r="AG347" i="55"/>
  <c r="AE347" i="55"/>
  <c r="AC12" i="55"/>
  <c r="AD347" i="55"/>
  <c r="AI347" i="55"/>
  <c r="AB347" i="55"/>
  <c r="J255" i="55"/>
  <c r="Y191" i="55"/>
  <c r="P366" i="55"/>
  <c r="T366" i="55"/>
  <c r="S366" i="55"/>
  <c r="O366" i="55"/>
  <c r="R366" i="55"/>
  <c r="Q366" i="55"/>
  <c r="Y309" i="55"/>
  <c r="AW309" i="55"/>
  <c r="AE315" i="55"/>
  <c r="AP315" i="55"/>
  <c r="BG366" i="55"/>
  <c r="BC366" i="55"/>
  <c r="BB366" i="55"/>
  <c r="AY366" i="55"/>
  <c r="BA366" i="55"/>
  <c r="BE366" i="55"/>
  <c r="AZ366" i="55"/>
  <c r="BD366" i="55"/>
  <c r="AB241" i="55"/>
  <c r="AE283" i="55"/>
  <c r="AD283" i="55"/>
  <c r="AI283" i="55"/>
  <c r="AA283" i="55"/>
  <c r="AB283" i="55"/>
  <c r="AW192" i="55"/>
  <c r="Y192" i="55"/>
  <c r="AI315" i="55"/>
  <c r="AC346" i="55"/>
  <c r="AB346" i="55"/>
  <c r="AF346" i="55"/>
  <c r="AG346" i="55"/>
  <c r="AH346" i="55"/>
  <c r="AA346" i="55"/>
  <c r="AE346" i="55"/>
  <c r="AD346" i="55"/>
  <c r="AK126" i="55"/>
  <c r="BD315" i="55"/>
  <c r="AN315" i="55"/>
  <c r="J252" i="55"/>
  <c r="AY230" i="55"/>
  <c r="AW190" i="55"/>
  <c r="P188" i="55"/>
  <c r="BB315" i="55"/>
  <c r="BG282" i="55"/>
  <c r="BD282" i="55"/>
  <c r="BA282" i="55"/>
  <c r="BC282" i="55"/>
  <c r="AY241" i="55"/>
  <c r="BE282" i="55"/>
  <c r="BB282" i="55"/>
  <c r="AZ282" i="55"/>
  <c r="AW120" i="55"/>
  <c r="AY282" i="55"/>
  <c r="AY346" i="55"/>
  <c r="AZ346" i="55"/>
  <c r="BF346" i="55"/>
  <c r="BE346" i="55"/>
  <c r="BD346" i="55"/>
  <c r="BB346" i="55"/>
  <c r="AZ12" i="55"/>
  <c r="BC346" i="55"/>
  <c r="BG346" i="55"/>
  <c r="BA346" i="55"/>
  <c r="R283" i="55"/>
  <c r="Q283" i="55"/>
  <c r="T283" i="55"/>
  <c r="P241" i="55"/>
  <c r="S283" i="55"/>
  <c r="AD315" i="55"/>
  <c r="BC315" i="55"/>
  <c r="AQ315" i="55"/>
  <c r="M307" i="55"/>
  <c r="AK309" i="55"/>
  <c r="AZ230" i="55"/>
  <c r="AZ234" i="55" s="1"/>
  <c r="AS345" i="55"/>
  <c r="AR345" i="55"/>
  <c r="AM345" i="55"/>
  <c r="AT345" i="55"/>
  <c r="AQ345" i="55"/>
  <c r="AO345" i="55"/>
  <c r="AK130" i="55"/>
  <c r="AP345" i="55"/>
  <c r="AM12" i="55"/>
  <c r="AU345" i="55"/>
  <c r="AN345" i="55"/>
  <c r="AZ315" i="55"/>
  <c r="AO315" i="55"/>
  <c r="AW126" i="55"/>
  <c r="AI284" i="55"/>
  <c r="AA284" i="55"/>
  <c r="AE284" i="55"/>
  <c r="AD284" i="55"/>
  <c r="AB284" i="55"/>
  <c r="AC284" i="55"/>
  <c r="AY13" i="55"/>
  <c r="AW229" i="55"/>
  <c r="AW233" i="55" s="1"/>
  <c r="AY233" i="55"/>
  <c r="AI367" i="55"/>
  <c r="AA367" i="55"/>
  <c r="AE367" i="55"/>
  <c r="AD367" i="55"/>
  <c r="AC367" i="55"/>
  <c r="AB367" i="55"/>
  <c r="AE366" i="55"/>
  <c r="Y306" i="55"/>
  <c r="AA315" i="55"/>
  <c r="AB230" i="55"/>
  <c r="AB234" i="55" s="1"/>
  <c r="AM13" i="55"/>
  <c r="AM233" i="55"/>
  <c r="AK229" i="55"/>
  <c r="AK233" i="55" s="1"/>
  <c r="AA178" i="55"/>
  <c r="AD365" i="55" s="1"/>
  <c r="AA174" i="55"/>
  <c r="AF282" i="55" s="1"/>
  <c r="AA181" i="55"/>
  <c r="Y168" i="55"/>
  <c r="BE315" i="55"/>
  <c r="BA315" i="55"/>
  <c r="AK306" i="55"/>
  <c r="AM315" i="55"/>
  <c r="AW308" i="55"/>
  <c r="AM282" i="55"/>
  <c r="AP282" i="55"/>
  <c r="AU282" i="55"/>
  <c r="AO282" i="55"/>
  <c r="AM241" i="55"/>
  <c r="AK241" i="55" s="1"/>
  <c r="AK120" i="55"/>
  <c r="AQ282" i="55"/>
  <c r="AN282" i="55"/>
  <c r="AW306" i="55"/>
  <c r="AY315" i="55"/>
  <c r="AW310" i="55"/>
  <c r="Y187" i="55"/>
  <c r="AA188" i="55"/>
  <c r="Y310" i="55"/>
  <c r="AC283" i="55"/>
  <c r="AB233" i="55"/>
  <c r="AB13" i="55"/>
  <c r="Y308" i="55"/>
  <c r="AY345" i="55"/>
  <c r="BG345" i="55"/>
  <c r="BF345" i="55"/>
  <c r="BB345" i="55"/>
  <c r="BD345" i="55"/>
  <c r="AY12" i="55"/>
  <c r="BE345" i="55"/>
  <c r="BC345" i="55"/>
  <c r="BA345" i="55"/>
  <c r="AW130" i="55"/>
  <c r="AZ345" i="55"/>
  <c r="BD283" i="55"/>
  <c r="BA283" i="55"/>
  <c r="BG283" i="55"/>
  <c r="AZ283" i="55"/>
  <c r="BB283" i="55"/>
  <c r="AY283" i="55"/>
  <c r="AZ241" i="55"/>
  <c r="BC283" i="55"/>
  <c r="BE283" i="55"/>
  <c r="AA241" i="55"/>
  <c r="Y120" i="55"/>
  <c r="P233" i="55"/>
  <c r="P13" i="55"/>
  <c r="AI366" i="55"/>
  <c r="AB366" i="55"/>
  <c r="AA366" i="55"/>
  <c r="AC366" i="55"/>
  <c r="AD366" i="55"/>
  <c r="AK190" i="55"/>
  <c r="AM230" i="55"/>
  <c r="AW307" i="55"/>
  <c r="AW258" i="55"/>
  <c r="O135" i="23"/>
  <c r="R218" i="23"/>
  <c r="N104" i="23"/>
  <c r="R182" i="23"/>
  <c r="R232" i="23"/>
  <c r="O70" i="23"/>
  <c r="M196" i="23"/>
  <c r="P218" i="23"/>
  <c r="O297" i="23"/>
  <c r="O171" i="23"/>
  <c r="Q297" i="23"/>
  <c r="O233" i="23"/>
  <c r="R118" i="23"/>
  <c r="Q261" i="23"/>
  <c r="Q104" i="23"/>
  <c r="R294" i="23"/>
  <c r="N233" i="23"/>
  <c r="P70" i="23"/>
  <c r="N70" i="23"/>
  <c r="M120" i="23"/>
  <c r="P89" i="23"/>
  <c r="M183" i="23"/>
  <c r="P296" i="23"/>
  <c r="N90" i="23"/>
  <c r="P68" i="23"/>
  <c r="Q171" i="23"/>
  <c r="O68" i="23"/>
  <c r="R233" i="23"/>
  <c r="R89" i="23"/>
  <c r="R159" i="23"/>
  <c r="N134" i="23"/>
  <c r="Q296" i="23"/>
  <c r="Q105" i="23"/>
  <c r="M248" i="23"/>
  <c r="M298" i="23"/>
  <c r="Q183" i="23"/>
  <c r="N160" i="23"/>
  <c r="P248" i="23"/>
  <c r="Q294" i="23"/>
  <c r="P217" i="23"/>
  <c r="O218" i="23"/>
  <c r="N68" i="23"/>
  <c r="O196" i="23"/>
  <c r="R247" i="23"/>
  <c r="Q263" i="23"/>
  <c r="O248" i="23"/>
  <c r="O195" i="23"/>
  <c r="M295" i="23"/>
  <c r="N263" i="23"/>
  <c r="O71" i="23"/>
  <c r="R71" i="23"/>
  <c r="O90" i="23"/>
  <c r="N71" i="23"/>
  <c r="O119" i="23"/>
  <c r="M263" i="23"/>
  <c r="Q160" i="23"/>
  <c r="N297" i="23"/>
  <c r="R217" i="23"/>
  <c r="O160" i="23"/>
  <c r="R246" i="23"/>
  <c r="R183" i="23"/>
  <c r="O294" i="23"/>
  <c r="N294" i="23"/>
  <c r="Q172" i="23"/>
  <c r="O184" i="23"/>
  <c r="P104" i="23"/>
  <c r="P183" i="23"/>
  <c r="M135" i="23"/>
  <c r="R170" i="23"/>
  <c r="Q90" i="23"/>
  <c r="R262" i="23"/>
  <c r="M184" i="23"/>
  <c r="O120" i="23"/>
  <c r="Q70" i="23"/>
  <c r="R196" i="23"/>
  <c r="N296" i="23"/>
  <c r="P159" i="23"/>
  <c r="O194" i="23"/>
  <c r="N183" i="23"/>
  <c r="N218" i="23"/>
  <c r="R263" i="23"/>
  <c r="AA243" i="55" l="1"/>
  <c r="Y243" i="55" s="1"/>
  <c r="Q190" i="55"/>
  <c r="Q230" i="55" s="1"/>
  <c r="Q234" i="55" s="1"/>
  <c r="Q178" i="55"/>
  <c r="AA13" i="55"/>
  <c r="Y13" i="55" s="1"/>
  <c r="AA233" i="55"/>
  <c r="Y258" i="55"/>
  <c r="AD345" i="55"/>
  <c r="AD353" i="55" s="1"/>
  <c r="Y190" i="55"/>
  <c r="Y201" i="55" s="1"/>
  <c r="Y292" i="55" s="1"/>
  <c r="AW365" i="55"/>
  <c r="AK365" i="55"/>
  <c r="Q174" i="55"/>
  <c r="P284" i="55" s="1"/>
  <c r="O308" i="55"/>
  <c r="P308" i="55"/>
  <c r="P315" i="55" s="1"/>
  <c r="O309" i="55"/>
  <c r="M309" i="55" s="1"/>
  <c r="J309" i="55" s="1"/>
  <c r="M251" i="55"/>
  <c r="J251" i="55" s="1"/>
  <c r="I294" i="23" s="1"/>
  <c r="O306" i="55"/>
  <c r="M306" i="55" s="1"/>
  <c r="J306" i="55" s="1"/>
  <c r="P178" i="55"/>
  <c r="M168" i="55"/>
  <c r="J168" i="55" s="1"/>
  <c r="P174" i="55"/>
  <c r="P181" i="55"/>
  <c r="Q346" i="55" s="1"/>
  <c r="M132" i="55"/>
  <c r="J132" i="55" s="1"/>
  <c r="M254" i="55"/>
  <c r="J254" i="55" s="1"/>
  <c r="O161" i="55"/>
  <c r="M161" i="55" s="1"/>
  <c r="J161" i="55" s="1"/>
  <c r="O157" i="55"/>
  <c r="M157" i="55" s="1"/>
  <c r="J157" i="55" s="1"/>
  <c r="U308" i="55"/>
  <c r="M253" i="55"/>
  <c r="J253" i="55" s="1"/>
  <c r="O258" i="55"/>
  <c r="O190" i="55"/>
  <c r="O126" i="55"/>
  <c r="M126" i="55" s="1"/>
  <c r="J126" i="55" s="1"/>
  <c r="O120" i="55"/>
  <c r="O130" i="55"/>
  <c r="M130" i="55" s="1"/>
  <c r="J130" i="55" s="1"/>
  <c r="O187" i="55"/>
  <c r="M116" i="55"/>
  <c r="J116" i="55" s="1"/>
  <c r="O229" i="55"/>
  <c r="O233" i="55" s="1"/>
  <c r="M147" i="55"/>
  <c r="J147" i="55" s="1"/>
  <c r="O151" i="55"/>
  <c r="O174" i="55"/>
  <c r="O178" i="55"/>
  <c r="R346" i="55"/>
  <c r="V346" i="55"/>
  <c r="O346" i="55"/>
  <c r="T346" i="55"/>
  <c r="O181" i="55"/>
  <c r="S284" i="55"/>
  <c r="O284" i="55"/>
  <c r="U284" i="55"/>
  <c r="Q284" i="55"/>
  <c r="R284" i="55"/>
  <c r="W284" i="55"/>
  <c r="T284" i="55"/>
  <c r="V347" i="55"/>
  <c r="W347" i="55"/>
  <c r="T347" i="55"/>
  <c r="S347" i="55"/>
  <c r="O347" i="55"/>
  <c r="R347" i="55"/>
  <c r="U347" i="55"/>
  <c r="Q347" i="55"/>
  <c r="P347" i="55"/>
  <c r="Q12" i="55"/>
  <c r="U367" i="55"/>
  <c r="P367" i="55"/>
  <c r="W367" i="55"/>
  <c r="S367" i="55"/>
  <c r="R367" i="55"/>
  <c r="Q367" i="55"/>
  <c r="O367" i="55"/>
  <c r="T367" i="55"/>
  <c r="N301" i="23"/>
  <c r="R301" i="23"/>
  <c r="R72" i="23"/>
  <c r="Q301" i="23"/>
  <c r="O301" i="23"/>
  <c r="O72" i="23"/>
  <c r="N72" i="23"/>
  <c r="Y367" i="55"/>
  <c r="AW366" i="55"/>
  <c r="Y366" i="55"/>
  <c r="M366" i="55"/>
  <c r="W365" i="55"/>
  <c r="S365" i="55"/>
  <c r="Q365" i="55"/>
  <c r="T365" i="55"/>
  <c r="R365" i="55"/>
  <c r="V365" i="55"/>
  <c r="V370" i="55" s="1"/>
  <c r="U365" i="55"/>
  <c r="Q282" i="55"/>
  <c r="T282" i="55"/>
  <c r="S282" i="55"/>
  <c r="R282" i="55"/>
  <c r="W282" i="55"/>
  <c r="V282" i="55"/>
  <c r="V290" i="55" s="1"/>
  <c r="U282" i="55"/>
  <c r="R315" i="55"/>
  <c r="AK224" i="55"/>
  <c r="AW224" i="55"/>
  <c r="Y224" i="55"/>
  <c r="AH355" i="55" s="1"/>
  <c r="AW201" i="55"/>
  <c r="AW292" i="55" s="1"/>
  <c r="AK201" i="55"/>
  <c r="AK292" i="55" s="1"/>
  <c r="AP370" i="55"/>
  <c r="AO370" i="55"/>
  <c r="AQ370" i="55"/>
  <c r="AN370" i="55"/>
  <c r="AU370" i="55"/>
  <c r="AF290" i="55"/>
  <c r="AG282" i="55"/>
  <c r="AH282" i="55"/>
  <c r="I263" i="23"/>
  <c r="AF365" i="55"/>
  <c r="AH365" i="55"/>
  <c r="AG365" i="55"/>
  <c r="AZ353" i="55"/>
  <c r="BG353" i="55"/>
  <c r="AP353" i="55"/>
  <c r="AS353" i="55"/>
  <c r="BB353" i="55"/>
  <c r="AQ353" i="55"/>
  <c r="AO353" i="55"/>
  <c r="AT353" i="55"/>
  <c r="BF353" i="55"/>
  <c r="AN353" i="55"/>
  <c r="AR353" i="55"/>
  <c r="BC353" i="55"/>
  <c r="BD353" i="55"/>
  <c r="BE353" i="55"/>
  <c r="AU353" i="55"/>
  <c r="BA353" i="55"/>
  <c r="AM353" i="55"/>
  <c r="AY353" i="55"/>
  <c r="J194" i="55"/>
  <c r="J196" i="55"/>
  <c r="J195" i="55"/>
  <c r="AN290" i="55"/>
  <c r="AK346" i="55"/>
  <c r="I247" i="23" s="1"/>
  <c r="AP290" i="55"/>
  <c r="AK13" i="55"/>
  <c r="I70" i="23" s="1"/>
  <c r="AO290" i="55"/>
  <c r="AK283" i="55"/>
  <c r="I119" i="23" s="1"/>
  <c r="AQ290" i="55"/>
  <c r="AU290" i="55"/>
  <c r="I184" i="23"/>
  <c r="I248" i="23"/>
  <c r="I120" i="23"/>
  <c r="BD370" i="55"/>
  <c r="J310" i="55"/>
  <c r="AW13" i="55"/>
  <c r="I71" i="23" s="1"/>
  <c r="BB370" i="55"/>
  <c r="BA370" i="55"/>
  <c r="AH345" i="55"/>
  <c r="AZ370" i="55"/>
  <c r="AW315" i="55"/>
  <c r="AD370" i="55"/>
  <c r="BE370" i="55"/>
  <c r="J307" i="55"/>
  <c r="BE290" i="55"/>
  <c r="BG370" i="55"/>
  <c r="Y241" i="55"/>
  <c r="AK315" i="55"/>
  <c r="Y178" i="55"/>
  <c r="AA365" i="55"/>
  <c r="AA234" i="55"/>
  <c r="Y230" i="55"/>
  <c r="Y234" i="55" s="1"/>
  <c r="BC370" i="55"/>
  <c r="AW241" i="55"/>
  <c r="AI365" i="55"/>
  <c r="J191" i="55"/>
  <c r="AE365" i="55"/>
  <c r="AC282" i="55"/>
  <c r="AA282" i="55"/>
  <c r="AB282" i="55"/>
  <c r="AD282" i="55"/>
  <c r="AE282" i="55"/>
  <c r="AI282" i="55"/>
  <c r="Y174" i="55"/>
  <c r="AM290" i="55"/>
  <c r="AK282" i="55"/>
  <c r="AK345" i="55"/>
  <c r="BC290" i="55"/>
  <c r="AB365" i="55"/>
  <c r="I298" i="23"/>
  <c r="AC365" i="55"/>
  <c r="AY370" i="55"/>
  <c r="AW346" i="55"/>
  <c r="BA290" i="55"/>
  <c r="AM370" i="55"/>
  <c r="AI345" i="55"/>
  <c r="AS355" i="55"/>
  <c r="AT294" i="55"/>
  <c r="AR355" i="55"/>
  <c r="AS294" i="55"/>
  <c r="AT295" i="55"/>
  <c r="AR294" i="55"/>
  <c r="AT356" i="55"/>
  <c r="AS295" i="55"/>
  <c r="AK188" i="55"/>
  <c r="AS356" i="55"/>
  <c r="AR356" i="55"/>
  <c r="AT355" i="55"/>
  <c r="AR295" i="55"/>
  <c r="P234" i="55"/>
  <c r="Y284" i="55"/>
  <c r="AW282" i="55"/>
  <c r="AY290" i="55"/>
  <c r="BD290" i="55"/>
  <c r="AW230" i="55"/>
  <c r="AW234" i="55" s="1"/>
  <c r="AY234" i="55"/>
  <c r="Y346" i="55"/>
  <c r="Y347" i="55"/>
  <c r="AK230" i="55"/>
  <c r="AK234" i="55" s="1"/>
  <c r="AM234" i="55"/>
  <c r="AC345" i="55"/>
  <c r="BG290" i="55"/>
  <c r="Y283" i="55"/>
  <c r="AW283" i="55"/>
  <c r="AW345" i="55"/>
  <c r="Y188" i="55"/>
  <c r="AB345" i="55"/>
  <c r="AZ290" i="55"/>
  <c r="I295" i="23"/>
  <c r="I183" i="23"/>
  <c r="Y181" i="55"/>
  <c r="AE345" i="55"/>
  <c r="AF345" i="55"/>
  <c r="AA12" i="55"/>
  <c r="AG345" i="55"/>
  <c r="AA345" i="55"/>
  <c r="Y315" i="55"/>
  <c r="BB290" i="55"/>
  <c r="J192" i="55"/>
  <c r="BF294" i="55"/>
  <c r="AW188" i="55"/>
  <c r="AW200" i="55" s="1"/>
  <c r="AW203" i="55" s="1"/>
  <c r="BF295" i="55"/>
  <c r="BF356" i="55"/>
  <c r="BF355" i="55"/>
  <c r="N133" i="23"/>
  <c r="M296" i="23"/>
  <c r="Q119" i="23"/>
  <c r="M233" i="23"/>
  <c r="O217" i="23"/>
  <c r="R216" i="23"/>
  <c r="M194" i="23"/>
  <c r="R88" i="23"/>
  <c r="M246" i="23"/>
  <c r="M182" i="23"/>
  <c r="M118" i="23"/>
  <c r="Q69" i="23"/>
  <c r="N246" i="23"/>
  <c r="N184" i="23"/>
  <c r="M159" i="23"/>
  <c r="N182" i="23"/>
  <c r="M172" i="23"/>
  <c r="N120" i="23"/>
  <c r="N158" i="23"/>
  <c r="O133" i="23"/>
  <c r="M261" i="23"/>
  <c r="P247" i="23"/>
  <c r="R194" i="23"/>
  <c r="N248" i="23"/>
  <c r="O246" i="23"/>
  <c r="M297" i="23"/>
  <c r="R261" i="23"/>
  <c r="P233" i="23"/>
  <c r="Q247" i="23"/>
  <c r="O261" i="23"/>
  <c r="Q118" i="23"/>
  <c r="N170" i="23"/>
  <c r="M69" i="23"/>
  <c r="O159" i="23"/>
  <c r="N261" i="23"/>
  <c r="M105" i="23"/>
  <c r="O170" i="23"/>
  <c r="N159" i="23"/>
  <c r="R231" i="23"/>
  <c r="M133" i="23"/>
  <c r="N247" i="23"/>
  <c r="Q262" i="23"/>
  <c r="O89" i="23"/>
  <c r="N88" i="23"/>
  <c r="N118" i="23"/>
  <c r="R253" i="23"/>
  <c r="M171" i="23"/>
  <c r="Q159" i="23"/>
  <c r="Q89" i="23"/>
  <c r="M134" i="23"/>
  <c r="Q248" i="23"/>
  <c r="Q217" i="23"/>
  <c r="R103" i="23"/>
  <c r="O262" i="23"/>
  <c r="M70" i="23"/>
  <c r="P118" i="23"/>
  <c r="Q233" i="23"/>
  <c r="N89" i="23"/>
  <c r="N262" i="23"/>
  <c r="O118" i="23"/>
  <c r="P71" i="23"/>
  <c r="P69" i="23"/>
  <c r="M262" i="23"/>
  <c r="M294" i="23"/>
  <c r="P246" i="23"/>
  <c r="M232" i="23"/>
  <c r="Q232" i="23"/>
  <c r="P263" i="23"/>
  <c r="Q195" i="23"/>
  <c r="P294" i="23"/>
  <c r="O183" i="23"/>
  <c r="O182" i="23"/>
  <c r="P119" i="23"/>
  <c r="P297" i="23"/>
  <c r="R158" i="23"/>
  <c r="O232" i="23"/>
  <c r="O247" i="23"/>
  <c r="P232" i="23"/>
  <c r="N217" i="23"/>
  <c r="Q184" i="23"/>
  <c r="N216" i="23"/>
  <c r="O283" i="23"/>
  <c r="N103" i="23"/>
  <c r="N119" i="23"/>
  <c r="M104" i="23"/>
  <c r="Q246" i="23"/>
  <c r="P182" i="23"/>
  <c r="O103" i="23"/>
  <c r="O263" i="23"/>
  <c r="Q120" i="23"/>
  <c r="Q182" i="23"/>
  <c r="M71" i="23"/>
  <c r="N232" i="23"/>
  <c r="N194" i="23"/>
  <c r="R133" i="23"/>
  <c r="P216" i="23"/>
  <c r="M119" i="23"/>
  <c r="P133" i="23"/>
  <c r="P88" i="23"/>
  <c r="M247" i="23"/>
  <c r="N231" i="23"/>
  <c r="P262" i="23"/>
  <c r="Q218" i="23"/>
  <c r="M195" i="23"/>
  <c r="P158" i="23"/>
  <c r="O231" i="23"/>
  <c r="S346" i="55" l="1"/>
  <c r="W346" i="55"/>
  <c r="U346" i="55"/>
  <c r="P346" i="55"/>
  <c r="O283" i="55"/>
  <c r="P283" i="55"/>
  <c r="P72" i="23"/>
  <c r="Q72" i="23"/>
  <c r="M178" i="55"/>
  <c r="J178" i="55" s="1"/>
  <c r="O365" i="55"/>
  <c r="O370" i="55" s="1"/>
  <c r="P365" i="55"/>
  <c r="P370" i="55" s="1"/>
  <c r="M308" i="55"/>
  <c r="J308" i="55" s="1"/>
  <c r="O282" i="55"/>
  <c r="O230" i="55"/>
  <c r="O234" i="55" s="1"/>
  <c r="P282" i="55"/>
  <c r="M301" i="23"/>
  <c r="P301" i="23"/>
  <c r="I297" i="23"/>
  <c r="J258" i="55"/>
  <c r="O315" i="55"/>
  <c r="M315" i="55" s="1"/>
  <c r="J315" i="55" s="1"/>
  <c r="M174" i="55"/>
  <c r="J174" i="55" s="1"/>
  <c r="P12" i="55"/>
  <c r="I296" i="23"/>
  <c r="M258" i="55"/>
  <c r="W370" i="55"/>
  <c r="M151" i="55"/>
  <c r="J151" i="55" s="1"/>
  <c r="O243" i="55"/>
  <c r="M243" i="55" s="1"/>
  <c r="J243" i="55" s="1"/>
  <c r="S370" i="55"/>
  <c r="O13" i="55"/>
  <c r="M13" i="55" s="1"/>
  <c r="M229" i="55"/>
  <c r="M233" i="55" s="1"/>
  <c r="T370" i="55"/>
  <c r="O188" i="55"/>
  <c r="M187" i="55"/>
  <c r="BB292" i="55" s="1"/>
  <c r="U370" i="55"/>
  <c r="O241" i="55"/>
  <c r="M241" i="55" s="1"/>
  <c r="J241" i="55" s="1"/>
  <c r="M120" i="55"/>
  <c r="J120" i="55" s="1"/>
  <c r="U290" i="55"/>
  <c r="Q290" i="55"/>
  <c r="S290" i="55"/>
  <c r="W290" i="55"/>
  <c r="R370" i="55"/>
  <c r="T290" i="55"/>
  <c r="M284" i="55"/>
  <c r="J284" i="55" s="1"/>
  <c r="Q370" i="55"/>
  <c r="M347" i="55"/>
  <c r="J347" i="55" s="1"/>
  <c r="M367" i="55"/>
  <c r="M181" i="55"/>
  <c r="J181" i="55" s="1"/>
  <c r="U345" i="55"/>
  <c r="P345" i="55"/>
  <c r="O12" i="55"/>
  <c r="W345" i="55"/>
  <c r="Q345" i="55"/>
  <c r="Q353" i="55" s="1"/>
  <c r="O345" i="55"/>
  <c r="T345" i="55"/>
  <c r="T353" i="55" s="1"/>
  <c r="R345" i="55"/>
  <c r="R353" i="55" s="1"/>
  <c r="S345" i="55"/>
  <c r="V345" i="55"/>
  <c r="V353" i="55" s="1"/>
  <c r="AW370" i="55"/>
  <c r="AK370" i="55"/>
  <c r="Y365" i="55"/>
  <c r="AF355" i="55"/>
  <c r="AF356" i="55"/>
  <c r="AG356" i="55"/>
  <c r="AH356" i="55"/>
  <c r="AH357" i="55" s="1"/>
  <c r="AH360" i="55" s="1"/>
  <c r="AG355" i="55"/>
  <c r="AD290" i="55"/>
  <c r="AE290" i="55"/>
  <c r="AH290" i="55"/>
  <c r="AC290" i="55"/>
  <c r="AG290" i="55"/>
  <c r="AI290" i="55"/>
  <c r="R290" i="55"/>
  <c r="AG353" i="55"/>
  <c r="AH353" i="55"/>
  <c r="AA353" i="55"/>
  <c r="AF353" i="55"/>
  <c r="AB353" i="55"/>
  <c r="AE353" i="55"/>
  <c r="AC353" i="55"/>
  <c r="AI353" i="55"/>
  <c r="AB290" i="55"/>
  <c r="AH370" i="55"/>
  <c r="AF370" i="55"/>
  <c r="AC370" i="55"/>
  <c r="AI370" i="55"/>
  <c r="AE370" i="55"/>
  <c r="AB370" i="55"/>
  <c r="AG370" i="55"/>
  <c r="AK200" i="55"/>
  <c r="AK203" i="55" s="1"/>
  <c r="AW202" i="55"/>
  <c r="AW214" i="55" s="1"/>
  <c r="Y200" i="55"/>
  <c r="Y203" i="55" s="1"/>
  <c r="AW353" i="55"/>
  <c r="AK353" i="55"/>
  <c r="AR357" i="55"/>
  <c r="AR360" i="55" s="1"/>
  <c r="BF357" i="55"/>
  <c r="BF360" i="55" s="1"/>
  <c r="AS296" i="55"/>
  <c r="AS298" i="55" s="1"/>
  <c r="AT357" i="55"/>
  <c r="AT360" i="55" s="1"/>
  <c r="I232" i="23"/>
  <c r="AA370" i="55"/>
  <c r="I104" i="23"/>
  <c r="AS357" i="55"/>
  <c r="AS360" i="55" s="1"/>
  <c r="I246" i="23"/>
  <c r="Y345" i="55"/>
  <c r="Y353" i="55" s="1"/>
  <c r="I172" i="23"/>
  <c r="I134" i="23"/>
  <c r="AT296" i="55"/>
  <c r="AT298" i="55" s="1"/>
  <c r="I194" i="23"/>
  <c r="I261" i="23"/>
  <c r="I195" i="23"/>
  <c r="I182" i="23"/>
  <c r="I171" i="23"/>
  <c r="I233" i="23"/>
  <c r="I118" i="23"/>
  <c r="AK290" i="55"/>
  <c r="I69" i="23"/>
  <c r="I159" i="23"/>
  <c r="I133" i="23"/>
  <c r="AW290" i="55"/>
  <c r="AA290" i="55"/>
  <c r="Y282" i="55"/>
  <c r="I105" i="23"/>
  <c r="I262" i="23"/>
  <c r="BF296" i="55"/>
  <c r="BF298" i="55" s="1"/>
  <c r="AR296" i="55"/>
  <c r="AR298" i="55" s="1"/>
  <c r="P103" i="23"/>
  <c r="O224" i="23"/>
  <c r="N254" i="23"/>
  <c r="N239" i="23"/>
  <c r="M160" i="23"/>
  <c r="O158" i="23"/>
  <c r="Q88" i="23"/>
  <c r="O269" i="23"/>
  <c r="P224" i="23"/>
  <c r="M103" i="23"/>
  <c r="N269" i="23"/>
  <c r="M90" i="23"/>
  <c r="P223" i="23"/>
  <c r="R289" i="23"/>
  <c r="Q158" i="23"/>
  <c r="O238" i="23"/>
  <c r="N224" i="23"/>
  <c r="P254" i="23"/>
  <c r="N223" i="23"/>
  <c r="R290" i="23"/>
  <c r="Q269" i="23"/>
  <c r="O216" i="23"/>
  <c r="O110" i="23"/>
  <c r="P231" i="23"/>
  <c r="P194" i="23"/>
  <c r="R126" i="23"/>
  <c r="O268" i="23"/>
  <c r="R239" i="23"/>
  <c r="R224" i="23"/>
  <c r="Q141" i="23"/>
  <c r="P170" i="23"/>
  <c r="R223" i="23"/>
  <c r="Q291" i="23"/>
  <c r="M68" i="23"/>
  <c r="R269" i="23"/>
  <c r="Q103" i="23"/>
  <c r="M170" i="23"/>
  <c r="R254" i="23"/>
  <c r="Q223" i="23"/>
  <c r="Q140" i="23"/>
  <c r="Q254" i="23"/>
  <c r="R238" i="23"/>
  <c r="O239" i="23"/>
  <c r="P261" i="23"/>
  <c r="N238" i="23"/>
  <c r="O254" i="23"/>
  <c r="Q224" i="23"/>
  <c r="Q268" i="23"/>
  <c r="Q170" i="23"/>
  <c r="P268" i="23"/>
  <c r="M218" i="23"/>
  <c r="M231" i="23"/>
  <c r="Q231" i="23"/>
  <c r="O111" i="23"/>
  <c r="O88" i="23"/>
  <c r="O141" i="23"/>
  <c r="Q216" i="23"/>
  <c r="P353" i="55" l="1"/>
  <c r="S353" i="55"/>
  <c r="W353" i="55"/>
  <c r="M346" i="55"/>
  <c r="J346" i="55" s="1"/>
  <c r="U353" i="55"/>
  <c r="O290" i="55"/>
  <c r="P290" i="55"/>
  <c r="M283" i="55"/>
  <c r="M365" i="55"/>
  <c r="I158" i="23" s="1"/>
  <c r="Q270" i="23"/>
  <c r="O270" i="23"/>
  <c r="O240" i="23"/>
  <c r="M282" i="55"/>
  <c r="I88" i="23" s="1"/>
  <c r="M72" i="23"/>
  <c r="N74" i="23" s="1"/>
  <c r="N75" i="23" s="1"/>
  <c r="W356" i="55"/>
  <c r="I68" i="23"/>
  <c r="AC292" i="55"/>
  <c r="AA292" i="55"/>
  <c r="AF292" i="55"/>
  <c r="AI292" i="55"/>
  <c r="W355" i="55"/>
  <c r="AB292" i="55"/>
  <c r="AO292" i="55"/>
  <c r="U356" i="55"/>
  <c r="AE292" i="55"/>
  <c r="AD292" i="55"/>
  <c r="J13" i="55"/>
  <c r="V356" i="55"/>
  <c r="V355" i="55"/>
  <c r="AG292" i="55"/>
  <c r="AH292" i="55"/>
  <c r="AZ292" i="55"/>
  <c r="AU292" i="55"/>
  <c r="AY292" i="55"/>
  <c r="AT292" i="55"/>
  <c r="AT299" i="55" s="1"/>
  <c r="M224" i="55"/>
  <c r="U355" i="55" s="1"/>
  <c r="J187" i="55"/>
  <c r="J188" i="55" s="1"/>
  <c r="BD292" i="55"/>
  <c r="AS292" i="55"/>
  <c r="AS299" i="55" s="1"/>
  <c r="BF292" i="55"/>
  <c r="BF299" i="55" s="1"/>
  <c r="AR292" i="55"/>
  <c r="AR299" i="55" s="1"/>
  <c r="BE292" i="55"/>
  <c r="M188" i="55"/>
  <c r="BC292" i="55"/>
  <c r="AQ292" i="55"/>
  <c r="BG292" i="55"/>
  <c r="AP292" i="55"/>
  <c r="AM292" i="55"/>
  <c r="BA292" i="55"/>
  <c r="AN292" i="55"/>
  <c r="M370" i="55"/>
  <c r="I90" i="23"/>
  <c r="I160" i="23"/>
  <c r="O353" i="55"/>
  <c r="M345" i="55"/>
  <c r="J345" i="55" s="1"/>
  <c r="I218" i="23"/>
  <c r="Q225" i="23"/>
  <c r="Q142" i="23"/>
  <c r="O112" i="23"/>
  <c r="R240" i="23"/>
  <c r="R255" i="23"/>
  <c r="R225" i="23"/>
  <c r="P225" i="23"/>
  <c r="N225" i="23"/>
  <c r="N240" i="23"/>
  <c r="Y370" i="55"/>
  <c r="AF357" i="55"/>
  <c r="AF360" i="55" s="1"/>
  <c r="AG357" i="55"/>
  <c r="AG360" i="55" s="1"/>
  <c r="BF359" i="55"/>
  <c r="AT359" i="55"/>
  <c r="AR359" i="55"/>
  <c r="AS359" i="55"/>
  <c r="AH359" i="55"/>
  <c r="AK202" i="55"/>
  <c r="AK214" i="55" s="1"/>
  <c r="Y202" i="55"/>
  <c r="Y214" i="55" s="1"/>
  <c r="I170" i="23"/>
  <c r="I103" i="23"/>
  <c r="Y290" i="55"/>
  <c r="I231" i="23"/>
  <c r="P239" i="23"/>
  <c r="P111" i="23"/>
  <c r="N126" i="23"/>
  <c r="O289" i="23"/>
  <c r="P291" i="23"/>
  <c r="Q290" i="23"/>
  <c r="R110" i="23"/>
  <c r="O81" i="23"/>
  <c r="M216" i="23"/>
  <c r="P283" i="23"/>
  <c r="P253" i="23"/>
  <c r="O282" i="23"/>
  <c r="R111" i="23"/>
  <c r="R125" i="23"/>
  <c r="P110" i="23"/>
  <c r="P238" i="23"/>
  <c r="R284" i="23"/>
  <c r="M158" i="23"/>
  <c r="O140" i="23"/>
  <c r="O288" i="23"/>
  <c r="R208" i="23"/>
  <c r="M89" i="23"/>
  <c r="R141" i="23"/>
  <c r="Q279" i="23"/>
  <c r="N253" i="23"/>
  <c r="R268" i="23"/>
  <c r="O223" i="23"/>
  <c r="O79" i="23"/>
  <c r="Q253" i="23"/>
  <c r="M88" i="23"/>
  <c r="N268" i="23"/>
  <c r="O253" i="23"/>
  <c r="Q238" i="23"/>
  <c r="O285" i="23"/>
  <c r="R283" i="23"/>
  <c r="Q126" i="23"/>
  <c r="R291" i="23"/>
  <c r="O95" i="23"/>
  <c r="Q239" i="23"/>
  <c r="O96" i="23"/>
  <c r="M217" i="23"/>
  <c r="P269" i="23"/>
  <c r="Q81" i="23"/>
  <c r="I217" i="23" l="1"/>
  <c r="I89" i="23"/>
  <c r="J283" i="55"/>
  <c r="O74" i="23"/>
  <c r="O75" i="23" s="1"/>
  <c r="M290" i="55"/>
  <c r="J290" i="55" s="1"/>
  <c r="P74" i="23"/>
  <c r="P75" i="23" s="1"/>
  <c r="Q74" i="23"/>
  <c r="Q75" i="23" s="1"/>
  <c r="R74" i="23"/>
  <c r="R75" i="23" s="1"/>
  <c r="M74" i="23"/>
  <c r="M75" i="23" s="1"/>
  <c r="J282" i="55"/>
  <c r="P270" i="23"/>
  <c r="P240" i="23"/>
  <c r="W357" i="55"/>
  <c r="W359" i="55" s="1"/>
  <c r="O225" i="23"/>
  <c r="V357" i="55"/>
  <c r="V359" i="55" s="1"/>
  <c r="U357" i="55"/>
  <c r="U359" i="55" s="1"/>
  <c r="M353" i="55"/>
  <c r="J353" i="55" s="1"/>
  <c r="I216" i="23"/>
  <c r="P255" i="23"/>
  <c r="N255" i="23"/>
  <c r="N270" i="23"/>
  <c r="R270" i="23"/>
  <c r="Q255" i="23"/>
  <c r="R112" i="23"/>
  <c r="O142" i="23"/>
  <c r="R127" i="23"/>
  <c r="Q240" i="23"/>
  <c r="P112" i="23"/>
  <c r="O255" i="23"/>
  <c r="O97" i="23"/>
  <c r="AG359" i="55"/>
  <c r="AF359" i="55"/>
  <c r="AC356" i="55"/>
  <c r="BC355" i="55"/>
  <c r="BD294" i="55"/>
  <c r="Q288" i="23"/>
  <c r="P289" i="23"/>
  <c r="P288" i="23"/>
  <c r="R95" i="23"/>
  <c r="O126" i="23"/>
  <c r="Q125" i="23"/>
  <c r="P282" i="23"/>
  <c r="O209" i="23"/>
  <c r="P79" i="23"/>
  <c r="O207" i="23"/>
  <c r="P209" i="23"/>
  <c r="N96" i="23"/>
  <c r="N208" i="23"/>
  <c r="P95" i="23"/>
  <c r="N284" i="23"/>
  <c r="N207" i="23"/>
  <c r="R79" i="23"/>
  <c r="N125" i="23"/>
  <c r="P96" i="23"/>
  <c r="Q206" i="23"/>
  <c r="R96" i="23"/>
  <c r="R288" i="23"/>
  <c r="O291" i="23"/>
  <c r="N290" i="23"/>
  <c r="R285" i="23"/>
  <c r="Q96" i="23"/>
  <c r="P141" i="23"/>
  <c r="N283" i="23"/>
  <c r="R209" i="23"/>
  <c r="O277" i="23"/>
  <c r="O206" i="23"/>
  <c r="Q284" i="23"/>
  <c r="P206" i="23"/>
  <c r="P277" i="23"/>
  <c r="R207" i="23"/>
  <c r="N111" i="23"/>
  <c r="N95" i="23"/>
  <c r="O208" i="23"/>
  <c r="R206" i="23"/>
  <c r="Q209" i="23"/>
  <c r="N110" i="23"/>
  <c r="N206" i="23"/>
  <c r="N141" i="23"/>
  <c r="O279" i="23"/>
  <c r="P140" i="23"/>
  <c r="Q282" i="23"/>
  <c r="P285" i="23"/>
  <c r="N288" i="23"/>
  <c r="P208" i="23"/>
  <c r="R80" i="23"/>
  <c r="P126" i="23"/>
  <c r="R282" i="23"/>
  <c r="Q95" i="23"/>
  <c r="N209" i="23"/>
  <c r="Q208" i="23"/>
  <c r="N289" i="23"/>
  <c r="R140" i="23"/>
  <c r="N282" i="23"/>
  <c r="W360" i="55" l="1"/>
  <c r="V360" i="55"/>
  <c r="U360" i="55"/>
  <c r="Q97" i="23"/>
  <c r="P142" i="23"/>
  <c r="R142" i="23"/>
  <c r="R97" i="23"/>
  <c r="R210" i="23"/>
  <c r="Q127" i="23"/>
  <c r="O210" i="23"/>
  <c r="P97" i="23"/>
  <c r="N210" i="23"/>
  <c r="N127" i="23"/>
  <c r="N97" i="23"/>
  <c r="N112" i="23"/>
  <c r="AC214" i="55"/>
  <c r="AC245" i="55" s="1"/>
  <c r="AC246" i="55" s="1"/>
  <c r="AC264" i="55" s="1"/>
  <c r="AH295" i="55"/>
  <c r="AG295" i="55"/>
  <c r="AF295" i="55"/>
  <c r="AH294" i="55"/>
  <c r="AG294" i="55"/>
  <c r="AF294" i="55"/>
  <c r="AI295" i="55"/>
  <c r="AB295" i="55"/>
  <c r="AC295" i="55"/>
  <c r="AA214" i="55"/>
  <c r="AA11" i="55" s="1"/>
  <c r="AI294" i="55"/>
  <c r="AA295" i="55"/>
  <c r="AB214" i="55"/>
  <c r="AB11" i="55" s="1"/>
  <c r="AC294" i="55"/>
  <c r="AD294" i="55"/>
  <c r="AB294" i="55"/>
  <c r="AI214" i="55"/>
  <c r="AI245" i="55" s="1"/>
  <c r="AI246" i="55" s="1"/>
  <c r="AD295" i="55"/>
  <c r="AE294" i="55"/>
  <c r="AA294" i="55"/>
  <c r="AE295" i="55"/>
  <c r="AB224" i="55"/>
  <c r="AI224" i="55"/>
  <c r="AI12" i="55" s="1"/>
  <c r="Y12" i="55" s="1"/>
  <c r="AA356" i="55"/>
  <c r="AC355" i="55"/>
  <c r="AC357" i="55" s="1"/>
  <c r="AE356" i="55"/>
  <c r="AI355" i="55"/>
  <c r="AB355" i="55"/>
  <c r="AB356" i="55"/>
  <c r="AA224" i="55"/>
  <c r="AD356" i="55"/>
  <c r="AD355" i="55"/>
  <c r="AE355" i="55"/>
  <c r="AA355" i="55"/>
  <c r="AC224" i="55"/>
  <c r="AI356" i="55"/>
  <c r="BA355" i="55"/>
  <c r="BD355" i="55"/>
  <c r="AY356" i="55"/>
  <c r="BG224" i="55"/>
  <c r="BG12" i="55" s="1"/>
  <c r="AW12" i="55" s="1"/>
  <c r="AZ224" i="55"/>
  <c r="AY355" i="55"/>
  <c r="BE295" i="55"/>
  <c r="BC356" i="55"/>
  <c r="BC357" i="55" s="1"/>
  <c r="BB356" i="55"/>
  <c r="BE356" i="55"/>
  <c r="BE355" i="55"/>
  <c r="BG355" i="55"/>
  <c r="AZ355" i="55"/>
  <c r="BB355" i="55"/>
  <c r="BA224" i="55"/>
  <c r="AY224" i="55"/>
  <c r="BG356" i="55"/>
  <c r="BD356" i="55"/>
  <c r="BA356" i="55"/>
  <c r="AZ356" i="55"/>
  <c r="AZ294" i="55"/>
  <c r="BB295" i="55"/>
  <c r="AY294" i="55"/>
  <c r="AZ214" i="55"/>
  <c r="AZ11" i="55" s="1"/>
  <c r="BD295" i="55"/>
  <c r="BD296" i="55" s="1"/>
  <c r="AY214" i="55"/>
  <c r="AY11" i="55" s="1"/>
  <c r="AY295" i="55"/>
  <c r="BA294" i="55"/>
  <c r="AZ295" i="55"/>
  <c r="BG294" i="55"/>
  <c r="BG214" i="55"/>
  <c r="BG245" i="55" s="1"/>
  <c r="BG246" i="55" s="1"/>
  <c r="BA295" i="55"/>
  <c r="BC294" i="55"/>
  <c r="BC295" i="55"/>
  <c r="BA214" i="55"/>
  <c r="BA11" i="55" s="1"/>
  <c r="BB294" i="55"/>
  <c r="BE294" i="55"/>
  <c r="BG295" i="55"/>
  <c r="AO224" i="55"/>
  <c r="AM355" i="55"/>
  <c r="AO355" i="55"/>
  <c r="AN224" i="55"/>
  <c r="AP356" i="55"/>
  <c r="AU355" i="55"/>
  <c r="AM356" i="55"/>
  <c r="AN355" i="55"/>
  <c r="AN356" i="55"/>
  <c r="AP355" i="55"/>
  <c r="AO356" i="55"/>
  <c r="AQ356" i="55"/>
  <c r="AU356" i="55"/>
  <c r="AQ355" i="55"/>
  <c r="AU224" i="55"/>
  <c r="AU12" i="55" s="1"/>
  <c r="AK12" i="55" s="1"/>
  <c r="AM224" i="55"/>
  <c r="AM294" i="55"/>
  <c r="AO295" i="55"/>
  <c r="AP295" i="55"/>
  <c r="AU295" i="55"/>
  <c r="AU294" i="55"/>
  <c r="AN295" i="55"/>
  <c r="AN294" i="55"/>
  <c r="AQ294" i="55"/>
  <c r="AQ295" i="55"/>
  <c r="AO294" i="55"/>
  <c r="AP294" i="55"/>
  <c r="AM295" i="55"/>
  <c r="AM214" i="55"/>
  <c r="AO214" i="55"/>
  <c r="AU214" i="55"/>
  <c r="AN214" i="55"/>
  <c r="N291" i="23"/>
  <c r="Q80" i="23"/>
  <c r="P284" i="23"/>
  <c r="N140" i="23"/>
  <c r="Q110" i="23"/>
  <c r="O125" i="23"/>
  <c r="O78" i="23"/>
  <c r="O284" i="23"/>
  <c r="P125" i="23"/>
  <c r="Q289" i="23"/>
  <c r="Q207" i="23"/>
  <c r="O276" i="23"/>
  <c r="N285" i="23"/>
  <c r="P207" i="23"/>
  <c r="O290" i="23"/>
  <c r="P81" i="23"/>
  <c r="N80" i="23"/>
  <c r="N79" i="23"/>
  <c r="Q111" i="23"/>
  <c r="R277" i="23"/>
  <c r="Q283" i="23"/>
  <c r="R279" i="23"/>
  <c r="R81" i="23"/>
  <c r="R278" i="23"/>
  <c r="P290" i="23"/>
  <c r="P210" i="23" l="1"/>
  <c r="P127" i="23"/>
  <c r="N142" i="23"/>
  <c r="Q210" i="23"/>
  <c r="Q112" i="23"/>
  <c r="O127" i="23"/>
  <c r="BD298" i="55"/>
  <c r="BD299" i="55"/>
  <c r="BC360" i="55"/>
  <c r="BC359" i="55"/>
  <c r="AC360" i="55"/>
  <c r="AC359" i="55"/>
  <c r="AC11" i="55"/>
  <c r="AG296" i="55"/>
  <c r="AG304" i="55" s="1"/>
  <c r="AG317" i="55" s="1"/>
  <c r="AG331" i="55" s="1"/>
  <c r="AF296" i="55"/>
  <c r="AF304" i="55" s="1"/>
  <c r="AF317" i="55" s="1"/>
  <c r="AF331" i="55" s="1"/>
  <c r="AH296" i="55"/>
  <c r="AH304" i="55" s="1"/>
  <c r="AE357" i="55"/>
  <c r="AA245" i="55"/>
  <c r="AA246" i="55" s="1"/>
  <c r="AB245" i="55"/>
  <c r="AB246" i="55" s="1"/>
  <c r="AB264" i="55" s="1"/>
  <c r="I283" i="23" s="1"/>
  <c r="AI296" i="55"/>
  <c r="AI304" i="55" s="1"/>
  <c r="AA296" i="55"/>
  <c r="AA304" i="55" s="1"/>
  <c r="Y295" i="55"/>
  <c r="I110" i="23" s="1"/>
  <c r="AC296" i="55"/>
  <c r="AC304" i="55" s="1"/>
  <c r="AE296" i="55"/>
  <c r="AE304" i="55" s="1"/>
  <c r="AI11" i="55"/>
  <c r="Y294" i="55"/>
  <c r="I111" i="23" s="1"/>
  <c r="AD296" i="55"/>
  <c r="AD304" i="55" s="1"/>
  <c r="AB296" i="55"/>
  <c r="AB299" i="55" s="1"/>
  <c r="AA357" i="55"/>
  <c r="AD357" i="55"/>
  <c r="AB357" i="55"/>
  <c r="Y355" i="55"/>
  <c r="Y356" i="55"/>
  <c r="AI357" i="55"/>
  <c r="BA357" i="55"/>
  <c r="BD357" i="55"/>
  <c r="AY357" i="55"/>
  <c r="BE357" i="55"/>
  <c r="BB357" i="55"/>
  <c r="AW355" i="55"/>
  <c r="BE296" i="55"/>
  <c r="AZ357" i="55"/>
  <c r="BG357" i="55"/>
  <c r="AW356" i="55"/>
  <c r="BA245" i="55"/>
  <c r="BA246" i="55" s="1"/>
  <c r="BA264" i="55" s="1"/>
  <c r="I291" i="23" s="1"/>
  <c r="AY296" i="55"/>
  <c r="AY304" i="55" s="1"/>
  <c r="AZ245" i="55"/>
  <c r="AZ246" i="55" s="1"/>
  <c r="AZ264" i="55" s="1"/>
  <c r="I285" i="23" s="1"/>
  <c r="BG11" i="55"/>
  <c r="AW11" i="55" s="1"/>
  <c r="AW140" i="55" s="1"/>
  <c r="AZ296" i="55"/>
  <c r="AY245" i="55"/>
  <c r="BB296" i="55"/>
  <c r="BB299" i="55" s="1"/>
  <c r="BG296" i="55"/>
  <c r="BC296" i="55"/>
  <c r="BA296" i="55"/>
  <c r="AW295" i="55"/>
  <c r="I140" i="23" s="1"/>
  <c r="AW294" i="55"/>
  <c r="I141" i="23" s="1"/>
  <c r="I289" i="23"/>
  <c r="AQ296" i="55"/>
  <c r="AQ357" i="55"/>
  <c r="AU357" i="55"/>
  <c r="AO245" i="55"/>
  <c r="AO246" i="55" s="1"/>
  <c r="AO264" i="55" s="1"/>
  <c r="AO11" i="55"/>
  <c r="AN296" i="55"/>
  <c r="AN304" i="55" s="1"/>
  <c r="AU11" i="55"/>
  <c r="AU245" i="55"/>
  <c r="AU246" i="55" s="1"/>
  <c r="AM357" i="55"/>
  <c r="AK356" i="55"/>
  <c r="BD333" i="55"/>
  <c r="BD317" i="55"/>
  <c r="BD331" i="55" s="1"/>
  <c r="AM11" i="55"/>
  <c r="AM245" i="55"/>
  <c r="AM296" i="55"/>
  <c r="AM304" i="55" s="1"/>
  <c r="AK295" i="55"/>
  <c r="AU296" i="55"/>
  <c r="AP296" i="55"/>
  <c r="AO357" i="55"/>
  <c r="AO296" i="55"/>
  <c r="AO299" i="55" s="1"/>
  <c r="AP357" i="55"/>
  <c r="AK355" i="55"/>
  <c r="AK294" i="55"/>
  <c r="AN11" i="55"/>
  <c r="AN245" i="55"/>
  <c r="AN246" i="55" s="1"/>
  <c r="AN264" i="55" s="1"/>
  <c r="AN357" i="55"/>
  <c r="M290" i="23"/>
  <c r="M141" i="23"/>
  <c r="N278" i="23"/>
  <c r="M125" i="23"/>
  <c r="M291" i="23"/>
  <c r="M238" i="23"/>
  <c r="P279" i="23"/>
  <c r="M253" i="23"/>
  <c r="Q278" i="23"/>
  <c r="N78" i="23"/>
  <c r="P78" i="23"/>
  <c r="Q276" i="23"/>
  <c r="N277" i="23"/>
  <c r="P276" i="23"/>
  <c r="R276" i="23"/>
  <c r="M126" i="23"/>
  <c r="M285" i="23"/>
  <c r="R78" i="23"/>
  <c r="M268" i="23"/>
  <c r="M111" i="23"/>
  <c r="M284" i="23"/>
  <c r="M140" i="23"/>
  <c r="N276" i="23"/>
  <c r="M254" i="23"/>
  <c r="M110" i="23"/>
  <c r="Q78" i="23"/>
  <c r="M289" i="23"/>
  <c r="M269" i="23"/>
  <c r="M283" i="23"/>
  <c r="M239" i="23"/>
  <c r="R82" i="23" l="1"/>
  <c r="AG298" i="55"/>
  <c r="AG330" i="55" s="1"/>
  <c r="AG333" i="55" s="1"/>
  <c r="AG299" i="55"/>
  <c r="AE298" i="55"/>
  <c r="AE299" i="55"/>
  <c r="BA298" i="55"/>
  <c r="BA333" i="55" s="1"/>
  <c r="BA299" i="55"/>
  <c r="AY298" i="55"/>
  <c r="AY330" i="55" s="1"/>
  <c r="AY333" i="55" s="1"/>
  <c r="AY299" i="55"/>
  <c r="AC298" i="55"/>
  <c r="AC299" i="55"/>
  <c r="AN298" i="55"/>
  <c r="AN299" i="55"/>
  <c r="AP298" i="55"/>
  <c r="AP299" i="55"/>
  <c r="BG298" i="55"/>
  <c r="BG317" i="55" s="1"/>
  <c r="BG331" i="55" s="1"/>
  <c r="BG299" i="55"/>
  <c r="AA298" i="55"/>
  <c r="AA330" i="55" s="1"/>
  <c r="AA333" i="55" s="1"/>
  <c r="AA299" i="55"/>
  <c r="AH298" i="55"/>
  <c r="AH330" i="55" s="1"/>
  <c r="AH333" i="55" s="1"/>
  <c r="AH299" i="55"/>
  <c r="BC298" i="55"/>
  <c r="BC317" i="55" s="1"/>
  <c r="BC331" i="55" s="1"/>
  <c r="BC299" i="55"/>
  <c r="AU298" i="55"/>
  <c r="AU299" i="55"/>
  <c r="AQ298" i="55"/>
  <c r="AQ317" i="55" s="1"/>
  <c r="AQ331" i="55" s="1"/>
  <c r="AQ299" i="55"/>
  <c r="AI298" i="55"/>
  <c r="AI299" i="55"/>
  <c r="AD298" i="55"/>
  <c r="AD299" i="55"/>
  <c r="AM298" i="55"/>
  <c r="AM330" i="55" s="1"/>
  <c r="AM333" i="55" s="1"/>
  <c r="AM299" i="55"/>
  <c r="AZ298" i="55"/>
  <c r="AZ317" i="55" s="1"/>
  <c r="AZ331" i="55" s="1"/>
  <c r="AZ299" i="55"/>
  <c r="BE298" i="55"/>
  <c r="BE333" i="55" s="1"/>
  <c r="BE299" i="55"/>
  <c r="AF298" i="55"/>
  <c r="AF330" i="55" s="1"/>
  <c r="AF333" i="55" s="1"/>
  <c r="AF299" i="55"/>
  <c r="AZ360" i="55"/>
  <c r="AZ359" i="55"/>
  <c r="BD360" i="55"/>
  <c r="BD359" i="55"/>
  <c r="BG360" i="55"/>
  <c r="BG359" i="55"/>
  <c r="AY360" i="55"/>
  <c r="AY359" i="55"/>
  <c r="BA360" i="55"/>
  <c r="BA359" i="55"/>
  <c r="BB360" i="55"/>
  <c r="BB359" i="55"/>
  <c r="BE360" i="55"/>
  <c r="BE359" i="55"/>
  <c r="AM360" i="55"/>
  <c r="AM359" i="55"/>
  <c r="AQ360" i="55"/>
  <c r="AQ359" i="55"/>
  <c r="AP360" i="55"/>
  <c r="AP359" i="55"/>
  <c r="AN360" i="55"/>
  <c r="AN359" i="55"/>
  <c r="AO360" i="55"/>
  <c r="AO359" i="55"/>
  <c r="AU360" i="55"/>
  <c r="AU359" i="55"/>
  <c r="AB360" i="55"/>
  <c r="AB359" i="55"/>
  <c r="AD360" i="55"/>
  <c r="AD359" i="55"/>
  <c r="AA360" i="55"/>
  <c r="AA359" i="55"/>
  <c r="AI360" i="55"/>
  <c r="AI359" i="55"/>
  <c r="AE360" i="55"/>
  <c r="AE359" i="55"/>
  <c r="BB298" i="55"/>
  <c r="BB330" i="55" s="1"/>
  <c r="BB333" i="55" s="1"/>
  <c r="BB304" i="55"/>
  <c r="BB317" i="55" s="1"/>
  <c r="BB331" i="55" s="1"/>
  <c r="AO298" i="55"/>
  <c r="AO330" i="55" s="1"/>
  <c r="AO333" i="55" s="1"/>
  <c r="AO304" i="55"/>
  <c r="AO317" i="55" s="1"/>
  <c r="AO331" i="55" s="1"/>
  <c r="AB298" i="55"/>
  <c r="AB330" i="55" s="1"/>
  <c r="AB333" i="55" s="1"/>
  <c r="AB304" i="55"/>
  <c r="AB317" i="55" s="1"/>
  <c r="AB331" i="55" s="1"/>
  <c r="Y11" i="55"/>
  <c r="Y140" i="55" s="1"/>
  <c r="AH317" i="55"/>
  <c r="AH331" i="55" s="1"/>
  <c r="Y245" i="55"/>
  <c r="AE317" i="55"/>
  <c r="AE331" i="55" s="1"/>
  <c r="Y296" i="55"/>
  <c r="Y298" i="55" s="1"/>
  <c r="I79" i="23" s="1"/>
  <c r="AC317" i="55"/>
  <c r="AC331" i="55" s="1"/>
  <c r="M112" i="23"/>
  <c r="Y357" i="55"/>
  <c r="I238" i="23"/>
  <c r="M240" i="23"/>
  <c r="I239" i="23"/>
  <c r="AW357" i="55"/>
  <c r="BE317" i="55"/>
  <c r="BE331" i="55" s="1"/>
  <c r="I268" i="23"/>
  <c r="M270" i="23"/>
  <c r="I269" i="23"/>
  <c r="AW245" i="55"/>
  <c r="AY246" i="55"/>
  <c r="AW246" i="55" s="1"/>
  <c r="BG333" i="55"/>
  <c r="BC333" i="55"/>
  <c r="AZ333" i="55"/>
  <c r="BA317" i="55"/>
  <c r="BA331" i="55" s="1"/>
  <c r="AW296" i="55"/>
  <c r="AW298" i="55" s="1"/>
  <c r="I81" i="23" s="1"/>
  <c r="M142" i="23"/>
  <c r="AA264" i="55"/>
  <c r="Y246" i="55"/>
  <c r="AA317" i="55"/>
  <c r="AA331" i="55" s="1"/>
  <c r="AQ333" i="55"/>
  <c r="M255" i="23"/>
  <c r="R257" i="23" s="1"/>
  <c r="M127" i="23"/>
  <c r="R129" i="23" s="1"/>
  <c r="AK11" i="55"/>
  <c r="AK140" i="55" s="1"/>
  <c r="I253" i="23"/>
  <c r="AK357" i="55"/>
  <c r="AM246" i="55"/>
  <c r="AK245" i="55"/>
  <c r="AP333" i="55"/>
  <c r="AP317" i="55"/>
  <c r="AP331" i="55" s="1"/>
  <c r="I126" i="23"/>
  <c r="AN317" i="55"/>
  <c r="AN331" i="55" s="1"/>
  <c r="I284" i="23"/>
  <c r="I290" i="23"/>
  <c r="AU317" i="55"/>
  <c r="AU331" i="55" s="1"/>
  <c r="AU333" i="55"/>
  <c r="I254" i="23"/>
  <c r="AY317" i="55"/>
  <c r="AY331" i="55" s="1"/>
  <c r="I125" i="23"/>
  <c r="AK296" i="55"/>
  <c r="AK298" i="55" s="1"/>
  <c r="M81" i="23"/>
  <c r="N81" i="23"/>
  <c r="M80" i="23"/>
  <c r="N279" i="23"/>
  <c r="Q79" i="23"/>
  <c r="P80" i="23"/>
  <c r="O80" i="23"/>
  <c r="Q277" i="23"/>
  <c r="P278" i="23"/>
  <c r="M277" i="23"/>
  <c r="O278" i="23"/>
  <c r="M79" i="23"/>
  <c r="AN330" i="55" l="1"/>
  <c r="AN333" i="55" s="1"/>
  <c r="P82" i="23"/>
  <c r="N82" i="23"/>
  <c r="Q272" i="23"/>
  <c r="Q273" i="23" s="1"/>
  <c r="R272" i="23"/>
  <c r="R273" i="23" s="1"/>
  <c r="Q114" i="23"/>
  <c r="Q115" i="23" s="1"/>
  <c r="R114" i="23"/>
  <c r="R115" i="23" s="1"/>
  <c r="Q144" i="23"/>
  <c r="Q145" i="23" s="1"/>
  <c r="R144" i="23"/>
  <c r="R145" i="23" s="1"/>
  <c r="Q242" i="23"/>
  <c r="Q243" i="23" s="1"/>
  <c r="R242" i="23"/>
  <c r="R243" i="23" s="1"/>
  <c r="Q82" i="23"/>
  <c r="P129" i="23"/>
  <c r="P130" i="23" s="1"/>
  <c r="Q129" i="23"/>
  <c r="Q130" i="23" s="1"/>
  <c r="P257" i="23"/>
  <c r="P258" i="23" s="1"/>
  <c r="Q257" i="23"/>
  <c r="Q258" i="23" s="1"/>
  <c r="O144" i="23"/>
  <c r="O145" i="23" s="1"/>
  <c r="P144" i="23"/>
  <c r="P145" i="23" s="1"/>
  <c r="O242" i="23"/>
  <c r="O243" i="23" s="1"/>
  <c r="P242" i="23"/>
  <c r="P243" i="23" s="1"/>
  <c r="O272" i="23"/>
  <c r="O273" i="23" s="1"/>
  <c r="P272" i="23"/>
  <c r="P273" i="23" s="1"/>
  <c r="O114" i="23"/>
  <c r="O115" i="23" s="1"/>
  <c r="P114" i="23"/>
  <c r="P115" i="23" s="1"/>
  <c r="O82" i="23"/>
  <c r="N257" i="23"/>
  <c r="N258" i="23" s="1"/>
  <c r="O257" i="23"/>
  <c r="O258" i="23" s="1"/>
  <c r="N129" i="23"/>
  <c r="N130" i="23" s="1"/>
  <c r="O129" i="23"/>
  <c r="O130" i="23" s="1"/>
  <c r="M144" i="23"/>
  <c r="M145" i="23" s="1"/>
  <c r="N144" i="23"/>
  <c r="N145" i="23" s="1"/>
  <c r="M272" i="23"/>
  <c r="M273" i="23" s="1"/>
  <c r="N272" i="23"/>
  <c r="N273" i="23" s="1"/>
  <c r="N114" i="23"/>
  <c r="N115" i="23" s="1"/>
  <c r="N242" i="23"/>
  <c r="N243" i="23" s="1"/>
  <c r="AE330" i="55"/>
  <c r="AE333" i="55" s="1"/>
  <c r="AC330" i="55"/>
  <c r="AC333" i="55" s="1"/>
  <c r="AD317" i="55"/>
  <c r="AD331" i="55" s="1"/>
  <c r="AD330" i="55"/>
  <c r="AD333" i="55" s="1"/>
  <c r="AI317" i="55"/>
  <c r="AI331" i="55" s="1"/>
  <c r="AI330" i="55"/>
  <c r="AI333" i="55" s="1"/>
  <c r="AK299" i="55"/>
  <c r="AW299" i="55"/>
  <c r="Y299" i="55"/>
  <c r="AW359" i="55"/>
  <c r="I209" i="23" s="1"/>
  <c r="AW360" i="55"/>
  <c r="AK359" i="55"/>
  <c r="Y360" i="55"/>
  <c r="AK360" i="55"/>
  <c r="Y359" i="55"/>
  <c r="I207" i="23" s="1"/>
  <c r="Y304" i="55"/>
  <c r="Y317" i="55" s="1"/>
  <c r="M114" i="23"/>
  <c r="M115" i="23" s="1"/>
  <c r="M242" i="23"/>
  <c r="M243" i="23" s="1"/>
  <c r="AY264" i="55"/>
  <c r="AW264" i="55" s="1"/>
  <c r="AW304" i="55"/>
  <c r="AW317" i="55" s="1"/>
  <c r="I277" i="23"/>
  <c r="Y264" i="55"/>
  <c r="I80" i="23"/>
  <c r="AK246" i="55"/>
  <c r="AM264" i="55"/>
  <c r="M129" i="23"/>
  <c r="M130" i="23" s="1"/>
  <c r="R130" i="23"/>
  <c r="AK304" i="55"/>
  <c r="AK317" i="55" s="1"/>
  <c r="AM317" i="55"/>
  <c r="AM331" i="55" s="1"/>
  <c r="M257" i="23"/>
  <c r="M258" i="23" s="1"/>
  <c r="R258" i="23"/>
  <c r="M278" i="23"/>
  <c r="M209" i="23"/>
  <c r="Q285" i="23"/>
  <c r="M279" i="23"/>
  <c r="M208" i="23"/>
  <c r="M207" i="23"/>
  <c r="I279" i="23" l="1"/>
  <c r="AK264" i="55"/>
  <c r="I278" i="23"/>
  <c r="I208" i="23"/>
  <c r="T356" i="55" l="1"/>
  <c r="S356" i="55"/>
  <c r="Q355" i="55"/>
  <c r="Q356" i="55"/>
  <c r="P356" i="55"/>
  <c r="R355" i="55"/>
  <c r="S355" i="55"/>
  <c r="R356" i="55"/>
  <c r="P355" i="55"/>
  <c r="S357" i="55" l="1"/>
  <c r="Q357" i="55"/>
  <c r="R357" i="55"/>
  <c r="P357" i="55"/>
  <c r="Q359" i="55" l="1"/>
  <c r="Q360" i="55"/>
  <c r="R359" i="55"/>
  <c r="R360" i="55"/>
  <c r="S359" i="55"/>
  <c r="S360" i="55"/>
  <c r="P359" i="55"/>
  <c r="P360" i="55"/>
  <c r="T355" i="55" l="1"/>
  <c r="T357" i="55" s="1"/>
  <c r="R230" i="55"/>
  <c r="R234" i="55" s="1"/>
  <c r="T359" i="55" l="1"/>
  <c r="T360" i="55"/>
  <c r="M230" i="55"/>
  <c r="M234" i="55" s="1"/>
  <c r="M190" i="55"/>
  <c r="M201" i="55" s="1"/>
  <c r="M292" i="55" l="1"/>
  <c r="M200" i="55"/>
  <c r="J190" i="55"/>
  <c r="J201" i="55" l="1"/>
  <c r="O292" i="55"/>
  <c r="M203" i="55"/>
  <c r="M202" i="55"/>
  <c r="M214" i="55" s="1"/>
  <c r="J200" i="55"/>
  <c r="W292" i="55" l="1"/>
  <c r="W294" i="55"/>
  <c r="W295" i="55"/>
  <c r="U292" i="55"/>
  <c r="V292" i="55"/>
  <c r="U294" i="55"/>
  <c r="U295" i="55"/>
  <c r="T295" i="55"/>
  <c r="T294" i="55"/>
  <c r="S292" i="55"/>
  <c r="T292" i="55"/>
  <c r="S295" i="55"/>
  <c r="S294" i="55"/>
  <c r="R295" i="55"/>
  <c r="R294" i="55"/>
  <c r="Q292" i="55"/>
  <c r="R292" i="55"/>
  <c r="Q294" i="55"/>
  <c r="Q295" i="55"/>
  <c r="P292" i="55"/>
  <c r="P295" i="55"/>
  <c r="P294" i="55"/>
  <c r="J292" i="55"/>
  <c r="V294" i="55"/>
  <c r="V295" i="55"/>
  <c r="J202" i="55"/>
  <c r="W296" i="55" l="1"/>
  <c r="U296" i="55"/>
  <c r="U304" i="55" s="1"/>
  <c r="U317" i="55" s="1"/>
  <c r="U331" i="55" s="1"/>
  <c r="T296" i="55"/>
  <c r="S296" i="55"/>
  <c r="Q296" i="55"/>
  <c r="Q298" i="55" s="1"/>
  <c r="Q330" i="55" s="1"/>
  <c r="Q333" i="55" s="1"/>
  <c r="P296" i="55"/>
  <c r="P299" i="55" s="1"/>
  <c r="R296" i="55"/>
  <c r="R304" i="55" s="1"/>
  <c r="R317" i="55" s="1"/>
  <c r="R331" i="55" s="1"/>
  <c r="V296" i="55"/>
  <c r="V299" i="55" s="1"/>
  <c r="J203" i="55"/>
  <c r="Q299" i="55" l="1"/>
  <c r="U298" i="55"/>
  <c r="U330" i="55" s="1"/>
  <c r="U333" i="55" s="1"/>
  <c r="Q304" i="55"/>
  <c r="Q317" i="55" s="1"/>
  <c r="Q331" i="55" s="1"/>
  <c r="U299" i="55"/>
  <c r="W299" i="55"/>
  <c r="W298" i="55"/>
  <c r="W330" i="55" s="1"/>
  <c r="W333" i="55" s="1"/>
  <c r="W304" i="55"/>
  <c r="W317" i="55" s="1"/>
  <c r="W331" i="55" s="1"/>
  <c r="V304" i="55"/>
  <c r="V317" i="55" s="1"/>
  <c r="V331" i="55" s="1"/>
  <c r="T299" i="55"/>
  <c r="T298" i="55"/>
  <c r="T304" i="55"/>
  <c r="S299" i="55"/>
  <c r="S298" i="55"/>
  <c r="S304" i="55"/>
  <c r="P304" i="55"/>
  <c r="P317" i="55" s="1"/>
  <c r="P331" i="55" s="1"/>
  <c r="P298" i="55"/>
  <c r="P330" i="55" s="1"/>
  <c r="P333" i="55" s="1"/>
  <c r="R299" i="55"/>
  <c r="R298" i="55"/>
  <c r="R330" i="55" s="1"/>
  <c r="R333" i="55" s="1"/>
  <c r="V298" i="55"/>
  <c r="V330" i="55" s="1"/>
  <c r="V333" i="55" s="1"/>
  <c r="J214" i="55"/>
  <c r="W214" i="55"/>
  <c r="Q214" i="55"/>
  <c r="P214" i="55"/>
  <c r="O294" i="55"/>
  <c r="M294" i="55" s="1"/>
  <c r="O214" i="55"/>
  <c r="O295" i="55"/>
  <c r="P224" i="55"/>
  <c r="W224" i="55"/>
  <c r="W12" i="55" s="1"/>
  <c r="M12" i="55" s="1"/>
  <c r="J12" i="55" s="1"/>
  <c r="Q224" i="55"/>
  <c r="O224" i="55"/>
  <c r="J224" i="55"/>
  <c r="O356" i="55"/>
  <c r="M356" i="55" s="1"/>
  <c r="O355" i="55"/>
  <c r="M224" i="23"/>
  <c r="M96" i="23"/>
  <c r="T317" i="55" l="1"/>
  <c r="T331" i="55" s="1"/>
  <c r="T330" i="55"/>
  <c r="T333" i="55" s="1"/>
  <c r="S317" i="55"/>
  <c r="S331" i="55" s="1"/>
  <c r="S330" i="55"/>
  <c r="S333" i="55" s="1"/>
  <c r="J294" i="55"/>
  <c r="I96" i="23"/>
  <c r="I224" i="23"/>
  <c r="J356" i="55"/>
  <c r="P11" i="55"/>
  <c r="P245" i="55"/>
  <c r="P246" i="55" s="1"/>
  <c r="P264" i="55" s="1"/>
  <c r="O357" i="55"/>
  <c r="O360" i="55" s="1"/>
  <c r="M360" i="55" s="1"/>
  <c r="M355" i="55"/>
  <c r="Q11" i="55"/>
  <c r="Q245" i="55"/>
  <c r="Q246" i="55" s="1"/>
  <c r="Q264" i="55" s="1"/>
  <c r="M295" i="55"/>
  <c r="O296" i="55"/>
  <c r="O299" i="55" s="1"/>
  <c r="O245" i="55"/>
  <c r="O11" i="55"/>
  <c r="W11" i="55"/>
  <c r="W245" i="55"/>
  <c r="W246" i="55" s="1"/>
  <c r="M288" i="23"/>
  <c r="M95" i="23"/>
  <c r="M223" i="23"/>
  <c r="O304" i="55" l="1"/>
  <c r="M299" i="55"/>
  <c r="J299" i="55" s="1"/>
  <c r="O359" i="55"/>
  <c r="M359" i="55" s="1"/>
  <c r="O298" i="55"/>
  <c r="M298" i="55" s="1"/>
  <c r="M225" i="23"/>
  <c r="R227" i="23" s="1"/>
  <c r="M97" i="23"/>
  <c r="R99" i="23" s="1"/>
  <c r="I288" i="23"/>
  <c r="M11" i="55"/>
  <c r="I223" i="23"/>
  <c r="J355" i="55"/>
  <c r="M357" i="55"/>
  <c r="J360" i="55" s="1"/>
  <c r="M245" i="55"/>
  <c r="J245" i="55" s="1"/>
  <c r="O246" i="55"/>
  <c r="I95" i="23"/>
  <c r="J295" i="55"/>
  <c r="M296" i="55"/>
  <c r="I282" i="23"/>
  <c r="M282" i="23"/>
  <c r="P99" i="23" l="1"/>
  <c r="P100" i="23" s="1"/>
  <c r="Q99" i="23"/>
  <c r="Q100" i="23" s="1"/>
  <c r="P227" i="23"/>
  <c r="P228" i="23" s="1"/>
  <c r="Q227" i="23"/>
  <c r="Q228" i="23" s="1"/>
  <c r="N99" i="23"/>
  <c r="N100" i="23" s="1"/>
  <c r="O99" i="23"/>
  <c r="O100" i="23" s="1"/>
  <c r="N227" i="23"/>
  <c r="N228" i="23" s="1"/>
  <c r="O227" i="23"/>
  <c r="O228" i="23" s="1"/>
  <c r="O330" i="55"/>
  <c r="O333" i="55" s="1"/>
  <c r="R228" i="23"/>
  <c r="M227" i="23"/>
  <c r="M228" i="23" s="1"/>
  <c r="J357" i="55"/>
  <c r="M246" i="55"/>
  <c r="J246" i="55" s="1"/>
  <c r="O264" i="55"/>
  <c r="J296" i="55"/>
  <c r="M140" i="55"/>
  <c r="J11" i="55"/>
  <c r="M99" i="23"/>
  <c r="M100" i="23" s="1"/>
  <c r="R100" i="23"/>
  <c r="O317" i="55"/>
  <c r="O331" i="55" s="1"/>
  <c r="M304" i="55"/>
  <c r="M78" i="23"/>
  <c r="M82" i="23" l="1"/>
  <c r="I276" i="23"/>
  <c r="M264" i="55"/>
  <c r="J304" i="55"/>
  <c r="J317" i="55" s="1"/>
  <c r="M317" i="55"/>
  <c r="I206" i="23"/>
  <c r="J359" i="55"/>
  <c r="I78" i="23"/>
  <c r="J298" i="55"/>
  <c r="M206" i="23"/>
  <c r="M276" i="23"/>
  <c r="M210" i="23" l="1"/>
  <c r="R212" i="23" s="1"/>
  <c r="R213" i="23" s="1"/>
  <c r="N84" i="23"/>
  <c r="N85" i="23" s="1"/>
  <c r="O84" i="23"/>
  <c r="O85" i="23" s="1"/>
  <c r="R84" i="23"/>
  <c r="R85" i="23" s="1"/>
  <c r="M84" i="23"/>
  <c r="M85" i="23" s="1"/>
  <c r="Q84" i="23"/>
  <c r="Q85" i="23" s="1"/>
  <c r="P84" i="23"/>
  <c r="P85" i="23" s="1"/>
  <c r="P212" i="23" l="1"/>
  <c r="P213" i="23" s="1"/>
  <c r="M212" i="23"/>
  <c r="M213" i="23" s="1"/>
  <c r="O212" i="23"/>
  <c r="O213" i="23" s="1"/>
  <c r="Q212" i="23"/>
  <c r="Q213" i="23" s="1"/>
  <c r="N212" i="23"/>
  <c r="N213" i="23" s="1"/>
  <c r="I242" i="24"/>
  <c r="I239" i="24" s="1"/>
  <c r="I240" i="24" l="1"/>
  <c r="I238" i="24"/>
  <c r="M197" i="73" l="1"/>
  <c r="M205" i="73" s="1"/>
  <c r="Y197" i="75"/>
  <c r="Y205" i="75" s="1"/>
  <c r="AW197" i="76"/>
  <c r="AW205" i="76" s="1"/>
  <c r="AK197" i="72"/>
  <c r="AK205" i="72" s="1"/>
  <c r="AW197" i="73"/>
  <c r="AW205" i="73" s="1"/>
  <c r="Y197" i="74"/>
  <c r="Y205" i="74" s="1"/>
  <c r="M197" i="75"/>
  <c r="M205" i="75" s="1"/>
  <c r="AW197" i="74"/>
  <c r="AW205" i="74" s="1"/>
  <c r="AW197" i="72"/>
  <c r="AW205" i="72" s="1"/>
  <c r="AK197" i="73"/>
  <c r="AK205" i="73" s="1"/>
  <c r="Y197" i="72"/>
  <c r="Y205" i="72" s="1"/>
  <c r="Y197" i="76"/>
  <c r="Y205" i="76" s="1"/>
  <c r="Y197" i="73"/>
  <c r="Y205" i="73" s="1"/>
  <c r="M197" i="74"/>
  <c r="M205" i="74" s="1"/>
  <c r="M197" i="72"/>
  <c r="M205" i="72" s="1"/>
  <c r="AW197" i="75"/>
  <c r="AW205" i="75" s="1"/>
  <c r="AK197" i="76"/>
  <c r="AK205" i="76" s="1"/>
  <c r="AK197" i="74"/>
  <c r="AK205" i="74" s="1"/>
  <c r="AK197" i="75"/>
  <c r="AK205" i="75" s="1"/>
  <c r="M197" i="76"/>
  <c r="M205" i="76" s="1"/>
  <c r="AK197" i="55"/>
  <c r="AK205" i="55" s="1"/>
  <c r="AK206" i="55" s="1"/>
  <c r="AK207" i="55" s="1"/>
  <c r="M197" i="55"/>
  <c r="M205" i="55" s="1"/>
  <c r="Y197" i="55"/>
  <c r="Y205" i="55" s="1"/>
  <c r="Y206" i="55" s="1"/>
  <c r="Y208" i="55" s="1"/>
  <c r="AW197" i="55"/>
  <c r="AW205" i="55" s="1"/>
  <c r="AW206" i="55" s="1"/>
  <c r="AW208" i="55" s="1"/>
  <c r="Y206" i="76" l="1"/>
  <c r="Y207" i="76" s="1"/>
  <c r="Y208" i="76"/>
  <c r="Y209" i="76" s="1"/>
  <c r="Y206" i="72"/>
  <c r="Y207" i="72" s="1"/>
  <c r="Y208" i="72"/>
  <c r="Y209" i="72" s="1"/>
  <c r="Y210" i="72"/>
  <c r="Y220" i="72" s="1"/>
  <c r="AK206" i="74"/>
  <c r="AK207" i="74" s="1"/>
  <c r="AK208" i="74"/>
  <c r="AK209" i="74" s="1"/>
  <c r="AK210" i="74"/>
  <c r="AK220" i="74" s="1"/>
  <c r="Y206" i="75"/>
  <c r="Y208" i="75" s="1"/>
  <c r="Y209" i="75" s="1"/>
  <c r="AK206" i="76"/>
  <c r="AK207" i="76" s="1"/>
  <c r="AK208" i="76"/>
  <c r="AK209" i="76" s="1"/>
  <c r="M206" i="73"/>
  <c r="J205" i="73"/>
  <c r="M207" i="73"/>
  <c r="AW206" i="75"/>
  <c r="AW208" i="75" s="1"/>
  <c r="AW209" i="75" s="1"/>
  <c r="AW207" i="75"/>
  <c r="AW210" i="75"/>
  <c r="AW220" i="75" s="1"/>
  <c r="AW206" i="74"/>
  <c r="AW207" i="74" s="1"/>
  <c r="M206" i="76"/>
  <c r="M207" i="76"/>
  <c r="J207" i="76" s="1"/>
  <c r="AK206" i="75"/>
  <c r="AK208" i="75" s="1"/>
  <c r="AK209" i="75" s="1"/>
  <c r="AK207" i="75"/>
  <c r="AK210" i="75"/>
  <c r="AK220" i="75" s="1"/>
  <c r="J205" i="76"/>
  <c r="AW206" i="76"/>
  <c r="AW207" i="76" s="1"/>
  <c r="AW208" i="76"/>
  <c r="AW209" i="76" s="1"/>
  <c r="AW210" i="76"/>
  <c r="AW220" i="76" s="1"/>
  <c r="AK206" i="73"/>
  <c r="AK207" i="73" s="1"/>
  <c r="AK208" i="73"/>
  <c r="AK209" i="73" s="1"/>
  <c r="AK210" i="73"/>
  <c r="AK220" i="73" s="1"/>
  <c r="J205" i="72"/>
  <c r="M206" i="72"/>
  <c r="M208" i="72"/>
  <c r="M206" i="75"/>
  <c r="J205" i="75"/>
  <c r="M206" i="74"/>
  <c r="M208" i="74"/>
  <c r="J205" i="74"/>
  <c r="Y206" i="74"/>
  <c r="Y207" i="74" s="1"/>
  <c r="Y208" i="74"/>
  <c r="Y209" i="74" s="1"/>
  <c r="Y210" i="74"/>
  <c r="Y220" i="74" s="1"/>
  <c r="Y206" i="73"/>
  <c r="Y208" i="73" s="1"/>
  <c r="Y209" i="73" s="1"/>
  <c r="Y207" i="73"/>
  <c r="Y210" i="73"/>
  <c r="Y220" i="73" s="1"/>
  <c r="AW206" i="73"/>
  <c r="AW207" i="73" s="1"/>
  <c r="AK206" i="72"/>
  <c r="AK208" i="72" s="1"/>
  <c r="AK209" i="72" s="1"/>
  <c r="AK210" i="72"/>
  <c r="AW206" i="72"/>
  <c r="AW207" i="72" s="1"/>
  <c r="AW208" i="72"/>
  <c r="AW209" i="72" s="1"/>
  <c r="AW210" i="72"/>
  <c r="AW220" i="72" s="1"/>
  <c r="J205" i="55"/>
  <c r="M206" i="55"/>
  <c r="M208" i="55" s="1"/>
  <c r="AW207" i="55"/>
  <c r="AK208" i="55"/>
  <c r="AK209" i="55" s="1"/>
  <c r="AW209" i="55"/>
  <c r="AW210" i="55"/>
  <c r="Y209" i="55"/>
  <c r="Y210" i="55"/>
  <c r="Y207" i="55"/>
  <c r="J207" i="73" l="1"/>
  <c r="M208" i="75"/>
  <c r="J206" i="75"/>
  <c r="M208" i="76"/>
  <c r="J206" i="76"/>
  <c r="M210" i="72"/>
  <c r="J208" i="72"/>
  <c r="M209" i="72"/>
  <c r="J209" i="72" s="1"/>
  <c r="M208" i="73"/>
  <c r="J206" i="73"/>
  <c r="AT372" i="74"/>
  <c r="AT374" i="74" s="1"/>
  <c r="AS372" i="74"/>
  <c r="AS374" i="74" s="1"/>
  <c r="AR372" i="74"/>
  <c r="AR374" i="74" s="1"/>
  <c r="AQ372" i="74"/>
  <c r="AQ374" i="74" s="1"/>
  <c r="AO372" i="74"/>
  <c r="AO374" i="74" s="1"/>
  <c r="AP372" i="74"/>
  <c r="AP374" i="74" s="1"/>
  <c r="AN372" i="74"/>
  <c r="AN374" i="74" s="1"/>
  <c r="AU372" i="74"/>
  <c r="AU374" i="74" s="1"/>
  <c r="AM372" i="74"/>
  <c r="AW208" i="73"/>
  <c r="M207" i="72"/>
  <c r="J206" i="72"/>
  <c r="AW208" i="74"/>
  <c r="AK210" i="76"/>
  <c r="AK220" i="76" s="1"/>
  <c r="AI372" i="74"/>
  <c r="AI374" i="74" s="1"/>
  <c r="AA372" i="74"/>
  <c r="AG372" i="74"/>
  <c r="AG374" i="74" s="1"/>
  <c r="AC372" i="74"/>
  <c r="AC374" i="74" s="1"/>
  <c r="AB372" i="74"/>
  <c r="AB374" i="74" s="1"/>
  <c r="AE372" i="74"/>
  <c r="AE374" i="74" s="1"/>
  <c r="AD372" i="74"/>
  <c r="AD374" i="74" s="1"/>
  <c r="AF372" i="74"/>
  <c r="AF374" i="74" s="1"/>
  <c r="AH372" i="74"/>
  <c r="AH374" i="74" s="1"/>
  <c r="BA372" i="72"/>
  <c r="BA374" i="72" s="1"/>
  <c r="BG372" i="72"/>
  <c r="BG374" i="72" s="1"/>
  <c r="AZ372" i="72"/>
  <c r="AZ374" i="72" s="1"/>
  <c r="AY372" i="72"/>
  <c r="BF372" i="72"/>
  <c r="BF374" i="72" s="1"/>
  <c r="BE372" i="72"/>
  <c r="BE374" i="72" s="1"/>
  <c r="BD372" i="72"/>
  <c r="BD374" i="72" s="1"/>
  <c r="BC372" i="72"/>
  <c r="BC374" i="72" s="1"/>
  <c r="BB372" i="72"/>
  <c r="BB374" i="72" s="1"/>
  <c r="M210" i="74"/>
  <c r="M209" i="74"/>
  <c r="J208" i="74"/>
  <c r="AI372" i="72"/>
  <c r="AI374" i="72" s="1"/>
  <c r="AC372" i="72"/>
  <c r="AC374" i="72" s="1"/>
  <c r="AE372" i="72"/>
  <c r="AE374" i="72" s="1"/>
  <c r="AG372" i="72"/>
  <c r="AG374" i="72" s="1"/>
  <c r="AB372" i="72"/>
  <c r="AB374" i="72" s="1"/>
  <c r="AF372" i="72"/>
  <c r="AF374" i="72" s="1"/>
  <c r="AD372" i="72"/>
  <c r="AD374" i="72" s="1"/>
  <c r="AH372" i="72"/>
  <c r="AH374" i="72" s="1"/>
  <c r="AA372" i="72"/>
  <c r="AD372" i="73"/>
  <c r="AD374" i="73" s="1"/>
  <c r="AG372" i="73"/>
  <c r="AG374" i="73" s="1"/>
  <c r="AA372" i="73"/>
  <c r="AH372" i="73"/>
  <c r="AH374" i="73" s="1"/>
  <c r="AB372" i="73"/>
  <c r="AB374" i="73" s="1"/>
  <c r="AF372" i="73"/>
  <c r="AF374" i="73" s="1"/>
  <c r="AC372" i="73"/>
  <c r="AC374" i="73" s="1"/>
  <c r="AE372" i="73"/>
  <c r="AE374" i="73" s="1"/>
  <c r="AI372" i="73"/>
  <c r="AI374" i="73" s="1"/>
  <c r="AU372" i="73"/>
  <c r="AU374" i="73" s="1"/>
  <c r="AQ372" i="73"/>
  <c r="AQ374" i="73" s="1"/>
  <c r="AO372" i="73"/>
  <c r="AO374" i="73" s="1"/>
  <c r="AS372" i="73"/>
  <c r="AS374" i="73" s="1"/>
  <c r="AN372" i="73"/>
  <c r="AN374" i="73" s="1"/>
  <c r="AM372" i="73"/>
  <c r="AP372" i="73"/>
  <c r="AP374" i="73" s="1"/>
  <c r="AR372" i="73"/>
  <c r="AR374" i="73" s="1"/>
  <c r="AT372" i="73"/>
  <c r="AT374" i="73" s="1"/>
  <c r="Y210" i="75"/>
  <c r="Y220" i="75" s="1"/>
  <c r="BC372" i="76"/>
  <c r="BC374" i="76" s="1"/>
  <c r="BB372" i="76"/>
  <c r="BB374" i="76" s="1"/>
  <c r="BA372" i="76"/>
  <c r="BA374" i="76" s="1"/>
  <c r="BG372" i="76"/>
  <c r="BG374" i="76" s="1"/>
  <c r="AZ372" i="76"/>
  <c r="AZ374" i="76" s="1"/>
  <c r="AY372" i="76"/>
  <c r="BF372" i="76"/>
  <c r="BF374" i="76" s="1"/>
  <c r="BD372" i="76"/>
  <c r="BD374" i="76" s="1"/>
  <c r="BE372" i="76"/>
  <c r="BE374" i="76" s="1"/>
  <c r="AT372" i="75"/>
  <c r="AT374" i="75" s="1"/>
  <c r="AM372" i="75"/>
  <c r="AR372" i="75"/>
  <c r="AR374" i="75" s="1"/>
  <c r="AU372" i="75"/>
  <c r="AU374" i="75" s="1"/>
  <c r="AP372" i="75"/>
  <c r="AP374" i="75" s="1"/>
  <c r="AQ372" i="75"/>
  <c r="AQ374" i="75" s="1"/>
  <c r="AO372" i="75"/>
  <c r="AO374" i="75" s="1"/>
  <c r="AS372" i="75"/>
  <c r="AS374" i="75" s="1"/>
  <c r="AN372" i="75"/>
  <c r="AN374" i="75" s="1"/>
  <c r="M207" i="74"/>
  <c r="J207" i="74" s="1"/>
  <c r="J206" i="74"/>
  <c r="BE372" i="75"/>
  <c r="BE374" i="75" s="1"/>
  <c r="BD372" i="75"/>
  <c r="BD374" i="75" s="1"/>
  <c r="BC372" i="75"/>
  <c r="BC374" i="75" s="1"/>
  <c r="BA372" i="75"/>
  <c r="BA374" i="75" s="1"/>
  <c r="AZ372" i="75"/>
  <c r="AZ374" i="75" s="1"/>
  <c r="BF372" i="75"/>
  <c r="BF374" i="75" s="1"/>
  <c r="BG372" i="75"/>
  <c r="BG374" i="75" s="1"/>
  <c r="BB372" i="75"/>
  <c r="BB374" i="75" s="1"/>
  <c r="AY372" i="75"/>
  <c r="M207" i="75"/>
  <c r="AK207" i="72"/>
  <c r="J207" i="72" s="1"/>
  <c r="Y207" i="75"/>
  <c r="Y210" i="76"/>
  <c r="Y220" i="76" s="1"/>
  <c r="J206" i="55"/>
  <c r="M207" i="55"/>
  <c r="J207" i="55" s="1"/>
  <c r="AW220" i="55"/>
  <c r="BA372" i="55" s="1"/>
  <c r="BA374" i="55" s="1"/>
  <c r="AK210" i="55"/>
  <c r="AK220" i="55" s="1"/>
  <c r="AQ372" i="55" s="1"/>
  <c r="AQ374" i="55" s="1"/>
  <c r="J208" i="55"/>
  <c r="M209" i="55"/>
  <c r="J209" i="55" s="1"/>
  <c r="M210" i="55"/>
  <c r="Y220" i="55"/>
  <c r="AW209" i="73" l="1"/>
  <c r="AW210" i="73"/>
  <c r="AW220" i="73" s="1"/>
  <c r="M220" i="74"/>
  <c r="AK372" i="74"/>
  <c r="AM374" i="74"/>
  <c r="AK374" i="74" s="1"/>
  <c r="M220" i="72"/>
  <c r="J210" i="72"/>
  <c r="AI372" i="76"/>
  <c r="AI374" i="76" s="1"/>
  <c r="AF372" i="76"/>
  <c r="AF374" i="76" s="1"/>
  <c r="AC372" i="76"/>
  <c r="AC374" i="76" s="1"/>
  <c r="AG372" i="76"/>
  <c r="AG374" i="76" s="1"/>
  <c r="AA372" i="76"/>
  <c r="AH372" i="76"/>
  <c r="AH374" i="76" s="1"/>
  <c r="AB372" i="76"/>
  <c r="AB374" i="76" s="1"/>
  <c r="AD372" i="76"/>
  <c r="AD374" i="76" s="1"/>
  <c r="AE372" i="76"/>
  <c r="AE374" i="76" s="1"/>
  <c r="Y372" i="74"/>
  <c r="AA374" i="74"/>
  <c r="Y374" i="74" s="1"/>
  <c r="M209" i="76"/>
  <c r="J209" i="76" s="1"/>
  <c r="J208" i="76"/>
  <c r="M210" i="76"/>
  <c r="J207" i="75"/>
  <c r="AW372" i="76"/>
  <c r="AY374" i="76"/>
  <c r="AW374" i="76" s="1"/>
  <c r="AS372" i="76"/>
  <c r="AS374" i="76" s="1"/>
  <c r="AQ372" i="76"/>
  <c r="AQ374" i="76" s="1"/>
  <c r="AR372" i="76"/>
  <c r="AR374" i="76" s="1"/>
  <c r="AO372" i="76"/>
  <c r="AO374" i="76" s="1"/>
  <c r="AP372" i="76"/>
  <c r="AP374" i="76" s="1"/>
  <c r="AN372" i="76"/>
  <c r="AN374" i="76" s="1"/>
  <c r="AU372" i="76"/>
  <c r="AU374" i="76" s="1"/>
  <c r="AT372" i="76"/>
  <c r="AT374" i="76" s="1"/>
  <c r="AM372" i="76"/>
  <c r="AK220" i="72"/>
  <c r="AW372" i="75"/>
  <c r="AY374" i="75"/>
  <c r="AW374" i="75" s="1"/>
  <c r="AW209" i="74"/>
  <c r="J209" i="74" s="1"/>
  <c r="AW210" i="74"/>
  <c r="AW220" i="74" s="1"/>
  <c r="M209" i="75"/>
  <c r="J209" i="75" s="1"/>
  <c r="J208" i="75"/>
  <c r="M210" i="75"/>
  <c r="Y372" i="72"/>
  <c r="AA374" i="72"/>
  <c r="Y374" i="72" s="1"/>
  <c r="M210" i="73"/>
  <c r="M209" i="73"/>
  <c r="J208" i="73"/>
  <c r="AA372" i="75"/>
  <c r="AG372" i="75"/>
  <c r="AG374" i="75" s="1"/>
  <c r="AF372" i="75"/>
  <c r="AF374" i="75" s="1"/>
  <c r="AE372" i="75"/>
  <c r="AE374" i="75" s="1"/>
  <c r="AH372" i="75"/>
  <c r="AH374" i="75" s="1"/>
  <c r="AD372" i="75"/>
  <c r="AD374" i="75" s="1"/>
  <c r="AC372" i="75"/>
  <c r="AC374" i="75" s="1"/>
  <c r="AB372" i="75"/>
  <c r="AB374" i="75" s="1"/>
  <c r="AI372" i="75"/>
  <c r="AI374" i="75" s="1"/>
  <c r="Y372" i="73"/>
  <c r="AA374" i="73"/>
  <c r="Y374" i="73" s="1"/>
  <c r="AK372" i="75"/>
  <c r="AM374" i="75"/>
  <c r="AK374" i="75" s="1"/>
  <c r="AK372" i="73"/>
  <c r="AM374" i="73"/>
  <c r="AK374" i="73" s="1"/>
  <c r="AW372" i="72"/>
  <c r="AY374" i="72"/>
  <c r="AW374" i="72" s="1"/>
  <c r="AZ372" i="55"/>
  <c r="AZ374" i="55" s="1"/>
  <c r="BF372" i="55"/>
  <c r="BF374" i="55" s="1"/>
  <c r="BC372" i="55"/>
  <c r="BC374" i="55" s="1"/>
  <c r="BB372" i="55"/>
  <c r="BB374" i="55" s="1"/>
  <c r="AY372" i="55"/>
  <c r="BG372" i="55"/>
  <c r="BG374" i="55" s="1"/>
  <c r="BD372" i="55"/>
  <c r="BD374" i="55" s="1"/>
  <c r="BE372" i="55"/>
  <c r="BE374" i="55" s="1"/>
  <c r="AT372" i="55"/>
  <c r="AT374" i="55" s="1"/>
  <c r="AO372" i="55"/>
  <c r="AO374" i="55" s="1"/>
  <c r="AM372" i="55"/>
  <c r="AS372" i="55"/>
  <c r="AS374" i="55" s="1"/>
  <c r="AR372" i="55"/>
  <c r="AR374" i="55" s="1"/>
  <c r="AU372" i="55"/>
  <c r="AU374" i="55" s="1"/>
  <c r="AN372" i="55"/>
  <c r="AN374" i="55" s="1"/>
  <c r="AP372" i="55"/>
  <c r="AP374" i="55" s="1"/>
  <c r="J210" i="55"/>
  <c r="M220" i="55"/>
  <c r="AF372" i="55"/>
  <c r="AF374" i="55" s="1"/>
  <c r="AH372" i="55"/>
  <c r="AH374" i="55" s="1"/>
  <c r="AE372" i="55"/>
  <c r="AE374" i="55" s="1"/>
  <c r="AG372" i="55"/>
  <c r="AG374" i="55" s="1"/>
  <c r="AC372" i="55"/>
  <c r="AC374" i="55" s="1"/>
  <c r="AD372" i="55"/>
  <c r="AD374" i="55" s="1"/>
  <c r="AI372" i="55"/>
  <c r="AI374" i="55" s="1"/>
  <c r="AB372" i="55"/>
  <c r="AB374" i="55" s="1"/>
  <c r="AA372" i="55"/>
  <c r="Q163" i="23"/>
  <c r="BA372" i="74" l="1"/>
  <c r="BA374" i="74" s="1"/>
  <c r="BG372" i="74"/>
  <c r="BG374" i="74" s="1"/>
  <c r="AZ372" i="74"/>
  <c r="AZ374" i="74" s="1"/>
  <c r="BD372" i="74"/>
  <c r="BD374" i="74" s="1"/>
  <c r="AY372" i="74"/>
  <c r="BC372" i="74"/>
  <c r="BC374" i="74" s="1"/>
  <c r="BF372" i="74"/>
  <c r="BF374" i="74" s="1"/>
  <c r="BE372" i="74"/>
  <c r="BE374" i="74" s="1"/>
  <c r="BB372" i="74"/>
  <c r="BB374" i="74" s="1"/>
  <c r="T372" i="72"/>
  <c r="T374" i="72" s="1"/>
  <c r="J220" i="72"/>
  <c r="U372" i="72"/>
  <c r="U374" i="72" s="1"/>
  <c r="S372" i="72"/>
  <c r="S374" i="72" s="1"/>
  <c r="R372" i="72"/>
  <c r="R374" i="72" s="1"/>
  <c r="Q372" i="72"/>
  <c r="Q374" i="72" s="1"/>
  <c r="P372" i="72"/>
  <c r="P374" i="72" s="1"/>
  <c r="W372" i="72"/>
  <c r="W374" i="72" s="1"/>
  <c r="V372" i="72"/>
  <c r="V374" i="72" s="1"/>
  <c r="O372" i="72"/>
  <c r="M220" i="76"/>
  <c r="J210" i="76"/>
  <c r="J210" i="73"/>
  <c r="M220" i="73"/>
  <c r="AA374" i="76"/>
  <c r="Y374" i="76" s="1"/>
  <c r="Y372" i="76"/>
  <c r="J210" i="74"/>
  <c r="AU372" i="72"/>
  <c r="AU374" i="72" s="1"/>
  <c r="AO372" i="72"/>
  <c r="AO374" i="72" s="1"/>
  <c r="AP372" i="72"/>
  <c r="AP374" i="72" s="1"/>
  <c r="AQ372" i="72"/>
  <c r="AQ374" i="72" s="1"/>
  <c r="AR372" i="72"/>
  <c r="AR374" i="72" s="1"/>
  <c r="AT372" i="72"/>
  <c r="AT374" i="72" s="1"/>
  <c r="AM372" i="72"/>
  <c r="AS372" i="72"/>
  <c r="AS374" i="72" s="1"/>
  <c r="AN372" i="72"/>
  <c r="AN374" i="72" s="1"/>
  <c r="O372" i="74"/>
  <c r="U372" i="74"/>
  <c r="U374" i="74" s="1"/>
  <c r="V372" i="74"/>
  <c r="V374" i="74" s="1"/>
  <c r="T372" i="74"/>
  <c r="T374" i="74" s="1"/>
  <c r="S372" i="74"/>
  <c r="S374" i="74" s="1"/>
  <c r="R372" i="74"/>
  <c r="R374" i="74" s="1"/>
  <c r="W372" i="74"/>
  <c r="W374" i="74" s="1"/>
  <c r="Q372" i="74"/>
  <c r="Q374" i="74" s="1"/>
  <c r="P372" i="74"/>
  <c r="P374" i="74" s="1"/>
  <c r="J220" i="74"/>
  <c r="M220" i="75"/>
  <c r="J210" i="75"/>
  <c r="AK372" i="76"/>
  <c r="AM374" i="76"/>
  <c r="AK374" i="76" s="1"/>
  <c r="BA372" i="73"/>
  <c r="BA374" i="73" s="1"/>
  <c r="AZ372" i="73"/>
  <c r="AZ374" i="73" s="1"/>
  <c r="BG372" i="73"/>
  <c r="BG374" i="73" s="1"/>
  <c r="BD372" i="73"/>
  <c r="BD374" i="73" s="1"/>
  <c r="AY372" i="73"/>
  <c r="BF372" i="73"/>
  <c r="BF374" i="73" s="1"/>
  <c r="BE372" i="73"/>
  <c r="BE374" i="73" s="1"/>
  <c r="BC372" i="73"/>
  <c r="BC374" i="73" s="1"/>
  <c r="BB372" i="73"/>
  <c r="BB374" i="73" s="1"/>
  <c r="J209" i="73"/>
  <c r="Y372" i="75"/>
  <c r="AA374" i="75"/>
  <c r="Y374" i="75" s="1"/>
  <c r="AK372" i="55"/>
  <c r="I187" i="23" s="1"/>
  <c r="Q164" i="23"/>
  <c r="AW372" i="55"/>
  <c r="AY374" i="55"/>
  <c r="AW374" i="55" s="1"/>
  <c r="AM374" i="55"/>
  <c r="AK374" i="55" s="1"/>
  <c r="R372" i="55"/>
  <c r="R374" i="55" s="1"/>
  <c r="U372" i="55"/>
  <c r="U374" i="55" s="1"/>
  <c r="Q372" i="55"/>
  <c r="Q374" i="55" s="1"/>
  <c r="S372" i="55"/>
  <c r="S374" i="55" s="1"/>
  <c r="W372" i="55"/>
  <c r="W374" i="55" s="1"/>
  <c r="V372" i="55"/>
  <c r="V374" i="55" s="1"/>
  <c r="P372" i="55"/>
  <c r="P374" i="55" s="1"/>
  <c r="T372" i="55"/>
  <c r="T374" i="55" s="1"/>
  <c r="J220" i="55"/>
  <c r="O372" i="55"/>
  <c r="Y372" i="55"/>
  <c r="AA374" i="55"/>
  <c r="Y374" i="55" s="1"/>
  <c r="N187" i="23"/>
  <c r="Q199" i="23"/>
  <c r="P199" i="23"/>
  <c r="R175" i="23"/>
  <c r="P163" i="23"/>
  <c r="O187" i="23"/>
  <c r="M199" i="23"/>
  <c r="N175" i="23"/>
  <c r="Q175" i="23"/>
  <c r="R187" i="23"/>
  <c r="M175" i="23"/>
  <c r="N199" i="23"/>
  <c r="M187" i="23"/>
  <c r="P175" i="23"/>
  <c r="R199" i="23"/>
  <c r="O199" i="23"/>
  <c r="O175" i="23"/>
  <c r="P187" i="23"/>
  <c r="R151" i="23"/>
  <c r="P149" i="23"/>
  <c r="O150" i="23"/>
  <c r="Q151" i="23"/>
  <c r="R150" i="23"/>
  <c r="N149" i="23"/>
  <c r="Q149" i="23"/>
  <c r="M151" i="23"/>
  <c r="O149" i="23"/>
  <c r="M150" i="23"/>
  <c r="N151" i="23"/>
  <c r="P150" i="23"/>
  <c r="M149" i="23"/>
  <c r="R149" i="23"/>
  <c r="AK372" i="72" l="1"/>
  <c r="AM374" i="72"/>
  <c r="AK374" i="72" s="1"/>
  <c r="Q372" i="73"/>
  <c r="Q374" i="73" s="1"/>
  <c r="P372" i="73"/>
  <c r="P374" i="73" s="1"/>
  <c r="W372" i="73"/>
  <c r="W374" i="73" s="1"/>
  <c r="V372" i="73"/>
  <c r="V374" i="73" s="1"/>
  <c r="R372" i="73"/>
  <c r="R374" i="73" s="1"/>
  <c r="U372" i="73"/>
  <c r="U374" i="73" s="1"/>
  <c r="O372" i="73"/>
  <c r="T372" i="73"/>
  <c r="T374" i="73" s="1"/>
  <c r="S372" i="73"/>
  <c r="S374" i="73" s="1"/>
  <c r="J220" i="73"/>
  <c r="AW372" i="73"/>
  <c r="AY374" i="73"/>
  <c r="AW374" i="73" s="1"/>
  <c r="S372" i="75"/>
  <c r="S374" i="75" s="1"/>
  <c r="R372" i="75"/>
  <c r="R374" i="75" s="1"/>
  <c r="Q372" i="75"/>
  <c r="Q374" i="75" s="1"/>
  <c r="W372" i="75"/>
  <c r="W374" i="75" s="1"/>
  <c r="T372" i="75"/>
  <c r="T374" i="75" s="1"/>
  <c r="O372" i="75"/>
  <c r="J220" i="75"/>
  <c r="V372" i="75"/>
  <c r="V374" i="75" s="1"/>
  <c r="U372" i="75"/>
  <c r="U374" i="75" s="1"/>
  <c r="P372" i="75"/>
  <c r="P374" i="75" s="1"/>
  <c r="M372" i="74"/>
  <c r="O374" i="74"/>
  <c r="M374" i="74" s="1"/>
  <c r="U372" i="76"/>
  <c r="U374" i="76" s="1"/>
  <c r="V372" i="76"/>
  <c r="V374" i="76" s="1"/>
  <c r="T372" i="76"/>
  <c r="T374" i="76" s="1"/>
  <c r="S372" i="76"/>
  <c r="S374" i="76" s="1"/>
  <c r="R372" i="76"/>
  <c r="R374" i="76" s="1"/>
  <c r="Q372" i="76"/>
  <c r="Q374" i="76" s="1"/>
  <c r="P372" i="76"/>
  <c r="P374" i="76" s="1"/>
  <c r="W372" i="76"/>
  <c r="W374" i="76" s="1"/>
  <c r="O372" i="76"/>
  <c r="J220" i="76"/>
  <c r="AW372" i="74"/>
  <c r="AY374" i="74"/>
  <c r="AW374" i="74" s="1"/>
  <c r="M372" i="72"/>
  <c r="O374" i="72"/>
  <c r="M374" i="72" s="1"/>
  <c r="Q200" i="23"/>
  <c r="R200" i="23"/>
  <c r="N200" i="23"/>
  <c r="M200" i="23"/>
  <c r="M202" i="23" s="1"/>
  <c r="M203" i="23" s="1"/>
  <c r="O200" i="23"/>
  <c r="P200" i="23"/>
  <c r="I199" i="23"/>
  <c r="R188" i="23"/>
  <c r="O188" i="23"/>
  <c r="P188" i="23"/>
  <c r="M188" i="23"/>
  <c r="N188" i="23"/>
  <c r="O176" i="23"/>
  <c r="R176" i="23"/>
  <c r="N176" i="23"/>
  <c r="M176" i="23"/>
  <c r="P176" i="23"/>
  <c r="Q176" i="23"/>
  <c r="P164" i="23"/>
  <c r="I151" i="23"/>
  <c r="I150" i="23"/>
  <c r="I149" i="23"/>
  <c r="I175" i="23"/>
  <c r="M372" i="55"/>
  <c r="O374" i="55"/>
  <c r="M374" i="55" s="1"/>
  <c r="N163" i="23"/>
  <c r="Q187" i="23"/>
  <c r="R163" i="23"/>
  <c r="M163" i="23"/>
  <c r="O163" i="23"/>
  <c r="M148" i="23"/>
  <c r="N150" i="23"/>
  <c r="Q150" i="23"/>
  <c r="P151" i="23"/>
  <c r="N148" i="23"/>
  <c r="O151" i="23"/>
  <c r="P148" i="23"/>
  <c r="P152" i="23" l="1"/>
  <c r="M372" i="73"/>
  <c r="O374" i="73"/>
  <c r="M374" i="73" s="1"/>
  <c r="M372" i="75"/>
  <c r="O374" i="75"/>
  <c r="M374" i="75" s="1"/>
  <c r="M372" i="76"/>
  <c r="O374" i="76"/>
  <c r="M374" i="76" s="1"/>
  <c r="P202" i="23"/>
  <c r="P203" i="23" s="1"/>
  <c r="O202" i="23"/>
  <c r="O203" i="23" s="1"/>
  <c r="N202" i="23"/>
  <c r="N203" i="23" s="1"/>
  <c r="R202" i="23"/>
  <c r="R203" i="23" s="1"/>
  <c r="Q202" i="23"/>
  <c r="Q203" i="23" s="1"/>
  <c r="Q188" i="23"/>
  <c r="Q190" i="23" s="1"/>
  <c r="Q191" i="23" s="1"/>
  <c r="N190" i="23"/>
  <c r="N191" i="23" s="1"/>
  <c r="P190" i="23"/>
  <c r="P191" i="23" s="1"/>
  <c r="R190" i="23"/>
  <c r="R191" i="23" s="1"/>
  <c r="M190" i="23"/>
  <c r="M191" i="23" s="1"/>
  <c r="O190" i="23"/>
  <c r="O191" i="23" s="1"/>
  <c r="N178" i="23"/>
  <c r="N179" i="23" s="1"/>
  <c r="O178" i="23"/>
  <c r="O179" i="23" s="1"/>
  <c r="Q178" i="23"/>
  <c r="Q179" i="23" s="1"/>
  <c r="P178" i="23"/>
  <c r="P179" i="23" s="1"/>
  <c r="R178" i="23"/>
  <c r="R179" i="23" s="1"/>
  <c r="M178" i="23"/>
  <c r="M179" i="23" s="1"/>
  <c r="O164" i="23"/>
  <c r="R164" i="23"/>
  <c r="N164" i="23"/>
  <c r="M164" i="23"/>
  <c r="Q166" i="23" s="1"/>
  <c r="M152" i="23"/>
  <c r="M154" i="23" s="1"/>
  <c r="M155" i="23" s="1"/>
  <c r="N152" i="23"/>
  <c r="I148" i="23"/>
  <c r="I163" i="23"/>
  <c r="O148" i="23"/>
  <c r="R148" i="23"/>
  <c r="Q148" i="23"/>
  <c r="Q152" i="23" l="1"/>
  <c r="Q154" i="23" s="1"/>
  <c r="Q155" i="23" s="1"/>
  <c r="R152" i="23"/>
  <c r="R154" i="23" s="1"/>
  <c r="R155" i="23" s="1"/>
  <c r="O152" i="23"/>
  <c r="O154" i="23" s="1"/>
  <c r="O155" i="23" s="1"/>
  <c r="P166" i="23"/>
  <c r="P167" i="23" s="1"/>
  <c r="O166" i="23"/>
  <c r="O167" i="23" s="1"/>
  <c r="N166" i="23"/>
  <c r="N167" i="23" s="1"/>
  <c r="R166" i="23"/>
  <c r="R167" i="23" s="1"/>
  <c r="M166" i="23"/>
  <c r="M167" i="23" s="1"/>
  <c r="Q167" i="23"/>
  <c r="P154" i="23"/>
  <c r="P155" i="23" s="1"/>
  <c r="N154" i="23"/>
  <c r="N155"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Pieter Nuiten</author>
    <author>tc={FED65A8A-52D8-4238-A50E-45B179061356}</author>
  </authors>
  <commentList>
    <comment ref="T113" authorId="0" shapeId="0" xr:uid="{7F0D1C44-29C4-4FB1-9463-ADCA21BC927F}">
      <text>
        <r>
          <rPr>
            <sz val="9"/>
            <color indexed="81"/>
            <rFont val="Tahoma"/>
            <family val="2"/>
          </rPr>
          <t>10 W/paneel, 6 panelen/won</t>
        </r>
      </text>
    </comment>
    <comment ref="E415" authorId="1" shapeId="0" xr:uid="{FED65A8A-52D8-4238-A50E-45B179061356}">
      <text>
        <t>[Opmerkingenthread]
U kunt deze opmerkingenthread lezen in uw versie van Excel. Eventuele wijzigingen aan de thread gaan echter verloren als het bestand wordt geopend in een nieuwere versie van Excel. Meer informatie: https://go.microsoft.com/fwlink/?linkid=870924
Opmerking:
    @Nick ten Caat Updaten.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<sst xmlns="http://schemas.openxmlformats.org/spreadsheetml/2006/main" count="20099" uniqueCount="1389">
  <si>
    <t>&gt;&gt; Website Uniforme Maatlat</t>
  </si>
  <si>
    <t>Wijzigingen 5.02 t.o.v. 5.01</t>
  </si>
  <si>
    <t>Toegevoegd</t>
  </si>
  <si>
    <t xml:space="preserve">Voor woningen is bij de energieprestatie-indicatoren nu ook aangegeven of de woning voldoet aan de 'standaard' (warmtevraag per vierkante meter). </t>
  </si>
  <si>
    <t>In de bibliotheek is in de tabel 'isolatiepakketten gebouwschil' een isolatiepakket opgenomen met streefwaarden.</t>
  </si>
  <si>
    <t>Op de tabbladen met varianten is de mogelijkheid toegevoegd om de warmtebehoefte voor verwarming handmatig te corrigeren ten opzichte van de warmtebehoefte met NTA8800. Bovenaan het tabblad kan worden aangegeven óf de warmtebehoefte wordt gecorrigeerd. In regel 53 kan de voorgestelde correctie (op basis van de gemiddelde U-waarde van de gebouwschil) worden overschreven door een eigen waarde voor de correctie.</t>
  </si>
  <si>
    <t>Op de tabbladen met varianten staat nu een samenvatting van de gekozen installaties per deellocatie.</t>
  </si>
  <si>
    <t>In de bibliotheek is een tabel 'warmte-/koudenetten met EMG-verklaring' toegevoegd.</t>
  </si>
  <si>
    <t>In de bibliotheek zijn collectieve tapwatertoestellen (VR-combi, HR-combi) toegevoegd.</t>
  </si>
  <si>
    <t>In de bibliotheek is een boosterwarmtepomp toegevoegd.
Principe: stel een COP van 4,0 voor de booster-WP. Dan komt 3/4e deel van de te leveren warmte uit het warmtenet (=preferent toestel), 1/4e deel wordt elektrisch toegevoegd door de booster-WP (niet-preferent toestel). Het warmtenet is te kiezen door de gebruiker in de bibliotheek. Staat wel los van de keuze bij RV op de variant! Dit is niet helemaal conform NTA 8800, want daar wordt het elektrische deel gezien als hulpenergie.</t>
  </si>
  <si>
    <t>Wijzigingen 5.01 t.o.v. 5.0</t>
  </si>
  <si>
    <t>Gewijzigd</t>
  </si>
  <si>
    <t>Correctie op het aandeel hernieuwbare energie (tbv indicator EP3/BENG3). Er werd bij ruimteverwarming, ruimtekoeling en tapwater (onterecht) altijd een aandeel 'omgevingswarmte' mee gerekend, ook in geval er geen warmtepomp geselecteerd was. 
Per installatie (preferent en niet-preferent toestel) kan in de bibliotheek maar één keer kan worden aangegeven of een toestel een warmtepomp is met hernieuwbare bron. Uitgangspunt is dat dat alleen het preferente toestel is.</t>
  </si>
  <si>
    <t>Correctie bij berekening regeneratie als gekozen is voor warmtepomp met aquifer.</t>
  </si>
  <si>
    <t>Correctie bij berekening BENG-eisen woningen/woongebouwen.</t>
  </si>
  <si>
    <t xml:space="preserve">Correctie bij invoer eigen toestellen tapwater in bibliotheek.. </t>
  </si>
  <si>
    <t>Wijzigingen 5.0 t.o.v. 4.3.2</t>
  </si>
  <si>
    <t>Gewijzigd / Toegevoegd / Verwijderd</t>
  </si>
  <si>
    <t>&gt;&gt; Zie apart tabblad 'wijzigingen 5.0'</t>
  </si>
  <si>
    <t>Disclaimer</t>
  </si>
  <si>
    <t>Aan het Rekenmodel Uniforme Maatlat kunnen geen rechten worden ontleend.
Hoewel dit instrument met de grootst mogelijke zorg is samengesteld, kan RVO geen enkele aansprakelijkheid aanvaarden voor schade als gevolg van eventuele onjuistheden en/of uitvoering of gebruik op van het instrument.</t>
  </si>
  <si>
    <t>Compacte handleiding</t>
  </si>
  <si>
    <t>Inleiding</t>
  </si>
  <si>
    <t>&gt;&gt; Protocol Uniforme Maatlat Gebouwde Omgeving (UMGO) voor de warmtevoorziening in de woning- en utiliteitsbouw</t>
  </si>
  <si>
    <t>Benodigde invoer tabblad 'woningen|utiliteit'</t>
  </si>
  <si>
    <t>Benodigde invoer tabbladen 'variant x'</t>
  </si>
  <si>
    <t>Markering invoergegevens</t>
  </si>
  <si>
    <t>Cellen waar gegevens kunnen worden ingevoerd zijn in het model met kleuren gemarkeerd:</t>
  </si>
  <si>
    <t>- nog niet gevulde cellen waar OPTIONEEL informatie kan worden ingevoerd zijn LICHTGEEL gemarkeerd;</t>
  </si>
  <si>
    <t>- ingevulde cellen, gerelateerd aan gegevens per gebouwtype, zijn DONKERGROEN gemarkeerd, met witte tekst;</t>
  </si>
  <si>
    <t>- ingevulde cellen, gerelateerd aan gegevens per energiepost, zijn DONKERBLAUW gemarkeerd, met witte tekst;</t>
  </si>
  <si>
    <t>- nog niet ingevulde cellen waar VERPLICHT informatie moet worden ingevoerd zijn ROOD gemarkeerd.</t>
  </si>
  <si>
    <t>Navigatie</t>
  </si>
  <si>
    <r>
      <rPr>
        <sz val="10"/>
        <color rgb="FF275937"/>
        <rFont val="Calibri"/>
        <family val="2"/>
      </rPr>
      <t>tussen de verschillende tabbladen</t>
    </r>
    <r>
      <rPr>
        <sz val="10"/>
        <color indexed="8"/>
        <rFont val="Calibri"/>
        <family val="2"/>
      </rPr>
      <t xml:space="preserve">
Tussen de bladen kan worden genavigeerd met de tabs onderin, of met de knoppenbalk bovenin.
</t>
    </r>
    <r>
      <rPr>
        <sz val="10"/>
        <color rgb="FF275937"/>
        <rFont val="Calibri"/>
        <family val="2"/>
      </rPr>
      <t>binnen elk tabblad</t>
    </r>
    <r>
      <rPr>
        <sz val="10"/>
        <color indexed="8"/>
        <rFont val="Calibri"/>
        <family val="2"/>
      </rPr>
      <t xml:space="preserve">
- Door de TAB te gebruiken komt de gebruiker automatisch in alle invoercellen op een blad.
- In de eerste kolom(men) is een filter gemaakt waarmee (delen) van de tabellen kunnen worden gefilterd.</t>
    </r>
  </si>
  <si>
    <t>Rekenbladen (variant 1, …., variant 6)</t>
  </si>
  <si>
    <t>Per rekenblad/variant worden de CO2-emissie en het (primaire) energiegebruik van de ingevoerde woningen en utiliteitsgebouwen berekend, op basis van gebouwkenmerken (grootte, vorm, isolatieniveau), type installatie, niet gebouwgebonden elektriciteitsgebruik en lokale (hernieuwbare)elektriciteitsproductie.
Per locatie en per variant gaat om het energiegebruik voor:
-  ruimteverwarming;
-  koeling;
-  warmtapwater;
-  ventilatoren;
-  verlichting;
-  niet gebouwgebonden elektriciteitsgebruik (computer, tv, huishoudelijk, et cetera);
-  mobiliteit (elektrische auto's);
en het effect van lokaal geproduceerde elektriciteit (warmtekracht, zonnecellen).
Naast CO2 emissie en (primair) energiegebruik wordt per gebouwtype een indicatie gegeven van de energieprestatie-indicatoren cf. NTA8800 en worden deze getoetst aan de BENG-eisen:
-  warmte-/koudebehoefte (met ventilatiesysteem C1);
-  het primair energiegebruik;
-  de bijdragen van hernieuwbare bronnen.</t>
  </si>
  <si>
    <t>Resultaten</t>
  </si>
  <si>
    <t>Het resultatenblad verzamelt de resultaten van de verschillende rekenbladen. De belangrijkste resultaten worden ook in een grafiek weergegeven.
Op het resultatenblad kan worden aangegeven welke variant als referentie moet worden gebruikt. Voor een aantal resultaten worden de resultaten ten opzichte van die variant aangegeven.</t>
  </si>
  <si>
    <t>Bibliotheek</t>
  </si>
  <si>
    <t>De bibliotheek bevat een groot aantal forfaitaire waarden die in de berekeningen worden gebruikt. Deze zijn overgenomen uit of gebaseerd NTA8800, EMG (NEN7125), CBS gegevens, de energielabeldatabase, Voorbeeldwoningen 2020, eerdere versies van de UMGO, e.a. Waar nodig is de bron per tabel in de bibliotheek aangegeven.</t>
  </si>
  <si>
    <t>In de bibliotheek kan een aantal gebouwen (woningen, utiliteitsgebouwen), installaties (ruimteverwarming/warmtapwater, koeling) en energiedragers worden toegevoegd. In de betreffende tabellen zijn deze cellen geel gemarkeerd.Ook hier kan de gebruiker direct of met de TAB naar de betreffende cel gaan.
Nieuwe gebouwen en installaties worden in de maatlat zichtbaar in keuzemenu’s bij de invoer van woningen, utiliteitsgebouwen en installaties.</t>
  </si>
  <si>
    <t>Inzicht in de berekening</t>
  </si>
  <si>
    <t>De maatlat geeft de mogelijkheid om voor één locatie verschillende variantberekeningen te maken. Elke variantberekening geeft boven aan in het tabblad de berekende primaire energiegebruiken, CO2-emissies en m3 verbuikt gas.
De belangrijkste resultaten van elke variant worden in het tabblad 'resultaten' bij elkaar gezet.</t>
  </si>
  <si>
    <t>Filteren tabellen</t>
  </si>
  <si>
    <t>De UMGO biedt op de tabbladen 'variant x', 'resultaten' en 'bibliotheek' de mogelijkheid gegevens te filteren. In de eerste (en bij 'variant x' ook de tweede kolom) is bovenaan het tabblad een knop waarmee filtermogelijkheden worden getoond. Daarmee is het mogelijk om zichtbaarheid van tabellen te kiezen.</t>
  </si>
  <si>
    <t>.</t>
  </si>
  <si>
    <t>invoer woningen|utiliteitsgebouwen</t>
  </si>
  <si>
    <t>project</t>
  </si>
  <si>
    <t>filter</t>
  </si>
  <si>
    <t>naam berekening</t>
  </si>
  <si>
    <t>korte toelichting</t>
  </si>
  <si>
    <t>samenvatting locaties</t>
  </si>
  <si>
    <t>som locaties</t>
  </si>
  <si>
    <t>totaal</t>
  </si>
  <si>
    <t>woningen</t>
  </si>
  <si>
    <t>utiliteit</t>
  </si>
  <si>
    <t>01.invoer</t>
  </si>
  <si>
    <t>gesommeerde aantallen en gebruiksoppervlaktes</t>
  </si>
  <si>
    <t>totaal aantal woningen|utiliteitsgebouwen</t>
  </si>
  <si>
    <t>won|geb</t>
  </si>
  <si>
    <t>totaal gebruiksoppervlakte woningen|utiliteitsgebouwen</t>
  </si>
  <si>
    <t>m2 won|geb</t>
  </si>
  <si>
    <t>locatie 1</t>
  </si>
  <si>
    <t>gegevens woningen|gebouwen</t>
  </si>
  <si>
    <t>naam locatie</t>
  </si>
  <si>
    <t>-</t>
  </si>
  <si>
    <t>type woning|utiliteitsgebouw</t>
  </si>
  <si>
    <t>woning vrij L</t>
  </si>
  <si>
    <t>gebruiksfunctie gekozen type</t>
  </si>
  <si>
    <t xml:space="preserve">   optioneel: toelichting of eigen naam woning|utiliteitsgebouw</t>
  </si>
  <si>
    <t>aantal woningen|utiliteitsgebouwen per type</t>
  </si>
  <si>
    <t>aantal woningen</t>
  </si>
  <si>
    <t>won</t>
  </si>
  <si>
    <t>aantal utiliteitsgebouwen</t>
  </si>
  <si>
    <t>geb</t>
  </si>
  <si>
    <t>gebruiksoppervlakte</t>
  </si>
  <si>
    <t>m2/won|geb</t>
  </si>
  <si>
    <t xml:space="preserve">   optioneel: eigen waarde</t>
  </si>
  <si>
    <t>verliesoppervlakte</t>
  </si>
  <si>
    <t>locatie 2</t>
  </si>
  <si>
    <t>locatie 3</t>
  </si>
  <si>
    <t>locatie 4</t>
  </si>
  <si>
    <t>EINDE</t>
  </si>
  <si>
    <t>00.kop</t>
  </si>
  <si>
    <t xml:space="preserve"> </t>
  </si>
  <si>
    <t>installaties</t>
  </si>
  <si>
    <t>preferent  |  niet preferent</t>
  </si>
  <si>
    <t>naam variant</t>
  </si>
  <si>
    <t>verwarming</t>
  </si>
  <si>
    <t>toelichting</t>
  </si>
  <si>
    <t>koeling</t>
  </si>
  <si>
    <t>filter 1</t>
  </si>
  <si>
    <t>filter 2</t>
  </si>
  <si>
    <t>NTA8800</t>
  </si>
  <si>
    <t>warmtapwater</t>
  </si>
  <si>
    <t>00. samenvatting</t>
  </si>
  <si>
    <t>00. kop</t>
  </si>
  <si>
    <t>tapwater</t>
  </si>
  <si>
    <t>verlichting</t>
  </si>
  <si>
    <t>ventilatoren</t>
  </si>
  <si>
    <t>kookgas</t>
  </si>
  <si>
    <t>overig elektra</t>
  </si>
  <si>
    <t>mobiliteit</t>
  </si>
  <si>
    <t>zonnepanelen</t>
  </si>
  <si>
    <t>04. resultaat</t>
  </si>
  <si>
    <t>primair energiegebruik</t>
  </si>
  <si>
    <t>MWh_prim</t>
  </si>
  <si>
    <t>CO2 emissie</t>
  </si>
  <si>
    <t>ton</t>
  </si>
  <si>
    <t>aardgas in locatie</t>
  </si>
  <si>
    <t>x1000 m3</t>
  </si>
  <si>
    <t>01. woningen &amp; utiliteitsgebouwen</t>
  </si>
  <si>
    <r>
      <t>woningen|utiliteitsgebouwen</t>
    </r>
    <r>
      <rPr>
        <sz val="16"/>
        <color rgb="FF275937"/>
        <rFont val="Calibri"/>
        <family val="2"/>
        <scheme val="minor"/>
      </rPr>
      <t xml:space="preserve"> terugkoppeling invoer</t>
    </r>
  </si>
  <si>
    <t>gebouwtype</t>
  </si>
  <si>
    <t>extra info over (deel)locatie en woningen</t>
  </si>
  <si>
    <t>gebruiksfunctie</t>
  </si>
  <si>
    <t>gestapeld (1) / niet gestapeld (0) (alleen woningen)</t>
  </si>
  <si>
    <t>aantallen</t>
  </si>
  <si>
    <t>01. invoer</t>
  </si>
  <si>
    <t>aantal woningen|utiliteitsgebouwen</t>
  </si>
  <si>
    <t>won|geb/type</t>
  </si>
  <si>
    <t>aantal woningen (niet gestapeld)</t>
  </si>
  <si>
    <t>aantal woningen in woongebouw (gestapeld)</t>
  </si>
  <si>
    <t>totaal aantal woningen|utiliteitsgebouwen in de deellocatie</t>
  </si>
  <si>
    <t>afmetingen</t>
  </si>
  <si>
    <t>per type woning|utiliteitsgebouw</t>
  </si>
  <si>
    <t>totaal per type</t>
  </si>
  <si>
    <t>m2</t>
  </si>
  <si>
    <t>totaal per locatie</t>
  </si>
  <si>
    <t>verhouding verlies-/gebruiksoppervlakte per woning|utiliteitsgebouw</t>
  </si>
  <si>
    <t>m2/m2</t>
  </si>
  <si>
    <t>verhouding raam-/gebruiksoppervlakte per woning|utiliteitsgebouw</t>
  </si>
  <si>
    <t>02. energiemaatregelen</t>
  </si>
  <si>
    <t>energiemaatregelen met effect op energiebehoefte</t>
  </si>
  <si>
    <t>invoer energiepakket per woning | gebouw</t>
  </si>
  <si>
    <t>isolatiepakket gebouwschil</t>
  </si>
  <si>
    <t>type ventilatiesysteem</t>
  </si>
  <si>
    <t>type ventilator</t>
  </si>
  <si>
    <t>zeer energiezuinig</t>
  </si>
  <si>
    <t>%</t>
  </si>
  <si>
    <t>geïnstalleerd vermogen verlichting (alleen utiliteitsbouw)</t>
  </si>
  <si>
    <t>W/m2</t>
  </si>
  <si>
    <t>type verlichtingsregeling (alleen utiliteitsbouw)</t>
  </si>
  <si>
    <t>automatisch aan, sensoren automatisch dimmen</t>
  </si>
  <si>
    <t>energiedrager koken (alleen woningbouw)</t>
  </si>
  <si>
    <t>elektriciteit</t>
  </si>
  <si>
    <t>besparing niet gebouwgebonden elektriciteit tov referentie  [0%-100%]</t>
  </si>
  <si>
    <t>03. energiebehoefte</t>
  </si>
  <si>
    <t>foutcontrole invoer energiepakket</t>
  </si>
  <si>
    <t>invoer correct/volledig?</t>
  </si>
  <si>
    <t>kenmerken isolatiepakket gebouwschil</t>
  </si>
  <si>
    <r>
      <t>gemiddelde warmtedoorgangscoëfficiënt (U</t>
    </r>
    <r>
      <rPr>
        <vertAlign val="subscript"/>
        <sz val="10"/>
        <color rgb="FF000000"/>
        <rFont val="Calibri Light"/>
        <family val="2"/>
      </rPr>
      <t>gemiddeld</t>
    </r>
    <r>
      <rPr>
        <sz val="10"/>
        <color indexed="8"/>
        <rFont val="Calibri Light"/>
        <family val="2"/>
      </rPr>
      <t>)</t>
    </r>
  </si>
  <si>
    <t>W/m2K</t>
  </si>
  <si>
    <t>gebouwgebonden (NTA8800) en niet-gebouwgebonden energiebehoefte</t>
  </si>
  <si>
    <t>kWh/m2</t>
  </si>
  <si>
    <t>elektriciteitsvraag voor mobiliteit (elektrische auto)</t>
  </si>
  <si>
    <t>kWh/won|geb</t>
  </si>
  <si>
    <t>Lokale opwek hernieuwbare elektriciteit</t>
  </si>
  <si>
    <t>gesommeerd per deellocatie</t>
  </si>
  <si>
    <t>energiebehoefte alle woningen|gebouwen gesommeerd per energiepost</t>
  </si>
  <si>
    <t>MWh</t>
  </si>
  <si>
    <t>04. installatie</t>
  </si>
  <si>
    <r>
      <t xml:space="preserve">installatie </t>
    </r>
    <r>
      <rPr>
        <sz val="16"/>
        <color theme="3"/>
        <rFont val="Calibri"/>
        <family val="2"/>
        <scheme val="minor"/>
      </rPr>
      <t>systeem</t>
    </r>
  </si>
  <si>
    <t>keuze preferent toestel</t>
  </si>
  <si>
    <t>naam preferent toestel</t>
  </si>
  <si>
    <t>coll. HR-ketel HT</t>
  </si>
  <si>
    <t>geen</t>
  </si>
  <si>
    <t>HR107 combi</t>
  </si>
  <si>
    <t>HR107</t>
  </si>
  <si>
    <t>distributie intern</t>
  </si>
  <si>
    <t>kengetal distributierendement intern</t>
  </si>
  <si>
    <t xml:space="preserve">   optioneel: eigen waarde [0,1-1,0]</t>
  </si>
  <si>
    <t>distributieverlies binnen gebouw</t>
  </si>
  <si>
    <t>thermische zonne-energie</t>
  </si>
  <si>
    <t>nee</t>
  </si>
  <si>
    <t>bijdrage thermische zonne-energie</t>
  </si>
  <si>
    <t>distributie extern</t>
  </si>
  <si>
    <t>warmteverlies distributie extern per woning|utiliteitsgebouw</t>
  </si>
  <si>
    <t>MWh/won|geb</t>
  </si>
  <si>
    <t>distributieverlies buiten gebouw</t>
  </si>
  <si>
    <t>totaal aan distributienet te leveren warmte/koude</t>
  </si>
  <si>
    <t>03. tussenresultaat</t>
  </si>
  <si>
    <t>totaal te leveren warmte/koude aan distributienet</t>
  </si>
  <si>
    <t>indicatie aantal toestellen</t>
  </si>
  <si>
    <t>tst.</t>
  </si>
  <si>
    <t>indicatie vermogen voor ruimteverwarming en koeling</t>
  </si>
  <si>
    <t>kW</t>
  </si>
  <si>
    <t>05. preferent toestel</t>
  </si>
  <si>
    <r>
      <t xml:space="preserve">installatie </t>
    </r>
    <r>
      <rPr>
        <sz val="16"/>
        <color theme="3"/>
        <rFont val="Calibri"/>
        <family val="2"/>
        <scheme val="minor"/>
      </rPr>
      <t>preferent toestel</t>
    </r>
  </si>
  <si>
    <t>kenmerken preferent toestel</t>
  </si>
  <si>
    <t>energiedrager</t>
  </si>
  <si>
    <t>index hernieuwbare energiefactor</t>
  </si>
  <si>
    <r>
      <t xml:space="preserve">finaal energiegebruik </t>
    </r>
    <r>
      <rPr>
        <sz val="10"/>
        <color theme="3"/>
        <rFont val="Calibri Light"/>
        <family val="2"/>
      </rPr>
      <t>exclusief hulpenergie</t>
    </r>
  </si>
  <si>
    <t>dekkingsgraad</t>
  </si>
  <si>
    <t xml:space="preserve">   optioneel: eigen waarde [0%-100%]</t>
  </si>
  <si>
    <t>door preferent toestel te leveren warmte/koude</t>
  </si>
  <si>
    <t>opwekkingsrendement / COP</t>
  </si>
  <si>
    <t xml:space="preserve">   optioneel: eigen waarde [0,100-15,000]</t>
  </si>
  <si>
    <t>elektriciteitsderving WKK Δε;chp;el / ε;chp;th</t>
  </si>
  <si>
    <t>COP aquiferpomp</t>
  </si>
  <si>
    <t>warmte/koude uit aquifer</t>
  </si>
  <si>
    <t>finaal energiegebruik preferent toestel</t>
  </si>
  <si>
    <t>MWh_finaal</t>
  </si>
  <si>
    <t>02. invoer (gedetailleerd)</t>
  </si>
  <si>
    <t>MWh_prim/MWh_finaal</t>
  </si>
  <si>
    <t xml:space="preserve">   optioneel: eigen waarde [0,00-2,00]</t>
  </si>
  <si>
    <t>CO2 emissiecoëfficiënt</t>
  </si>
  <si>
    <t>ton CO2/MWh_finaal</t>
  </si>
  <si>
    <t xml:space="preserve">   optioneel: eigen waarde [0,000-1,000]</t>
  </si>
  <si>
    <t>ton CO2</t>
  </si>
  <si>
    <t>kenmerken die later gebruikt worden</t>
  </si>
  <si>
    <t>regeneratie</t>
  </si>
  <si>
    <t>pompenergie per MWh geleverde warmte/koude</t>
  </si>
  <si>
    <t>MWh_elek/MWh</t>
  </si>
  <si>
    <t>elektrisch rendement warmtekracht</t>
  </si>
  <si>
    <t xml:space="preserve">   optioneel: eigen waarde [0,00-0,50]</t>
  </si>
  <si>
    <t>06. niet-preferent toestel</t>
  </si>
  <si>
    <r>
      <t xml:space="preserve">installatie </t>
    </r>
    <r>
      <rPr>
        <sz val="16"/>
        <color theme="3"/>
        <rFont val="Calibri"/>
        <family val="2"/>
        <scheme val="minor"/>
      </rPr>
      <t>niet-preferent toestel</t>
    </r>
  </si>
  <si>
    <t>naam niet-preferent toestel</t>
  </si>
  <si>
    <t>door niet-preferent toestel te leveren warmte/koude</t>
  </si>
  <si>
    <t>opwekkingsrendement</t>
  </si>
  <si>
    <t>finaal energiegebruik niet preferent toestel</t>
  </si>
  <si>
    <t>07. aftapwarmte</t>
  </si>
  <si>
    <t>08. energie niet voor verwarmen/koelen</t>
  </si>
  <si>
    <t>energiegebruik niet voor verwarmen/koelen</t>
  </si>
  <si>
    <t>elektriciteitsgebruik regeneratie, pompenergie, hulpenergie, verlichting, ventilatoren, apparatuur, mobiliteit</t>
  </si>
  <si>
    <t>kental elektriciteit regeneratie</t>
  </si>
  <si>
    <t>elektriciteitsgebruik regeneratie</t>
  </si>
  <si>
    <t>elektriciteitsgebruik 'overig'</t>
  </si>
  <si>
    <t>elektriciteitsgebruik pompenergie warmte/koudedistributie</t>
  </si>
  <si>
    <t>CO2 emissie overig elektriciteitsgebruik</t>
  </si>
  <si>
    <t>09. elektriciteitsproductie lokaal</t>
  </si>
  <si>
    <t>TOTAAL</t>
  </si>
  <si>
    <t>vermeden CO2 emissie lokale elektriciteitsproductie</t>
  </si>
  <si>
    <t>CO2 emissiecoëfficiënt elektriciteit eigen gebruik</t>
  </si>
  <si>
    <t>CO2 emissiecoëfficiënt geëxporteerde elektriciteit</t>
  </si>
  <si>
    <t>10. finaal energiegebruik</t>
  </si>
  <si>
    <t>finaal energiegebruik</t>
  </si>
  <si>
    <t>finale energievraag - indicatie per energiedrager gemiddeld per woning|utiliteitsgebouw</t>
  </si>
  <si>
    <t>gas</t>
  </si>
  <si>
    <t>warmte</t>
  </si>
  <si>
    <t>finale energievraag - indicatie per energiedrager gemiddeld per m2 gebruiksoppervlakte</t>
  </si>
  <si>
    <t>m3/m2</t>
  </si>
  <si>
    <t>GJ/m2</t>
  </si>
  <si>
    <t>preferent toestel</t>
  </si>
  <si>
    <t>energiegebruik</t>
  </si>
  <si>
    <t>niet preferent toestel</t>
  </si>
  <si>
    <t>kookgas en elektra overig</t>
  </si>
  <si>
    <t>&amp; lokaal geprod. elektriciteit</t>
  </si>
  <si>
    <t>12. hernieuwbare energie</t>
  </si>
  <si>
    <r>
      <t>warmtepomp (E</t>
    </r>
    <r>
      <rPr>
        <sz val="10"/>
        <color rgb="FF000000"/>
        <rFont val="Calibri"/>
        <family val="2"/>
      </rPr>
      <t>Pren;hp</t>
    </r>
    <r>
      <rPr>
        <sz val="10"/>
        <color indexed="8"/>
        <rFont val="Calibri"/>
        <family val="2"/>
      </rPr>
      <t>)</t>
    </r>
  </si>
  <si>
    <r>
      <t>vrije koeling (E</t>
    </r>
    <r>
      <rPr>
        <sz val="10"/>
        <color rgb="FF000000"/>
        <rFont val="Calibri"/>
        <family val="2"/>
      </rPr>
      <t>Pren;gen;out</t>
    </r>
    <r>
      <rPr>
        <sz val="10"/>
        <color indexed="8"/>
        <rFont val="Calibri"/>
        <family val="2"/>
      </rPr>
      <t>)</t>
    </r>
  </si>
  <si>
    <t>biomassagestookte toestellen (EPren;gen;out)</t>
  </si>
  <si>
    <t>externe warmte-/koudelevering (EPren;gen;out)</t>
  </si>
  <si>
    <t>absorptiekoeling op ext. warmtelevering (EPren;gen;out)</t>
  </si>
  <si>
    <t>zonneboiler (EPren;sol;prac)</t>
  </si>
  <si>
    <t>hernieuwbaar opgewekte elektriciteit (EPren;el)</t>
  </si>
  <si>
    <t>13. PEF</t>
  </si>
  <si>
    <t>PEF</t>
  </si>
  <si>
    <t>geografisch niveau installatie</t>
  </si>
  <si>
    <t>14. warmte-/koudebehoefte</t>
  </si>
  <si>
    <t>15. (hulptabel)</t>
  </si>
  <si>
    <t>05. (hulpregel)</t>
  </si>
  <si>
    <t>(hulptabel)</t>
  </si>
  <si>
    <t>relatieve bijdrage energievraag ruimteverwarming</t>
  </si>
  <si>
    <t>relatieve bijdrage energievraag koeling</t>
  </si>
  <si>
    <t>relatieve bijdrage energievraag warmtapwater</t>
  </si>
  <si>
    <t>kWh_prim/m2</t>
  </si>
  <si>
    <t>warmtekracht (vermeden primair)</t>
  </si>
  <si>
    <t>zonnepanelen (vermeden primair)</t>
  </si>
  <si>
    <t>karakteristiek energiegebruik</t>
  </si>
  <si>
    <t>hernieuwbaar bij verwarming, koeling, warmtapwater</t>
  </si>
  <si>
    <t>aandeel hernieuwbare energie</t>
  </si>
  <si>
    <t>(hulpregel)</t>
  </si>
  <si>
    <t>(hulpregel nummer gebruiksfunctie)</t>
  </si>
  <si>
    <t>BENG 1 (energiebehoefte indicator)</t>
  </si>
  <si>
    <t>BENG 2 (primaire fossiele energie indicator)</t>
  </si>
  <si>
    <t>BENG 3 (aandeel hernieuwbare energie)</t>
  </si>
  <si>
    <t>energieprestatie per woning|utiliteitsgebouw - afgezet tegen BENG-eisen 2021</t>
  </si>
  <si>
    <t>EP 1 (energiebehoefte indicator; groen voldoet aan eis BENG 1)</t>
  </si>
  <si>
    <t>EP 2 (primaire fossiele energie indicator; groen voldoet aan eis BENG 2)</t>
  </si>
  <si>
    <t>EP 3 (aandeel hernieuwbare energie; groen voldoet aan eis BENG 3)</t>
  </si>
  <si>
    <t>energielabel</t>
  </si>
  <si>
    <t>standaardwaarden woningen en woongebouwen t/m 1945</t>
  </si>
  <si>
    <t>standaardwaarde t/m 1945</t>
  </si>
  <si>
    <t>berekende netto warmtevraag</t>
  </si>
  <si>
    <t>standaardwaarden woningen en woongebouwen ná 1945</t>
  </si>
  <si>
    <t>standaardwaarde ná 1945</t>
  </si>
  <si>
    <t>CO2 emissie door energievraag</t>
  </si>
  <si>
    <t>kg CO2/m2</t>
  </si>
  <si>
    <t>vermeden CO2 emissie door lokale elektriciteitsproductie</t>
  </si>
  <si>
    <t>warmtekracht (vermeden CO2 emissie)</t>
  </si>
  <si>
    <t>zonnepanelen (vermeden CO2 emissie)</t>
  </si>
  <si>
    <t>CO2 emissie TOTAAL door vermeden verbruik</t>
  </si>
  <si>
    <t>20. EINDE</t>
  </si>
  <si>
    <t>resultaat varianten</t>
  </si>
  <si>
    <t>resultaten vergelijken met:</t>
  </si>
  <si>
    <t>variant 1</t>
  </si>
  <si>
    <t>selecteer de cel met de gewenste waarde</t>
  </si>
  <si>
    <t>variant 2</t>
  </si>
  <si>
    <t>variant 3</t>
  </si>
  <si>
    <t>variant 4</t>
  </si>
  <si>
    <t>variant 5</t>
  </si>
  <si>
    <t>variant 6</t>
  </si>
  <si>
    <t>algemeen</t>
  </si>
  <si>
    <t>naam variant en type verrekening elektriciteit</t>
  </si>
  <si>
    <t>opwekking elektriciteit</t>
  </si>
  <si>
    <t>invoer correct ingevoerd?</t>
  </si>
  <si>
    <t>invoer locatie</t>
  </si>
  <si>
    <t>aantal woningen|utiliteitsgebouwen per locatie</t>
  </si>
  <si>
    <t>gebruiksoppervlakte woningen|utiliteitsgebouwen per locatie</t>
  </si>
  <si>
    <t>invoer bouwkundig</t>
  </si>
  <si>
    <t>NB matrixformule in tabel &gt;&gt;</t>
  </si>
  <si>
    <t>meest voorkomend pakket bouwkundig</t>
  </si>
  <si>
    <t>invoer mobiliteit</t>
  </si>
  <si>
    <t>MWh/jaar</t>
  </si>
  <si>
    <t>invoer PV</t>
  </si>
  <si>
    <t>invoer opbrengst PV</t>
  </si>
  <si>
    <t>invoer installaties</t>
  </si>
  <si>
    <t>gekozen installaties ruimteverwarming</t>
  </si>
  <si>
    <t>gekozen installaties koeling</t>
  </si>
  <si>
    <t>gekozen installaties warmtapwater</t>
  </si>
  <si>
    <t>gasverbruik</t>
  </si>
  <si>
    <t>jaarlijks gasverbruik locatie</t>
  </si>
  <si>
    <t>x1000 m3 gas/jaar</t>
  </si>
  <si>
    <t>TOTAAL locatie</t>
  </si>
  <si>
    <t>jaarlijks primair energiegebruik locatie</t>
  </si>
  <si>
    <t>MWh_prim/jaar</t>
  </si>
  <si>
    <t>primair energiegebruik per locatie</t>
  </si>
  <si>
    <t>jaarlijks primair energiegebruik locatie 1</t>
  </si>
  <si>
    <t>jaarlijks primair energiegebruik locatie 2</t>
  </si>
  <si>
    <t>jaarlijks primair energiegebruik locatie 3</t>
  </si>
  <si>
    <t>jaarlijks primair energiegebruik locatie 4</t>
  </si>
  <si>
    <t>jaarlijkse CO2 emissie locatie</t>
  </si>
  <si>
    <t>ton/jaar</t>
  </si>
  <si>
    <t>CO2 emissie per locatie</t>
  </si>
  <si>
    <t>jaarlijkse CO2 emissie locatie 1</t>
  </si>
  <si>
    <t>ton CO2/jaar</t>
  </si>
  <si>
    <t>jaarlijkse CO2 emissie locatie 2</t>
  </si>
  <si>
    <t>jaarlijkse CO2 emissie locatie 3</t>
  </si>
  <si>
    <t>jaarlijkse CO2 emissie locatie 4</t>
  </si>
  <si>
    <t>primaire energiefactor verwarming (alleen bij centrale warmte)</t>
  </si>
  <si>
    <t>primaire energiefactor koeling (alleen bij centrale koude)</t>
  </si>
  <si>
    <t>primaire energiefactor tapwater (alleen bij centrale warmte)</t>
  </si>
  <si>
    <t>hernieuwbaar</t>
  </si>
  <si>
    <t>bijdrage hernieuwbare energie</t>
  </si>
  <si>
    <t>grafiek CO2 emissie</t>
  </si>
  <si>
    <t>→</t>
  </si>
  <si>
    <t>grafiek primair energiegebruik</t>
  </si>
  <si>
    <t>grafiek fossiel energiegebruik</t>
  </si>
  <si>
    <t>bibliotheek</t>
  </si>
  <si>
    <t>woningen|utiliteitsgebouwen</t>
  </si>
  <si>
    <t>parameter</t>
  </si>
  <si>
    <t>eenheid</t>
  </si>
  <si>
    <t>hoofdkenmerken woning|utiliteitsgebouwen</t>
  </si>
  <si>
    <t>eigen won_geb</t>
  </si>
  <si>
    <t>naam woning|gebouw [vrije invoer - max 13 karakters ivm leesbaarheid]</t>
  </si>
  <si>
    <t>vrije tekst</t>
  </si>
  <si>
    <t>hoekwoning M</t>
  </si>
  <si>
    <t>logieswoning</t>
  </si>
  <si>
    <t>tussenwon S</t>
  </si>
  <si>
    <t>tussenwon M</t>
  </si>
  <si>
    <t>won XS wg XL</t>
  </si>
  <si>
    <t>woongebouw M</t>
  </si>
  <si>
    <t>bijeenkomst S</t>
  </si>
  <si>
    <t>bijeenkomst M</t>
  </si>
  <si>
    <t>bijeenkomst L</t>
  </si>
  <si>
    <t>bijeenk. XL</t>
  </si>
  <si>
    <t>creche XXS</t>
  </si>
  <si>
    <t>creche XS</t>
  </si>
  <si>
    <t>creche S</t>
  </si>
  <si>
    <t>gezond bed L</t>
  </si>
  <si>
    <t>gezond bed XL</t>
  </si>
  <si>
    <t>gezondheid S</t>
  </si>
  <si>
    <t>kantoor XXS</t>
  </si>
  <si>
    <t>kantoor XS</t>
  </si>
  <si>
    <t>kantoor S</t>
  </si>
  <si>
    <t>kantoor M</t>
  </si>
  <si>
    <t>kantoor XL 1</t>
  </si>
  <si>
    <t>kantoor XL 2</t>
  </si>
  <si>
    <t>logies M</t>
  </si>
  <si>
    <t>school XS</t>
  </si>
  <si>
    <t>school S</t>
  </si>
  <si>
    <t>school M</t>
  </si>
  <si>
    <t>school L</t>
  </si>
  <si>
    <t>school XL</t>
  </si>
  <si>
    <t>sport M</t>
  </si>
  <si>
    <t>sport L</t>
  </si>
  <si>
    <t>winkel XXS</t>
  </si>
  <si>
    <t>winkel XS</t>
  </si>
  <si>
    <t>winkel S</t>
  </si>
  <si>
    <t>winkel XL</t>
  </si>
  <si>
    <t>keuzelijst</t>
  </si>
  <si>
    <t>woning</t>
  </si>
  <si>
    <t>woongebouw</t>
  </si>
  <si>
    <t>kantoor</t>
  </si>
  <si>
    <t>logies</t>
  </si>
  <si>
    <t>onderwijs</t>
  </si>
  <si>
    <t>sport</t>
  </si>
  <si>
    <t>winkel</t>
  </si>
  <si>
    <t>woning: gestapeld (1) / niet gestapeld (0)</t>
  </si>
  <si>
    <t>keuzelijst 0/1</t>
  </si>
  <si>
    <t>m2/won_geb</t>
  </si>
  <si>
    <t>verliesoppervlakken bouwdelen</t>
  </si>
  <si>
    <t>bg vloer</t>
  </si>
  <si>
    <t>dichte gevel</t>
  </si>
  <si>
    <t>plat dak</t>
  </si>
  <si>
    <t>hellend dak</t>
  </si>
  <si>
    <t>raam</t>
  </si>
  <si>
    <t>deur</t>
  </si>
  <si>
    <t>verliesoppervlak t.o.v. gebruiksoppervlakte Als/Ag</t>
  </si>
  <si>
    <t>bron RVO</t>
  </si>
  <si>
    <t>isolatiepakketten gebouwschil</t>
  </si>
  <si>
    <t>voorbeeld gevel</t>
  </si>
  <si>
    <t>naam</t>
  </si>
  <si>
    <t>isolatie bouwdelen</t>
  </si>
  <si>
    <t>eigen pakket</t>
  </si>
  <si>
    <t>A (m2)</t>
  </si>
  <si>
    <r>
      <t>R</t>
    </r>
    <r>
      <rPr>
        <vertAlign val="subscript"/>
        <sz val="10"/>
        <rFont val="Calibri"/>
        <family val="2"/>
        <scheme val="minor"/>
      </rPr>
      <t>c</t>
    </r>
    <r>
      <rPr>
        <sz val="10"/>
        <rFont val="Calibri"/>
        <family val="2"/>
        <scheme val="minor"/>
      </rPr>
      <t xml:space="preserve"> (m2K/W)</t>
    </r>
  </si>
  <si>
    <r>
      <t>R</t>
    </r>
    <r>
      <rPr>
        <vertAlign val="subscript"/>
        <sz val="10"/>
        <rFont val="Calibri"/>
        <family val="2"/>
        <scheme val="minor"/>
      </rPr>
      <t>i+e</t>
    </r>
    <r>
      <rPr>
        <sz val="10"/>
        <rFont val="Calibri"/>
        <family val="2"/>
        <scheme val="minor"/>
      </rPr>
      <t xml:space="preserve"> (m2K/W)</t>
    </r>
  </si>
  <si>
    <r>
      <t>R</t>
    </r>
    <r>
      <rPr>
        <vertAlign val="subscript"/>
        <sz val="10"/>
        <rFont val="Calibri"/>
        <family val="2"/>
        <scheme val="minor"/>
      </rPr>
      <t>totaal</t>
    </r>
    <r>
      <rPr>
        <sz val="10"/>
        <rFont val="Calibri"/>
        <family val="2"/>
        <scheme val="minor"/>
      </rPr>
      <t xml:space="preserve"> (m2K/W)</t>
    </r>
  </si>
  <si>
    <t>U (W/m2K)</t>
  </si>
  <si>
    <t>A*U (W/K)</t>
  </si>
  <si>
    <t>naam pakket</t>
  </si>
  <si>
    <t>streefwaarden</t>
  </si>
  <si>
    <t>2006-2012</t>
  </si>
  <si>
    <t>1992-2005</t>
  </si>
  <si>
    <t>1975-1991</t>
  </si>
  <si>
    <t>1965-1974</t>
  </si>
  <si>
    <t>t/m 1964</t>
  </si>
  <si>
    <t>m2K/W</t>
  </si>
  <si>
    <t>W/K</t>
  </si>
  <si>
    <t>Rc bg vloer</t>
  </si>
  <si>
    <t>per bouwdeel</t>
  </si>
  <si>
    <t>Rc dichte gevel</t>
  </si>
  <si>
    <t>constructie 1</t>
  </si>
  <si>
    <t>Rc plat dak</t>
  </si>
  <si>
    <t>constructie 2</t>
  </si>
  <si>
    <t>Rc hellend dak</t>
  </si>
  <si>
    <t>constructie 3</t>
  </si>
  <si>
    <t>rekenwaarde U bg vloer</t>
  </si>
  <si>
    <t>rekenwaarde U bg vloer, incl weegfactor</t>
  </si>
  <si>
    <t>alle bouwdelen</t>
  </si>
  <si>
    <t>rekenwaarde U dichte gevel</t>
  </si>
  <si>
    <r>
      <t>som A*U ( = ∑</t>
    </r>
    <r>
      <rPr>
        <vertAlign val="subscript"/>
        <sz val="10"/>
        <rFont val="Calibri"/>
        <family val="2"/>
      </rPr>
      <t>(1-x)</t>
    </r>
    <r>
      <rPr>
        <sz val="10"/>
        <rFont val="Calibri"/>
        <family val="2"/>
      </rPr>
      <t>( A</t>
    </r>
    <r>
      <rPr>
        <vertAlign val="subscript"/>
        <sz val="10"/>
        <rFont val="Calibri"/>
        <family val="2"/>
      </rPr>
      <t>x</t>
    </r>
    <r>
      <rPr>
        <sz val="10"/>
        <rFont val="Calibri"/>
        <family val="2"/>
      </rPr>
      <t>/(R</t>
    </r>
    <r>
      <rPr>
        <vertAlign val="subscript"/>
        <sz val="10"/>
        <rFont val="Calibri"/>
        <family val="2"/>
      </rPr>
      <t>c,x</t>
    </r>
    <r>
      <rPr>
        <sz val="10"/>
        <rFont val="Calibri"/>
        <family val="2"/>
      </rPr>
      <t>+R</t>
    </r>
    <r>
      <rPr>
        <vertAlign val="subscript"/>
        <sz val="10"/>
        <rFont val="Calibri"/>
        <family val="2"/>
      </rPr>
      <t>i+e</t>
    </r>
    <r>
      <rPr>
        <sz val="10"/>
        <rFont val="Calibri"/>
        <family val="2"/>
      </rPr>
      <t>) )  )</t>
    </r>
  </si>
  <si>
    <t>rekenwaarde U plat dak</t>
  </si>
  <si>
    <r>
      <t>som A ( = ∑</t>
    </r>
    <r>
      <rPr>
        <vertAlign val="subscript"/>
        <sz val="10"/>
        <rFont val="Calibri"/>
        <family val="2"/>
      </rPr>
      <t>(1-x)</t>
    </r>
    <r>
      <rPr>
        <sz val="10"/>
        <rFont val="Calibri"/>
        <family val="2"/>
      </rPr>
      <t>( A</t>
    </r>
    <r>
      <rPr>
        <vertAlign val="subscript"/>
        <sz val="10"/>
        <rFont val="Calibri"/>
        <family val="2"/>
      </rPr>
      <t>x</t>
    </r>
    <r>
      <rPr>
        <sz val="10"/>
        <rFont val="Calibri"/>
        <family val="2"/>
      </rPr>
      <t xml:space="preserve"> )  )</t>
    </r>
  </si>
  <si>
    <t>rekenwaarde U hellend dak</t>
  </si>
  <si>
    <t>gemiddelde U-waarde ( = som A*U / som A)</t>
  </si>
  <si>
    <t>U-waarde raam</t>
  </si>
  <si>
    <r>
      <t>gemiddelde R</t>
    </r>
    <r>
      <rPr>
        <vertAlign val="subscript"/>
        <sz val="10"/>
        <rFont val="Calibri"/>
        <family val="2"/>
        <scheme val="minor"/>
      </rPr>
      <t>totaal</t>
    </r>
    <r>
      <rPr>
        <sz val="10"/>
        <rFont val="Calibri"/>
        <family val="2"/>
        <scheme val="minor"/>
      </rPr>
      <t xml:space="preserve"> ( = 1 / gemiddelde U-waarde)</t>
    </r>
  </si>
  <si>
    <t>U-waarde deur</t>
  </si>
  <si>
    <r>
      <t>gemiddelde R</t>
    </r>
    <r>
      <rPr>
        <vertAlign val="subscript"/>
        <sz val="10"/>
        <rFont val="Calibri"/>
        <family val="2"/>
        <scheme val="minor"/>
      </rPr>
      <t>c</t>
    </r>
    <r>
      <rPr>
        <sz val="10"/>
        <rFont val="Calibri"/>
        <family val="2"/>
        <scheme val="minor"/>
      </rPr>
      <t xml:space="preserve"> ( = gemiddelde R</t>
    </r>
    <r>
      <rPr>
        <vertAlign val="subscript"/>
        <sz val="10"/>
        <rFont val="Calibri"/>
        <family val="2"/>
        <scheme val="minor"/>
      </rPr>
      <t>totaal</t>
    </r>
    <r>
      <rPr>
        <sz val="10"/>
        <rFont val="Calibri"/>
        <family val="2"/>
        <scheme val="minor"/>
      </rPr>
      <t xml:space="preserve"> - R</t>
    </r>
    <r>
      <rPr>
        <vertAlign val="subscript"/>
        <sz val="10"/>
        <rFont val="Calibri"/>
        <family val="2"/>
        <scheme val="minor"/>
      </rPr>
      <t>i+e</t>
    </r>
    <r>
      <rPr>
        <sz val="10"/>
        <rFont val="Calibri"/>
        <family val="2"/>
        <scheme val="minor"/>
      </rPr>
      <t>)</t>
    </r>
  </si>
  <si>
    <t>ventilatiesystemen</t>
  </si>
  <si>
    <t>ventilatiesysteem B/C</t>
  </si>
  <si>
    <t>A</t>
  </si>
  <si>
    <t>B</t>
  </si>
  <si>
    <t>C1</t>
  </si>
  <si>
    <t>C</t>
  </si>
  <si>
    <t>D1</t>
  </si>
  <si>
    <t>D</t>
  </si>
  <si>
    <t>ventilatorenergie</t>
  </si>
  <si>
    <t>wisselstroom</t>
  </si>
  <si>
    <t>gelijkstroom (vóór 2007)</t>
  </si>
  <si>
    <t>gelijkstroom (vanaf 2007)</t>
  </si>
  <si>
    <t>ventilatiesysteem D</t>
  </si>
  <si>
    <t>installaties ruimteverwarming</t>
  </si>
  <si>
    <t>installatiesystemen ruimteverwarming</t>
  </si>
  <si>
    <t>type systeem</t>
  </si>
  <si>
    <t>eigen installatie</t>
  </si>
  <si>
    <t>naam [vrije invoer - compacte naam verbetert leesbaarheid]</t>
  </si>
  <si>
    <t>VR</t>
  </si>
  <si>
    <t>ind WP, coll grondw, elek bijstook</t>
  </si>
  <si>
    <t>ind WP, ind bodem, elek bijstook</t>
  </si>
  <si>
    <t>ind WP, coll grondw, gas bijstook</t>
  </si>
  <si>
    <t>ind WP, ind bodem, gas bijstook</t>
  </si>
  <si>
    <t>ind wp buitenlucht, elek bijstook</t>
  </si>
  <si>
    <t>ind WP toekomst</t>
  </si>
  <si>
    <t>coll WP, coll grond, gas bijstook</t>
  </si>
  <si>
    <t>coll WP, coll grond, elek bijstook</t>
  </si>
  <si>
    <t>Infrarood</t>
  </si>
  <si>
    <t>geothermie HT</t>
  </si>
  <si>
    <t>gasWKK 200-500 kW HT</t>
  </si>
  <si>
    <t>gasWKK 500-1000 kW HT</t>
  </si>
  <si>
    <t>bio olie/PPO dieselmotor</t>
  </si>
  <si>
    <t>biomassa vergisting</t>
  </si>
  <si>
    <t>biom. verbr. &lt; 10 MWe</t>
  </si>
  <si>
    <t>biom. verbr. 10-50 MWe</t>
  </si>
  <si>
    <t>houtpellet ketel</t>
  </si>
  <si>
    <t>aftap E-centrale (120°C)</t>
  </si>
  <si>
    <t>aftap AVI (120°C)</t>
  </si>
  <si>
    <t>restwarmte (CO2 vrij)</t>
  </si>
  <si>
    <t>ind. CR-ketel HT</t>
  </si>
  <si>
    <t>ind. VR-ketel HT</t>
  </si>
  <si>
    <t>STEG + BIO</t>
  </si>
  <si>
    <t>AVI + BIO</t>
  </si>
  <si>
    <t>Warmtenet prim</t>
  </si>
  <si>
    <t>Warmtenet sec</t>
  </si>
  <si>
    <t>toelichting [optioneel, vrije invoer via 'invoerbericht' in 'gegevensvalidatie']</t>
  </si>
  <si>
    <t>voorbeeld met kwaliteitsverklaring</t>
  </si>
  <si>
    <t>geografisch niveau installatie [keuzelijst]</t>
  </si>
  <si>
    <t>gebouw</t>
  </si>
  <si>
    <t>centraal</t>
  </si>
  <si>
    <t>toestel is warmtepomp met hernieuwbare bron? [0/1]</t>
  </si>
  <si>
    <t>toestel met aquifer/regeneratie? [0/1]</t>
  </si>
  <si>
    <t>afgifterendement/interne warmtedistributieverliezen ruimteverwarming</t>
  </si>
  <si>
    <t>afgifterendement ruimteverwarming [keuzelijst]</t>
  </si>
  <si>
    <t>distributieverlies warmte ruimteverwarming</t>
  </si>
  <si>
    <t>per laagbouwwoning [≥0,0]</t>
  </si>
  <si>
    <t>MWh / won.jaar</t>
  </si>
  <si>
    <t>per gestapelde woning [≥0,0]</t>
  </si>
  <si>
    <t>per utiliteitsgebouw [≥0,0]</t>
  </si>
  <si>
    <t>MWh / geb.jaar</t>
  </si>
  <si>
    <t>gegevens preferent toestel</t>
  </si>
  <si>
    <t>energiedrager [keuzelijst]</t>
  </si>
  <si>
    <t>aardgas</t>
  </si>
  <si>
    <t>bio-olie</t>
  </si>
  <si>
    <t>biomassa (bmB)</t>
  </si>
  <si>
    <t>aftap STEG</t>
  </si>
  <si>
    <t>aftap AVI</t>
  </si>
  <si>
    <t>restwarmte CO2-vrij</t>
  </si>
  <si>
    <t>aftap STEG+BIO</t>
  </si>
  <si>
    <t>aftap AVI+BIO</t>
  </si>
  <si>
    <t>warmtenet (primair)</t>
  </si>
  <si>
    <t>WARMTE | Amersfoort, Parkweelde | Collectief WKO</t>
  </si>
  <si>
    <t>eenheid finaal energiegebruik gebouw</t>
  </si>
  <si>
    <t>dekkingsgraad preferent toestel [&gt;0%-100%]</t>
  </si>
  <si>
    <t>opwekkingsrendement / COP (bovenwaarde) [0,1-15)</t>
  </si>
  <si>
    <t/>
  </si>
  <si>
    <t>pompenergie aquifer (COP) [0-50]</t>
  </si>
  <si>
    <t>elektrisch omzettingsgetal warmtekracht [0,0-0,7]</t>
  </si>
  <si>
    <t>elektriciteitsderving WKK Δε;chp;el / ε;chp;th  [0,0-0,5]</t>
  </si>
  <si>
    <t>MWh elektrisch / MWh</t>
  </si>
  <si>
    <t>gegevens niet-preferent toestel</t>
  </si>
  <si>
    <t>type toestel [vrije invoer]</t>
  </si>
  <si>
    <t>elektrisch element</t>
  </si>
  <si>
    <t>coll HR107</t>
  </si>
  <si>
    <t>nvt</t>
  </si>
  <si>
    <t>thermisch rendement (bovenwaarde) [0,100-15,000]</t>
  </si>
  <si>
    <t>hulpenergie</t>
  </si>
  <si>
    <t>hulpenergie - A [0-100]</t>
  </si>
  <si>
    <t>(NTA8800 par. 9.6.8.1.1.2)</t>
  </si>
  <si>
    <t>kWh/toestel</t>
  </si>
  <si>
    <t>hulpenergie - B [0,0-1,0]</t>
  </si>
  <si>
    <t>kW/toestel</t>
  </si>
  <si>
    <t>hulpenergie - C [0,0-1,0]</t>
  </si>
  <si>
    <r>
      <t>hulpenergie - B,nom [</t>
    </r>
    <r>
      <rPr>
        <sz val="10"/>
        <color indexed="8"/>
        <rFont val="Calibri"/>
        <family val="2"/>
      </rPr>
      <t>≥0</t>
    </r>
    <r>
      <rPr>
        <sz val="9"/>
        <color indexed="8"/>
        <rFont val="Calibri Light"/>
        <family val="2"/>
      </rPr>
      <t>]</t>
    </r>
  </si>
  <si>
    <r>
      <t>standby elektronica (P</t>
    </r>
    <r>
      <rPr>
        <vertAlign val="subscript"/>
        <sz val="10"/>
        <color rgb="FF000000"/>
        <rFont val="Calibri Light"/>
        <family val="2"/>
      </rPr>
      <t>H;aux;gen</t>
    </r>
    <r>
      <rPr>
        <sz val="10"/>
        <color indexed="8"/>
        <rFont val="Calibri Light"/>
        <family val="2"/>
      </rPr>
      <t>) [0-1]</t>
    </r>
  </si>
  <si>
    <t>(NTA8800 par. 9.6.8.2.3)</t>
  </si>
  <si>
    <t>W/toestel</t>
  </si>
  <si>
    <r>
      <t>spec elek gebruik (P</t>
    </r>
    <r>
      <rPr>
        <vertAlign val="subscript"/>
        <sz val="10"/>
        <color rgb="FF000000"/>
        <rFont val="Calibri Light"/>
        <family val="2"/>
      </rPr>
      <t>H;aux;gen;spec</t>
    </r>
    <r>
      <rPr>
        <sz val="10"/>
        <color indexed="8"/>
        <rFont val="Calibri Light"/>
        <family val="2"/>
      </rPr>
      <t>) [0-10]</t>
    </r>
  </si>
  <si>
    <t>W/kW</t>
  </si>
  <si>
    <t>aanname bedrijfstijd t;on [0-8760]</t>
  </si>
  <si>
    <t>h</t>
  </si>
  <si>
    <t>elektriciteitsverbruik collectieve voorziening</t>
  </si>
  <si>
    <t>pompenergie distributie per MWh geleverde warmte [0,0000-0,0100]</t>
  </si>
  <si>
    <t>kental elektriciteitsgebruik regeneratie [0,000-0,100]</t>
  </si>
  <si>
    <t>bron: NTA 8800</t>
  </si>
  <si>
    <t>tabel 9.25</t>
  </si>
  <si>
    <t>tabel 9.27</t>
  </si>
  <si>
    <t>tabel 9.31</t>
  </si>
  <si>
    <t>aanname</t>
  </si>
  <si>
    <t>tabel 9.30</t>
  </si>
  <si>
    <t>par 9.6.7.2</t>
  </si>
  <si>
    <t>voorbeeldinvulling</t>
  </si>
  <si>
    <t>forfaitair vermogen ruimteverwarming</t>
  </si>
  <si>
    <t>parameters tbv bepaling forfaitair vermogen ruimteverwarming</t>
  </si>
  <si>
    <t>factor: energie naar distributienet -&gt; verlies januari transmissie &amp; ventilatie*</t>
  </si>
  <si>
    <t>rekenwaarde lengte januari</t>
  </si>
  <si>
    <t>temperatuur rekenzone verwarming</t>
  </si>
  <si>
    <r>
      <rPr>
        <sz val="10"/>
        <color indexed="8"/>
        <rFont val="Calibri"/>
        <family val="2"/>
      </rPr>
      <t>°</t>
    </r>
    <r>
      <rPr>
        <sz val="10"/>
        <color indexed="8"/>
        <rFont val="Calibri Light"/>
        <family val="2"/>
      </rPr>
      <t>C</t>
    </r>
  </si>
  <si>
    <t>gemiddelde buitentemperatuur januari (NTA8800, tabel 17.2)</t>
  </si>
  <si>
    <t>ontwerp buitentemperatuur buiten voor bepalen benodigd vermogen</t>
  </si>
  <si>
    <t>toeslag voor opwarming - aanname</t>
  </si>
  <si>
    <t>&gt;  NTA 8800 ónder tabel 9.12: formule bepaling ontwerp warmtebehoefte (verwarmingsvermogen nodig om rekenzone op setpointtemperatuur te verwarmen).</t>
  </si>
  <si>
    <t>*) NTA 8800 geeft onder tabel 9.12 een formule voor het forfaitair verwarmingsvermogen o.b.v. het warmteverlies voor transmissie en ventilatie in januari.</t>
  </si>
  <si>
    <t xml:space="preserve">    Het warmteverlies voor transmissie en ventilatie in januari is in UMGO niet beschikbaar. De geleverde energie aan het distributienet wel.</t>
  </si>
  <si>
    <t xml:space="preserve">    Met gegevens uit energielabeldatabase 2020 is een verband gevonden tussen deze parameters voor berekenen van forfaitair verwarmingsvermogen (zie grafiek).</t>
  </si>
  <si>
    <t>installaties warmtapwater</t>
  </si>
  <si>
    <t>installatiesystemen warmtapwater</t>
  </si>
  <si>
    <t>keukengeiser</t>
  </si>
  <si>
    <t>TOEKOMST ind WP, coll grondw, elek bijstook</t>
  </si>
  <si>
    <t>elektroboiler</t>
  </si>
  <si>
    <t>ind. CR-combitap</t>
  </si>
  <si>
    <t>ind. VR-combitap</t>
  </si>
  <si>
    <t>separaat tapwaternet</t>
  </si>
  <si>
    <t>warmtepompboiler</t>
  </si>
  <si>
    <t>VR combi collectief</t>
  </si>
  <si>
    <t>HR107 combi collectief</t>
  </si>
  <si>
    <t>booster warmtepomp COP 3,5</t>
  </si>
  <si>
    <t>eigen booster-WP</t>
  </si>
  <si>
    <t>hr107</t>
  </si>
  <si>
    <t>voorbeeld</t>
  </si>
  <si>
    <t>gebied</t>
  </si>
  <si>
    <t>systeemrendement binnen gebouw</t>
  </si>
  <si>
    <t>systeemrendement warmtapwater binnen het gebouw [0,50-1,00]</t>
  </si>
  <si>
    <t>warmteverlies externe distributie warmte tapwater (bron: tabel 10)</t>
  </si>
  <si>
    <t>per laagbouwwoning [0,0-2,0]</t>
  </si>
  <si>
    <t>per gestapelde woning [0,0-2,0]</t>
  </si>
  <si>
    <r>
      <t>per utiliteitsgebouw [</t>
    </r>
    <r>
      <rPr>
        <sz val="10"/>
        <color indexed="8"/>
        <rFont val="Calibri"/>
        <family val="2"/>
      </rPr>
      <t>≥</t>
    </r>
    <r>
      <rPr>
        <sz val="10"/>
        <color indexed="8"/>
        <rFont val="Calibri Light"/>
        <family val="2"/>
      </rPr>
      <t>0,0]</t>
    </r>
  </si>
  <si>
    <t>warmtenet (secundair)</t>
  </si>
  <si>
    <t>booster warmtepomp</t>
  </si>
  <si>
    <t>ELEKTR</t>
  </si>
  <si>
    <t>bron: NTA8800</t>
  </si>
  <si>
    <t>tabel 13.25, BCRG</t>
  </si>
  <si>
    <t>tabel 13.25</t>
  </si>
  <si>
    <t>EPG NEN 7120, tabel 19.16</t>
  </si>
  <si>
    <t>tabel 16</t>
  </si>
  <si>
    <t>tabel 13.28</t>
  </si>
  <si>
    <t>installaties koeling</t>
  </si>
  <si>
    <t>installatiesystemen koeling</t>
  </si>
  <si>
    <t>compressie koelmachine</t>
  </si>
  <si>
    <t>compr. HT-afgifte of condensor of koeltoren</t>
  </si>
  <si>
    <t>compr. HT-afgifte en condensor of koeltoren</t>
  </si>
  <si>
    <t>compr. LT-koudebron  (regeneratie)</t>
  </si>
  <si>
    <t>compr. HT-afgifte en LT-koudebron  (regeneratie)</t>
  </si>
  <si>
    <t>koude opslag/aquifer  (regeneratie)</t>
  </si>
  <si>
    <t>warmtepomp met buitenlucht als bron</t>
  </si>
  <si>
    <t>absorptiekoeling op gas</t>
  </si>
  <si>
    <t>absorptiekoeling op warmte</t>
  </si>
  <si>
    <t>WKK + absorptiekoeling</t>
  </si>
  <si>
    <t>vrije koeling? [0/1]</t>
  </si>
  <si>
    <t>opwekkingsrendement [0,1-15]</t>
  </si>
  <si>
    <t>elektrisch rendement warmtekracht [0,000-0,700]</t>
  </si>
  <si>
    <t>opwekkingsrendement [0,100-15,000]</t>
  </si>
  <si>
    <t>pompenergie distributie per MWh geleverde koude [0,0000-0,0100]</t>
  </si>
  <si>
    <t>kWh elektrisch / MWh</t>
  </si>
  <si>
    <t>tabel 10.29</t>
  </si>
  <si>
    <t>NEN 7120, tabel 17.6</t>
  </si>
  <si>
    <t>tabel 10.34</t>
  </si>
  <si>
    <t>forfaitair vermogen koeling</t>
  </si>
  <si>
    <t>parameters tbv bepaling forfaitair vermogen koeling</t>
  </si>
  <si>
    <t>factor</t>
  </si>
  <si>
    <t>factor voor vertaling jaargemiddeld energiegebruik naar vermogen</t>
  </si>
  <si>
    <t>1/h</t>
  </si>
  <si>
    <t>bron: NTA8800 formule 10.60 en tabel 10.17 - inschatting op basis van buiten temperatuur van 24°C.</t>
  </si>
  <si>
    <t xml:space="preserve">bij toepassing thermische zonne-energiesystemen: aandeel zonne-energie in te leveren warmte aan distributienet </t>
  </si>
  <si>
    <t>ruimteverwarming</t>
  </si>
  <si>
    <t>primaire hernieuwbare energiefactor</t>
  </si>
  <si>
    <t>namen hernieuwbare energiedragers en hernieuwbare energiefactor</t>
  </si>
  <si>
    <t>hernieuwbare energiebron</t>
  </si>
  <si>
    <t xml:space="preserve">elektriciteit hernieuwbaar </t>
  </si>
  <si>
    <t>omgevingswarmte</t>
  </si>
  <si>
    <t>omgevingskoude</t>
  </si>
  <si>
    <t>biomassa (bmA)</t>
  </si>
  <si>
    <t>biomassa (bmC)</t>
  </si>
  <si>
    <t>externe warmte of koude (forfaitair)</t>
  </si>
  <si>
    <t>externe warmte of koude (kwal)</t>
  </si>
  <si>
    <t>index ri</t>
  </si>
  <si>
    <t>nren</t>
  </si>
  <si>
    <t>renelect</t>
  </si>
  <si>
    <t>renheat</t>
  </si>
  <si>
    <t>rencold</t>
  </si>
  <si>
    <t>bmA</t>
  </si>
  <si>
    <t>bmB</t>
  </si>
  <si>
    <t>bmC</t>
  </si>
  <si>
    <t>dxforf</t>
  </si>
  <si>
    <t>dxkwal</t>
  </si>
  <si>
    <t>getalswaarde primaire hernieuwbare energiefactor (fPren;ri)</t>
  </si>
  <si>
    <t>fPren;dx</t>
  </si>
  <si>
    <t>getalswaarde kwaliteitsverklaring nodig bij toestellen</t>
  </si>
  <si>
    <t>bron  NTA8800 tabel 5.4 in paragraaf 5.6.3</t>
  </si>
  <si>
    <t>x</t>
  </si>
  <si>
    <t>energiedragers (geen elektra)</t>
  </si>
  <si>
    <t>energiedragers (anders dan elektriciteit)</t>
  </si>
  <si>
    <t>namen, primaire energiefactor, CO2 emissiecoëfficiënt, eenheid finaal energiegebruik</t>
  </si>
  <si>
    <t>toegevoegd</t>
  </si>
  <si>
    <t>eigen e'drager</t>
  </si>
  <si>
    <t>keuze warmtenet</t>
  </si>
  <si>
    <t>energiedrager [vrije invoer - compacte naam verbetert leesbaarheid]</t>
  </si>
  <si>
    <t>stookolie</t>
  </si>
  <si>
    <t>externe koude forfaitair</t>
  </si>
  <si>
    <t>bio-|groen gas</t>
  </si>
  <si>
    <t>KOUDE | Amersfoort, Parkweelde | Collectief WKO</t>
  </si>
  <si>
    <t>MWh_fossiel/MWh_tot</t>
  </si>
  <si>
    <t>CO2 emissiecoëfficiënt  [0,0-0,5]</t>
  </si>
  <si>
    <t>ton/MWh_finaal</t>
  </si>
  <si>
    <t>eenheid t.b.v finaal energiegebruik woning|utiliteitsgebouw [keuzelijst]</t>
  </si>
  <si>
    <t>kWh</t>
  </si>
  <si>
    <t>m3</t>
  </si>
  <si>
    <t>GJ</t>
  </si>
  <si>
    <t>5.2/5.3</t>
  </si>
  <si>
    <t>RVO-W/E</t>
  </si>
  <si>
    <t>bijbehorende hernieuwbare energiebron met primaire hernieuwbare energiefactor</t>
  </si>
  <si>
    <t>eigen energiedrager</t>
  </si>
  <si>
    <t>Biomassa (bmA)</t>
  </si>
  <si>
    <t>uit NTA - tabel 5.4</t>
  </si>
  <si>
    <t>fPren</t>
  </si>
  <si>
    <t>waarde uit kwaliteitsverklaring</t>
  </si>
  <si>
    <t>rekenwaarde</t>
  </si>
  <si>
    <t xml:space="preserve">toelichting </t>
  </si>
  <si>
    <t>aftap verwerkt in fpdel en fpren</t>
  </si>
  <si>
    <r>
      <t xml:space="preserve">geschiktheid voor toepassing </t>
    </r>
    <r>
      <rPr>
        <sz val="10"/>
        <color theme="3"/>
        <rFont val="Calibri"/>
        <family val="2"/>
      </rPr>
      <t>vooral relevant voor warmte- en koudenetten</t>
    </r>
  </si>
  <si>
    <t>voor ruimteverwarming</t>
  </si>
  <si>
    <t>voor koeling</t>
  </si>
  <si>
    <t>voor warmtapwater</t>
  </si>
  <si>
    <t>energiedragers voor ruimteverwarming</t>
  </si>
  <si>
    <t>energiedragers voor koeling</t>
  </si>
  <si>
    <t>energiedragers voor warmtapwater</t>
  </si>
  <si>
    <t>naam warmte-/koudenet</t>
  </si>
  <si>
    <t>TAPWATER | Amersfoort, Parkweelde | Collectief WKO</t>
  </si>
  <si>
    <t>WARMTE | Amsterdam, Buiksloterham | Collectief WKO</t>
  </si>
  <si>
    <t>KOUDE | Amsterdam, Buiksloterham | Collectief WKO</t>
  </si>
  <si>
    <t>WARMTE | Veenendaal, DEVO | Warmte- koudenet</t>
  </si>
  <si>
    <t>KOUDE | Veenendaal, DEVO | Warmte- koudenet</t>
  </si>
  <si>
    <t>WARMTE | Westland, Westmade Noord | Warmtenet</t>
  </si>
  <si>
    <t>WARMTE | Amsterdam, Sluisbuurt | Hybride WKO</t>
  </si>
  <si>
    <t>KOUDE | Amsterdam, Sluisbuurt | Hybride WKO</t>
  </si>
  <si>
    <t>WARMTE | Lelystad | Warmtenet</t>
  </si>
  <si>
    <t>WARMTE LT | Amsterdam, Bullewijk | Collectief WKO</t>
  </si>
  <si>
    <t>WARMTE HT | Amsterdam, Bullewijk | Collectief WKO</t>
  </si>
  <si>
    <t>KOUDE | Amsterdam, Bullewijk | Collectief WKO</t>
  </si>
  <si>
    <t>WARMTE | Roosendaal, Stadsoevers | Warmtenet</t>
  </si>
  <si>
    <t>KOUDE | Amsterdam, Zuidas | Koudenet</t>
  </si>
  <si>
    <t>KOUDE | Amsterdam, Zuidoost | Koudenet</t>
  </si>
  <si>
    <t>WARMTE | Westland, Polanen | Warmtenet</t>
  </si>
  <si>
    <t>WARMTE | Midden- West-Brabant | Warmtenet</t>
  </si>
  <si>
    <t>WARMTE | Eindhoven, de Strijp | Warmtenet</t>
  </si>
  <si>
    <t>WARMTE | Dordrecht | Primair warmtenet</t>
  </si>
  <si>
    <t>WARMTE | Dordrecht | Secundair warmtenet</t>
  </si>
  <si>
    <t>WARMTE | Alkmaar | Primair warmtenet</t>
  </si>
  <si>
    <t>WARMTE | Rotterdan, Eneco | Primair warmtenet</t>
  </si>
  <si>
    <t>WARMTE | Rotterdam, Eneco | Secundair warmtenet</t>
  </si>
  <si>
    <t>WARMTE | Apeldoorn, Zuidbroek | Warmtenet</t>
  </si>
  <si>
    <t>WARMTE | Eindhoven, Meerhoven | Warmtenet</t>
  </si>
  <si>
    <t>WARMTE | Enschede | Warmtenet</t>
  </si>
  <si>
    <t>KOUDE | Hoofddorp, Hydepark | Koudenet</t>
  </si>
  <si>
    <t>WARMTE | Rotterdam, Zuid en Hoogvliet | Primair warmtenet</t>
  </si>
  <si>
    <t>WARMTE | Nijmegen | Primair warmtenet</t>
  </si>
  <si>
    <t>WARMTE | Nijmegen | Secundair warmtenet</t>
  </si>
  <si>
    <t>WARMTE | Duiven, Westervoort, Arnhem | Primair warmtenet</t>
  </si>
  <si>
    <t>WARMTE | Duiven, Westervoort, Arnhem | Secundair warmtenet</t>
  </si>
  <si>
    <t>WARMTE | Amsterdam, West en Noord | Primair warmtenet</t>
  </si>
  <si>
    <t>WARMTE | Amsterdam, West en Noord | Secundair warmtenet</t>
  </si>
  <si>
    <t>WARMTE | Amsterdam, Zuid-Oost en Almere | Primair warmtenet</t>
  </si>
  <si>
    <t>WARMTE | Amsterdam, Zuid-Oost en Almere | Secundair warmtenet</t>
  </si>
  <si>
    <t>WARMTE | Purmerend, SVP | Primair warmtenet</t>
  </si>
  <si>
    <t>WARMTE | Purmerend, SVP | Secundair warmtenet</t>
  </si>
  <si>
    <t>WARMTE | Utrecht en Nieuwgein | Primair warmtenet</t>
  </si>
  <si>
    <t>WARMTE | Utrecht en Nieuwgein | Secundair warmtenet</t>
  </si>
  <si>
    <t>WARMTE | Den Haag | Primair warmtenet</t>
  </si>
  <si>
    <t>WARMTE | Den Haag | Secundair warmtenet</t>
  </si>
  <si>
    <t>nummer of code kwaliteitsverklaring</t>
  </si>
  <si>
    <t>20210502GK</t>
  </si>
  <si>
    <t>20210474GK</t>
  </si>
  <si>
    <t>20210403GK</t>
  </si>
  <si>
    <t>20210313GK</t>
  </si>
  <si>
    <t>20210282GK</t>
  </si>
  <si>
    <t>20210202GK</t>
  </si>
  <si>
    <t>20210124GK</t>
  </si>
  <si>
    <t>20210002GK</t>
  </si>
  <si>
    <t>20201882GK</t>
  </si>
  <si>
    <t>20201880GK</t>
  </si>
  <si>
    <t>20201670GK</t>
  </si>
  <si>
    <t>20201595GK</t>
  </si>
  <si>
    <t>primaire energiefactor (fp;del)</t>
  </si>
  <si>
    <t>hernieuwbare energiefactor (fp,ren)</t>
  </si>
  <si>
    <t>kg/kWh</t>
  </si>
  <si>
    <t>bron: website Bureau CRG</t>
  </si>
  <si>
    <t>energiedrager elektriciteit</t>
  </si>
  <si>
    <t>energiedrager (export) elektriciteit</t>
  </si>
  <si>
    <t>primaire energiefactor en CO2 emissiecoëfficiënt</t>
  </si>
  <si>
    <t>typering opwekking elektriciteit</t>
  </si>
  <si>
    <t>CO2 emissiecoëfficiënt elektriciteit [0,0-0,5]</t>
  </si>
  <si>
    <t>CO2 emissiecoëfficiënt export elektriciteit [0,0-0,5]</t>
  </si>
  <si>
    <t>gebruiksfuncties</t>
  </si>
  <si>
    <t>namen gebruiksfuncties</t>
  </si>
  <si>
    <t>correctiefactor RV;nd</t>
  </si>
  <si>
    <t xml:space="preserve">correctiefactor warmtebehoefte </t>
  </si>
  <si>
    <t>correctie = C1 * U,gem ^ C2</t>
  </si>
  <si>
    <t>formule</t>
  </si>
  <si>
    <t>C2</t>
  </si>
  <si>
    <t>netto warmtebehoefte warmtapwater</t>
  </si>
  <si>
    <t>netto warmtebehoefte warmtapwater per gebruiksfunctie</t>
  </si>
  <si>
    <t>specifiek niet gebouwgebonden elektriciteitsgebruik</t>
  </si>
  <si>
    <t>specifiek niet gebouwgebonden elektriciteitsgebruik utiliteitsgebouwen (NTA8800)</t>
  </si>
  <si>
    <t>specifiek elektriciteitsverbruik apparatuur (NTA8800, tabel 7.3)</t>
  </si>
  <si>
    <t>apparatuur - elektrisch niet gebouwgebonden (8760 uur)</t>
  </si>
  <si>
    <t>bron: NTA8800 tabel 7.3 (specifieke interne warmteproductie door apparatuur) - voor woningen wordt uitgegaan  van cijfers CBS (zie tabel 'huishoudelijk elektriciteitsgebruik woningen')</t>
  </si>
  <si>
    <t>koken</t>
  </si>
  <si>
    <r>
      <t xml:space="preserve">energiegebruik koken op gas/elektriciteit </t>
    </r>
    <r>
      <rPr>
        <sz val="10"/>
        <color theme="3"/>
        <rFont val="Calibri"/>
        <family val="2"/>
      </rPr>
      <t>alleen relevant voor woningen</t>
    </r>
  </si>
  <si>
    <t>koken op elektriciteit</t>
  </si>
  <si>
    <t>per woning</t>
  </si>
  <si>
    <t>kWh/won</t>
  </si>
  <si>
    <t>gemiddeld per m2</t>
  </si>
  <si>
    <t>koken op gas</t>
  </si>
  <si>
    <t>per woning in m3</t>
  </si>
  <si>
    <t>m3/won</t>
  </si>
  <si>
    <t>per woning energetisch in kWh</t>
  </si>
  <si>
    <t>huishoudelijk elektriciteitsgebruik woningen</t>
  </si>
  <si>
    <t>gemiddeld(e) elektriciteitsgebruik en gebruiksoppervlakte NL woningen</t>
  </si>
  <si>
    <t>m2/won</t>
  </si>
  <si>
    <t>aandeel elektrisch koken</t>
  </si>
  <si>
    <t>elektriciteitsgebruik per m2 gebruiksoppervlakte</t>
  </si>
  <si>
    <t>aftrekpost: gebouwgebonden elektriciteitsgebruik</t>
  </si>
  <si>
    <t>W/E 2020</t>
  </si>
  <si>
    <t>aftrekpost: elektriciteitsgebruik koken gemiddeld in Nederland</t>
  </si>
  <si>
    <t>gemiddeld niet-gebouwgebonden</t>
  </si>
  <si>
    <r>
      <t xml:space="preserve">   optioneel: eigen waarde [</t>
    </r>
    <r>
      <rPr>
        <sz val="10"/>
        <color theme="9" tint="-0.24994659260841701"/>
        <rFont val="Calibri"/>
        <family val="2"/>
      </rPr>
      <t>≥</t>
    </r>
    <r>
      <rPr>
        <sz val="9"/>
        <color theme="9" tint="-0.24994659260841701"/>
        <rFont val="Calibri Light"/>
        <family val="2"/>
      </rPr>
      <t>0,00</t>
    </r>
    <r>
      <rPr>
        <sz val="10"/>
        <color theme="9" tint="-0.24994659260841701"/>
        <rFont val="Calibri Light"/>
        <family val="2"/>
      </rPr>
      <t>]</t>
    </r>
  </si>
  <si>
    <t>bronnen: Statline CBS en W/E adviseurs</t>
  </si>
  <si>
    <t>ondergrens QH;nd en QC;nd</t>
  </si>
  <si>
    <r>
      <t>ondergrens Q</t>
    </r>
    <r>
      <rPr>
        <b/>
        <vertAlign val="subscript"/>
        <sz val="16"/>
        <color theme="3"/>
        <rFont val="Calibri"/>
        <family val="2"/>
        <scheme val="minor"/>
      </rPr>
      <t>H;nd</t>
    </r>
    <r>
      <rPr>
        <b/>
        <sz val="16"/>
        <color theme="3"/>
        <rFont val="Calibri"/>
        <family val="2"/>
        <scheme val="minor"/>
      </rPr>
      <t xml:space="preserve"> en Q</t>
    </r>
    <r>
      <rPr>
        <b/>
        <vertAlign val="subscript"/>
        <sz val="16"/>
        <color theme="3"/>
        <rFont val="Calibri"/>
        <family val="2"/>
        <scheme val="minor"/>
      </rPr>
      <t>C;nd</t>
    </r>
  </si>
  <si>
    <t>ondergrens voor</t>
  </si>
  <si>
    <t>QH;nd</t>
  </si>
  <si>
    <t>QC;nd</t>
  </si>
  <si>
    <t>parameters verlichting</t>
  </si>
  <si>
    <r>
      <t>parameters verlichting Q</t>
    </r>
    <r>
      <rPr>
        <b/>
        <vertAlign val="subscript"/>
        <sz val="16"/>
        <color theme="3"/>
        <rFont val="Calibri"/>
        <family val="2"/>
        <scheme val="minor"/>
      </rPr>
      <t>L</t>
    </r>
  </si>
  <si>
    <t>parameters verlichting utiliteitsgebouwen (NTA8800)</t>
  </si>
  <si>
    <t>constante a</t>
  </si>
  <si>
    <t>constante b (*x)</t>
  </si>
  <si>
    <t>kh</t>
  </si>
  <si>
    <t>specifiek gïnstalleerd vermogen forfaitair</t>
  </si>
  <si>
    <t>op basis van analyse van NTA-berekeningen van gebouwen in de energielabeldatabase 2019/2020 (ruim 65.000 utiliteitsgebouwen) en Voorbeeldwoningen 2020.</t>
  </si>
  <si>
    <t>QL (kWh,finaal/m2) = constante a + constante b * geïnstalleerd vermogen (W/m2)</t>
  </si>
  <si>
    <t>de forfaitaire waarde voor het specifiek geïnstalleerd vermogen staat in tabel 14.3 van NTA8800:2019</t>
  </si>
  <si>
    <t>effect verlichtingsregeling</t>
  </si>
  <si>
    <t>effect verlichtingsregeling utiliteitsgebouwen (NTA8800)</t>
  </si>
  <si>
    <t>verlichtingsregeling</t>
  </si>
  <si>
    <t>geen, handmatig, onbekend</t>
  </si>
  <si>
    <t>handmatig + daglicht-regeling</t>
  </si>
  <si>
    <t>geen daglicht-regeling + regeling auto aan|uit</t>
  </si>
  <si>
    <t>auto aan|uit - daglicht: sensoren auto uit</t>
  </si>
  <si>
    <t>factor (x berekend finaal energiegebruik verlichting)</t>
  </si>
  <si>
    <t>BENG-eisen 2021</t>
  </si>
  <si>
    <t>grenswaarden A,ls/A,g bij bepalen BENG 1</t>
  </si>
  <si>
    <t>&gt;&gt; grenswaarde 1: A,ls/A,g</t>
  </si>
  <si>
    <t>&gt;&gt; grenswaarde 2: A,ls/A,g</t>
  </si>
  <si>
    <t>BENG 1 als A,ls/A,g ≤ grenswaarde 1</t>
  </si>
  <si>
    <t>BENG 1</t>
  </si>
  <si>
    <t>als grenswaarde 1 &lt; A,ls/A,g ≤ grenswaarde 2:  BENG 1 = C1 + C2 * (A,ls/A,g - C3)</t>
  </si>
  <si>
    <t>C3</t>
  </si>
  <si>
    <t>als A,ls/A,g &gt; grenswaarde 2: BENG 1 = C4 + C5 * (A,ls/A,g - C6)</t>
  </si>
  <si>
    <t>C4</t>
  </si>
  <si>
    <t>C5</t>
  </si>
  <si>
    <t>C6</t>
  </si>
  <si>
    <t>BENG 2 - primair energiegebruik</t>
  </si>
  <si>
    <t>BENG 3 - % hernieuwbaar</t>
  </si>
  <si>
    <t>% hernieuwbaar</t>
  </si>
  <si>
    <t>informatie over BENG</t>
  </si>
  <si>
    <t>standaardwaarden 2021</t>
  </si>
  <si>
    <t>Standaardwaarden netto warmtebehoefte 2021</t>
  </si>
  <si>
    <t>bouwjaar</t>
  </si>
  <si>
    <t>jaar</t>
  </si>
  <si>
    <t>t/m 1945</t>
  </si>
  <si>
    <t>ná 1945</t>
  </si>
  <si>
    <t>basiswaarde</t>
  </si>
  <si>
    <t>netto warmtevraag (C1)</t>
  </si>
  <si>
    <t>toevoeging basiswaarde afhankelijk van vormfactor</t>
  </si>
  <si>
    <t>&gt;&gt; grenswaarde A,ls/A,g (verliesoppervlakte / gebruiksoppervlakte)</t>
  </si>
  <si>
    <t>&gt;&gt; extra netto warmtevaag boven grenswaarde A,ls/A,g (C2)</t>
  </si>
  <si>
    <t>standaardwaarde = C1 + C2 * (A,ls/Ag - 1)</t>
  </si>
  <si>
    <t>informatie over standaardwaarden</t>
  </si>
  <si>
    <t>energielabels</t>
  </si>
  <si>
    <t>naam gebruiksfunctie</t>
  </si>
  <si>
    <t>bovengrens primair energieverbruik per energielabel</t>
  </si>
  <si>
    <t>G</t>
  </si>
  <si>
    <t>F</t>
  </si>
  <si>
    <t>E</t>
  </si>
  <si>
    <t>A+</t>
  </si>
  <si>
    <t>A++</t>
  </si>
  <si>
    <t>A+++</t>
  </si>
  <si>
    <t>A++++</t>
  </si>
  <si>
    <t>A+++++</t>
  </si>
  <si>
    <t>De energielabelgrenzen zijn overgenomen uit de "Regeling energieprestatie gebouwen"</t>
  </si>
  <si>
    <t>verbrandingswaarde aardgas</t>
  </si>
  <si>
    <t>verbrandingswaarde aardgas (bovenwaarde)</t>
  </si>
  <si>
    <t>kWh/m3</t>
  </si>
  <si>
    <t>gebruikte namen</t>
  </si>
  <si>
    <t>eenheden finale energievraag gebouwniveau</t>
  </si>
  <si>
    <t>eenheid finale energievraag gebouwniveau</t>
  </si>
  <si>
    <t>geografische niveaus installaties</t>
  </si>
  <si>
    <t>geografisch niveau</t>
  </si>
  <si>
    <t>plaats installatie</t>
  </si>
  <si>
    <t>installatie binnen de energiemeter</t>
  </si>
  <si>
    <t>collectieve installatie binnen het project</t>
  </si>
  <si>
    <t>collectieve installatie buiten het project</t>
  </si>
  <si>
    <t>bestaand/nieuw</t>
  </si>
  <si>
    <t>bestaande bouw</t>
  </si>
  <si>
    <t>bestaand</t>
  </si>
  <si>
    <t>nieuwbouw</t>
  </si>
  <si>
    <t>nieuw</t>
  </si>
  <si>
    <t>overige namen</t>
  </si>
  <si>
    <t>laagbouw - hoogbouw / dichtheid</t>
  </si>
  <si>
    <t>laag</t>
  </si>
  <si>
    <t>hoog</t>
  </si>
  <si>
    <t>code</t>
  </si>
  <si>
    <t>de term "geen" voor als iets niet voorkomt</t>
  </si>
  <si>
    <t>waar - onwaar</t>
  </si>
  <si>
    <t>energieprestatie / werkelijk</t>
  </si>
  <si>
    <t>cf NTA8800</t>
  </si>
  <si>
    <t>gecorrigeerd</t>
  </si>
  <si>
    <t>toelichting bij 'energieprestatie / werkelijk'</t>
  </si>
  <si>
    <t>rekenregels cf. NTA8800</t>
  </si>
  <si>
    <t>rekenregels cf. NTA8800 incl correctiefactor</t>
  </si>
  <si>
    <t>Indicatie warmtebehoefte afhankelijk van vormfactor en isolatiegraad</t>
  </si>
  <si>
    <t>Indicatie warmtebehoefte afhankelijk van vormfactor en ventilatiesysteem</t>
  </si>
  <si>
    <t>Indicatie koudebehoefte in kWh/m2 afhankelijk van vormfactor en isolatiegraad</t>
  </si>
  <si>
    <t>Indicatie koudebehoefte in kWh/m2 afhankelijk van vormfactor en ventilatiesysteem</t>
  </si>
  <si>
    <t>bouwjaarklasse</t>
  </si>
  <si>
    <t>BENG</t>
  </si>
  <si>
    <t>pakket</t>
  </si>
  <si>
    <t>m2 GBO</t>
  </si>
  <si>
    <r>
      <t xml:space="preserve">m2 raam per m2 GBO </t>
    </r>
    <r>
      <rPr>
        <i/>
        <sz val="10"/>
        <color rgb="FF000000"/>
        <rFont val="Calibri"/>
        <family val="2"/>
      </rPr>
      <t>m2/m2</t>
    </r>
  </si>
  <si>
    <t>vormfactor</t>
  </si>
  <si>
    <r>
      <t>indicatie gemiddelde warmtedoorgangscoëfficiënt per bouwjaarklasse</t>
    </r>
    <r>
      <rPr>
        <sz val="10"/>
        <color theme="3"/>
        <rFont val="Calibri"/>
        <family val="2"/>
      </rPr>
      <t xml:space="preserve"> W/m2K</t>
    </r>
  </si>
  <si>
    <r>
      <t xml:space="preserve">indicatie gemiddelde warmtedoorgangscoëfficiënt van bouwjaarklasse </t>
    </r>
    <r>
      <rPr>
        <sz val="10"/>
        <color theme="3"/>
        <rFont val="Calibri"/>
        <family val="2"/>
      </rPr>
      <t>W/m2K</t>
    </r>
  </si>
  <si>
    <t>isolatiegraad uitgedrukt in de gemiddelde warmtedoorgamgscoëfficiënt in W/m2K</t>
  </si>
  <si>
    <t>ventilatiesysteem</t>
  </si>
  <si>
    <t>2013-2019</t>
  </si>
  <si>
    <t>passief</t>
  </si>
  <si>
    <t>(Averlies/Ag)</t>
  </si>
  <si>
    <r>
      <t xml:space="preserve">indicatie warmtebehoefte </t>
    </r>
    <r>
      <rPr>
        <sz val="10"/>
        <color theme="3"/>
        <rFont val="Calibri"/>
        <family val="2"/>
      </rPr>
      <t>kWh/m2</t>
    </r>
  </si>
  <si>
    <r>
      <t xml:space="preserve">indicatie koudebehoefte </t>
    </r>
    <r>
      <rPr>
        <sz val="10"/>
        <color theme="3"/>
        <rFont val="Calibri"/>
        <family val="2"/>
      </rPr>
      <t>kWh/m2</t>
    </r>
  </si>
  <si>
    <t>Wijzigingen 5.03 t.o.v. 5.02</t>
  </si>
  <si>
    <t>Diverse bugfixes.</t>
  </si>
  <si>
    <t>aquathermie</t>
  </si>
  <si>
    <t>BRON?</t>
  </si>
  <si>
    <t>ind HR107</t>
  </si>
  <si>
    <t>bijbehorende energielabel</t>
  </si>
  <si>
    <t>fofaitair isolatiepakket gebouwschil</t>
  </si>
  <si>
    <t>2006-2014</t>
  </si>
  <si>
    <t>G10 kantoor S</t>
  </si>
  <si>
    <t>G14 winkel M</t>
  </si>
  <si>
    <t>G16 sport S</t>
  </si>
  <si>
    <t>G17 sport M</t>
  </si>
  <si>
    <t>G18 sport L</t>
  </si>
  <si>
    <t>G12 kantoor XL</t>
  </si>
  <si>
    <t>G15 winkel XL</t>
  </si>
  <si>
    <t>G13 winkel XS</t>
  </si>
  <si>
    <t>G19 school M</t>
  </si>
  <si>
    <t>G20 school L</t>
  </si>
  <si>
    <t>G21 school XL</t>
  </si>
  <si>
    <t>G22 bijeen XS</t>
  </si>
  <si>
    <t>G23 bijeen M</t>
  </si>
  <si>
    <t>G24 bijeen L</t>
  </si>
  <si>
    <t>G25 KDV S</t>
  </si>
  <si>
    <t>G26 KDV M</t>
  </si>
  <si>
    <t>G27 zorg S</t>
  </si>
  <si>
    <t>G28 zorg L</t>
  </si>
  <si>
    <t>G29 zorg XL</t>
  </si>
  <si>
    <t>G31 zorg bed L</t>
  </si>
  <si>
    <t>G33 cel L</t>
  </si>
  <si>
    <t>G34 cel XL</t>
  </si>
  <si>
    <t>G35 cel XXL</t>
  </si>
  <si>
    <t>G36 logies M</t>
  </si>
  <si>
    <t>G37 logies L</t>
  </si>
  <si>
    <t>G38 logies XL</t>
  </si>
  <si>
    <t>G39 logies XS</t>
  </si>
  <si>
    <t>G11 kantoor L</t>
  </si>
  <si>
    <t>G30 zorg bed S</t>
  </si>
  <si>
    <t>G32 zorg bed XXL</t>
  </si>
  <si>
    <t xml:space="preserve">   optioneel: eigen waarde [keuzelijst]</t>
  </si>
  <si>
    <t>2015-2023</t>
  </si>
  <si>
    <t xml:space="preserve">correctiefactor warmtebehoefte ruimteverwarming </t>
  </si>
  <si>
    <t>hybride (warmtepomp+ketel)</t>
  </si>
  <si>
    <t>www.installatiemonitor.nl</t>
  </si>
  <si>
    <t>Wijzigingen 5.04 t.o.v. 5.03</t>
  </si>
  <si>
    <t>Toegegevoegd</t>
  </si>
  <si>
    <t>Renovatiestandaard voor utiliteitsgebouwen</t>
  </si>
  <si>
    <t>Voorbeeldwoningen Bestaande Bouw 2022</t>
  </si>
  <si>
    <t>standaard won</t>
  </si>
  <si>
    <t>streefw. won</t>
  </si>
  <si>
    <t>vrij 06-14</t>
  </si>
  <si>
    <t>vrij 15-18</t>
  </si>
  <si>
    <t>2/1 kap 06-14</t>
  </si>
  <si>
    <t>2/1 kap 15-18</t>
  </si>
  <si>
    <t>maison 06-14</t>
  </si>
  <si>
    <t>maison 15-18</t>
  </si>
  <si>
    <t>galerij 06-14</t>
  </si>
  <si>
    <t>galerij 15-18</t>
  </si>
  <si>
    <t>portiek 06-14</t>
  </si>
  <si>
    <t>portiek 15-18</t>
  </si>
  <si>
    <t>overig 06-14</t>
  </si>
  <si>
    <t>overig 15-18</t>
  </si>
  <si>
    <t>vrij 65-74</t>
  </si>
  <si>
    <t>vrij 75-91</t>
  </si>
  <si>
    <t>vrij 92-05</t>
  </si>
  <si>
    <t>2/1 kap 65-74</t>
  </si>
  <si>
    <t>2/1 kap 75-91</t>
  </si>
  <si>
    <t>2/1 kap 92-05</t>
  </si>
  <si>
    <t>maison 65-74</t>
  </si>
  <si>
    <t>maison 75-91</t>
  </si>
  <si>
    <t>maison 92-05</t>
  </si>
  <si>
    <t>galerij 65-74</t>
  </si>
  <si>
    <t>galerij 75-91</t>
  </si>
  <si>
    <t>galerij 92-05</t>
  </si>
  <si>
    <t>portiek 46-64</t>
  </si>
  <si>
    <t>portiek 65-74</t>
  </si>
  <si>
    <t>portiek 75-91</t>
  </si>
  <si>
    <t>portiek 92-05</t>
  </si>
  <si>
    <t>overig 65-74</t>
  </si>
  <si>
    <t>overig 75-91</t>
  </si>
  <si>
    <t>overig 92-05</t>
  </si>
  <si>
    <t>tussen 15-18</t>
  </si>
  <si>
    <t>tussen 06-14</t>
  </si>
  <si>
    <t>tussen 92-05</t>
  </si>
  <si>
    <t>tussen 75-91</t>
  </si>
  <si>
    <t>tussen 65-74</t>
  </si>
  <si>
    <t>tussen 46-64</t>
  </si>
  <si>
    <t>hoek 46-64</t>
  </si>
  <si>
    <t>hoek 65-74</t>
  </si>
  <si>
    <t>hoek 75-91</t>
  </si>
  <si>
    <t>hoek 92-05</t>
  </si>
  <si>
    <t>hoek 06-14</t>
  </si>
  <si>
    <t>hoek 15-18</t>
  </si>
  <si>
    <t>hoek &lt;46</t>
  </si>
  <si>
    <t>tussen &lt;46</t>
  </si>
  <si>
    <t>portiek &lt;46</t>
  </si>
  <si>
    <t>vrij &lt;65</t>
  </si>
  <si>
    <t>2/1 kap &lt;65</t>
  </si>
  <si>
    <t>maison &lt;65</t>
  </si>
  <si>
    <t>galerij &lt;65</t>
  </si>
  <si>
    <t>overig &lt;65</t>
  </si>
  <si>
    <t>Hybride installatie (gasketel + warmtepomp)</t>
  </si>
  <si>
    <t>Voorbeeldgebouwen utiliteit</t>
  </si>
  <si>
    <t>energielabel voor renovatiestandaard utiliteit</t>
  </si>
  <si>
    <t>informatie over renovatiestandaard</t>
  </si>
  <si>
    <t>renovatiestandaard utiliteit</t>
  </si>
  <si>
    <t>Update kentallen elektriciteitsnet cf KEV '22</t>
  </si>
  <si>
    <t>Voorbeeld</t>
  </si>
  <si>
    <t>0,50</t>
  </si>
  <si>
    <t>0,42</t>
  </si>
  <si>
    <t>0,57</t>
  </si>
  <si>
    <t>0,09</t>
  </si>
  <si>
    <t>0,1</t>
  </si>
  <si>
    <t>parameters</t>
  </si>
  <si>
    <t>warmtecapaciteit</t>
  </si>
  <si>
    <t>bijeenkomst</t>
  </si>
  <si>
    <t>cel</t>
  </si>
  <si>
    <t>kinderopvang</t>
  </si>
  <si>
    <t>zorg met bed</t>
  </si>
  <si>
    <t>zorg overig</t>
  </si>
  <si>
    <t>A1</t>
  </si>
  <si>
    <t>C3b</t>
  </si>
  <si>
    <t>zoektekst</t>
  </si>
  <si>
    <t>a0</t>
  </si>
  <si>
    <t>a1</t>
  </si>
  <si>
    <t>n1</t>
  </si>
  <si>
    <t>a2</t>
  </si>
  <si>
    <t>n2</t>
  </si>
  <si>
    <t>a3</t>
  </si>
  <si>
    <t>n3</t>
  </si>
  <si>
    <t>a4</t>
  </si>
  <si>
    <t>n4</t>
  </si>
  <si>
    <t>R2</t>
  </si>
  <si>
    <t>fitmodel: [Q;H;nd] = a0 + a1*Ugem*Aratio^n1   [kWh/m2]</t>
  </si>
  <si>
    <t>fitmodel: [Q;H;nd zonder QH en C;ls;rbl] = a0 + a1*Ugem*Aratio^n   [kWh/m2]</t>
  </si>
  <si>
    <t>fitmodel: [Q;C,nd] = a0 + a1*(Aglas)^n1 + a2*(Aratio)^n2 + a3*Ugem^n3 + a4*(Aglasratio)^n4   [kWh/m2]</t>
  </si>
  <si>
    <t>fitmodel BENG 1: [E;we;H+C;nd;ventsys=C1] = a0 + a1*Ugem*Aratio^n   [kWh/m2]</t>
  </si>
  <si>
    <t>Ugem = gemiddelde isolatiewaarde van de gebouwschil  [W/m2K]</t>
  </si>
  <si>
    <t>Aratio = vormfactor van het gebouw (Averlies/Ag)  [m2/m2]</t>
  </si>
  <si>
    <t>Aglas = raamoppervlakte (glas+kozijn) van het gebouw  [m2]</t>
  </si>
  <si>
    <t>Aglasratio = raamoppervlakte tov gebruiksoppervlakte van het gebouw (Araam/Ag)  [m2/m2]</t>
  </si>
  <si>
    <t>fitcurves NTA8800</t>
  </si>
  <si>
    <t>fitcurves NTA8800: parameters Q,EP1, QHnd, Qhzonder_nd, QCnd</t>
  </si>
  <si>
    <t>specifieke interne warmtecapaciteit</t>
  </si>
  <si>
    <t>kJ/m2K</t>
  </si>
  <si>
    <t>gebruiksfunctie - tbv fitcurve NTA8800</t>
  </si>
  <si>
    <t>zoekcode fitcurve NTA8800</t>
  </si>
  <si>
    <t>beschikbare fitformules</t>
  </si>
  <si>
    <t>resultaat fitformule</t>
  </si>
  <si>
    <t>spec. int. warmtecapaciteit</t>
  </si>
  <si>
    <t>resultaat</t>
  </si>
  <si>
    <t>&amp;O$49</t>
  </si>
  <si>
    <t>&amp;$G61</t>
  </si>
  <si>
    <t>Wijzigingen 5.1 t.o.v. 5.04</t>
  </si>
  <si>
    <t>datum gewijzigd</t>
  </si>
  <si>
    <t>waterstof (groen)</t>
  </si>
  <si>
    <t>waterstof (grijs)</t>
  </si>
  <si>
    <t>gemiddelde gebruiksoppervlakte NL woningen 2022-2025</t>
  </si>
  <si>
    <t>WARMTE | Zaanstad | Primair Warmtenet</t>
  </si>
  <si>
    <t>WARMTE | Sittard | Secundair warmtenet</t>
  </si>
  <si>
    <t>WARMTE | Heerlen - Rijnwater | Primair</t>
  </si>
  <si>
    <t>20220229GK</t>
  </si>
  <si>
    <t>20210624GK</t>
  </si>
  <si>
    <t>KOUDE | Sittard | Primair warmtenet</t>
  </si>
  <si>
    <t>WARMTE | Drechtsteden | Primair warmtenet</t>
  </si>
  <si>
    <t>20230156GK</t>
  </si>
  <si>
    <t>20250072GK</t>
  </si>
  <si>
    <t>20240129GK</t>
  </si>
  <si>
    <t>20220183GK</t>
  </si>
  <si>
    <t>20210574GK</t>
  </si>
  <si>
    <t>20240242GK</t>
  </si>
  <si>
    <t>20240308GK</t>
  </si>
  <si>
    <t>WARMTE | Warmtebedrijf Ede | Secundair Warmtenet</t>
  </si>
  <si>
    <t>WARMTE | Warmtebedrijf Ede | Primair Warmtenet</t>
  </si>
  <si>
    <t>20220307GK</t>
  </si>
  <si>
    <t>20220291GK</t>
  </si>
  <si>
    <t>20240216GK</t>
  </si>
  <si>
    <t>20230105GK</t>
  </si>
  <si>
    <t>20220326GK</t>
  </si>
  <si>
    <t>WARM TAPWATER | Hoofddorp, Hydepark | warmtenet</t>
  </si>
  <si>
    <t>WARMTE | Hoofddorp, Hydepark | warmtenet</t>
  </si>
  <si>
    <t>20230220GK</t>
  </si>
  <si>
    <t>20220295GK</t>
  </si>
  <si>
    <t>20220337GK</t>
  </si>
  <si>
    <t>20240131GK</t>
  </si>
  <si>
    <t>20230167GK</t>
  </si>
  <si>
    <t>P.6.5.4.8</t>
  </si>
  <si>
    <t>P.6.5.4.6</t>
  </si>
  <si>
    <t>P.6.5.4.7</t>
  </si>
  <si>
    <t xml:space="preserve">Waterstof (groen en grijs) als energiedrager, met bijpassende installaties voor verwarming en tapwater. </t>
  </si>
  <si>
    <t>tabel P.9</t>
  </si>
  <si>
    <t>tabel 10.30</t>
  </si>
  <si>
    <t>installaties 'centraal': warmtelevering heeft kwaliteitsverklaring [0/1]</t>
  </si>
  <si>
    <t>toegepaste W/K-netten met kwaliteitsverklaring</t>
  </si>
  <si>
    <t>W/K-netten met kwaliteitsverklaring</t>
  </si>
  <si>
    <t>warmte-/koudenetten met kwaliteitsverklaring</t>
  </si>
  <si>
    <t>namen en relevante parameters warmte-/koudenetten met kwaliteitsverklaring</t>
  </si>
  <si>
    <t>De fitcurves voor het berekenen van de QH,nd en Qc,nd zijn opnieuw berekend op basis van NTA8800:2024. Hierin is het aantal ventilatiesystemen groter geworden en is ook onderscheid gemaakt naar constructies met een hoge specifieke interne warmtecapaciteit (450 kJ/m2K) en een minder hoge specifieke interne warmtecapaciteit (180 kJ/m2K; tabel 7.10 in NTA8800:2024).</t>
  </si>
  <si>
    <t>Eindnorm 2050 bestaand u-bouw</t>
  </si>
  <si>
    <t>Update kentallen elektriciteitsnet cf KEV '24</t>
  </si>
  <si>
    <t>Update kentallen huishoudelijk elektriciteitsgebruik</t>
  </si>
  <si>
    <t>Bugfixes in opmaak</t>
  </si>
  <si>
    <t>Wijzigingen 5.1.1 t.o.v. 5.1</t>
  </si>
  <si>
    <t>Bugfixes</t>
  </si>
  <si>
    <t>0,95</t>
  </si>
  <si>
    <t>Wijzigingen 5.2 en 5.2.1 t.o.v. 5.1.1</t>
  </si>
  <si>
    <t>breedte 1,89 en witte tekst</t>
  </si>
  <si>
    <t>EP</t>
  </si>
  <si>
    <t>MWA</t>
  </si>
  <si>
    <t>D4a</t>
  </si>
  <si>
    <t>D5a</t>
  </si>
  <si>
    <t>A2b</t>
  </si>
  <si>
    <t>C2a</t>
  </si>
  <si>
    <t>C4c</t>
  </si>
  <si>
    <t>douchewater warmteterugwinning (DWTW)</t>
  </si>
  <si>
    <t>DWTW</t>
  </si>
  <si>
    <t>bij toepassing DWTW afhankelijk van aandeel douchen in warmwatervraag en van het rendement van de DWTW</t>
  </si>
  <si>
    <t>naam DWTW</t>
  </si>
  <si>
    <t>verticale DWTW</t>
  </si>
  <si>
    <t>onbekend of horizontale DWTW</t>
  </si>
  <si>
    <t>correctiefactor wijze van aansluiten (CW;sh;rcd;conf - NTA 8800 - tabel 13.8)</t>
  </si>
  <si>
    <t>75%-100%</t>
  </si>
  <si>
    <t>0%-60%</t>
  </si>
  <si>
    <t>aandeel doucheverbruik</t>
  </si>
  <si>
    <t>aandeel doucheverbruik (CW;nd;sh) - NTA8800 tabel 13.7)</t>
  </si>
  <si>
    <t>EP/MWA tapwater</t>
  </si>
  <si>
    <t>bron: NTA8800, paragraaf 13.2 en maatwerkadviesrapporten</t>
  </si>
  <si>
    <t>kWh/pers</t>
  </si>
  <si>
    <t>spec. warmtebehoefte tapwater woningen - EP</t>
  </si>
  <si>
    <t>spec. warmtebehoefte tapwater woningen - MWA</t>
  </si>
  <si>
    <t>spec. warmtebehoefte tapwater utiliteit - MWA</t>
  </si>
  <si>
    <t>spec. warmtebehoefte tapwater utiliteit - EP</t>
  </si>
  <si>
    <t>rekenmethode EP|MWA</t>
  </si>
  <si>
    <t>afkorting methode</t>
  </si>
  <si>
    <t>methode</t>
  </si>
  <si>
    <t>energieprestatie</t>
  </si>
  <si>
    <t>maatwerkadvies</t>
  </si>
  <si>
    <t>indicatie warmtebehoefte verwarming</t>
  </si>
  <si>
    <t>indicatie energiebehoefte per woning | utiliteitsgebouw</t>
  </si>
  <si>
    <t>zoekcode fitcurve NTA8800 QHnd</t>
  </si>
  <si>
    <t>zoekcode fitcurve NTA8800 QCnd</t>
  </si>
  <si>
    <t>energieprestatie (EP) of maatwerkadvies (MWA)</t>
  </si>
  <si>
    <t>055</t>
  </si>
  <si>
    <t>450</t>
  </si>
  <si>
    <t>aantal gebouwen in batch</t>
  </si>
  <si>
    <t>per jaar</t>
  </si>
  <si>
    <t>samenvatting resultaten</t>
  </si>
  <si>
    <t>warmtebehoefte ruimteverwarming cf. NTA8800</t>
  </si>
  <si>
    <t>koudebehoefte koeling cf. NTA8800</t>
  </si>
  <si>
    <t>data hulptabel per woning-/gebouwtype</t>
  </si>
  <si>
    <t>energieprestatie|maatwerk</t>
  </si>
  <si>
    <t>Uniforme Maatlat Gebouwde Omgeving 5.3.0</t>
  </si>
  <si>
    <t>Alle kentallen, als bijvoorbeeld het huishoudelijk elektriciteitsgebruik zijn geactualiseerd.</t>
  </si>
  <si>
    <t>50%-200%</t>
  </si>
  <si>
    <t>BENG-eisen nieuwe woningen|utiliteitsgebouwen (2021-2026)</t>
  </si>
  <si>
    <t>alle locaties</t>
  </si>
  <si>
    <t>energiebehoefte</t>
  </si>
  <si>
    <t>methode (EP, MWA)</t>
  </si>
  <si>
    <t>Stichting W-E adviseurs Rekentool NTA 8800 MWA 2024 v240426 .xlsx</t>
  </si>
  <si>
    <t>BENG referentie utiliteit (2017)</t>
  </si>
  <si>
    <t xml:space="preserve">Statline CBS 2026, sorteren op 'Nederland' en 'Totalen' </t>
  </si>
  <si>
    <t>elektriciteitsgebruik per woning 2025</t>
  </si>
  <si>
    <t xml:space="preserve">Statline CBS 2026, gecontroleerd in 2026 </t>
  </si>
  <si>
    <t>EPwoningA1055QC;nd</t>
  </si>
  <si>
    <t>A2a, A2c</t>
  </si>
  <si>
    <t>B1</t>
  </si>
  <si>
    <t>C3c</t>
  </si>
  <si>
    <t>D2, D3, D4b</t>
  </si>
  <si>
    <t>D5b, D5c</t>
  </si>
  <si>
    <t>B3, C5a, C4b, C5b</t>
  </si>
  <si>
    <t>B2, C2b, C2c, C3a, C4a</t>
  </si>
  <si>
    <t>Deze ventilatiesystemen zijn gebruikt om de warmtebehoefte voor ruimteverwarming met NTA8800 te berekenen.</t>
  </si>
  <si>
    <t>Ventilatiesystemen met vergelijkbare warmtebehoefte voor verwarming (NTA8800) voor woningen.</t>
  </si>
  <si>
    <t xml:space="preserve">   optioneel: eigen waarde warmtebehoefte verwarming bij MWA</t>
  </si>
  <si>
    <t>Ehc;nd;EP</t>
  </si>
  <si>
    <t>Wijzigingen 5.3.0 t.o.v. 5.2.1</t>
  </si>
  <si>
    <t xml:space="preserve">Berekeningen kunnen worden uitgevoerd met uitgangspunten volgens de energieprestatieberekening (EP), of met invoer volgens het maatwerkadvies (MWA (met effect op de warmtevraag voor ruimteverwarming en warmtapwater)). In een berekening met het MWA leveren de berekeningen geen resultaten volgens de energieprestatie. Dit is duidelijk gemarkeerd. </t>
  </si>
  <si>
    <t>op basis van analyse van NTA8800-berekeningen van referentie utiliteitsgebouwen gebouwen en Voorbeeldwoningen 2022.</t>
  </si>
  <si>
    <t>op basis van analyse van NTA-berekeningen van gebouwen in de energielabeldatabase 2019/2020 (ruim 65.000 utiliteitsgebouwen)</t>
  </si>
  <si>
    <t>raamoppervlak t.o.v. gebruiksoppervlakte Aw/Ag</t>
  </si>
  <si>
    <t>Bron: NTA8800:2026 nl - Bijlage S (informatief) Systeemvarianten ventilatiesystemen</t>
  </si>
  <si>
    <t>op basis van het onderscheid voor het type ventilator en de installatiejaarklasse in tabel 11.23 van NTA 8800 en berekeningen met NTA8800 (energielabeldatabase t/m 2019 herberekend en voorbeeldwoningen 2022) - 'zeer energiezuinig' gebruikt 50% van de energie van 'gelijkstroom (vanaf 2007)'</t>
  </si>
  <si>
    <t>primaire-totale-energiefactor export elektriciteit [0,0-2,0]</t>
  </si>
  <si>
    <r>
      <t>primaire-totale-energiefactor elektriciteit (f</t>
    </r>
    <r>
      <rPr>
        <vertAlign val="subscript"/>
        <sz val="10"/>
        <color rgb="FF000000"/>
        <rFont val="Calibri"/>
        <family val="2"/>
      </rPr>
      <t>P,ZEB;del;c</t>
    </r>
    <r>
      <rPr>
        <i/>
        <vertAlign val="subscript"/>
        <sz val="10"/>
        <color rgb="FF000000"/>
        <rFont val="Calibri"/>
        <family val="2"/>
      </rPr>
      <t>i</t>
    </r>
    <r>
      <rPr>
        <sz val="10"/>
        <color rgb="FF000000"/>
        <rFont val="Calibri"/>
        <family val="2"/>
      </rPr>
      <t>)</t>
    </r>
    <r>
      <rPr>
        <sz val="10"/>
        <color indexed="8"/>
        <rFont val="Calibri"/>
        <family val="2"/>
      </rPr>
      <t xml:space="preserve"> [0,0-2,0]</t>
    </r>
  </si>
  <si>
    <t>primaire totale energiefactor [0,0-2,0]</t>
  </si>
  <si>
    <r>
      <t>primaire totale energiefactor (f</t>
    </r>
    <r>
      <rPr>
        <vertAlign val="subscript"/>
        <sz val="10"/>
        <color rgb="FF000000"/>
        <rFont val="Calibri"/>
        <family val="2"/>
      </rPr>
      <t>P,ZEB;del;CI</t>
    </r>
    <r>
      <rPr>
        <sz val="10"/>
        <color rgb="FF000000"/>
        <rFont val="Calibri"/>
        <family val="2"/>
      </rPr>
      <t>)</t>
    </r>
    <r>
      <rPr>
        <sz val="10"/>
        <color indexed="8"/>
        <rFont val="Calibri"/>
        <family val="2"/>
      </rPr>
      <t xml:space="preserve"> (fp;del)</t>
    </r>
  </si>
  <si>
    <r>
      <t>weegfactor primaire totale energiefactor (f</t>
    </r>
    <r>
      <rPr>
        <vertAlign val="subscript"/>
        <sz val="10"/>
        <color rgb="FF000000"/>
        <rFont val="Calibri"/>
        <family val="2"/>
      </rPr>
      <t>P,ZEB;weeg;ci</t>
    </r>
    <r>
      <rPr>
        <sz val="10"/>
        <color rgb="FF000000"/>
        <rFont val="Calibri"/>
        <family val="2"/>
      </rPr>
      <t>)</t>
    </r>
  </si>
  <si>
    <t>weegfactor primaire totale energiefactor [0,0-1,0]</t>
  </si>
  <si>
    <t>primair totaal energiegebruik</t>
  </si>
  <si>
    <t>weegfactor primaire totale energiefactor</t>
  </si>
  <si>
    <t>primair totaal energiegebruik overig elektriciteitsgebruik</t>
  </si>
  <si>
    <t>weegfactor primaire totale energiefactor, export</t>
  </si>
  <si>
    <t>weegfactor primaire totale energiefactor eigen gebruik</t>
  </si>
  <si>
    <t>n.v.t.</t>
  </si>
  <si>
    <t>MWh_prim, ZEB</t>
  </si>
  <si>
    <t>kWh_prim, ZEB/m2</t>
  </si>
  <si>
    <t>MWh_prim, ZEB/MWh_finaal</t>
  </si>
  <si>
    <t>externe warmte forfaitair.
T ≥ 60°C</t>
  </si>
  <si>
    <t>externe warmte forfaitair.
T = 40-60°C</t>
  </si>
  <si>
    <r>
      <t>externe warmte forfaitair. 
T=20-40</t>
    </r>
    <r>
      <rPr>
        <sz val="7"/>
        <color indexed="8"/>
        <rFont val="Calibri"/>
        <family val="2"/>
      </rPr>
      <t>°C</t>
    </r>
  </si>
  <si>
    <t>NTA8800-2026: Bijlage AB. Tabel AB.3</t>
  </si>
  <si>
    <t>externe warmte forfaitair. 
T=20-40°C</t>
  </si>
  <si>
    <t>externe warmte forfaitair.
T &lt; 20°C</t>
  </si>
  <si>
    <t>externe warmte forfaitair.
T &lt;20°C</t>
  </si>
  <si>
    <t>NTA8800-2026, tabel AB.3</t>
  </si>
  <si>
    <t>In deze versie is de lijst met ventilatiesystemen aangepast. Er is één ventilatiesysteem meer dan in de vorige versie. De ventilatiesystemen geven een beter beeld van het minst energiezuinige systeem tot het meest energiezuinige systeem. Voor elk van deze ventilatiesystemen is een formule gemaakt waarmee de warmte- en koelbehoefte kan worden uitgerekend. Daarnaast is aangegeven welke andere ventilatiesystemen een vergelijkbaar effect hebben op de berekende warmte- en koudebehoefte. Daarmee kan in principe met elk ventilatiessysteem in NTA8800 een indicatie gegeven worden van de warmte- en koudebehoefte van het  gebouw.</t>
  </si>
  <si>
    <t>11. primair fossiel energiegebruik dragers</t>
  </si>
  <si>
    <t>16. primair fossiel energiegebruik per m2</t>
  </si>
  <si>
    <t>primair fossiel energiegebruik</t>
  </si>
  <si>
    <t>17. primair totaal energiegebruik per m2</t>
  </si>
  <si>
    <t>18. hernieuwbaar 'primair' energiegebruik</t>
  </si>
  <si>
    <t>19. energieprestatie</t>
  </si>
  <si>
    <t>20. CO2-emissie</t>
  </si>
  <si>
    <t>BACS - Building Automation and Control System</t>
  </si>
  <si>
    <t>BACS</t>
  </si>
  <si>
    <t>compacte naam</t>
  </si>
  <si>
    <t>f_BACS</t>
  </si>
  <si>
    <t>geen/matige BACS</t>
  </si>
  <si>
    <t>goede
BACS</t>
  </si>
  <si>
    <t>voor gebouwen waarvoor geen BACS vereist is</t>
  </si>
  <si>
    <t>voor gebouwen waarvoor wel een BACS vereist is:
- overige BACS</t>
  </si>
  <si>
    <t>voor gebouwen waarvoor wel een BACS vereist is, óf:
- geen BACS aanwezig
- BACS klasse D automatische regelingen
- BACS C of D voor energie-management</t>
  </si>
  <si>
    <t>nvt (geen BACS vereist)</t>
  </si>
  <si>
    <t>Toelichting gebouwautomatisering (zie NTA8800_2025+C1_2026 nl.pdf)
De f_BACS is alleen van toepassing bij het (hulp)energiegebruik van verwarming en koeling.</t>
  </si>
  <si>
    <t>elektriciteitsgebruik mobiliteit</t>
  </si>
  <si>
    <t>warmtekracht (niet hernieuwbaar)</t>
  </si>
  <si>
    <t>zonnepanelen (hernieuwbaar)</t>
  </si>
  <si>
    <t>direct gebruik niet hernieuwbare lokale elektriciteitsproductie NTA 8800</t>
  </si>
  <si>
    <t>direct gebruik hernieuwbare lokale elektriciteitsproductie NTA 8800</t>
  </si>
  <si>
    <t>lokale elektriciteitsproductie op eigen perceel</t>
  </si>
  <si>
    <t>elektriciteitsvraag gebouwen: gebouwgebonden (NTA 8800) | in gebouwen overig | mobiliteit</t>
  </si>
  <si>
    <t>elektriciteitsgebruik gebouwgebonden NTA 8800</t>
  </si>
  <si>
    <t>elektriciteitsgebruik gebouwen overig</t>
  </si>
  <si>
    <t>export niet hernieuwbare lokale elektriciteitsproductie NTA 8800</t>
  </si>
  <si>
    <t>export hernieuwbare lokale elektriciteitsproductie NTA 8800</t>
  </si>
  <si>
    <t>bronnen: NTA8800 tabellen 5.2 en 5.5 (energiefactoren) en 5.3 en 5.6 (CO2 emissiecoëfficiënt)
bijlage AB in NTA 8800 2026</t>
  </si>
  <si>
    <t>NTA 8800 2026 - tabel AB.1</t>
  </si>
  <si>
    <t>een aantal vaste waarden uit bijlage AB</t>
  </si>
  <si>
    <r>
      <rPr>
        <sz val="10"/>
        <color theme="1"/>
        <rFont val="Calibri"/>
        <family val="2"/>
        <scheme val="minor"/>
      </rPr>
      <t xml:space="preserve">opslagrendement batterij </t>
    </r>
    <r>
      <rPr>
        <sz val="10"/>
        <color theme="1"/>
        <rFont val="Symbol"/>
        <family val="1"/>
        <charset val="2"/>
      </rPr>
      <t>h</t>
    </r>
    <r>
      <rPr>
        <vertAlign val="subscript"/>
        <sz val="10"/>
        <color theme="1"/>
        <rFont val="Calibri"/>
        <family val="2"/>
        <scheme val="minor"/>
      </rPr>
      <t>BAT</t>
    </r>
  </si>
  <si>
    <r>
      <t>fracties f</t>
    </r>
    <r>
      <rPr>
        <b/>
        <vertAlign val="subscript"/>
        <sz val="10"/>
        <color theme="3"/>
        <rFont val="Calibri"/>
        <family val="2"/>
      </rPr>
      <t>du;el;ren;mi</t>
    </r>
    <r>
      <rPr>
        <b/>
        <sz val="10"/>
        <color theme="3"/>
        <rFont val="Calibri"/>
        <family val="2"/>
      </rPr>
      <t xml:space="preserve"> uit tabel AB.1 en de middeling naar een jaarwaarde op basis van zoninstraling</t>
    </r>
  </si>
  <si>
    <t>woningbouw</t>
  </si>
  <si>
    <t>onderwijsfuncties</t>
  </si>
  <si>
    <t>overige utiliteitsfuncties</t>
  </si>
  <si>
    <t>jan</t>
  </si>
  <si>
    <t>feb</t>
  </si>
  <si>
    <t>mrt</t>
  </si>
  <si>
    <t>apr</t>
  </si>
  <si>
    <t>mei</t>
  </si>
  <si>
    <t>jun</t>
  </si>
  <si>
    <t>jul</t>
  </si>
  <si>
    <t>aug</t>
  </si>
  <si>
    <t>sep</t>
  </si>
  <si>
    <t>okt</t>
  </si>
  <si>
    <t>nov</t>
  </si>
  <si>
    <t>dec</t>
  </si>
  <si>
    <t>weegfactor</t>
  </si>
  <si>
    <t>relevant voor de batterij benutting</t>
  </si>
  <si>
    <t>gebruikoppervlakte woningbouw</t>
  </si>
  <si>
    <t>m2 per locatie</t>
  </si>
  <si>
    <t>gebruikoppervlakte onderwijsgebouwen</t>
  </si>
  <si>
    <t>gebruikoppervlakte overige utiliteit</t>
  </si>
  <si>
    <r>
      <t>fractie direct inzetbare niet hernieuwbare elektriciteit - f</t>
    </r>
    <r>
      <rPr>
        <vertAlign val="subscript"/>
        <sz val="10"/>
        <color theme="1"/>
        <rFont val="Calibri"/>
        <family val="2"/>
        <scheme val="minor"/>
      </rPr>
      <t>du;el;nren</t>
    </r>
  </si>
  <si>
    <t>elektriciteitsvraag uit het elektriciteitsnet NTA 8800</t>
  </si>
  <si>
    <t>overzicht elektriciteitsgebruik en lokale elektriciteitsproductie</t>
  </si>
  <si>
    <t>combi WP tbv test validatietool</t>
  </si>
  <si>
    <t>NTA 8800 par. 13.8.8.3</t>
  </si>
  <si>
    <t>CO2 emissie TOTAAL door energievraag</t>
  </si>
  <si>
    <t>E;pr;el;ren;tot</t>
  </si>
  <si>
    <t>batterij voor opslag opgewekte elektriciteit PV aanwezig</t>
  </si>
  <si>
    <t>NTA 8800 2026 - vaste waarden direct gebruik en batterij</t>
  </si>
  <si>
    <t>NTA 8800 2026 - direct gebruik | batterij</t>
  </si>
  <si>
    <t>waardering opslag hernieuwbare elektriciteit (beleidsmatig vastgestelde waarde)</t>
  </si>
  <si>
    <t>NTA 8800 2026, par 5.5.2 - formule 5.14a</t>
  </si>
  <si>
    <t>NTA 8800 2026, par AB.2.3.2</t>
  </si>
  <si>
    <t>NTA 8800 2026, par AB.2.3.3</t>
  </si>
  <si>
    <t>in batterij opgeslagen hernieuwbare lokale elektriciteitsproductie EP;BAT;out;tot</t>
  </si>
  <si>
    <t>dekking eigen gebruik E;pr;EPus;el</t>
  </si>
  <si>
    <t>specifieke interne warmtecapaciteit (tabel 7.10 in NTA 8800_2025+C1_2026)</t>
  </si>
  <si>
    <t xml:space="preserve">kJ/m2K </t>
  </si>
  <si>
    <t>type ventilatiesysteem
A - natuurlijke ventilatie | C - mechanische afvoer | D - balansventilatie</t>
  </si>
  <si>
    <t>A1 - standaard</t>
  </si>
  <si>
    <t>A2b - luchtdruk roosters</t>
  </si>
  <si>
    <t>C1 - standaard</t>
  </si>
  <si>
    <t>C2a - geregelde roosters</t>
  </si>
  <si>
    <t>C3b - tijdsturing toevoer</t>
  </si>
  <si>
    <t>C4c  - CO2 sturing toevoer</t>
  </si>
  <si>
    <t>D1 - geen wtw</t>
  </si>
  <si>
    <t>D2/D4a - met wtw</t>
  </si>
  <si>
    <t>D5a - CO2 regeling</t>
  </si>
  <si>
    <r>
      <t xml:space="preserve">Indicatie warmtebehoefte </t>
    </r>
    <r>
      <rPr>
        <sz val="16"/>
        <color theme="1" tint="0.34998626667073579"/>
        <rFont val="Calibri"/>
        <family val="2"/>
      </rPr>
      <t xml:space="preserve"> kWh/m</t>
    </r>
    <r>
      <rPr>
        <vertAlign val="superscript"/>
        <sz val="16"/>
        <color theme="1" tint="0.34998626667073579"/>
        <rFont val="Calibri"/>
        <family val="2"/>
      </rPr>
      <t>2</t>
    </r>
  </si>
  <si>
    <r>
      <t xml:space="preserve">Indicatie koudebehoefte </t>
    </r>
    <r>
      <rPr>
        <sz val="16"/>
        <color theme="1" tint="0.34998626667073579"/>
        <rFont val="Calibri"/>
        <family val="2"/>
      </rPr>
      <t xml:space="preserve"> kWh/m</t>
    </r>
    <r>
      <rPr>
        <vertAlign val="superscript"/>
        <sz val="16"/>
        <color theme="1" tint="0.34998626667073579"/>
        <rFont val="Calibri"/>
        <family val="2"/>
      </rPr>
      <t>2</t>
    </r>
  </si>
  <si>
    <t>thermisch rendement DWTW (etaW;sh;rcd)</t>
  </si>
  <si>
    <t>reductie warmtevraag warmtapwater door DWTW</t>
  </si>
  <si>
    <t>Douchewater warmteterugwinning (DWTW) als energiemaatregel toegevoegd. De reductie van de warmtapwaterbehoefte wordt betrekend opbasis van de formules 13.51 (woningen) en 13.52 (utiliteitsgebouwen) van NTA800_2025&amp;C1_2026.</t>
  </si>
  <si>
    <t>correctiefactoren voor thermische rendement</t>
  </si>
  <si>
    <t>correctiefactor thermisch rendement onder praktijkomstandigheden fprac;sh</t>
  </si>
  <si>
    <r>
      <t xml:space="preserve">correctiefactor thermisch rendement </t>
    </r>
    <r>
      <rPr>
        <sz val="10"/>
        <color indexed="8"/>
        <rFont val="Aptos Narrow"/>
        <family val="2"/>
      </rPr>
      <t>Δ</t>
    </r>
    <r>
      <rPr>
        <sz val="10"/>
        <color indexed="8"/>
        <rFont val="Calibri"/>
        <family val="2"/>
      </rPr>
      <t xml:space="preserve"> T,douche en T,inlaat DWTW CW;sh;rcd;T</t>
    </r>
  </si>
  <si>
    <r>
      <t>fractie direct inzetbare hernieuwbare elektriciteit f</t>
    </r>
    <r>
      <rPr>
        <vertAlign val="subscript"/>
        <sz val="10"/>
        <rFont val="Calibri"/>
        <family val="2"/>
      </rPr>
      <t>du;el;ren</t>
    </r>
  </si>
  <si>
    <r>
      <t>correctiefactor op eigen perceel gelegen opslag f</t>
    </r>
    <r>
      <rPr>
        <vertAlign val="subscript"/>
        <sz val="10"/>
        <rFont val="Calibri"/>
        <family val="2"/>
      </rPr>
      <t>BAT;el;corr</t>
    </r>
  </si>
  <si>
    <r>
      <t>export lokale elektriciteitsproductie NTA 8800 E</t>
    </r>
    <r>
      <rPr>
        <vertAlign val="subscript"/>
        <sz val="10"/>
        <rFont val="Calibri"/>
        <family val="2"/>
      </rPr>
      <t>exp;el</t>
    </r>
  </si>
  <si>
    <r>
      <t>in batterij opgeslagen hernieuwbare lokale elektriciteitsproductie E</t>
    </r>
    <r>
      <rPr>
        <vertAlign val="subscript"/>
        <sz val="10"/>
        <rFont val="Calibri"/>
        <family val="2"/>
      </rPr>
      <t>BAT;tot;in;afkap</t>
    </r>
  </si>
  <si>
    <t>primair fossiel energiegebruik overig elektriciteitsgebruik</t>
  </si>
  <si>
    <t>weegfactor bij primaire totale energiefactor</t>
  </si>
  <si>
    <t>weegfactor primaire totale energiefactor geëxporteerde elektriciteit</t>
  </si>
  <si>
    <t>energiepost</t>
  </si>
  <si>
    <t>toerekening hernieuwbare primaire fossiele energie per energiepost naar energie per woning/utiliteitsgebouw</t>
  </si>
  <si>
    <t>primaire fossiele energievraag per energiepost</t>
  </si>
  <si>
    <t>vermeden primair fossiel energiegebruik door lokale elektriciteitsproductie</t>
  </si>
  <si>
    <t>hernieuwbaar primair fossiel energiegebruik</t>
  </si>
  <si>
    <t>hernieuwbaar lokaal opgewekte elektriciteit</t>
  </si>
  <si>
    <r>
      <t xml:space="preserve">hernieuwbaar opgewekte elektriciteit </t>
    </r>
    <r>
      <rPr>
        <i/>
        <sz val="10"/>
        <color rgb="FF000000"/>
        <rFont val="Calibri"/>
        <family val="2"/>
      </rPr>
      <t>EPren;el</t>
    </r>
  </si>
  <si>
    <r>
      <t xml:space="preserve">zonneboiler </t>
    </r>
    <r>
      <rPr>
        <i/>
        <sz val="10"/>
        <color rgb="FF000000"/>
        <rFont val="Calibri"/>
        <family val="2"/>
      </rPr>
      <t>EPren;sol;prac</t>
    </r>
  </si>
  <si>
    <r>
      <t xml:space="preserve">absorptiekoeling op ext. warmtelevering </t>
    </r>
    <r>
      <rPr>
        <i/>
        <sz val="10"/>
        <color rgb="FF000000"/>
        <rFont val="Calibri"/>
        <family val="2"/>
      </rPr>
      <t>EPren;gen;out</t>
    </r>
  </si>
  <si>
    <r>
      <t xml:space="preserve">externe warmte-/koudelevering </t>
    </r>
    <r>
      <rPr>
        <i/>
        <sz val="10"/>
        <color rgb="FF000000"/>
        <rFont val="Calibri"/>
        <family val="2"/>
      </rPr>
      <t>EPren;gen;out</t>
    </r>
  </si>
  <si>
    <r>
      <t xml:space="preserve">biomassagestookte toestellen </t>
    </r>
    <r>
      <rPr>
        <i/>
        <sz val="10"/>
        <color rgb="FF000000"/>
        <rFont val="Calibri"/>
        <family val="2"/>
      </rPr>
      <t>EPren;gen;out</t>
    </r>
  </si>
  <si>
    <r>
      <t xml:space="preserve">vrije koeling </t>
    </r>
    <r>
      <rPr>
        <i/>
        <sz val="10"/>
        <color rgb="FF000000"/>
        <rFont val="Calibri"/>
        <family val="2"/>
      </rPr>
      <t>EPren;gen;out</t>
    </r>
  </si>
  <si>
    <r>
      <t xml:space="preserve">warmtepomp </t>
    </r>
    <r>
      <rPr>
        <i/>
        <sz val="10"/>
        <color rgb="FF000000"/>
        <rFont val="Calibri"/>
        <family val="2"/>
      </rPr>
      <t>EPren;hp</t>
    </r>
  </si>
  <si>
    <r>
      <t xml:space="preserve">karakteristiek energiegebruik </t>
    </r>
    <r>
      <rPr>
        <i/>
        <sz val="10"/>
        <color rgb="FF000000"/>
        <rFont val="Calibri"/>
        <family val="2"/>
      </rPr>
      <t>EPTot</t>
    </r>
  </si>
  <si>
    <t>primair totaal energievraag per energiepost</t>
  </si>
  <si>
    <t>vermeden primair totaal energiegebruik door PV</t>
  </si>
  <si>
    <t>m2 verlies/m2 gebruiks</t>
  </si>
  <si>
    <t>bron: Correctie elektriciteitsverbruik koken", ECN-N-014-024, 29 september 2014 (Update 2026: bron is verouderd, maar nieuw desktop research toont waarden rond de 175-225kWh/jaar).</t>
  </si>
  <si>
    <t>vermeden primair fossiel energiegebruik door batterijen</t>
  </si>
  <si>
    <t>batterij (zonder primaire fossiele energiefactor)</t>
  </si>
  <si>
    <t>Opmerking: batterijen worden ingezet om de energieafname van het net te reduceren (standaard met 5%). Batterijen worden niet ingezet voor capaciteitshandel</t>
  </si>
  <si>
    <t>Extra toelichtingen zijn toegevoegd aan de bibliotheek.</t>
  </si>
  <si>
    <t xml:space="preserve">In de UMGO worden de warmtebehoefte voor verwarming en de koudebehoefte voor koeling berekend met benaderingsformules die zijn bepaald op basis van een groot aantal woningen en gebouwen waarvan NTA8800 rekenresultaten beschikbaar zijn met verschillende energetische kwaliteiten. Deze formules zijn met de Validatietool NTA 8800 v240426 geactualiseerd. In het UMGO protocol wordt verder ingegaan op welke wijze de 1080 nieuwe benaderingsformules zijn opgesteld. </t>
  </si>
  <si>
    <t>De verliesoppervlakte van de woning of het gebouw is vanaf nu aanpasbaar.</t>
  </si>
  <si>
    <t>TOTAAL - alle energiestromen</t>
  </si>
  <si>
    <t>TOTAAL - gebouwgebonden energiestromen energieprestatie</t>
  </si>
  <si>
    <t xml:space="preserve">De NTA8800-2026 houdt vanaf juli 2026 rekening met het effect van eigen gebruik van eigen energieopwek en batterijopslag op de energieprestatie van een gebouw. Deze nieuwe rekenmethode is ook toegevoegd aan de UMGO v5.3. In de NTA methode wordt gerekend met maandelijkse factoren voor eigen gebruik van eigen opwekking, in de UMGO zijn deze maandwarden omgerekend naar een gewogen jaarwaarde o.b.v. de Maatwerkadvies zoninstralingtabel. </t>
  </si>
  <si>
    <t>EP2 - direct gebruik en export elektriciteit NTA8800</t>
  </si>
  <si>
    <t>ZEB - direct gebruik en export elektriciteit NTA8800</t>
  </si>
  <si>
    <t>EP2 - vermeden primair fossiel energiegebruik lokale elektriciteitsproductie</t>
  </si>
  <si>
    <t>ZEB - vermeden primair totaal energiegebruik lokale elektriciteitsproductie</t>
  </si>
  <si>
    <r>
      <t>primaire fossiele energiefactor PEF</t>
    </r>
    <r>
      <rPr>
        <vertAlign val="subscript"/>
        <sz val="10"/>
        <rFont val="Calibri"/>
        <family val="2"/>
      </rPr>
      <t>fossiel</t>
    </r>
  </si>
  <si>
    <r>
      <t>primaire fossiele energiefactor PEF</t>
    </r>
    <r>
      <rPr>
        <vertAlign val="subscript"/>
        <sz val="10"/>
        <color theme="1"/>
        <rFont val="Calibri"/>
        <family val="2"/>
      </rPr>
      <t>fossiel</t>
    </r>
  </si>
  <si>
    <r>
      <t>primaire totale energiefactor PEF</t>
    </r>
    <r>
      <rPr>
        <vertAlign val="subscript"/>
        <sz val="10"/>
        <color theme="1"/>
        <rFont val="Calibri"/>
        <family val="2"/>
      </rPr>
      <t>totaal</t>
    </r>
  </si>
  <si>
    <r>
      <t>primaire fossiele energiefactor PEF</t>
    </r>
    <r>
      <rPr>
        <vertAlign val="subscript"/>
        <sz val="10"/>
        <color theme="1"/>
        <rFont val="Calibri"/>
        <family val="2"/>
      </rPr>
      <t>fossiel;el</t>
    </r>
  </si>
  <si>
    <r>
      <t>primaire totale energiefactor PEF</t>
    </r>
    <r>
      <rPr>
        <vertAlign val="subscript"/>
        <sz val="10"/>
        <color theme="1"/>
        <rFont val="Calibri"/>
        <family val="2"/>
      </rPr>
      <t>totaal;el</t>
    </r>
  </si>
  <si>
    <r>
      <t>primaire fossiele energiefactor elektriciteit eigen gebruik PEF</t>
    </r>
    <r>
      <rPr>
        <vertAlign val="subscript"/>
        <sz val="10"/>
        <color theme="1"/>
        <rFont val="Calibri"/>
        <family val="2"/>
      </rPr>
      <t>fossiel;el</t>
    </r>
  </si>
  <si>
    <r>
      <t>primaire energiefactor geëxporteerde elektriciteit PEF</t>
    </r>
    <r>
      <rPr>
        <vertAlign val="subscript"/>
        <sz val="10"/>
        <color theme="1"/>
        <rFont val="Calibri"/>
        <family val="2"/>
      </rPr>
      <t>fossiel;el;exp</t>
    </r>
  </si>
  <si>
    <r>
      <t>primaire totale energiefactor elektriciteit eigen gebruik PEF</t>
    </r>
    <r>
      <rPr>
        <vertAlign val="subscript"/>
        <sz val="10"/>
        <color theme="1"/>
        <rFont val="Calibri"/>
        <family val="2"/>
      </rPr>
      <t>totaal;el</t>
    </r>
  </si>
  <si>
    <r>
      <t>primaire totale energiefactor geëxporteerde elektriciteit PEF</t>
    </r>
    <r>
      <rPr>
        <vertAlign val="subscript"/>
        <sz val="10"/>
        <color theme="1"/>
        <rFont val="Calibri"/>
        <family val="2"/>
      </rPr>
      <t>totaal;el;exp</t>
    </r>
  </si>
  <si>
    <r>
      <t xml:space="preserve">primair fossiel energiegebruik </t>
    </r>
    <r>
      <rPr>
        <sz val="16"/>
        <color rgb="FF1F497D"/>
        <rFont val="Calibri"/>
        <family val="2"/>
        <scheme val="minor"/>
      </rPr>
      <t>per energiepost</t>
    </r>
  </si>
  <si>
    <r>
      <t xml:space="preserve">hernieuwbaar primair fossiel energiegebruik </t>
    </r>
    <r>
      <rPr>
        <sz val="16"/>
        <color rgb="FF1F497D"/>
        <rFont val="Calibri"/>
        <family val="2"/>
        <scheme val="minor"/>
      </rPr>
      <t>per energiepost</t>
    </r>
  </si>
  <si>
    <r>
      <t xml:space="preserve">primaire fossiele energiefactor </t>
    </r>
    <r>
      <rPr>
        <i/>
        <sz val="16"/>
        <color rgb="FF1F497D"/>
        <rFont val="Calibri"/>
        <family val="2"/>
        <scheme val="minor"/>
      </rPr>
      <t>installaties buiten de locatie</t>
    </r>
  </si>
  <si>
    <r>
      <t>primair fossiel energiegebruik</t>
    </r>
    <r>
      <rPr>
        <i/>
        <sz val="10"/>
        <color rgb="FF275937"/>
        <rFont val="Calibri"/>
        <family val="2"/>
        <scheme val="minor"/>
      </rPr>
      <t xml:space="preserve"> voor alle energiestromen</t>
    </r>
  </si>
  <si>
    <r>
      <t xml:space="preserve">TOTAAL </t>
    </r>
    <r>
      <rPr>
        <i/>
        <sz val="10"/>
        <rFont val="Calibri"/>
        <family val="2"/>
      </rPr>
      <t>RERPrenTOT</t>
    </r>
  </si>
  <si>
    <r>
      <t xml:space="preserve">CO2 emissie </t>
    </r>
    <r>
      <rPr>
        <i/>
        <sz val="16"/>
        <color rgb="FF275937"/>
        <rFont val="Calibri"/>
        <family val="2"/>
        <scheme val="minor"/>
      </rPr>
      <t>indicatie op basis van berekening fossiel</t>
    </r>
  </si>
  <si>
    <r>
      <t xml:space="preserve">primair totaal energiegebruik </t>
    </r>
    <r>
      <rPr>
        <i/>
        <sz val="16"/>
        <color rgb="FF275937"/>
        <rFont val="Calibri"/>
        <family val="2"/>
        <scheme val="minor"/>
      </rPr>
      <t>ZEB</t>
    </r>
  </si>
  <si>
    <t>De ‘Uniforme Maatlat Gebouwde Omgeving' (UMGO) is een rekenmodel waarmee de CO2 emissie en het (primaire) fossiel energiegebruik van gebouwen in een locatie kunnen worden berekend en waarin verschillende energie-opties voor een locatie met elkaar vergeleken kunnen worden. Het model rekent op basis van kengetallen voor woningen, utiliteitsgebouwen, isolatie en installaties, en rekenmethoden conform NTA8800 en EMG (NEN7125).
De achtergronden van het rekenmodel staan beschreven in het Protocol Uniforme Maatlat Gebouwde Omgeving (zie onderstaande link).
Het rekenmodel bestaat uit:
-  een invoerblad; hierin kunnen maximaal 9 woningen en/of utiliteitsgebouwen per maximaal 4 locaties worden ingevoerd;
-  zes rekenbladen waarin voor de opgegeven locaties verschillende energiemaatregelen doorgerekend kunnen worden (varianten);
-  een resultatenblad waar de belangrijkste resultaten van de opgegeven varianten naast elkaar staan;
-  een 'bibliotheek' met gegevens over gebouwen, installaties, energiedragers etcetera, die door alle rekenbladen gebruikt wordt.
De eerste versie van de UMGO is in de zomer van 2010 ontwikkeld waarbij inbreng van experts is verwerkt. In 2011 is een update van de Uniforme Maatlat uitgebracht, versie 3.0. De maatlat en het bijbehorende rekenmodel zijn sindsdien periodiek geactualiseerd en aangepast. Versie 4.0 is verschenen in april 2016 en is onder meer gericht op de toekomstige BENG-eisen. Versie 5.0 is verschenen in september 2020 en is gebaseerd op berekeningen met NTA8800.</t>
  </si>
  <si>
    <t>gegevens van maximaal 9 woningen en/of utiliteitsgebouwen per maximaal 4 locaties:
-  naam van elke locatie (optionele vrije invoer);
-  type woning|utiliteitsgebouw (verplichte invoer met keuzelijst (kan in bibliotheek worden aangepast/aangevuld));
-  aanvullende informatie (optionele vrije invoer);
-  aantal woningen|utiliteitsgebouwen per type (≥0);
-  gebruiksoppervlakte (optioneel en overschrijft gebruiks- en verliesoppervlakte van gekozen type uit de bibliotheek).</t>
  </si>
  <si>
    <t>-  primaire energiefactor elektriciteit (verplichte invoer op basis van een keuzelijst);
-  aantal woningen|utiliteitsgebouwen per type (optioneel en overschrijft de ingevulde aantallen uit 'woningen|utiliteit';
-  energiemaatregelen die effect hebben op de energiebehoefte per type woning|utiliteitsgebouw (verplicht)
   (energiepakket bouwkundig (keuzelijst, te wijzigen|aan te passen in de biblitoheek), type ventilatiesysteem, ventilator, douchewater warmteterugwinning (DWTW) van toepassing, geïnstalleerd vermogen en type verlichtingsregeling (vrij/keuzelijst, verplicht bij utiliteitsgebouwen), besparing op niet gebouwgebonden elektriciteit), specifieke interne warmtecapaciteit, batterij voor opslag opgewekte elektriciteit PV aanwezig;
-  elektriciteitsgebruik voor mobiliteit (optioneel);
-  door zonnecellen geproduceerde hoeveelheid elektriciteit (optioneel);
-  kenmerken van de installatie voor verwarming, warmtapwater en koeling
   (preferent toestel, warmtedistributie, thermische zonne-energie);
-  kenmerken (niet) preferente toestellen voor verwarming, warmtapwater en koeling;
   (optioneel, invoer overschrijft de waarden die uit de bibliotheek gehaald worden op basis van keuze preferent toestel;
    in de bibliotheek kunnen toestellen worden toegevoegd, die vervolgens in de variant gekozen kunnen worden)
-  aandeel duurzame fractie bij aftap warmte elektriciteitscentrale (optioneel, overschrijft waarde uit bibliotheek).</t>
  </si>
  <si>
    <t xml:space="preserve">De Uniforme Maatlat is ontwikkeld in opdracht van de Rijksdienst voor Ondernemend Nederland.
De Uniforme Maatlat is één van de methoden die RVO ontwikkelt om de energieprestaties van verschillende technieken (zoals zonneboilers, warmtepompen, warmte-koudeopslag, collectieve systemen, restwarmte, verbranding van houtachtige biomassa, etc.) goed vergelijkbaar te maken.
Het Rekenmodel is gebaseerd op het rapport 'Uniforme Maatlat voor de warmtevoorziening van woning-en utiliteitsbouw', versie 5.3  (Utrecht, 20 juli 2026).
Het Rekenmodel bevat de belangrijkste systemen/rendementen uit het rapport.
Meer rendementen zijn terug te vinden in het genoemde rapport en NTA 8800. Deze getallen kunnen in de bibliotheek van het Rekenmodel worden opgenomen en vervolgens in de berekeningen worden gebruikt. 
Let op: De resultaten van de berekende energieprestatie-indicatoren (BENG 1, 2, 3, energielabel, PEF) en ZEB zijn indicatief.
</t>
  </si>
  <si>
    <t>opbrengst zonnepanelen</t>
  </si>
  <si>
    <t>jaarlijks primair totaal energiegebruik ZEB locatie 1</t>
  </si>
  <si>
    <t>primaire fossiel energiefactor [0,0-2,0]</t>
  </si>
  <si>
    <r>
      <t>PEF</t>
    </r>
    <r>
      <rPr>
        <vertAlign val="subscript"/>
        <sz val="10"/>
        <color theme="1"/>
        <rFont val="Calibri"/>
        <family val="2"/>
      </rPr>
      <t>fossiel</t>
    </r>
    <r>
      <rPr>
        <sz val="10"/>
        <color theme="1"/>
        <rFont val="Calibri"/>
        <family val="2"/>
      </rPr>
      <t>/KCO2 elektriciteit</t>
    </r>
  </si>
  <si>
    <r>
      <t xml:space="preserve">energieprestatie indicatoren </t>
    </r>
    <r>
      <rPr>
        <sz val="16"/>
        <color rgb="FF275937"/>
        <rFont val="Calibri"/>
        <family val="2"/>
        <scheme val="minor"/>
      </rPr>
      <t>primair fossiel</t>
    </r>
  </si>
  <si>
    <t>jaarlijks primair totaal energiegebruik ZEB locatie 2</t>
  </si>
  <si>
    <t>jaarlijks primair totaal energiegebruik ZEB locatie 3</t>
  </si>
  <si>
    <t>jaarlijks primair totaal energiegebruik ZEB locatie 4</t>
  </si>
  <si>
    <t>jaarlijks primair totaal energiegebruik ZEB locatie</t>
  </si>
  <si>
    <t>jaarlijks primair totaal energiegebruik ZEB</t>
  </si>
  <si>
    <t>MWh_prim, ZEB/jaar</t>
  </si>
  <si>
    <t xml:space="preserve">warmtapwater tov forfaitair NTA 8800 (optioneel bij MWA warmtevraag) </t>
  </si>
  <si>
    <t>NTA8800 tabel 5.3</t>
  </si>
  <si>
    <t>**Let op: in de NTA8800 typering was nog geen sprake van primair totale energie en de weegfactor primair totale energie. Deze zijn hier ingevoerd o.b.v. de NTA8800:2026</t>
  </si>
  <si>
    <t>primaire fossiele energiefactor elektriciteit [0,0-2,0]</t>
  </si>
  <si>
    <t>primaire fossiele energiefactor export elektriciteit [0,0-2,0]</t>
  </si>
  <si>
    <t>NTA8800:2025</t>
  </si>
  <si>
    <t>NTA8800:2026</t>
  </si>
  <si>
    <t>** Let op: het jaar 2040 is niet vermeld in de KEV 2025 en de KEV2024, daarom wordt in UMGO 5.3.0 dit jaar  niet langer meegenomen.</t>
  </si>
  <si>
    <t>2030 (o.b.v. KEV'25)</t>
  </si>
  <si>
    <r>
      <t>Vanaf versie 5.3 wordt er onderscheid gemaakt tussen PEF</t>
    </r>
    <r>
      <rPr>
        <vertAlign val="subscript"/>
        <sz val="10"/>
        <color theme="1"/>
        <rFont val="Calibri"/>
        <family val="2"/>
      </rPr>
      <t>fossiel</t>
    </r>
    <r>
      <rPr>
        <sz val="10"/>
        <color theme="1"/>
        <rFont val="Calibri"/>
        <family val="2"/>
      </rPr>
      <t xml:space="preserve"> , PEF</t>
    </r>
    <r>
      <rPr>
        <vertAlign val="subscript"/>
        <sz val="10"/>
        <color theme="1"/>
        <rFont val="Calibri"/>
        <family val="2"/>
      </rPr>
      <t>totaal</t>
    </r>
    <r>
      <rPr>
        <sz val="10"/>
        <color theme="1"/>
        <rFont val="Calibri"/>
        <family val="2"/>
      </rPr>
      <t xml:space="preserve"> en PEF</t>
    </r>
    <r>
      <rPr>
        <vertAlign val="subscript"/>
        <sz val="10"/>
        <color theme="1"/>
        <rFont val="Calibri"/>
        <family val="2"/>
      </rPr>
      <t>hernieuwbaar</t>
    </r>
    <r>
      <rPr>
        <sz val="10"/>
        <color theme="1"/>
        <rFont val="Calibri"/>
        <family val="2"/>
      </rPr>
      <t xml:space="preserve">, waarbij ook andere energiefactoren gelden. Hiermee wordt eigen gebruik van hernieuwbare energie, energie van het net en geexporteerde energie op verschillende wijze gewaardeerd. Deze wijziging sluit aan bij de NTA8800-2026.
Primaire Energiefactoren toegevoegd o.b.v. NTA8800:2026
CO2 emissiecoefficienten toegevoegd o.b.v. NTA8800:2026 (0,34ton/MWh_finaal  &gt;  0,268ton/MWh_finaal)  
Kentallen projectiejaar 2030 aangepast o.b.v. de KEV'25
</t>
    </r>
  </si>
  <si>
    <r>
      <t xml:space="preserve">   optioneel: eigen waarde [≥</t>
    </r>
    <r>
      <rPr>
        <sz val="9"/>
        <color theme="9" tint="-0.499984740745262"/>
        <rFont val="Calibri Light"/>
        <family val="2"/>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</si>
</sst>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0.0"/>
    <numFmt numFmtId="165" formatCode="0.000"/>
    <numFmt numFmtId="166" formatCode="#,##0.000"/>
    <numFmt numFmtId="167" formatCode="#,##0.0000"/>
    <numFmt numFmtId="168" formatCode="#,##0.0"/>
    <numFmt numFmtId="169" formatCode="#,##0.00000"/>
    <numFmt numFmtId="170" formatCode="#,##0.000000000"/>
    <numFmt numFmtId="171" formatCode="0.0000"/>
    <numFmt numFmtId="172" formatCode="d\ mmmm\ yyyy"/>
    <numFmt numFmtId="173" formatCode="0.0000000"/>
    <numFmt numFmtId="174" formatCode="&quot;hoog: &quot;0%"/>
    <numFmt numFmtId="175" formatCode="0.0%"/>
    <numFmt numFmtId="176" formatCode="&quot;versie &quot;dd\ mmm\ yyyy"/>
    <numFmt numFmtId="177" formatCode="&quot;versie &quot;dd\ mmmm\ yyyy"/>
    <numFmt numFmtId="178" formatCode="&quot;Ri + Re &quot;#,##0.00"/>
    <numFmt numFmtId="179" formatCode="&quot;max bijdrage weegfactor &quot;#,##0%"/>
    <numFmt numFmtId="180" formatCode="\+#,##0.0;\-#,##0.0"/>
    <numFmt numFmtId="181" formatCode="\+#,##0%;\-#,##0%"/>
    <numFmt numFmtId="182" formatCode="&quot;PEF: &quot;0.000"/>
    <numFmt numFmtId="183" formatCode="0.000&quot; kgCO2/kWh&quot;"/>
    <numFmt numFmtId="184" formatCode="dd\ mmm\ yyyy"/>
    <numFmt numFmtId="185" formatCode="0.00000"/>
  </numFmts>
  <fonts count="223">
    <font>
      <sz val="10"/>
      <name val="Calibri"/>
      <family val="2"/>
    </font>
    <font>
      <sz val="10"/>
      <color theme="1"/>
      <name val="Inter"/>
      <family val="2"/>
    </font>
    <font>
      <sz val="11"/>
      <color theme="1"/>
      <name val="Calibri"/>
      <family val="2"/>
      <scheme val="minor"/>
    </font>
    <font>
      <sz val="10"/>
      <color indexed="9"/>
      <name val="Verdana"/>
      <family val="2"/>
    </font>
    <font>
      <sz val="8"/>
      <name val="Verdana"/>
      <family val="2"/>
    </font>
    <font>
      <sz val="10"/>
      <name val="Arial"/>
      <family val="2"/>
    </font>
    <font>
      <sz val="9"/>
      <color indexed="81"/>
      <name val="Tahoma"/>
      <family val="2"/>
    </font>
    <font>
      <u/>
      <sz val="8"/>
      <color indexed="12"/>
      <name val="Verdana"/>
      <family val="2"/>
    </font>
    <font>
      <sz val="11"/>
      <color theme="1"/>
      <name val="Calibri"/>
      <family val="2"/>
      <scheme val="minor"/>
    </font>
    <font>
      <sz val="11"/>
      <color theme="0"/>
      <name val="Calibri"/>
      <family val="2"/>
      <scheme val="minor"/>
    </font>
    <font>
      <b/>
      <sz val="11"/>
      <color theme="0"/>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0"/>
      <color theme="0"/>
      <name val="Calibri"/>
      <family val="2"/>
      <scheme val="minor"/>
    </font>
    <font>
      <b/>
      <sz val="10"/>
      <color theme="0"/>
      <name val="Calibri"/>
      <family val="2"/>
      <scheme val="minor"/>
    </font>
    <font>
      <sz val="10"/>
      <name val="Calibri"/>
      <family val="2"/>
      <scheme val="minor"/>
    </font>
    <font>
      <sz val="8"/>
      <name val="Calibri"/>
      <family val="2"/>
      <scheme val="minor"/>
    </font>
    <font>
      <sz val="8"/>
      <color theme="0"/>
      <name val="Calibri"/>
      <family val="2"/>
      <scheme val="minor"/>
    </font>
    <font>
      <b/>
      <sz val="10"/>
      <name val="Calibri"/>
      <family val="2"/>
      <scheme val="minor"/>
    </font>
    <font>
      <sz val="10"/>
      <color indexed="9"/>
      <name val="Calibri"/>
      <family val="2"/>
      <scheme val="minor"/>
    </font>
    <font>
      <sz val="10"/>
      <color indexed="8"/>
      <name val="Calibri"/>
      <family val="2"/>
      <scheme val="minor"/>
    </font>
    <font>
      <sz val="10"/>
      <color rgb="FF275937"/>
      <name val="Calibri"/>
      <family val="2"/>
      <scheme val="minor"/>
    </font>
    <font>
      <sz val="10"/>
      <color rgb="FF0070C0"/>
      <name val="Calibri"/>
      <family val="2"/>
      <scheme val="minor"/>
    </font>
    <font>
      <b/>
      <sz val="10"/>
      <color rgb="FF275937"/>
      <name val="Calibri"/>
      <family val="2"/>
      <scheme val="minor"/>
    </font>
    <font>
      <sz val="8"/>
      <color rgb="FFFF0000"/>
      <name val="Calibri"/>
      <family val="2"/>
      <scheme val="minor"/>
    </font>
    <font>
      <sz val="10"/>
      <color rgb="FFFF0000"/>
      <name val="Calibri"/>
      <family val="2"/>
      <scheme val="minor"/>
    </font>
    <font>
      <b/>
      <sz val="10"/>
      <color rgb="FFFF0000"/>
      <name val="Calibri"/>
      <family val="2"/>
      <scheme val="minor"/>
    </font>
    <font>
      <i/>
      <sz val="10"/>
      <name val="Calibri"/>
      <family val="2"/>
      <scheme val="minor"/>
    </font>
    <font>
      <sz val="10"/>
      <color indexed="10"/>
      <name val="Calibri"/>
      <family val="2"/>
      <scheme val="minor"/>
    </font>
    <font>
      <sz val="10"/>
      <color theme="0" tint="-0.499984740745262"/>
      <name val="Calibri"/>
      <family val="2"/>
      <scheme val="minor"/>
    </font>
    <font>
      <sz val="11"/>
      <name val="Wingdings 2"/>
      <family val="1"/>
      <charset val="2"/>
    </font>
    <font>
      <sz val="10"/>
      <color rgb="FF39870C"/>
      <name val="Calibri"/>
      <family val="2"/>
      <scheme val="minor"/>
    </font>
    <font>
      <sz val="11"/>
      <color theme="0" tint="-0.34998626667073579"/>
      <name val="Wingdings 2"/>
      <family val="1"/>
      <charset val="2"/>
    </font>
    <font>
      <i/>
      <sz val="11"/>
      <color theme="0" tint="-0.34998626667073579"/>
      <name val="Wingdings 2"/>
      <family val="1"/>
      <charset val="2"/>
    </font>
    <font>
      <sz val="18"/>
      <color indexed="24"/>
      <name val="Calibri"/>
      <family val="2"/>
      <scheme val="minor"/>
    </font>
    <font>
      <sz val="12"/>
      <name val="Calibri"/>
      <family val="2"/>
      <scheme val="minor"/>
    </font>
    <font>
      <sz val="12"/>
      <color indexed="9"/>
      <name val="Calibri"/>
      <family val="2"/>
      <scheme val="minor"/>
    </font>
    <font>
      <sz val="12"/>
      <color indexed="8"/>
      <name val="Calibri"/>
      <family val="2"/>
      <scheme val="minor"/>
    </font>
    <font>
      <sz val="200"/>
      <name val="Calibri"/>
      <family val="2"/>
      <scheme val="minor"/>
    </font>
    <font>
      <i/>
      <sz val="12"/>
      <color indexed="24"/>
      <name val="Calibri"/>
      <family val="2"/>
      <scheme val="minor"/>
    </font>
    <font>
      <b/>
      <sz val="18"/>
      <color rgb="FF275937"/>
      <name val="Calibri"/>
      <family val="2"/>
    </font>
    <font>
      <sz val="11"/>
      <name val="Verdana"/>
      <family val="2"/>
    </font>
    <font>
      <b/>
      <sz val="16"/>
      <color rgb="FF275937"/>
      <name val="Calibri"/>
      <family val="2"/>
      <scheme val="minor"/>
    </font>
    <font>
      <b/>
      <sz val="16"/>
      <color theme="3"/>
      <name val="Calibri"/>
      <family val="2"/>
      <scheme val="minor"/>
    </font>
    <font>
      <u/>
      <sz val="8"/>
      <color theme="11"/>
      <name val="Verdana"/>
      <family val="2"/>
    </font>
    <font>
      <sz val="11"/>
      <name val="Calibri"/>
      <family val="2"/>
      <scheme val="minor"/>
    </font>
    <font>
      <sz val="10"/>
      <color rgb="FFFA7D00"/>
      <name val="Calibri"/>
      <family val="2"/>
      <scheme val="minor"/>
    </font>
    <font>
      <b/>
      <sz val="10"/>
      <color rgb="FF0070C0"/>
      <name val="Calibri"/>
      <family val="2"/>
      <scheme val="minor"/>
    </font>
    <font>
      <sz val="10"/>
      <color theme="0"/>
      <name val="Verdana"/>
      <family val="2"/>
    </font>
    <font>
      <b/>
      <sz val="8"/>
      <color rgb="FFC00000"/>
      <name val="Verdana"/>
      <family val="2"/>
    </font>
    <font>
      <sz val="10"/>
      <name val="Calibri Light"/>
      <family val="2"/>
    </font>
    <font>
      <b/>
      <sz val="10"/>
      <color rgb="FFFF0000"/>
      <name val="Calibri Light"/>
      <family val="2"/>
    </font>
    <font>
      <b/>
      <sz val="16"/>
      <color rgb="FFFF0000"/>
      <name val="Calibri Light"/>
      <family val="2"/>
    </font>
    <font>
      <sz val="8"/>
      <name val="Calibri Light"/>
      <family val="2"/>
    </font>
    <font>
      <sz val="10"/>
      <color indexed="8"/>
      <name val="Calibri Light"/>
      <family val="2"/>
    </font>
    <font>
      <sz val="10"/>
      <color rgb="FFFF0000"/>
      <name val="Calibri Light"/>
      <family val="2"/>
    </font>
    <font>
      <sz val="10"/>
      <color indexed="9"/>
      <name val="Calibri Light"/>
      <family val="2"/>
    </font>
    <font>
      <sz val="10"/>
      <color theme="0"/>
      <name val="Calibri Light"/>
      <family val="2"/>
    </font>
    <font>
      <sz val="10"/>
      <color theme="1"/>
      <name val="Calibri Light"/>
      <family val="2"/>
    </font>
    <font>
      <sz val="10"/>
      <color rgb="FF275937"/>
      <name val="Calibri Light"/>
      <family val="2"/>
    </font>
    <font>
      <sz val="10"/>
      <color theme="0" tint="-0.34998626667073579"/>
      <name val="Calibri Light"/>
      <family val="2"/>
    </font>
    <font>
      <sz val="10"/>
      <color theme="0" tint="-0.249977111117893"/>
      <name val="Calibri Light"/>
      <family val="2"/>
    </font>
    <font>
      <i/>
      <sz val="10"/>
      <name val="Calibri Light"/>
      <family val="2"/>
    </font>
    <font>
      <b/>
      <sz val="10"/>
      <color theme="3"/>
      <name val="Calibri Light"/>
      <family val="2"/>
    </font>
    <font>
      <sz val="10"/>
      <color theme="3"/>
      <name val="Calibri Light"/>
      <family val="2"/>
    </font>
    <font>
      <sz val="10"/>
      <color rgb="FF00B050"/>
      <name val="Calibri Light"/>
      <family val="2"/>
    </font>
    <font>
      <sz val="10"/>
      <color rgb="FF0070C0"/>
      <name val="Calibri Light"/>
      <family val="2"/>
    </font>
    <font>
      <sz val="10"/>
      <color indexed="10"/>
      <name val="Calibri Light"/>
      <family val="2"/>
    </font>
    <font>
      <sz val="14"/>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FA7D00"/>
      <name val="Calibri"/>
      <family val="2"/>
      <scheme val="minor"/>
    </font>
    <font>
      <b/>
      <sz val="10"/>
      <color theme="3"/>
      <name val="Calibri"/>
      <family val="2"/>
      <scheme val="minor"/>
    </font>
    <font>
      <b/>
      <sz val="16"/>
      <color theme="3"/>
      <name val="Calibri"/>
      <family val="2"/>
    </font>
    <font>
      <sz val="16"/>
      <color theme="3"/>
      <name val="Calibri"/>
      <family val="2"/>
      <scheme val="minor"/>
    </font>
    <font>
      <sz val="11"/>
      <name val="Calibri"/>
      <family val="2"/>
    </font>
    <font>
      <vertAlign val="subscript"/>
      <sz val="10"/>
      <color rgb="FF000000"/>
      <name val="Calibri Light"/>
      <family val="2"/>
    </font>
    <font>
      <sz val="16"/>
      <color rgb="FF275937"/>
      <name val="Calibri"/>
      <family val="2"/>
      <scheme val="minor"/>
    </font>
    <font>
      <b/>
      <sz val="10"/>
      <color theme="3"/>
      <name val="Calibri"/>
      <family val="2"/>
    </font>
    <font>
      <b/>
      <sz val="10"/>
      <color rgb="FF275937"/>
      <name val="Calibri"/>
      <family val="2"/>
    </font>
    <font>
      <b/>
      <vertAlign val="subscript"/>
      <sz val="16"/>
      <color theme="3"/>
      <name val="Calibri"/>
      <family val="2"/>
      <scheme val="minor"/>
    </font>
    <font>
      <u/>
      <sz val="10"/>
      <color theme="10"/>
      <name val="Calibri Light"/>
      <family val="2"/>
    </font>
    <font>
      <sz val="10"/>
      <color rgb="FF00B050"/>
      <name val="Calibri"/>
      <family val="2"/>
      <scheme val="minor"/>
    </font>
    <font>
      <sz val="10"/>
      <color theme="0" tint="-0.499984740745262"/>
      <name val="Wingdings 2"/>
      <family val="1"/>
      <charset val="2"/>
    </font>
    <font>
      <sz val="10"/>
      <color indexed="8"/>
      <name val="Calibri"/>
      <family val="2"/>
    </font>
    <font>
      <sz val="10"/>
      <name val="Calibri"/>
      <family val="2"/>
    </font>
    <font>
      <sz val="9"/>
      <color theme="9" tint="-0.24994659260841701"/>
      <name val="Calibri Light"/>
      <family val="2"/>
    </font>
    <font>
      <sz val="10"/>
      <color theme="9" tint="-0.24994659260841701"/>
      <name val="Calibri Light"/>
      <family val="2"/>
    </font>
    <font>
      <sz val="10"/>
      <color theme="9" tint="-0.24994659260841701"/>
      <name val="Calibri"/>
      <family val="2"/>
    </font>
    <font>
      <sz val="9"/>
      <color indexed="8"/>
      <name val="Calibri Light"/>
      <family val="2"/>
    </font>
    <font>
      <sz val="10"/>
      <color indexed="9"/>
      <name val="Calibri"/>
      <family val="2"/>
    </font>
    <font>
      <sz val="12"/>
      <color theme="9"/>
      <name val="Calibri"/>
      <family val="2"/>
    </font>
    <font>
      <sz val="1"/>
      <color theme="9"/>
      <name val="Calibri"/>
      <family val="2"/>
    </font>
    <font>
      <b/>
      <sz val="18"/>
      <color theme="3"/>
      <name val="Calibri"/>
      <family val="2"/>
    </font>
    <font>
      <sz val="14"/>
      <color theme="0" tint="-0.34998626667073579"/>
      <name val="Calibri"/>
      <family val="2"/>
    </font>
    <font>
      <sz val="16"/>
      <color theme="0" tint="-0.34998626667073579"/>
      <name val="Calibri"/>
      <family val="2"/>
    </font>
    <font>
      <sz val="7"/>
      <color theme="0" tint="-0.24994659260841701"/>
      <name val="Calibri Light"/>
      <family val="2"/>
    </font>
    <font>
      <sz val="16"/>
      <name val="Wingdings 2"/>
      <family val="1"/>
      <charset val="2"/>
    </font>
    <font>
      <sz val="12"/>
      <color theme="1"/>
      <name val="Calibri"/>
      <family val="2"/>
    </font>
    <font>
      <sz val="1"/>
      <color theme="0"/>
      <name val="Calibri"/>
      <family val="2"/>
    </font>
    <font>
      <sz val="9"/>
      <color rgb="FF275937"/>
      <name val="Calibri"/>
      <family val="2"/>
    </font>
    <font>
      <sz val="10"/>
      <color rgb="FF275937"/>
      <name val="Calibri"/>
      <family val="2"/>
    </font>
    <font>
      <sz val="10"/>
      <color theme="3"/>
      <name val="Calibri"/>
      <family val="2"/>
    </font>
    <font>
      <sz val="10"/>
      <color rgb="FFFF0000"/>
      <name val="Calibri"/>
      <family val="2"/>
    </font>
    <font>
      <sz val="10"/>
      <color theme="0"/>
      <name val="Calibri"/>
      <family val="2"/>
    </font>
    <font>
      <sz val="12"/>
      <name val="Calibri Light"/>
      <family val="2"/>
    </font>
    <font>
      <sz val="11"/>
      <color theme="0" tint="-0.499984740745262"/>
      <name val="Wingdings 2"/>
      <family val="1"/>
      <charset val="2"/>
    </font>
    <font>
      <sz val="1"/>
      <color theme="0" tint="-0.499984740745262"/>
      <name val="Wingdings 2"/>
      <family val="1"/>
      <charset val="2"/>
    </font>
    <font>
      <sz val="10"/>
      <color rgb="FF00B050"/>
      <name val="Calibri"/>
      <family val="2"/>
    </font>
    <font>
      <u/>
      <sz val="10"/>
      <color theme="9" tint="-0.24994659260841701"/>
      <name val="Calibri"/>
      <family val="2"/>
    </font>
    <font>
      <b/>
      <sz val="10"/>
      <color theme="9" tint="-0.24994659260841701"/>
      <name val="Calibri"/>
      <family val="2"/>
    </font>
    <font>
      <u/>
      <sz val="10"/>
      <color rgb="FF0070C0"/>
      <name val="Calibri"/>
      <family val="2"/>
    </font>
    <font>
      <sz val="10"/>
      <color rgb="FF000000"/>
      <name val="Calibri"/>
      <family val="2"/>
    </font>
    <font>
      <sz val="10"/>
      <color theme="0" tint="-0.14999847407452621"/>
      <name val="Calibri"/>
      <family val="2"/>
    </font>
    <font>
      <i/>
      <sz val="10"/>
      <color indexed="8"/>
      <name val="Calibri"/>
      <family val="2"/>
    </font>
    <font>
      <b/>
      <sz val="10"/>
      <color indexed="8"/>
      <name val="Calibri"/>
      <family val="2"/>
    </font>
    <font>
      <sz val="16"/>
      <color theme="0" tint="-0.499984740745262"/>
      <name val="Calibri"/>
      <family val="2"/>
    </font>
    <font>
      <sz val="10"/>
      <color theme="0" tint="-0.499984740745262"/>
      <name val="Calibri"/>
      <family val="2"/>
    </font>
    <font>
      <sz val="10"/>
      <color theme="0" tint="-0.499984740745262"/>
      <name val="Calibri Light"/>
      <family val="2"/>
    </font>
    <font>
      <sz val="14"/>
      <name val="Calibri"/>
      <family val="2"/>
    </font>
    <font>
      <sz val="1"/>
      <name val="Calibri"/>
      <family val="2"/>
    </font>
    <font>
      <sz val="10"/>
      <color theme="1"/>
      <name val="Calibri"/>
      <family val="2"/>
    </font>
    <font>
      <sz val="11"/>
      <color theme="0" tint="-0.499984740745262"/>
      <name val="Calibri"/>
      <family val="2"/>
    </font>
    <font>
      <sz val="11"/>
      <color theme="9"/>
      <name val="Calibri"/>
      <family val="2"/>
    </font>
    <font>
      <sz val="11"/>
      <color indexed="23"/>
      <name val="Wingdings 2"/>
      <family val="1"/>
      <charset val="2"/>
    </font>
    <font>
      <sz val="11"/>
      <color indexed="9"/>
      <name val="Calibri"/>
      <family val="2"/>
    </font>
    <font>
      <i/>
      <sz val="10"/>
      <color rgb="FF000000"/>
      <name val="Calibri"/>
      <family val="2"/>
    </font>
    <font>
      <b/>
      <sz val="12"/>
      <color theme="3"/>
      <name val="Calibri"/>
      <family val="2"/>
      <scheme val="minor"/>
    </font>
    <font>
      <b/>
      <sz val="12"/>
      <color theme="3"/>
      <name val="Calibri"/>
      <family val="2"/>
    </font>
    <font>
      <sz val="10"/>
      <color theme="1" tint="0.34998626667073579"/>
      <name val="Calibri"/>
      <family val="2"/>
      <scheme val="minor"/>
    </font>
    <font>
      <sz val="10"/>
      <color theme="3"/>
      <name val="Calibri"/>
      <family val="2"/>
      <scheme val="minor"/>
    </font>
    <font>
      <sz val="10"/>
      <color theme="9"/>
      <name val="Calibri"/>
      <family val="2"/>
    </font>
    <font>
      <i/>
      <sz val="10"/>
      <color theme="0" tint="-0.499984740745262"/>
      <name val="Calibri"/>
      <family val="2"/>
    </font>
    <font>
      <i/>
      <u/>
      <sz val="10"/>
      <color theme="10"/>
      <name val="Calibri"/>
      <family val="2"/>
    </font>
    <font>
      <sz val="1"/>
      <name val="Calibri"/>
      <family val="2"/>
      <scheme val="minor"/>
    </font>
    <font>
      <sz val="1"/>
      <name val="Wingdings 2"/>
      <family val="1"/>
      <charset val="2"/>
    </font>
    <font>
      <sz val="16"/>
      <color theme="0" tint="-0.14999847407452621"/>
      <name val="Calibri"/>
      <family val="2"/>
    </font>
    <font>
      <sz val="12"/>
      <color theme="0" tint="-0.14999847407452621"/>
      <name val="Calibri"/>
      <family val="2"/>
    </font>
    <font>
      <sz val="1"/>
      <color theme="0" tint="-0.14999847407452621"/>
      <name val="Calibri"/>
      <family val="2"/>
    </font>
    <font>
      <sz val="12"/>
      <color theme="0" tint="-0.499984740745262"/>
      <name val="Wingdings 2"/>
      <family val="1"/>
      <charset val="2"/>
    </font>
    <font>
      <b/>
      <sz val="1"/>
      <color rgb="FFFF0000"/>
      <name val="Calibri"/>
      <family val="2"/>
      <scheme val="minor"/>
    </font>
    <font>
      <vertAlign val="subscript"/>
      <sz val="10"/>
      <name val="Calibri"/>
      <family val="2"/>
    </font>
    <font>
      <vertAlign val="subscript"/>
      <sz val="10"/>
      <name val="Calibri"/>
      <family val="2"/>
      <scheme val="minor"/>
    </font>
    <font>
      <b/>
      <i/>
      <sz val="10"/>
      <name val="Calibri"/>
      <family val="2"/>
    </font>
    <font>
      <b/>
      <sz val="10"/>
      <name val="Calibri"/>
      <family val="2"/>
    </font>
    <font>
      <sz val="10"/>
      <color rgb="FF0070C0"/>
      <name val="Calibri"/>
      <family val="2"/>
    </font>
    <font>
      <sz val="10"/>
      <color theme="0" tint="-0.34998626667073579"/>
      <name val="Calibri"/>
      <family val="2"/>
    </font>
    <font>
      <b/>
      <sz val="10"/>
      <color theme="4"/>
      <name val="Calibri"/>
      <family val="2"/>
    </font>
    <font>
      <i/>
      <sz val="10"/>
      <color theme="0" tint="-0.249977111117893"/>
      <name val="Calibri"/>
      <family val="2"/>
      <scheme val="minor"/>
    </font>
    <font>
      <i/>
      <sz val="10"/>
      <color theme="0" tint="-0.249977111117893"/>
      <name val="Calibri Light"/>
      <family val="2"/>
    </font>
    <font>
      <i/>
      <sz val="10"/>
      <color theme="0" tint="-0.249977111117893"/>
      <name val="Calibri"/>
      <family val="2"/>
    </font>
    <font>
      <b/>
      <sz val="8"/>
      <color theme="0" tint="-0.249977111117893"/>
      <name val="Calibri"/>
      <family val="2"/>
    </font>
    <font>
      <u/>
      <sz val="10"/>
      <color theme="3"/>
      <name val="Calibri Light"/>
      <family val="2"/>
    </font>
    <font>
      <b/>
      <sz val="10"/>
      <color theme="9" tint="-0.249977111117893"/>
      <name val="Calibri"/>
      <family val="2"/>
      <scheme val="minor"/>
    </font>
    <font>
      <sz val="10"/>
      <color theme="9" tint="-0.249977111117893"/>
      <name val="Calibri"/>
      <family val="2"/>
    </font>
    <font>
      <i/>
      <sz val="10"/>
      <name val="Calibri"/>
      <family val="2"/>
    </font>
    <font>
      <sz val="9"/>
      <color rgb="FFFF0000"/>
      <name val="Calibri"/>
      <family val="2"/>
    </font>
    <font>
      <sz val="10"/>
      <color rgb="FFDDE8C6"/>
      <name val="Calibri Light"/>
      <family val="2"/>
    </font>
    <font>
      <sz val="9"/>
      <color rgb="FFFF0000"/>
      <name val="Inter"/>
      <family val="2"/>
    </font>
    <font>
      <b/>
      <sz val="10"/>
      <color theme="3"/>
      <name val="Calibri"/>
      <family val="2"/>
      <scheme val="minor"/>
    </font>
    <font>
      <sz val="10"/>
      <name val="Calibri"/>
      <family val="2"/>
      <scheme val="minor"/>
    </font>
    <font>
      <sz val="10"/>
      <color rgb="FFFF0000"/>
      <name val="Calibri"/>
      <family val="2"/>
      <scheme val="minor"/>
    </font>
    <font>
      <sz val="18"/>
      <name val="Calibri"/>
      <family val="2"/>
    </font>
    <font>
      <sz val="16"/>
      <color theme="0"/>
      <name val="Calibri"/>
      <family val="2"/>
    </font>
    <font>
      <sz val="9"/>
      <color theme="0"/>
      <name val="Calibri"/>
      <family val="2"/>
    </font>
    <font>
      <sz val="10"/>
      <color theme="9"/>
      <name val="Calibri"/>
      <family val="2"/>
      <scheme val="minor"/>
    </font>
    <font>
      <sz val="11"/>
      <color theme="0" tint="-0.34998626667073579"/>
      <name val="Calibri"/>
      <family val="2"/>
      <scheme val="minor"/>
    </font>
    <font>
      <sz val="12"/>
      <color theme="0"/>
      <name val="Calibri"/>
      <family val="2"/>
    </font>
    <font>
      <vertAlign val="subscript"/>
      <sz val="10"/>
      <color rgb="FF000000"/>
      <name val="Calibri"/>
      <family val="2"/>
    </font>
    <font>
      <i/>
      <vertAlign val="subscript"/>
      <sz val="10"/>
      <color rgb="FF000000"/>
      <name val="Calibri"/>
      <family val="2"/>
    </font>
    <font>
      <sz val="10"/>
      <color theme="1"/>
      <name val="Wingdings 2"/>
      <family val="1"/>
      <charset val="2"/>
    </font>
    <font>
      <sz val="16"/>
      <color theme="1"/>
      <name val="Calibri"/>
      <family val="2"/>
    </font>
    <font>
      <b/>
      <sz val="10"/>
      <color theme="1"/>
      <name val="Calibri"/>
      <family val="2"/>
      <scheme val="minor"/>
    </font>
    <font>
      <sz val="1"/>
      <color theme="1"/>
      <name val="Calibri"/>
      <family val="2"/>
    </font>
    <font>
      <sz val="10"/>
      <color theme="1"/>
      <name val="Calibri"/>
      <family val="2"/>
      <scheme val="minor"/>
    </font>
    <font>
      <sz val="7"/>
      <color indexed="8"/>
      <name val="Calibri"/>
      <family val="2"/>
    </font>
    <font>
      <sz val="12"/>
      <color theme="0"/>
      <name val="Aptos Narrow"/>
      <family val="2"/>
    </font>
    <font>
      <sz val="13"/>
      <color theme="0" tint="-0.499984740745262"/>
      <name val="Calibri"/>
      <family val="2"/>
    </font>
    <font>
      <sz val="13"/>
      <color theme="9"/>
      <name val="Calibri"/>
      <family val="2"/>
    </font>
    <font>
      <sz val="13"/>
      <color theme="1"/>
      <name val="Calibri"/>
      <family val="2"/>
    </font>
    <font>
      <b/>
      <sz val="20"/>
      <color theme="3"/>
      <name val="Calibri"/>
      <family val="2"/>
    </font>
    <font>
      <sz val="11"/>
      <color rgb="FFFF0000"/>
      <name val="Wingdings 2"/>
      <family val="1"/>
      <charset val="2"/>
    </font>
    <font>
      <vertAlign val="subscript"/>
      <sz val="10"/>
      <color theme="1"/>
      <name val="Calibri"/>
      <family val="2"/>
      <scheme val="minor"/>
    </font>
    <font>
      <sz val="10"/>
      <color theme="1"/>
      <name val="Symbol"/>
      <family val="1"/>
      <charset val="2"/>
    </font>
    <font>
      <sz val="10"/>
      <color theme="1"/>
      <name val="Symbol"/>
      <family val="2"/>
      <charset val="2"/>
    </font>
    <font>
      <b/>
      <vertAlign val="subscript"/>
      <sz val="10"/>
      <color theme="3"/>
      <name val="Calibri"/>
      <family val="2"/>
    </font>
    <font>
      <sz val="10"/>
      <name val="Calibri Light"/>
      <family val="2"/>
    </font>
    <font>
      <sz val="5"/>
      <name val="Calibri"/>
      <family val="2"/>
    </font>
    <font>
      <sz val="5"/>
      <color theme="0" tint="-0.34998626667073579"/>
      <name val="Calibri"/>
      <family val="2"/>
    </font>
    <font>
      <b/>
      <sz val="16"/>
      <color theme="1" tint="0.34998626667073579"/>
      <name val="Calibri"/>
      <family val="2"/>
    </font>
    <font>
      <sz val="16"/>
      <color theme="1" tint="0.34998626667073579"/>
      <name val="Calibri"/>
      <family val="2"/>
    </font>
    <font>
      <vertAlign val="superscript"/>
      <sz val="16"/>
      <color theme="1" tint="0.34998626667073579"/>
      <name val="Calibri"/>
      <family val="2"/>
    </font>
    <font>
      <sz val="10"/>
      <color theme="1" tint="0.34998626667073579"/>
      <name val="Calibri"/>
      <family val="2"/>
    </font>
    <font>
      <sz val="10"/>
      <color indexed="8"/>
      <name val="Aptos Narrow"/>
      <family val="2"/>
    </font>
    <font>
      <sz val="1"/>
      <name val="Calibri Light"/>
      <family val="2"/>
    </font>
    <font>
      <b/>
      <sz val="16"/>
      <color theme="0" tint="-0.249977111117893"/>
      <name val="Calibri"/>
      <family val="2"/>
      <scheme val="minor"/>
    </font>
    <font>
      <sz val="10"/>
      <color theme="0" tint="-0.249977111117893"/>
      <name val="Calibri"/>
      <family val="2"/>
    </font>
    <font>
      <b/>
      <sz val="10"/>
      <color theme="0" tint="-0.249977111117893"/>
      <name val="Calibri"/>
      <family val="2"/>
    </font>
    <font>
      <sz val="10"/>
      <color theme="0" tint="-0.249977111117893"/>
      <name val="Calibri"/>
      <family val="2"/>
      <scheme val="minor"/>
    </font>
    <font>
      <sz val="11"/>
      <color theme="1"/>
      <name val="Wingdings 2"/>
      <family val="1"/>
      <charset val="2"/>
    </font>
    <font>
      <sz val="10"/>
      <color theme="6" tint="-0.249977111117893"/>
      <name val="Calibri Light"/>
      <family val="2"/>
    </font>
    <font>
      <sz val="10"/>
      <color theme="9"/>
      <name val="Calibri Light"/>
      <family val="2"/>
    </font>
    <font>
      <vertAlign val="subscript"/>
      <sz val="10"/>
      <color theme="1"/>
      <name val="Calibri"/>
      <family val="2"/>
    </font>
    <font>
      <b/>
      <sz val="16"/>
      <color rgb="FF1F497D"/>
      <name val="Calibri"/>
      <family val="2"/>
      <scheme val="minor"/>
    </font>
    <font>
      <sz val="16"/>
      <color rgb="FF1F497D"/>
      <name val="Calibri"/>
      <family val="2"/>
      <scheme val="minor"/>
    </font>
    <font>
      <i/>
      <sz val="16"/>
      <color rgb="FF1F497D"/>
      <name val="Calibri"/>
      <family val="2"/>
      <scheme val="minor"/>
    </font>
    <font>
      <i/>
      <sz val="10"/>
      <color rgb="FF275937"/>
      <name val="Calibri"/>
      <family val="2"/>
      <scheme val="minor"/>
    </font>
    <font>
      <i/>
      <sz val="16"/>
      <color rgb="FF275937"/>
      <name val="Calibri"/>
      <family val="2"/>
      <scheme val="minor"/>
    </font>
    <font>
      <sz val="11"/>
      <color theme="0"/>
      <name val="Wingdings 2"/>
      <family val="1"/>
      <charset val="2"/>
    </font>
    <font>
      <sz val="9"/>
      <color theme="9" tint="-0.24994659260841701"/>
      <name val="Calibri"/>
      <family val="2"/>
    </font>
    <font>
      <sz val="10"/>
      <color theme="1" tint="4.9989318521683403E-2"/>
      <name val="Calibri"/>
      <family val="2"/>
    </font>
    <font>
      <sz val="10"/>
      <color theme="9" tint="-0.499984740745262"/>
      <name val="Calibri"/>
      <family val="2"/>
    </font>
    <font>
      <sz val="9"/>
      <color theme="9" tint="-0.499984740745262"/>
      <name val="Calibri Light"/>
      <family val="2"/>
    </font>
    <font>
      <sz val="10"/>
      <color rgb="FF1E7600"/>
      <name val="Calibri"/>
      <family val="2"/>
    </font>
    <font>
      <sz val="10"/>
      <color theme="3" tint="-0.499984740745262"/>
      <name val="Calibri"/>
      <family val="2"/>
    </font>
    <font>
      <sz val="11"/>
      <color theme="1" tint="0.34998626667073579"/>
      <name val="Calibri"/>
      <family val="2"/>
    </font>
    <font>
      <u/>
      <sz val="10"/>
      <color theme="9" tint="-0.499984740745262"/>
      <name val="Calibri Light"/>
      <family val="2"/>
    </font>
  </fonts>
  <fills count="58">
    <fill>
      <patternFill patternType="none"/>
    </fill>
    <fill>
      <patternFill patternType="gray125"/>
    </fill>
    <fill>
      <patternFill patternType="solid">
        <fgColor indexed="9"/>
        <bgColor indexed="64"/>
      </patternFill>
    </fill>
    <fill>
      <patternFill patternType="solid">
        <fgColor indexed="24"/>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patternFill>
    </fill>
    <fill>
      <patternFill patternType="solid">
        <fgColor rgb="FFA5A5A5"/>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50"/>
        <bgColor indexed="64"/>
      </patternFill>
    </fill>
    <fill>
      <patternFill patternType="solid">
        <fgColor theme="4"/>
        <bgColor indexed="64"/>
      </patternFill>
    </fill>
    <fill>
      <patternFill patternType="solid">
        <fgColor theme="0" tint="-0.14996795556505021"/>
        <bgColor indexed="64"/>
      </patternFill>
    </fill>
    <fill>
      <patternFill patternType="solid">
        <fgColor theme="3"/>
        <bgColor indexed="64"/>
      </patternFill>
    </fill>
    <fill>
      <patternFill patternType="solid">
        <fgColor rgb="FFF2F2F2"/>
      </patternFill>
    </fill>
    <fill>
      <patternFill patternType="solid">
        <fgColor rgb="FFFF0000"/>
        <bgColor indexed="64"/>
      </patternFill>
    </fill>
    <fill>
      <patternFill patternType="solid">
        <fgColor theme="4" tint="0.79998168889431442"/>
        <bgColor indexed="64"/>
      </patternFill>
    </fill>
    <fill>
      <patternFill patternType="solid">
        <fgColor theme="7"/>
        <bgColor indexed="64"/>
      </patternFill>
    </fill>
    <fill>
      <patternFill patternType="solid">
        <fgColor rgb="FFC6EFCE"/>
      </patternFill>
    </fill>
    <fill>
      <patternFill patternType="solid">
        <fgColor rgb="FFFFC7CE"/>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6E6E6"/>
        <bgColor indexed="64"/>
      </patternFill>
    </fill>
    <fill>
      <patternFill patternType="solid">
        <fgColor rgb="FFCBD9EB"/>
        <bgColor indexed="64"/>
      </patternFill>
    </fill>
    <fill>
      <patternFill patternType="solid">
        <fgColor theme="6" tint="0.79998168889431442"/>
        <bgColor indexed="64"/>
      </patternFill>
    </fill>
    <fill>
      <patternFill patternType="solid">
        <fgColor rgb="FFDDE8C6"/>
        <bgColor indexed="64"/>
      </patternFill>
    </fill>
    <fill>
      <patternFill patternType="solid">
        <fgColor rgb="FFF7F7F7"/>
        <bgColor indexed="64"/>
      </patternFill>
    </fill>
    <fill>
      <patternFill patternType="solid">
        <fgColor theme="3" tint="0.39994506668294322"/>
        <bgColor indexed="64"/>
      </patternFill>
    </fill>
    <fill>
      <patternFill patternType="solid">
        <fgColor rgb="FF00823B"/>
        <bgColor indexed="64"/>
      </patternFill>
    </fill>
    <fill>
      <patternFill patternType="solid">
        <fgColor rgb="FFFFFF9B"/>
        <bgColor indexed="64"/>
      </patternFill>
    </fill>
    <fill>
      <patternFill patternType="solid">
        <fgColor rgb="FFFFFFFF"/>
        <bgColor indexed="64"/>
      </patternFill>
    </fill>
    <fill>
      <patternFill patternType="solid">
        <fgColor rgb="FF026A68"/>
        <bgColor indexed="64"/>
      </patternFill>
    </fill>
    <fill>
      <patternFill patternType="solid">
        <fgColor rgb="FFFFFFC8"/>
        <bgColor indexed="64"/>
      </patternFill>
    </fill>
    <fill>
      <patternFill patternType="solid">
        <fgColor theme="8" tint="0.79998168889431442"/>
        <bgColor indexed="64"/>
      </patternFill>
    </fill>
    <fill>
      <patternFill patternType="solid">
        <fgColor rgb="FFF2F2F2"/>
        <bgColor indexed="64"/>
      </patternFill>
    </fill>
    <fill>
      <patternFill patternType="solid">
        <fgColor rgb="FF92D050"/>
        <bgColor indexed="64"/>
      </patternFill>
    </fill>
  </fills>
  <borders count="68">
    <border>
      <left/>
      <right/>
      <top/>
      <bottom/>
      <diagonal/>
    </border>
    <border>
      <left/>
      <right/>
      <top style="thin">
        <color indexed="24"/>
      </top>
      <bottom style="thin">
        <color indexed="24"/>
      </bottom>
      <diagonal/>
    </border>
    <border>
      <left/>
      <right/>
      <top style="thin">
        <color indexed="29"/>
      </top>
      <bottom style="thin">
        <color indexed="29"/>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2" tint="-9.9948118533890809E-2"/>
      </top>
      <bottom style="thin">
        <color theme="2" tint="-9.9948118533890809E-2"/>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bottom style="thin">
        <color theme="0" tint="-0.14996795556505021"/>
      </bottom>
      <diagonal/>
    </border>
    <border>
      <left style="thin">
        <color theme="0"/>
      </left>
      <right/>
      <top/>
      <bottom/>
      <diagonal/>
    </border>
    <border>
      <left/>
      <right/>
      <top style="thin">
        <color theme="0" tint="-0.14993743705557422"/>
      </top>
      <bottom style="thin">
        <color theme="0" tint="-0.14993743705557422"/>
      </bottom>
      <diagonal/>
    </border>
    <border>
      <left/>
      <right/>
      <top/>
      <bottom style="thin">
        <color theme="0" tint="-0.14993743705557422"/>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style="thin">
        <color theme="0" tint="-0.14990691854609822"/>
      </top>
      <bottom style="thin">
        <color theme="0" tint="-0.14990691854609822"/>
      </bottom>
      <diagonal/>
    </border>
    <border>
      <left/>
      <right/>
      <top style="thin">
        <color theme="0" tint="-0.14993743705557422"/>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top/>
      <bottom style="thin">
        <color theme="0" tint="-0.24994659260841701"/>
      </bottom>
      <diagonal/>
    </border>
    <border>
      <left style="thin">
        <color theme="0" tint="-0.34998626667073579"/>
      </left>
      <right/>
      <top style="thin">
        <color theme="0" tint="-0.34998626667073579"/>
      </top>
      <bottom style="thin">
        <color theme="0" tint="-0.14996795556505021"/>
      </bottom>
      <diagonal/>
    </border>
    <border>
      <left/>
      <right/>
      <top style="thin">
        <color theme="0" tint="-0.34998626667073579"/>
      </top>
      <bottom style="thin">
        <color theme="0" tint="-0.14996795556505021"/>
      </bottom>
      <diagonal/>
    </border>
    <border>
      <left/>
      <right style="thin">
        <color theme="0" tint="-0.34998626667073579"/>
      </right>
      <top style="thin">
        <color theme="0" tint="-0.34998626667073579"/>
      </top>
      <bottom style="thin">
        <color theme="0" tint="-0.14996795556505021"/>
      </bottom>
      <diagonal/>
    </border>
    <border>
      <left style="thin">
        <color theme="0" tint="-0.34998626667073579"/>
      </left>
      <right/>
      <top style="thin">
        <color theme="0" tint="-0.14996795556505021"/>
      </top>
      <bottom style="thin">
        <color theme="0" tint="-0.14996795556505021"/>
      </bottom>
      <diagonal/>
    </border>
    <border>
      <left/>
      <right style="thin">
        <color theme="0" tint="-0.34998626667073579"/>
      </right>
      <top style="thin">
        <color theme="0" tint="-0.14996795556505021"/>
      </top>
      <bottom style="thin">
        <color theme="0" tint="-0.14996795556505021"/>
      </bottom>
      <diagonal/>
    </border>
    <border>
      <left style="thin">
        <color theme="0" tint="-0.34998626667073579"/>
      </left>
      <right/>
      <top style="thin">
        <color theme="0" tint="-0.14996795556505021"/>
      </top>
      <bottom style="thin">
        <color theme="0" tint="-0.34998626667073579"/>
      </bottom>
      <diagonal/>
    </border>
    <border>
      <left/>
      <right/>
      <top style="thin">
        <color theme="0" tint="-0.14996795556505021"/>
      </top>
      <bottom style="thin">
        <color theme="0" tint="-0.34998626667073579"/>
      </bottom>
      <diagonal/>
    </border>
    <border>
      <left/>
      <right style="thin">
        <color theme="0" tint="-0.34998626667073579"/>
      </right>
      <top style="thin">
        <color theme="0" tint="-0.14996795556505021"/>
      </top>
      <bottom style="thin">
        <color theme="0" tint="-0.34998626667073579"/>
      </bottom>
      <diagonal/>
    </border>
    <border>
      <left style="thin">
        <color theme="0" tint="-0.24994659260841701"/>
      </left>
      <right/>
      <top style="thin">
        <color theme="0" tint="-0.24994659260841701"/>
      </top>
      <bottom style="thin">
        <color theme="0" tint="-0.14996795556505021"/>
      </bottom>
      <diagonal/>
    </border>
    <border>
      <left/>
      <right/>
      <top style="thin">
        <color theme="0" tint="-0.24994659260841701"/>
      </top>
      <bottom style="thin">
        <color theme="0" tint="-0.14996795556505021"/>
      </bottom>
      <diagonal/>
    </border>
    <border>
      <left/>
      <right style="thin">
        <color theme="0" tint="-0.24994659260841701"/>
      </right>
      <top style="thin">
        <color theme="0" tint="-0.24994659260841701"/>
      </top>
      <bottom style="thin">
        <color theme="0" tint="-0.14996795556505021"/>
      </bottom>
      <diagonal/>
    </border>
    <border>
      <left style="thin">
        <color theme="0" tint="-0.24994659260841701"/>
      </left>
      <right/>
      <top style="thin">
        <color theme="0" tint="-0.14996795556505021"/>
      </top>
      <bottom style="thin">
        <color theme="0" tint="-0.14996795556505021"/>
      </bottom>
      <diagonal/>
    </border>
    <border>
      <left/>
      <right style="thin">
        <color theme="0" tint="-0.24994659260841701"/>
      </right>
      <top style="thin">
        <color theme="0" tint="-0.14996795556505021"/>
      </top>
      <bottom style="thin">
        <color theme="0" tint="-0.14996795556505021"/>
      </bottom>
      <diagonal/>
    </border>
    <border>
      <left style="thin">
        <color theme="0" tint="-0.24994659260841701"/>
      </left>
      <right/>
      <top style="thin">
        <color theme="0" tint="-0.14996795556505021"/>
      </top>
      <bottom style="thin">
        <color theme="0" tint="-0.24994659260841701"/>
      </bottom>
      <diagonal/>
    </border>
    <border>
      <left/>
      <right/>
      <top style="thin">
        <color theme="0" tint="-0.14996795556505021"/>
      </top>
      <bottom style="thin">
        <color theme="0" tint="-0.24994659260841701"/>
      </bottom>
      <diagonal/>
    </border>
    <border>
      <left/>
      <right style="thin">
        <color theme="0" tint="-0.24994659260841701"/>
      </right>
      <top style="thin">
        <color theme="0" tint="-0.14996795556505021"/>
      </top>
      <bottom style="thin">
        <color theme="0" tint="-0.24994659260841701"/>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3"/>
      </left>
      <right/>
      <top style="thin">
        <color theme="3"/>
      </top>
      <bottom style="thin">
        <color theme="0" tint="-0.14996795556505021"/>
      </bottom>
      <diagonal/>
    </border>
    <border>
      <left/>
      <right/>
      <top style="thin">
        <color theme="3"/>
      </top>
      <bottom style="thin">
        <color theme="0" tint="-0.14996795556505021"/>
      </bottom>
      <diagonal/>
    </border>
    <border>
      <left/>
      <right style="thin">
        <color theme="3"/>
      </right>
      <top style="thin">
        <color theme="3"/>
      </top>
      <bottom style="thin">
        <color theme="0" tint="-0.14996795556505021"/>
      </bottom>
      <diagonal/>
    </border>
    <border>
      <left style="thin">
        <color theme="3"/>
      </left>
      <right/>
      <top style="thin">
        <color theme="0" tint="-0.14996795556505021"/>
      </top>
      <bottom style="thin">
        <color theme="0" tint="-0.14996795556505021"/>
      </bottom>
      <diagonal/>
    </border>
    <border>
      <left/>
      <right style="thin">
        <color theme="3"/>
      </right>
      <top style="thin">
        <color theme="0" tint="-0.14996795556505021"/>
      </top>
      <bottom style="thin">
        <color theme="0" tint="-0.14996795556505021"/>
      </bottom>
      <diagonal/>
    </border>
    <border>
      <left style="thin">
        <color theme="3"/>
      </left>
      <right/>
      <top style="thin">
        <color theme="0" tint="-0.14993743705557422"/>
      </top>
      <bottom style="thin">
        <color theme="0" tint="-0.14993743705557422"/>
      </bottom>
      <diagonal/>
    </border>
    <border>
      <left/>
      <right style="thin">
        <color theme="3"/>
      </right>
      <top style="thin">
        <color theme="0" tint="-0.14993743705557422"/>
      </top>
      <bottom style="thin">
        <color theme="0" tint="-0.14993743705557422"/>
      </bottom>
      <diagonal/>
    </border>
    <border>
      <left style="thin">
        <color theme="3"/>
      </left>
      <right/>
      <top style="thin">
        <color theme="0" tint="-0.14996795556505021"/>
      </top>
      <bottom style="thin">
        <color theme="3"/>
      </bottom>
      <diagonal/>
    </border>
    <border>
      <left/>
      <right/>
      <top style="thin">
        <color theme="0" tint="-0.14996795556505021"/>
      </top>
      <bottom style="thin">
        <color theme="3"/>
      </bottom>
      <diagonal/>
    </border>
    <border>
      <left/>
      <right style="thin">
        <color theme="3"/>
      </right>
      <top style="thin">
        <color theme="0" tint="-0.14996795556505021"/>
      </top>
      <bottom style="thin">
        <color theme="3"/>
      </bottom>
      <diagonal/>
    </border>
    <border>
      <left style="thin">
        <color theme="3"/>
      </left>
      <right/>
      <top style="thin">
        <color theme="0" tint="-0.14993743705557422"/>
      </top>
      <bottom style="thin">
        <color theme="0" tint="-0.14996795556505021"/>
      </bottom>
      <diagonal/>
    </border>
    <border>
      <left/>
      <right style="thin">
        <color theme="3"/>
      </right>
      <top style="thin">
        <color theme="0" tint="-0.14993743705557422"/>
      </top>
      <bottom style="thin">
        <color theme="0" tint="-0.14996795556505021"/>
      </bottom>
      <diagonal/>
    </border>
    <border>
      <left/>
      <right/>
      <top style="thin">
        <color theme="0" tint="-0.14993743705557422"/>
      </top>
      <bottom style="thin">
        <color theme="0" tint="-0.14990691854609822"/>
      </bottom>
      <diagonal/>
    </border>
    <border>
      <left/>
      <right/>
      <top style="thin">
        <color theme="0" tint="-0.14990691854609822"/>
      </top>
      <bottom style="thin">
        <color theme="0" tint="-0.14993743705557422"/>
      </bottom>
      <diagonal/>
    </border>
    <border>
      <left/>
      <right/>
      <top style="hair">
        <color theme="9" tint="-0.24994659260841701"/>
      </top>
      <bottom style="thin">
        <color theme="0" tint="-0.14993743705557422"/>
      </bottom>
      <diagonal/>
    </border>
    <border>
      <left/>
      <right style="hair">
        <color theme="9" tint="-0.24994659260841701"/>
      </right>
      <top style="hair">
        <color theme="9" tint="-0.24994659260841701"/>
      </top>
      <bottom style="thin">
        <color theme="0" tint="-0.14993743705557422"/>
      </bottom>
      <diagonal/>
    </border>
    <border>
      <left/>
      <right style="hair">
        <color theme="9" tint="-0.24994659260841701"/>
      </right>
      <top style="thin">
        <color theme="0" tint="-0.14993743705557422"/>
      </top>
      <bottom style="thin">
        <color theme="0" tint="-0.14993743705557422"/>
      </bottom>
      <diagonal/>
    </border>
    <border>
      <left/>
      <right/>
      <top style="thin">
        <color theme="0" tint="-0.14993743705557422"/>
      </top>
      <bottom style="hair">
        <color theme="9" tint="-0.24994659260841701"/>
      </bottom>
      <diagonal/>
    </border>
    <border>
      <left/>
      <right style="hair">
        <color theme="9" tint="-0.24994659260841701"/>
      </right>
      <top style="thin">
        <color theme="0" tint="-0.14993743705557422"/>
      </top>
      <bottom style="hair">
        <color theme="9" tint="-0.24994659260841701"/>
      </bottom>
      <diagonal/>
    </border>
    <border>
      <left style="hair">
        <color theme="9" tint="-0.24994659260841701"/>
      </left>
      <right style="hair">
        <color theme="9" tint="-0.24994659260841701"/>
      </right>
      <top style="hair">
        <color theme="9" tint="-0.24994659260841701"/>
      </top>
      <bottom style="thin">
        <color theme="0" tint="-0.14993743705557422"/>
      </bottom>
      <diagonal/>
    </border>
    <border>
      <left style="hair">
        <color theme="9" tint="-0.24994659260841701"/>
      </left>
      <right style="hair">
        <color theme="9" tint="-0.24994659260841701"/>
      </right>
      <top style="thin">
        <color theme="0" tint="-0.14993743705557422"/>
      </top>
      <bottom style="thin">
        <color theme="0" tint="-0.14993743705557422"/>
      </bottom>
      <diagonal/>
    </border>
    <border>
      <left style="hair">
        <color theme="9" tint="-0.24994659260841701"/>
      </left>
      <right style="hair">
        <color theme="9" tint="-0.24994659260841701"/>
      </right>
      <top style="thin">
        <color theme="0" tint="-0.14993743705557422"/>
      </top>
      <bottom style="hair">
        <color theme="9" tint="-0.24994659260841701"/>
      </bottom>
      <diagonal/>
    </border>
    <border>
      <left/>
      <right/>
      <top style="thin">
        <color theme="0" tint="-0.34998626667073579"/>
      </top>
      <bottom style="thin">
        <color theme="0" tint="-0.34998626667073579"/>
      </bottom>
      <diagonal/>
    </border>
  </borders>
  <cellStyleXfs count="90">
    <xf numFmtId="0" fontId="0" fillId="10" borderId="0" applyNumberFormat="0" applyAlignment="0">
      <alignment vertical="top"/>
    </xf>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10" fillId="7" borderId="4" applyNumberFormat="0" applyAlignment="0" applyProtection="0"/>
    <xf numFmtId="0" fontId="7" fillId="2" borderId="0" applyNumberFormat="0" applyFont="0" applyFill="0" applyBorder="0" applyAlignment="0" applyProtection="0">
      <alignment vertical="top"/>
    </xf>
    <xf numFmtId="166" fontId="110" fillId="53" borderId="25" applyNumberFormat="0" applyAlignment="0">
      <alignment horizontal="right" vertical="top" wrapText="1"/>
      <protection locked="0"/>
    </xf>
    <xf numFmtId="0" fontId="23" fillId="3" borderId="1" applyNumberFormat="0" applyBorder="0" applyAlignment="0">
      <alignment vertical="top"/>
    </xf>
    <xf numFmtId="3" fontId="23" fillId="14" borderId="2" applyNumberFormat="0" applyBorder="0" applyAlignment="0">
      <alignment vertical="top"/>
    </xf>
    <xf numFmtId="0" fontId="3" fillId="3" borderId="0" applyNumberFormat="0">
      <alignment vertical="top"/>
    </xf>
    <xf numFmtId="0" fontId="94" fillId="8" borderId="0" applyNumberFormat="0" applyBorder="0" applyAlignment="0" applyProtection="0"/>
    <xf numFmtId="0" fontId="102" fillId="2" borderId="0" applyNumberFormat="0" applyFill="0" applyBorder="0" applyAlignment="0">
      <alignment horizontal="right" vertical="top"/>
    </xf>
    <xf numFmtId="9" fontId="5" fillId="0" borderId="0" applyFont="0" applyFill="0" applyBorder="0" applyAlignment="0" applyProtection="0"/>
    <xf numFmtId="3" fontId="96" fillId="10" borderId="0" applyNumberFormat="0" applyBorder="0" applyAlignment="0" applyProtection="0">
      <alignment horizontal="right" vertical="top"/>
    </xf>
    <xf numFmtId="3" fontId="90" fillId="11" borderId="7" applyNumberFormat="0" applyBorder="0" applyAlignment="0">
      <alignment vertical="top"/>
    </xf>
    <xf numFmtId="0" fontId="48" fillId="2" borderId="0" applyNumberFormat="0" applyFill="0" applyBorder="0" applyAlignment="0" applyProtection="0">
      <alignment vertical="top"/>
    </xf>
    <xf numFmtId="0" fontId="101" fillId="15" borderId="8" applyNumberFormat="0" applyAlignment="0">
      <alignment vertical="top"/>
    </xf>
    <xf numFmtId="0" fontId="99" fillId="10" borderId="0" applyNumberFormat="0" applyBorder="0" applyAlignment="0"/>
    <xf numFmtId="0" fontId="15" fillId="0" borderId="0" applyNumberFormat="0" applyFill="0" applyBorder="0" applyAlignment="0" applyProtection="0"/>
    <xf numFmtId="0" fontId="16" fillId="0" borderId="0" applyNumberFormat="0" applyFill="0" applyBorder="0" applyAlignment="0" applyProtection="0"/>
    <xf numFmtId="2" fontId="89" fillId="10" borderId="0" applyNumberFormat="0">
      <alignment horizontal="center" vertical="top"/>
      <protection hidden="1"/>
    </xf>
    <xf numFmtId="3" fontId="108" fillId="48" borderId="10" applyNumberFormat="0" applyBorder="0" applyAlignment="0">
      <alignment vertical="top"/>
    </xf>
    <xf numFmtId="3" fontId="79" fillId="2" borderId="0" applyNumberFormat="0" applyBorder="0">
      <alignment horizontal="right" vertical="center"/>
    </xf>
    <xf numFmtId="3" fontId="80" fillId="10" borderId="0" applyBorder="0">
      <alignment horizontal="left" vertical="center"/>
    </xf>
    <xf numFmtId="3" fontId="47" fillId="45" borderId="10">
      <alignment horizontal="left" vertical="center"/>
    </xf>
    <xf numFmtId="168" fontId="108" fillId="44" borderId="10" applyNumberFormat="0" applyBorder="0" applyAlignment="0">
      <alignment horizontal="right" vertical="center"/>
    </xf>
    <xf numFmtId="3" fontId="23" fillId="16" borderId="2" applyNumberFormat="0" applyBorder="0" applyAlignment="0">
      <alignment vertical="top"/>
    </xf>
    <xf numFmtId="0" fontId="84" fillId="10" borderId="0" applyNumberFormat="0" applyBorder="0" applyAlignment="0">
      <alignment vertical="center"/>
    </xf>
    <xf numFmtId="0" fontId="50" fillId="17" borderId="3" applyNumberFormat="0" applyBorder="0" applyAlignment="0" applyProtection="0"/>
    <xf numFmtId="166" fontId="110" fillId="13" borderId="10" applyNumberFormat="0" applyAlignment="0">
      <alignment horizontal="right" vertical="top" wrapText="1"/>
      <protection locked="0"/>
    </xf>
    <xf numFmtId="3" fontId="72" fillId="0" borderId="12" applyNumberFormat="0" applyFill="0" applyBorder="0" applyAlignment="0">
      <alignment horizontal="left" vertical="top"/>
    </xf>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0" fontId="73" fillId="0" borderId="18" applyNumberFormat="0" applyFill="0" applyAlignment="0" applyProtection="0"/>
    <xf numFmtId="0" fontId="74" fillId="0" borderId="19" applyNumberFormat="0" applyFill="0" applyAlignment="0" applyProtection="0"/>
    <xf numFmtId="0" fontId="75" fillId="0" borderId="20" applyNumberFormat="0" applyFill="0" applyAlignment="0" applyProtection="0"/>
    <xf numFmtId="0" fontId="75" fillId="0" borderId="0" applyNumberFormat="0" applyFill="0" applyBorder="0" applyAlignment="0" applyProtection="0"/>
    <xf numFmtId="0" fontId="11" fillId="21" borderId="0" applyNumberFormat="0" applyBorder="0" applyAlignment="0" applyProtection="0"/>
    <xf numFmtId="0" fontId="12" fillId="22" borderId="0" applyNumberFormat="0" applyBorder="0" applyAlignment="0" applyProtection="0"/>
    <xf numFmtId="0" fontId="76" fillId="8" borderId="0" applyNumberFormat="0" applyBorder="0" applyAlignment="0" applyProtection="0"/>
    <xf numFmtId="0" fontId="14" fillId="17" borderId="6" applyNumberFormat="0" applyAlignment="0" applyProtection="0"/>
    <xf numFmtId="0" fontId="77" fillId="0" borderId="21" applyNumberFormat="0" applyFill="0" applyAlignment="0" applyProtection="0"/>
    <xf numFmtId="0" fontId="4" fillId="9" borderId="5" applyNumberFormat="0" applyFont="0" applyAlignment="0" applyProtection="0"/>
    <xf numFmtId="0" fontId="13" fillId="0" borderId="22" applyNumberFormat="0" applyFill="0" applyAlignment="0" applyProtection="0"/>
    <xf numFmtId="0" fontId="9"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9"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9"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3" fontId="78" fillId="45" borderId="0" applyNumberFormat="0" applyBorder="0">
      <alignment horizontal="right" vertical="center"/>
    </xf>
    <xf numFmtId="3" fontId="108" fillId="19" borderId="0" applyBorder="0" applyAlignment="0">
      <alignment horizontal="right" vertical="center"/>
    </xf>
    <xf numFmtId="3" fontId="46" fillId="47" borderId="10">
      <alignment horizontal="left" vertical="center"/>
    </xf>
    <xf numFmtId="0" fontId="85" fillId="10" borderId="0" applyBorder="0" applyAlignment="0">
      <alignment vertical="center"/>
    </xf>
    <xf numFmtId="3" fontId="27" fillId="47" borderId="10">
      <alignment horizontal="right" vertical="center"/>
    </xf>
    <xf numFmtId="3" fontId="63" fillId="46" borderId="10" applyAlignment="0">
      <alignment horizontal="right" vertical="center"/>
    </xf>
    <xf numFmtId="166" fontId="110" fillId="49" borderId="0" applyNumberFormat="0" applyBorder="0" applyAlignment="0">
      <alignment horizontal="right" vertical="top" wrapText="1"/>
      <protection locked="0"/>
    </xf>
    <xf numFmtId="3" fontId="61" fillId="20" borderId="7" applyNumberFormat="0" applyBorder="0" applyAlignment="0">
      <alignment vertical="top"/>
    </xf>
    <xf numFmtId="3" fontId="94" fillId="11" borderId="12" applyNumberFormat="0" applyBorder="0" applyAlignment="0">
      <alignment vertical="top" wrapText="1"/>
    </xf>
    <xf numFmtId="0" fontId="87" fillId="10" borderId="0" applyNumberFormat="0" applyFill="0" applyBorder="0" applyAlignment="0" applyProtection="0">
      <alignment vertical="top"/>
    </xf>
    <xf numFmtId="2" fontId="89" fillId="11" borderId="0" applyNumberFormat="0" applyBorder="0" applyAlignment="0">
      <alignment horizontal="center" vertical="top"/>
      <protection hidden="1"/>
    </xf>
    <xf numFmtId="166" fontId="110" fillId="16" borderId="25" applyAlignment="0">
      <alignment horizontal="right" vertical="top" wrapText="1"/>
      <protection locked="0"/>
    </xf>
    <xf numFmtId="3" fontId="98" fillId="2" borderId="0" applyNumberFormat="0" applyFont="0" applyFill="0" applyBorder="0" applyAlignment="0" applyProtection="0">
      <alignment horizontal="right" vertical="top"/>
    </xf>
    <xf numFmtId="3" fontId="97" fillId="2" borderId="0" applyNumberFormat="0" applyFill="0" applyBorder="0" applyAlignment="0" applyProtection="0">
      <alignment horizontal="right" vertical="top"/>
    </xf>
    <xf numFmtId="0" fontId="44" fillId="10" borderId="0" applyBorder="0" applyAlignment="0"/>
    <xf numFmtId="0" fontId="100" fillId="15" borderId="8" applyAlignment="0">
      <alignment vertical="top"/>
    </xf>
    <xf numFmtId="3" fontId="90" fillId="11" borderId="10" applyAlignment="0">
      <alignment vertical="top"/>
    </xf>
    <xf numFmtId="0" fontId="138" fillId="11" borderId="0" applyNumberFormat="0" applyFont="0" applyBorder="0" applyAlignment="0"/>
    <xf numFmtId="0" fontId="1" fillId="0" borderId="0"/>
    <xf numFmtId="0" fontId="139" fillId="11" borderId="0" applyNumberFormat="0" applyFill="0" applyBorder="0" applyAlignment="0" applyProtection="0"/>
    <xf numFmtId="0" fontId="54" fillId="10" borderId="0" applyNumberFormat="0" applyAlignment="0">
      <alignment vertical="top"/>
    </xf>
    <xf numFmtId="3" fontId="58" fillId="11" borderId="7" applyNumberFormat="0" applyBorder="0" applyAlignment="0">
      <alignment vertical="top"/>
    </xf>
    <xf numFmtId="3" fontId="68" fillId="48" borderId="10" applyNumberFormat="0" applyBorder="0" applyAlignment="0">
      <alignment vertical="top"/>
    </xf>
  </cellStyleXfs>
  <cellXfs count="1286">
    <xf numFmtId="0" fontId="0" fillId="10" borderId="0" xfId="0">
      <alignment vertical="top"/>
    </xf>
    <xf numFmtId="0" fontId="0" fillId="10" borderId="0" xfId="0" applyAlignment="1">
      <alignment horizontal="right" vertical="center"/>
    </xf>
    <xf numFmtId="0" fontId="0" fillId="10" borderId="0" xfId="0" applyAlignment="1">
      <alignment vertical="center"/>
    </xf>
    <xf numFmtId="0" fontId="20" fillId="10" borderId="0" xfId="0" applyFont="1" applyAlignment="1">
      <alignment vertical="center"/>
    </xf>
    <xf numFmtId="0" fontId="19" fillId="10" borderId="0" xfId="0" applyFont="1" applyAlignment="1">
      <alignment vertical="center"/>
    </xf>
    <xf numFmtId="0" fontId="19" fillId="10" borderId="0" xfId="0" applyFont="1">
      <alignment vertical="top"/>
    </xf>
    <xf numFmtId="0" fontId="22" fillId="10" borderId="0" xfId="0" applyFont="1" applyAlignment="1">
      <alignment vertical="center"/>
    </xf>
    <xf numFmtId="0" fontId="28" fillId="10" borderId="0" xfId="0" applyFont="1" applyAlignment="1">
      <alignment vertical="center"/>
    </xf>
    <xf numFmtId="0" fontId="19" fillId="10" borderId="0" xfId="0" applyFont="1" applyAlignment="1">
      <alignment horizontal="left" vertical="center"/>
    </xf>
    <xf numFmtId="0" fontId="19" fillId="10" borderId="0" xfId="0" applyFont="1" applyAlignment="1">
      <alignment horizontal="right" vertical="center"/>
    </xf>
    <xf numFmtId="0" fontId="29" fillId="10" borderId="0" xfId="0" applyFont="1" applyAlignment="1">
      <alignment vertical="center"/>
    </xf>
    <xf numFmtId="3" fontId="19" fillId="10" borderId="0" xfId="0" applyNumberFormat="1" applyFont="1" applyAlignment="1">
      <alignment horizontal="right"/>
    </xf>
    <xf numFmtId="3" fontId="30" fillId="10" borderId="0" xfId="0" quotePrefix="1" applyNumberFormat="1" applyFont="1" applyAlignment="1">
      <alignment horizontal="left"/>
    </xf>
    <xf numFmtId="3" fontId="19" fillId="10" borderId="0" xfId="0" applyNumberFormat="1" applyFont="1" applyAlignment="1">
      <alignment vertical="center"/>
    </xf>
    <xf numFmtId="0" fontId="32" fillId="10" borderId="0" xfId="0" applyFont="1" applyAlignment="1">
      <alignment horizontal="right" vertical="center"/>
    </xf>
    <xf numFmtId="0" fontId="19" fillId="10" borderId="0" xfId="0" applyFont="1" applyAlignment="1">
      <alignment horizontal="right" vertical="top"/>
    </xf>
    <xf numFmtId="4" fontId="19" fillId="10" borderId="0" xfId="0" applyNumberFormat="1" applyFont="1" applyAlignment="1">
      <alignment horizontal="right" vertical="top"/>
    </xf>
    <xf numFmtId="0" fontId="32" fillId="10" borderId="0" xfId="0" applyFont="1" applyAlignment="1">
      <alignment vertical="center"/>
    </xf>
    <xf numFmtId="0" fontId="23" fillId="10" borderId="0" xfId="13" applyNumberFormat="1" applyFont="1" applyAlignment="1">
      <alignment horizontal="left" vertical="top"/>
    </xf>
    <xf numFmtId="0" fontId="19" fillId="10" borderId="0" xfId="0" applyFont="1" applyAlignment="1">
      <alignment horizontal="left" vertical="top"/>
    </xf>
    <xf numFmtId="3" fontId="19" fillId="10" borderId="0" xfId="0" applyNumberFormat="1" applyFont="1" applyAlignment="1">
      <alignment horizontal="right" vertical="top"/>
    </xf>
    <xf numFmtId="0" fontId="29" fillId="10" borderId="0" xfId="0" applyFont="1" applyAlignment="1">
      <alignment horizontal="left" vertical="top"/>
    </xf>
    <xf numFmtId="173" fontId="19" fillId="10" borderId="0" xfId="0" applyNumberFormat="1" applyFont="1" applyAlignment="1">
      <alignment horizontal="right" vertical="top"/>
    </xf>
    <xf numFmtId="170" fontId="19" fillId="10" borderId="0" xfId="0" applyNumberFormat="1" applyFont="1" applyAlignment="1">
      <alignment horizontal="right" vertical="top"/>
    </xf>
    <xf numFmtId="170" fontId="19" fillId="10" borderId="0" xfId="0" applyNumberFormat="1" applyFont="1" applyAlignment="1">
      <alignment horizontal="left" vertical="top"/>
    </xf>
    <xf numFmtId="170" fontId="19" fillId="10" borderId="0" xfId="0" applyNumberFormat="1" applyFont="1">
      <alignment vertical="top"/>
    </xf>
    <xf numFmtId="165" fontId="19" fillId="10" borderId="0" xfId="0" applyNumberFormat="1" applyFont="1" applyAlignment="1">
      <alignment horizontal="right" vertical="top"/>
    </xf>
    <xf numFmtId="171" fontId="32" fillId="10" borderId="0" xfId="0" applyNumberFormat="1" applyFont="1" applyAlignment="1">
      <alignment horizontal="left" vertical="top"/>
    </xf>
    <xf numFmtId="169" fontId="19" fillId="10" borderId="0" xfId="0" applyNumberFormat="1" applyFont="1">
      <alignment vertical="top"/>
    </xf>
    <xf numFmtId="169" fontId="19" fillId="10" borderId="0" xfId="0" applyNumberFormat="1" applyFont="1" applyAlignment="1">
      <alignment horizontal="right" vertical="top"/>
    </xf>
    <xf numFmtId="3" fontId="23" fillId="10" borderId="0" xfId="0" applyNumberFormat="1" applyFont="1" applyAlignment="1">
      <alignment vertical="center"/>
    </xf>
    <xf numFmtId="0" fontId="34" fillId="10" borderId="0" xfId="8" applyNumberFormat="1" applyFont="1" applyFill="1" applyBorder="1" applyAlignment="1">
      <alignment vertical="center"/>
    </xf>
    <xf numFmtId="0" fontId="33" fillId="10" borderId="0" xfId="0" applyFont="1" applyAlignment="1">
      <alignment vertical="center" textRotation="90"/>
    </xf>
    <xf numFmtId="0" fontId="33" fillId="10" borderId="0" xfId="0" applyFont="1" applyAlignment="1">
      <alignment vertical="top" textRotation="90"/>
    </xf>
    <xf numFmtId="0" fontId="37" fillId="10" borderId="0" xfId="7" applyFont="1" applyFill="1" applyBorder="1" applyAlignment="1">
      <alignment horizontal="center" vertical="center"/>
    </xf>
    <xf numFmtId="0" fontId="36" fillId="10" borderId="0" xfId="0" applyFont="1" applyAlignment="1">
      <alignment horizontal="center" vertical="top"/>
    </xf>
    <xf numFmtId="0" fontId="0" fillId="10" borderId="0" xfId="0" applyAlignment="1">
      <alignment vertical="top"/>
    </xf>
    <xf numFmtId="0" fontId="39" fillId="10" borderId="0" xfId="0" applyFont="1" applyAlignment="1">
      <alignment horizontal="justify" vertical="center"/>
    </xf>
    <xf numFmtId="0" fontId="40" fillId="10" borderId="0" xfId="7" applyFont="1" applyFill="1" applyBorder="1" applyAlignment="1">
      <alignment vertical="center"/>
    </xf>
    <xf numFmtId="3" fontId="41" fillId="10" borderId="0" xfId="0" applyNumberFormat="1" applyFont="1" applyAlignment="1">
      <alignment vertical="center" wrapText="1"/>
    </xf>
    <xf numFmtId="3" fontId="41" fillId="10" borderId="0" xfId="0" applyNumberFormat="1" applyFont="1" applyAlignment="1">
      <alignment horizontal="justify" vertical="center" wrapText="1"/>
    </xf>
    <xf numFmtId="3" fontId="41" fillId="10" borderId="0" xfId="0" applyNumberFormat="1" applyFont="1" applyAlignment="1">
      <alignment horizontal="left" vertical="center" wrapText="1"/>
    </xf>
    <xf numFmtId="0" fontId="40" fillId="10" borderId="0" xfId="7" applyFont="1" applyFill="1" applyBorder="1" applyAlignment="1">
      <alignment horizontal="justify" vertical="center"/>
    </xf>
    <xf numFmtId="0" fontId="39" fillId="10" borderId="0" xfId="0" applyFont="1" applyAlignment="1">
      <alignment vertical="center"/>
    </xf>
    <xf numFmtId="0" fontId="39" fillId="10" borderId="0" xfId="0" applyFont="1" applyAlignment="1">
      <alignment vertical="center" wrapText="1"/>
    </xf>
    <xf numFmtId="0" fontId="41" fillId="10" borderId="0" xfId="0" applyFont="1">
      <alignment vertical="top"/>
    </xf>
    <xf numFmtId="0" fontId="41" fillId="10" borderId="0" xfId="0" applyFont="1" applyAlignment="1"/>
    <xf numFmtId="0" fontId="41" fillId="0" borderId="0" xfId="0" applyFont="1" applyFill="1">
      <alignment vertical="top"/>
    </xf>
    <xf numFmtId="0" fontId="41" fillId="10" borderId="0" xfId="0" applyFont="1" applyAlignment="1">
      <alignment vertical="center"/>
    </xf>
    <xf numFmtId="0" fontId="24" fillId="0" borderId="0" xfId="0" applyFont="1" applyFill="1">
      <alignment vertical="top"/>
    </xf>
    <xf numFmtId="0" fontId="99" fillId="2" borderId="0" xfId="17" applyFill="1" applyAlignment="1">
      <alignment vertical="top"/>
    </xf>
    <xf numFmtId="0" fontId="0" fillId="10" borderId="0" xfId="0" applyAlignment="1">
      <alignment horizontal="left" vertical="top"/>
    </xf>
    <xf numFmtId="0" fontId="0" fillId="10" borderId="0" xfId="0" applyAlignment="1">
      <alignment horizontal="right" vertical="top"/>
    </xf>
    <xf numFmtId="0" fontId="29" fillId="10" borderId="0" xfId="0" applyFont="1" applyAlignment="1">
      <alignment horizontal="right" vertical="top"/>
    </xf>
    <xf numFmtId="0" fontId="45" fillId="10" borderId="0" xfId="0" applyFont="1" applyAlignment="1">
      <alignment horizontal="center" vertical="top"/>
    </xf>
    <xf numFmtId="0" fontId="37" fillId="10" borderId="0" xfId="7" applyFont="1" applyFill="1" applyBorder="1" applyAlignment="1">
      <alignment horizontal="center" vertical="top"/>
    </xf>
    <xf numFmtId="3" fontId="36" fillId="10" borderId="0" xfId="13" applyFont="1" applyAlignment="1">
      <alignment horizontal="center" vertical="top"/>
    </xf>
    <xf numFmtId="0" fontId="36" fillId="10" borderId="0" xfId="8" applyNumberFormat="1" applyFont="1" applyFill="1" applyBorder="1" applyAlignment="1">
      <alignment horizontal="center" vertical="top"/>
    </xf>
    <xf numFmtId="0" fontId="36" fillId="10" borderId="0" xfId="13" applyNumberFormat="1" applyFont="1" applyAlignment="1">
      <alignment horizontal="center" vertical="top"/>
    </xf>
    <xf numFmtId="0" fontId="17" fillId="10" borderId="0" xfId="0" applyFont="1" applyAlignment="1">
      <alignment horizontal="left" vertical="center"/>
    </xf>
    <xf numFmtId="0" fontId="36" fillId="10" borderId="0" xfId="0" applyFont="1" applyAlignment="1">
      <alignment horizontal="center" vertical="center"/>
    </xf>
    <xf numFmtId="0" fontId="19" fillId="10" borderId="0" xfId="0" applyFont="1" applyAlignment="1">
      <alignment horizontal="center" vertical="center"/>
    </xf>
    <xf numFmtId="3" fontId="19" fillId="10" borderId="0" xfId="0" applyNumberFormat="1" applyFont="1" applyAlignment="1">
      <alignment horizontal="center"/>
    </xf>
    <xf numFmtId="3" fontId="30" fillId="10" borderId="0" xfId="0" quotePrefix="1" applyNumberFormat="1" applyFont="1" applyAlignment="1">
      <alignment horizontal="center"/>
    </xf>
    <xf numFmtId="0" fontId="19" fillId="10" borderId="0" xfId="0" applyFont="1" applyAlignment="1">
      <alignment horizontal="center" vertical="top"/>
    </xf>
    <xf numFmtId="0" fontId="0" fillId="10" borderId="0" xfId="0" applyAlignment="1">
      <alignment horizontal="center" vertical="top"/>
    </xf>
    <xf numFmtId="0" fontId="19" fillId="10" borderId="0" xfId="0" applyFont="1" applyAlignment="1">
      <alignment vertical="top"/>
    </xf>
    <xf numFmtId="0" fontId="21" fillId="10" borderId="0" xfId="0" applyFont="1" applyAlignment="1">
      <alignment horizontal="center" vertical="center"/>
    </xf>
    <xf numFmtId="0" fontId="49" fillId="10" borderId="0" xfId="8" applyNumberFormat="1" applyFont="1" applyFill="1" applyBorder="1" applyAlignment="1">
      <alignment horizontal="center" vertical="center"/>
    </xf>
    <xf numFmtId="0" fontId="27" fillId="0" borderId="0" xfId="0" applyFont="1" applyFill="1" applyAlignment="1">
      <alignment vertical="top"/>
    </xf>
    <xf numFmtId="0" fontId="30" fillId="10" borderId="0" xfId="8" applyNumberFormat="1" applyFont="1" applyFill="1" applyBorder="1" applyAlignment="1">
      <alignment horizontal="center" vertical="center"/>
    </xf>
    <xf numFmtId="0" fontId="34" fillId="10" borderId="0" xfId="8" applyNumberFormat="1" applyFont="1" applyFill="1" applyBorder="1" applyAlignment="1">
      <alignment vertical="top"/>
    </xf>
    <xf numFmtId="0" fontId="30" fillId="10" borderId="0" xfId="0" applyFont="1" applyAlignment="1">
      <alignment horizontal="center" vertical="center"/>
    </xf>
    <xf numFmtId="0" fontId="26" fillId="10" borderId="0" xfId="0" applyFont="1" applyAlignment="1">
      <alignment vertical="center"/>
    </xf>
    <xf numFmtId="0" fontId="53" fillId="10" borderId="0" xfId="0" applyFont="1" applyAlignment="1">
      <alignment horizontal="left" vertical="top"/>
    </xf>
    <xf numFmtId="170" fontId="22" fillId="10" borderId="0" xfId="0" applyNumberFormat="1" applyFont="1" applyAlignment="1">
      <alignment horizontal="right" vertical="top"/>
    </xf>
    <xf numFmtId="3" fontId="54" fillId="0" borderId="0" xfId="0" applyNumberFormat="1" applyFont="1" applyFill="1" applyAlignment="1">
      <alignment horizontal="right" vertical="center"/>
    </xf>
    <xf numFmtId="0" fontId="54" fillId="0" borderId="0" xfId="0" applyFont="1" applyFill="1" applyAlignment="1">
      <alignment vertical="center"/>
    </xf>
    <xf numFmtId="3" fontId="72" fillId="0" borderId="0" xfId="30" applyFill="1" applyBorder="1" applyAlignment="1">
      <alignment horizontal="left" vertical="top"/>
    </xf>
    <xf numFmtId="0" fontId="54" fillId="10" borderId="0" xfId="0" applyFont="1" applyAlignment="1">
      <alignment vertical="center"/>
    </xf>
    <xf numFmtId="3" fontId="54" fillId="10" borderId="0" xfId="0" applyNumberFormat="1" applyFont="1" applyAlignment="1">
      <alignment horizontal="right"/>
    </xf>
    <xf numFmtId="0" fontId="57" fillId="10" borderId="0" xfId="0" applyFont="1" applyAlignment="1">
      <alignment vertical="center"/>
    </xf>
    <xf numFmtId="0" fontId="54" fillId="10" borderId="0" xfId="0" applyFont="1" applyAlignment="1">
      <alignment horizontal="right" vertical="center"/>
    </xf>
    <xf numFmtId="0" fontId="62" fillId="10" borderId="0" xfId="0" applyFont="1" applyAlignment="1">
      <alignment vertical="center"/>
    </xf>
    <xf numFmtId="168" fontId="62" fillId="10" borderId="10" xfId="0" applyNumberFormat="1" applyFont="1" applyBorder="1" applyAlignment="1">
      <alignment vertical="center"/>
    </xf>
    <xf numFmtId="0" fontId="54" fillId="10" borderId="0" xfId="0" applyFont="1" applyAlignment="1">
      <alignment horizontal="left" vertical="center"/>
    </xf>
    <xf numFmtId="0" fontId="54" fillId="10" borderId="0" xfId="0" applyFont="1" applyAlignment="1">
      <alignment vertical="top"/>
    </xf>
    <xf numFmtId="9" fontId="54" fillId="10" borderId="0" xfId="0" applyNumberFormat="1" applyFont="1" applyAlignment="1">
      <alignment horizontal="right" vertical="top"/>
    </xf>
    <xf numFmtId="168" fontId="54" fillId="10" borderId="10" xfId="0" applyNumberFormat="1" applyFont="1" applyBorder="1" applyAlignment="1">
      <alignment vertical="top"/>
    </xf>
    <xf numFmtId="168" fontId="54" fillId="10" borderId="10" xfId="0" applyNumberFormat="1" applyFont="1" applyBorder="1" applyAlignment="1">
      <alignment vertical="center"/>
    </xf>
    <xf numFmtId="174" fontId="54" fillId="10" borderId="0" xfId="14" applyNumberFormat="1" applyFont="1" applyFill="1" applyBorder="1" applyAlignment="1">
      <alignment horizontal="right" vertical="center"/>
    </xf>
    <xf numFmtId="168" fontId="54" fillId="10" borderId="11" xfId="0" applyNumberFormat="1" applyFont="1" applyBorder="1" applyAlignment="1">
      <alignment vertical="center"/>
    </xf>
    <xf numFmtId="3" fontId="54" fillId="10" borderId="0" xfId="14" applyFont="1" applyFill="1" applyBorder="1" applyAlignment="1">
      <alignment horizontal="right" vertical="center"/>
    </xf>
    <xf numFmtId="168" fontId="54" fillId="10" borderId="0" xfId="0" applyNumberFormat="1" applyFont="1" applyAlignment="1">
      <alignment vertical="top"/>
    </xf>
    <xf numFmtId="168" fontId="54" fillId="10" borderId="12" xfId="0" applyNumberFormat="1" applyFont="1" applyBorder="1" applyAlignment="1">
      <alignment vertical="top"/>
    </xf>
    <xf numFmtId="0" fontId="64" fillId="10" borderId="0" xfId="0" applyFont="1" applyAlignment="1">
      <alignment vertical="center"/>
    </xf>
    <xf numFmtId="168" fontId="64" fillId="10" borderId="10" xfId="0" applyNumberFormat="1" applyFont="1" applyBorder="1" applyAlignment="1">
      <alignment vertical="center"/>
    </xf>
    <xf numFmtId="3" fontId="64" fillId="10" borderId="0" xfId="14" applyFont="1" applyFill="1" applyBorder="1" applyAlignment="1">
      <alignment horizontal="right" vertical="center"/>
    </xf>
    <xf numFmtId="3" fontId="54" fillId="10" borderId="0" xfId="14" applyNumberFormat="1" applyFont="1" applyFill="1" applyBorder="1" applyAlignment="1">
      <alignment horizontal="right" vertical="center"/>
    </xf>
    <xf numFmtId="0" fontId="65" fillId="10" borderId="0" xfId="0" applyFont="1" applyAlignment="1">
      <alignment vertical="center"/>
    </xf>
    <xf numFmtId="168" fontId="65" fillId="10" borderId="10" xfId="0" applyNumberFormat="1" applyFont="1" applyBorder="1" applyAlignment="1">
      <alignment vertical="center"/>
    </xf>
    <xf numFmtId="3" fontId="65" fillId="10" borderId="0" xfId="14" applyNumberFormat="1" applyFont="1" applyFill="1" applyBorder="1" applyAlignment="1">
      <alignment horizontal="right" vertical="center"/>
    </xf>
    <xf numFmtId="3" fontId="66" fillId="10" borderId="0" xfId="14" applyFont="1" applyFill="1" applyBorder="1" applyAlignment="1">
      <alignment horizontal="left" vertical="top" wrapText="1"/>
    </xf>
    <xf numFmtId="0" fontId="54" fillId="10" borderId="0" xfId="0" applyFont="1">
      <alignment vertical="top"/>
    </xf>
    <xf numFmtId="2" fontId="54" fillId="10" borderId="0" xfId="14" applyNumberFormat="1" applyFont="1" applyFill="1" applyBorder="1" applyAlignment="1">
      <alignment horizontal="left" vertical="center" wrapText="1"/>
    </xf>
    <xf numFmtId="0" fontId="59" fillId="10" borderId="0" xfId="0" applyFont="1" applyAlignment="1">
      <alignment horizontal="right" vertical="center"/>
    </xf>
    <xf numFmtId="168" fontId="54" fillId="10" borderId="0" xfId="14" applyNumberFormat="1" applyFont="1" applyFill="1" applyBorder="1" applyAlignment="1">
      <alignment horizontal="right" vertical="center"/>
    </xf>
    <xf numFmtId="3" fontId="54" fillId="0" borderId="0" xfId="0" applyNumberFormat="1" applyFont="1" applyFill="1" applyAlignment="1">
      <alignment vertical="center"/>
    </xf>
    <xf numFmtId="3" fontId="54" fillId="10" borderId="0" xfId="0" applyNumberFormat="1" applyFont="1" applyAlignment="1">
      <alignment horizontal="right" vertical="center"/>
    </xf>
    <xf numFmtId="3" fontId="54" fillId="10" borderId="0" xfId="0" applyNumberFormat="1" applyFont="1" applyAlignment="1">
      <alignment horizontal="right" vertical="center" wrapText="1"/>
    </xf>
    <xf numFmtId="168" fontId="54" fillId="0" borderId="0" xfId="14" applyNumberFormat="1" applyFont="1" applyFill="1" applyBorder="1" applyAlignment="1">
      <alignment horizontal="right" vertical="center"/>
    </xf>
    <xf numFmtId="4" fontId="54" fillId="0" borderId="0" xfId="0" applyNumberFormat="1" applyFont="1" applyFill="1" applyAlignment="1">
      <alignment horizontal="right" vertical="center"/>
    </xf>
    <xf numFmtId="168" fontId="54" fillId="0" borderId="0" xfId="0" applyNumberFormat="1" applyFont="1" applyFill="1" applyAlignment="1">
      <alignment horizontal="right" vertical="center"/>
    </xf>
    <xf numFmtId="168" fontId="54" fillId="10" borderId="0" xfId="0" applyNumberFormat="1" applyFont="1" applyAlignment="1">
      <alignment horizontal="right" vertical="center"/>
    </xf>
    <xf numFmtId="0" fontId="54" fillId="10" borderId="10" xfId="0" applyFont="1" applyBorder="1" applyAlignment="1">
      <alignment vertical="center"/>
    </xf>
    <xf numFmtId="4" fontId="54" fillId="10" borderId="0" xfId="0" applyNumberFormat="1" applyFont="1" applyAlignment="1">
      <alignment horizontal="right" vertical="top" wrapText="1"/>
    </xf>
    <xf numFmtId="0" fontId="54" fillId="10" borderId="11" xfId="0" applyFont="1" applyBorder="1" applyAlignment="1">
      <alignment vertical="center"/>
    </xf>
    <xf numFmtId="0" fontId="71" fillId="10" borderId="0" xfId="0" applyFont="1" applyAlignment="1">
      <alignment horizontal="right" vertical="center"/>
    </xf>
    <xf numFmtId="168" fontId="54" fillId="10" borderId="0" xfId="0" applyNumberFormat="1" applyFont="1" applyAlignment="1">
      <alignment horizontal="right" vertical="center" wrapText="1"/>
    </xf>
    <xf numFmtId="3" fontId="54" fillId="10" borderId="10" xfId="0" applyNumberFormat="1" applyFont="1" applyBorder="1" applyAlignment="1">
      <alignment vertical="center"/>
    </xf>
    <xf numFmtId="0" fontId="54" fillId="10" borderId="10" xfId="0" applyFont="1" applyBorder="1">
      <alignment vertical="top"/>
    </xf>
    <xf numFmtId="168" fontId="54" fillId="10" borderId="0" xfId="0" applyNumberFormat="1" applyFont="1" applyAlignment="1">
      <alignment horizontal="right" vertical="top" wrapText="1"/>
    </xf>
    <xf numFmtId="0" fontId="61" fillId="10" borderId="0" xfId="0" applyFont="1" applyAlignment="1">
      <alignment vertical="center"/>
    </xf>
    <xf numFmtId="4" fontId="54" fillId="10" borderId="0" xfId="0" applyNumberFormat="1" applyFont="1" applyAlignment="1">
      <alignment horizontal="right" vertical="center"/>
    </xf>
    <xf numFmtId="9" fontId="54" fillId="10" borderId="0" xfId="0" applyNumberFormat="1" applyFont="1" applyAlignment="1">
      <alignment horizontal="right" vertical="center"/>
    </xf>
    <xf numFmtId="3" fontId="60" fillId="10" borderId="0" xfId="0" applyNumberFormat="1" applyFont="1" applyAlignment="1">
      <alignment horizontal="right" vertical="top"/>
    </xf>
    <xf numFmtId="0" fontId="68" fillId="0" borderId="0" xfId="0" applyFont="1" applyFill="1" applyAlignment="1">
      <alignment vertical="center"/>
    </xf>
    <xf numFmtId="3" fontId="61" fillId="0" borderId="0" xfId="8" applyFont="1" applyFill="1" applyBorder="1" applyAlignment="1">
      <alignment horizontal="right" vertical="top"/>
    </xf>
    <xf numFmtId="3" fontId="54" fillId="11" borderId="10" xfId="0" applyNumberFormat="1" applyFont="1" applyFill="1" applyBorder="1" applyAlignment="1">
      <alignment horizontal="right" vertical="center"/>
    </xf>
    <xf numFmtId="0" fontId="54" fillId="0" borderId="10" xfId="0" applyFont="1" applyFill="1" applyBorder="1" applyAlignment="1">
      <alignment vertical="center"/>
    </xf>
    <xf numFmtId="168" fontId="54" fillId="11" borderId="10" xfId="0" applyNumberFormat="1" applyFont="1" applyFill="1" applyBorder="1" applyAlignment="1">
      <alignment horizontal="right" vertical="center"/>
    </xf>
    <xf numFmtId="4" fontId="54" fillId="11" borderId="10" xfId="0" applyNumberFormat="1" applyFont="1" applyFill="1" applyBorder="1" applyAlignment="1">
      <alignment horizontal="right" vertical="center"/>
    </xf>
    <xf numFmtId="3" fontId="54" fillId="11" borderId="10" xfId="14" applyNumberFormat="1" applyFont="1" applyBorder="1" applyAlignment="1">
      <alignment horizontal="right" vertical="center"/>
    </xf>
    <xf numFmtId="3" fontId="54" fillId="11" borderId="11" xfId="0" applyNumberFormat="1" applyFont="1" applyFill="1" applyBorder="1" applyAlignment="1">
      <alignment horizontal="right" vertical="center"/>
    </xf>
    <xf numFmtId="0" fontId="54" fillId="0" borderId="11" xfId="0" applyFont="1" applyFill="1" applyBorder="1" applyAlignment="1">
      <alignment vertical="center"/>
    </xf>
    <xf numFmtId="9" fontId="54" fillId="11" borderId="11" xfId="0" applyNumberFormat="1" applyFont="1" applyFill="1" applyBorder="1" applyAlignment="1">
      <alignment horizontal="right" vertical="center"/>
    </xf>
    <xf numFmtId="0" fontId="54" fillId="0" borderId="12" xfId="0" applyFont="1" applyFill="1" applyBorder="1" applyAlignment="1">
      <alignment vertical="center"/>
    </xf>
    <xf numFmtId="9" fontId="54" fillId="11" borderId="12" xfId="0" applyNumberFormat="1" applyFont="1" applyFill="1" applyBorder="1" applyAlignment="1">
      <alignment horizontal="right" vertical="center"/>
    </xf>
    <xf numFmtId="4" fontId="54" fillId="11" borderId="11" xfId="14" applyNumberFormat="1" applyFont="1" applyBorder="1" applyAlignment="1">
      <alignment horizontal="right" vertical="center"/>
    </xf>
    <xf numFmtId="4" fontId="54" fillId="11" borderId="11" xfId="0" applyNumberFormat="1" applyFont="1" applyFill="1" applyBorder="1" applyAlignment="1">
      <alignment horizontal="right" vertical="center"/>
    </xf>
    <xf numFmtId="4" fontId="54" fillId="11" borderId="12" xfId="0" applyNumberFormat="1" applyFont="1" applyFill="1" applyBorder="1" applyAlignment="1">
      <alignment horizontal="right" vertical="center"/>
    </xf>
    <xf numFmtId="166" fontId="54" fillId="11" borderId="11" xfId="0" applyNumberFormat="1" applyFont="1" applyFill="1" applyBorder="1" applyAlignment="1">
      <alignment horizontal="right" vertical="center"/>
    </xf>
    <xf numFmtId="4" fontId="110" fillId="13" borderId="12" xfId="29" applyNumberFormat="1" applyBorder="1" applyAlignment="1">
      <alignment horizontal="right" vertical="center"/>
      <protection locked="0"/>
    </xf>
    <xf numFmtId="3" fontId="60" fillId="10" borderId="0" xfId="0" applyNumberFormat="1" applyFont="1" applyAlignment="1">
      <alignment horizontal="right" vertical="center"/>
    </xf>
    <xf numFmtId="3" fontId="61" fillId="0" borderId="0" xfId="8" applyFont="1" applyFill="1" applyBorder="1" applyAlignment="1">
      <alignment horizontal="right" vertical="center"/>
    </xf>
    <xf numFmtId="3" fontId="63" fillId="10" borderId="0" xfId="0" applyNumberFormat="1" applyFont="1" applyAlignment="1">
      <alignment horizontal="right" vertical="top"/>
    </xf>
    <xf numFmtId="3" fontId="63" fillId="0" borderId="0" xfId="8" applyFont="1" applyFill="1" applyBorder="1" applyAlignment="1">
      <alignment horizontal="right" vertical="top"/>
    </xf>
    <xf numFmtId="3" fontId="61" fillId="10" borderId="0" xfId="8" applyFont="1" applyFill="1" applyBorder="1" applyAlignment="1">
      <alignment horizontal="right" vertical="top"/>
    </xf>
    <xf numFmtId="9" fontId="108" fillId="44" borderId="10" xfId="25" applyNumberFormat="1" applyBorder="1" applyAlignment="1">
      <alignment horizontal="right" vertical="top" wrapText="1"/>
    </xf>
    <xf numFmtId="0" fontId="90" fillId="11" borderId="10" xfId="14" applyNumberFormat="1" applyBorder="1" applyAlignment="1">
      <alignment vertical="top"/>
    </xf>
    <xf numFmtId="0" fontId="90" fillId="11" borderId="10" xfId="14" applyNumberFormat="1" applyBorder="1" applyAlignment="1">
      <alignment horizontal="left" vertical="top"/>
    </xf>
    <xf numFmtId="4" fontId="108" fillId="48" borderId="10" xfId="21" applyNumberFormat="1" applyBorder="1" applyAlignment="1">
      <alignment horizontal="right" vertical="center" wrapText="1"/>
    </xf>
    <xf numFmtId="3" fontId="108" fillId="48" borderId="10" xfId="21" applyNumberFormat="1" applyBorder="1" applyAlignment="1">
      <alignment horizontal="right" vertical="top" wrapText="1"/>
    </xf>
    <xf numFmtId="3" fontId="59" fillId="10" borderId="0" xfId="0" applyNumberFormat="1" applyFont="1" applyAlignment="1">
      <alignment horizontal="right" vertical="center"/>
    </xf>
    <xf numFmtId="168" fontId="59" fillId="10" borderId="0" xfId="0" applyNumberFormat="1" applyFont="1" applyAlignment="1">
      <alignment horizontal="right" vertical="center"/>
    </xf>
    <xf numFmtId="0" fontId="54" fillId="0" borderId="10" xfId="0" applyFont="1" applyFill="1" applyBorder="1">
      <alignment vertical="top"/>
    </xf>
    <xf numFmtId="164" fontId="54" fillId="11" borderId="10" xfId="0" applyNumberFormat="1" applyFont="1" applyFill="1" applyBorder="1" applyAlignment="1">
      <alignment horizontal="right" vertical="top"/>
    </xf>
    <xf numFmtId="3" fontId="54" fillId="0" borderId="10" xfId="0" applyNumberFormat="1" applyFont="1" applyFill="1" applyBorder="1" applyAlignment="1">
      <alignment horizontal="right" vertical="top"/>
    </xf>
    <xf numFmtId="9" fontId="54" fillId="11" borderId="10" xfId="14" applyNumberFormat="1" applyFont="1" applyBorder="1" applyAlignment="1">
      <alignment horizontal="right" vertical="center"/>
    </xf>
    <xf numFmtId="9" fontId="54" fillId="11" borderId="10" xfId="0" applyNumberFormat="1" applyFont="1" applyFill="1" applyBorder="1" applyAlignment="1">
      <alignment horizontal="right" vertical="center"/>
    </xf>
    <xf numFmtId="168" fontId="54" fillId="11" borderId="11" xfId="0" applyNumberFormat="1" applyFont="1" applyFill="1" applyBorder="1" applyAlignment="1">
      <alignment horizontal="right" vertical="center"/>
    </xf>
    <xf numFmtId="0" fontId="54" fillId="10" borderId="12" xfId="0" applyFont="1" applyBorder="1" applyAlignment="1">
      <alignment vertical="center"/>
    </xf>
    <xf numFmtId="4" fontId="54" fillId="11" borderId="12" xfId="14" applyNumberFormat="1" applyFont="1" applyBorder="1" applyAlignment="1">
      <alignment horizontal="right" vertical="center"/>
    </xf>
    <xf numFmtId="168" fontId="54" fillId="11" borderId="12" xfId="14" applyNumberFormat="1" applyFont="1" applyBorder="1" applyAlignment="1">
      <alignment horizontal="right" vertical="center"/>
    </xf>
    <xf numFmtId="168" fontId="54" fillId="11" borderId="12" xfId="0" applyNumberFormat="1" applyFont="1" applyFill="1" applyBorder="1" applyAlignment="1">
      <alignment horizontal="right" vertical="center"/>
    </xf>
    <xf numFmtId="1" fontId="54" fillId="11" borderId="10" xfId="0" applyNumberFormat="1" applyFont="1" applyFill="1" applyBorder="1" applyAlignment="1">
      <alignment horizontal="right" vertical="center" wrapText="1"/>
    </xf>
    <xf numFmtId="3" fontId="54" fillId="0" borderId="11" xfId="0" applyNumberFormat="1" applyFont="1" applyFill="1" applyBorder="1" applyAlignment="1">
      <alignment horizontal="right" vertical="center" wrapText="1"/>
    </xf>
    <xf numFmtId="3" fontId="61" fillId="10" borderId="0" xfId="8" applyFont="1" applyFill="1" applyBorder="1" applyAlignment="1">
      <alignment horizontal="right" vertical="center"/>
    </xf>
    <xf numFmtId="168" fontId="108" fillId="48" borderId="10" xfId="21" applyNumberFormat="1" applyBorder="1" applyAlignment="1">
      <alignment horizontal="right" vertical="center"/>
    </xf>
    <xf numFmtId="0" fontId="108" fillId="48" borderId="10" xfId="21" applyNumberFormat="1" applyBorder="1" applyAlignment="1">
      <alignment horizontal="right" vertical="center"/>
    </xf>
    <xf numFmtId="0" fontId="30" fillId="10" borderId="0" xfId="0" applyFont="1">
      <alignment vertical="top"/>
    </xf>
    <xf numFmtId="3" fontId="66" fillId="10" borderId="0" xfId="14" applyFont="1" applyFill="1" applyBorder="1" applyAlignment="1">
      <alignment horizontal="left" vertical="center" wrapText="1"/>
    </xf>
    <xf numFmtId="2" fontId="54" fillId="10" borderId="0" xfId="14" applyNumberFormat="1" applyFont="1" applyFill="1" applyBorder="1" applyAlignment="1">
      <alignment horizontal="right" vertical="center" wrapText="1"/>
    </xf>
    <xf numFmtId="2" fontId="54" fillId="10" borderId="11" xfId="14" applyNumberFormat="1" applyFont="1" applyFill="1" applyBorder="1" applyAlignment="1">
      <alignment horizontal="right" vertical="center" wrapText="1"/>
    </xf>
    <xf numFmtId="3" fontId="0" fillId="10" borderId="0" xfId="0" applyNumberFormat="1" applyAlignment="1">
      <alignment horizontal="right" vertical="center"/>
    </xf>
    <xf numFmtId="3" fontId="47" fillId="45" borderId="10" xfId="24">
      <alignment horizontal="left" vertical="center"/>
    </xf>
    <xf numFmtId="3" fontId="78" fillId="45" borderId="10" xfId="67" applyBorder="1">
      <alignment horizontal="right" vertical="center"/>
    </xf>
    <xf numFmtId="3" fontId="108" fillId="19" borderId="10" xfId="68" applyBorder="1">
      <alignment horizontal="right" vertical="center"/>
    </xf>
    <xf numFmtId="3" fontId="80" fillId="10" borderId="0" xfId="23">
      <alignment horizontal="left" vertical="center"/>
    </xf>
    <xf numFmtId="3" fontId="80" fillId="10" borderId="13" xfId="23" applyBorder="1">
      <alignment horizontal="left" vertical="center"/>
    </xf>
    <xf numFmtId="0" fontId="90" fillId="11" borderId="10" xfId="14" applyNumberFormat="1" applyBorder="1" applyAlignment="1">
      <alignment vertical="center"/>
    </xf>
    <xf numFmtId="0" fontId="90" fillId="11" borderId="10" xfId="14" applyNumberFormat="1" applyBorder="1" applyAlignment="1">
      <alignment horizontal="left" vertical="center"/>
    </xf>
    <xf numFmtId="3" fontId="68" fillId="10" borderId="10" xfId="8" applyFont="1" applyFill="1" applyBorder="1" applyAlignment="1">
      <alignment horizontal="right" vertical="center"/>
    </xf>
    <xf numFmtId="3" fontId="108" fillId="48" borderId="10" xfId="21" applyNumberFormat="1" applyBorder="1" applyAlignment="1">
      <alignment horizontal="right" vertical="center"/>
    </xf>
    <xf numFmtId="9" fontId="108" fillId="44" borderId="10" xfId="25" applyNumberFormat="1" applyBorder="1" applyAlignment="1">
      <alignment horizontal="right" vertical="top"/>
    </xf>
    <xf numFmtId="3" fontId="108" fillId="44" borderId="11" xfId="25" applyNumberFormat="1" applyBorder="1">
      <alignment horizontal="right" vertical="center"/>
    </xf>
    <xf numFmtId="9" fontId="108" fillId="44" borderId="12" xfId="25" applyNumberFormat="1" applyBorder="1" applyAlignment="1">
      <alignment horizontal="right" vertical="top"/>
    </xf>
    <xf numFmtId="3" fontId="108" fillId="44" borderId="10" xfId="25" applyNumberFormat="1" applyBorder="1">
      <alignment horizontal="right" vertical="center"/>
    </xf>
    <xf numFmtId="174" fontId="108" fillId="44" borderId="10" xfId="25" applyNumberFormat="1" applyBorder="1" applyAlignment="1">
      <alignment horizontal="right" vertical="center"/>
    </xf>
    <xf numFmtId="3" fontId="108" fillId="44" borderId="11" xfId="25" applyNumberFormat="1" applyBorder="1" applyAlignment="1">
      <alignment horizontal="right" vertical="center"/>
    </xf>
    <xf numFmtId="3" fontId="108" fillId="44" borderId="10" xfId="25" applyNumberFormat="1" applyBorder="1" applyAlignment="1">
      <alignment horizontal="right" vertical="center"/>
    </xf>
    <xf numFmtId="0" fontId="84" fillId="10" borderId="0" xfId="27" applyBorder="1">
      <alignment vertical="center"/>
    </xf>
    <xf numFmtId="0" fontId="89" fillId="10" borderId="0" xfId="20" applyNumberFormat="1">
      <alignment horizontal="center" vertical="top"/>
      <protection hidden="1"/>
    </xf>
    <xf numFmtId="3" fontId="68" fillId="10" borderId="17" xfId="8" applyFont="1" applyFill="1" applyBorder="1" applyAlignment="1">
      <alignment horizontal="right" vertical="center"/>
    </xf>
    <xf numFmtId="0" fontId="54" fillId="10" borderId="10" xfId="0" applyFont="1" applyBorder="1" applyAlignment="1">
      <alignment vertical="top"/>
    </xf>
    <xf numFmtId="0" fontId="85" fillId="10" borderId="0" xfId="70" applyBorder="1">
      <alignment vertical="center"/>
    </xf>
    <xf numFmtId="2" fontId="108" fillId="48" borderId="14" xfId="21" applyNumberFormat="1" applyBorder="1" applyAlignment="1">
      <alignment horizontal="right" vertical="center" wrapText="1"/>
    </xf>
    <xf numFmtId="9" fontId="108" fillId="44" borderId="0" xfId="25" applyNumberFormat="1" applyBorder="1" applyAlignment="1">
      <alignment horizontal="right" vertical="top"/>
    </xf>
    <xf numFmtId="3" fontId="108" fillId="44" borderId="12" xfId="25" applyNumberFormat="1" applyBorder="1" applyAlignment="1">
      <alignment horizontal="right" vertical="center"/>
    </xf>
    <xf numFmtId="3" fontId="47" fillId="45" borderId="14" xfId="24" applyBorder="1">
      <alignment horizontal="left" vertical="center"/>
    </xf>
    <xf numFmtId="3" fontId="78" fillId="45" borderId="14" xfId="67" applyBorder="1">
      <alignment horizontal="right" vertical="center"/>
    </xf>
    <xf numFmtId="3" fontId="90" fillId="11" borderId="10" xfId="14" applyNumberFormat="1" applyBorder="1" applyAlignment="1">
      <alignment horizontal="left" vertical="center"/>
    </xf>
    <xf numFmtId="168" fontId="108" fillId="44" borderId="10" xfId="25" applyNumberFormat="1" applyBorder="1" applyAlignment="1">
      <alignment horizontal="right" vertical="center"/>
    </xf>
    <xf numFmtId="0" fontId="90" fillId="11" borderId="14" xfId="14" applyNumberFormat="1" applyBorder="1" applyAlignment="1">
      <alignment vertical="center"/>
    </xf>
    <xf numFmtId="3" fontId="90" fillId="11" borderId="14" xfId="14" applyNumberFormat="1" applyBorder="1" applyAlignment="1">
      <alignment horizontal="left" vertical="center"/>
    </xf>
    <xf numFmtId="0" fontId="54" fillId="10" borderId="14" xfId="0" applyFont="1" applyBorder="1" applyAlignment="1">
      <alignment vertical="center"/>
    </xf>
    <xf numFmtId="3" fontId="108" fillId="44" borderId="14" xfId="25" applyNumberFormat="1" applyBorder="1" applyAlignment="1">
      <alignment horizontal="right" vertical="center"/>
    </xf>
    <xf numFmtId="0" fontId="108" fillId="48" borderId="14" xfId="21" applyNumberFormat="1" applyBorder="1">
      <alignment vertical="top"/>
    </xf>
    <xf numFmtId="168" fontId="108" fillId="48" borderId="14" xfId="21" applyNumberFormat="1" applyBorder="1" applyAlignment="1">
      <alignment horizontal="right" vertical="center"/>
    </xf>
    <xf numFmtId="3" fontId="46" fillId="47" borderId="10" xfId="69">
      <alignment horizontal="left" vertical="center"/>
    </xf>
    <xf numFmtId="168" fontId="0" fillId="10" borderId="0" xfId="0" applyNumberFormat="1" applyAlignment="1">
      <alignment horizontal="right" vertical="center"/>
    </xf>
    <xf numFmtId="3" fontId="0" fillId="10" borderId="0" xfId="0" applyNumberFormat="1" applyAlignment="1">
      <alignment horizontal="right"/>
    </xf>
    <xf numFmtId="9" fontId="0" fillId="10" borderId="0" xfId="0" applyNumberFormat="1" applyAlignment="1">
      <alignment horizontal="right" vertical="center"/>
    </xf>
    <xf numFmtId="9" fontId="0" fillId="10" borderId="0" xfId="0" applyNumberFormat="1" applyAlignment="1">
      <alignment horizontal="right" vertical="top"/>
    </xf>
    <xf numFmtId="174" fontId="0" fillId="10" borderId="0" xfId="0" applyNumberFormat="1" applyAlignment="1">
      <alignment horizontal="right" vertical="center"/>
    </xf>
    <xf numFmtId="3" fontId="0" fillId="10" borderId="0" xfId="0" applyNumberFormat="1" applyAlignment="1">
      <alignment horizontal="left" vertical="center" wrapText="1"/>
    </xf>
    <xf numFmtId="2" fontId="0" fillId="10" borderId="0" xfId="0" applyNumberFormat="1" applyAlignment="1">
      <alignment horizontal="left" vertical="center" wrapText="1"/>
    </xf>
    <xf numFmtId="2" fontId="0" fillId="10" borderId="0" xfId="0" applyNumberFormat="1" applyAlignment="1">
      <alignment horizontal="left" vertical="top" wrapText="1"/>
    </xf>
    <xf numFmtId="3" fontId="0" fillId="10" borderId="0" xfId="0" applyNumberFormat="1" applyAlignment="1">
      <alignment horizontal="right" vertical="top"/>
    </xf>
    <xf numFmtId="3" fontId="0" fillId="10" borderId="0" xfId="0" applyNumberFormat="1" applyAlignment="1">
      <alignment horizontal="right" vertical="center" wrapText="1"/>
    </xf>
    <xf numFmtId="3" fontId="0" fillId="10" borderId="0" xfId="0" applyNumberFormat="1" applyAlignment="1">
      <alignment vertical="center"/>
    </xf>
    <xf numFmtId="4" fontId="0" fillId="10" borderId="0" xfId="0" applyNumberFormat="1" applyAlignment="1">
      <alignment horizontal="right" vertical="top" wrapText="1"/>
    </xf>
    <xf numFmtId="168" fontId="0" fillId="10" borderId="0" xfId="0" applyNumberFormat="1" applyAlignment="1">
      <alignment horizontal="right" vertical="center" wrapText="1"/>
    </xf>
    <xf numFmtId="3" fontId="0" fillId="10" borderId="0" xfId="0" applyNumberFormat="1" applyAlignment="1">
      <alignment horizontal="right" vertical="top" wrapText="1"/>
    </xf>
    <xf numFmtId="168" fontId="0" fillId="10" borderId="0" xfId="0" applyNumberFormat="1" applyAlignment="1">
      <alignment horizontal="right" vertical="top" wrapText="1"/>
    </xf>
    <xf numFmtId="3" fontId="0" fillId="10" borderId="0" xfId="0" applyNumberFormat="1" applyAlignment="1">
      <alignment horizontal="center" vertical="center"/>
    </xf>
    <xf numFmtId="4" fontId="108" fillId="44" borderId="10" xfId="25" applyNumberFormat="1" applyBorder="1" applyAlignment="1">
      <alignment horizontal="right" vertical="center"/>
    </xf>
    <xf numFmtId="4" fontId="108" fillId="48" borderId="10" xfId="21" applyNumberFormat="1" applyBorder="1" applyAlignment="1">
      <alignment horizontal="right" vertical="center"/>
    </xf>
    <xf numFmtId="166" fontId="108" fillId="48" borderId="10" xfId="21" applyNumberFormat="1" applyBorder="1" applyAlignment="1">
      <alignment horizontal="right" vertical="center"/>
    </xf>
    <xf numFmtId="0" fontId="59" fillId="10" borderId="0" xfId="0" applyFont="1" applyAlignment="1">
      <alignment horizontal="left" vertical="top"/>
    </xf>
    <xf numFmtId="0" fontId="59" fillId="10" borderId="0" xfId="0" applyFont="1" applyAlignment="1">
      <alignment vertical="center"/>
    </xf>
    <xf numFmtId="0" fontId="59" fillId="10" borderId="0" xfId="0" applyFont="1">
      <alignment vertical="top"/>
    </xf>
    <xf numFmtId="4" fontId="85" fillId="10" borderId="0" xfId="70" applyNumberFormat="1" applyBorder="1">
      <alignment vertical="center"/>
    </xf>
    <xf numFmtId="4" fontId="54" fillId="10" borderId="10" xfId="0" applyNumberFormat="1" applyFont="1" applyBorder="1" applyAlignment="1">
      <alignment vertical="center"/>
    </xf>
    <xf numFmtId="168" fontId="85" fillId="10" borderId="0" xfId="70" applyNumberFormat="1" applyBorder="1">
      <alignment vertical="center"/>
    </xf>
    <xf numFmtId="168" fontId="85" fillId="10" borderId="0" xfId="70" applyNumberFormat="1" applyBorder="1" applyAlignment="1">
      <alignment vertical="top" wrapText="1"/>
    </xf>
    <xf numFmtId="0" fontId="90" fillId="11" borderId="12" xfId="14" applyNumberFormat="1" applyBorder="1" applyAlignment="1">
      <alignment vertical="top"/>
    </xf>
    <xf numFmtId="0" fontId="90" fillId="11" borderId="11" xfId="14" applyNumberFormat="1" applyBorder="1" applyAlignment="1">
      <alignment vertical="top" wrapText="1"/>
    </xf>
    <xf numFmtId="3" fontId="90" fillId="11" borderId="11" xfId="14" applyNumberFormat="1" applyBorder="1" applyAlignment="1">
      <alignment horizontal="left" vertical="top" wrapText="1"/>
    </xf>
    <xf numFmtId="0" fontId="54" fillId="10" borderId="11" xfId="0" applyFont="1" applyBorder="1" applyAlignment="1">
      <alignment vertical="top" wrapText="1"/>
    </xf>
    <xf numFmtId="168" fontId="108" fillId="44" borderId="11" xfId="25" applyNumberFormat="1" applyBorder="1" applyAlignment="1">
      <alignment horizontal="right" vertical="top" wrapText="1"/>
    </xf>
    <xf numFmtId="168" fontId="54" fillId="10" borderId="11" xfId="0" applyNumberFormat="1" applyFont="1" applyBorder="1" applyAlignment="1">
      <alignment vertical="top" wrapText="1"/>
    </xf>
    <xf numFmtId="168" fontId="108" fillId="48" borderId="11" xfId="21" applyNumberFormat="1" applyBorder="1" applyAlignment="1">
      <alignment horizontal="right" vertical="top" wrapText="1"/>
    </xf>
    <xf numFmtId="168" fontId="54" fillId="10" borderId="0" xfId="0" applyNumberFormat="1" applyFont="1" applyAlignment="1">
      <alignment vertical="center"/>
    </xf>
    <xf numFmtId="175" fontId="54" fillId="10" borderId="0" xfId="0" applyNumberFormat="1" applyFont="1" applyAlignment="1">
      <alignment vertical="center"/>
    </xf>
    <xf numFmtId="3" fontId="90" fillId="11" borderId="10" xfId="14" applyNumberFormat="1" applyBorder="1" applyAlignment="1">
      <alignment vertical="center"/>
    </xf>
    <xf numFmtId="3" fontId="108" fillId="19" borderId="10" xfId="68" applyBorder="1" applyAlignment="1">
      <alignment vertical="top"/>
    </xf>
    <xf numFmtId="3" fontId="108" fillId="19" borderId="10" xfId="68" applyBorder="1" applyAlignment="1">
      <alignment horizontal="right" vertical="top"/>
    </xf>
    <xf numFmtId="0" fontId="81" fillId="10" borderId="0" xfId="0" applyFont="1" applyAlignment="1">
      <alignment vertical="center" wrapText="1"/>
    </xf>
    <xf numFmtId="168" fontId="108" fillId="44" borderId="10" xfId="25" applyNumberFormat="1" applyBorder="1" applyAlignment="1">
      <alignment horizontal="right" vertical="center" wrapText="1"/>
    </xf>
    <xf numFmtId="4" fontId="108" fillId="44" borderId="10" xfId="25" applyNumberFormat="1" applyBorder="1" applyAlignment="1">
      <alignment horizontal="right" vertical="center" wrapText="1"/>
    </xf>
    <xf numFmtId="168" fontId="108" fillId="48" borderId="10" xfId="21" applyNumberFormat="1" applyBorder="1" applyAlignment="1">
      <alignment horizontal="right" vertical="center" wrapText="1"/>
    </xf>
    <xf numFmtId="0" fontId="84" fillId="10" borderId="10" xfId="27" applyBorder="1" applyAlignment="1">
      <alignment vertical="center"/>
    </xf>
    <xf numFmtId="0" fontId="84" fillId="10" borderId="0" xfId="27" applyBorder="1" applyAlignment="1">
      <alignment vertical="center"/>
    </xf>
    <xf numFmtId="0" fontId="90" fillId="11" borderId="11" xfId="14" applyNumberFormat="1" applyBorder="1" applyAlignment="1">
      <alignment vertical="center"/>
    </xf>
    <xf numFmtId="0" fontId="90" fillId="11" borderId="12" xfId="14" applyNumberFormat="1" applyBorder="1" applyAlignment="1">
      <alignment vertical="center"/>
    </xf>
    <xf numFmtId="3" fontId="27" fillId="47" borderId="10" xfId="71">
      <alignment horizontal="right" vertical="center"/>
    </xf>
    <xf numFmtId="3" fontId="27" fillId="47" borderId="17" xfId="71" applyBorder="1">
      <alignment horizontal="right" vertical="center"/>
    </xf>
    <xf numFmtId="3" fontId="63" fillId="46" borderId="17" xfId="72" applyBorder="1" applyAlignment="1">
      <alignment horizontal="right" vertical="center"/>
    </xf>
    <xf numFmtId="0" fontId="54" fillId="0" borderId="23" xfId="0" applyFont="1" applyFill="1" applyBorder="1" applyAlignment="1">
      <alignment vertical="center"/>
    </xf>
    <xf numFmtId="168" fontId="108" fillId="48" borderId="23" xfId="21" applyNumberFormat="1" applyBorder="1" applyAlignment="1">
      <alignment horizontal="right" vertical="center"/>
    </xf>
    <xf numFmtId="168" fontId="108" fillId="44" borderId="23" xfId="25" applyNumberFormat="1" applyBorder="1" applyAlignment="1">
      <alignment horizontal="right" vertical="center"/>
    </xf>
    <xf numFmtId="168" fontId="62" fillId="10" borderId="0" xfId="0" applyNumberFormat="1" applyFont="1" applyAlignment="1">
      <alignment horizontal="right" vertical="center"/>
    </xf>
    <xf numFmtId="3" fontId="110" fillId="13" borderId="15" xfId="29" applyNumberFormat="1" applyBorder="1" applyAlignment="1">
      <alignment horizontal="right" vertical="center" wrapText="1"/>
      <protection locked="0"/>
    </xf>
    <xf numFmtId="0" fontId="90" fillId="11" borderId="10" xfId="14" applyNumberFormat="1" applyBorder="1" applyAlignment="1">
      <alignment vertical="top" wrapText="1"/>
    </xf>
    <xf numFmtId="0" fontId="90" fillId="11" borderId="10" xfId="14" applyNumberFormat="1" applyBorder="1" applyAlignment="1">
      <alignment horizontal="left" vertical="top" wrapText="1"/>
    </xf>
    <xf numFmtId="0" fontId="90" fillId="11" borderId="10" xfId="14" applyNumberFormat="1" applyBorder="1" applyAlignment="1">
      <alignment vertical="center" wrapText="1"/>
    </xf>
    <xf numFmtId="3" fontId="110" fillId="53" borderId="25" xfId="6" applyNumberFormat="1" applyAlignment="1">
      <alignment horizontal="right" vertical="center" wrapText="1"/>
      <protection locked="0"/>
    </xf>
    <xf numFmtId="3" fontId="108" fillId="44" borderId="10" xfId="25" applyNumberFormat="1" applyBorder="1" applyAlignment="1">
      <alignment horizontal="right" vertical="top" wrapText="1"/>
    </xf>
    <xf numFmtId="4" fontId="90" fillId="11" borderId="10" xfId="14" applyNumberFormat="1" applyBorder="1" applyAlignment="1">
      <alignment horizontal="right" vertical="top" wrapText="1"/>
    </xf>
    <xf numFmtId="1" fontId="90" fillId="11" borderId="10" xfId="14" applyNumberFormat="1" applyBorder="1" applyAlignment="1">
      <alignment horizontal="right" vertical="center"/>
    </xf>
    <xf numFmtId="1" fontId="90" fillId="11" borderId="10" xfId="14" applyNumberFormat="1" applyBorder="1" applyAlignment="1">
      <alignment horizontal="right" vertical="center" wrapText="1"/>
    </xf>
    <xf numFmtId="9" fontId="90" fillId="11" borderId="10" xfId="14" applyNumberFormat="1" applyBorder="1" applyAlignment="1">
      <alignment horizontal="right" vertical="center"/>
    </xf>
    <xf numFmtId="168" fontId="90" fillId="11" borderId="10" xfId="14" applyNumberFormat="1" applyBorder="1" applyAlignment="1">
      <alignment horizontal="right" vertical="center"/>
    </xf>
    <xf numFmtId="4" fontId="90" fillId="11" borderId="10" xfId="14" applyNumberFormat="1" applyBorder="1" applyAlignment="1">
      <alignment horizontal="right" vertical="center"/>
    </xf>
    <xf numFmtId="4" fontId="110" fillId="49" borderId="15" xfId="73" applyNumberFormat="1" applyBorder="1" applyAlignment="1">
      <alignment horizontal="right" vertical="center" wrapText="1"/>
      <protection locked="0"/>
    </xf>
    <xf numFmtId="168" fontId="110" fillId="49" borderId="15" xfId="73" applyNumberFormat="1" applyBorder="1" applyAlignment="1">
      <alignment horizontal="right" vertical="center" wrapText="1"/>
      <protection locked="0"/>
    </xf>
    <xf numFmtId="0" fontId="54" fillId="0" borderId="10" xfId="0" applyFont="1" applyFill="1" applyBorder="1" applyAlignment="1">
      <alignment vertical="top"/>
    </xf>
    <xf numFmtId="1" fontId="54" fillId="11" borderId="10" xfId="0" applyNumberFormat="1" applyFont="1" applyFill="1" applyBorder="1" applyAlignment="1">
      <alignment horizontal="right" vertical="top" wrapText="1"/>
    </xf>
    <xf numFmtId="3" fontId="54" fillId="0" borderId="11" xfId="0" applyNumberFormat="1" applyFont="1" applyFill="1" applyBorder="1" applyAlignment="1">
      <alignment horizontal="right" vertical="top" wrapText="1"/>
    </xf>
    <xf numFmtId="4" fontId="54" fillId="11" borderId="15" xfId="14" applyNumberFormat="1" applyFont="1" applyBorder="1" applyAlignment="1">
      <alignment horizontal="right" vertical="center"/>
    </xf>
    <xf numFmtId="168" fontId="54" fillId="11" borderId="15" xfId="14" applyNumberFormat="1" applyFont="1" applyBorder="1" applyAlignment="1">
      <alignment horizontal="right" vertical="center"/>
    </xf>
    <xf numFmtId="9" fontId="110" fillId="49" borderId="15" xfId="73" applyNumberFormat="1" applyBorder="1" applyAlignment="1">
      <alignment horizontal="right" vertical="center" wrapText="1"/>
      <protection locked="0"/>
    </xf>
    <xf numFmtId="4" fontId="108" fillId="48" borderId="10" xfId="21" applyNumberFormat="1" applyBorder="1" applyAlignment="1">
      <alignment horizontal="right" vertical="top" wrapText="1"/>
    </xf>
    <xf numFmtId="1" fontId="108" fillId="48" borderId="10" xfId="21" applyNumberFormat="1" applyBorder="1" applyAlignment="1">
      <alignment horizontal="right" vertical="center"/>
    </xf>
    <xf numFmtId="9" fontId="108" fillId="48" borderId="10" xfId="21" applyNumberFormat="1" applyBorder="1" applyAlignment="1">
      <alignment horizontal="right" vertical="center"/>
    </xf>
    <xf numFmtId="3" fontId="64" fillId="11" borderId="12" xfId="0" applyNumberFormat="1" applyFont="1" applyFill="1" applyBorder="1" applyAlignment="1">
      <alignment horizontal="right" vertical="center"/>
    </xf>
    <xf numFmtId="3" fontId="108" fillId="44" borderId="10" xfId="25" applyNumberFormat="1" applyBorder="1" applyAlignment="1">
      <alignment horizontal="right" vertical="top"/>
    </xf>
    <xf numFmtId="175" fontId="108" fillId="44" borderId="11" xfId="25" applyNumberFormat="1" applyBorder="1" applyAlignment="1">
      <alignment horizontal="right" vertical="center"/>
    </xf>
    <xf numFmtId="166" fontId="108" fillId="44" borderId="11" xfId="25" applyNumberFormat="1" applyBorder="1" applyAlignment="1">
      <alignment horizontal="right" vertical="center"/>
    </xf>
    <xf numFmtId="2" fontId="108" fillId="48" borderId="11" xfId="21" applyNumberFormat="1" applyBorder="1" applyAlignment="1">
      <alignment horizontal="right" vertical="center"/>
    </xf>
    <xf numFmtId="0" fontId="90" fillId="11" borderId="11" xfId="14" applyNumberFormat="1" applyBorder="1" applyAlignment="1">
      <alignment horizontal="left" vertical="center"/>
    </xf>
    <xf numFmtId="0" fontId="90" fillId="11" borderId="12" xfId="14" applyNumberFormat="1" applyBorder="1" applyAlignment="1">
      <alignment horizontal="left" vertical="center"/>
    </xf>
    <xf numFmtId="0" fontId="90" fillId="11" borderId="11" xfId="14" applyNumberFormat="1" applyBorder="1" applyAlignment="1">
      <alignment horizontal="left" vertical="center" wrapText="1"/>
    </xf>
    <xf numFmtId="0" fontId="90" fillId="11" borderId="10" xfId="14" applyNumberFormat="1" applyBorder="1">
      <alignment vertical="top"/>
    </xf>
    <xf numFmtId="0" fontId="90" fillId="11" borderId="23" xfId="14" applyNumberFormat="1" applyBorder="1" applyAlignment="1">
      <alignment horizontal="left" vertical="center"/>
    </xf>
    <xf numFmtId="0" fontId="90" fillId="11" borderId="23" xfId="14" applyNumberFormat="1" applyBorder="1" applyAlignment="1">
      <alignment vertical="center"/>
    </xf>
    <xf numFmtId="0" fontId="90" fillId="11" borderId="12" xfId="14" applyNumberFormat="1" applyBorder="1" applyAlignment="1">
      <alignment horizontal="left" vertical="top"/>
    </xf>
    <xf numFmtId="0" fontId="90" fillId="11" borderId="11" xfId="14" applyNumberFormat="1" applyBorder="1" applyAlignment="1">
      <alignment horizontal="left" vertical="top"/>
    </xf>
    <xf numFmtId="3" fontId="64" fillId="44" borderId="12" xfId="25" applyNumberFormat="1" applyFont="1" applyBorder="1" applyAlignment="1">
      <alignment horizontal="right" vertical="center"/>
    </xf>
    <xf numFmtId="175" fontId="90" fillId="11" borderId="11" xfId="14" applyNumberFormat="1" applyBorder="1" applyAlignment="1">
      <alignment horizontal="right" vertical="center"/>
    </xf>
    <xf numFmtId="4" fontId="90" fillId="11" borderId="12" xfId="14" applyNumberFormat="1" applyBorder="1" applyAlignment="1">
      <alignment horizontal="right" vertical="center"/>
    </xf>
    <xf numFmtId="4" fontId="90" fillId="11" borderId="11" xfId="14" applyNumberFormat="1" applyBorder="1" applyAlignment="1">
      <alignment horizontal="right" vertical="center"/>
    </xf>
    <xf numFmtId="0" fontId="90" fillId="11" borderId="11" xfId="14" applyNumberFormat="1" applyBorder="1" applyAlignment="1">
      <alignment vertical="center" wrapText="1"/>
    </xf>
    <xf numFmtId="3" fontId="108" fillId="48" borderId="10" xfId="21" applyNumberFormat="1" applyBorder="1" applyAlignment="1">
      <alignment vertical="center"/>
    </xf>
    <xf numFmtId="168" fontId="108" fillId="44" borderId="11" xfId="25" applyNumberFormat="1" applyBorder="1" applyAlignment="1">
      <alignment horizontal="right" vertical="center"/>
    </xf>
    <xf numFmtId="168" fontId="90" fillId="11" borderId="11" xfId="14" applyNumberFormat="1" applyBorder="1" applyAlignment="1">
      <alignment horizontal="right" vertical="center"/>
    </xf>
    <xf numFmtId="168" fontId="108" fillId="44" borderId="12" xfId="25" applyNumberFormat="1" applyBorder="1" applyAlignment="1">
      <alignment horizontal="right" vertical="center"/>
    </xf>
    <xf numFmtId="168" fontId="54" fillId="10" borderId="12" xfId="0" applyNumberFormat="1" applyFont="1" applyBorder="1" applyAlignment="1">
      <alignment vertical="center"/>
    </xf>
    <xf numFmtId="168" fontId="90" fillId="11" borderId="12" xfId="14" applyNumberFormat="1" applyBorder="1" applyAlignment="1">
      <alignment horizontal="right" vertical="center"/>
    </xf>
    <xf numFmtId="3" fontId="90" fillId="11" borderId="10" xfId="14" applyNumberFormat="1" applyBorder="1" applyAlignment="1">
      <alignment horizontal="right" vertical="center"/>
    </xf>
    <xf numFmtId="0" fontId="32" fillId="10" borderId="0" xfId="0" applyFont="1" applyAlignment="1">
      <alignment horizontal="left" vertical="center"/>
    </xf>
    <xf numFmtId="0" fontId="30" fillId="10" borderId="0" xfId="0" applyFont="1" applyAlignment="1">
      <alignment vertical="center"/>
    </xf>
    <xf numFmtId="0" fontId="30" fillId="10" borderId="0" xfId="0" applyFont="1" applyAlignment="1">
      <alignment horizontal="left" vertical="top"/>
    </xf>
    <xf numFmtId="4" fontId="110" fillId="53" borderId="25" xfId="6" applyNumberFormat="1">
      <alignment horizontal="right" vertical="top" wrapText="1"/>
      <protection locked="0"/>
    </xf>
    <xf numFmtId="9" fontId="90" fillId="11" borderId="10" xfId="14" applyNumberFormat="1" applyBorder="1" applyAlignment="1">
      <alignment horizontal="right" vertical="top" wrapText="1"/>
    </xf>
    <xf numFmtId="0" fontId="84" fillId="10" borderId="10" xfId="27" applyNumberFormat="1" applyBorder="1" applyAlignment="1">
      <alignment vertical="center"/>
    </xf>
    <xf numFmtId="0" fontId="72" fillId="10" borderId="10" xfId="30" applyNumberFormat="1" applyFill="1" applyBorder="1" applyAlignment="1">
      <alignment vertical="center"/>
    </xf>
    <xf numFmtId="2" fontId="84" fillId="10" borderId="10" xfId="27" applyNumberFormat="1" applyBorder="1" applyAlignment="1">
      <alignment horizontal="right" vertical="center"/>
    </xf>
    <xf numFmtId="168" fontId="84" fillId="10" borderId="10" xfId="27" applyNumberFormat="1" applyBorder="1" applyAlignment="1">
      <alignment horizontal="right" vertical="center"/>
    </xf>
    <xf numFmtId="3" fontId="108" fillId="19" borderId="14" xfId="68" applyBorder="1" applyAlignment="1">
      <alignment vertical="top"/>
    </xf>
    <xf numFmtId="3" fontId="108" fillId="19" borderId="14" xfId="68" applyBorder="1" applyAlignment="1">
      <alignment horizontal="right" vertical="top"/>
    </xf>
    <xf numFmtId="9" fontId="54" fillId="10" borderId="0" xfId="0" applyNumberFormat="1" applyFont="1" applyAlignment="1">
      <alignment horizontal="right" vertical="top" wrapText="1"/>
    </xf>
    <xf numFmtId="168" fontId="54" fillId="10" borderId="10" xfId="0" applyNumberFormat="1" applyFont="1" applyBorder="1" applyAlignment="1">
      <alignment vertical="top" wrapText="1"/>
    </xf>
    <xf numFmtId="3" fontId="108" fillId="48" borderId="10" xfId="21" applyBorder="1" applyAlignment="1">
      <alignment horizontal="right" vertical="top" wrapText="1"/>
    </xf>
    <xf numFmtId="0" fontId="94" fillId="11" borderId="14" xfId="75" applyNumberFormat="1" applyBorder="1" applyAlignment="1">
      <alignment vertical="center"/>
    </xf>
    <xf numFmtId="0" fontId="94" fillId="11" borderId="14" xfId="75" applyNumberFormat="1" applyBorder="1" applyAlignment="1">
      <alignment vertical="center" wrapText="1"/>
    </xf>
    <xf numFmtId="171" fontId="32" fillId="10" borderId="0" xfId="0" applyNumberFormat="1" applyFont="1" applyAlignment="1">
      <alignment horizontal="left" vertical="center"/>
    </xf>
    <xf numFmtId="170" fontId="19" fillId="10" borderId="0" xfId="0" applyNumberFormat="1" applyFont="1" applyAlignment="1">
      <alignment horizontal="right" vertical="center"/>
    </xf>
    <xf numFmtId="0" fontId="90" fillId="11" borderId="14" xfId="14" applyNumberFormat="1" applyBorder="1">
      <alignment vertical="top"/>
    </xf>
    <xf numFmtId="0" fontId="90" fillId="11" borderId="14" xfId="14" applyNumberFormat="1" applyBorder="1" applyAlignment="1">
      <alignment vertical="top" wrapText="1"/>
    </xf>
    <xf numFmtId="2" fontId="90" fillId="11" borderId="10" xfId="14" applyNumberFormat="1" applyBorder="1" applyAlignment="1">
      <alignment horizontal="right" vertical="top" wrapText="1"/>
    </xf>
    <xf numFmtId="2" fontId="90" fillId="11" borderId="10" xfId="14" applyNumberFormat="1" applyBorder="1" applyAlignment="1">
      <alignment horizontal="right" vertical="center"/>
    </xf>
    <xf numFmtId="165" fontId="90" fillId="11" borderId="10" xfId="14" applyNumberFormat="1" applyBorder="1" applyAlignment="1">
      <alignment horizontal="right" vertical="center" wrapText="1"/>
    </xf>
    <xf numFmtId="165" fontId="90" fillId="11" borderId="10" xfId="14" applyNumberFormat="1" applyBorder="1" applyAlignment="1">
      <alignment horizontal="right" vertical="top" wrapText="1"/>
    </xf>
    <xf numFmtId="4" fontId="90" fillId="11" borderId="10" xfId="14" applyNumberFormat="1" applyBorder="1" applyAlignment="1">
      <alignment horizontal="right" vertical="center" wrapText="1"/>
    </xf>
    <xf numFmtId="166" fontId="90" fillId="11" borderId="10" xfId="14" applyNumberFormat="1" applyBorder="1" applyAlignment="1">
      <alignment horizontal="right" vertical="center" wrapText="1"/>
    </xf>
    <xf numFmtId="0" fontId="84" fillId="10" borderId="14" xfId="27" applyNumberFormat="1" applyBorder="1" applyAlignment="1">
      <alignment vertical="center"/>
    </xf>
    <xf numFmtId="0" fontId="72" fillId="10" borderId="14" xfId="30" applyNumberFormat="1" applyFill="1" applyBorder="1" applyAlignment="1">
      <alignment vertical="center"/>
    </xf>
    <xf numFmtId="3" fontId="84" fillId="10" borderId="14" xfId="27" applyNumberFormat="1" applyBorder="1" applyAlignment="1">
      <alignment horizontal="left" vertical="center"/>
    </xf>
    <xf numFmtId="168" fontId="84" fillId="10" borderId="14" xfId="27" applyNumberFormat="1" applyBorder="1" applyAlignment="1">
      <alignment horizontal="right" vertical="center" wrapText="1"/>
    </xf>
    <xf numFmtId="4" fontId="90" fillId="11" borderId="14" xfId="14" applyNumberFormat="1" applyBorder="1" applyAlignment="1">
      <alignment horizontal="right" vertical="top" wrapText="1"/>
    </xf>
    <xf numFmtId="2" fontId="90" fillId="11" borderId="14" xfId="14" applyNumberFormat="1" applyBorder="1" applyAlignment="1">
      <alignment horizontal="right" vertical="top"/>
    </xf>
    <xf numFmtId="3" fontId="90" fillId="11" borderId="14" xfId="14" applyBorder="1" applyAlignment="1">
      <alignment horizontal="right" vertical="top" wrapText="1"/>
    </xf>
    <xf numFmtId="9" fontId="90" fillId="11" borderId="14" xfId="14" applyNumberFormat="1" applyBorder="1" applyAlignment="1">
      <alignment horizontal="right" vertical="top" wrapText="1"/>
    </xf>
    <xf numFmtId="4" fontId="90" fillId="11" borderId="14" xfId="14" applyNumberFormat="1" applyBorder="1" applyAlignment="1">
      <alignment horizontal="center" vertical="top" wrapText="1"/>
    </xf>
    <xf numFmtId="0" fontId="94" fillId="11" borderId="12" xfId="75" applyNumberFormat="1" applyBorder="1" applyAlignment="1">
      <alignment vertical="center"/>
    </xf>
    <xf numFmtId="0" fontId="90" fillId="11" borderId="12" xfId="14" applyNumberFormat="1" applyBorder="1" applyAlignment="1">
      <alignment vertical="center" wrapText="1"/>
    </xf>
    <xf numFmtId="166" fontId="54" fillId="0" borderId="0" xfId="0" applyNumberFormat="1" applyFont="1" applyFill="1" applyAlignment="1">
      <alignment horizontal="right" vertical="center"/>
    </xf>
    <xf numFmtId="165" fontId="108" fillId="48" borderId="11" xfId="21" applyNumberFormat="1" applyBorder="1" applyAlignment="1">
      <alignment horizontal="right" vertical="center"/>
    </xf>
    <xf numFmtId="165" fontId="90" fillId="11" borderId="11" xfId="14" applyNumberFormat="1" applyBorder="1" applyAlignment="1">
      <alignment horizontal="right" vertical="center"/>
    </xf>
    <xf numFmtId="165" fontId="54" fillId="10" borderId="0" xfId="0" applyNumberFormat="1" applyFont="1" applyAlignment="1">
      <alignment horizontal="right" vertical="center"/>
    </xf>
    <xf numFmtId="165" fontId="108" fillId="44" borderId="11" xfId="25" applyNumberFormat="1" applyBorder="1" applyAlignment="1">
      <alignment horizontal="right" vertical="center"/>
    </xf>
    <xf numFmtId="165" fontId="54" fillId="10" borderId="11" xfId="0" applyNumberFormat="1" applyFont="1" applyBorder="1" applyAlignment="1">
      <alignment vertical="center"/>
    </xf>
    <xf numFmtId="165" fontId="110" fillId="49" borderId="15" xfId="73" applyNumberFormat="1" applyBorder="1" applyAlignment="1">
      <alignment horizontal="right" vertical="center" wrapText="1"/>
      <protection locked="0"/>
    </xf>
    <xf numFmtId="166" fontId="90" fillId="11" borderId="10" xfId="14" applyNumberFormat="1" applyBorder="1" applyAlignment="1">
      <alignment horizontal="right" vertical="center"/>
    </xf>
    <xf numFmtId="166" fontId="54" fillId="10" borderId="0" xfId="0" applyNumberFormat="1" applyFont="1" applyAlignment="1">
      <alignment horizontal="right" vertical="center"/>
    </xf>
    <xf numFmtId="166" fontId="108" fillId="44" borderId="10" xfId="25" applyNumberFormat="1" applyBorder="1" applyAlignment="1">
      <alignment horizontal="right" vertical="center"/>
    </xf>
    <xf numFmtId="166" fontId="54" fillId="10" borderId="10" xfId="0" applyNumberFormat="1" applyFont="1" applyBorder="1" applyAlignment="1">
      <alignment vertical="center"/>
    </xf>
    <xf numFmtId="166" fontId="108" fillId="44" borderId="10" xfId="25" applyNumberFormat="1" applyBorder="1" applyAlignment="1">
      <alignment horizontal="right" vertical="center" wrapText="1"/>
    </xf>
    <xf numFmtId="166" fontId="54" fillId="10" borderId="0" xfId="0" applyNumberFormat="1" applyFont="1" applyAlignment="1">
      <alignment horizontal="right" vertical="center" wrapText="1"/>
    </xf>
    <xf numFmtId="3" fontId="90" fillId="11" borderId="12" xfId="14" applyNumberFormat="1" applyBorder="1" applyAlignment="1">
      <alignment horizontal="left" vertical="center"/>
    </xf>
    <xf numFmtId="168" fontId="85" fillId="10" borderId="0" xfId="70" applyNumberFormat="1" applyBorder="1" applyAlignment="1">
      <alignment vertical="center"/>
    </xf>
    <xf numFmtId="168" fontId="108" fillId="48" borderId="12" xfId="21" applyNumberFormat="1" applyBorder="1" applyAlignment="1">
      <alignment horizontal="right" vertical="center"/>
    </xf>
    <xf numFmtId="3" fontId="90" fillId="11" borderId="11" xfId="14" applyNumberFormat="1" applyBorder="1" applyAlignment="1">
      <alignment horizontal="left" vertical="center" wrapText="1"/>
    </xf>
    <xf numFmtId="0" fontId="54" fillId="10" borderId="11" xfId="0" applyFont="1" applyBorder="1" applyAlignment="1">
      <alignment vertical="center" wrapText="1"/>
    </xf>
    <xf numFmtId="168" fontId="108" fillId="44" borderId="11" xfId="25" applyNumberFormat="1" applyBorder="1" applyAlignment="1">
      <alignment horizontal="right" vertical="center" wrapText="1"/>
    </xf>
    <xf numFmtId="168" fontId="85" fillId="10" borderId="0" xfId="70" applyNumberFormat="1" applyBorder="1" applyAlignment="1">
      <alignment vertical="center" wrapText="1"/>
    </xf>
    <xf numFmtId="168" fontId="54" fillId="10" borderId="11" xfId="0" applyNumberFormat="1" applyFont="1" applyBorder="1" applyAlignment="1">
      <alignment vertical="center" wrapText="1"/>
    </xf>
    <xf numFmtId="168" fontId="108" fillId="48" borderId="11" xfId="21" applyNumberFormat="1" applyBorder="1" applyAlignment="1">
      <alignment horizontal="right" vertical="center" wrapText="1"/>
    </xf>
    <xf numFmtId="4" fontId="108" fillId="44" borderId="11" xfId="25" applyNumberFormat="1" applyBorder="1" applyAlignment="1">
      <alignment horizontal="right" vertical="center" wrapText="1"/>
    </xf>
    <xf numFmtId="0" fontId="88" fillId="10" borderId="0" xfId="0" applyFont="1" applyAlignment="1">
      <alignment horizontal="left" vertical="top"/>
    </xf>
    <xf numFmtId="4" fontId="87" fillId="11" borderId="14" xfId="76" applyNumberFormat="1" applyFill="1" applyBorder="1" applyAlignment="1">
      <alignment horizontal="center" vertical="top" wrapText="1"/>
    </xf>
    <xf numFmtId="3" fontId="63" fillId="46" borderId="10" xfId="72">
      <alignment horizontal="right" vertical="center"/>
    </xf>
    <xf numFmtId="168" fontId="19" fillId="10" borderId="0" xfId="14" applyNumberFormat="1" applyFont="1" applyFill="1" applyBorder="1" applyAlignment="1">
      <alignment horizontal="right" vertical="center"/>
    </xf>
    <xf numFmtId="0" fontId="0" fillId="10" borderId="0" xfId="0" applyAlignment="1">
      <alignment horizontal="center" vertical="center"/>
    </xf>
    <xf numFmtId="166" fontId="54" fillId="10" borderId="11" xfId="0" applyNumberFormat="1" applyFont="1" applyBorder="1" applyAlignment="1">
      <alignment vertical="center"/>
    </xf>
    <xf numFmtId="166" fontId="108" fillId="48" borderId="11" xfId="21" applyNumberFormat="1" applyBorder="1" applyAlignment="1">
      <alignment horizontal="right" vertical="center"/>
    </xf>
    <xf numFmtId="166" fontId="90" fillId="11" borderId="11" xfId="14" applyNumberFormat="1" applyBorder="1" applyAlignment="1">
      <alignment horizontal="right" vertical="center"/>
    </xf>
    <xf numFmtId="167" fontId="54" fillId="11" borderId="10" xfId="0" applyNumberFormat="1" applyFont="1" applyFill="1" applyBorder="1" applyAlignment="1">
      <alignment horizontal="right" vertical="center"/>
    </xf>
    <xf numFmtId="165" fontId="54" fillId="0" borderId="0" xfId="0" applyNumberFormat="1" applyFont="1" applyFill="1" applyAlignment="1">
      <alignment horizontal="right" vertical="center"/>
    </xf>
    <xf numFmtId="3" fontId="110" fillId="13" borderId="23" xfId="29" applyNumberFormat="1" applyBorder="1" applyAlignment="1">
      <alignment horizontal="right" vertical="center"/>
      <protection locked="0"/>
    </xf>
    <xf numFmtId="0" fontId="39" fillId="10" borderId="0" xfId="0" applyFont="1" applyAlignment="1">
      <alignment horizontal="left" vertical="center" wrapText="1"/>
    </xf>
    <xf numFmtId="0" fontId="0" fillId="10" borderId="0" xfId="0" applyAlignment="1">
      <alignment horizontal="left" vertical="top" wrapText="1"/>
    </xf>
    <xf numFmtId="4" fontId="108" fillId="48" borderId="11" xfId="21" applyNumberFormat="1" applyBorder="1" applyAlignment="1">
      <alignment horizontal="right" vertical="center"/>
    </xf>
    <xf numFmtId="3" fontId="108" fillId="48" borderId="10" xfId="21" applyNumberFormat="1" applyBorder="1" applyAlignment="1">
      <alignment horizontal="right" vertical="center" wrapText="1"/>
    </xf>
    <xf numFmtId="168" fontId="64" fillId="11" borderId="12" xfId="0" applyNumberFormat="1" applyFont="1" applyFill="1" applyBorder="1" applyAlignment="1">
      <alignment horizontal="right" vertical="center"/>
    </xf>
    <xf numFmtId="0" fontId="94" fillId="11" borderId="0" xfId="75" applyNumberFormat="1" applyBorder="1" applyAlignment="1">
      <alignment vertical="center"/>
    </xf>
    <xf numFmtId="0" fontId="94" fillId="11" borderId="0" xfId="75" applyNumberFormat="1" applyBorder="1" applyAlignment="1">
      <alignment horizontal="right" vertical="center" wrapText="1"/>
    </xf>
    <xf numFmtId="168" fontId="94" fillId="11" borderId="10" xfId="75" applyNumberFormat="1" applyBorder="1" applyAlignment="1">
      <alignment horizontal="right" vertical="center" wrapText="1"/>
    </xf>
    <xf numFmtId="0" fontId="94" fillId="11" borderId="0" xfId="75" applyNumberFormat="1" applyBorder="1" applyAlignment="1">
      <alignment vertical="center" wrapText="1"/>
    </xf>
    <xf numFmtId="2" fontId="94" fillId="11" borderId="10" xfId="75" applyNumberFormat="1" applyBorder="1" applyAlignment="1">
      <alignment horizontal="right" vertical="center"/>
    </xf>
    <xf numFmtId="0" fontId="94" fillId="11" borderId="10" xfId="75" applyNumberFormat="1" applyBorder="1" applyAlignment="1">
      <alignment vertical="center"/>
    </xf>
    <xf numFmtId="2" fontId="94" fillId="11" borderId="0" xfId="75" applyNumberFormat="1" applyBorder="1" applyAlignment="1">
      <alignment horizontal="right" vertical="center"/>
    </xf>
    <xf numFmtId="2" fontId="94" fillId="11" borderId="12" xfId="75" applyNumberFormat="1" applyBorder="1" applyAlignment="1">
      <alignment horizontal="right" vertical="center"/>
    </xf>
    <xf numFmtId="166" fontId="110" fillId="53" borderId="25" xfId="6" applyAlignment="1">
      <alignment horizontal="right" vertical="top" wrapText="1"/>
      <protection locked="0"/>
    </xf>
    <xf numFmtId="3" fontId="108" fillId="48" borderId="17" xfId="21" applyNumberFormat="1" applyBorder="1" applyAlignment="1">
      <alignment vertical="top"/>
    </xf>
    <xf numFmtId="3" fontId="108" fillId="48" borderId="10" xfId="21" applyNumberFormat="1" applyAlignment="1">
      <alignment horizontal="right" vertical="center" wrapText="1"/>
    </xf>
    <xf numFmtId="9" fontId="108" fillId="44" borderId="14" xfId="25" applyNumberFormat="1" applyBorder="1" applyAlignment="1">
      <alignment horizontal="right" vertical="top"/>
    </xf>
    <xf numFmtId="3" fontId="108" fillId="44" borderId="16" xfId="25" applyNumberFormat="1" applyBorder="1" applyAlignment="1">
      <alignment horizontal="right" vertical="center"/>
    </xf>
    <xf numFmtId="3" fontId="108" fillId="44" borderId="17" xfId="25" applyNumberFormat="1" applyBorder="1" applyAlignment="1">
      <alignment horizontal="right" vertical="center"/>
    </xf>
    <xf numFmtId="0" fontId="94" fillId="11" borderId="10" xfId="75" applyNumberFormat="1" applyBorder="1" applyAlignment="1">
      <alignment horizontal="right" vertical="center" wrapText="1"/>
    </xf>
    <xf numFmtId="0" fontId="94" fillId="11" borderId="10" xfId="75" applyNumberFormat="1" applyBorder="1" applyAlignment="1">
      <alignment vertical="center" wrapText="1"/>
    </xf>
    <xf numFmtId="0" fontId="94" fillId="11" borderId="12" xfId="75" applyNumberFormat="1" applyBorder="1" applyAlignment="1">
      <alignment vertical="center" wrapText="1"/>
    </xf>
    <xf numFmtId="168" fontId="94" fillId="11" borderId="0" xfId="75" applyNumberFormat="1" applyBorder="1" applyAlignment="1">
      <alignment horizontal="right" vertical="center" wrapText="1"/>
    </xf>
    <xf numFmtId="168" fontId="19" fillId="10" borderId="0" xfId="0" applyNumberFormat="1" applyFont="1" applyAlignment="1">
      <alignment vertical="top"/>
    </xf>
    <xf numFmtId="0" fontId="96" fillId="10" borderId="0" xfId="13" applyNumberFormat="1" applyAlignment="1" applyProtection="1">
      <alignment horizontal="left" vertical="top"/>
      <protection hidden="1"/>
    </xf>
    <xf numFmtId="2" fontId="90" fillId="11" borderId="10" xfId="14" applyNumberFormat="1" applyBorder="1" applyAlignment="1">
      <alignment horizontal="right" vertical="top"/>
    </xf>
    <xf numFmtId="0" fontId="90" fillId="11" borderId="10" xfId="14" applyNumberFormat="1" applyBorder="1" applyAlignment="1">
      <alignment horizontal="right" vertical="top" wrapText="1"/>
    </xf>
    <xf numFmtId="168" fontId="19" fillId="10" borderId="0" xfId="0" applyNumberFormat="1" applyFont="1" applyAlignment="1">
      <alignment vertical="center"/>
    </xf>
    <xf numFmtId="3" fontId="19" fillId="10" borderId="0" xfId="14" applyFont="1" applyFill="1" applyBorder="1" applyAlignment="1">
      <alignment horizontal="right" vertical="center"/>
    </xf>
    <xf numFmtId="168" fontId="94" fillId="11" borderId="12" xfId="75" applyNumberFormat="1" applyBorder="1" applyAlignment="1">
      <alignment horizontal="right" vertical="center" wrapText="1"/>
    </xf>
    <xf numFmtId="0" fontId="94" fillId="11" borderId="12" xfId="75" applyNumberFormat="1" applyBorder="1" applyAlignment="1">
      <alignment horizontal="right" vertical="center" wrapText="1"/>
    </xf>
    <xf numFmtId="3" fontId="90" fillId="11" borderId="23" xfId="14" applyNumberFormat="1" applyBorder="1" applyAlignment="1">
      <alignment horizontal="left" vertical="center"/>
    </xf>
    <xf numFmtId="165" fontId="54" fillId="11" borderId="12" xfId="0" applyNumberFormat="1" applyFont="1" applyFill="1" applyBorder="1" applyAlignment="1">
      <alignment horizontal="right" vertical="center"/>
    </xf>
    <xf numFmtId="168" fontId="54" fillId="11" borderId="11" xfId="14" applyNumberFormat="1" applyFont="1" applyBorder="1" applyAlignment="1">
      <alignment horizontal="right" vertical="center"/>
    </xf>
    <xf numFmtId="168" fontId="54" fillId="0" borderId="11" xfId="0" applyNumberFormat="1" applyFont="1" applyFill="1" applyBorder="1" applyAlignment="1">
      <alignment vertical="center"/>
    </xf>
    <xf numFmtId="3" fontId="54" fillId="0" borderId="0" xfId="14" applyNumberFormat="1" applyFont="1" applyFill="1" applyBorder="1" applyAlignment="1">
      <alignment horizontal="right" vertical="center"/>
    </xf>
    <xf numFmtId="167" fontId="54" fillId="0" borderId="0" xfId="14" applyNumberFormat="1" applyFont="1" applyFill="1" applyBorder="1" applyAlignment="1">
      <alignment horizontal="right" vertical="center"/>
    </xf>
    <xf numFmtId="0" fontId="55" fillId="10" borderId="0" xfId="0" applyFont="1">
      <alignment vertical="top"/>
    </xf>
    <xf numFmtId="0" fontId="96" fillId="10" borderId="0" xfId="13" applyNumberFormat="1" applyBorder="1" applyAlignment="1" applyProtection="1">
      <alignment horizontal="right" vertical="top"/>
      <protection hidden="1"/>
    </xf>
    <xf numFmtId="3" fontId="46" fillId="47" borderId="14" xfId="69" applyBorder="1">
      <alignment horizontal="left" vertical="center"/>
    </xf>
    <xf numFmtId="168" fontId="90" fillId="11" borderId="14" xfId="14" applyNumberFormat="1" applyBorder="1" applyAlignment="1">
      <alignment horizontal="right" vertical="top" wrapText="1"/>
    </xf>
    <xf numFmtId="3" fontId="90" fillId="11" borderId="14" xfId="14" applyBorder="1">
      <alignment vertical="top"/>
    </xf>
    <xf numFmtId="3" fontId="90" fillId="11" borderId="14" xfId="14" applyBorder="1" applyAlignment="1">
      <alignment vertical="top" wrapText="1"/>
    </xf>
    <xf numFmtId="168" fontId="90" fillId="11" borderId="14" xfId="14" applyNumberFormat="1" applyBorder="1" applyAlignment="1">
      <alignment horizontal="right" vertical="top"/>
    </xf>
    <xf numFmtId="4" fontId="90" fillId="11" borderId="14" xfId="14" applyNumberFormat="1" applyBorder="1">
      <alignment vertical="top"/>
    </xf>
    <xf numFmtId="4" fontId="108" fillId="48" borderId="14" xfId="21" applyNumberFormat="1" applyBorder="1">
      <alignment vertical="top"/>
    </xf>
    <xf numFmtId="0" fontId="84" fillId="10" borderId="14" xfId="27" applyBorder="1">
      <alignment vertical="center"/>
    </xf>
    <xf numFmtId="2" fontId="25" fillId="11" borderId="14" xfId="14" applyNumberFormat="1" applyFont="1" applyBorder="1" applyAlignment="1">
      <alignment horizontal="right" vertical="top"/>
    </xf>
    <xf numFmtId="4" fontId="110" fillId="53" borderId="14" xfId="6" applyNumberFormat="1" applyBorder="1">
      <alignment horizontal="right" vertical="top" wrapText="1"/>
      <protection locked="0"/>
    </xf>
    <xf numFmtId="168" fontId="25" fillId="11" borderId="14" xfId="14" applyNumberFormat="1" applyFont="1" applyBorder="1" applyAlignment="1">
      <alignment horizontal="right" vertical="top"/>
    </xf>
    <xf numFmtId="178" fontId="90" fillId="11" borderId="14" xfId="14" applyNumberFormat="1" applyBorder="1" applyAlignment="1">
      <alignment vertical="top" wrapText="1"/>
    </xf>
    <xf numFmtId="179" fontId="90" fillId="11" borderId="14" xfId="14" applyNumberFormat="1" applyBorder="1" applyAlignment="1">
      <alignment vertical="top" wrapText="1"/>
    </xf>
    <xf numFmtId="3" fontId="108" fillId="19" borderId="14" xfId="68" applyBorder="1" applyAlignment="1">
      <alignment horizontal="left" vertical="center"/>
    </xf>
    <xf numFmtId="3" fontId="108" fillId="19" borderId="14" xfId="68" applyBorder="1">
      <alignment horizontal="right" vertical="center"/>
    </xf>
    <xf numFmtId="3" fontId="108" fillId="19" borderId="14" xfId="68" applyBorder="1" applyAlignment="1">
      <alignment horizontal="right" vertical="center"/>
    </xf>
    <xf numFmtId="0" fontId="84" fillId="10" borderId="14" xfId="27" applyNumberFormat="1" applyBorder="1" applyAlignment="1">
      <alignment vertical="center" wrapText="1"/>
    </xf>
    <xf numFmtId="0" fontId="84" fillId="10" borderId="14" xfId="27" applyNumberFormat="1" applyBorder="1" applyAlignment="1">
      <alignment horizontal="left" vertical="center" wrapText="1"/>
    </xf>
    <xf numFmtId="2" fontId="84" fillId="10" borderId="14" xfId="27" applyNumberFormat="1" applyBorder="1" applyAlignment="1">
      <alignment horizontal="right" vertical="center"/>
    </xf>
    <xf numFmtId="0" fontId="90" fillId="11" borderId="14" xfId="14" applyNumberFormat="1" applyBorder="1" applyAlignment="1">
      <alignment horizontal="center" vertical="top"/>
    </xf>
    <xf numFmtId="168" fontId="89" fillId="11" borderId="14" xfId="77" applyNumberFormat="1" applyBorder="1" applyAlignment="1">
      <alignment horizontal="right" vertical="top"/>
      <protection hidden="1"/>
    </xf>
    <xf numFmtId="0" fontId="84" fillId="10" borderId="14" xfId="27" applyNumberFormat="1" applyBorder="1" applyAlignment="1">
      <alignment horizontal="right" vertical="center" wrapText="1"/>
    </xf>
    <xf numFmtId="2" fontId="84" fillId="10" borderId="14" xfId="27" applyNumberFormat="1" applyBorder="1" applyAlignment="1">
      <alignment horizontal="right" vertical="top"/>
    </xf>
    <xf numFmtId="168" fontId="108" fillId="48" borderId="14" xfId="21" applyNumberFormat="1" applyBorder="1" applyAlignment="1">
      <alignment horizontal="right" vertical="top" wrapText="1"/>
    </xf>
    <xf numFmtId="166" fontId="90" fillId="11" borderId="14" xfId="14" applyNumberFormat="1" applyBorder="1" applyAlignment="1">
      <alignment horizontal="right" vertical="top" wrapText="1"/>
    </xf>
    <xf numFmtId="3" fontId="90" fillId="11" borderId="14" xfId="14" applyNumberFormat="1" applyBorder="1" applyAlignment="1">
      <alignment horizontal="right" vertical="top" wrapText="1"/>
    </xf>
    <xf numFmtId="0" fontId="94" fillId="11" borderId="14" xfId="75" applyNumberFormat="1" applyBorder="1">
      <alignment vertical="top" wrapText="1"/>
    </xf>
    <xf numFmtId="2" fontId="94" fillId="11" borderId="14" xfId="75" applyNumberFormat="1" applyBorder="1">
      <alignment vertical="top" wrapText="1"/>
    </xf>
    <xf numFmtId="168" fontId="94" fillId="11" borderId="14" xfId="75" applyNumberFormat="1" applyBorder="1" applyAlignment="1">
      <alignment horizontal="right" vertical="top" wrapText="1"/>
    </xf>
    <xf numFmtId="0" fontId="90" fillId="11" borderId="14" xfId="14" applyNumberFormat="1" applyBorder="1" applyAlignment="1">
      <alignment horizontal="right" vertical="top" wrapText="1"/>
    </xf>
    <xf numFmtId="2" fontId="94" fillId="11" borderId="14" xfId="75" applyNumberFormat="1" applyBorder="1" applyAlignment="1">
      <alignment horizontal="right" vertical="center"/>
    </xf>
    <xf numFmtId="168" fontId="94" fillId="11" borderId="14" xfId="75" applyNumberFormat="1" applyBorder="1" applyAlignment="1">
      <alignment horizontal="right" vertical="center" wrapText="1"/>
    </xf>
    <xf numFmtId="0" fontId="94" fillId="11" borderId="14" xfId="75" applyNumberFormat="1" applyBorder="1" applyAlignment="1">
      <alignment horizontal="right" vertical="center" wrapText="1"/>
    </xf>
    <xf numFmtId="3" fontId="47" fillId="45" borderId="14" xfId="24" applyBorder="1" applyAlignment="1">
      <alignment horizontal="right" vertical="center"/>
    </xf>
    <xf numFmtId="168" fontId="84" fillId="10" borderId="14" xfId="27" applyNumberFormat="1" applyBorder="1" applyAlignment="1">
      <alignment horizontal="right" vertical="center"/>
    </xf>
    <xf numFmtId="168" fontId="84" fillId="10" borderId="14" xfId="27" applyNumberFormat="1" applyBorder="1" applyAlignment="1">
      <alignment horizontal="left" vertical="center"/>
    </xf>
    <xf numFmtId="2" fontId="24" fillId="11" borderId="14" xfId="14" applyNumberFormat="1" applyFont="1" applyBorder="1" applyAlignment="1">
      <alignment horizontal="right" vertical="top"/>
    </xf>
    <xf numFmtId="2" fontId="29" fillId="11" borderId="14" xfId="14" applyNumberFormat="1" applyFont="1" applyBorder="1" applyAlignment="1">
      <alignment horizontal="right" vertical="top"/>
    </xf>
    <xf numFmtId="0" fontId="94" fillId="11" borderId="14" xfId="75" applyNumberFormat="1" applyBorder="1" applyAlignment="1">
      <alignment vertical="top"/>
    </xf>
    <xf numFmtId="0" fontId="94" fillId="11" borderId="14" xfId="75" applyNumberFormat="1" applyBorder="1" applyAlignment="1">
      <alignment vertical="top" wrapText="1"/>
    </xf>
    <xf numFmtId="2" fontId="94" fillId="11" borderId="14" xfId="75" applyNumberFormat="1" applyBorder="1" applyAlignment="1">
      <alignment horizontal="right" vertical="top"/>
    </xf>
    <xf numFmtId="0" fontId="90" fillId="11" borderId="14" xfId="14" applyNumberFormat="1" applyBorder="1" applyAlignment="1">
      <alignment vertical="top"/>
    </xf>
    <xf numFmtId="164" fontId="90" fillId="11" borderId="10" xfId="14" applyNumberFormat="1" applyBorder="1" applyAlignment="1">
      <alignment horizontal="right" vertical="top" wrapText="1"/>
    </xf>
    <xf numFmtId="168" fontId="89" fillId="11" borderId="10" xfId="77" applyNumberFormat="1" applyBorder="1" applyAlignment="1">
      <alignment horizontal="right" vertical="center"/>
      <protection hidden="1"/>
    </xf>
    <xf numFmtId="2" fontId="90" fillId="11" borderId="10" xfId="14" applyNumberFormat="1" applyBorder="1" applyAlignment="1">
      <alignment horizontal="right" vertical="center" wrapText="1"/>
    </xf>
    <xf numFmtId="0" fontId="94" fillId="11" borderId="10" xfId="75" applyNumberFormat="1" applyBorder="1" applyAlignment="1">
      <alignment vertical="top" wrapText="1"/>
    </xf>
    <xf numFmtId="0" fontId="94" fillId="11" borderId="10" xfId="75" applyNumberFormat="1" applyBorder="1" applyAlignment="1">
      <alignment vertical="top"/>
    </xf>
    <xf numFmtId="2" fontId="94" fillId="11" borderId="10" xfId="75" applyNumberFormat="1" applyBorder="1" applyAlignment="1">
      <alignment horizontal="right" vertical="top"/>
    </xf>
    <xf numFmtId="168" fontId="94" fillId="11" borderId="10" xfId="75" applyNumberFormat="1" applyBorder="1" applyAlignment="1">
      <alignment horizontal="right" vertical="top" wrapText="1"/>
    </xf>
    <xf numFmtId="1" fontId="90" fillId="11" borderId="10" xfId="14" applyNumberFormat="1" applyBorder="1" applyAlignment="1">
      <alignment horizontal="right" vertical="top" wrapText="1"/>
    </xf>
    <xf numFmtId="0" fontId="94" fillId="11" borderId="14" xfId="75" applyNumberFormat="1" applyBorder="1" applyAlignment="1">
      <alignment horizontal="right" vertical="center"/>
    </xf>
    <xf numFmtId="0" fontId="108" fillId="48" borderId="14" xfId="21" applyNumberFormat="1" applyBorder="1" applyAlignment="1">
      <alignment horizontal="right" vertical="top" wrapText="1"/>
    </xf>
    <xf numFmtId="4" fontId="108" fillId="48" borderId="14" xfId="21" applyNumberFormat="1" applyBorder="1" applyAlignment="1">
      <alignment horizontal="right" vertical="top" wrapText="1"/>
    </xf>
    <xf numFmtId="2" fontId="90" fillId="11" borderId="14" xfId="14" applyNumberFormat="1" applyBorder="1" applyAlignment="1">
      <alignment horizontal="right" vertical="top" wrapText="1"/>
    </xf>
    <xf numFmtId="0" fontId="90" fillId="11" borderId="14" xfId="14" applyNumberFormat="1" applyBorder="1" applyAlignment="1">
      <alignment vertical="center" wrapText="1"/>
    </xf>
    <xf numFmtId="2" fontId="90" fillId="11" borderId="14" xfId="14" applyNumberFormat="1" applyBorder="1" applyAlignment="1">
      <alignment horizontal="right" vertical="center"/>
    </xf>
    <xf numFmtId="168" fontId="90" fillId="11" borderId="14" xfId="14" applyNumberFormat="1" applyBorder="1" applyAlignment="1">
      <alignment horizontal="right" vertical="center" wrapText="1"/>
    </xf>
    <xf numFmtId="4" fontId="90" fillId="11" borderId="14" xfId="14" applyNumberFormat="1" applyBorder="1" applyAlignment="1">
      <alignment horizontal="right" vertical="center" wrapText="1"/>
    </xf>
    <xf numFmtId="0" fontId="90" fillId="11" borderId="14" xfId="14" applyNumberFormat="1" applyBorder="1" applyAlignment="1">
      <alignment horizontal="right" vertical="center" wrapText="1"/>
    </xf>
    <xf numFmtId="3" fontId="101" fillId="15" borderId="8" xfId="16" applyNumberFormat="1" applyAlignment="1">
      <alignment vertical="center"/>
    </xf>
    <xf numFmtId="3" fontId="101" fillId="15" borderId="8" xfId="16" applyNumberFormat="1" applyAlignment="1">
      <alignment horizontal="left" vertical="center"/>
    </xf>
    <xf numFmtId="3" fontId="101" fillId="15" borderId="8" xfId="16" applyNumberFormat="1" applyAlignment="1">
      <alignment horizontal="right" vertical="center"/>
    </xf>
    <xf numFmtId="3" fontId="101" fillId="15" borderId="8" xfId="16" applyNumberFormat="1" applyAlignment="1">
      <alignment horizontal="center" vertical="center"/>
    </xf>
    <xf numFmtId="168" fontId="110" fillId="13" borderId="10" xfId="29" applyNumberFormat="1">
      <alignment horizontal="right" vertical="top" wrapText="1"/>
      <protection locked="0"/>
    </xf>
    <xf numFmtId="168" fontId="110" fillId="53" borderId="25" xfId="6" applyNumberFormat="1" applyAlignment="1">
      <alignment horizontal="right" vertical="top" wrapText="1"/>
      <protection locked="0"/>
    </xf>
    <xf numFmtId="4" fontId="110" fillId="53" borderId="25" xfId="6" applyNumberFormat="1" applyAlignment="1">
      <alignment horizontal="right" vertical="center" wrapText="1"/>
      <protection locked="0"/>
    </xf>
    <xf numFmtId="166" fontId="110" fillId="16" borderId="14" xfId="78" applyBorder="1">
      <alignment horizontal="right" vertical="top" wrapText="1"/>
      <protection locked="0"/>
    </xf>
    <xf numFmtId="166" fontId="110" fillId="16" borderId="14" xfId="78" applyBorder="1" applyAlignment="1">
      <alignment horizontal="right" vertical="top" wrapText="1"/>
      <protection locked="0"/>
    </xf>
    <xf numFmtId="166" fontId="110" fillId="49" borderId="14" xfId="73" applyBorder="1">
      <alignment horizontal="right" vertical="top" wrapText="1"/>
      <protection locked="0"/>
    </xf>
    <xf numFmtId="166" fontId="110" fillId="49" borderId="14" xfId="73" applyBorder="1" applyAlignment="1">
      <alignment horizontal="right" vertical="top" wrapText="1"/>
      <protection locked="0"/>
    </xf>
    <xf numFmtId="165" fontId="110" fillId="49" borderId="14" xfId="73" applyNumberFormat="1" applyBorder="1" applyAlignment="1">
      <alignment horizontal="right" vertical="top" wrapText="1"/>
      <protection locked="0"/>
    </xf>
    <xf numFmtId="166" fontId="108" fillId="48" borderId="14" xfId="21" applyNumberFormat="1" applyBorder="1" applyAlignment="1">
      <alignment horizontal="right" vertical="top" wrapText="1"/>
    </xf>
    <xf numFmtId="168" fontId="110" fillId="49" borderId="10" xfId="73" applyNumberFormat="1" applyBorder="1" applyAlignment="1">
      <alignment horizontal="right" vertical="top" wrapText="1"/>
      <protection locked="0"/>
    </xf>
    <xf numFmtId="167" fontId="110" fillId="16" borderId="14" xfId="78" applyNumberFormat="1" applyBorder="1">
      <alignment horizontal="right" vertical="top" wrapText="1"/>
      <protection locked="0"/>
    </xf>
    <xf numFmtId="3" fontId="110" fillId="16" borderId="14" xfId="78" applyNumberFormat="1" applyBorder="1">
      <alignment horizontal="right" vertical="top" wrapText="1"/>
      <protection locked="0"/>
    </xf>
    <xf numFmtId="4" fontId="110" fillId="16" borderId="14" xfId="78" applyNumberFormat="1" applyBorder="1">
      <alignment horizontal="right" vertical="top" wrapText="1"/>
      <protection locked="0"/>
    </xf>
    <xf numFmtId="168" fontId="110" fillId="16" borderId="14" xfId="78" applyNumberFormat="1" applyBorder="1">
      <alignment horizontal="right" vertical="top" wrapText="1"/>
      <protection locked="0"/>
    </xf>
    <xf numFmtId="171" fontId="90" fillId="11" borderId="14" xfId="14" applyNumberFormat="1" applyBorder="1" applyAlignment="1">
      <alignment horizontal="right" vertical="top"/>
    </xf>
    <xf numFmtId="165" fontId="90" fillId="11" borderId="14" xfId="14" applyNumberFormat="1" applyBorder="1" applyAlignment="1">
      <alignment horizontal="right" vertical="top"/>
    </xf>
    <xf numFmtId="168" fontId="110" fillId="49" borderId="14" xfId="73" applyNumberFormat="1" applyBorder="1">
      <alignment horizontal="right" vertical="top" wrapText="1"/>
      <protection locked="0"/>
    </xf>
    <xf numFmtId="0" fontId="110" fillId="49" borderId="14" xfId="73" applyNumberFormat="1" applyBorder="1" applyAlignment="1">
      <alignment horizontal="right" vertical="top" wrapText="1"/>
      <protection locked="0"/>
    </xf>
    <xf numFmtId="4" fontId="110" fillId="49" borderId="14" xfId="73" applyNumberFormat="1" applyBorder="1" applyAlignment="1">
      <alignment horizontal="right" vertical="top" wrapText="1"/>
      <protection locked="0"/>
    </xf>
    <xf numFmtId="168" fontId="110" fillId="49" borderId="14" xfId="73" applyNumberFormat="1" applyBorder="1" applyAlignment="1">
      <alignment horizontal="right" vertical="top"/>
      <protection locked="0"/>
    </xf>
    <xf numFmtId="9" fontId="110" fillId="16" borderId="14" xfId="78" applyNumberFormat="1" applyBorder="1">
      <alignment horizontal="right" vertical="top" wrapText="1"/>
      <protection locked="0"/>
    </xf>
    <xf numFmtId="166" fontId="110" fillId="16" borderId="14" xfId="78" applyBorder="1" applyAlignment="1">
      <alignment horizontal="right" vertical="center" wrapText="1"/>
      <protection locked="0"/>
    </xf>
    <xf numFmtId="0" fontId="29" fillId="10" borderId="0" xfId="0" applyFont="1" applyAlignment="1">
      <alignment horizontal="left" vertical="center"/>
    </xf>
    <xf numFmtId="166" fontId="108" fillId="48" borderId="14" xfId="21" applyNumberFormat="1" applyBorder="1" applyAlignment="1">
      <alignment horizontal="right" vertical="center" wrapText="1"/>
    </xf>
    <xf numFmtId="166" fontId="90" fillId="11" borderId="14" xfId="14" applyNumberFormat="1" applyBorder="1" applyAlignment="1">
      <alignment horizontal="right" vertical="center" wrapText="1"/>
    </xf>
    <xf numFmtId="171" fontId="90" fillId="11" borderId="14" xfId="14" applyNumberFormat="1" applyBorder="1" applyAlignment="1">
      <alignment horizontal="right" vertical="center"/>
    </xf>
    <xf numFmtId="167" fontId="110" fillId="16" borderId="14" xfId="78" applyNumberFormat="1" applyBorder="1" applyAlignment="1">
      <alignment horizontal="right" vertical="center" wrapText="1"/>
      <protection locked="0"/>
    </xf>
    <xf numFmtId="165" fontId="90" fillId="11" borderId="14" xfId="14" applyNumberFormat="1" applyBorder="1" applyAlignment="1">
      <alignment horizontal="right" vertical="center"/>
    </xf>
    <xf numFmtId="168" fontId="108" fillId="48" borderId="14" xfId="21" applyNumberFormat="1" applyBorder="1" applyAlignment="1">
      <alignment horizontal="right" vertical="center" wrapText="1"/>
    </xf>
    <xf numFmtId="9" fontId="90" fillId="11" borderId="14" xfId="14" applyNumberFormat="1" applyBorder="1" applyAlignment="1">
      <alignment horizontal="right" vertical="center" wrapText="1"/>
    </xf>
    <xf numFmtId="9" fontId="110" fillId="16" borderId="14" xfId="78" applyNumberFormat="1" applyBorder="1" applyAlignment="1">
      <alignment horizontal="right" vertical="center" wrapText="1"/>
      <protection locked="0"/>
    </xf>
    <xf numFmtId="3" fontId="90" fillId="11" borderId="14" xfId="14" applyBorder="1" applyAlignment="1">
      <alignment horizontal="right" vertical="center" wrapText="1"/>
    </xf>
    <xf numFmtId="3" fontId="110" fillId="16" borderId="14" xfId="78" applyNumberFormat="1" applyBorder="1" applyAlignment="1">
      <alignment horizontal="right" vertical="center" wrapText="1"/>
      <protection locked="0"/>
    </xf>
    <xf numFmtId="0" fontId="110" fillId="49" borderId="10" xfId="73" applyNumberFormat="1" applyBorder="1">
      <alignment horizontal="right" vertical="top" wrapText="1"/>
      <protection locked="0"/>
    </xf>
    <xf numFmtId="166" fontId="110" fillId="16" borderId="10" xfId="78" applyBorder="1" applyAlignment="1">
      <alignment horizontal="right" vertical="center" wrapText="1"/>
      <protection locked="0"/>
    </xf>
    <xf numFmtId="166" fontId="110" fillId="16" borderId="10" xfId="78" applyBorder="1" applyAlignment="1">
      <alignment horizontal="right" vertical="top" wrapText="1"/>
      <protection locked="0"/>
    </xf>
    <xf numFmtId="0" fontId="24" fillId="11" borderId="24" xfId="14" applyNumberFormat="1" applyFont="1" applyBorder="1">
      <alignment vertical="top"/>
    </xf>
    <xf numFmtId="0" fontId="24" fillId="11" borderId="24" xfId="14" applyNumberFormat="1" applyFont="1" applyBorder="1" applyAlignment="1">
      <alignment vertical="top" wrapText="1"/>
    </xf>
    <xf numFmtId="2" fontId="24" fillId="11" borderId="24" xfId="14" applyNumberFormat="1" applyFont="1" applyBorder="1" applyAlignment="1">
      <alignment horizontal="right" vertical="top"/>
    </xf>
    <xf numFmtId="4" fontId="54" fillId="11" borderId="24" xfId="14" applyNumberFormat="1" applyFont="1" applyBorder="1" applyAlignment="1">
      <alignment horizontal="right" vertical="center"/>
    </xf>
    <xf numFmtId="3" fontId="24" fillId="11" borderId="24" xfId="14" applyFont="1" applyBorder="1" applyAlignment="1">
      <alignment horizontal="right" vertical="top" wrapText="1"/>
    </xf>
    <xf numFmtId="0" fontId="24" fillId="11" borderId="15" xfId="14" applyNumberFormat="1" applyFont="1" applyBorder="1">
      <alignment vertical="top"/>
    </xf>
    <xf numFmtId="0" fontId="24" fillId="11" borderId="15" xfId="14" applyNumberFormat="1" applyFont="1" applyBorder="1" applyAlignment="1">
      <alignment vertical="top" wrapText="1"/>
    </xf>
    <xf numFmtId="2" fontId="24" fillId="11" borderId="15" xfId="14" applyNumberFormat="1" applyFont="1" applyBorder="1" applyAlignment="1">
      <alignment horizontal="right" vertical="top"/>
    </xf>
    <xf numFmtId="3" fontId="24" fillId="11" borderId="15" xfId="14" applyFont="1" applyBorder="1" applyAlignment="1">
      <alignment horizontal="right" vertical="top" wrapText="1"/>
    </xf>
    <xf numFmtId="0" fontId="85" fillId="10" borderId="14" xfId="70" applyBorder="1" applyAlignment="1">
      <alignment vertical="center"/>
    </xf>
    <xf numFmtId="0" fontId="85" fillId="10" borderId="14" xfId="70" applyBorder="1" applyAlignment="1">
      <alignment vertical="center" wrapText="1"/>
    </xf>
    <xf numFmtId="3" fontId="63" fillId="46" borderId="10" xfId="72" applyAlignment="1">
      <alignment horizontal="left" vertical="center"/>
    </xf>
    <xf numFmtId="0" fontId="18" fillId="10" borderId="0" xfId="0" applyFont="1" applyAlignment="1">
      <alignment horizontal="left" vertical="center"/>
    </xf>
    <xf numFmtId="0" fontId="98" fillId="10" borderId="0" xfId="79" applyNumberFormat="1" applyFill="1" applyAlignment="1">
      <alignment vertical="center"/>
    </xf>
    <xf numFmtId="0" fontId="98" fillId="10" borderId="0" xfId="79" applyNumberFormat="1" applyFill="1" applyAlignment="1">
      <alignment vertical="top"/>
    </xf>
    <xf numFmtId="0" fontId="97" fillId="10" borderId="0" xfId="80" applyNumberFormat="1" applyFill="1" applyAlignment="1" applyProtection="1">
      <alignment horizontal="center" vertical="top"/>
      <protection hidden="1"/>
    </xf>
    <xf numFmtId="0" fontId="97" fillId="10" borderId="0" xfId="80" applyNumberFormat="1" applyFill="1" applyAlignment="1" applyProtection="1">
      <alignment horizontal="center" vertical="center"/>
      <protection hidden="1"/>
    </xf>
    <xf numFmtId="0" fontId="85" fillId="10" borderId="14" xfId="70" applyBorder="1" applyAlignment="1">
      <alignment horizontal="right" vertical="center" wrapText="1"/>
    </xf>
    <xf numFmtId="3" fontId="108" fillId="48" borderId="11" xfId="21" applyNumberFormat="1" applyBorder="1" applyAlignment="1">
      <alignment horizontal="right" vertical="center"/>
    </xf>
    <xf numFmtId="3" fontId="108" fillId="48" borderId="11" xfId="21" applyNumberFormat="1" applyBorder="1" applyAlignment="1">
      <alignment horizontal="right" vertical="center" wrapText="1"/>
    </xf>
    <xf numFmtId="3" fontId="108" fillId="48" borderId="14" xfId="21" applyBorder="1" applyAlignment="1">
      <alignment horizontal="right" vertical="center"/>
    </xf>
    <xf numFmtId="168" fontId="108" fillId="48" borderId="11" xfId="21" applyNumberFormat="1" applyBorder="1" applyAlignment="1">
      <alignment horizontal="right" vertical="center"/>
    </xf>
    <xf numFmtId="3" fontId="108" fillId="48" borderId="14" xfId="21" applyNumberFormat="1" applyBorder="1" applyAlignment="1">
      <alignment horizontal="right" vertical="center"/>
    </xf>
    <xf numFmtId="3" fontId="108" fillId="48" borderId="10" xfId="21" applyBorder="1" applyAlignment="1">
      <alignment horizontal="right" vertical="center" wrapText="1"/>
    </xf>
    <xf numFmtId="9" fontId="108" fillId="48" borderId="11" xfId="21" applyNumberFormat="1" applyBorder="1" applyAlignment="1">
      <alignment horizontal="right" vertical="center"/>
    </xf>
    <xf numFmtId="167" fontId="108" fillId="48" borderId="10" xfId="21" applyNumberFormat="1" applyBorder="1" applyAlignment="1">
      <alignment horizontal="right" vertical="center"/>
    </xf>
    <xf numFmtId="0" fontId="19" fillId="10" borderId="10" xfId="0" applyFont="1" applyBorder="1" applyAlignment="1">
      <alignment horizontal="center" vertical="center"/>
    </xf>
    <xf numFmtId="0" fontId="108" fillId="48" borderId="10" xfId="21" applyNumberFormat="1" applyBorder="1" applyAlignment="1">
      <alignment horizontal="center" vertical="center"/>
    </xf>
    <xf numFmtId="1" fontId="108" fillId="48" borderId="10" xfId="21" applyNumberFormat="1" applyBorder="1" applyAlignment="1">
      <alignment horizontal="right" vertical="center" wrapText="1"/>
    </xf>
    <xf numFmtId="0" fontId="49" fillId="10" borderId="10" xfId="8" applyNumberFormat="1" applyFont="1" applyFill="1" applyBorder="1" applyAlignment="1">
      <alignment horizontal="center" vertical="center"/>
    </xf>
    <xf numFmtId="0" fontId="108" fillId="48" borderId="10" xfId="21" applyNumberFormat="1" applyBorder="1" applyAlignment="1">
      <alignment vertical="center"/>
    </xf>
    <xf numFmtId="3" fontId="108" fillId="48" borderId="10" xfId="21" applyNumberFormat="1" applyBorder="1" applyAlignment="1">
      <alignment horizontal="center" vertical="center"/>
    </xf>
    <xf numFmtId="0" fontId="49" fillId="10" borderId="17" xfId="8" applyNumberFormat="1" applyFont="1" applyFill="1" applyBorder="1" applyAlignment="1">
      <alignment horizontal="center" vertical="center"/>
    </xf>
    <xf numFmtId="0" fontId="49" fillId="10" borderId="14" xfId="8" applyNumberFormat="1" applyFont="1" applyFill="1" applyBorder="1" applyAlignment="1">
      <alignment horizontal="center" vertical="center"/>
    </xf>
    <xf numFmtId="9" fontId="108" fillId="44" borderId="10" xfId="25" applyNumberFormat="1" applyBorder="1" applyAlignment="1">
      <alignment horizontal="right" vertical="center"/>
    </xf>
    <xf numFmtId="9" fontId="19" fillId="10" borderId="0" xfId="0" applyNumberFormat="1" applyFont="1" applyAlignment="1">
      <alignment horizontal="right" vertical="center"/>
    </xf>
    <xf numFmtId="3" fontId="108" fillId="48" borderId="17" xfId="21" applyBorder="1" applyAlignment="1">
      <alignment horizontal="right" vertical="center" wrapText="1"/>
    </xf>
    <xf numFmtId="3" fontId="108" fillId="48" borderId="12" xfId="21" applyNumberFormat="1" applyBorder="1" applyAlignment="1">
      <alignment horizontal="right" vertical="center" wrapText="1"/>
    </xf>
    <xf numFmtId="168" fontId="108" fillId="48" borderId="10" xfId="21" applyNumberFormat="1" applyBorder="1" applyAlignment="1">
      <alignment horizontal="right" vertical="top" wrapText="1"/>
    </xf>
    <xf numFmtId="3" fontId="108" fillId="44" borderId="16" xfId="25" applyNumberFormat="1" applyBorder="1">
      <alignment horizontal="right" vertical="center"/>
    </xf>
    <xf numFmtId="4" fontId="108" fillId="48" borderId="10" xfId="21" applyNumberFormat="1" applyBorder="1" applyAlignment="1">
      <alignment horizontal="center" vertical="center"/>
    </xf>
    <xf numFmtId="3" fontId="108" fillId="19" borderId="0" xfId="68" applyBorder="1" applyAlignment="1">
      <alignment horizontal="right" vertical="center"/>
    </xf>
    <xf numFmtId="0" fontId="44" fillId="10" borderId="0" xfId="81" applyAlignment="1">
      <alignment vertical="top"/>
    </xf>
    <xf numFmtId="0" fontId="98" fillId="10" borderId="0" xfId="79" applyNumberFormat="1" applyFill="1" applyAlignment="1">
      <alignment horizontal="left" vertical="top"/>
    </xf>
    <xf numFmtId="0" fontId="98" fillId="10" borderId="0" xfId="79" applyNumberFormat="1" applyFill="1" applyBorder="1" applyAlignment="1">
      <alignment vertical="center"/>
    </xf>
    <xf numFmtId="0" fontId="98" fillId="10" borderId="0" xfId="79" applyNumberFormat="1" applyFill="1" applyBorder="1" applyAlignment="1">
      <alignment horizontal="center" vertical="center"/>
    </xf>
    <xf numFmtId="0" fontId="101" fillId="15" borderId="8" xfId="16">
      <alignment vertical="top"/>
    </xf>
    <xf numFmtId="0" fontId="97" fillId="10" borderId="0" xfId="80" applyNumberFormat="1" applyFill="1" applyBorder="1" applyAlignment="1" applyProtection="1">
      <alignment horizontal="center" vertical="top"/>
      <protection hidden="1"/>
    </xf>
    <xf numFmtId="0" fontId="103" fillId="10" borderId="0" xfId="8" applyNumberFormat="1" applyFont="1" applyFill="1" applyBorder="1" applyAlignment="1">
      <alignment vertical="center"/>
    </xf>
    <xf numFmtId="0" fontId="96" fillId="10" borderId="0" xfId="13" applyNumberFormat="1" applyBorder="1" applyAlignment="1">
      <alignment horizontal="right" vertical="top"/>
    </xf>
    <xf numFmtId="0" fontId="96" fillId="10" borderId="0" xfId="13" applyNumberFormat="1" applyAlignment="1">
      <alignment vertical="top"/>
    </xf>
    <xf numFmtId="0" fontId="98" fillId="10" borderId="0" xfId="79" applyNumberFormat="1" applyFill="1" applyBorder="1" applyAlignment="1">
      <alignment textRotation="90"/>
    </xf>
    <xf numFmtId="0" fontId="56" fillId="10" borderId="0" xfId="0" applyFont="1">
      <alignment vertical="top"/>
    </xf>
    <xf numFmtId="0" fontId="87" fillId="0" borderId="0" xfId="76" applyFill="1" applyAlignment="1">
      <alignment vertical="top" wrapText="1"/>
    </xf>
    <xf numFmtId="0" fontId="85" fillId="10" borderId="0" xfId="70" applyBorder="1" applyAlignment="1">
      <alignment horizontal="left" vertical="center" wrapText="1"/>
    </xf>
    <xf numFmtId="0" fontId="38" fillId="10" borderId="0" xfId="16" applyFont="1" applyFill="1" applyBorder="1" applyAlignment="1">
      <alignment horizontal="left" vertical="center"/>
    </xf>
    <xf numFmtId="3" fontId="90" fillId="11" borderId="10" xfId="83" applyAlignment="1">
      <alignment horizontal="left" vertical="center" wrapText="1"/>
    </xf>
    <xf numFmtId="3" fontId="90" fillId="11" borderId="10" xfId="83" quotePrefix="1" applyAlignment="1">
      <alignment horizontal="left" vertical="center" wrapText="1"/>
    </xf>
    <xf numFmtId="2" fontId="89" fillId="10" borderId="0" xfId="20" applyNumberFormat="1">
      <alignment horizontal="center" vertical="top"/>
      <protection hidden="1"/>
    </xf>
    <xf numFmtId="0" fontId="97" fillId="10" borderId="0" xfId="80" applyNumberFormat="1" applyFill="1" applyBorder="1" applyAlignment="1">
      <alignment vertical="center" textRotation="90"/>
    </xf>
    <xf numFmtId="3" fontId="47" fillId="45" borderId="15" xfId="24" applyBorder="1">
      <alignment horizontal="left" vertical="center"/>
    </xf>
    <xf numFmtId="0" fontId="98" fillId="10" borderId="0" xfId="79" applyNumberFormat="1" applyFill="1" applyAlignment="1">
      <alignment horizontal="right" vertical="center"/>
    </xf>
    <xf numFmtId="0" fontId="17" fillId="10" borderId="0" xfId="0" applyFont="1" applyAlignment="1">
      <alignment horizontal="right" vertical="center"/>
    </xf>
    <xf numFmtId="0" fontId="17" fillId="10" borderId="0" xfId="0" applyFont="1" applyAlignment="1">
      <alignment horizontal="right" vertical="top" textRotation="90"/>
    </xf>
    <xf numFmtId="0" fontId="17" fillId="10" borderId="0" xfId="0" applyFont="1" applyAlignment="1">
      <alignment horizontal="right" vertical="center" textRotation="90"/>
    </xf>
    <xf numFmtId="0" fontId="18" fillId="10" borderId="0" xfId="0" applyFont="1" applyAlignment="1">
      <alignment horizontal="right" vertical="center"/>
    </xf>
    <xf numFmtId="3" fontId="52" fillId="10" borderId="0" xfId="13" applyFont="1" applyAlignment="1">
      <alignment horizontal="right" vertical="center"/>
    </xf>
    <xf numFmtId="3" fontId="52" fillId="10" borderId="0" xfId="13" applyFont="1" applyAlignment="1">
      <alignment horizontal="right" vertical="top"/>
    </xf>
    <xf numFmtId="0" fontId="98" fillId="10" borderId="0" xfId="79" applyNumberFormat="1" applyFont="1" applyFill="1" applyAlignment="1">
      <alignment vertical="center"/>
    </xf>
    <xf numFmtId="0" fontId="98" fillId="10" borderId="0" xfId="79" applyNumberFormat="1" applyFont="1" applyFill="1" applyBorder="1" applyAlignment="1">
      <alignment vertical="center"/>
    </xf>
    <xf numFmtId="0" fontId="98" fillId="10" borderId="0" xfId="79" applyNumberFormat="1" applyFont="1" applyFill="1" applyBorder="1" applyAlignment="1">
      <alignment horizontal="center" vertical="center"/>
    </xf>
    <xf numFmtId="0" fontId="98" fillId="10" borderId="0" xfId="79" applyNumberFormat="1" applyFont="1" applyFill="1" applyAlignment="1">
      <alignment vertical="top"/>
    </xf>
    <xf numFmtId="168" fontId="61" fillId="10" borderId="0" xfId="8" applyNumberFormat="1" applyFont="1" applyFill="1" applyBorder="1" applyAlignment="1">
      <alignment horizontal="right" vertical="top"/>
    </xf>
    <xf numFmtId="168" fontId="54" fillId="10" borderId="10" xfId="0" applyNumberFormat="1" applyFont="1" applyBorder="1">
      <alignment vertical="top"/>
    </xf>
    <xf numFmtId="168" fontId="60" fillId="10" borderId="0" xfId="0" applyNumberFormat="1" applyFont="1" applyAlignment="1">
      <alignment horizontal="right" vertical="top"/>
    </xf>
    <xf numFmtId="0" fontId="90" fillId="11" borderId="0" xfId="14" applyNumberFormat="1" applyBorder="1" applyAlignment="1">
      <alignment vertical="center"/>
    </xf>
    <xf numFmtId="0" fontId="102" fillId="10" borderId="14" xfId="11" applyNumberFormat="1" applyFill="1" applyBorder="1" applyAlignment="1">
      <alignment horizontal="right" vertical="center" wrapText="1"/>
    </xf>
    <xf numFmtId="175" fontId="54" fillId="10" borderId="0" xfId="0" applyNumberFormat="1" applyFont="1" applyAlignment="1">
      <alignment horizontal="right" vertical="center"/>
    </xf>
    <xf numFmtId="175" fontId="108" fillId="44" borderId="14" xfId="25" applyNumberFormat="1" applyBorder="1" applyAlignment="1">
      <alignment horizontal="right" vertical="center"/>
    </xf>
    <xf numFmtId="175" fontId="54" fillId="10" borderId="14" xfId="0" applyNumberFormat="1" applyFont="1" applyBorder="1" applyAlignment="1">
      <alignment vertical="center"/>
    </xf>
    <xf numFmtId="0" fontId="30" fillId="10" borderId="0" xfId="0" applyFont="1" applyAlignment="1">
      <alignment horizontal="right" vertical="center"/>
    </xf>
    <xf numFmtId="0" fontId="90" fillId="11" borderId="0" xfId="14" applyNumberFormat="1" applyBorder="1">
      <alignment vertical="top"/>
    </xf>
    <xf numFmtId="0" fontId="90" fillId="11" borderId="24" xfId="14" applyNumberFormat="1" applyBorder="1">
      <alignment vertical="top"/>
    </xf>
    <xf numFmtId="0" fontId="90" fillId="11" borderId="24" xfId="14" applyNumberFormat="1" applyBorder="1" applyAlignment="1">
      <alignment vertical="top" wrapText="1"/>
    </xf>
    <xf numFmtId="0" fontId="90" fillId="11" borderId="15" xfId="14" applyNumberFormat="1" applyBorder="1">
      <alignment vertical="top"/>
    </xf>
    <xf numFmtId="3" fontId="108" fillId="48" borderId="14" xfId="21" applyBorder="1" applyAlignment="1">
      <alignment horizontal="right" vertical="top" wrapText="1"/>
    </xf>
    <xf numFmtId="2" fontId="90" fillId="11" borderId="24" xfId="14" applyNumberFormat="1" applyBorder="1" applyAlignment="1">
      <alignment horizontal="right" vertical="top"/>
    </xf>
    <xf numFmtId="4" fontId="90" fillId="11" borderId="24" xfId="14" applyNumberFormat="1" applyBorder="1" applyAlignment="1">
      <alignment horizontal="center" vertical="top" wrapText="1"/>
    </xf>
    <xf numFmtId="0" fontId="110" fillId="13" borderId="10" xfId="29" applyNumberFormat="1" applyAlignment="1">
      <alignment horizontal="right" vertical="center" wrapText="1"/>
      <protection locked="0"/>
    </xf>
    <xf numFmtId="4" fontId="108" fillId="48" borderId="10" xfId="21" applyNumberFormat="1" applyAlignment="1">
      <alignment horizontal="right" vertical="center" wrapText="1"/>
    </xf>
    <xf numFmtId="168" fontId="90" fillId="11" borderId="10" xfId="14" applyNumberFormat="1" applyBorder="1" applyAlignment="1">
      <alignment horizontal="right" vertical="center" wrapText="1"/>
    </xf>
    <xf numFmtId="168" fontId="90" fillId="11" borderId="11" xfId="14" applyNumberFormat="1" applyBorder="1" applyAlignment="1">
      <alignment horizontal="right" vertical="top" wrapText="1"/>
    </xf>
    <xf numFmtId="168" fontId="90" fillId="11" borderId="11" xfId="14" applyNumberFormat="1" applyBorder="1" applyAlignment="1">
      <alignment horizontal="right" vertical="center" wrapText="1"/>
    </xf>
    <xf numFmtId="4" fontId="108" fillId="44" borderId="11" xfId="25" applyNumberFormat="1" applyBorder="1" applyAlignment="1">
      <alignment horizontal="right" vertical="center"/>
    </xf>
    <xf numFmtId="4" fontId="54" fillId="10" borderId="11" xfId="0" applyNumberFormat="1" applyFont="1" applyBorder="1" applyAlignment="1">
      <alignment vertical="center"/>
    </xf>
    <xf numFmtId="1" fontId="90" fillId="11" borderId="14" xfId="14" applyNumberFormat="1" applyBorder="1" applyAlignment="1">
      <alignment horizontal="right" vertical="top"/>
    </xf>
    <xf numFmtId="9" fontId="59" fillId="44" borderId="10" xfId="25" applyNumberFormat="1" applyFont="1" applyBorder="1" applyAlignment="1">
      <alignment horizontal="right" vertical="top"/>
    </xf>
    <xf numFmtId="4" fontId="110" fillId="49" borderId="15" xfId="73" applyNumberFormat="1" applyBorder="1" applyAlignment="1">
      <alignment horizontal="right" vertical="center"/>
      <protection locked="0"/>
    </xf>
    <xf numFmtId="0" fontId="90" fillId="11" borderId="11" xfId="14" applyNumberFormat="1" applyBorder="1" applyAlignment="1">
      <alignment vertical="top"/>
    </xf>
    <xf numFmtId="9" fontId="108" fillId="44" borderId="11" xfId="25" applyNumberFormat="1" applyBorder="1" applyAlignment="1">
      <alignment horizontal="right" vertical="top"/>
    </xf>
    <xf numFmtId="168" fontId="54" fillId="10" borderId="11" xfId="0" applyNumberFormat="1" applyFont="1" applyBorder="1" applyAlignment="1">
      <alignment vertical="top"/>
    </xf>
    <xf numFmtId="0" fontId="54" fillId="10" borderId="12" xfId="0" applyFont="1" applyBorder="1" applyAlignment="1">
      <alignment vertical="top"/>
    </xf>
    <xf numFmtId="3" fontId="108" fillId="44" borderId="12" xfId="25" applyNumberFormat="1" applyBorder="1">
      <alignment horizontal="right" vertical="center"/>
    </xf>
    <xf numFmtId="168" fontId="65" fillId="10" borderId="12" xfId="0" applyNumberFormat="1" applyFont="1" applyBorder="1" applyAlignment="1">
      <alignment vertical="center"/>
    </xf>
    <xf numFmtId="9" fontId="108" fillId="44" borderId="10" xfId="25" applyNumberFormat="1" applyBorder="1">
      <alignment horizontal="right" vertical="center"/>
    </xf>
    <xf numFmtId="166" fontId="54" fillId="11" borderId="10" xfId="0" applyNumberFormat="1" applyFont="1" applyFill="1" applyBorder="1" applyAlignment="1">
      <alignment horizontal="right" vertical="center"/>
    </xf>
    <xf numFmtId="166" fontId="54" fillId="0" borderId="0" xfId="14" applyNumberFormat="1" applyFont="1" applyFill="1" applyBorder="1" applyAlignment="1">
      <alignment horizontal="right" vertical="center"/>
    </xf>
    <xf numFmtId="166" fontId="54" fillId="10" borderId="0" xfId="0" applyNumberFormat="1" applyFont="1" applyAlignment="1">
      <alignment vertical="center"/>
    </xf>
    <xf numFmtId="166" fontId="110" fillId="49" borderId="15" xfId="73" applyNumberFormat="1" applyBorder="1" applyAlignment="1">
      <alignment horizontal="right" vertical="center" wrapText="1"/>
      <protection locked="0"/>
    </xf>
    <xf numFmtId="166" fontId="54" fillId="11" borderId="15" xfId="14" applyNumberFormat="1" applyFont="1" applyBorder="1" applyAlignment="1">
      <alignment horizontal="right" vertical="center"/>
    </xf>
    <xf numFmtId="166" fontId="54" fillId="11" borderId="12" xfId="0" applyNumberFormat="1" applyFont="1" applyFill="1" applyBorder="1" applyAlignment="1">
      <alignment horizontal="right" vertical="center"/>
    </xf>
    <xf numFmtId="166" fontId="108" fillId="44" borderId="12" xfId="25" applyNumberFormat="1" applyBorder="1" applyAlignment="1">
      <alignment horizontal="right" vertical="center"/>
    </xf>
    <xf numFmtId="2" fontId="94" fillId="11" borderId="14" xfId="75" applyNumberFormat="1" applyBorder="1" applyAlignment="1">
      <alignment horizontal="right" vertical="top" wrapText="1"/>
    </xf>
    <xf numFmtId="0" fontId="59" fillId="10" borderId="0" xfId="0" applyFont="1" applyAlignment="1">
      <alignment vertical="top" wrapText="1"/>
    </xf>
    <xf numFmtId="3" fontId="90" fillId="51" borderId="10" xfId="83" quotePrefix="1" applyFill="1" applyAlignment="1">
      <alignment horizontal="left" vertical="center" wrapText="1"/>
    </xf>
    <xf numFmtId="3" fontId="110" fillId="50" borderId="10" xfId="83" quotePrefix="1" applyFont="1" applyFill="1" applyAlignment="1">
      <alignment horizontal="left" vertical="center" wrapText="1"/>
    </xf>
    <xf numFmtId="3" fontId="110" fillId="16" borderId="10" xfId="83" quotePrefix="1" applyFont="1" applyFill="1" applyAlignment="1">
      <alignment horizontal="left" vertical="center" wrapText="1"/>
    </xf>
    <xf numFmtId="3" fontId="111" fillId="10" borderId="0" xfId="0" applyNumberFormat="1" applyFont="1" applyAlignment="1">
      <alignment horizontal="right" vertical="center"/>
    </xf>
    <xf numFmtId="0" fontId="112" fillId="10" borderId="0" xfId="20" applyNumberFormat="1" applyFont="1">
      <alignment horizontal="center" vertical="top"/>
      <protection hidden="1"/>
    </xf>
    <xf numFmtId="2" fontId="112" fillId="10" borderId="0" xfId="20" applyNumberFormat="1" applyFont="1" applyAlignment="1">
      <alignment horizontal="center" vertical="center"/>
      <protection hidden="1"/>
    </xf>
    <xf numFmtId="3" fontId="112" fillId="10" borderId="0" xfId="20" applyNumberFormat="1" applyFont="1" applyAlignment="1">
      <alignment horizontal="center" vertical="center"/>
      <protection hidden="1"/>
    </xf>
    <xf numFmtId="2" fontId="112" fillId="10" borderId="0" xfId="20" applyFont="1">
      <alignment horizontal="center" vertical="top"/>
      <protection hidden="1"/>
    </xf>
    <xf numFmtId="2" fontId="112" fillId="10" borderId="0" xfId="20" applyNumberFormat="1" applyFont="1">
      <alignment horizontal="center" vertical="top"/>
      <protection hidden="1"/>
    </xf>
    <xf numFmtId="3" fontId="112" fillId="10" borderId="0" xfId="20" applyNumberFormat="1" applyFont="1">
      <alignment horizontal="center" vertical="top"/>
      <protection hidden="1"/>
    </xf>
    <xf numFmtId="0" fontId="112" fillId="10" borderId="0" xfId="20" applyNumberFormat="1" applyFont="1" applyAlignment="1">
      <alignment horizontal="center" vertical="center"/>
      <protection hidden="1"/>
    </xf>
    <xf numFmtId="2" fontId="112" fillId="10" borderId="0" xfId="20" applyFont="1" applyAlignment="1">
      <alignment horizontal="center" vertical="center"/>
      <protection hidden="1"/>
    </xf>
    <xf numFmtId="0" fontId="98" fillId="10" borderId="0" xfId="79" applyNumberFormat="1" applyFont="1" applyFill="1" applyAlignment="1">
      <alignment horizontal="right" vertical="center"/>
    </xf>
    <xf numFmtId="0" fontId="113" fillId="10" borderId="0" xfId="20" applyNumberFormat="1" applyFont="1">
      <alignment horizontal="center" vertical="top"/>
      <protection hidden="1"/>
    </xf>
    <xf numFmtId="0" fontId="49" fillId="10" borderId="0" xfId="0" applyFont="1" applyAlignment="1">
      <alignment vertical="center"/>
    </xf>
    <xf numFmtId="0" fontId="94" fillId="8" borderId="9" xfId="10" applyNumberFormat="1" applyBorder="1" applyAlignment="1">
      <alignment vertical="center"/>
    </xf>
    <xf numFmtId="0" fontId="94" fillId="8" borderId="8" xfId="10" applyNumberFormat="1" applyBorder="1" applyAlignment="1">
      <alignment vertical="center"/>
    </xf>
    <xf numFmtId="180" fontId="94" fillId="8" borderId="8" xfId="10" applyNumberFormat="1" applyBorder="1" applyAlignment="1">
      <alignment horizontal="right" vertical="center"/>
    </xf>
    <xf numFmtId="0" fontId="94" fillId="8" borderId="26" xfId="10" applyNumberFormat="1" applyBorder="1" applyAlignment="1">
      <alignment vertical="center"/>
    </xf>
    <xf numFmtId="3" fontId="51" fillId="11" borderId="0" xfId="8" applyFont="1" applyFill="1" applyBorder="1" applyAlignment="1">
      <alignment horizontal="left" vertical="top"/>
    </xf>
    <xf numFmtId="0" fontId="51" fillId="11" borderId="0" xfId="0" quotePrefix="1" applyFont="1" applyFill="1" applyAlignment="1">
      <alignment horizontal="left" vertical="top"/>
    </xf>
    <xf numFmtId="0" fontId="42" fillId="11" borderId="0" xfId="0" applyFont="1" applyFill="1" applyAlignment="1">
      <alignment vertical="center"/>
    </xf>
    <xf numFmtId="181" fontId="94" fillId="8" borderId="8" xfId="10" applyNumberFormat="1" applyBorder="1" applyAlignment="1">
      <alignment horizontal="right" vertical="center"/>
    </xf>
    <xf numFmtId="9" fontId="0" fillId="10" borderId="0" xfId="0" applyNumberFormat="1">
      <alignment vertical="top"/>
    </xf>
    <xf numFmtId="3" fontId="54" fillId="10" borderId="0" xfId="14" applyFont="1" applyFill="1" applyBorder="1" applyAlignment="1">
      <alignment horizontal="right" vertical="center" wrapText="1"/>
    </xf>
    <xf numFmtId="3" fontId="54" fillId="10" borderId="0" xfId="14" applyFont="1" applyFill="1" applyBorder="1" applyAlignment="1">
      <alignment horizontal="right" vertical="top" wrapText="1"/>
    </xf>
    <xf numFmtId="0" fontId="85" fillId="10" borderId="0" xfId="70" applyBorder="1" applyAlignment="1">
      <alignment vertical="top"/>
    </xf>
    <xf numFmtId="3" fontId="54" fillId="10" borderId="10" xfId="14" applyFont="1" applyFill="1" applyBorder="1" applyAlignment="1">
      <alignment horizontal="right" vertical="top" wrapText="1"/>
    </xf>
    <xf numFmtId="3" fontId="54" fillId="10" borderId="10" xfId="14" applyFont="1" applyFill="1" applyBorder="1" applyAlignment="1">
      <alignment horizontal="right" vertical="center" wrapText="1"/>
    </xf>
    <xf numFmtId="168" fontId="54" fillId="10" borderId="0" xfId="14" applyNumberFormat="1" applyFont="1" applyFill="1" applyBorder="1" applyAlignment="1">
      <alignment horizontal="right" vertical="center" wrapText="1"/>
    </xf>
    <xf numFmtId="168" fontId="54" fillId="10" borderId="10" xfId="14" applyNumberFormat="1" applyFont="1" applyFill="1" applyBorder="1" applyAlignment="1">
      <alignment horizontal="right" vertical="center" wrapText="1"/>
    </xf>
    <xf numFmtId="2" fontId="114" fillId="48" borderId="14" xfId="21" applyNumberFormat="1" applyFont="1" applyBorder="1" applyAlignment="1">
      <alignment horizontal="right" vertical="center" wrapText="1"/>
    </xf>
    <xf numFmtId="2" fontId="91" fillId="10" borderId="0" xfId="14" applyNumberFormat="1" applyFont="1" applyFill="1" applyBorder="1" applyAlignment="1">
      <alignment horizontal="right" vertical="center" wrapText="1"/>
    </xf>
    <xf numFmtId="2" fontId="91" fillId="10" borderId="11" xfId="14" applyNumberFormat="1" applyFont="1" applyFill="1" applyBorder="1" applyAlignment="1">
      <alignment horizontal="right" vertical="center" wrapText="1"/>
    </xf>
    <xf numFmtId="0" fontId="90" fillId="11" borderId="14" xfId="14" applyNumberFormat="1" applyBorder="1" applyAlignment="1">
      <alignment horizontal="center" vertical="top" wrapText="1"/>
    </xf>
    <xf numFmtId="168" fontId="89" fillId="11" borderId="14" xfId="77" applyNumberFormat="1" applyBorder="1" applyAlignment="1">
      <alignment horizontal="right" vertical="top" wrapText="1"/>
      <protection hidden="1"/>
    </xf>
    <xf numFmtId="0" fontId="29" fillId="10" borderId="0" xfId="0" applyFont="1" applyAlignment="1">
      <alignment horizontal="left" vertical="top" wrapText="1"/>
    </xf>
    <xf numFmtId="0" fontId="0" fillId="10" borderId="0" xfId="0" applyAlignment="1">
      <alignment vertical="top" wrapText="1"/>
    </xf>
    <xf numFmtId="177" fontId="63" fillId="46" borderId="10" xfId="72" applyNumberFormat="1" applyAlignment="1">
      <alignment horizontal="left" vertical="center"/>
    </xf>
    <xf numFmtId="0" fontId="41" fillId="10" borderId="11" xfId="0" applyFont="1" applyBorder="1" applyAlignment="1"/>
    <xf numFmtId="3" fontId="46" fillId="47" borderId="15" xfId="69" applyBorder="1">
      <alignment horizontal="left" vertical="center"/>
    </xf>
    <xf numFmtId="177" fontId="63" fillId="46" borderId="10" xfId="72" applyNumberFormat="1" applyAlignment="1">
      <alignment horizontal="left" vertical="center" wrapText="1"/>
    </xf>
    <xf numFmtId="0" fontId="115" fillId="11" borderId="14" xfId="75" applyNumberFormat="1" applyFont="1" applyBorder="1" applyAlignment="1">
      <alignment vertical="center"/>
    </xf>
    <xf numFmtId="0" fontId="17" fillId="10" borderId="0" xfId="0" applyFont="1" applyAlignment="1">
      <alignment horizontal="center" vertical="center"/>
    </xf>
    <xf numFmtId="3" fontId="80" fillId="45" borderId="14" xfId="24" applyFont="1" applyBorder="1">
      <alignment horizontal="left" vertical="center"/>
    </xf>
    <xf numFmtId="0" fontId="116" fillId="11" borderId="14" xfId="75" applyNumberFormat="1" applyFont="1" applyBorder="1" applyAlignment="1">
      <alignment vertical="center"/>
    </xf>
    <xf numFmtId="172" fontId="43" fillId="10" borderId="0" xfId="0" quotePrefix="1" applyNumberFormat="1" applyFont="1" applyAlignment="1">
      <alignment vertical="center"/>
    </xf>
    <xf numFmtId="3" fontId="90" fillId="11" borderId="11" xfId="83" applyBorder="1" applyAlignment="1">
      <alignment horizontal="left" vertical="center" wrapText="1"/>
    </xf>
    <xf numFmtId="3" fontId="117" fillId="11" borderId="0" xfId="83" applyFont="1" applyBorder="1" applyAlignment="1">
      <alignment horizontal="left" vertical="center" wrapText="1"/>
    </xf>
    <xf numFmtId="3" fontId="87" fillId="11" borderId="12" xfId="76" applyNumberFormat="1" applyFill="1" applyBorder="1" applyAlignment="1">
      <alignment horizontal="left" vertical="center" wrapText="1"/>
    </xf>
    <xf numFmtId="0" fontId="90" fillId="11" borderId="11" xfId="14" applyNumberFormat="1" applyBorder="1">
      <alignment vertical="top"/>
    </xf>
    <xf numFmtId="0" fontId="90" fillId="11" borderId="12" xfId="14" applyNumberFormat="1" applyBorder="1">
      <alignment vertical="top"/>
    </xf>
    <xf numFmtId="0" fontId="120" fillId="11" borderId="0" xfId="14" applyNumberFormat="1" applyFont="1" applyBorder="1">
      <alignment vertical="top"/>
    </xf>
    <xf numFmtId="2" fontId="108" fillId="11" borderId="10" xfId="14" applyNumberFormat="1" applyFont="1" applyBorder="1" applyAlignment="1">
      <alignment horizontal="right" vertical="top" wrapText="1"/>
    </xf>
    <xf numFmtId="165" fontId="110" fillId="16" borderId="10" xfId="78" applyNumberFormat="1" applyBorder="1" applyAlignment="1">
      <alignment horizontal="right" vertical="center" wrapText="1"/>
      <protection locked="0"/>
    </xf>
    <xf numFmtId="165" fontId="108" fillId="11" borderId="10" xfId="14" applyNumberFormat="1" applyFont="1" applyBorder="1" applyAlignment="1">
      <alignment horizontal="right" vertical="top" wrapText="1"/>
    </xf>
    <xf numFmtId="165" fontId="119" fillId="11" borderId="10" xfId="14" applyNumberFormat="1" applyFont="1" applyBorder="1" applyAlignment="1">
      <alignment horizontal="right" vertical="top" wrapText="1"/>
    </xf>
    <xf numFmtId="3" fontId="101" fillId="15" borderId="0" xfId="16" applyNumberFormat="1" applyBorder="1" applyAlignment="1">
      <alignment horizontal="right" vertical="center"/>
    </xf>
    <xf numFmtId="3" fontId="47" fillId="45" borderId="0" xfId="24" applyBorder="1">
      <alignment horizontal="left" vertical="center"/>
    </xf>
    <xf numFmtId="0" fontId="122" fillId="15" borderId="8" xfId="16" applyFont="1" applyAlignment="1">
      <alignment horizontal="right" vertical="center" textRotation="90"/>
    </xf>
    <xf numFmtId="0" fontId="122" fillId="15" borderId="8" xfId="16" applyFont="1" applyAlignment="1">
      <alignment horizontal="center" vertical="center" textRotation="90"/>
    </xf>
    <xf numFmtId="176" fontId="124" fillId="12" borderId="26" xfId="11" applyNumberFormat="1" applyFont="1" applyFill="1" applyBorder="1" applyAlignment="1">
      <alignment horizontal="right" vertical="center"/>
    </xf>
    <xf numFmtId="0" fontId="123" fillId="15" borderId="8" xfId="16" applyFont="1" applyAlignment="1">
      <alignment horizontal="left" vertical="center"/>
    </xf>
    <xf numFmtId="0" fontId="123" fillId="15" borderId="8" xfId="16" applyFont="1" applyAlignment="1">
      <alignment vertical="center"/>
    </xf>
    <xf numFmtId="0" fontId="122" fillId="15" borderId="8" xfId="16" applyFont="1" applyAlignment="1">
      <alignment horizontal="right" vertical="center"/>
    </xf>
    <xf numFmtId="0" fontId="122" fillId="15" borderId="8" xfId="16" applyFont="1" applyAlignment="1">
      <alignment vertical="center"/>
    </xf>
    <xf numFmtId="0" fontId="125" fillId="10" borderId="14" xfId="30" applyNumberFormat="1" applyFont="1" applyFill="1" applyBorder="1" applyAlignment="1">
      <alignment vertical="center"/>
    </xf>
    <xf numFmtId="0" fontId="109" fillId="10" borderId="0" xfId="0" applyFont="1" applyAlignment="1">
      <alignment horizontal="right" vertical="top"/>
    </xf>
    <xf numFmtId="168" fontId="123" fillId="15" borderId="8" xfId="16" applyNumberFormat="1" applyFont="1" applyAlignment="1">
      <alignment horizontal="right" vertical="center"/>
    </xf>
    <xf numFmtId="0" fontId="90" fillId="11" borderId="15" xfId="14" applyNumberFormat="1" applyBorder="1" applyAlignment="1">
      <alignment vertical="top" wrapText="1"/>
    </xf>
    <xf numFmtId="0" fontId="126" fillId="10" borderId="0" xfId="0" applyFont="1" applyAlignment="1">
      <alignment vertical="center"/>
    </xf>
    <xf numFmtId="0" fontId="126" fillId="10" borderId="0" xfId="0" applyFont="1" applyAlignment="1">
      <alignment horizontal="left" vertical="center"/>
    </xf>
    <xf numFmtId="0" fontId="126" fillId="10" borderId="0" xfId="0" applyFont="1" applyAlignment="1">
      <alignment horizontal="right" vertical="center"/>
    </xf>
    <xf numFmtId="0" fontId="126" fillId="10" borderId="0" xfId="0" applyFont="1">
      <alignment vertical="top"/>
    </xf>
    <xf numFmtId="3" fontId="0" fillId="10" borderId="0" xfId="0" applyNumberFormat="1" applyAlignment="1">
      <alignment horizontal="left" vertical="center"/>
    </xf>
    <xf numFmtId="3" fontId="79" fillId="2" borderId="0" xfId="22" applyAlignment="1">
      <alignment horizontal="right"/>
    </xf>
    <xf numFmtId="0" fontId="54" fillId="10" borderId="0" xfId="0" applyFont="1" applyAlignment="1"/>
    <xf numFmtId="3" fontId="80" fillId="10" borderId="0" xfId="23" applyAlignment="1">
      <alignment horizontal="left"/>
    </xf>
    <xf numFmtId="3" fontId="80" fillId="10" borderId="13" xfId="23" applyBorder="1" applyAlignment="1">
      <alignment horizontal="left"/>
    </xf>
    <xf numFmtId="0" fontId="90" fillId="11" borderId="28" xfId="14" applyNumberFormat="1" applyBorder="1" applyAlignment="1">
      <alignment horizontal="right" vertical="center" indent="1"/>
    </xf>
    <xf numFmtId="166" fontId="110" fillId="49" borderId="29" xfId="73" applyBorder="1" applyAlignment="1">
      <alignment vertical="top" wrapText="1"/>
      <protection locked="0"/>
    </xf>
    <xf numFmtId="0" fontId="90" fillId="11" borderId="30" xfId="14" applyNumberFormat="1" applyBorder="1" applyAlignment="1">
      <alignment vertical="center"/>
    </xf>
    <xf numFmtId="0" fontId="90" fillId="11" borderId="32" xfId="14" applyNumberFormat="1" applyBorder="1" applyAlignment="1">
      <alignment vertical="center"/>
    </xf>
    <xf numFmtId="0" fontId="24" fillId="11" borderId="35" xfId="14" applyNumberFormat="1" applyFont="1" applyBorder="1" applyAlignment="1">
      <alignment vertical="center"/>
    </xf>
    <xf numFmtId="0" fontId="24" fillId="11" borderId="38" xfId="14" applyNumberFormat="1" applyFont="1" applyBorder="1" applyAlignment="1">
      <alignment vertical="center"/>
    </xf>
    <xf numFmtId="0" fontId="24" fillId="11" borderId="40" xfId="14" applyNumberFormat="1" applyFont="1" applyBorder="1">
      <alignment vertical="top"/>
    </xf>
    <xf numFmtId="0" fontId="24" fillId="11" borderId="27" xfId="14" applyNumberFormat="1" applyFont="1" applyBorder="1" applyAlignment="1">
      <alignment vertical="center"/>
    </xf>
    <xf numFmtId="0" fontId="24" fillId="11" borderId="30" xfId="14" applyNumberFormat="1" applyFont="1" applyBorder="1" applyAlignment="1">
      <alignment vertical="center"/>
    </xf>
    <xf numFmtId="0" fontId="24" fillId="11" borderId="32" xfId="14" applyNumberFormat="1" applyFont="1" applyBorder="1" applyAlignment="1">
      <alignment vertical="center"/>
    </xf>
    <xf numFmtId="0" fontId="128" fillId="15" borderId="8" xfId="16" applyFont="1" applyAlignment="1">
      <alignment horizontal="center" vertical="center" textRotation="90"/>
    </xf>
    <xf numFmtId="0" fontId="36" fillId="10" borderId="0" xfId="20" applyNumberFormat="1" applyFont="1" applyAlignment="1">
      <alignment horizontal="right" vertical="top"/>
      <protection hidden="1"/>
    </xf>
    <xf numFmtId="2" fontId="36" fillId="10" borderId="0" xfId="20" applyFont="1" applyAlignment="1">
      <alignment horizontal="right" vertical="top"/>
      <protection hidden="1"/>
    </xf>
    <xf numFmtId="0" fontId="36" fillId="10" borderId="0" xfId="20" applyNumberFormat="1" applyFont="1" applyAlignment="1">
      <alignment horizontal="right" vertical="center"/>
      <protection hidden="1"/>
    </xf>
    <xf numFmtId="0" fontId="79" fillId="2" borderId="0" xfId="22" applyNumberFormat="1" applyBorder="1">
      <alignment horizontal="right" vertical="center"/>
    </xf>
    <xf numFmtId="0" fontId="129" fillId="10" borderId="0" xfId="79" applyNumberFormat="1" applyFont="1" applyFill="1" applyAlignment="1">
      <alignment vertical="center"/>
    </xf>
    <xf numFmtId="0" fontId="81" fillId="10" borderId="0" xfId="0" applyFont="1" applyAlignment="1">
      <alignment vertical="top"/>
    </xf>
    <xf numFmtId="0" fontId="131" fillId="0" borderId="0" xfId="13" applyNumberFormat="1" applyFont="1" applyFill="1" applyAlignment="1">
      <alignment horizontal="left" vertical="top"/>
    </xf>
    <xf numFmtId="0" fontId="81" fillId="10" borderId="0" xfId="0" applyFont="1" applyAlignment="1">
      <alignment vertical="center"/>
    </xf>
    <xf numFmtId="0" fontId="81" fillId="10" borderId="0" xfId="0" applyFont="1">
      <alignment vertical="top"/>
    </xf>
    <xf numFmtId="165" fontId="0" fillId="10" borderId="0" xfId="0" applyNumberFormat="1">
      <alignment vertical="top"/>
    </xf>
    <xf numFmtId="0" fontId="90" fillId="11" borderId="10" xfId="14" applyNumberFormat="1" applyBorder="1" applyAlignment="1">
      <alignment horizontal="right" vertical="top"/>
    </xf>
    <xf numFmtId="3" fontId="84" fillId="10" borderId="0" xfId="27" applyNumberFormat="1" applyBorder="1" applyAlignment="1">
      <alignment horizontal="center" vertical="center"/>
    </xf>
    <xf numFmtId="0" fontId="90" fillId="11" borderId="10" xfId="14" applyNumberFormat="1" applyBorder="1" applyAlignment="1">
      <alignment horizontal="center" vertical="top"/>
    </xf>
    <xf numFmtId="2" fontId="90" fillId="11" borderId="10" xfId="14" applyNumberFormat="1" applyBorder="1" applyAlignment="1">
      <alignment horizontal="center" vertical="top"/>
    </xf>
    <xf numFmtId="166" fontId="110" fillId="53" borderId="14" xfId="6" applyBorder="1" applyAlignment="1">
      <alignment horizontal="right" vertical="top" wrapText="1"/>
      <protection locked="0"/>
    </xf>
    <xf numFmtId="9" fontId="110" fillId="53" borderId="14" xfId="6" applyNumberFormat="1" applyBorder="1" applyAlignment="1">
      <alignment horizontal="right" vertical="center" wrapText="1"/>
      <protection locked="0"/>
    </xf>
    <xf numFmtId="168" fontId="110" fillId="53" borderId="14" xfId="6" applyNumberFormat="1" applyBorder="1" applyAlignment="1">
      <alignment horizontal="right" vertical="center" wrapText="1"/>
      <protection locked="0"/>
    </xf>
    <xf numFmtId="3" fontId="54" fillId="0" borderId="0" xfId="0" applyNumberFormat="1" applyFont="1" applyFill="1" applyAlignment="1">
      <alignment horizontal="right" vertical="center" wrapText="1"/>
    </xf>
    <xf numFmtId="165" fontId="110" fillId="49" borderId="10" xfId="73" applyNumberFormat="1" applyBorder="1" applyAlignment="1">
      <alignment horizontal="right" vertical="top" wrapText="1"/>
      <protection locked="0"/>
    </xf>
    <xf numFmtId="2" fontId="110" fillId="49" borderId="10" xfId="73" applyNumberFormat="1" applyBorder="1" applyAlignment="1">
      <alignment horizontal="right" vertical="top" wrapText="1"/>
      <protection locked="0"/>
    </xf>
    <xf numFmtId="168" fontId="89" fillId="11" borderId="10" xfId="77" applyNumberFormat="1" applyBorder="1" applyAlignment="1">
      <alignment horizontal="right" vertical="top"/>
      <protection hidden="1"/>
    </xf>
    <xf numFmtId="3" fontId="89" fillId="11" borderId="10" xfId="77" applyNumberFormat="1" applyBorder="1" applyAlignment="1">
      <alignment horizontal="right" vertical="top" wrapText="1"/>
      <protection hidden="1"/>
    </xf>
    <xf numFmtId="0" fontId="30" fillId="10" borderId="0" xfId="0" applyFont="1" applyAlignment="1">
      <alignment vertical="top"/>
    </xf>
    <xf numFmtId="9" fontId="110" fillId="16" borderId="14" xfId="14" applyNumberFormat="1" applyFont="1" applyFill="1" applyBorder="1" applyAlignment="1" applyProtection="1">
      <alignment horizontal="right" vertical="top" wrapText="1"/>
      <protection locked="0"/>
    </xf>
    <xf numFmtId="166" fontId="110" fillId="16" borderId="14" xfId="14" applyNumberFormat="1" applyFont="1" applyFill="1" applyBorder="1" applyAlignment="1" applyProtection="1">
      <alignment horizontal="right" vertical="top" wrapText="1"/>
      <protection locked="0"/>
    </xf>
    <xf numFmtId="2" fontId="17" fillId="11" borderId="14" xfId="14" applyNumberFormat="1" applyFont="1" applyBorder="1" applyAlignment="1" applyProtection="1">
      <alignment horizontal="right" vertical="top"/>
      <protection locked="0"/>
    </xf>
    <xf numFmtId="164" fontId="108" fillId="48" borderId="10" xfId="21" applyNumberFormat="1" applyBorder="1" applyAlignment="1">
      <alignment horizontal="right" vertical="center"/>
    </xf>
    <xf numFmtId="3" fontId="135" fillId="44" borderId="10" xfId="0" applyNumberFormat="1" applyFont="1" applyFill="1" applyBorder="1" applyAlignment="1">
      <alignment horizontal="right" vertical="center"/>
    </xf>
    <xf numFmtId="0" fontId="135" fillId="10" borderId="10" xfId="0" applyFont="1" applyBorder="1">
      <alignment vertical="top"/>
    </xf>
    <xf numFmtId="3" fontId="135" fillId="48" borderId="10" xfId="0" applyNumberFormat="1" applyFont="1" applyFill="1" applyBorder="1" applyAlignment="1">
      <alignment horizontal="right" vertical="center"/>
    </xf>
    <xf numFmtId="3" fontId="135" fillId="48" borderId="10" xfId="0" applyNumberFormat="1" applyFont="1" applyFill="1" applyBorder="1" applyAlignment="1">
      <alignment horizontal="right"/>
    </xf>
    <xf numFmtId="0" fontId="135" fillId="44" borderId="10" xfId="0" applyFont="1" applyFill="1" applyBorder="1" applyAlignment="1">
      <alignment horizontal="right" vertical="center"/>
    </xf>
    <xf numFmtId="0" fontId="135" fillId="48" borderId="10" xfId="0" applyFont="1" applyFill="1" applyBorder="1" applyAlignment="1">
      <alignment vertical="center"/>
    </xf>
    <xf numFmtId="0" fontId="135" fillId="48" borderId="10" xfId="0" applyFont="1" applyFill="1" applyBorder="1" applyAlignment="1">
      <alignment horizontal="right" vertical="center"/>
    </xf>
    <xf numFmtId="0" fontId="137" fillId="10" borderId="0" xfId="79" applyNumberFormat="1" applyFont="1" applyFill="1" applyAlignment="1">
      <alignment vertical="center"/>
    </xf>
    <xf numFmtId="0" fontId="137" fillId="10" borderId="0" xfId="79" applyNumberFormat="1" applyFont="1" applyFill="1" applyBorder="1" applyAlignment="1">
      <alignment vertical="center"/>
    </xf>
    <xf numFmtId="0" fontId="137" fillId="10" borderId="0" xfId="79" applyNumberFormat="1" applyFont="1" applyFill="1" applyBorder="1" applyAlignment="1">
      <alignment horizontal="center" vertical="center"/>
    </xf>
    <xf numFmtId="0" fontId="137" fillId="10" borderId="0" xfId="79" applyNumberFormat="1" applyFont="1" applyFill="1" applyAlignment="1">
      <alignment vertical="top"/>
    </xf>
    <xf numFmtId="0" fontId="89" fillId="10" borderId="0" xfId="20" applyNumberFormat="1" applyAlignment="1">
      <alignment horizontal="center"/>
      <protection hidden="1"/>
    </xf>
    <xf numFmtId="3" fontId="111" fillId="10" borderId="0" xfId="0" applyNumberFormat="1" applyFont="1" applyAlignment="1">
      <alignment horizontal="left"/>
    </xf>
    <xf numFmtId="0" fontId="0" fillId="10" borderId="0" xfId="0" applyAlignment="1"/>
    <xf numFmtId="0" fontId="85" fillId="10" borderId="0" xfId="70" applyBorder="1" applyAlignment="1"/>
    <xf numFmtId="3" fontId="67" fillId="10" borderId="0" xfId="0" applyNumberFormat="1" applyFont="1" applyAlignment="1"/>
    <xf numFmtId="3" fontId="78" fillId="10" borderId="0" xfId="0" applyNumberFormat="1" applyFont="1" applyAlignment="1">
      <alignment horizontal="right"/>
    </xf>
    <xf numFmtId="9" fontId="108" fillId="44" borderId="11" xfId="25" applyNumberFormat="1" applyBorder="1" applyAlignment="1">
      <alignment horizontal="right" vertical="center"/>
    </xf>
    <xf numFmtId="9" fontId="108" fillId="44" borderId="0" xfId="25" applyNumberFormat="1" applyBorder="1" applyAlignment="1">
      <alignment horizontal="right" vertical="center"/>
    </xf>
    <xf numFmtId="4" fontId="108" fillId="44" borderId="0" xfId="25" applyNumberFormat="1" applyBorder="1" applyAlignment="1">
      <alignment horizontal="right" vertical="center"/>
    </xf>
    <xf numFmtId="3" fontId="136" fillId="10" borderId="0" xfId="0" applyNumberFormat="1" applyFont="1" applyAlignment="1">
      <alignment horizontal="left" indent="1"/>
    </xf>
    <xf numFmtId="3" fontId="135" fillId="48" borderId="10" xfId="0" applyNumberFormat="1" applyFont="1" applyFill="1" applyBorder="1" applyAlignment="1">
      <alignment horizontal="left" vertical="center" indent="1"/>
    </xf>
    <xf numFmtId="168" fontId="135" fillId="48" borderId="10" xfId="0" applyNumberFormat="1" applyFont="1" applyFill="1" applyBorder="1" applyAlignment="1">
      <alignment horizontal="left" vertical="center" indent="1"/>
    </xf>
    <xf numFmtId="3" fontId="47" fillId="45" borderId="45" xfId="24" applyBorder="1">
      <alignment horizontal="left" vertical="center"/>
    </xf>
    <xf numFmtId="3" fontId="47" fillId="45" borderId="46" xfId="24" applyBorder="1">
      <alignment horizontal="left" vertical="center"/>
    </xf>
    <xf numFmtId="3" fontId="47" fillId="45" borderId="47" xfId="24" applyBorder="1">
      <alignment horizontal="left" vertical="center"/>
    </xf>
    <xf numFmtId="3" fontId="108" fillId="19" borderId="48" xfId="68" applyBorder="1" applyAlignment="1">
      <alignment horizontal="right" vertical="top"/>
    </xf>
    <xf numFmtId="3" fontId="108" fillId="19" borderId="49" xfId="68" applyBorder="1" applyAlignment="1">
      <alignment horizontal="right" vertical="top"/>
    </xf>
    <xf numFmtId="0" fontId="102" fillId="10" borderId="50" xfId="11" applyNumberFormat="1" applyFill="1" applyBorder="1" applyAlignment="1">
      <alignment horizontal="right" vertical="center" wrapText="1"/>
    </xf>
    <xf numFmtId="0" fontId="102" fillId="10" borderId="51" xfId="11" applyNumberFormat="1" applyFill="1" applyBorder="1" applyAlignment="1">
      <alignment horizontal="right" vertical="center" wrapText="1"/>
    </xf>
    <xf numFmtId="0" fontId="110" fillId="49" borderId="48" xfId="73" applyNumberFormat="1" applyBorder="1">
      <alignment horizontal="right" vertical="top" wrapText="1"/>
      <protection locked="0"/>
    </xf>
    <xf numFmtId="0" fontId="110" fillId="49" borderId="49" xfId="73" applyNumberFormat="1" applyBorder="1">
      <alignment horizontal="right" vertical="top" wrapText="1"/>
      <protection locked="0"/>
    </xf>
    <xf numFmtId="168" fontId="94" fillId="11" borderId="48" xfId="75" applyNumberFormat="1" applyBorder="1" applyAlignment="1">
      <alignment horizontal="right" vertical="center" wrapText="1"/>
    </xf>
    <xf numFmtId="168" fontId="94" fillId="11" borderId="49" xfId="75" applyNumberFormat="1" applyBorder="1" applyAlignment="1">
      <alignment horizontal="right" vertical="center" wrapText="1"/>
    </xf>
    <xf numFmtId="2" fontId="108" fillId="11" borderId="48" xfId="14" applyNumberFormat="1" applyFont="1" applyBorder="1" applyAlignment="1">
      <alignment horizontal="right" vertical="top" wrapText="1"/>
    </xf>
    <xf numFmtId="2" fontId="108" fillId="11" borderId="49" xfId="14" applyNumberFormat="1" applyFont="1" applyBorder="1" applyAlignment="1">
      <alignment horizontal="right" vertical="top" wrapText="1"/>
    </xf>
    <xf numFmtId="165" fontId="108" fillId="11" borderId="49" xfId="14" applyNumberFormat="1" applyFont="1" applyBorder="1" applyAlignment="1">
      <alignment horizontal="right" vertical="top" wrapText="1"/>
    </xf>
    <xf numFmtId="168" fontId="94" fillId="11" borderId="52" xfId="75" applyNumberFormat="1" applyBorder="1" applyAlignment="1">
      <alignment horizontal="right" vertical="center" wrapText="1"/>
    </xf>
    <xf numFmtId="168" fontId="94" fillId="11" borderId="53" xfId="75" applyNumberFormat="1" applyBorder="1" applyAlignment="1">
      <alignment horizontal="right" vertical="center" wrapText="1"/>
    </xf>
    <xf numFmtId="168" fontId="94" fillId="11" borderId="54" xfId="75" applyNumberFormat="1" applyBorder="1" applyAlignment="1">
      <alignment horizontal="right" vertical="center" wrapText="1"/>
    </xf>
    <xf numFmtId="164" fontId="110" fillId="49" borderId="10" xfId="73" applyNumberFormat="1" applyBorder="1" applyAlignment="1">
      <alignment horizontal="right" vertical="top" wrapText="1"/>
      <protection locked="0"/>
    </xf>
    <xf numFmtId="0" fontId="110" fillId="49" borderId="10" xfId="73" applyNumberFormat="1" applyBorder="1" applyAlignment="1">
      <alignment horizontal="right" vertical="top" wrapText="1"/>
      <protection locked="0"/>
    </xf>
    <xf numFmtId="4" fontId="110" fillId="49" borderId="10" xfId="73" applyNumberFormat="1" applyBorder="1" applyAlignment="1">
      <alignment horizontal="right" vertical="top" wrapText="1"/>
      <protection locked="0"/>
    </xf>
    <xf numFmtId="4" fontId="110" fillId="49" borderId="10" xfId="73" applyNumberFormat="1" applyBorder="1">
      <alignment horizontal="right" vertical="top" wrapText="1"/>
      <protection locked="0"/>
    </xf>
    <xf numFmtId="1" fontId="110" fillId="49" borderId="10" xfId="73" applyNumberFormat="1" applyBorder="1" applyAlignment="1">
      <alignment horizontal="right" vertical="top" wrapText="1"/>
      <protection locked="0"/>
    </xf>
    <xf numFmtId="1" fontId="110" fillId="49" borderId="10" xfId="73" applyNumberFormat="1" applyBorder="1">
      <alignment horizontal="right" vertical="top" wrapText="1"/>
      <protection locked="0"/>
    </xf>
    <xf numFmtId="1" fontId="90" fillId="11" borderId="10" xfId="14" applyNumberFormat="1" applyBorder="1" applyAlignment="1">
      <alignment horizontal="right" vertical="top"/>
    </xf>
    <xf numFmtId="1" fontId="108" fillId="11" borderId="48" xfId="14" applyNumberFormat="1" applyFont="1" applyBorder="1" applyAlignment="1">
      <alignment horizontal="right" vertical="top" wrapText="1"/>
    </xf>
    <xf numFmtId="1" fontId="108" fillId="11" borderId="55" xfId="14" applyNumberFormat="1" applyFont="1" applyBorder="1" applyAlignment="1">
      <alignment horizontal="right" vertical="top" wrapText="1"/>
    </xf>
    <xf numFmtId="1" fontId="108" fillId="11" borderId="16" xfId="14" applyNumberFormat="1" applyFont="1" applyBorder="1" applyAlignment="1">
      <alignment horizontal="right" vertical="top" wrapText="1"/>
    </xf>
    <xf numFmtId="1" fontId="108" fillId="11" borderId="56" xfId="14" applyNumberFormat="1" applyFont="1" applyBorder="1" applyAlignment="1">
      <alignment horizontal="right" vertical="top" wrapText="1"/>
    </xf>
    <xf numFmtId="1" fontId="108" fillId="11" borderId="10" xfId="14" applyNumberFormat="1" applyFont="1" applyBorder="1" applyAlignment="1">
      <alignment horizontal="right" vertical="top" wrapText="1"/>
    </xf>
    <xf numFmtId="1" fontId="108" fillId="11" borderId="49" xfId="14" applyNumberFormat="1" applyFont="1" applyBorder="1" applyAlignment="1">
      <alignment horizontal="right" vertical="top" wrapText="1"/>
    </xf>
    <xf numFmtId="9" fontId="108" fillId="48" borderId="14" xfId="21" applyNumberFormat="1" applyBorder="1" applyAlignment="1">
      <alignment horizontal="right" vertical="top" wrapText="1"/>
    </xf>
    <xf numFmtId="3" fontId="90" fillId="11" borderId="11" xfId="83" quotePrefix="1" applyBorder="1" applyAlignment="1">
      <alignment horizontal="left" vertical="center" wrapText="1"/>
    </xf>
    <xf numFmtId="0" fontId="110" fillId="16" borderId="10" xfId="78" applyNumberFormat="1" applyBorder="1" applyAlignment="1">
      <alignment horizontal="center" vertical="center" wrapText="1"/>
      <protection locked="0"/>
    </xf>
    <xf numFmtId="182" fontId="108" fillId="48" borderId="10" xfId="21" applyNumberFormat="1" applyBorder="1" applyAlignment="1">
      <alignment horizontal="left" vertical="center" indent="1"/>
    </xf>
    <xf numFmtId="183" fontId="108" fillId="48" borderId="31" xfId="21" applyNumberFormat="1" applyBorder="1" applyAlignment="1">
      <alignment horizontal="left" vertical="center" indent="1"/>
    </xf>
    <xf numFmtId="1" fontId="91" fillId="11" borderId="10" xfId="14" applyNumberFormat="1" applyFont="1" applyBorder="1" applyAlignment="1">
      <alignment horizontal="right" vertical="top" wrapText="1"/>
    </xf>
    <xf numFmtId="3" fontId="110" fillId="16" borderId="14" xfId="78" applyNumberFormat="1" applyBorder="1" applyAlignment="1">
      <alignment horizontal="right" vertical="top" wrapText="1"/>
      <protection locked="0"/>
    </xf>
    <xf numFmtId="3" fontId="110" fillId="16" borderId="51" xfId="78" applyNumberFormat="1" applyBorder="1" applyAlignment="1">
      <alignment horizontal="right" vertical="top" wrapText="1"/>
      <protection locked="0"/>
    </xf>
    <xf numFmtId="3" fontId="90" fillId="11" borderId="16" xfId="14" applyNumberFormat="1" applyBorder="1" applyAlignment="1">
      <alignment horizontal="right" vertical="top" wrapText="1"/>
    </xf>
    <xf numFmtId="3" fontId="110" fillId="16" borderId="16" xfId="78" applyNumberFormat="1" applyBorder="1" applyAlignment="1">
      <alignment horizontal="right" vertical="top" wrapText="1"/>
      <protection locked="0"/>
    </xf>
    <xf numFmtId="3" fontId="110" fillId="16" borderId="56" xfId="78" applyNumberFormat="1" applyBorder="1" applyAlignment="1">
      <alignment horizontal="right" vertical="top" wrapText="1"/>
      <protection locked="0"/>
    </xf>
    <xf numFmtId="0" fontId="140" fillId="10" borderId="0" xfId="0" applyFont="1" applyAlignment="1">
      <alignment horizontal="right" vertical="center"/>
    </xf>
    <xf numFmtId="0" fontId="140" fillId="10" borderId="0" xfId="0" applyFont="1" applyAlignment="1">
      <alignment vertical="center"/>
    </xf>
    <xf numFmtId="0" fontId="141" fillId="10" borderId="0" xfId="8" applyNumberFormat="1" applyFont="1" applyFill="1" applyBorder="1" applyAlignment="1">
      <alignment vertical="center"/>
    </xf>
    <xf numFmtId="0" fontId="126" fillId="10" borderId="0" xfId="0" applyFont="1" applyAlignment="1">
      <alignment vertical="top"/>
    </xf>
    <xf numFmtId="0" fontId="142" fillId="12" borderId="0" xfId="16" applyFont="1" applyFill="1" applyBorder="1" applyAlignment="1">
      <alignment horizontal="right" vertical="center" textRotation="90"/>
    </xf>
    <xf numFmtId="0" fontId="143" fillId="12" borderId="0" xfId="80" applyNumberFormat="1" applyFont="1" applyFill="1" applyBorder="1" applyAlignment="1">
      <alignment textRotation="90"/>
    </xf>
    <xf numFmtId="0" fontId="144" fillId="12" borderId="0" xfId="79" applyNumberFormat="1" applyFont="1" applyFill="1" applyBorder="1" applyAlignment="1">
      <alignment textRotation="90"/>
    </xf>
    <xf numFmtId="0" fontId="143" fillId="12" borderId="0" xfId="80" applyNumberFormat="1" applyFont="1" applyFill="1" applyBorder="1" applyAlignment="1">
      <alignment vertical="center" textRotation="90"/>
    </xf>
    <xf numFmtId="0" fontId="144" fillId="12" borderId="0" xfId="80" applyNumberFormat="1" applyFont="1" applyFill="1" applyBorder="1" applyAlignment="1">
      <alignment textRotation="90"/>
    </xf>
    <xf numFmtId="0" fontId="143" fillId="12" borderId="0" xfId="80" applyNumberFormat="1" applyFont="1" applyFill="1" applyBorder="1" applyAlignment="1">
      <alignment vertical="top" textRotation="90"/>
    </xf>
    <xf numFmtId="0" fontId="143" fillId="12" borderId="0" xfId="80" applyNumberFormat="1" applyFont="1" applyFill="1" applyBorder="1" applyAlignment="1">
      <alignment horizontal="center" textRotation="90"/>
    </xf>
    <xf numFmtId="0" fontId="143" fillId="0" borderId="0" xfId="80" applyNumberFormat="1" applyFont="1" applyFill="1" applyBorder="1" applyAlignment="1">
      <alignment textRotation="90"/>
    </xf>
    <xf numFmtId="0" fontId="143" fillId="10" borderId="0" xfId="80" applyNumberFormat="1" applyFont="1" applyFill="1" applyBorder="1" applyAlignment="1">
      <alignment vertical="top"/>
    </xf>
    <xf numFmtId="0" fontId="143" fillId="12" borderId="0" xfId="79" applyNumberFormat="1" applyFont="1" applyFill="1" applyBorder="1" applyAlignment="1">
      <alignment textRotation="90"/>
    </xf>
    <xf numFmtId="0" fontId="97" fillId="10" borderId="0" xfId="79" applyNumberFormat="1" applyFont="1" applyFill="1" applyAlignment="1">
      <alignment horizontal="right" vertical="center"/>
    </xf>
    <xf numFmtId="0" fontId="145" fillId="10" borderId="0" xfId="20" applyNumberFormat="1" applyFont="1">
      <alignment horizontal="center" vertical="top"/>
      <protection hidden="1"/>
    </xf>
    <xf numFmtId="0" fontId="97" fillId="10" borderId="0" xfId="79" applyNumberFormat="1" applyFont="1" applyFill="1" applyBorder="1" applyAlignment="1">
      <alignment vertical="center"/>
    </xf>
    <xf numFmtId="0" fontId="97" fillId="10" borderId="0" xfId="79" applyNumberFormat="1" applyFont="1" applyFill="1" applyBorder="1" applyAlignment="1">
      <alignment horizontal="center" vertical="center"/>
    </xf>
    <xf numFmtId="0" fontId="97" fillId="10" borderId="0" xfId="79" applyNumberFormat="1" applyFont="1" applyFill="1" applyAlignment="1">
      <alignment vertical="top"/>
    </xf>
    <xf numFmtId="0" fontId="97" fillId="10" borderId="0" xfId="79" applyNumberFormat="1" applyFont="1" applyFill="1" applyAlignment="1">
      <alignment vertical="center"/>
    </xf>
    <xf numFmtId="0" fontId="98" fillId="10" borderId="0" xfId="79" applyNumberFormat="1" applyFont="1" applyFill="1" applyAlignment="1">
      <alignment horizontal="center" vertical="center"/>
    </xf>
    <xf numFmtId="0" fontId="36" fillId="10" borderId="0" xfId="20" applyNumberFormat="1" applyFont="1">
      <alignment horizontal="center" vertical="top"/>
      <protection hidden="1"/>
    </xf>
    <xf numFmtId="2" fontId="36" fillId="10" borderId="0" xfId="20" applyFont="1">
      <alignment horizontal="center" vertical="top"/>
      <protection hidden="1"/>
    </xf>
    <xf numFmtId="2" fontId="130" fillId="52" borderId="0" xfId="0" applyNumberFormat="1" applyFont="1" applyFill="1" applyAlignment="1" applyProtection="1">
      <alignment horizontal="center" vertical="top"/>
      <protection hidden="1"/>
    </xf>
    <xf numFmtId="0" fontId="36" fillId="10" borderId="0" xfId="20" applyNumberFormat="1" applyFont="1" applyAlignment="1">
      <alignment horizontal="center" vertical="center"/>
      <protection hidden="1"/>
    </xf>
    <xf numFmtId="0" fontId="36" fillId="10" borderId="0" xfId="20" applyNumberFormat="1" applyFont="1" applyAlignment="1">
      <alignment horizontal="center" vertical="top" wrapText="1"/>
      <protection hidden="1"/>
    </xf>
    <xf numFmtId="2" fontId="36" fillId="10" borderId="0" xfId="20" applyFont="1" applyAlignment="1">
      <alignment horizontal="center" vertical="center"/>
      <protection hidden="1"/>
    </xf>
    <xf numFmtId="0" fontId="146" fillId="10" borderId="0" xfId="8" applyNumberFormat="1" applyFont="1" applyFill="1" applyBorder="1" applyAlignment="1">
      <alignment horizontal="center" vertical="center"/>
    </xf>
    <xf numFmtId="0" fontId="140" fillId="10" borderId="0" xfId="8" applyNumberFormat="1" applyFont="1" applyFill="1" applyBorder="1" applyAlignment="1">
      <alignment horizontal="center" vertical="center"/>
    </xf>
    <xf numFmtId="0" fontId="22" fillId="10" borderId="10" xfId="0" applyFont="1" applyBorder="1" applyAlignment="1">
      <alignment vertical="center"/>
    </xf>
    <xf numFmtId="0" fontId="0" fillId="10" borderId="10" xfId="0" applyBorder="1">
      <alignment vertical="top"/>
    </xf>
    <xf numFmtId="0" fontId="19" fillId="12" borderId="10" xfId="0" applyFont="1" applyFill="1" applyBorder="1" applyAlignment="1">
      <alignment horizontal="right" vertical="center"/>
    </xf>
    <xf numFmtId="0" fontId="0" fillId="10" borderId="10" xfId="0" applyBorder="1" applyAlignment="1">
      <alignment vertical="center"/>
    </xf>
    <xf numFmtId="0" fontId="123" fillId="11" borderId="10" xfId="0" applyFont="1" applyFill="1" applyBorder="1" applyAlignment="1">
      <alignment horizontal="right" vertical="center"/>
    </xf>
    <xf numFmtId="0" fontId="149" fillId="10" borderId="10" xfId="0" applyFont="1" applyBorder="1" applyAlignment="1">
      <alignment vertical="center"/>
    </xf>
    <xf numFmtId="2" fontId="19" fillId="10" borderId="10" xfId="0" applyNumberFormat="1" applyFont="1" applyBorder="1" applyAlignment="1">
      <alignment horizontal="right" vertical="center"/>
    </xf>
    <xf numFmtId="0" fontId="19" fillId="10" borderId="10" xfId="0" applyFont="1" applyBorder="1" applyAlignment="1">
      <alignment horizontal="right" vertical="center"/>
    </xf>
    <xf numFmtId="165" fontId="19" fillId="10" borderId="10" xfId="0" applyNumberFormat="1" applyFont="1" applyBorder="1" applyAlignment="1">
      <alignment horizontal="right" vertical="center"/>
    </xf>
    <xf numFmtId="165" fontId="0" fillId="10" borderId="10" xfId="0" applyNumberFormat="1" applyBorder="1" applyAlignment="1">
      <alignment horizontal="right" vertical="center"/>
    </xf>
    <xf numFmtId="0" fontId="19" fillId="10" borderId="10" xfId="0" applyFont="1" applyBorder="1">
      <alignment vertical="top"/>
    </xf>
    <xf numFmtId="2" fontId="19" fillId="54" borderId="10" xfId="0" applyNumberFormat="1" applyFont="1" applyFill="1" applyBorder="1" applyAlignment="1">
      <alignment horizontal="right" vertical="center"/>
    </xf>
    <xf numFmtId="0" fontId="19" fillId="54" borderId="10" xfId="0" applyFont="1" applyFill="1" applyBorder="1" applyAlignment="1">
      <alignment horizontal="right" vertical="center"/>
    </xf>
    <xf numFmtId="0" fontId="150" fillId="10" borderId="0" xfId="0" applyFont="1">
      <alignment vertical="top"/>
    </xf>
    <xf numFmtId="168" fontId="137" fillId="10" borderId="0" xfId="79" applyNumberFormat="1" applyFont="1" applyFill="1" applyBorder="1" applyAlignment="1">
      <alignment vertical="center"/>
    </xf>
    <xf numFmtId="166" fontId="110" fillId="16" borderId="16" xfId="78" applyBorder="1">
      <alignment horizontal="right" vertical="top" wrapText="1"/>
      <protection locked="0"/>
    </xf>
    <xf numFmtId="166" fontId="110" fillId="16" borderId="16" xfId="78" applyBorder="1" applyAlignment="1">
      <alignment horizontal="right" vertical="center" wrapText="1"/>
      <protection locked="0"/>
    </xf>
    <xf numFmtId="3" fontId="151" fillId="11" borderId="14" xfId="14" applyFont="1" applyBorder="1" applyAlignment="1">
      <alignment horizontal="right" vertical="top" wrapText="1"/>
    </xf>
    <xf numFmtId="0" fontId="90" fillId="11" borderId="58" xfId="14" applyNumberFormat="1" applyBorder="1" applyAlignment="1">
      <alignment vertical="center"/>
    </xf>
    <xf numFmtId="168" fontId="90" fillId="55" borderId="14" xfId="14" applyNumberFormat="1" applyFill="1" applyBorder="1" applyAlignment="1">
      <alignment horizontal="right" vertical="top" wrapText="1"/>
    </xf>
    <xf numFmtId="1" fontId="90" fillId="55" borderId="14" xfId="14" applyNumberFormat="1" applyFill="1" applyBorder="1" applyAlignment="1">
      <alignment horizontal="right" vertical="top"/>
    </xf>
    <xf numFmtId="4" fontId="90" fillId="55" borderId="14" xfId="14" applyNumberFormat="1" applyFill="1" applyBorder="1" applyAlignment="1">
      <alignment horizontal="right" vertical="top" wrapText="1"/>
    </xf>
    <xf numFmtId="4" fontId="90" fillId="55" borderId="14" xfId="14" applyNumberFormat="1" applyFill="1" applyBorder="1">
      <alignment vertical="top"/>
    </xf>
    <xf numFmtId="4" fontId="108" fillId="55" borderId="14" xfId="21" applyNumberFormat="1" applyFill="1" applyBorder="1">
      <alignment vertical="top"/>
    </xf>
    <xf numFmtId="166" fontId="110" fillId="13" borderId="10" xfId="29" applyAlignment="1">
      <alignment horizontal="right" vertical="top" wrapText="1"/>
      <protection locked="0"/>
    </xf>
    <xf numFmtId="1" fontId="110" fillId="53" borderId="25" xfId="6" applyNumberFormat="1" applyAlignment="1">
      <alignment horizontal="right" vertical="center" wrapText="1"/>
      <protection locked="0"/>
    </xf>
    <xf numFmtId="1" fontId="110" fillId="53" borderId="25" xfId="6" applyNumberFormat="1" applyAlignment="1">
      <alignment horizontal="right" vertical="top"/>
      <protection locked="0"/>
    </xf>
    <xf numFmtId="166" fontId="127" fillId="51" borderId="14" xfId="6" applyFont="1" applyFill="1" applyBorder="1" applyAlignment="1">
      <alignment horizontal="right" vertical="center" wrapText="1"/>
      <protection locked="0"/>
    </xf>
    <xf numFmtId="2" fontId="108" fillId="48" borderId="57" xfId="21" applyNumberFormat="1" applyBorder="1" applyAlignment="1">
      <alignment horizontal="right" vertical="center" wrapText="1"/>
    </xf>
    <xf numFmtId="4" fontId="108" fillId="44" borderId="17" xfId="25" applyNumberFormat="1" applyBorder="1" applyAlignment="1">
      <alignment horizontal="right" vertical="center"/>
    </xf>
    <xf numFmtId="4" fontId="30" fillId="10" borderId="0" xfId="8" applyNumberFormat="1" applyFont="1" applyFill="1" applyBorder="1" applyAlignment="1">
      <alignment horizontal="center" vertical="center"/>
    </xf>
    <xf numFmtId="0" fontId="90" fillId="11" borderId="14" xfId="14" applyNumberFormat="1" applyBorder="1" applyAlignment="1">
      <alignment horizontal="right" vertical="top"/>
    </xf>
    <xf numFmtId="0" fontId="94" fillId="11" borderId="14" xfId="75" applyNumberFormat="1" applyBorder="1" applyAlignment="1">
      <alignment horizontal="left" vertical="center" indent="2"/>
    </xf>
    <xf numFmtId="3" fontId="84" fillId="10" borderId="14" xfId="27" applyNumberFormat="1" applyBorder="1" applyAlignment="1">
      <alignment vertical="center"/>
    </xf>
    <xf numFmtId="3" fontId="90" fillId="11" borderId="14" xfId="14" applyNumberFormat="1" applyBorder="1">
      <alignment vertical="top"/>
    </xf>
    <xf numFmtId="1" fontId="90" fillId="11" borderId="14" xfId="14" applyNumberFormat="1" applyBorder="1" applyAlignment="1">
      <alignment horizontal="right" vertical="top" wrapText="1"/>
    </xf>
    <xf numFmtId="168" fontId="123" fillId="48" borderId="23" xfId="21" applyNumberFormat="1" applyFont="1" applyBorder="1" applyAlignment="1">
      <alignment horizontal="right" vertical="center"/>
    </xf>
    <xf numFmtId="0" fontId="90" fillId="11" borderId="24" xfId="14" applyNumberFormat="1" applyBorder="1" applyAlignment="1">
      <alignment vertical="top"/>
    </xf>
    <xf numFmtId="0" fontId="90" fillId="11" borderId="24" xfId="14" applyNumberFormat="1" applyBorder="1" applyAlignment="1">
      <alignment horizontal="right" vertical="top"/>
    </xf>
    <xf numFmtId="0" fontId="94" fillId="11" borderId="15" xfId="75" applyNumberFormat="1" applyBorder="1" applyAlignment="1">
      <alignment vertical="center"/>
    </xf>
    <xf numFmtId="0" fontId="94" fillId="11" borderId="15" xfId="75" applyNumberFormat="1" applyBorder="1" applyAlignment="1">
      <alignment horizontal="right" vertical="center"/>
    </xf>
    <xf numFmtId="0" fontId="90" fillId="11" borderId="59" xfId="14" applyNumberFormat="1" applyBorder="1" applyAlignment="1">
      <alignment vertical="top"/>
    </xf>
    <xf numFmtId="0" fontId="90" fillId="11" borderId="60" xfId="14" applyNumberFormat="1" applyBorder="1" applyAlignment="1">
      <alignment horizontal="right" vertical="top"/>
    </xf>
    <xf numFmtId="0" fontId="90" fillId="11" borderId="61" xfId="14" applyNumberFormat="1" applyBorder="1" applyAlignment="1">
      <alignment horizontal="right" vertical="top"/>
    </xf>
    <xf numFmtId="0" fontId="90" fillId="11" borderId="62" xfId="14" applyNumberFormat="1" applyBorder="1" applyAlignment="1">
      <alignment vertical="top"/>
    </xf>
    <xf numFmtId="0" fontId="90" fillId="11" borderId="62" xfId="14" applyNumberFormat="1" applyBorder="1" applyAlignment="1">
      <alignment horizontal="right" vertical="top"/>
    </xf>
    <xf numFmtId="0" fontId="90" fillId="11" borderId="63" xfId="14" applyNumberFormat="1" applyBorder="1" applyAlignment="1">
      <alignment horizontal="right" vertical="top"/>
    </xf>
    <xf numFmtId="0" fontId="90" fillId="11" borderId="64" xfId="14" applyNumberFormat="1" applyBorder="1" applyAlignment="1">
      <alignment vertical="top"/>
    </xf>
    <xf numFmtId="0" fontId="90" fillId="11" borderId="65" xfId="14" applyNumberFormat="1" applyBorder="1" applyAlignment="1">
      <alignment vertical="top"/>
    </xf>
    <xf numFmtId="0" fontId="90" fillId="11" borderId="66" xfId="14" applyNumberFormat="1" applyBorder="1" applyAlignment="1">
      <alignment vertical="top"/>
    </xf>
    <xf numFmtId="0" fontId="90" fillId="48" borderId="23" xfId="14" applyNumberFormat="1" applyFill="1" applyBorder="1" applyAlignment="1">
      <alignment horizontal="center" vertical="center"/>
    </xf>
    <xf numFmtId="168" fontId="123" fillId="44" borderId="23" xfId="25" applyNumberFormat="1" applyFont="1" applyBorder="1" applyAlignment="1">
      <alignment horizontal="right" vertical="center"/>
    </xf>
    <xf numFmtId="0" fontId="124" fillId="0" borderId="0" xfId="0" applyFont="1" applyFill="1" applyAlignment="1">
      <alignment vertical="center"/>
    </xf>
    <xf numFmtId="0" fontId="124" fillId="0" borderId="23" xfId="0" applyFont="1" applyFill="1" applyBorder="1" applyAlignment="1">
      <alignment vertical="center"/>
    </xf>
    <xf numFmtId="0" fontId="90" fillId="11" borderId="23" xfId="14" applyNumberFormat="1" applyBorder="1" applyAlignment="1">
      <alignment horizontal="right" vertical="center"/>
    </xf>
    <xf numFmtId="0" fontId="152" fillId="10" borderId="0" xfId="0" applyFont="1" applyAlignment="1">
      <alignment horizontal="right" vertical="top"/>
    </xf>
    <xf numFmtId="0" fontId="152" fillId="10" borderId="0" xfId="0" applyFont="1" applyAlignment="1">
      <alignment horizontal="left" vertical="top"/>
    </xf>
    <xf numFmtId="0" fontId="153" fillId="11" borderId="14" xfId="75" applyNumberFormat="1" applyFont="1" applyBorder="1" applyAlignment="1">
      <alignment horizontal="left" vertical="center"/>
    </xf>
    <xf numFmtId="4" fontId="110" fillId="53" borderId="16" xfId="6" applyNumberFormat="1" applyBorder="1" applyAlignment="1">
      <alignment horizontal="right" vertical="center" wrapText="1"/>
      <protection locked="0"/>
    </xf>
    <xf numFmtId="184" fontId="110" fillId="49" borderId="10" xfId="73" applyNumberFormat="1" applyBorder="1" applyAlignment="1">
      <alignment horizontal="right" vertical="top" wrapText="1"/>
      <protection locked="0"/>
    </xf>
    <xf numFmtId="184" fontId="110" fillId="49" borderId="10" xfId="73" applyNumberFormat="1" applyBorder="1">
      <alignment horizontal="right" vertical="top" wrapText="1"/>
      <protection locked="0"/>
    </xf>
    <xf numFmtId="0" fontId="54" fillId="10" borderId="14" xfId="11" applyNumberFormat="1" applyFont="1" applyFill="1" applyBorder="1" applyAlignment="1">
      <alignment horizontal="left" vertical="center" wrapText="1"/>
    </xf>
    <xf numFmtId="0" fontId="154" fillId="10" borderId="0" xfId="0" applyFont="1" applyAlignment="1">
      <alignment horizontal="left" vertical="center"/>
    </xf>
    <xf numFmtId="0" fontId="155" fillId="10" borderId="14" xfId="11" applyNumberFormat="1" applyFont="1" applyFill="1" applyBorder="1" applyAlignment="1">
      <alignment horizontal="left" vertical="center" wrapText="1"/>
    </xf>
    <xf numFmtId="168" fontId="156" fillId="10" borderId="10" xfId="27" applyNumberFormat="1" applyFont="1" applyBorder="1" applyAlignment="1">
      <alignment horizontal="left" vertical="center"/>
    </xf>
    <xf numFmtId="2" fontId="156" fillId="10" borderId="10" xfId="27" applyNumberFormat="1" applyFont="1" applyBorder="1" applyAlignment="1">
      <alignment horizontal="left" vertical="center"/>
    </xf>
    <xf numFmtId="0" fontId="157" fillId="10" borderId="10" xfId="27" applyNumberFormat="1" applyFont="1" applyBorder="1" applyAlignment="1">
      <alignment horizontal="right" vertical="center"/>
    </xf>
    <xf numFmtId="168" fontId="115" fillId="11" borderId="14" xfId="75" applyNumberFormat="1" applyFont="1" applyBorder="1" applyAlignment="1">
      <alignment horizontal="right" vertical="top" wrapText="1"/>
    </xf>
    <xf numFmtId="168" fontId="115" fillId="11" borderId="10" xfId="75" applyNumberFormat="1" applyFont="1" applyBorder="1" applyAlignment="1">
      <alignment horizontal="right" vertical="top" wrapText="1"/>
    </xf>
    <xf numFmtId="0" fontId="115" fillId="11" borderId="10" xfId="75" applyNumberFormat="1" applyFont="1" applyBorder="1" applyAlignment="1">
      <alignment vertical="top" wrapText="1"/>
    </xf>
    <xf numFmtId="3" fontId="158" fillId="11" borderId="0" xfId="76" applyNumberFormat="1" applyFont="1" applyFill="1" applyBorder="1" applyAlignment="1">
      <alignment horizontal="left" vertical="center" wrapText="1"/>
    </xf>
    <xf numFmtId="3" fontId="158" fillId="11" borderId="10" xfId="76" quotePrefix="1" applyNumberFormat="1" applyFont="1" applyFill="1" applyBorder="1" applyAlignment="1">
      <alignment horizontal="left" vertical="center" wrapText="1"/>
    </xf>
    <xf numFmtId="0" fontId="159" fillId="10" borderId="0" xfId="0" applyFont="1" applyAlignment="1">
      <alignment horizontal="left" vertical="top"/>
    </xf>
    <xf numFmtId="0" fontId="160" fillId="11" borderId="24" xfId="14" applyNumberFormat="1" applyFont="1" applyBorder="1" applyAlignment="1">
      <alignment vertical="top"/>
    </xf>
    <xf numFmtId="0" fontId="29" fillId="10" borderId="0" xfId="0" applyFont="1">
      <alignment vertical="top"/>
    </xf>
    <xf numFmtId="168" fontId="109" fillId="10" borderId="14" xfId="27" applyNumberFormat="1" applyFont="1" applyBorder="1" applyAlignment="1">
      <alignment horizontal="left" vertical="center"/>
    </xf>
    <xf numFmtId="0" fontId="109" fillId="10" borderId="0" xfId="0" applyFont="1">
      <alignment vertical="top"/>
    </xf>
    <xf numFmtId="0" fontId="22" fillId="10" borderId="0" xfId="0" applyFont="1">
      <alignment vertical="top"/>
    </xf>
    <xf numFmtId="0" fontId="109" fillId="10" borderId="0" xfId="0" applyFont="1" applyAlignment="1">
      <alignment horizontal="left" vertical="top"/>
    </xf>
    <xf numFmtId="0" fontId="109" fillId="10" borderId="0" xfId="0" applyFont="1" applyAlignment="1">
      <alignment vertical="top"/>
    </xf>
    <xf numFmtId="0" fontId="150" fillId="10" borderId="0" xfId="0" applyFont="1" applyAlignment="1">
      <alignment vertical="top"/>
    </xf>
    <xf numFmtId="9" fontId="110" fillId="49" borderId="14" xfId="73" applyNumberFormat="1" applyBorder="1">
      <alignment horizontal="right" vertical="top" wrapText="1"/>
      <protection locked="0"/>
    </xf>
    <xf numFmtId="168" fontId="151" fillId="48" borderId="14" xfId="21" applyNumberFormat="1" applyFont="1" applyBorder="1" applyAlignment="1">
      <alignment horizontal="right" vertical="top" wrapText="1"/>
    </xf>
    <xf numFmtId="4" fontId="151" fillId="48" borderId="14" xfId="21" applyNumberFormat="1" applyFont="1" applyBorder="1" applyAlignment="1">
      <alignment horizontal="right" vertical="top" wrapText="1"/>
    </xf>
    <xf numFmtId="4" fontId="151" fillId="11" borderId="10" xfId="14" applyNumberFormat="1" applyFont="1" applyBorder="1" applyAlignment="1">
      <alignment horizontal="right" vertical="top" wrapText="1"/>
    </xf>
    <xf numFmtId="164" fontId="108" fillId="48" borderId="23" xfId="21" applyNumberFormat="1" applyBorder="1" applyAlignment="1">
      <alignment horizontal="right" vertical="center" wrapText="1"/>
    </xf>
    <xf numFmtId="164" fontId="54" fillId="10" borderId="0" xfId="14" applyNumberFormat="1" applyFont="1" applyFill="1" applyBorder="1" applyAlignment="1">
      <alignment horizontal="right" vertical="center" wrapText="1"/>
    </xf>
    <xf numFmtId="164" fontId="108" fillId="44" borderId="17" xfId="25" applyNumberFormat="1" applyBorder="1" applyAlignment="1">
      <alignment horizontal="right" vertical="center"/>
    </xf>
    <xf numFmtId="164" fontId="54" fillId="10" borderId="11" xfId="0" applyNumberFormat="1" applyFont="1" applyBorder="1" applyAlignment="1">
      <alignment vertical="center"/>
    </xf>
    <xf numFmtId="164" fontId="108" fillId="48" borderId="57" xfId="21" applyNumberFormat="1" applyBorder="1" applyAlignment="1">
      <alignment horizontal="right" vertical="center" wrapText="1"/>
    </xf>
    <xf numFmtId="168" fontId="123" fillId="48" borderId="23" xfId="21" applyNumberFormat="1" applyFont="1" applyBorder="1" applyAlignment="1">
      <alignment horizontal="right" vertical="center" wrapText="1"/>
    </xf>
    <xf numFmtId="183" fontId="162" fillId="48" borderId="34" xfId="21" applyNumberFormat="1" applyFont="1" applyBorder="1" applyAlignment="1">
      <alignment horizontal="left" vertical="center"/>
    </xf>
    <xf numFmtId="1" fontId="90" fillId="11" borderId="14" xfId="14" quotePrefix="1" applyNumberFormat="1" applyBorder="1" applyAlignment="1">
      <alignment horizontal="right" vertical="top" wrapText="1"/>
    </xf>
    <xf numFmtId="3" fontId="65" fillId="10" borderId="12" xfId="0" applyNumberFormat="1" applyFont="1" applyBorder="1" applyAlignment="1">
      <alignment vertical="center"/>
    </xf>
    <xf numFmtId="3" fontId="78" fillId="19" borderId="10" xfId="67" applyFill="1" applyBorder="1">
      <alignment horizontal="right" vertical="center"/>
    </xf>
    <xf numFmtId="3" fontId="78" fillId="19" borderId="14" xfId="67" applyFill="1" applyBorder="1">
      <alignment horizontal="right" vertical="center"/>
    </xf>
    <xf numFmtId="3" fontId="78" fillId="19" borderId="14" xfId="24" applyFont="1" applyFill="1" applyBorder="1">
      <alignment horizontal="left" vertical="center"/>
    </xf>
    <xf numFmtId="3" fontId="108" fillId="45" borderId="10" xfId="68" applyFill="1" applyBorder="1">
      <alignment horizontal="right" vertical="center"/>
    </xf>
    <xf numFmtId="3" fontId="27" fillId="46" borderId="10" xfId="69" applyFont="1" applyFill="1">
      <alignment horizontal="left" vertical="center"/>
    </xf>
    <xf numFmtId="3" fontId="27" fillId="46" borderId="10" xfId="71" applyFill="1">
      <alignment horizontal="right" vertical="center"/>
    </xf>
    <xf numFmtId="3" fontId="27" fillId="46" borderId="17" xfId="71" applyFill="1" applyBorder="1">
      <alignment horizontal="right" vertical="center"/>
    </xf>
    <xf numFmtId="3" fontId="163" fillId="47" borderId="17" xfId="72" applyFont="1" applyFill="1" applyBorder="1" applyAlignment="1">
      <alignment horizontal="right" vertical="center"/>
    </xf>
    <xf numFmtId="3" fontId="112" fillId="10" borderId="0" xfId="20" applyNumberFormat="1" applyFont="1" applyAlignment="1">
      <alignment horizontal="center" vertical="center" wrapText="1"/>
      <protection hidden="1"/>
    </xf>
    <xf numFmtId="3" fontId="90" fillId="11" borderId="23" xfId="14" applyNumberFormat="1" applyBorder="1" applyAlignment="1">
      <alignment horizontal="left" vertical="center" wrapText="1"/>
    </xf>
    <xf numFmtId="0" fontId="90" fillId="11" borderId="23" xfId="14" applyNumberFormat="1" applyBorder="1" applyAlignment="1">
      <alignment vertical="center" wrapText="1"/>
    </xf>
    <xf numFmtId="0" fontId="90" fillId="48" borderId="23" xfId="14" applyNumberFormat="1" applyFill="1" applyBorder="1" applyAlignment="1">
      <alignment horizontal="center" vertical="center" wrapText="1"/>
    </xf>
    <xf numFmtId="0" fontId="90" fillId="11" borderId="23" xfId="14" applyNumberFormat="1" applyBorder="1" applyAlignment="1">
      <alignment horizontal="left" vertical="center" wrapText="1"/>
    </xf>
    <xf numFmtId="0" fontId="54" fillId="0" borderId="23" xfId="0" applyFont="1" applyFill="1" applyBorder="1" applyAlignment="1">
      <alignment vertical="center" wrapText="1"/>
    </xf>
    <xf numFmtId="168" fontId="123" fillId="44" borderId="23" xfId="25" applyNumberFormat="1" applyFont="1" applyBorder="1" applyAlignment="1">
      <alignment horizontal="right" vertical="center" wrapText="1"/>
    </xf>
    <xf numFmtId="0" fontId="124" fillId="0" borderId="0" xfId="0" applyFont="1" applyFill="1" applyAlignment="1">
      <alignment vertical="center" wrapText="1"/>
    </xf>
    <xf numFmtId="0" fontId="124" fillId="0" borderId="23" xfId="0" applyFont="1" applyFill="1" applyBorder="1" applyAlignment="1">
      <alignment vertical="center" wrapText="1"/>
    </xf>
    <xf numFmtId="3" fontId="27" fillId="47" borderId="17" xfId="71" applyBorder="1" applyAlignment="1">
      <alignment horizontal="left" vertical="center"/>
    </xf>
    <xf numFmtId="3" fontId="84" fillId="45" borderId="10" xfId="68" applyFont="1" applyFill="1" applyBorder="1" applyAlignment="1">
      <alignment horizontal="right" vertical="center"/>
    </xf>
    <xf numFmtId="183" fontId="108" fillId="48" borderId="33" xfId="21" applyNumberFormat="1" applyBorder="1" applyAlignment="1" applyProtection="1">
      <alignment horizontal="left" vertical="center" indent="1"/>
      <protection locked="0"/>
    </xf>
    <xf numFmtId="168" fontId="110" fillId="48" borderId="23" xfId="73" applyNumberFormat="1" applyFill="1" applyBorder="1" applyAlignment="1">
      <alignment horizontal="right" vertical="center" wrapText="1"/>
      <protection locked="0"/>
    </xf>
    <xf numFmtId="0" fontId="108" fillId="48" borderId="11" xfId="21" applyNumberFormat="1" applyBorder="1" applyAlignment="1">
      <alignment vertical="center"/>
    </xf>
    <xf numFmtId="3" fontId="108" fillId="48" borderId="11" xfId="21" applyNumberFormat="1" applyBorder="1" applyAlignment="1">
      <alignment horizontal="right" vertical="top" wrapText="1"/>
    </xf>
    <xf numFmtId="0" fontId="90" fillId="11" borderId="67" xfId="14" applyNumberFormat="1" applyBorder="1" applyAlignment="1">
      <alignment vertical="top"/>
    </xf>
    <xf numFmtId="3" fontId="108" fillId="48" borderId="67" xfId="21" applyNumberFormat="1" applyBorder="1" applyAlignment="1">
      <alignment horizontal="right" vertical="center"/>
    </xf>
    <xf numFmtId="0" fontId="90" fillId="11" borderId="67" xfId="14" applyNumberFormat="1" applyBorder="1" applyAlignment="1">
      <alignment vertical="center"/>
    </xf>
    <xf numFmtId="3" fontId="108" fillId="48" borderId="11" xfId="21" applyNumberFormat="1" applyBorder="1" applyAlignment="1">
      <alignment vertical="center"/>
    </xf>
    <xf numFmtId="168" fontId="108" fillId="48" borderId="67" xfId="21" applyNumberFormat="1" applyBorder="1" applyAlignment="1">
      <alignment horizontal="right" vertical="center"/>
    </xf>
    <xf numFmtId="3" fontId="84" fillId="45" borderId="10" xfId="68" applyFont="1" applyFill="1" applyBorder="1" applyAlignment="1">
      <alignment horizontal="left" vertical="center"/>
    </xf>
    <xf numFmtId="0" fontId="164" fillId="10" borderId="0" xfId="20" applyNumberFormat="1" applyFont="1" applyAlignment="1">
      <alignment horizontal="right" vertical="top"/>
      <protection hidden="1"/>
    </xf>
    <xf numFmtId="0" fontId="151" fillId="11" borderId="59" xfId="14" applyNumberFormat="1" applyFont="1" applyBorder="1" applyAlignment="1">
      <alignment horizontal="right" vertical="top" wrapText="1"/>
    </xf>
    <xf numFmtId="168" fontId="108" fillId="48" borderId="10" xfId="21" applyNumberFormat="1" applyBorder="1" applyAlignment="1">
      <alignment horizontal="center" vertical="center"/>
    </xf>
    <xf numFmtId="0" fontId="19" fillId="10" borderId="0" xfId="0" applyFont="1" applyAlignment="1">
      <alignment horizontal="right" vertical="top" wrapText="1"/>
    </xf>
    <xf numFmtId="3" fontId="165" fillId="45" borderId="15" xfId="24" applyFont="1" applyBorder="1">
      <alignment horizontal="left" vertical="center"/>
    </xf>
    <xf numFmtId="0" fontId="166" fillId="10" borderId="0" xfId="0" applyFont="1">
      <alignment vertical="top"/>
    </xf>
    <xf numFmtId="0" fontId="167" fillId="10" borderId="0" xfId="0" applyFont="1" applyAlignment="1">
      <alignment horizontal="left" vertical="top"/>
    </xf>
    <xf numFmtId="0" fontId="161" fillId="10" borderId="0" xfId="0" applyFont="1">
      <alignment vertical="top"/>
    </xf>
    <xf numFmtId="0" fontId="166" fillId="10" borderId="0" xfId="0" applyFont="1" applyAlignment="1">
      <alignment horizontal="left" vertical="top"/>
    </xf>
    <xf numFmtId="0" fontId="31" fillId="10" borderId="0" xfId="0" applyFont="1" applyAlignment="1">
      <alignment horizontal="left" vertical="top"/>
    </xf>
    <xf numFmtId="0" fontId="31" fillId="10" borderId="0" xfId="0" applyFont="1" applyAlignment="1">
      <alignment horizontal="left" vertical="center"/>
    </xf>
    <xf numFmtId="0" fontId="31" fillId="10" borderId="0" xfId="0" applyFont="1" applyAlignment="1">
      <alignment vertical="top"/>
    </xf>
    <xf numFmtId="0" fontId="22" fillId="10" borderId="0" xfId="0" applyFont="1" applyAlignment="1">
      <alignment horizontal="left" vertical="top"/>
    </xf>
    <xf numFmtId="0" fontId="29" fillId="10" borderId="0" xfId="0" applyFont="1" applyAlignment="1">
      <alignment horizontal="right" vertical="center"/>
    </xf>
    <xf numFmtId="0" fontId="168" fillId="10" borderId="0" xfId="0" applyFont="1" applyAlignment="1">
      <alignment vertical="top" wrapText="1"/>
    </xf>
    <xf numFmtId="0" fontId="90" fillId="11" borderId="10" xfId="14" applyNumberFormat="1" applyBorder="1" applyAlignment="1">
      <alignment horizontal="center" vertical="top" wrapText="1"/>
    </xf>
    <xf numFmtId="0" fontId="81" fillId="10" borderId="0" xfId="0" applyFont="1" applyAlignment="1">
      <alignment vertical="top" wrapText="1"/>
    </xf>
    <xf numFmtId="165" fontId="0" fillId="10" borderId="0" xfId="0" applyNumberFormat="1" applyAlignment="1">
      <alignment vertical="top" wrapText="1"/>
    </xf>
    <xf numFmtId="3" fontId="108" fillId="19" borderId="10" xfId="68" applyBorder="1" applyAlignment="1">
      <alignment horizontal="right" vertical="top" wrapText="1"/>
    </xf>
    <xf numFmtId="0" fontId="90" fillId="11" borderId="23" xfId="14" applyNumberFormat="1" applyBorder="1" applyAlignment="1">
      <alignment vertical="top" wrapText="1"/>
    </xf>
    <xf numFmtId="168" fontId="108" fillId="48" borderId="10" xfId="21" applyNumberFormat="1" applyBorder="1" applyAlignment="1">
      <alignment vertical="top" wrapText="1"/>
    </xf>
    <xf numFmtId="0" fontId="90" fillId="11" borderId="23" xfId="14" applyNumberFormat="1" applyBorder="1" applyAlignment="1">
      <alignment vertical="top"/>
    </xf>
    <xf numFmtId="0" fontId="169" fillId="15" borderId="8" xfId="16" applyFont="1" applyAlignment="1">
      <alignment horizontal="right" vertical="center" textRotation="90"/>
    </xf>
    <xf numFmtId="0" fontId="110" fillId="10" borderId="0" xfId="13" applyNumberFormat="1" applyFont="1" applyAlignment="1">
      <alignment horizontal="right" vertical="center"/>
    </xf>
    <xf numFmtId="0" fontId="171" fillId="10" borderId="0" xfId="0" applyFont="1">
      <alignment vertical="top"/>
    </xf>
    <xf numFmtId="165" fontId="90" fillId="56" borderId="10" xfId="14" applyNumberFormat="1" applyFill="1" applyBorder="1" applyAlignment="1">
      <alignment horizontal="right" vertical="top" wrapText="1"/>
    </xf>
    <xf numFmtId="3" fontId="87" fillId="19" borderId="14" xfId="76" applyNumberFormat="1" applyFill="1" applyBorder="1" applyAlignment="1">
      <alignment horizontal="left" vertical="center"/>
    </xf>
    <xf numFmtId="0" fontId="90" fillId="56" borderId="10" xfId="14" applyNumberFormat="1" applyFill="1" applyBorder="1" applyAlignment="1">
      <alignment vertical="center" wrapText="1"/>
    </xf>
    <xf numFmtId="0" fontId="52" fillId="10" borderId="0" xfId="13" applyNumberFormat="1" applyFont="1" applyAlignment="1">
      <alignment horizontal="right" vertical="top" textRotation="90"/>
    </xf>
    <xf numFmtId="0" fontId="170" fillId="10" borderId="0" xfId="0" applyFont="1" applyAlignment="1">
      <alignment horizontal="center" textRotation="90"/>
    </xf>
    <xf numFmtId="0" fontId="173" fillId="10" borderId="0" xfId="79" applyNumberFormat="1" applyFont="1" applyFill="1" applyAlignment="1">
      <alignment vertical="center"/>
    </xf>
    <xf numFmtId="0" fontId="173" fillId="10" borderId="0" xfId="0" applyFont="1" applyAlignment="1">
      <alignment horizontal="center" textRotation="90"/>
    </xf>
    <xf numFmtId="0" fontId="105" fillId="10" borderId="0" xfId="79" applyNumberFormat="1" applyFont="1" applyFill="1" applyAlignment="1">
      <alignment vertical="center"/>
    </xf>
    <xf numFmtId="0" fontId="110" fillId="10" borderId="0" xfId="13" applyNumberFormat="1" applyFont="1" applyAlignment="1">
      <alignment horizontal="right" vertical="top"/>
    </xf>
    <xf numFmtId="0" fontId="110" fillId="10" borderId="0" xfId="13" applyNumberFormat="1" applyFont="1" applyAlignment="1">
      <alignment horizontal="right" vertical="top" wrapText="1"/>
    </xf>
    <xf numFmtId="0" fontId="52" fillId="10" borderId="0" xfId="13" applyNumberFormat="1" applyFont="1" applyAlignment="1">
      <alignment horizontal="right" vertical="top"/>
    </xf>
    <xf numFmtId="0" fontId="177" fillId="15" borderId="8" xfId="16" applyFont="1" applyAlignment="1">
      <alignment horizontal="right" vertical="center" textRotation="90"/>
    </xf>
    <xf numFmtId="3" fontId="177" fillId="15" borderId="8" xfId="16" applyNumberFormat="1" applyFont="1" applyAlignment="1">
      <alignment vertical="center"/>
    </xf>
    <xf numFmtId="0" fontId="176" fillId="10" borderId="0" xfId="20" applyNumberFormat="1" applyFont="1">
      <alignment horizontal="center" vertical="top"/>
      <protection hidden="1"/>
    </xf>
    <xf numFmtId="0" fontId="104" fillId="10" borderId="0" xfId="80" applyNumberFormat="1" applyFont="1" applyFill="1" applyBorder="1" applyAlignment="1">
      <alignment textRotation="90"/>
    </xf>
    <xf numFmtId="0" fontId="104" fillId="10" borderId="0" xfId="79" applyNumberFormat="1" applyFont="1" applyFill="1" applyBorder="1" applyAlignment="1">
      <alignment textRotation="90"/>
    </xf>
    <xf numFmtId="0" fontId="104" fillId="10" borderId="0" xfId="80" applyNumberFormat="1" applyFont="1" applyFill="1" applyBorder="1" applyAlignment="1">
      <alignment vertical="center" textRotation="90"/>
    </xf>
    <xf numFmtId="0" fontId="179" fillId="10" borderId="0" xfId="79" applyNumberFormat="1" applyFont="1" applyFill="1" applyBorder="1" applyAlignment="1">
      <alignment textRotation="90"/>
    </xf>
    <xf numFmtId="0" fontId="176" fillId="10" borderId="0" xfId="20" applyNumberFormat="1" applyFont="1" applyAlignment="1">
      <alignment horizontal="center" vertical="center"/>
      <protection hidden="1"/>
    </xf>
    <xf numFmtId="0" fontId="176" fillId="10" borderId="0" xfId="20" applyNumberFormat="1" applyFont="1" applyAlignment="1">
      <alignment horizontal="center" vertical="top" wrapText="1"/>
      <protection hidden="1"/>
    </xf>
    <xf numFmtId="0" fontId="179" fillId="10" borderId="0" xfId="13" applyNumberFormat="1" applyFont="1" applyBorder="1" applyAlignment="1">
      <alignment horizontal="right" vertical="top"/>
    </xf>
    <xf numFmtId="0" fontId="90" fillId="11" borderId="0" xfId="14" applyNumberFormat="1" applyBorder="1" applyAlignment="1">
      <alignment horizontal="left" vertical="center"/>
    </xf>
    <xf numFmtId="168" fontId="108" fillId="44" borderId="0" xfId="25" applyNumberFormat="1" applyBorder="1" applyAlignment="1">
      <alignment horizontal="right" vertical="center"/>
    </xf>
    <xf numFmtId="3" fontId="108" fillId="44" borderId="0" xfId="25" applyNumberFormat="1" applyBorder="1" applyAlignment="1">
      <alignment horizontal="right" vertical="center"/>
    </xf>
    <xf numFmtId="168" fontId="108" fillId="45" borderId="0" xfId="25" applyNumberFormat="1" applyFill="1" applyBorder="1" applyAlignment="1">
      <alignment horizontal="right" vertical="center"/>
    </xf>
    <xf numFmtId="168" fontId="108" fillId="45" borderId="10" xfId="25" applyNumberFormat="1" applyFill="1" applyBorder="1" applyAlignment="1">
      <alignment horizontal="right" vertical="center"/>
    </xf>
    <xf numFmtId="0" fontId="91" fillId="10" borderId="0" xfId="0" quotePrefix="1" applyFont="1" applyAlignment="1">
      <alignment horizontal="right" vertical="center"/>
    </xf>
    <xf numFmtId="0" fontId="54" fillId="10" borderId="0" xfId="0" quotePrefix="1" applyFont="1" applyAlignment="1">
      <alignment horizontal="right" vertical="center"/>
    </xf>
    <xf numFmtId="0" fontId="180" fillId="10" borderId="0" xfId="0" applyFont="1" applyAlignment="1">
      <alignment horizontal="right" vertical="top"/>
    </xf>
    <xf numFmtId="0" fontId="180" fillId="10" borderId="0" xfId="0" applyFont="1" applyAlignment="1">
      <alignment horizontal="right" vertical="top" textRotation="90"/>
    </xf>
    <xf numFmtId="0" fontId="178" fillId="10" borderId="0" xfId="0" applyFont="1" applyAlignment="1">
      <alignment horizontal="right" vertical="top"/>
    </xf>
    <xf numFmtId="0" fontId="179" fillId="10" borderId="0" xfId="79" applyNumberFormat="1" applyFont="1" applyFill="1" applyAlignment="1">
      <alignment horizontal="right" vertical="top"/>
    </xf>
    <xf numFmtId="0" fontId="62" fillId="10" borderId="0" xfId="0" applyFont="1" applyAlignment="1">
      <alignment horizontal="right" vertical="top"/>
    </xf>
    <xf numFmtId="3" fontId="78" fillId="19" borderId="11" xfId="67" applyFill="1" applyBorder="1">
      <alignment horizontal="right" vertical="center"/>
    </xf>
    <xf numFmtId="3" fontId="108" fillId="19" borderId="11" xfId="68" applyBorder="1">
      <alignment horizontal="right" vertical="center"/>
    </xf>
    <xf numFmtId="3" fontId="78" fillId="19" borderId="12" xfId="67" applyFill="1" applyBorder="1">
      <alignment horizontal="right" vertical="center"/>
    </xf>
    <xf numFmtId="3" fontId="108" fillId="19" borderId="12" xfId="68" applyBorder="1">
      <alignment horizontal="right" vertical="center"/>
    </xf>
    <xf numFmtId="4" fontId="110" fillId="49" borderId="10" xfId="73" applyNumberFormat="1" applyBorder="1" applyAlignment="1">
      <alignment horizontal="right" vertical="center" wrapText="1"/>
      <protection locked="0"/>
    </xf>
    <xf numFmtId="4" fontId="110" fillId="49" borderId="10" xfId="73" applyNumberFormat="1" applyBorder="1" applyAlignment="1">
      <alignment horizontal="right" vertical="center"/>
      <protection locked="0"/>
    </xf>
    <xf numFmtId="168" fontId="108" fillId="45" borderId="11" xfId="25" applyNumberFormat="1" applyFill="1" applyBorder="1" applyAlignment="1">
      <alignment horizontal="right" vertical="center"/>
    </xf>
    <xf numFmtId="166" fontId="110" fillId="49" borderId="10" xfId="73" applyNumberFormat="1" applyBorder="1" applyAlignment="1">
      <alignment horizontal="right" vertical="center" wrapText="1"/>
      <protection locked="0"/>
    </xf>
    <xf numFmtId="166" fontId="54" fillId="11" borderId="10" xfId="14" applyNumberFormat="1" applyFont="1" applyBorder="1" applyAlignment="1">
      <alignment horizontal="right" vertical="center"/>
    </xf>
    <xf numFmtId="0" fontId="90" fillId="11" borderId="24" xfId="14" applyNumberFormat="1" applyBorder="1" applyAlignment="1">
      <alignment horizontal="left" vertical="center"/>
    </xf>
    <xf numFmtId="165" fontId="90" fillId="56" borderId="10" xfId="14" applyNumberFormat="1" applyFill="1" applyBorder="1" applyAlignment="1">
      <alignment horizontal="right" vertical="center" wrapText="1"/>
    </xf>
    <xf numFmtId="0" fontId="183" fillId="15" borderId="8" xfId="16" applyFont="1" applyAlignment="1">
      <alignment horizontal="right" vertical="center" textRotation="90"/>
    </xf>
    <xf numFmtId="0" fontId="184" fillId="10" borderId="0" xfId="80" applyNumberFormat="1" applyFont="1" applyFill="1" applyBorder="1" applyAlignment="1" applyProtection="1">
      <alignment horizontal="center"/>
      <protection hidden="1"/>
    </xf>
    <xf numFmtId="0" fontId="184" fillId="10" borderId="0" xfId="80" applyNumberFormat="1" applyFont="1" applyFill="1" applyBorder="1" applyAlignment="1" applyProtection="1">
      <alignment horizontal="center" vertical="center"/>
      <protection hidden="1"/>
    </xf>
    <xf numFmtId="0" fontId="184" fillId="10" borderId="0" xfId="79" applyNumberFormat="1" applyFont="1" applyFill="1" applyAlignment="1">
      <alignment horizontal="left" vertical="top"/>
    </xf>
    <xf numFmtId="0" fontId="184" fillId="10" borderId="0" xfId="80" applyNumberFormat="1" applyFont="1" applyFill="1" applyBorder="1" applyAlignment="1" applyProtection="1">
      <alignment horizontal="center" vertical="top"/>
      <protection hidden="1"/>
    </xf>
    <xf numFmtId="0" fontId="185" fillId="10" borderId="0" xfId="80" applyNumberFormat="1" applyFont="1" applyFill="1" applyBorder="1" applyAlignment="1" applyProtection="1">
      <alignment horizontal="center" vertical="top"/>
      <protection hidden="1"/>
    </xf>
    <xf numFmtId="0" fontId="185" fillId="10" borderId="0" xfId="80" applyNumberFormat="1" applyFont="1" applyFill="1" applyBorder="1" applyAlignment="1" applyProtection="1">
      <alignment horizontal="center" vertical="center"/>
      <protection hidden="1"/>
    </xf>
    <xf numFmtId="2" fontId="185" fillId="10" borderId="0" xfId="80" applyNumberFormat="1" applyFont="1" applyFill="1" applyBorder="1" applyAlignment="1" applyProtection="1">
      <alignment horizontal="center" vertical="top"/>
      <protection hidden="1"/>
    </xf>
    <xf numFmtId="2" fontId="185" fillId="10" borderId="0" xfId="80" applyNumberFormat="1" applyFont="1" applyFill="1" applyBorder="1" applyAlignment="1" applyProtection="1">
      <alignment horizontal="center" vertical="center"/>
      <protection hidden="1"/>
    </xf>
    <xf numFmtId="0" fontId="185" fillId="10" borderId="0" xfId="80" applyNumberFormat="1" applyFont="1" applyFill="1" applyBorder="1" applyAlignment="1" applyProtection="1">
      <alignment horizontal="center" vertical="top" wrapText="1"/>
      <protection hidden="1"/>
    </xf>
    <xf numFmtId="3" fontId="184" fillId="10" borderId="0" xfId="80" applyNumberFormat="1" applyFont="1" applyFill="1" applyBorder="1" applyAlignment="1" applyProtection="1">
      <alignment horizontal="center" vertical="top"/>
      <protection hidden="1"/>
    </xf>
    <xf numFmtId="0" fontId="184" fillId="10" borderId="0" xfId="80" applyNumberFormat="1" applyFont="1" applyFill="1" applyBorder="1" applyAlignment="1" applyProtection="1">
      <alignment vertical="top"/>
      <protection hidden="1"/>
    </xf>
    <xf numFmtId="0" fontId="186" fillId="10" borderId="0" xfId="17" applyFont="1" applyAlignment="1"/>
    <xf numFmtId="0" fontId="122" fillId="15" borderId="0" xfId="16" applyFont="1" applyBorder="1" applyAlignment="1">
      <alignment horizontal="right" vertical="center"/>
    </xf>
    <xf numFmtId="3" fontId="124" fillId="10" borderId="0" xfId="0" applyNumberFormat="1" applyFont="1" applyAlignment="1">
      <alignment horizontal="right"/>
    </xf>
    <xf numFmtId="3" fontId="54" fillId="10" borderId="0" xfId="0" applyNumberFormat="1" applyFont="1" applyAlignment="1">
      <alignment vertical="center"/>
    </xf>
    <xf numFmtId="168" fontId="64" fillId="10" borderId="0" xfId="0" applyNumberFormat="1" applyFont="1" applyAlignment="1">
      <alignment vertical="center"/>
    </xf>
    <xf numFmtId="168" fontId="65" fillId="10" borderId="0" xfId="0" applyNumberFormat="1" applyFont="1" applyAlignment="1">
      <alignment vertical="center"/>
    </xf>
    <xf numFmtId="2" fontId="91" fillId="10" borderId="0" xfId="0" applyNumberFormat="1" applyFont="1" applyAlignment="1">
      <alignment vertical="center"/>
    </xf>
    <xf numFmtId="2" fontId="54" fillId="10" borderId="0" xfId="0" applyNumberFormat="1" applyFont="1" applyAlignment="1">
      <alignment vertical="center"/>
    </xf>
    <xf numFmtId="3" fontId="54" fillId="0" borderId="0" xfId="0" applyNumberFormat="1" applyFont="1" applyFill="1">
      <alignment vertical="top"/>
    </xf>
    <xf numFmtId="3" fontId="54" fillId="0" borderId="0" xfId="0" applyNumberFormat="1" applyFont="1" applyFill="1" applyAlignment="1">
      <alignment vertical="top" wrapText="1"/>
    </xf>
    <xf numFmtId="3" fontId="54" fillId="0" borderId="0" xfId="0" applyNumberFormat="1" applyFont="1" applyFill="1" applyAlignment="1">
      <alignment vertical="center" wrapText="1"/>
    </xf>
    <xf numFmtId="168" fontId="54" fillId="0" borderId="0" xfId="0" applyNumberFormat="1" applyFont="1" applyFill="1" applyAlignment="1">
      <alignment vertical="center"/>
    </xf>
    <xf numFmtId="175" fontId="54" fillId="0" borderId="0" xfId="0" applyNumberFormat="1" applyFont="1" applyFill="1" applyAlignment="1">
      <alignment vertical="center"/>
    </xf>
    <xf numFmtId="168" fontId="70" fillId="0" borderId="0" xfId="0" applyNumberFormat="1" applyFont="1" applyFill="1" applyAlignment="1">
      <alignment vertical="center"/>
    </xf>
    <xf numFmtId="168" fontId="70" fillId="10" borderId="0" xfId="0" applyNumberFormat="1" applyFont="1" applyAlignment="1">
      <alignment vertical="center"/>
    </xf>
    <xf numFmtId="2" fontId="90" fillId="11" borderId="14" xfId="14" quotePrefix="1" applyNumberFormat="1" applyBorder="1" applyAlignment="1">
      <alignment horizontal="right" vertical="top" wrapText="1"/>
    </xf>
    <xf numFmtId="3" fontId="90" fillId="11" borderId="14" xfId="14" applyNumberFormat="1" applyBorder="1" applyAlignment="1">
      <alignment vertical="top" wrapText="1"/>
    </xf>
    <xf numFmtId="0" fontId="94" fillId="11" borderId="10" xfId="75" applyNumberFormat="1" applyBorder="1" applyAlignment="1">
      <alignment horizontal="right" vertical="top" wrapText="1"/>
    </xf>
    <xf numFmtId="168" fontId="94" fillId="11" borderId="48" xfId="75" applyNumberFormat="1" applyBorder="1" applyAlignment="1">
      <alignment horizontal="right" vertical="top" wrapText="1"/>
    </xf>
    <xf numFmtId="168" fontId="94" fillId="11" borderId="49" xfId="75" applyNumberFormat="1" applyBorder="1" applyAlignment="1">
      <alignment horizontal="right" vertical="top" wrapText="1"/>
    </xf>
    <xf numFmtId="2" fontId="35" fillId="11" borderId="10" xfId="14" applyNumberFormat="1" applyFont="1" applyBorder="1" applyAlignment="1">
      <alignment horizontal="right" vertical="top"/>
    </xf>
    <xf numFmtId="0" fontId="84" fillId="10" borderId="11" xfId="27" applyNumberFormat="1" applyBorder="1" applyAlignment="1">
      <alignment vertical="center"/>
    </xf>
    <xf numFmtId="0" fontId="19" fillId="10" borderId="0" xfId="0" applyFont="1" applyAlignment="1">
      <alignment horizontal="left" vertical="top" wrapText="1"/>
    </xf>
    <xf numFmtId="0" fontId="19" fillId="10" borderId="0" xfId="0" applyFont="1" applyAlignment="1">
      <alignment vertical="top" wrapText="1"/>
    </xf>
    <xf numFmtId="0" fontId="180" fillId="11" borderId="11" xfId="0" applyFont="1" applyFill="1" applyBorder="1" applyAlignment="1">
      <alignment vertical="center" wrapText="1"/>
    </xf>
    <xf numFmtId="0" fontId="190" fillId="11" borderId="10" xfId="0" applyFont="1" applyFill="1" applyBorder="1" applyAlignment="1">
      <alignment vertical="center"/>
    </xf>
    <xf numFmtId="0" fontId="109" fillId="11" borderId="10" xfId="14" applyNumberFormat="1" applyFont="1" applyBorder="1">
      <alignment vertical="top"/>
    </xf>
    <xf numFmtId="2" fontId="109" fillId="11" borderId="10" xfId="14" applyNumberFormat="1" applyFont="1" applyBorder="1" applyAlignment="1">
      <alignment horizontal="right" vertical="top"/>
    </xf>
    <xf numFmtId="2" fontId="109" fillId="11" borderId="10" xfId="14" applyNumberFormat="1" applyFont="1" applyBorder="1" applyAlignment="1">
      <alignment horizontal="right" vertical="top" wrapText="1"/>
    </xf>
    <xf numFmtId="2" fontId="151" fillId="11" borderId="10" xfId="14" applyNumberFormat="1" applyFont="1" applyBorder="1" applyAlignment="1">
      <alignment horizontal="right" vertical="top" wrapText="1"/>
    </xf>
    <xf numFmtId="3" fontId="90" fillId="11" borderId="10" xfId="14" applyNumberFormat="1" applyBorder="1" applyAlignment="1">
      <alignment horizontal="right" vertical="center" wrapText="1"/>
    </xf>
    <xf numFmtId="0" fontId="184" fillId="10" borderId="0" xfId="80" applyNumberFormat="1" applyFont="1" applyFill="1" applyAlignment="1" applyProtection="1">
      <alignment horizontal="center" vertical="center"/>
      <protection hidden="1"/>
    </xf>
    <xf numFmtId="0" fontId="192" fillId="10" borderId="10" xfId="0" applyFont="1" applyBorder="1" applyAlignment="1">
      <alignment vertical="center"/>
    </xf>
    <xf numFmtId="168" fontId="192" fillId="10" borderId="0" xfId="0" applyNumberFormat="1" applyFont="1" applyAlignment="1">
      <alignment vertical="center"/>
    </xf>
    <xf numFmtId="168" fontId="192" fillId="10" borderId="10" xfId="0" applyNumberFormat="1" applyFont="1" applyBorder="1" applyAlignment="1">
      <alignment vertical="center"/>
    </xf>
    <xf numFmtId="168" fontId="192" fillId="10" borderId="0" xfId="0" applyNumberFormat="1" applyFont="1" applyAlignment="1">
      <alignment horizontal="right" vertical="center" wrapText="1"/>
    </xf>
    <xf numFmtId="166" fontId="110" fillId="53" borderId="14" xfId="6" applyBorder="1" applyAlignment="1">
      <alignment horizontal="right" vertical="center" wrapText="1"/>
      <protection locked="0"/>
    </xf>
    <xf numFmtId="168" fontId="110" fillId="56" borderId="14" xfId="6" applyNumberFormat="1" applyFill="1" applyBorder="1" applyAlignment="1">
      <alignment horizontal="right" vertical="center" wrapText="1"/>
      <protection locked="0"/>
    </xf>
    <xf numFmtId="0" fontId="180" fillId="11" borderId="10" xfId="0" applyFont="1" applyFill="1" applyBorder="1" applyAlignment="1">
      <alignment vertical="top" wrapText="1"/>
    </xf>
    <xf numFmtId="168" fontId="57" fillId="10" borderId="0" xfId="0" applyNumberFormat="1" applyFont="1" applyAlignment="1">
      <alignment vertical="center"/>
    </xf>
    <xf numFmtId="2" fontId="54" fillId="10" borderId="0" xfId="0" applyNumberFormat="1" applyFont="1" applyAlignment="1">
      <alignment horizontal="right" vertical="center"/>
    </xf>
    <xf numFmtId="9" fontId="69" fillId="48" borderId="14" xfId="21" applyNumberFormat="1" applyFont="1" applyBorder="1" applyAlignment="1">
      <alignment horizontal="right" vertical="center"/>
    </xf>
    <xf numFmtId="3" fontId="69" fillId="48" borderId="14" xfId="21" applyNumberFormat="1" applyFont="1" applyBorder="1" applyAlignment="1">
      <alignment horizontal="right" vertical="center"/>
    </xf>
    <xf numFmtId="3" fontId="54" fillId="10" borderId="14" xfId="0" applyNumberFormat="1" applyFont="1" applyBorder="1" applyAlignment="1">
      <alignment vertical="center"/>
    </xf>
    <xf numFmtId="3" fontId="85" fillId="10" borderId="0" xfId="70" applyNumberFormat="1" applyBorder="1">
      <alignment vertical="center"/>
    </xf>
    <xf numFmtId="3" fontId="108" fillId="48" borderId="14" xfId="21" applyNumberFormat="1" applyBorder="1" applyAlignment="1">
      <alignment vertical="center"/>
    </xf>
    <xf numFmtId="3" fontId="68" fillId="0" borderId="0" xfId="0" applyNumberFormat="1" applyFont="1" applyFill="1" applyAlignment="1">
      <alignment vertical="center"/>
    </xf>
    <xf numFmtId="3" fontId="85" fillId="10" borderId="0" xfId="70" applyNumberFormat="1" applyBorder="1" applyAlignment="1">
      <alignment vertical="center"/>
    </xf>
    <xf numFmtId="9" fontId="85" fillId="10" borderId="0" xfId="70" applyNumberFormat="1" applyBorder="1">
      <alignment vertical="center"/>
    </xf>
    <xf numFmtId="9" fontId="54" fillId="10" borderId="10" xfId="0" applyNumberFormat="1" applyFont="1" applyBorder="1" applyAlignment="1">
      <alignment vertical="center"/>
    </xf>
    <xf numFmtId="0" fontId="59" fillId="10" borderId="0" xfId="0" applyFont="1" applyAlignment="1">
      <alignment horizontal="left" vertical="center"/>
    </xf>
    <xf numFmtId="3" fontId="90" fillId="11" borderId="11" xfId="14" applyBorder="1" applyAlignment="1">
      <alignment vertical="center"/>
    </xf>
    <xf numFmtId="2" fontId="19" fillId="10" borderId="0" xfId="0" applyNumberFormat="1" applyFont="1" applyAlignment="1">
      <alignment horizontal="right" vertical="top"/>
    </xf>
    <xf numFmtId="0" fontId="110" fillId="10" borderId="0" xfId="13" applyNumberFormat="1" applyFont="1" applyAlignment="1">
      <alignment horizontal="right"/>
    </xf>
    <xf numFmtId="0" fontId="110" fillId="10" borderId="0" xfId="13" applyNumberFormat="1" applyFont="1" applyAlignment="1">
      <alignment horizontal="right" vertical="center" textRotation="90"/>
    </xf>
    <xf numFmtId="0" fontId="170" fillId="10" borderId="0" xfId="0" applyFont="1" applyAlignment="1">
      <alignment textRotation="90"/>
    </xf>
    <xf numFmtId="0" fontId="105" fillId="10" borderId="0" xfId="13" applyNumberFormat="1" applyFont="1" applyBorder="1" applyAlignment="1">
      <alignment horizontal="right" vertical="top"/>
    </xf>
    <xf numFmtId="0" fontId="105" fillId="10" borderId="0" xfId="79" applyNumberFormat="1" applyFont="1" applyFill="1" applyBorder="1" applyAlignment="1">
      <alignment horizontal="right" vertical="top"/>
    </xf>
    <xf numFmtId="0" fontId="110" fillId="10" borderId="0" xfId="13" applyNumberFormat="1" applyFont="1" applyBorder="1" applyAlignment="1">
      <alignment horizontal="right" vertical="center"/>
    </xf>
    <xf numFmtId="0" fontId="110" fillId="10" borderId="0" xfId="13" applyNumberFormat="1" applyFont="1" applyBorder="1" applyAlignment="1">
      <alignment horizontal="right" vertical="top"/>
    </xf>
    <xf numFmtId="0" fontId="105" fillId="10" borderId="0" xfId="13" applyNumberFormat="1" applyFont="1" applyBorder="1" applyAlignment="1">
      <alignment horizontal="right" vertical="center"/>
    </xf>
    <xf numFmtId="0" fontId="110" fillId="10" borderId="0" xfId="13" applyNumberFormat="1" applyFont="1" applyBorder="1" applyAlignment="1" applyProtection="1">
      <alignment horizontal="right" vertical="top"/>
      <protection hidden="1"/>
    </xf>
    <xf numFmtId="0" fontId="110" fillId="10" borderId="0" xfId="13" applyNumberFormat="1" applyFont="1" applyBorder="1" applyAlignment="1" applyProtection="1">
      <alignment horizontal="right" vertical="center"/>
      <protection hidden="1"/>
    </xf>
    <xf numFmtId="3" fontId="110" fillId="10" borderId="0" xfId="13" applyNumberFormat="1" applyFont="1" applyBorder="1" applyAlignment="1">
      <alignment horizontal="right" vertical="top"/>
    </xf>
    <xf numFmtId="0" fontId="110" fillId="10" borderId="0" xfId="13" applyNumberFormat="1" applyFont="1" applyAlignment="1" applyProtection="1">
      <alignment horizontal="right" vertical="top"/>
      <protection hidden="1"/>
    </xf>
    <xf numFmtId="0" fontId="110" fillId="10" borderId="0" xfId="0" applyFont="1" applyAlignment="1">
      <alignment horizontal="right" vertical="top"/>
    </xf>
    <xf numFmtId="0" fontId="18" fillId="10" borderId="0" xfId="0" applyFont="1" applyAlignment="1">
      <alignment horizontal="left" vertical="top"/>
    </xf>
    <xf numFmtId="0" fontId="105" fillId="10" borderId="0" xfId="79" applyNumberFormat="1" applyFont="1" applyFill="1" applyAlignment="1">
      <alignment horizontal="left" vertical="top"/>
    </xf>
    <xf numFmtId="0" fontId="193" fillId="10" borderId="0" xfId="0" applyFont="1">
      <alignment vertical="top"/>
    </xf>
    <xf numFmtId="0" fontId="194" fillId="10" borderId="0" xfId="0" applyFont="1" applyAlignment="1">
      <alignment horizontal="left" vertical="top"/>
    </xf>
    <xf numFmtId="165" fontId="193" fillId="10" borderId="0" xfId="0" applyNumberFormat="1" applyFont="1">
      <alignment vertical="top"/>
    </xf>
    <xf numFmtId="0" fontId="195" fillId="10" borderId="0" xfId="0" applyFont="1">
      <alignment vertical="top"/>
    </xf>
    <xf numFmtId="0" fontId="85" fillId="10" borderId="0" xfId="70" applyBorder="1" applyAlignment="1">
      <alignment vertical="center"/>
    </xf>
    <xf numFmtId="168" fontId="84" fillId="10" borderId="11" xfId="27" applyNumberFormat="1" applyBorder="1" applyAlignment="1">
      <alignment horizontal="right" vertical="center"/>
    </xf>
    <xf numFmtId="2" fontId="84" fillId="10" borderId="11" xfId="27" applyNumberFormat="1" applyBorder="1" applyAlignment="1">
      <alignment horizontal="right" vertical="center"/>
    </xf>
    <xf numFmtId="0" fontId="91" fillId="11" borderId="10" xfId="14" applyNumberFormat="1" applyFont="1" applyBorder="1" applyAlignment="1">
      <alignment vertical="center"/>
    </xf>
    <xf numFmtId="9" fontId="59" fillId="44" borderId="10" xfId="25" applyNumberFormat="1" applyFont="1" applyBorder="1" applyAlignment="1">
      <alignment horizontal="right" vertical="center"/>
    </xf>
    <xf numFmtId="3" fontId="110" fillId="53" borderId="14" xfId="6" applyNumberFormat="1" applyBorder="1" applyAlignment="1">
      <alignment horizontal="right" vertical="center" wrapText="1"/>
      <protection locked="0"/>
    </xf>
    <xf numFmtId="3" fontId="63" fillId="0" borderId="0" xfId="8" applyFont="1" applyFill="1" applyBorder="1" applyAlignment="1">
      <alignment horizontal="right" vertical="center"/>
    </xf>
    <xf numFmtId="168" fontId="91" fillId="10" borderId="10" xfId="0" applyNumberFormat="1" applyFont="1" applyBorder="1" applyAlignment="1">
      <alignment vertical="center"/>
    </xf>
    <xf numFmtId="0" fontId="84" fillId="10" borderId="0" xfId="27" applyBorder="1" applyAlignment="1">
      <alignment vertical="top"/>
    </xf>
    <xf numFmtId="3" fontId="108" fillId="48" borderId="12" xfId="21" applyNumberFormat="1" applyBorder="1" applyAlignment="1">
      <alignment horizontal="right" vertical="top" wrapText="1"/>
    </xf>
    <xf numFmtId="0" fontId="179" fillId="10" borderId="0" xfId="80" applyNumberFormat="1" applyFont="1" applyFill="1" applyBorder="1" applyAlignment="1" applyProtection="1">
      <alignment horizontal="center" vertical="top"/>
      <protection hidden="1"/>
    </xf>
    <xf numFmtId="0" fontId="200" fillId="10" borderId="0" xfId="0" applyFont="1" applyAlignment="1">
      <alignment vertical="center"/>
    </xf>
    <xf numFmtId="0" fontId="200" fillId="10" borderId="0" xfId="0" applyFont="1" applyAlignment="1">
      <alignment horizontal="left" vertical="center"/>
    </xf>
    <xf numFmtId="0" fontId="200" fillId="10" borderId="0" xfId="0" applyFont="1" applyAlignment="1">
      <alignment horizontal="right" vertical="center"/>
    </xf>
    <xf numFmtId="0" fontId="91" fillId="11" borderId="14" xfId="14" applyNumberFormat="1" applyFont="1" applyBorder="1" applyAlignment="1">
      <alignment vertical="center"/>
    </xf>
    <xf numFmtId="2" fontId="187" fillId="10" borderId="0" xfId="20" applyNumberFormat="1" applyFont="1" applyAlignment="1">
      <alignment horizontal="center" vertical="center"/>
      <protection hidden="1"/>
    </xf>
    <xf numFmtId="2" fontId="34" fillId="10" borderId="0" xfId="20" applyNumberFormat="1" applyFont="1" applyAlignment="1">
      <alignment horizontal="center" vertical="center"/>
      <protection hidden="1"/>
    </xf>
    <xf numFmtId="3" fontId="201" fillId="45" borderId="10" xfId="24" applyFont="1">
      <alignment horizontal="left" vertical="center"/>
    </xf>
    <xf numFmtId="3" fontId="202" fillId="19" borderId="10" xfId="68" applyFont="1" applyBorder="1" applyAlignment="1">
      <alignment vertical="center"/>
    </xf>
    <xf numFmtId="3" fontId="202" fillId="19" borderId="10" xfId="68" applyFont="1" applyBorder="1" applyAlignment="1">
      <alignment horizontal="right" vertical="center"/>
    </xf>
    <xf numFmtId="0" fontId="203" fillId="10" borderId="10" xfId="27" applyNumberFormat="1" applyFont="1" applyBorder="1" applyAlignment="1">
      <alignment vertical="center"/>
    </xf>
    <xf numFmtId="2" fontId="203" fillId="10" borderId="10" xfId="27" applyNumberFormat="1" applyFont="1" applyBorder="1" applyAlignment="1">
      <alignment horizontal="right" vertical="center"/>
    </xf>
    <xf numFmtId="168" fontId="203" fillId="10" borderId="10" xfId="27" applyNumberFormat="1" applyFont="1" applyBorder="1" applyAlignment="1">
      <alignment horizontal="right" vertical="center"/>
    </xf>
    <xf numFmtId="0" fontId="204" fillId="10" borderId="0" xfId="0" applyFont="1" applyAlignment="1">
      <alignment horizontal="right" vertical="center"/>
    </xf>
    <xf numFmtId="0" fontId="204" fillId="10" borderId="0" xfId="0" applyFont="1" applyAlignment="1">
      <alignment vertical="center"/>
    </xf>
    <xf numFmtId="0" fontId="202" fillId="10" borderId="0" xfId="0" applyFont="1" applyAlignment="1">
      <alignment vertical="center"/>
    </xf>
    <xf numFmtId="0" fontId="202" fillId="11" borderId="10" xfId="14" applyNumberFormat="1" applyFont="1" applyBorder="1">
      <alignment vertical="top"/>
    </xf>
    <xf numFmtId="0" fontId="202" fillId="11" borderId="10" xfId="14" applyNumberFormat="1" applyFont="1" applyBorder="1" applyAlignment="1">
      <alignment vertical="top" wrapText="1"/>
    </xf>
    <xf numFmtId="2" fontId="202" fillId="11" borderId="10" xfId="14" applyNumberFormat="1" applyFont="1" applyBorder="1" applyAlignment="1">
      <alignment horizontal="right" vertical="top"/>
    </xf>
    <xf numFmtId="0" fontId="202" fillId="11" borderId="10" xfId="14" applyNumberFormat="1" applyFont="1" applyBorder="1" applyAlignment="1">
      <alignment horizontal="right" vertical="top" wrapText="1"/>
    </xf>
    <xf numFmtId="0" fontId="204" fillId="11" borderId="10" xfId="14" applyNumberFormat="1" applyFont="1" applyBorder="1">
      <alignment vertical="top"/>
    </xf>
    <xf numFmtId="2" fontId="205" fillId="10" borderId="0" xfId="20" applyNumberFormat="1" applyFont="1" applyAlignment="1">
      <alignment horizontal="center" vertical="center"/>
      <protection hidden="1"/>
    </xf>
    <xf numFmtId="185" fontId="54" fillId="10" borderId="0" xfId="0" applyNumberFormat="1" applyFont="1" applyAlignment="1">
      <alignment horizontal="right" vertical="center"/>
    </xf>
    <xf numFmtId="1" fontId="108" fillId="48" borderId="14" xfId="21" applyNumberFormat="1" applyBorder="1">
      <alignment vertical="top"/>
    </xf>
    <xf numFmtId="1" fontId="63" fillId="46" borderId="17" xfId="72" applyNumberFormat="1" applyBorder="1" applyAlignment="1">
      <alignment horizontal="right" vertical="center"/>
    </xf>
    <xf numFmtId="1" fontId="108" fillId="48" borderId="14" xfId="21" applyNumberFormat="1" applyBorder="1" applyAlignment="1">
      <alignment horizontal="right" vertical="center"/>
    </xf>
    <xf numFmtId="1" fontId="123" fillId="48" borderId="23" xfId="21" applyNumberFormat="1" applyFont="1" applyBorder="1" applyAlignment="1">
      <alignment horizontal="right" vertical="center" wrapText="1"/>
    </xf>
    <xf numFmtId="1" fontId="123" fillId="48" borderId="23" xfId="21" applyNumberFormat="1" applyFont="1" applyBorder="1" applyAlignment="1">
      <alignment horizontal="right" vertical="center"/>
    </xf>
    <xf numFmtId="1" fontId="69" fillId="48" borderId="14" xfId="21" applyNumberFormat="1" applyFont="1" applyBorder="1" applyAlignment="1">
      <alignment horizontal="right" vertical="center"/>
    </xf>
    <xf numFmtId="10" fontId="108" fillId="48" borderId="10" xfId="21" applyNumberFormat="1" applyBorder="1" applyAlignment="1">
      <alignment horizontal="right" vertical="center"/>
    </xf>
    <xf numFmtId="10" fontId="69" fillId="48" borderId="14" xfId="21" applyNumberFormat="1" applyFont="1" applyBorder="1" applyAlignment="1">
      <alignment horizontal="right" vertical="center"/>
    </xf>
    <xf numFmtId="3" fontId="127" fillId="11" borderId="10" xfId="83" quotePrefix="1" applyFont="1" applyAlignment="1">
      <alignment horizontal="left" vertical="center" wrapText="1"/>
    </xf>
    <xf numFmtId="0" fontId="127" fillId="11" borderId="10" xfId="14" applyNumberFormat="1" applyFont="1" applyBorder="1" applyAlignment="1">
      <alignment vertical="center"/>
    </xf>
    <xf numFmtId="4" fontId="57" fillId="10" borderId="0" xfId="0" applyNumberFormat="1" applyFont="1" applyAlignment="1">
      <alignment vertical="center"/>
    </xf>
    <xf numFmtId="3" fontId="108" fillId="44" borderId="10" xfId="25" applyNumberFormat="1" applyBorder="1" applyAlignment="1">
      <alignment horizontal="right" vertical="center" wrapText="1"/>
    </xf>
    <xf numFmtId="0" fontId="206" fillId="10" borderId="0" xfId="0" applyFont="1" applyAlignment="1">
      <alignment vertical="center"/>
    </xf>
    <xf numFmtId="0" fontId="207" fillId="10" borderId="0" xfId="0" applyFont="1" applyAlignment="1">
      <alignment vertical="center"/>
    </xf>
    <xf numFmtId="4" fontId="101" fillId="15" borderId="8" xfId="16" applyNumberFormat="1" applyAlignment="1">
      <alignment horizontal="right" vertical="center"/>
    </xf>
    <xf numFmtId="3" fontId="137" fillId="10" borderId="0" xfId="79" applyNumberFormat="1" applyFont="1" applyFill="1" applyBorder="1" applyAlignment="1">
      <alignment vertical="center"/>
    </xf>
    <xf numFmtId="168" fontId="55" fillId="10" borderId="0" xfId="0" applyNumberFormat="1" applyFont="1" applyAlignment="1">
      <alignment horizontal="right" vertical="center"/>
    </xf>
    <xf numFmtId="0" fontId="127" fillId="11" borderId="10" xfId="14" applyNumberFormat="1" applyFont="1" applyBorder="1" applyAlignment="1">
      <alignment horizontal="left" vertical="center"/>
    </xf>
    <xf numFmtId="0" fontId="127" fillId="11" borderId="11" xfId="14" applyNumberFormat="1" applyFont="1" applyBorder="1" applyAlignment="1">
      <alignment horizontal="left" vertical="center"/>
    </xf>
    <xf numFmtId="0" fontId="127" fillId="11" borderId="11" xfId="14" applyNumberFormat="1" applyFont="1" applyBorder="1" applyAlignment="1">
      <alignment vertical="center"/>
    </xf>
    <xf numFmtId="3" fontId="127" fillId="11" borderId="10" xfId="14" applyNumberFormat="1" applyFont="1" applyBorder="1" applyAlignment="1">
      <alignment vertical="center"/>
    </xf>
    <xf numFmtId="3" fontId="127" fillId="11" borderId="10" xfId="14" applyNumberFormat="1" applyFont="1" applyBorder="1" applyAlignment="1">
      <alignment horizontal="left" vertical="center"/>
    </xf>
    <xf numFmtId="0" fontId="127" fillId="11" borderId="0" xfId="14" applyNumberFormat="1" applyFont="1" applyBorder="1" applyAlignment="1">
      <alignment horizontal="left" vertical="center"/>
    </xf>
    <xf numFmtId="0" fontId="127" fillId="11" borderId="0" xfId="14" applyNumberFormat="1" applyFont="1" applyBorder="1" applyAlignment="1">
      <alignment vertical="center"/>
    </xf>
    <xf numFmtId="0" fontId="127" fillId="11" borderId="17" xfId="14" applyNumberFormat="1" applyFont="1" applyBorder="1" applyAlignment="1">
      <alignment horizontal="left" vertical="center"/>
    </xf>
    <xf numFmtId="0" fontId="127" fillId="11" borderId="17" xfId="14" applyNumberFormat="1" applyFont="1" applyBorder="1" applyAlignment="1">
      <alignment vertical="center"/>
    </xf>
    <xf numFmtId="0" fontId="127" fillId="11" borderId="16" xfId="14" applyNumberFormat="1" applyFont="1" applyBorder="1" applyAlignment="1">
      <alignment horizontal="left" vertical="center"/>
    </xf>
    <xf numFmtId="0" fontId="127" fillId="11" borderId="16" xfId="14" applyNumberFormat="1" applyFont="1" applyBorder="1" applyAlignment="1">
      <alignment vertical="center"/>
    </xf>
    <xf numFmtId="3" fontId="209" fillId="45" borderId="14" xfId="24" applyFont="1" applyBorder="1">
      <alignment horizontal="left" vertical="center"/>
    </xf>
    <xf numFmtId="9" fontId="198" fillId="48" borderId="14" xfId="6" applyNumberFormat="1" applyFont="1" applyFill="1" applyBorder="1" applyAlignment="1" applyProtection="1">
      <alignment horizontal="right" vertical="center" wrapText="1"/>
    </xf>
    <xf numFmtId="3" fontId="214" fillId="10" borderId="0" xfId="20" applyNumberFormat="1" applyFont="1" applyAlignment="1">
      <alignment horizontal="center" vertical="center"/>
      <protection hidden="1"/>
    </xf>
    <xf numFmtId="0" fontId="16" fillId="10" borderId="0" xfId="20" applyNumberFormat="1" applyFont="1" applyAlignment="1">
      <alignment horizontal="left" vertical="top"/>
      <protection hidden="1"/>
    </xf>
    <xf numFmtId="0" fontId="182" fillId="10" borderId="0" xfId="0" applyFont="1" applyAlignment="1">
      <alignment horizontal="center" vertical="top"/>
    </xf>
    <xf numFmtId="0" fontId="91" fillId="56" borderId="10" xfId="14" applyNumberFormat="1" applyFont="1" applyFill="1" applyBorder="1" applyAlignment="1">
      <alignment vertical="center"/>
    </xf>
    <xf numFmtId="0" fontId="127" fillId="11" borderId="30" xfId="14" applyNumberFormat="1" applyFont="1" applyBorder="1" applyAlignment="1">
      <alignment vertical="center"/>
    </xf>
    <xf numFmtId="3" fontId="27" fillId="47" borderId="10" xfId="71" applyAlignment="1">
      <alignment horizontal="left" vertical="center"/>
    </xf>
    <xf numFmtId="3" fontId="110" fillId="10" borderId="0" xfId="13" applyFont="1" applyAlignment="1">
      <alignment horizontal="right" vertical="top"/>
    </xf>
    <xf numFmtId="3" fontId="105" fillId="10" borderId="0" xfId="13" applyFont="1" applyAlignment="1">
      <alignment horizontal="right" vertical="top"/>
    </xf>
    <xf numFmtId="0" fontId="105" fillId="10" borderId="0" xfId="79" applyNumberFormat="1" applyFont="1" applyFill="1" applyAlignment="1">
      <alignment horizontal="right" vertical="top"/>
    </xf>
    <xf numFmtId="0" fontId="172" fillId="10" borderId="0" xfId="20" applyNumberFormat="1" applyFont="1" applyAlignment="1">
      <alignment horizontal="right" vertical="top"/>
      <protection hidden="1"/>
    </xf>
    <xf numFmtId="0" fontId="17" fillId="10" borderId="0" xfId="0" applyFont="1">
      <alignment vertical="top"/>
    </xf>
    <xf numFmtId="0" fontId="19" fillId="10" borderId="0" xfId="0" applyFont="1" applyAlignment="1">
      <alignment horizontal="center" vertical="center" wrapText="1"/>
    </xf>
    <xf numFmtId="0" fontId="17" fillId="10" borderId="0" xfId="0" applyFont="1" applyAlignment="1">
      <alignment horizontal="center" vertical="center" wrapText="1"/>
    </xf>
    <xf numFmtId="2" fontId="91" fillId="11" borderId="10" xfId="14" applyNumberFormat="1" applyFont="1" applyBorder="1" applyAlignment="1">
      <alignment horizontal="right" vertical="top" wrapText="1"/>
    </xf>
    <xf numFmtId="0" fontId="91" fillId="11" borderId="10" xfId="14" applyNumberFormat="1" applyFont="1" applyBorder="1">
      <alignment vertical="top"/>
    </xf>
    <xf numFmtId="0" fontId="91" fillId="11" borderId="10" xfId="14" applyNumberFormat="1" applyFont="1" applyBorder="1" applyAlignment="1">
      <alignment vertical="top" wrapText="1"/>
    </xf>
    <xf numFmtId="0" fontId="215" fillId="11" borderId="10" xfId="75" applyNumberFormat="1" applyFont="1" applyBorder="1" applyAlignment="1">
      <alignment vertical="top" wrapText="1"/>
    </xf>
    <xf numFmtId="165" fontId="90" fillId="57" borderId="10" xfId="14" applyNumberFormat="1" applyFill="1" applyBorder="1" applyAlignment="1">
      <alignment horizontal="right" vertical="center" wrapText="1"/>
    </xf>
    <xf numFmtId="0" fontId="102" fillId="10" borderId="24" xfId="11" applyNumberFormat="1" applyFill="1" applyBorder="1" applyAlignment="1">
      <alignment horizontal="right" vertical="center" wrapText="1"/>
    </xf>
    <xf numFmtId="168" fontId="94" fillId="11" borderId="12" xfId="75" applyNumberFormat="1" applyBorder="1" applyAlignment="1">
      <alignment horizontal="right" vertical="top" wrapText="1"/>
    </xf>
    <xf numFmtId="168" fontId="87" fillId="11" borderId="12" xfId="76" applyNumberFormat="1" applyFill="1" applyBorder="1" applyAlignment="1">
      <alignment horizontal="right" vertical="top" wrapText="1"/>
    </xf>
    <xf numFmtId="0" fontId="94" fillId="11" borderId="12" xfId="75" applyNumberFormat="1" applyBorder="1" applyAlignment="1">
      <alignment vertical="top"/>
    </xf>
    <xf numFmtId="2" fontId="94" fillId="11" borderId="12" xfId="75" applyNumberFormat="1" applyBorder="1" applyAlignment="1">
      <alignment horizontal="right" vertical="top"/>
    </xf>
    <xf numFmtId="0" fontId="90" fillId="11" borderId="16" xfId="14" applyNumberFormat="1" applyBorder="1" applyAlignment="1">
      <alignment vertical="center"/>
    </xf>
    <xf numFmtId="2" fontId="90" fillId="11" borderId="16" xfId="14" applyNumberFormat="1" applyBorder="1" applyAlignment="1">
      <alignment horizontal="right" vertical="center"/>
    </xf>
    <xf numFmtId="165" fontId="121" fillId="11" borderId="16" xfId="14" applyNumberFormat="1" applyFont="1" applyBorder="1" applyAlignment="1">
      <alignment horizontal="right" vertical="center" wrapText="1"/>
    </xf>
    <xf numFmtId="165" fontId="90" fillId="11" borderId="16" xfId="14" applyNumberFormat="1" applyBorder="1" applyAlignment="1">
      <alignment horizontal="right" vertical="center" wrapText="1"/>
    </xf>
    <xf numFmtId="0" fontId="90" fillId="11" borderId="17" xfId="14" applyNumberFormat="1" applyBorder="1" applyAlignment="1">
      <alignment vertical="center"/>
    </xf>
    <xf numFmtId="2" fontId="90" fillId="11" borderId="17" xfId="14" applyNumberFormat="1" applyBorder="1" applyAlignment="1">
      <alignment horizontal="right" vertical="top"/>
    </xf>
    <xf numFmtId="165" fontId="90" fillId="11" borderId="17" xfId="14" applyNumberFormat="1" applyBorder="1" applyAlignment="1">
      <alignment horizontal="right" vertical="top" wrapText="1"/>
    </xf>
    <xf numFmtId="165" fontId="90" fillId="57" borderId="17" xfId="14" applyNumberFormat="1" applyFill="1" applyBorder="1" applyAlignment="1">
      <alignment horizontal="right" vertical="center" wrapText="1"/>
    </xf>
    <xf numFmtId="1" fontId="121" fillId="11" borderId="16" xfId="14" applyNumberFormat="1" applyFont="1" applyBorder="1" applyAlignment="1">
      <alignment horizontal="right" vertical="center" wrapText="1"/>
    </xf>
    <xf numFmtId="165" fontId="90" fillId="11" borderId="12" xfId="14" applyNumberFormat="1" applyBorder="1" applyAlignment="1">
      <alignment horizontal="right" vertical="center" wrapText="1"/>
    </xf>
    <xf numFmtId="0" fontId="198" fillId="15" borderId="8" xfId="16" applyFont="1" applyAlignment="1">
      <alignment horizontal="left" vertical="center"/>
    </xf>
    <xf numFmtId="3" fontId="216" fillId="18" borderId="10" xfId="83" applyFont="1" applyFill="1" applyAlignment="1">
      <alignment horizontal="left" vertical="center" wrapText="1"/>
    </xf>
    <xf numFmtId="0" fontId="217" fillId="11" borderId="12" xfId="75" applyNumberFormat="1" applyFont="1" applyBorder="1" applyAlignment="1">
      <alignment vertical="center"/>
    </xf>
    <xf numFmtId="3" fontId="196" fillId="15" borderId="8" xfId="16" applyNumberFormat="1" applyFont="1" applyAlignment="1">
      <alignment vertical="center"/>
    </xf>
    <xf numFmtId="0" fontId="217" fillId="11" borderId="12" xfId="75" applyNumberFormat="1" applyFont="1" applyBorder="1" applyAlignment="1">
      <alignment horizontal="left" vertical="center"/>
    </xf>
    <xf numFmtId="0" fontId="217" fillId="11" borderId="0" xfId="75" applyNumberFormat="1" applyFont="1" applyBorder="1" applyAlignment="1">
      <alignment vertical="center"/>
    </xf>
    <xf numFmtId="9" fontId="219" fillId="44" borderId="10" xfId="25" applyNumberFormat="1" applyFont="1" applyBorder="1" applyAlignment="1">
      <alignment horizontal="right" vertical="center"/>
    </xf>
    <xf numFmtId="0" fontId="217" fillId="8" borderId="30" xfId="10" applyNumberFormat="1" applyFont="1" applyBorder="1" applyAlignment="1">
      <alignment horizontal="left" vertical="center"/>
    </xf>
    <xf numFmtId="0" fontId="217" fillId="8" borderId="9" xfId="10" applyNumberFormat="1" applyFont="1" applyBorder="1" applyAlignment="1">
      <alignment vertical="center"/>
    </xf>
    <xf numFmtId="0" fontId="217" fillId="8" borderId="8" xfId="10" applyNumberFormat="1" applyFont="1" applyBorder="1" applyAlignment="1">
      <alignment vertical="center"/>
    </xf>
    <xf numFmtId="180" fontId="217" fillId="8" borderId="8" xfId="10" applyNumberFormat="1" applyFont="1" applyBorder="1" applyAlignment="1">
      <alignment horizontal="right" vertical="center"/>
    </xf>
    <xf numFmtId="181" fontId="217" fillId="8" borderId="8" xfId="10" applyNumberFormat="1" applyFont="1" applyBorder="1" applyAlignment="1">
      <alignment horizontal="right" vertical="center"/>
    </xf>
    <xf numFmtId="168" fontId="217" fillId="55" borderId="14" xfId="75" applyNumberFormat="1" applyFont="1" applyFill="1" applyBorder="1" applyAlignment="1">
      <alignment horizontal="right" vertical="top" wrapText="1"/>
    </xf>
    <xf numFmtId="3" fontId="122" fillId="15" borderId="8" xfId="16" applyNumberFormat="1" applyFont="1" applyAlignment="1">
      <alignment vertical="center"/>
    </xf>
    <xf numFmtId="166" fontId="220" fillId="49" borderId="14" xfId="73" applyFont="1" applyBorder="1" applyAlignment="1">
      <alignment horizontal="right" vertical="top" wrapText="1"/>
      <protection locked="0"/>
    </xf>
    <xf numFmtId="165" fontId="220" fillId="49" borderId="14" xfId="73" applyNumberFormat="1" applyFont="1" applyBorder="1" applyAlignment="1">
      <alignment horizontal="right" vertical="top" wrapText="1"/>
      <protection locked="0"/>
    </xf>
    <xf numFmtId="168" fontId="220" fillId="49" borderId="10" xfId="73" applyNumberFormat="1" applyFont="1" applyBorder="1">
      <alignment horizontal="right" vertical="top" wrapText="1"/>
      <protection locked="0"/>
    </xf>
    <xf numFmtId="168" fontId="220" fillId="49" borderId="10" xfId="73" applyNumberFormat="1" applyFont="1" applyBorder="1" applyAlignment="1">
      <alignment horizontal="right" vertical="top" wrapText="1"/>
      <protection locked="0"/>
    </xf>
    <xf numFmtId="3" fontId="221" fillId="15" borderId="8" xfId="16" applyNumberFormat="1" applyFont="1" applyAlignment="1">
      <alignment vertical="center"/>
    </xf>
    <xf numFmtId="0" fontId="217" fillId="11" borderId="10" xfId="75" applyNumberFormat="1" applyFont="1" applyBorder="1" applyAlignment="1">
      <alignment horizontal="left" vertical="top" wrapText="1"/>
    </xf>
    <xf numFmtId="168" fontId="222" fillId="11" borderId="14" xfId="76" applyNumberFormat="1" applyFont="1" applyFill="1" applyBorder="1" applyAlignment="1">
      <alignment horizontal="right" vertical="top" wrapText="1"/>
    </xf>
    <xf numFmtId="3" fontId="110" fillId="53" borderId="25" xfId="6" applyNumberFormat="1" applyAlignment="1">
      <alignment horizontal="center" vertical="center" wrapText="1"/>
      <protection locked="0"/>
    </xf>
    <xf numFmtId="3" fontId="84" fillId="10" borderId="10" xfId="27" applyNumberFormat="1" applyBorder="1" applyAlignment="1">
      <alignment horizontal="center" vertical="center"/>
    </xf>
    <xf numFmtId="3" fontId="84" fillId="10" borderId="12" xfId="27" applyNumberFormat="1" applyBorder="1" applyAlignment="1">
      <alignment horizontal="center" vertical="center"/>
    </xf>
    <xf numFmtId="0" fontId="127" fillId="11" borderId="57" xfId="14" applyNumberFormat="1" applyFont="1" applyBorder="1" applyAlignment="1">
      <alignment horizontal="center" vertical="center"/>
    </xf>
    <xf numFmtId="0" fontId="127" fillId="10" borderId="57" xfId="0" applyFont="1" applyBorder="1" applyAlignment="1">
      <alignment horizontal="center" vertical="center"/>
    </xf>
    <xf numFmtId="166" fontId="110" fillId="53" borderId="25" xfId="6" applyAlignment="1">
      <alignment horizontal="center" vertical="top" wrapText="1"/>
      <protection locked="0"/>
    </xf>
    <xf numFmtId="166" fontId="110" fillId="53" borderId="43" xfId="6" applyBorder="1" applyAlignment="1">
      <alignment horizontal="center" vertical="top" wrapText="1"/>
      <protection locked="0"/>
    </xf>
    <xf numFmtId="166" fontId="110" fillId="53" borderId="44" xfId="6" applyBorder="1" applyAlignment="1">
      <alignment horizontal="center" vertical="top" wrapText="1"/>
      <protection locked="0"/>
    </xf>
    <xf numFmtId="3" fontId="110" fillId="53" borderId="43" xfId="6" applyNumberFormat="1" applyBorder="1" applyAlignment="1">
      <alignment horizontal="center" vertical="center" wrapText="1"/>
      <protection locked="0"/>
    </xf>
    <xf numFmtId="3" fontId="110" fillId="53" borderId="44" xfId="6" applyNumberFormat="1" applyBorder="1" applyAlignment="1">
      <alignment horizontal="center" vertical="center" wrapText="1"/>
      <protection locked="0"/>
    </xf>
    <xf numFmtId="4" fontId="110" fillId="53" borderId="43" xfId="6" applyNumberFormat="1" applyBorder="1" applyAlignment="1">
      <alignment horizontal="center" vertical="center" wrapText="1"/>
      <protection locked="0"/>
    </xf>
    <xf numFmtId="4" fontId="110" fillId="53" borderId="44" xfId="6" applyNumberFormat="1" applyBorder="1" applyAlignment="1">
      <alignment horizontal="center" vertical="center" wrapText="1"/>
      <protection locked="0"/>
    </xf>
    <xf numFmtId="0" fontId="134" fillId="19" borderId="0" xfId="0" applyFont="1" applyFill="1" applyAlignment="1">
      <alignment horizontal="center" vertical="center"/>
    </xf>
    <xf numFmtId="166" fontId="110" fillId="53" borderId="14" xfId="6" applyBorder="1" applyAlignment="1">
      <alignment horizontal="center" vertical="top" wrapText="1"/>
      <protection locked="0"/>
    </xf>
    <xf numFmtId="3" fontId="133" fillId="45" borderId="24" xfId="24" applyFont="1" applyBorder="1" applyAlignment="1">
      <alignment horizontal="center" vertical="center"/>
    </xf>
    <xf numFmtId="4" fontId="110" fillId="13" borderId="17" xfId="29" applyNumberFormat="1" applyBorder="1" applyAlignment="1">
      <alignment horizontal="left" vertical="center" wrapText="1" indent="1"/>
      <protection locked="0"/>
    </xf>
    <xf numFmtId="3" fontId="46" fillId="47" borderId="10" xfId="69">
      <alignment horizontal="left" vertical="center"/>
    </xf>
    <xf numFmtId="166" fontId="110" fillId="53" borderId="28" xfId="6" applyBorder="1" applyAlignment="1">
      <alignment horizontal="left" vertical="center" wrapText="1"/>
      <protection locked="0"/>
    </xf>
    <xf numFmtId="166" fontId="110" fillId="53" borderId="29" xfId="6" applyBorder="1" applyAlignment="1">
      <alignment horizontal="left" vertical="center" wrapText="1"/>
      <protection locked="0"/>
    </xf>
    <xf numFmtId="0" fontId="106" fillId="10" borderId="0" xfId="0" applyFont="1" applyAlignment="1">
      <alignment horizontal="center" textRotation="90"/>
    </xf>
    <xf numFmtId="166" fontId="110" fillId="53" borderId="10" xfId="6" applyBorder="1" applyAlignment="1">
      <alignment horizontal="left" vertical="top" wrapText="1"/>
      <protection locked="0"/>
    </xf>
    <xf numFmtId="166" fontId="110" fillId="53" borderId="31" xfId="6" applyBorder="1" applyAlignment="1">
      <alignment horizontal="left" vertical="top" wrapText="1"/>
      <protection locked="0"/>
    </xf>
    <xf numFmtId="166" fontId="110" fillId="53" borderId="33" xfId="6" applyBorder="1" applyAlignment="1">
      <alignment horizontal="left" vertical="center" wrapText="1"/>
      <protection locked="0"/>
    </xf>
    <xf numFmtId="166" fontId="110" fillId="53" borderId="34" xfId="6" applyBorder="1" applyAlignment="1">
      <alignment horizontal="left" vertical="center" wrapText="1"/>
      <protection locked="0"/>
    </xf>
    <xf numFmtId="166" fontId="121" fillId="11" borderId="27" xfId="14" applyNumberFormat="1" applyFont="1" applyBorder="1" applyAlignment="1">
      <alignment horizontal="left" vertical="center" wrapText="1"/>
    </xf>
    <xf numFmtId="166" fontId="121" fillId="11" borderId="28" xfId="14" applyNumberFormat="1" applyFont="1" applyBorder="1" applyAlignment="1">
      <alignment horizontal="left" vertical="center" wrapText="1"/>
    </xf>
    <xf numFmtId="166" fontId="110" fillId="49" borderId="10" xfId="73" applyBorder="1" applyAlignment="1">
      <alignment horizontal="left" vertical="center" wrapText="1"/>
      <protection locked="0"/>
    </xf>
    <xf numFmtId="166" fontId="110" fillId="49" borderId="31" xfId="73" applyBorder="1" applyAlignment="1">
      <alignment horizontal="left" vertical="center" wrapText="1"/>
      <protection locked="0"/>
    </xf>
    <xf numFmtId="0" fontId="110" fillId="10" borderId="0" xfId="0" applyFont="1" applyAlignment="1">
      <alignment horizontal="center" textRotation="90"/>
    </xf>
    <xf numFmtId="0" fontId="90" fillId="11" borderId="10" xfId="14" applyNumberFormat="1" applyBorder="1" applyAlignment="1">
      <alignment horizontal="left" vertical="top" wrapText="1"/>
    </xf>
    <xf numFmtId="166" fontId="108" fillId="48" borderId="10" xfId="21" applyNumberFormat="1" applyBorder="1" applyAlignment="1">
      <alignment horizontal="left" vertical="center" wrapText="1"/>
    </xf>
    <xf numFmtId="166" fontId="108" fillId="48" borderId="31" xfId="21" applyNumberFormat="1" applyBorder="1" applyAlignment="1">
      <alignment horizontal="left" vertical="center" wrapText="1"/>
    </xf>
    <xf numFmtId="166" fontId="110" fillId="49" borderId="33" xfId="73" applyNumberFormat="1" applyBorder="1" applyAlignment="1">
      <alignment horizontal="left" vertical="center" wrapText="1"/>
      <protection locked="0"/>
    </xf>
    <xf numFmtId="166" fontId="110" fillId="49" borderId="34" xfId="73" applyNumberFormat="1" applyBorder="1" applyAlignment="1">
      <alignment horizontal="left" vertical="center" wrapText="1"/>
      <protection locked="0"/>
    </xf>
    <xf numFmtId="166" fontId="110" fillId="16" borderId="10" xfId="78" applyBorder="1" applyAlignment="1">
      <alignment horizontal="left" vertical="center"/>
      <protection locked="0"/>
    </xf>
    <xf numFmtId="166" fontId="110" fillId="16" borderId="31" xfId="78" applyBorder="1" applyAlignment="1">
      <alignment horizontal="left" vertical="center"/>
      <protection locked="0"/>
    </xf>
    <xf numFmtId="0" fontId="127" fillId="10" borderId="0" xfId="0" applyFont="1" applyAlignment="1">
      <alignment horizontal="right" textRotation="90"/>
    </xf>
    <xf numFmtId="166" fontId="121" fillId="11" borderId="27" xfId="14" applyNumberFormat="1" applyFont="1" applyBorder="1" applyAlignment="1">
      <alignment horizontal="left" vertical="top" wrapText="1"/>
    </xf>
    <xf numFmtId="166" fontId="121" fillId="11" borderId="28" xfId="14" applyNumberFormat="1" applyFont="1" applyBorder="1" applyAlignment="1">
      <alignment horizontal="left" vertical="top" wrapText="1"/>
    </xf>
    <xf numFmtId="166" fontId="121" fillId="11" borderId="29" xfId="14" applyNumberFormat="1" applyFont="1" applyBorder="1" applyAlignment="1">
      <alignment horizontal="left" vertical="top" wrapText="1"/>
    </xf>
    <xf numFmtId="166" fontId="90" fillId="11" borderId="10" xfId="14" applyNumberFormat="1" applyBorder="1" applyAlignment="1">
      <alignment horizontal="left" vertical="center" wrapText="1"/>
    </xf>
    <xf numFmtId="166" fontId="90" fillId="11" borderId="39" xfId="14" applyNumberFormat="1" applyBorder="1" applyAlignment="1">
      <alignment horizontal="left" vertical="center" wrapText="1"/>
    </xf>
    <xf numFmtId="166" fontId="110" fillId="13" borderId="41" xfId="29" applyNumberFormat="1" applyBorder="1" applyAlignment="1">
      <alignment horizontal="left" vertical="top" wrapText="1"/>
      <protection locked="0"/>
    </xf>
    <xf numFmtId="166" fontId="110" fillId="13" borderId="42" xfId="29" applyNumberFormat="1" applyBorder="1" applyAlignment="1">
      <alignment horizontal="left" vertical="top" wrapText="1"/>
      <protection locked="0"/>
    </xf>
    <xf numFmtId="166" fontId="90" fillId="11" borderId="36" xfId="14" applyNumberFormat="1" applyBorder="1" applyAlignment="1">
      <alignment horizontal="left" vertical="center" wrapText="1"/>
    </xf>
    <xf numFmtId="166" fontId="90" fillId="11" borderId="37" xfId="14" applyNumberFormat="1" applyBorder="1" applyAlignment="1">
      <alignment horizontal="left" vertical="center" wrapText="1"/>
    </xf>
    <xf numFmtId="0" fontId="170" fillId="10" borderId="0" xfId="0" applyFont="1" applyAlignment="1">
      <alignment horizontal="center" textRotation="90"/>
    </xf>
    <xf numFmtId="0" fontId="90" fillId="11" borderId="14" xfId="14" applyNumberFormat="1" applyBorder="1" applyAlignment="1">
      <alignment horizontal="left" wrapText="1"/>
    </xf>
    <xf numFmtId="0" fontId="90" fillId="11" borderId="14" xfId="14" applyNumberFormat="1" applyBorder="1" applyAlignment="1">
      <alignment horizontal="left" vertical="top" wrapText="1"/>
    </xf>
  </cellXfs>
  <cellStyles count="90">
    <cellStyle name="20% - Accent1" xfId="47" builtinId="30" hidden="1"/>
    <cellStyle name="20% - Accent2" xfId="51" builtinId="34" hidden="1"/>
    <cellStyle name="20% - Accent3" xfId="54" builtinId="38" hidden="1"/>
    <cellStyle name="20% - Accent4" xfId="58" builtinId="42" hidden="1"/>
    <cellStyle name="20% - Accent5" xfId="1" builtinId="46" hidden="1" customBuiltin="1"/>
    <cellStyle name="20% - Accent6" xfId="64" builtinId="50" hidden="1"/>
    <cellStyle name="40% - Accent1" xfId="48" builtinId="31" hidden="1"/>
    <cellStyle name="40% - Accent2" xfId="2" builtinId="35" hidden="1" customBuiltin="1"/>
    <cellStyle name="40% - Accent3" xfId="55" builtinId="39" hidden="1"/>
    <cellStyle name="40% - Accent4" xfId="59" builtinId="43" hidden="1"/>
    <cellStyle name="40% - Accent5" xfId="61" builtinId="47" hidden="1"/>
    <cellStyle name="40% - Accent6" xfId="65" builtinId="51" hidden="1"/>
    <cellStyle name="60% - Accent1" xfId="49" builtinId="32" hidden="1"/>
    <cellStyle name="60% - Accent2" xfId="52" builtinId="36" hidden="1"/>
    <cellStyle name="60% - Accent3" xfId="56" builtinId="40" hidden="1"/>
    <cellStyle name="60% - Accent4" xfId="60" builtinId="44" hidden="1"/>
    <cellStyle name="60% - Accent5" xfId="62" builtinId="48" hidden="1"/>
    <cellStyle name="60% - Accent6" xfId="66" builtinId="52" hidden="1"/>
    <cellStyle name="Accent1" xfId="46" builtinId="29" hidden="1"/>
    <cellStyle name="Accent2" xfId="50" builtinId="33" hidden="1"/>
    <cellStyle name="Accent3" xfId="53" builtinId="37" hidden="1"/>
    <cellStyle name="Accent4" xfId="57" builtinId="41" hidden="1"/>
    <cellStyle name="Accent5" xfId="3" builtinId="45" hidden="1" customBuiltin="1"/>
    <cellStyle name="Accent6" xfId="63" builtinId="49" hidden="1"/>
    <cellStyle name="Berekening" xfId="28" builtinId="22" hidden="1" customBuiltin="1"/>
    <cellStyle name="CELHOOGTE" xfId="30" xr:uid="{C2FA12FA-8D76-4368-9C66-60CAFDB982DA}"/>
    <cellStyle name="Controlecel" xfId="4" builtinId="23" hidden="1" customBuiltin="1"/>
    <cellStyle name="Gekoppelde cel" xfId="43" builtinId="24" hidden="1"/>
    <cellStyle name="Gevolgde hyperlink" xfId="15" builtinId="9" hidden="1"/>
    <cellStyle name="Goed" xfId="39" builtinId="26" hidden="1"/>
    <cellStyle name="Hyperlink" xfId="5" builtinId="8" hidden="1" customBuiltin="1"/>
    <cellStyle name="Hyperlink" xfId="76" builtinId="8"/>
    <cellStyle name="Hyperlink 2" xfId="86" xr:uid="{D24CA1D7-794B-4760-8E60-6339886F4095}"/>
    <cellStyle name="info" xfId="20" xr:uid="{00000000-0005-0000-0000-00002B000000}"/>
    <cellStyle name="info_in tabel" xfId="77" xr:uid="{AE6E0ED2-D974-4B1C-9D29-BC21543E5AD2}"/>
    <cellStyle name="invoer_optioneel" xfId="29" xr:uid="{0572773F-94FC-4E16-AA05-8A89C72EF59D}"/>
    <cellStyle name="invoer_optioneel_energiepost" xfId="73" xr:uid="{AFED46DF-529A-4297-A53A-C3DBA6D2FEBA}"/>
    <cellStyle name="invoer_verplicht" xfId="6" xr:uid="{00000000-0005-0000-0000-00002C000000}"/>
    <cellStyle name="invoer_verplicht_energie" xfId="78" xr:uid="{2D2C3A42-1067-49AD-BC62-23D8C3551712}"/>
    <cellStyle name="Komma" xfId="31" builtinId="3" hidden="1"/>
    <cellStyle name="Komma [0]" xfId="32" builtinId="6" hidden="1"/>
    <cellStyle name="Kop 1" xfId="35" builtinId="16" hidden="1"/>
    <cellStyle name="Kop 2" xfId="36" builtinId="17" hidden="1"/>
    <cellStyle name="Kop 3" xfId="37" builtinId="18" hidden="1"/>
    <cellStyle name="Kop 4" xfId="38" builtinId="19" hidden="1"/>
    <cellStyle name="KOP_GEBOUW_UT" xfId="26" xr:uid="{6D76F259-6C70-451E-A66B-1D618FB9E56B}"/>
    <cellStyle name="KOP_GEBOUW_WON" xfId="8" xr:uid="{00000000-0005-0000-0000-000035000000}"/>
    <cellStyle name="KOP_RES_energieposten" xfId="27" xr:uid="{41054D35-7C26-455A-8E59-92E19DCCC44A}"/>
    <cellStyle name="KOP_RES_gebouwen" xfId="70" xr:uid="{11A4069B-5A71-468C-B8CE-68C7AD628CA4}"/>
    <cellStyle name="KOP_RES_UT" xfId="7" xr:uid="{00000000-0005-0000-0000-000030000000}"/>
    <cellStyle name="Kopregel" xfId="9" xr:uid="{00000000-0005-0000-0000-000036000000}"/>
    <cellStyle name="markeren_startcel_VERSCHUIVING" xfId="74" xr:uid="{ADB5BDD0-E69A-4C83-B181-E236FA3C7102}"/>
    <cellStyle name="Neutraal" xfId="41" builtinId="28" hidden="1"/>
    <cellStyle name="Notitie" xfId="44" builtinId="10" hidden="1"/>
    <cellStyle name="onderschrift" xfId="11" xr:uid="{00000000-0005-0000-0000-00003A000000}"/>
    <cellStyle name="Ongeldig" xfId="40" builtinId="27" hidden="1"/>
    <cellStyle name="Procent" xfId="12" builtinId="5" hidden="1"/>
    <cellStyle name="rijhhoogte 1" xfId="79" xr:uid="{81178B03-87BA-4916-AB83-24B1926E644C}"/>
    <cellStyle name="rijhoogte 12" xfId="80" xr:uid="{969C9B20-0EE2-4632-ACDC-36F2F62F24A8}"/>
    <cellStyle name="Standaard" xfId="0" builtinId="0" customBuiltin="1"/>
    <cellStyle name="Standaard 2" xfId="84" xr:uid="{E877107D-AB1B-4A2E-8DE3-A7B9B3D67CEF}"/>
    <cellStyle name="Standaard 3" xfId="85" xr:uid="{3839277D-B334-441E-92FB-19995E4AE7ED}"/>
    <cellStyle name="Standaard 4" xfId="87" xr:uid="{F46EF0C7-38FF-4F20-9B45-67EFD9A673A2}"/>
    <cellStyle name="Tabelkop_energiepost_tekst" xfId="68" xr:uid="{27891AC3-A1A2-4266-B0C4-A2CE8D0D88C7}"/>
    <cellStyle name="Tabelkop_energiepost_tekst_som" xfId="67" xr:uid="{C326AB71-2CDE-4B1A-A1DA-140AC5C518E6}"/>
    <cellStyle name="Tabelkop_energiepost_titel" xfId="24" xr:uid="{00000000-0005-0000-0000-00004D000000}"/>
    <cellStyle name="Tabelkop_gebouwen_tekst" xfId="72" xr:uid="{57CDC742-69C4-4F0A-8DB9-D318C579C47A}"/>
    <cellStyle name="Tabelkop_gebouwen_tekst_som" xfId="71" xr:uid="{4F7731E3-FE83-45CC-93A0-1AA1FCF7D24C}"/>
    <cellStyle name="Tabelkop_gebouwen_titel" xfId="69" xr:uid="{49FA699A-6578-4C02-8B2B-0C1480F4533D}"/>
    <cellStyle name="tabeltekst" xfId="14" xr:uid="{00000000-0005-0000-0000-000048000000}"/>
    <cellStyle name="tabeltekst - resultaat" xfId="21" xr:uid="{00000000-0005-0000-0000-000049000000}"/>
    <cellStyle name="tabeltekst - resultaat 2" xfId="89" xr:uid="{BBBBE6A7-DA43-410E-BDD4-925249002AF6}"/>
    <cellStyle name="tabeltekst - totaalresultaat" xfId="25" xr:uid="{E4E49BEC-0DB8-428D-96A3-1CCAC0120040}"/>
    <cellStyle name="tabeltekst 2" xfId="88" xr:uid="{97087640-3BB2-4482-AF16-FD2D1EB40BCB}"/>
    <cellStyle name="tabeltekst_toelichting_tabel" xfId="75" xr:uid="{C83CB404-A0DC-492F-86C3-5872ADEDB5A9}"/>
    <cellStyle name="Tabeltitel" xfId="22" xr:uid="{00000000-0005-0000-0000-00004B000000}"/>
    <cellStyle name="Tabeltitel 2" xfId="23" xr:uid="{00000000-0005-0000-0000-00004C000000}"/>
    <cellStyle name="tekst selectie" xfId="13" xr:uid="{00000000-0005-0000-0000-00003E000000}"/>
    <cellStyle name="TITEL" xfId="16" xr:uid="{00000000-0005-0000-0000-00004E000000}"/>
    <cellStyle name="Titel 2" xfId="17" xr:uid="{00000000-0005-0000-0000-00004F000000}"/>
    <cellStyle name="Titel 2 gebouwen" xfId="81" xr:uid="{A63C4897-BFFD-4483-9B3F-5B5CDA756A68}"/>
    <cellStyle name="TITEL navigatiebalk" xfId="82" xr:uid="{6CCF8BF4-2858-4C82-B8F5-5B9EB111CFCF}"/>
    <cellStyle name="toelichting" xfId="83" xr:uid="{66E5F37E-1F07-4790-B7DD-D0AE86ABFF58}"/>
    <cellStyle name="Totaal" xfId="45" builtinId="25" hidden="1"/>
    <cellStyle name="tov referentie" xfId="10" xr:uid="{00000000-0005-0000-0000-000038000000}"/>
    <cellStyle name="Uitvoer" xfId="42" builtinId="21" hidden="1"/>
    <cellStyle name="Valuta" xfId="33" builtinId="4" hidden="1"/>
    <cellStyle name="Valuta [0]" xfId="34" builtinId="7" hidden="1"/>
    <cellStyle name="Verklarende tekst" xfId="18" builtinId="53" hidden="1" customBuiltin="1"/>
    <cellStyle name="Waarschuwingstekst" xfId="19" builtinId="11" hidden="1" customBuiltin="1"/>
  </cellStyles>
  <dxfs count="1711">
    <dxf>
      <font>
        <color rgb="FFFF0000"/>
      </font>
    </dxf>
    <dxf>
      <font>
        <color rgb="FFFF0000"/>
      </font>
    </dxf>
    <dxf>
      <font>
        <color rgb="FFFF0000"/>
      </font>
    </dxf>
    <dxf>
      <font>
        <color rgb="FFFF0000"/>
      </font>
    </dxf>
    <dxf>
      <font>
        <color rgb="FFFF0000"/>
      </font>
    </dxf>
    <dxf>
      <font>
        <color theme="0" tint="-4.9989318521683403E-2"/>
      </font>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rgb="FFFF0000"/>
      </font>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rgb="FFFF0000"/>
      </font>
    </dxf>
    <dxf>
      <font>
        <color theme="0" tint="-4.9989318521683403E-2"/>
      </font>
      <fill>
        <patternFill>
          <bgColor theme="0" tint="-4.9989318521683403E-2"/>
        </patternFill>
      </fill>
    </dxf>
    <dxf>
      <font>
        <color theme="0" tint="-4.9989318521683403E-2"/>
      </font>
    </dxf>
    <dxf>
      <font>
        <color rgb="FFFF0000"/>
      </font>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rgb="FFFF0000"/>
      </font>
    </dxf>
    <dxf>
      <font>
        <color rgb="FF00B050"/>
      </font>
    </dxf>
    <dxf>
      <font>
        <color rgb="FFFF0000"/>
      </font>
    </dxf>
    <dxf>
      <font>
        <color rgb="FF00B05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fill>
        <patternFill>
          <bgColor theme="0" tint="-4.9989318521683403E-2"/>
        </patternFill>
      </fill>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rgb="FFFF0000"/>
      </font>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rgb="FFF7F7F7"/>
        </patternFill>
      </fill>
    </dxf>
    <dxf>
      <font>
        <color theme="0"/>
      </font>
      <fill>
        <patternFill>
          <bgColor theme="9"/>
        </patternFill>
      </fill>
    </dxf>
    <dxf>
      <font>
        <color theme="1"/>
      </font>
      <fill>
        <patternFill>
          <bgColor rgb="FFFFFF9B"/>
        </patternFill>
      </fill>
    </dxf>
    <dxf>
      <font>
        <color theme="0" tint="-4.9989318521683403E-2"/>
      </font>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rgb="FFF2F2F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numFmt numFmtId="2" formatCode="0.00"/>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rgb="FFFF0000"/>
      </font>
    </dxf>
    <dxf>
      <font>
        <color theme="0" tint="-0.14996795556505021"/>
      </font>
    </dxf>
    <dxf>
      <font>
        <color theme="0" tint="-0.14996795556505021"/>
      </font>
    </dxf>
    <dxf>
      <font>
        <b/>
        <i val="0"/>
        <color theme="0"/>
      </font>
      <fill>
        <patternFill>
          <bgColor rgb="FFFF0000"/>
        </patternFill>
      </fill>
    </dxf>
    <dxf>
      <font>
        <b/>
        <i val="0"/>
        <color theme="0"/>
      </font>
      <fill>
        <patternFill>
          <bgColor rgb="FFFF0000"/>
        </patternFill>
      </fill>
    </dxf>
    <dxf>
      <font>
        <color rgb="FFE6E6E6"/>
      </font>
      <fill>
        <patternFill>
          <bgColor rgb="FFE6E6E6"/>
        </patternFill>
      </fill>
      <border>
        <vertical/>
        <horizontal/>
      </border>
    </dxf>
    <dxf>
      <font>
        <color theme="0"/>
      </font>
      <fill>
        <patternFill>
          <bgColor rgb="FFFF0000"/>
        </patternFill>
      </fill>
    </dxf>
    <dxf>
      <font>
        <color theme="0" tint="-0.24994659260841701"/>
      </font>
    </dxf>
    <dxf>
      <font>
        <color theme="0" tint="-0.14996795556505021"/>
      </font>
    </dxf>
    <dxf>
      <font>
        <b/>
        <i val="0"/>
        <color theme="0"/>
      </font>
      <fill>
        <patternFill>
          <bgColor rgb="FFFF0000"/>
        </patternFill>
      </fill>
    </dxf>
    <dxf>
      <font>
        <b/>
        <i val="0"/>
        <color theme="0"/>
      </font>
      <fill>
        <patternFill>
          <bgColor rgb="FFFF0000"/>
        </patternFill>
      </fill>
    </dxf>
    <dxf>
      <font>
        <color rgb="FF00B050"/>
      </font>
    </dxf>
    <dxf>
      <font>
        <color rgb="FF00B050"/>
      </font>
    </dxf>
    <dxf>
      <font>
        <color rgb="FF00B050"/>
      </font>
    </dxf>
    <dxf>
      <font>
        <color theme="0" tint="-0.24994659260841701"/>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0.34998626667073579"/>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rgb="FFBFBFBF"/>
      </font>
    </dxf>
    <dxf>
      <fill>
        <patternFill>
          <bgColor theme="9"/>
        </patternFill>
      </fill>
    </dxf>
    <dxf>
      <font>
        <color rgb="FFFF0000"/>
      </font>
    </dxf>
    <dxf>
      <font>
        <color rgb="FFFF0000"/>
      </font>
    </dxf>
    <dxf>
      <font>
        <color rgb="FFFF0000"/>
      </font>
    </dxf>
    <dxf>
      <font>
        <color rgb="FFFF0000"/>
      </font>
    </dxf>
    <dxf>
      <font>
        <color rgb="FFFF0000"/>
      </font>
    </dxf>
    <dxf>
      <font>
        <color theme="0" tint="-4.9989318521683403E-2"/>
      </font>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rgb="FFFF0000"/>
      </font>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rgb="FFFF0000"/>
      </font>
    </dxf>
    <dxf>
      <font>
        <color theme="0" tint="-4.9989318521683403E-2"/>
      </font>
      <fill>
        <patternFill>
          <bgColor theme="0" tint="-4.9989318521683403E-2"/>
        </patternFill>
      </fill>
    </dxf>
    <dxf>
      <font>
        <color theme="0" tint="-4.9989318521683403E-2"/>
      </font>
    </dxf>
    <dxf>
      <font>
        <color rgb="FFFF0000"/>
      </font>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rgb="FFFF0000"/>
      </font>
    </dxf>
    <dxf>
      <font>
        <color rgb="FF00B050"/>
      </font>
    </dxf>
    <dxf>
      <font>
        <color rgb="FFFF0000"/>
      </font>
    </dxf>
    <dxf>
      <font>
        <color rgb="FF00B05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fill>
        <patternFill>
          <bgColor theme="0" tint="-4.9989318521683403E-2"/>
        </patternFill>
      </fill>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rgb="FFFF0000"/>
      </font>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rgb="FFF7F7F7"/>
        </patternFill>
      </fill>
    </dxf>
    <dxf>
      <font>
        <color theme="0"/>
      </font>
      <fill>
        <patternFill>
          <bgColor theme="9"/>
        </patternFill>
      </fill>
    </dxf>
    <dxf>
      <font>
        <color theme="1"/>
      </font>
      <fill>
        <patternFill>
          <bgColor rgb="FFFFFF9B"/>
        </patternFill>
      </fill>
    </dxf>
    <dxf>
      <font>
        <color theme="0" tint="-4.9989318521683403E-2"/>
      </font>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rgb="FFF2F2F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numFmt numFmtId="2" formatCode="0.00"/>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rgb="FFFF0000"/>
      </font>
    </dxf>
    <dxf>
      <font>
        <color theme="0" tint="-0.14996795556505021"/>
      </font>
    </dxf>
    <dxf>
      <font>
        <color theme="0" tint="-0.14996795556505021"/>
      </font>
    </dxf>
    <dxf>
      <font>
        <b/>
        <i val="0"/>
        <color theme="0"/>
      </font>
      <fill>
        <patternFill>
          <bgColor rgb="FFFF0000"/>
        </patternFill>
      </fill>
    </dxf>
    <dxf>
      <font>
        <b/>
        <i val="0"/>
        <color theme="0"/>
      </font>
      <fill>
        <patternFill>
          <bgColor rgb="FFFF0000"/>
        </patternFill>
      </fill>
    </dxf>
    <dxf>
      <font>
        <color rgb="FFE6E6E6"/>
      </font>
      <fill>
        <patternFill>
          <bgColor rgb="FFE6E6E6"/>
        </patternFill>
      </fill>
      <border>
        <vertical/>
        <horizontal/>
      </border>
    </dxf>
    <dxf>
      <font>
        <color theme="0"/>
      </font>
      <fill>
        <patternFill>
          <bgColor rgb="FFFF0000"/>
        </patternFill>
      </fill>
    </dxf>
    <dxf>
      <font>
        <color theme="0" tint="-0.24994659260841701"/>
      </font>
    </dxf>
    <dxf>
      <font>
        <color theme="0" tint="-0.14996795556505021"/>
      </font>
    </dxf>
    <dxf>
      <font>
        <b/>
        <i val="0"/>
        <color theme="0"/>
      </font>
      <fill>
        <patternFill>
          <bgColor rgb="FFFF0000"/>
        </patternFill>
      </fill>
    </dxf>
    <dxf>
      <font>
        <b/>
        <i val="0"/>
        <color theme="0"/>
      </font>
      <fill>
        <patternFill>
          <bgColor rgb="FFFF0000"/>
        </patternFill>
      </fill>
    </dxf>
    <dxf>
      <font>
        <color rgb="FF00B050"/>
      </font>
    </dxf>
    <dxf>
      <font>
        <color rgb="FF00B050"/>
      </font>
    </dxf>
    <dxf>
      <font>
        <color rgb="FF00B050"/>
      </font>
    </dxf>
    <dxf>
      <font>
        <color theme="0" tint="-0.24994659260841701"/>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0.34998626667073579"/>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rgb="FFBFBFBF"/>
      </font>
    </dxf>
    <dxf>
      <fill>
        <patternFill>
          <bgColor theme="9"/>
        </patternFill>
      </fill>
    </dxf>
    <dxf>
      <font>
        <color rgb="FFFF0000"/>
      </font>
    </dxf>
    <dxf>
      <font>
        <color rgb="FFFF0000"/>
      </font>
    </dxf>
    <dxf>
      <font>
        <color rgb="FFFF0000"/>
      </font>
    </dxf>
    <dxf>
      <font>
        <color rgb="FFFF0000"/>
      </font>
    </dxf>
    <dxf>
      <font>
        <color rgb="FFFF0000"/>
      </font>
    </dxf>
    <dxf>
      <font>
        <color theme="0" tint="-4.9989318521683403E-2"/>
      </font>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rgb="FFFF0000"/>
      </font>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rgb="FFFF0000"/>
      </font>
    </dxf>
    <dxf>
      <font>
        <color theme="0" tint="-4.9989318521683403E-2"/>
      </font>
      <fill>
        <patternFill>
          <bgColor theme="0" tint="-4.9989318521683403E-2"/>
        </patternFill>
      </fill>
    </dxf>
    <dxf>
      <font>
        <color theme="0" tint="-4.9989318521683403E-2"/>
      </font>
    </dxf>
    <dxf>
      <font>
        <color rgb="FFFF0000"/>
      </font>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rgb="FFFF0000"/>
      </font>
    </dxf>
    <dxf>
      <font>
        <color rgb="FF00B050"/>
      </font>
    </dxf>
    <dxf>
      <font>
        <color rgb="FFFF0000"/>
      </font>
    </dxf>
    <dxf>
      <font>
        <color rgb="FF00B05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fill>
        <patternFill>
          <bgColor theme="0" tint="-4.9989318521683403E-2"/>
        </patternFill>
      </fill>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rgb="FFFF0000"/>
      </font>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rgb="FFF7F7F7"/>
        </patternFill>
      </fill>
    </dxf>
    <dxf>
      <font>
        <color theme="0"/>
      </font>
      <fill>
        <patternFill>
          <bgColor theme="9"/>
        </patternFill>
      </fill>
    </dxf>
    <dxf>
      <font>
        <color theme="1"/>
      </font>
      <fill>
        <patternFill>
          <bgColor rgb="FFFFFF9B"/>
        </patternFill>
      </fill>
    </dxf>
    <dxf>
      <font>
        <color theme="0" tint="-4.9989318521683403E-2"/>
      </font>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rgb="FFF2F2F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numFmt numFmtId="2" formatCode="0.00"/>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rgb="FFFF0000"/>
      </font>
    </dxf>
    <dxf>
      <font>
        <color theme="0" tint="-0.14996795556505021"/>
      </font>
    </dxf>
    <dxf>
      <font>
        <color theme="0" tint="-0.14996795556505021"/>
      </font>
    </dxf>
    <dxf>
      <font>
        <b/>
        <i val="0"/>
        <color theme="0"/>
      </font>
      <fill>
        <patternFill>
          <bgColor rgb="FFFF0000"/>
        </patternFill>
      </fill>
    </dxf>
    <dxf>
      <font>
        <b/>
        <i val="0"/>
        <color theme="0"/>
      </font>
      <fill>
        <patternFill>
          <bgColor rgb="FFFF0000"/>
        </patternFill>
      </fill>
    </dxf>
    <dxf>
      <font>
        <color rgb="FFE6E6E6"/>
      </font>
      <fill>
        <patternFill>
          <bgColor rgb="FFE6E6E6"/>
        </patternFill>
      </fill>
      <border>
        <vertical/>
        <horizontal/>
      </border>
    </dxf>
    <dxf>
      <font>
        <color theme="0"/>
      </font>
      <fill>
        <patternFill>
          <bgColor rgb="FFFF0000"/>
        </patternFill>
      </fill>
    </dxf>
    <dxf>
      <font>
        <color theme="0" tint="-0.24994659260841701"/>
      </font>
    </dxf>
    <dxf>
      <font>
        <color theme="0" tint="-0.14996795556505021"/>
      </font>
    </dxf>
    <dxf>
      <font>
        <b/>
        <i val="0"/>
        <color theme="0"/>
      </font>
      <fill>
        <patternFill>
          <bgColor rgb="FFFF0000"/>
        </patternFill>
      </fill>
    </dxf>
    <dxf>
      <font>
        <b/>
        <i val="0"/>
        <color theme="0"/>
      </font>
      <fill>
        <patternFill>
          <bgColor rgb="FFFF0000"/>
        </patternFill>
      </fill>
    </dxf>
    <dxf>
      <font>
        <color rgb="FF00B050"/>
      </font>
    </dxf>
    <dxf>
      <font>
        <color rgb="FF00B050"/>
      </font>
    </dxf>
    <dxf>
      <font>
        <color rgb="FF00B050"/>
      </font>
    </dxf>
    <dxf>
      <font>
        <color theme="0" tint="-0.24994659260841701"/>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0.34998626667073579"/>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rgb="FFBFBFBF"/>
      </font>
    </dxf>
    <dxf>
      <fill>
        <patternFill>
          <bgColor theme="9"/>
        </patternFill>
      </fill>
    </dxf>
    <dxf>
      <font>
        <color rgb="FFFF0000"/>
      </font>
    </dxf>
    <dxf>
      <font>
        <color rgb="FFFF0000"/>
      </font>
    </dxf>
    <dxf>
      <font>
        <color rgb="FFFF0000"/>
      </font>
    </dxf>
    <dxf>
      <font>
        <color rgb="FFFF0000"/>
      </font>
    </dxf>
    <dxf>
      <font>
        <color rgb="FFFF0000"/>
      </font>
    </dxf>
    <dxf>
      <font>
        <color theme="0" tint="-4.9989318521683403E-2"/>
      </font>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rgb="FFFF0000"/>
      </font>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rgb="FFFF0000"/>
      </font>
    </dxf>
    <dxf>
      <font>
        <color theme="0" tint="-4.9989318521683403E-2"/>
      </font>
      <fill>
        <patternFill>
          <bgColor theme="0" tint="-4.9989318521683403E-2"/>
        </patternFill>
      </fill>
    </dxf>
    <dxf>
      <font>
        <color theme="0" tint="-4.9989318521683403E-2"/>
      </font>
    </dxf>
    <dxf>
      <font>
        <color rgb="FFFF0000"/>
      </font>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rgb="FFFF0000"/>
      </font>
    </dxf>
    <dxf>
      <font>
        <color rgb="FF00B050"/>
      </font>
    </dxf>
    <dxf>
      <font>
        <color rgb="FFFF0000"/>
      </font>
    </dxf>
    <dxf>
      <font>
        <color rgb="FF00B05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fill>
        <patternFill>
          <bgColor theme="0" tint="-4.9989318521683403E-2"/>
        </patternFill>
      </fill>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rgb="FFFF0000"/>
      </font>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rgb="FFF7F7F7"/>
        </patternFill>
      </fill>
    </dxf>
    <dxf>
      <font>
        <color theme="0"/>
      </font>
      <fill>
        <patternFill>
          <bgColor theme="9"/>
        </patternFill>
      </fill>
    </dxf>
    <dxf>
      <font>
        <color theme="1"/>
      </font>
      <fill>
        <patternFill>
          <bgColor rgb="FFFFFF9B"/>
        </patternFill>
      </fill>
    </dxf>
    <dxf>
      <font>
        <color theme="0" tint="-4.9989318521683403E-2"/>
      </font>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rgb="FFF2F2F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numFmt numFmtId="2" formatCode="0.00"/>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rgb="FFFF0000"/>
      </font>
    </dxf>
    <dxf>
      <font>
        <color theme="0" tint="-0.14996795556505021"/>
      </font>
    </dxf>
    <dxf>
      <font>
        <color theme="0" tint="-0.14996795556505021"/>
      </font>
    </dxf>
    <dxf>
      <font>
        <b/>
        <i val="0"/>
        <color theme="0"/>
      </font>
      <fill>
        <patternFill>
          <bgColor rgb="FFFF0000"/>
        </patternFill>
      </fill>
    </dxf>
    <dxf>
      <font>
        <b/>
        <i val="0"/>
        <color theme="0"/>
      </font>
      <fill>
        <patternFill>
          <bgColor rgb="FFFF0000"/>
        </patternFill>
      </fill>
    </dxf>
    <dxf>
      <font>
        <color rgb="FFE6E6E6"/>
      </font>
      <fill>
        <patternFill>
          <bgColor rgb="FFE6E6E6"/>
        </patternFill>
      </fill>
      <border>
        <vertical/>
        <horizontal/>
      </border>
    </dxf>
    <dxf>
      <font>
        <color theme="0"/>
      </font>
      <fill>
        <patternFill>
          <bgColor rgb="FFFF0000"/>
        </patternFill>
      </fill>
    </dxf>
    <dxf>
      <font>
        <color theme="0" tint="-0.24994659260841701"/>
      </font>
    </dxf>
    <dxf>
      <font>
        <color theme="0" tint="-0.14996795556505021"/>
      </font>
    </dxf>
    <dxf>
      <font>
        <b/>
        <i val="0"/>
        <color theme="0"/>
      </font>
      <fill>
        <patternFill>
          <bgColor rgb="FFFF0000"/>
        </patternFill>
      </fill>
    </dxf>
    <dxf>
      <font>
        <b/>
        <i val="0"/>
        <color theme="0"/>
      </font>
      <fill>
        <patternFill>
          <bgColor rgb="FFFF0000"/>
        </patternFill>
      </fill>
    </dxf>
    <dxf>
      <font>
        <color rgb="FF00B050"/>
      </font>
    </dxf>
    <dxf>
      <font>
        <color rgb="FF00B050"/>
      </font>
    </dxf>
    <dxf>
      <font>
        <color rgb="FF00B050"/>
      </font>
    </dxf>
    <dxf>
      <font>
        <color theme="0" tint="-0.24994659260841701"/>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0.34998626667073579"/>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rgb="FFBFBFBF"/>
      </font>
    </dxf>
    <dxf>
      <fill>
        <patternFill>
          <bgColor theme="9"/>
        </patternFill>
      </fill>
    </dxf>
    <dxf>
      <font>
        <color theme="1"/>
      </font>
      <fill>
        <patternFill>
          <bgColor rgb="FFFFFF9B"/>
        </patternFill>
      </fill>
    </dxf>
    <dxf>
      <font>
        <color theme="0"/>
      </font>
      <fill>
        <patternFill>
          <bgColor rgb="FFFF0000"/>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font>
      <fill>
        <patternFill>
          <bgColor rgb="FFFF0000"/>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font>
      <fill>
        <patternFill>
          <bgColor rgb="FFFF0000"/>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1"/>
      </font>
      <fill>
        <patternFill>
          <bgColor rgb="FFFFFF9B"/>
        </patternFill>
      </fill>
    </dxf>
    <dxf>
      <fill>
        <patternFill>
          <bgColor theme="9"/>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C8"/>
        </patternFill>
      </fill>
      <border>
        <vertical/>
        <horizontal/>
      </border>
    </dxf>
    <dxf>
      <font>
        <color theme="1"/>
      </font>
      <fill>
        <patternFill>
          <bgColor rgb="FFFFFFC8"/>
        </patternFill>
      </fill>
      <border>
        <vertical/>
        <horizontal/>
      </border>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border>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border>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border>
        <vertical/>
        <horizontal/>
      </border>
    </dxf>
    <dxf>
      <font>
        <color theme="1"/>
      </font>
      <fill>
        <patternFill>
          <bgColor rgb="FFFFFF9B"/>
        </patternFill>
      </fill>
      <border>
        <vertical/>
        <horizontal/>
      </border>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C8"/>
        </patternFill>
      </fill>
    </dxf>
    <dxf>
      <font>
        <color theme="0" tint="-4.9989318521683403E-2"/>
      </font>
      <fill>
        <patternFill>
          <bgColor theme="0" tint="-4.9989318521683403E-2"/>
        </patternFill>
      </fill>
    </dxf>
    <dxf>
      <font>
        <color theme="1"/>
      </font>
      <fill>
        <patternFill>
          <bgColor rgb="FFFFFFC8"/>
        </patternFill>
      </fill>
      <border>
        <vertical/>
        <horizontal/>
      </border>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b val="0"/>
        <i val="0"/>
        <color auto="1"/>
      </font>
      <fill>
        <patternFill>
          <bgColor rgb="FFFFFF9B"/>
        </patternFill>
      </fill>
    </dxf>
    <dxf>
      <font>
        <color theme="1"/>
      </font>
      <fill>
        <patternFill>
          <bgColor rgb="FFFFFF9B"/>
        </patternFill>
      </fill>
    </dxf>
    <dxf>
      <font>
        <color theme="0"/>
      </font>
      <fill>
        <patternFill>
          <bgColor rgb="FFFF0000"/>
        </patternFill>
      </fill>
    </dxf>
    <dxf>
      <font>
        <color theme="0"/>
      </font>
      <fill>
        <patternFill>
          <bgColor rgb="FFFF0000"/>
        </patternFill>
      </fill>
    </dxf>
    <dxf>
      <font>
        <color theme="0" tint="-4.9989318521683403E-2"/>
      </font>
    </dxf>
    <dxf>
      <font>
        <color theme="4" tint="0.79998168889431442"/>
      </font>
    </dxf>
    <dxf>
      <font>
        <color theme="0" tint="-4.9989318521683403E-2"/>
      </font>
      <fill>
        <patternFill>
          <bgColor theme="0" tint="-4.9989318521683403E-2"/>
        </patternFill>
      </fill>
    </dxf>
    <dxf>
      <font>
        <color theme="4" tint="0.7999816888943144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4" tint="0.79998168889431442"/>
      </font>
    </dxf>
    <dxf>
      <font>
        <color rgb="FFFFEB9C"/>
      </font>
    </dxf>
    <dxf>
      <font>
        <color rgb="FFFFEB9C"/>
      </font>
    </dxf>
    <dxf>
      <font>
        <color theme="0" tint="-4.9989318521683403E-2"/>
      </font>
      <fill>
        <patternFill>
          <bgColor theme="0" tint="-4.9989318521683403E-2"/>
        </patternFill>
      </fill>
    </dxf>
    <dxf>
      <font>
        <color rgb="FFFFEB9C"/>
      </font>
    </dxf>
    <dxf>
      <font>
        <color rgb="FFFFEB9C"/>
      </font>
    </dxf>
    <dxf>
      <font>
        <color theme="0" tint="-4.9989318521683403E-2"/>
      </font>
      <fill>
        <patternFill>
          <bgColor theme="0" tint="-4.9989318521683403E-2"/>
        </patternFill>
      </fill>
    </dxf>
    <dxf>
      <font>
        <color rgb="FFFFEB9C"/>
      </font>
    </dxf>
    <dxf>
      <font>
        <color rgb="FFFFEB9C"/>
      </font>
    </dxf>
    <dxf>
      <font>
        <color theme="0" tint="-4.9989318521683403E-2"/>
      </font>
      <fill>
        <patternFill>
          <bgColor theme="0" tint="-4.9989318521683403E-2"/>
        </patternFill>
      </fill>
    </dxf>
    <dxf>
      <font>
        <color rgb="FFFFEB9C"/>
      </font>
    </dxf>
    <dxf>
      <font>
        <color rgb="FFFFEB9C"/>
      </font>
    </dxf>
    <dxf>
      <font>
        <color theme="0" tint="-4.9989318521683403E-2"/>
      </font>
      <fill>
        <patternFill>
          <bgColor theme="0" tint="-4.9989318521683403E-2"/>
        </patternFill>
      </fill>
    </dxf>
    <dxf>
      <font>
        <color rgb="FFFFEB9C"/>
      </font>
    </dxf>
    <dxf>
      <font>
        <color rgb="FFFFEB9C"/>
      </font>
    </dxf>
    <dxf>
      <font>
        <color theme="0" tint="-4.9989318521683403E-2"/>
      </font>
      <fill>
        <patternFill>
          <bgColor theme="0" tint="-4.9989318521683403E-2"/>
        </patternFill>
      </fill>
    </dxf>
    <dxf>
      <font>
        <color rgb="FFFFEB9C"/>
      </font>
    </dxf>
    <dxf>
      <font>
        <color rgb="FFFFEB9C"/>
      </font>
    </dxf>
    <dxf>
      <font>
        <color theme="0" tint="-4.9989318521683403E-2"/>
      </font>
      <fill>
        <patternFill>
          <bgColor theme="0" tint="-4.9989318521683403E-2"/>
        </patternFill>
      </fill>
    </dxf>
    <dxf>
      <font>
        <color theme="4" tint="0.79998168889431442"/>
      </font>
    </dxf>
    <dxf>
      <font>
        <color theme="4" tint="0.79998168889431442"/>
      </font>
    </dxf>
    <dxf>
      <font>
        <color theme="0" tint="-4.9989318521683403E-2"/>
      </font>
    </dxf>
    <dxf>
      <font>
        <color theme="4" tint="0.79998168889431442"/>
      </font>
    </dxf>
    <dxf>
      <font>
        <color theme="0"/>
      </font>
      <fill>
        <patternFill>
          <bgColor rgb="FFFF0000"/>
        </patternFill>
      </fill>
    </dxf>
    <dxf>
      <font>
        <b/>
        <i val="0"/>
      </font>
    </dxf>
    <dxf>
      <font>
        <color theme="0" tint="-4.9989318521683403E-2"/>
      </font>
    </dxf>
    <dxf>
      <font>
        <color theme="4" tint="0.79998168889431442"/>
      </font>
    </dxf>
    <dxf>
      <font>
        <color rgb="FFFF0000"/>
      </font>
      <fill>
        <patternFill>
          <bgColor theme="0"/>
        </patternFill>
      </fill>
    </dxf>
    <dxf>
      <font>
        <color theme="1"/>
      </font>
      <fill>
        <patternFill>
          <bgColor rgb="FFFFFF9B"/>
        </patternFill>
      </fill>
    </dxf>
    <dxf>
      <font>
        <color theme="0"/>
      </font>
      <fill>
        <patternFill>
          <bgColor rgb="FFFF0000"/>
        </patternFill>
      </fill>
    </dxf>
    <dxf>
      <font>
        <color rgb="FFFF0000"/>
      </font>
    </dxf>
    <dxf>
      <font>
        <color rgb="FFFF0000"/>
      </font>
    </dxf>
    <dxf>
      <font>
        <color rgb="FFFF0000"/>
      </font>
    </dxf>
    <dxf>
      <font>
        <color rgb="FFFF0000"/>
      </font>
    </dxf>
    <dxf>
      <font>
        <color rgb="FFFF0000"/>
      </font>
    </dxf>
    <dxf>
      <font>
        <color theme="0" tint="-4.9989318521683403E-2"/>
      </font>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rgb="FFFF0000"/>
      </font>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rgb="FFFF0000"/>
      </font>
    </dxf>
    <dxf>
      <font>
        <color theme="0" tint="-4.9989318521683403E-2"/>
      </font>
      <fill>
        <patternFill>
          <bgColor theme="0" tint="-4.9989318521683403E-2"/>
        </patternFill>
      </fill>
    </dxf>
    <dxf>
      <font>
        <color theme="0" tint="-4.9989318521683403E-2"/>
      </font>
    </dxf>
    <dxf>
      <font>
        <color rgb="FFFF0000"/>
      </font>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rgb="FFFF0000"/>
      </font>
    </dxf>
    <dxf>
      <font>
        <color rgb="FF00B050"/>
      </font>
    </dxf>
    <dxf>
      <font>
        <color rgb="FFFF0000"/>
      </font>
    </dxf>
    <dxf>
      <font>
        <color rgb="FF00B05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fill>
        <patternFill>
          <bgColor theme="0" tint="-4.9989318521683403E-2"/>
        </patternFill>
      </fill>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rgb="FFFF0000"/>
      </font>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rgb="FFF7F7F7"/>
        </patternFill>
      </fill>
    </dxf>
    <dxf>
      <font>
        <color theme="0"/>
      </font>
      <fill>
        <patternFill>
          <bgColor theme="9"/>
        </patternFill>
      </fill>
    </dxf>
    <dxf>
      <font>
        <color theme="1"/>
      </font>
      <fill>
        <patternFill>
          <bgColor rgb="FFFFFF9B"/>
        </patternFill>
      </fill>
    </dxf>
    <dxf>
      <font>
        <color theme="0" tint="-4.9989318521683403E-2"/>
      </font>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rgb="FFF2F2F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numFmt numFmtId="2" formatCode="0.00"/>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rgb="FFFF0000"/>
      </font>
    </dxf>
    <dxf>
      <font>
        <color theme="0" tint="-0.14996795556505021"/>
      </font>
    </dxf>
    <dxf>
      <font>
        <color theme="0" tint="-0.14996795556505021"/>
      </font>
    </dxf>
    <dxf>
      <font>
        <b/>
        <i val="0"/>
        <color theme="0"/>
      </font>
      <fill>
        <patternFill>
          <bgColor rgb="FFFF0000"/>
        </patternFill>
      </fill>
    </dxf>
    <dxf>
      <font>
        <b/>
        <i val="0"/>
        <color theme="0"/>
      </font>
      <fill>
        <patternFill>
          <bgColor rgb="FFFF0000"/>
        </patternFill>
      </fill>
    </dxf>
    <dxf>
      <font>
        <color rgb="FFE6E6E6"/>
      </font>
      <fill>
        <patternFill>
          <bgColor rgb="FFE6E6E6"/>
        </patternFill>
      </fill>
      <border>
        <vertical/>
        <horizontal/>
      </border>
    </dxf>
    <dxf>
      <font>
        <color theme="0"/>
      </font>
      <fill>
        <patternFill>
          <bgColor rgb="FFFF0000"/>
        </patternFill>
      </fill>
    </dxf>
    <dxf>
      <font>
        <color theme="0" tint="-0.24994659260841701"/>
      </font>
    </dxf>
    <dxf>
      <font>
        <color theme="0" tint="-0.14996795556505021"/>
      </font>
    </dxf>
    <dxf>
      <font>
        <b/>
        <i val="0"/>
        <color theme="0"/>
      </font>
      <fill>
        <patternFill>
          <bgColor rgb="FFFF0000"/>
        </patternFill>
      </fill>
    </dxf>
    <dxf>
      <font>
        <b/>
        <i val="0"/>
        <color theme="0"/>
      </font>
      <fill>
        <patternFill>
          <bgColor rgb="FFFF0000"/>
        </patternFill>
      </fill>
    </dxf>
    <dxf>
      <font>
        <color rgb="FF00B050"/>
      </font>
    </dxf>
    <dxf>
      <font>
        <color rgb="FF00B050"/>
      </font>
    </dxf>
    <dxf>
      <font>
        <color rgb="FF00B050"/>
      </font>
    </dxf>
    <dxf>
      <font>
        <color theme="0" tint="-0.24994659260841701"/>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0.34998626667073579"/>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rgb="FFBFBFBF"/>
      </font>
    </dxf>
    <dxf>
      <fill>
        <patternFill>
          <bgColor theme="9"/>
        </patternFill>
      </fill>
    </dxf>
    <dxf>
      <font>
        <color rgb="FFFF0000"/>
      </font>
    </dxf>
    <dxf>
      <font>
        <color rgb="FFFF0000"/>
      </font>
    </dxf>
    <dxf>
      <font>
        <color rgb="FFFF0000"/>
      </font>
    </dxf>
    <dxf>
      <font>
        <color rgb="FFFF0000"/>
      </font>
    </dxf>
    <dxf>
      <font>
        <color rgb="FFFF0000"/>
      </font>
    </dxf>
    <dxf>
      <font>
        <color theme="0" tint="-4.9989318521683403E-2"/>
      </font>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rgb="FFFF0000"/>
      </font>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rgb="FFFF0000"/>
      </font>
    </dxf>
    <dxf>
      <font>
        <color theme="0" tint="-4.9989318521683403E-2"/>
      </font>
      <fill>
        <patternFill>
          <bgColor theme="0" tint="-4.9989318521683403E-2"/>
        </patternFill>
      </fill>
    </dxf>
    <dxf>
      <font>
        <color theme="0" tint="-4.9989318521683403E-2"/>
      </font>
    </dxf>
    <dxf>
      <font>
        <color rgb="FFFF0000"/>
      </font>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rgb="FFFF0000"/>
      </font>
    </dxf>
    <dxf>
      <font>
        <color rgb="FF00B050"/>
      </font>
    </dxf>
    <dxf>
      <font>
        <color rgb="FFFF0000"/>
      </font>
    </dxf>
    <dxf>
      <font>
        <color rgb="FF00B05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b/>
        <i val="0"/>
        <color theme="0"/>
      </font>
      <fill>
        <patternFill>
          <bgColor rgb="FFFF0000"/>
        </patternFill>
      </fill>
    </dxf>
    <dxf>
      <font>
        <b/>
        <i val="0"/>
        <color theme="0"/>
      </font>
      <fill>
        <patternFill>
          <bgColor rgb="FFFF0000"/>
        </patternFill>
      </fill>
    </dxf>
    <dxf>
      <font>
        <color theme="0"/>
      </font>
      <fill>
        <patternFill>
          <bgColor rgb="FFFF0000"/>
        </patternFill>
      </fill>
    </dxf>
    <dxf>
      <font>
        <color rgb="FFE6E6E6"/>
      </font>
      <fill>
        <patternFill>
          <bgColor rgb="FFE6E6E6"/>
        </patternFill>
      </fill>
      <border>
        <vertical/>
        <horizontal/>
      </border>
    </dxf>
    <dxf>
      <font>
        <color theme="0" tint="-4.9989318521683403E-2"/>
      </font>
      <fill>
        <patternFill>
          <bgColor theme="0" tint="-4.9989318521683403E-2"/>
        </patternFill>
      </fill>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B050"/>
      </font>
    </dxf>
    <dxf>
      <font>
        <color rgb="FFFF0000"/>
      </font>
    </dxf>
    <dxf>
      <font>
        <color rgb="FF00B050"/>
      </font>
    </dxf>
    <dxf>
      <font>
        <color rgb="FFFF000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FF0000"/>
      </font>
    </dxf>
    <dxf>
      <font>
        <color rgb="FFFF0000"/>
      </font>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rgb="FFF7F7F7"/>
        </patternFill>
      </fill>
    </dxf>
    <dxf>
      <font>
        <color theme="0"/>
      </font>
      <fill>
        <patternFill>
          <bgColor theme="9"/>
        </patternFill>
      </fill>
    </dxf>
    <dxf>
      <font>
        <color theme="1"/>
      </font>
      <fill>
        <patternFill>
          <bgColor rgb="FFFFFF9B"/>
        </patternFill>
      </fill>
    </dxf>
    <dxf>
      <font>
        <color theme="0" tint="-4.9989318521683403E-2"/>
      </font>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rgb="FFF2F2F2"/>
        </patternFill>
      </fill>
    </dxf>
    <dxf>
      <font>
        <color theme="0"/>
      </font>
      <fill>
        <patternFill>
          <bgColor rgb="FFFF0000"/>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0"/>
      </font>
      <fill>
        <patternFill>
          <bgColor rgb="FFFF0000"/>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1"/>
      </font>
      <fill>
        <patternFill>
          <bgColor rgb="FFFFFF9B"/>
        </patternFill>
      </fill>
    </dxf>
    <dxf>
      <font>
        <color theme="1"/>
      </font>
      <fill>
        <patternFill>
          <bgColor rgb="FFFFFF9B"/>
        </patternFill>
      </fill>
    </dxf>
    <dxf>
      <font>
        <color theme="0" tint="-4.9989318521683403E-2"/>
      </font>
      <numFmt numFmtId="2" formatCode="0.00"/>
      <fill>
        <patternFill>
          <bgColor theme="0" tint="-4.9989318521683403E-2"/>
        </patternFill>
      </fill>
    </dxf>
    <dxf>
      <font>
        <color theme="1"/>
      </font>
      <fill>
        <patternFill>
          <bgColor rgb="FFFFFF9B"/>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rgb="FFFF0000"/>
        </patternFill>
      </fill>
    </dxf>
    <dxf>
      <font>
        <color theme="0"/>
      </font>
      <fill>
        <patternFill>
          <bgColor rgb="FFFF0000"/>
        </patternFill>
      </fill>
    </dxf>
    <dxf>
      <font>
        <color rgb="FFFF0000"/>
      </font>
    </dxf>
    <dxf>
      <font>
        <color theme="0" tint="-0.14996795556505021"/>
      </font>
    </dxf>
    <dxf>
      <font>
        <color theme="0" tint="-0.14996795556505021"/>
      </font>
    </dxf>
    <dxf>
      <font>
        <b/>
        <i val="0"/>
        <color theme="0"/>
      </font>
      <fill>
        <patternFill>
          <bgColor rgb="FFFF0000"/>
        </patternFill>
      </fill>
    </dxf>
    <dxf>
      <font>
        <b/>
        <i val="0"/>
        <color theme="0"/>
      </font>
      <fill>
        <patternFill>
          <bgColor rgb="FFFF0000"/>
        </patternFill>
      </fill>
    </dxf>
    <dxf>
      <font>
        <color rgb="FFE6E6E6"/>
      </font>
      <fill>
        <patternFill>
          <bgColor rgb="FFE6E6E6"/>
        </patternFill>
      </fill>
      <border>
        <vertical/>
        <horizontal/>
      </border>
    </dxf>
    <dxf>
      <font>
        <color theme="0"/>
      </font>
      <fill>
        <patternFill>
          <bgColor rgb="FFFF0000"/>
        </patternFill>
      </fill>
    </dxf>
    <dxf>
      <font>
        <color theme="0" tint="-0.24994659260841701"/>
      </font>
    </dxf>
    <dxf>
      <font>
        <color theme="0" tint="-0.14996795556505021"/>
      </font>
    </dxf>
    <dxf>
      <font>
        <b/>
        <i val="0"/>
        <color theme="0"/>
      </font>
      <fill>
        <patternFill>
          <bgColor rgb="FFFF0000"/>
        </patternFill>
      </fill>
    </dxf>
    <dxf>
      <font>
        <b/>
        <i val="0"/>
        <color theme="0"/>
      </font>
      <fill>
        <patternFill>
          <bgColor rgb="FFFF0000"/>
        </patternFill>
      </fill>
    </dxf>
    <dxf>
      <font>
        <color rgb="FF00B050"/>
      </font>
    </dxf>
    <dxf>
      <font>
        <color rgb="FF00B050"/>
      </font>
    </dxf>
    <dxf>
      <font>
        <color rgb="FF00B050"/>
      </font>
    </dxf>
    <dxf>
      <font>
        <color theme="0" tint="-0.24994659260841701"/>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tint="-0.34998626667073579"/>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1"/>
      </font>
      <fill>
        <patternFill>
          <bgColor rgb="FFFFFF9B"/>
        </patternFill>
      </fill>
    </dxf>
    <dxf>
      <font>
        <color rgb="FFBFBFBF"/>
      </font>
    </dxf>
    <dxf>
      <fill>
        <patternFill>
          <bgColor theme="9"/>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1" defaultTableStyle="TableStyleMedium2" defaultPivotStyle="PivotStyleLight16">
    <tableStyle name="Invisible" pivot="0" table="0" count="0" xr9:uid="{6C3891FF-ED58-41A1-970F-12B2EAACA75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275937"/>
      <rgbColor rgb="0039870C"/>
      <rgbColor rgb="00F7FBE1"/>
      <rgbColor rgb="00FFFF99"/>
      <rgbColor rgb="00333399"/>
      <rgbColor rgb="003366FF"/>
      <rgbColor rgb="00474B5D"/>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B"/>
      <color rgb="FFCBD9EB"/>
      <color rgb="FF275937"/>
      <color rgb="FF1F497D"/>
      <color rgb="FFF7F7F7"/>
      <color rgb="FFF2F2F2"/>
      <color rgb="FFE6E6E6"/>
      <color rgb="FF026A68"/>
      <color rgb="FF006C50"/>
      <color rgb="FFDDE8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993829015647854E-2"/>
          <c:y val="0.15750972094537311"/>
          <c:w val="0.8825532113829283"/>
          <c:h val="0.57786930479843868"/>
        </c:manualLayout>
      </c:layout>
      <c:barChart>
        <c:barDir val="bar"/>
        <c:grouping val="stacked"/>
        <c:varyColors val="0"/>
        <c:ser>
          <c:idx val="1"/>
          <c:order val="0"/>
          <c:tx>
            <c:strRef>
              <c:f>resultaten!$E$206</c:f>
              <c:strCache>
                <c:ptCount val="1"/>
                <c:pt idx="0">
                  <c:v>locatie 1</c:v>
                </c:pt>
              </c:strCache>
            </c:strRef>
          </c:tx>
          <c:spPr>
            <a:solidFill>
              <a:schemeClr val="accent5"/>
            </a:solidFill>
            <a:ln w="25400">
              <a:noFill/>
            </a:ln>
          </c:spPr>
          <c:invertIfNegative val="0"/>
          <c:dLbls>
            <c:numFmt formatCode="#,##0" sourceLinked="0"/>
            <c:spPr>
              <a:noFill/>
              <a:ln>
                <a:noFill/>
              </a:ln>
              <a:effectLst/>
            </c:spPr>
            <c:txPr>
              <a:bodyPr/>
              <a:lstStyle/>
              <a:p>
                <a:pPr>
                  <a:defRPr sz="800">
                    <a:solidFill>
                      <a:schemeClr val="bg1"/>
                    </a:solidFill>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resultaten!$M$8:$R$8</c:f>
              <c:strCache>
                <c:ptCount val="6"/>
                <c:pt idx="0">
                  <c:v>variant 1</c:v>
                </c:pt>
                <c:pt idx="1">
                  <c:v>variant 2</c:v>
                </c:pt>
                <c:pt idx="2">
                  <c:v>variant 3</c:v>
                </c:pt>
                <c:pt idx="3">
                  <c:v>variant 4</c:v>
                </c:pt>
                <c:pt idx="4">
                  <c:v>variant 5</c:v>
                </c:pt>
                <c:pt idx="5">
                  <c:v>variant 6</c:v>
                </c:pt>
              </c:strCache>
            </c:strRef>
          </c:cat>
          <c:val>
            <c:numRef>
              <c:f>resultaten!$M$206:$R$206</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78C-4D36-B5AA-AEF49772145A}"/>
            </c:ext>
          </c:extLst>
        </c:ser>
        <c:ser>
          <c:idx val="2"/>
          <c:order val="1"/>
          <c:tx>
            <c:strRef>
              <c:f>resultaten!$E$207</c:f>
              <c:strCache>
                <c:ptCount val="1"/>
                <c:pt idx="0">
                  <c:v>locatie 2</c:v>
                </c:pt>
              </c:strCache>
            </c:strRef>
          </c:tx>
          <c:spPr>
            <a:solidFill>
              <a:schemeClr val="accent5">
                <a:lumMod val="75000"/>
              </a:schemeClr>
            </a:solidFill>
          </c:spPr>
          <c:invertIfNegative val="0"/>
          <c:dLbls>
            <c:numFmt formatCode="#,##0" sourceLinked="0"/>
            <c:spPr>
              <a:noFill/>
              <a:ln>
                <a:noFill/>
              </a:ln>
              <a:effectLst/>
            </c:spPr>
            <c:txPr>
              <a:bodyPr wrap="square" lIns="38100" tIns="19050" rIns="38100" bIns="19050" anchor="ctr">
                <a:spAutoFit/>
              </a:bodyPr>
              <a:lstStyle/>
              <a:p>
                <a:pPr>
                  <a:defRPr sz="800">
                    <a:solidFill>
                      <a:schemeClr val="bg1"/>
                    </a:solidFill>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resultaten!$M$8:$R$8</c:f>
              <c:strCache>
                <c:ptCount val="6"/>
                <c:pt idx="0">
                  <c:v>variant 1</c:v>
                </c:pt>
                <c:pt idx="1">
                  <c:v>variant 2</c:v>
                </c:pt>
                <c:pt idx="2">
                  <c:v>variant 3</c:v>
                </c:pt>
                <c:pt idx="3">
                  <c:v>variant 4</c:v>
                </c:pt>
                <c:pt idx="4">
                  <c:v>variant 5</c:v>
                </c:pt>
                <c:pt idx="5">
                  <c:v>variant 6</c:v>
                </c:pt>
              </c:strCache>
            </c:strRef>
          </c:cat>
          <c:val>
            <c:numRef>
              <c:f>resultaten!$M$207:$R$207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78C-4D36-B5AA-AEF49772145A}"/>
            </c:ext>
          </c:extLst>
        </c:ser>
        <c:ser>
          <c:idx val="3"/>
          <c:order val="2"/>
          <c:tx>
            <c:strRef>
              <c:f>resultaten!$E$208</c:f>
              <c:strCache>
                <c:ptCount val="1"/>
                <c:pt idx="0">
                  <c:v>locatie 3</c:v>
                </c:pt>
              </c:strCache>
            </c:strRef>
          </c:tx>
          <c:spPr>
            <a:solidFill>
              <a:schemeClr val="accent5">
                <a:lumMod val="50000"/>
              </a:schemeClr>
            </a:solidFill>
          </c:spPr>
          <c:invertIfNegative val="0"/>
          <c:dLbls>
            <c:numFmt formatCode="#,##0" sourceLinked="0"/>
            <c:spPr>
              <a:noFill/>
              <a:ln>
                <a:noFill/>
              </a:ln>
              <a:effectLst/>
            </c:spPr>
            <c:txPr>
              <a:bodyPr wrap="square" lIns="38100" tIns="19050" rIns="38100" bIns="19050" anchor="ctr">
                <a:spAutoFit/>
              </a:bodyPr>
              <a:lstStyle/>
              <a:p>
                <a:pPr>
                  <a:defRPr sz="800">
                    <a:solidFill>
                      <a:schemeClr val="bg1"/>
                    </a:solidFill>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resultaten!$M$8:$R$8</c:f>
              <c:strCache>
                <c:ptCount val="6"/>
                <c:pt idx="0">
                  <c:v>variant 1</c:v>
                </c:pt>
                <c:pt idx="1">
                  <c:v>variant 2</c:v>
                </c:pt>
                <c:pt idx="2">
                  <c:v>variant 3</c:v>
                </c:pt>
                <c:pt idx="3">
                  <c:v>variant 4</c:v>
                </c:pt>
                <c:pt idx="4">
                  <c:v>variant 5</c:v>
                </c:pt>
                <c:pt idx="5">
                  <c:v>variant 6</c:v>
                </c:pt>
              </c:strCache>
            </c:strRef>
          </c:cat>
          <c:val>
            <c:numRef>
              <c:f>resultaten!$M$208:$R$208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378C-4D36-B5AA-AEF49772145A}"/>
            </c:ext>
          </c:extLst>
        </c:ser>
        <c:ser>
          <c:idx val="0"/>
          <c:order val="3"/>
          <c:tx>
            <c:strRef>
              <c:f>resultaten!$E$209</c:f>
              <c:strCache>
                <c:ptCount val="1"/>
                <c:pt idx="0">
                  <c:v>locatie 4</c:v>
                </c:pt>
              </c:strCache>
            </c:strRef>
          </c:tx>
          <c:spPr>
            <a:solidFill>
              <a:schemeClr val="accent6">
                <a:lumMod val="75000"/>
              </a:schemeClr>
            </a:solidFill>
            <a:ln w="25400">
              <a:noFill/>
            </a:ln>
          </c:spPr>
          <c:invertIfNegative val="0"/>
          <c:dLbls>
            <c:numFmt formatCode="#,##0" sourceLinked="0"/>
            <c:spPr>
              <a:noFill/>
              <a:ln>
                <a:noFill/>
              </a:ln>
              <a:effectLst/>
            </c:spPr>
            <c:txPr>
              <a:bodyPr/>
              <a:lstStyle/>
              <a:p>
                <a:pPr>
                  <a:defRPr sz="800">
                    <a:solidFill>
                      <a:schemeClr val="bg1"/>
                    </a:solidFil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resultaten!$M$8:$R$8</c:f>
              <c:strCache>
                <c:ptCount val="6"/>
                <c:pt idx="0">
                  <c:v>variant 1</c:v>
                </c:pt>
                <c:pt idx="1">
                  <c:v>variant 2</c:v>
                </c:pt>
                <c:pt idx="2">
                  <c:v>variant 3</c:v>
                </c:pt>
                <c:pt idx="3">
                  <c:v>variant 4</c:v>
                </c:pt>
                <c:pt idx="4">
                  <c:v>variant 5</c:v>
                </c:pt>
                <c:pt idx="5">
                  <c:v>variant 6</c:v>
                </c:pt>
              </c:strCache>
            </c:strRef>
          </c:cat>
          <c:val>
            <c:numRef>
              <c:f>resultaten!$M$209:$R$209</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378C-4D36-B5AA-AEF49772145A}"/>
            </c:ext>
          </c:extLst>
        </c:ser>
        <c:dLbls>
          <c:showLegendKey val="0"/>
          <c:showVal val="0"/>
          <c:showCatName val="0"/>
          <c:showSerName val="0"/>
          <c:showPercent val="0"/>
          <c:showBubbleSize val="0"/>
        </c:dLbls>
        <c:gapWidth val="50"/>
        <c:overlap val="100"/>
        <c:axId val="127972096"/>
        <c:axId val="127973632"/>
      </c:barChart>
      <c:catAx>
        <c:axId val="127972096"/>
        <c:scaling>
          <c:orientation val="maxMin"/>
        </c:scaling>
        <c:delete val="0"/>
        <c:axPos val="l"/>
        <c:majorGridlines>
          <c:spPr>
            <a:ln>
              <a:solidFill>
                <a:schemeClr val="bg1">
                  <a:lumMod val="85000"/>
                </a:schemeClr>
              </a:solidFill>
            </a:ln>
          </c:spPr>
        </c:majorGridlines>
        <c:numFmt formatCode="General" sourceLinked="1"/>
        <c:majorTickMark val="none"/>
        <c:minorTickMark val="none"/>
        <c:tickLblPos val="nextTo"/>
        <c:spPr>
          <a:ln w="3175">
            <a:solidFill>
              <a:schemeClr val="bg1">
                <a:lumMod val="65000"/>
              </a:schemeClr>
            </a:solidFill>
            <a:prstDash val="solid"/>
          </a:ln>
        </c:spPr>
        <c:txPr>
          <a:bodyPr rot="0" vert="horz"/>
          <a:lstStyle/>
          <a:p>
            <a:pPr>
              <a:defRPr>
                <a:solidFill>
                  <a:schemeClr val="bg1">
                    <a:lumMod val="50000"/>
                  </a:schemeClr>
                </a:solidFill>
              </a:defRPr>
            </a:pPr>
            <a:endParaRPr lang="nl-NL"/>
          </a:p>
        </c:txPr>
        <c:crossAx val="127973632"/>
        <c:crosses val="autoZero"/>
        <c:auto val="1"/>
        <c:lblAlgn val="ctr"/>
        <c:lblOffset val="100"/>
        <c:noMultiLvlLbl val="0"/>
      </c:catAx>
      <c:valAx>
        <c:axId val="127973632"/>
        <c:scaling>
          <c:orientation val="minMax"/>
          <c:min val="0"/>
        </c:scaling>
        <c:delete val="0"/>
        <c:axPos val="t"/>
        <c:majorGridlines>
          <c:spPr>
            <a:ln w="3175" cmpd="sng">
              <a:solidFill>
                <a:schemeClr val="bg1">
                  <a:lumMod val="85000"/>
                </a:schemeClr>
              </a:solidFill>
              <a:prstDash val="solid"/>
            </a:ln>
          </c:spPr>
        </c:majorGridlines>
        <c:minorGridlines>
          <c:spPr>
            <a:ln>
              <a:solidFill>
                <a:schemeClr val="bg1">
                  <a:lumMod val="95000"/>
                </a:schemeClr>
              </a:solidFill>
            </a:ln>
          </c:spPr>
        </c:minorGridlines>
        <c:numFmt formatCode="#,##0" sourceLinked="0"/>
        <c:majorTickMark val="out"/>
        <c:minorTickMark val="none"/>
        <c:tickLblPos val="high"/>
        <c:spPr>
          <a:ln w="9525">
            <a:noFill/>
          </a:ln>
        </c:spPr>
        <c:txPr>
          <a:bodyPr rot="0" vert="horz"/>
          <a:lstStyle/>
          <a:p>
            <a:pPr>
              <a:defRPr sz="1000">
                <a:solidFill>
                  <a:schemeClr val="bg1">
                    <a:lumMod val="50000"/>
                  </a:schemeClr>
                </a:solidFill>
                <a:latin typeface="Calibri Light" panose="020F0302020204030204" pitchFamily="34" charset="0"/>
                <a:cs typeface="Calibri Light" panose="020F0302020204030204" pitchFamily="34" charset="0"/>
              </a:defRPr>
            </a:pPr>
            <a:endParaRPr lang="nl-NL"/>
          </a:p>
        </c:txPr>
        <c:crossAx val="127972096"/>
        <c:crosses val="autoZero"/>
        <c:crossBetween val="between"/>
      </c:valAx>
      <c:spPr>
        <a:ln>
          <a:solidFill>
            <a:schemeClr val="bg1">
              <a:lumMod val="65000"/>
            </a:schemeClr>
          </a:solidFill>
        </a:ln>
      </c:spPr>
    </c:plotArea>
    <c:legend>
      <c:legendPos val="b"/>
      <c:layout>
        <c:manualLayout>
          <c:xMode val="edge"/>
          <c:yMode val="edge"/>
          <c:x val="7.7141578676711217E-2"/>
          <c:y val="0.86850720583004049"/>
          <c:w val="0.90000000000000013"/>
          <c:h val="9.0641169853768286E-2"/>
        </c:manualLayout>
      </c:layout>
      <c:overlay val="0"/>
      <c:spPr>
        <a:solidFill>
          <a:schemeClr val="bg2"/>
        </a:solidFill>
        <a:effectLst>
          <a:outerShdw blurRad="50800" dist="38100" dir="2700000" algn="tl" rotWithShape="0">
            <a:prstClr val="black">
              <a:alpha val="40000"/>
            </a:prstClr>
          </a:outerShdw>
        </a:effectLst>
      </c:spPr>
      <c:txPr>
        <a:bodyPr/>
        <a:lstStyle/>
        <a:p>
          <a:pPr>
            <a:defRPr sz="1000">
              <a:latin typeface="Calibri Light" panose="020F0302020204030204" pitchFamily="34" charset="0"/>
              <a:cs typeface="Calibri Light" panose="020F0302020204030204" pitchFamily="34" charset="0"/>
            </a:defRPr>
          </a:pPr>
          <a:endParaRPr lang="nl-NL"/>
        </a:p>
      </c:txPr>
    </c:legend>
    <c:plotVisOnly val="0"/>
    <c:dispBlanksAs val="gap"/>
    <c:showDLblsOverMax val="0"/>
  </c:chart>
  <c:spPr>
    <a:solidFill>
      <a:schemeClr val="bg1">
        <a:lumMod val="95000"/>
      </a:schemeClr>
    </a:solidFill>
  </c:spPr>
  <c:txPr>
    <a:bodyPr/>
    <a:lstStyle/>
    <a:p>
      <a:pPr>
        <a:defRPr sz="1000" b="0" i="0" u="none" strike="noStrike" baseline="0">
          <a:solidFill>
            <a:srgbClr val="000000"/>
          </a:solidFill>
          <a:latin typeface="+mn-lt"/>
          <a:ea typeface="Verdana"/>
          <a:cs typeface="Verdana"/>
        </a:defRPr>
      </a:pPr>
      <a:endParaRPr lang="nl-NL"/>
    </a:p>
  </c:txPr>
  <c:printSettings>
    <c:headerFooter/>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086347031048603E-2"/>
          <c:y val="0.15750972094537311"/>
          <c:w val="0.87916050570014626"/>
          <c:h val="0.57786930479843868"/>
        </c:manualLayout>
      </c:layout>
      <c:barChart>
        <c:barDir val="bar"/>
        <c:grouping val="stacked"/>
        <c:varyColors val="0"/>
        <c:ser>
          <c:idx val="1"/>
          <c:order val="0"/>
          <c:tx>
            <c:strRef>
              <c:f>resultaten!$E$78</c:f>
              <c:strCache>
                <c:ptCount val="1"/>
                <c:pt idx="0">
                  <c:v>locatie 1</c:v>
                </c:pt>
              </c:strCache>
            </c:strRef>
          </c:tx>
          <c:spPr>
            <a:solidFill>
              <a:schemeClr val="accent5"/>
            </a:solidFill>
            <a:ln w="25400">
              <a:noFill/>
            </a:ln>
          </c:spPr>
          <c:invertIfNegative val="0"/>
          <c:dLbls>
            <c:numFmt formatCode="#,##0" sourceLinked="0"/>
            <c:spPr>
              <a:noFill/>
              <a:ln>
                <a:noFill/>
              </a:ln>
              <a:effectLst/>
            </c:spPr>
            <c:txPr>
              <a:bodyPr/>
              <a:lstStyle/>
              <a:p>
                <a:pPr>
                  <a:defRPr sz="800">
                    <a:solidFill>
                      <a:schemeClr val="bg1"/>
                    </a:solidFill>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resultaten!$M$8:$R$8</c:f>
              <c:strCache>
                <c:ptCount val="6"/>
                <c:pt idx="0">
                  <c:v>variant 1</c:v>
                </c:pt>
                <c:pt idx="1">
                  <c:v>variant 2</c:v>
                </c:pt>
                <c:pt idx="2">
                  <c:v>variant 3</c:v>
                </c:pt>
                <c:pt idx="3">
                  <c:v>variant 4</c:v>
                </c:pt>
                <c:pt idx="4">
                  <c:v>variant 5</c:v>
                </c:pt>
                <c:pt idx="5">
                  <c:v>variant 6</c:v>
                </c:pt>
              </c:strCache>
            </c:strRef>
          </c:cat>
          <c:val>
            <c:numRef>
              <c:f>resultaten!$M$78:$R$78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DA7-4309-A1A1-24AD6C5A61F4}"/>
            </c:ext>
          </c:extLst>
        </c:ser>
        <c:ser>
          <c:idx val="2"/>
          <c:order val="1"/>
          <c:tx>
            <c:strRef>
              <c:f>resultaten!$E$79</c:f>
              <c:strCache>
                <c:ptCount val="1"/>
                <c:pt idx="0">
                  <c:v>locatie 2</c:v>
                </c:pt>
              </c:strCache>
            </c:strRef>
          </c:tx>
          <c:spPr>
            <a:solidFill>
              <a:schemeClr val="accent5">
                <a:lumMod val="75000"/>
              </a:schemeClr>
            </a:solidFill>
          </c:spPr>
          <c:invertIfNegative val="0"/>
          <c:dLbls>
            <c:numFmt formatCode="#,##0" sourceLinked="0"/>
            <c:spPr>
              <a:noFill/>
              <a:ln>
                <a:noFill/>
              </a:ln>
              <a:effectLst/>
            </c:spPr>
            <c:txPr>
              <a:bodyPr wrap="square" lIns="38100" tIns="19050" rIns="38100" bIns="19050" anchor="ctr">
                <a:spAutoFit/>
              </a:bodyPr>
              <a:lstStyle/>
              <a:p>
                <a:pPr>
                  <a:defRPr sz="800">
                    <a:solidFill>
                      <a:schemeClr val="bg1"/>
                    </a:solidFill>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resultaten!$M$8:$R$8</c:f>
              <c:strCache>
                <c:ptCount val="6"/>
                <c:pt idx="0">
                  <c:v>variant 1</c:v>
                </c:pt>
                <c:pt idx="1">
                  <c:v>variant 2</c:v>
                </c:pt>
                <c:pt idx="2">
                  <c:v>variant 3</c:v>
                </c:pt>
                <c:pt idx="3">
                  <c:v>variant 4</c:v>
                </c:pt>
                <c:pt idx="4">
                  <c:v>variant 5</c:v>
                </c:pt>
                <c:pt idx="5">
                  <c:v>variant 6</c:v>
                </c:pt>
              </c:strCache>
            </c:strRef>
          </c:cat>
          <c:val>
            <c:numRef>
              <c:f>resultaten!$M$79:$R$79</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DA7-4309-A1A1-24AD6C5A61F4}"/>
            </c:ext>
          </c:extLst>
        </c:ser>
        <c:ser>
          <c:idx val="3"/>
          <c:order val="2"/>
          <c:tx>
            <c:strRef>
              <c:f>resultaten!$E$80</c:f>
              <c:strCache>
                <c:ptCount val="1"/>
                <c:pt idx="0">
                  <c:v>locatie 3</c:v>
                </c:pt>
              </c:strCache>
            </c:strRef>
          </c:tx>
          <c:spPr>
            <a:solidFill>
              <a:schemeClr val="accent5">
                <a:lumMod val="50000"/>
              </a:schemeClr>
            </a:solidFill>
          </c:spPr>
          <c:invertIfNegative val="0"/>
          <c:dLbls>
            <c:numFmt formatCode="#,##0" sourceLinked="0"/>
            <c:spPr>
              <a:noFill/>
              <a:ln>
                <a:noFill/>
              </a:ln>
              <a:effectLst/>
            </c:spPr>
            <c:txPr>
              <a:bodyPr wrap="square" lIns="38100" tIns="19050" rIns="38100" bIns="19050" anchor="ctr">
                <a:spAutoFit/>
              </a:bodyPr>
              <a:lstStyle/>
              <a:p>
                <a:pPr>
                  <a:defRPr sz="800">
                    <a:solidFill>
                      <a:schemeClr val="bg1"/>
                    </a:solidFill>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resultaten!$M$8:$R$8</c:f>
              <c:strCache>
                <c:ptCount val="6"/>
                <c:pt idx="0">
                  <c:v>variant 1</c:v>
                </c:pt>
                <c:pt idx="1">
                  <c:v>variant 2</c:v>
                </c:pt>
                <c:pt idx="2">
                  <c:v>variant 3</c:v>
                </c:pt>
                <c:pt idx="3">
                  <c:v>variant 4</c:v>
                </c:pt>
                <c:pt idx="4">
                  <c:v>variant 5</c:v>
                </c:pt>
                <c:pt idx="5">
                  <c:v>variant 6</c:v>
                </c:pt>
              </c:strCache>
            </c:strRef>
          </c:cat>
          <c:val>
            <c:numRef>
              <c:f>resultaten!$M$80:$R$80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7DA7-4309-A1A1-24AD6C5A61F4}"/>
            </c:ext>
          </c:extLst>
        </c:ser>
        <c:ser>
          <c:idx val="0"/>
          <c:order val="3"/>
          <c:tx>
            <c:strRef>
              <c:f>resultaten!$E$81</c:f>
              <c:strCache>
                <c:ptCount val="1"/>
                <c:pt idx="0">
                  <c:v>locatie 4</c:v>
                </c:pt>
              </c:strCache>
            </c:strRef>
          </c:tx>
          <c:spPr>
            <a:solidFill>
              <a:schemeClr val="accent6">
                <a:lumMod val="75000"/>
              </a:schemeClr>
            </a:solidFill>
            <a:ln w="25400">
              <a:noFill/>
            </a:ln>
          </c:spPr>
          <c:invertIfNegative val="0"/>
          <c:dLbls>
            <c:numFmt formatCode="#,##0" sourceLinked="0"/>
            <c:spPr>
              <a:noFill/>
              <a:ln>
                <a:noFill/>
              </a:ln>
              <a:effectLst/>
            </c:spPr>
            <c:txPr>
              <a:bodyPr/>
              <a:lstStyle/>
              <a:p>
                <a:pPr>
                  <a:defRPr sz="800">
                    <a:solidFill>
                      <a:schemeClr val="bg1"/>
                    </a:solidFil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resultaten!$M$8:$R$8</c:f>
              <c:strCache>
                <c:ptCount val="6"/>
                <c:pt idx="0">
                  <c:v>variant 1</c:v>
                </c:pt>
                <c:pt idx="1">
                  <c:v>variant 2</c:v>
                </c:pt>
                <c:pt idx="2">
                  <c:v>variant 3</c:v>
                </c:pt>
                <c:pt idx="3">
                  <c:v>variant 4</c:v>
                </c:pt>
                <c:pt idx="4">
                  <c:v>variant 5</c:v>
                </c:pt>
                <c:pt idx="5">
                  <c:v>variant 6</c:v>
                </c:pt>
              </c:strCache>
            </c:strRef>
          </c:cat>
          <c:val>
            <c:numRef>
              <c:f>resultaten!$M$81:$R$81</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7DA7-4309-A1A1-24AD6C5A61F4}"/>
            </c:ext>
          </c:extLst>
        </c:ser>
        <c:dLbls>
          <c:showLegendKey val="0"/>
          <c:showVal val="0"/>
          <c:showCatName val="0"/>
          <c:showSerName val="0"/>
          <c:showPercent val="0"/>
          <c:showBubbleSize val="0"/>
        </c:dLbls>
        <c:gapWidth val="50"/>
        <c:overlap val="100"/>
        <c:axId val="127972096"/>
        <c:axId val="127973632"/>
      </c:barChart>
      <c:catAx>
        <c:axId val="127972096"/>
        <c:scaling>
          <c:orientation val="maxMin"/>
        </c:scaling>
        <c:delete val="0"/>
        <c:axPos val="l"/>
        <c:majorGridlines>
          <c:spPr>
            <a:ln>
              <a:solidFill>
                <a:schemeClr val="bg1">
                  <a:lumMod val="85000"/>
                </a:schemeClr>
              </a:solidFill>
            </a:ln>
          </c:spPr>
        </c:majorGridlines>
        <c:numFmt formatCode="General" sourceLinked="1"/>
        <c:majorTickMark val="none"/>
        <c:minorTickMark val="none"/>
        <c:tickLblPos val="nextTo"/>
        <c:spPr>
          <a:ln w="3175">
            <a:solidFill>
              <a:schemeClr val="bg1">
                <a:lumMod val="65000"/>
              </a:schemeClr>
            </a:solidFill>
            <a:prstDash val="solid"/>
          </a:ln>
        </c:spPr>
        <c:txPr>
          <a:bodyPr rot="0" vert="horz"/>
          <a:lstStyle/>
          <a:p>
            <a:pPr>
              <a:defRPr>
                <a:solidFill>
                  <a:schemeClr val="bg1">
                    <a:lumMod val="50000"/>
                  </a:schemeClr>
                </a:solidFill>
              </a:defRPr>
            </a:pPr>
            <a:endParaRPr lang="nl-NL"/>
          </a:p>
        </c:txPr>
        <c:crossAx val="127973632"/>
        <c:crosses val="autoZero"/>
        <c:auto val="1"/>
        <c:lblAlgn val="ctr"/>
        <c:lblOffset val="100"/>
        <c:noMultiLvlLbl val="0"/>
      </c:catAx>
      <c:valAx>
        <c:axId val="127973632"/>
        <c:scaling>
          <c:orientation val="minMax"/>
          <c:min val="0"/>
        </c:scaling>
        <c:delete val="0"/>
        <c:axPos val="t"/>
        <c:majorGridlines>
          <c:spPr>
            <a:ln w="3175" cmpd="sng">
              <a:solidFill>
                <a:schemeClr val="bg1">
                  <a:lumMod val="85000"/>
                </a:schemeClr>
              </a:solidFill>
              <a:prstDash val="solid"/>
            </a:ln>
          </c:spPr>
        </c:majorGridlines>
        <c:minorGridlines>
          <c:spPr>
            <a:ln>
              <a:solidFill>
                <a:schemeClr val="bg1">
                  <a:lumMod val="95000"/>
                </a:schemeClr>
              </a:solidFill>
            </a:ln>
          </c:spPr>
        </c:minorGridlines>
        <c:numFmt formatCode="#,##0" sourceLinked="0"/>
        <c:majorTickMark val="out"/>
        <c:minorTickMark val="none"/>
        <c:tickLblPos val="high"/>
        <c:spPr>
          <a:ln w="9525">
            <a:noFill/>
          </a:ln>
        </c:spPr>
        <c:txPr>
          <a:bodyPr rot="0" vert="horz"/>
          <a:lstStyle/>
          <a:p>
            <a:pPr>
              <a:defRPr sz="1000">
                <a:solidFill>
                  <a:schemeClr val="bg1">
                    <a:lumMod val="50000"/>
                  </a:schemeClr>
                </a:solidFill>
                <a:latin typeface="Calibri Light" panose="020F0302020204030204" pitchFamily="34" charset="0"/>
                <a:cs typeface="Calibri Light" panose="020F0302020204030204" pitchFamily="34" charset="0"/>
              </a:defRPr>
            </a:pPr>
            <a:endParaRPr lang="nl-NL"/>
          </a:p>
        </c:txPr>
        <c:crossAx val="127972096"/>
        <c:crosses val="autoZero"/>
        <c:crossBetween val="between"/>
      </c:valAx>
      <c:spPr>
        <a:ln>
          <a:solidFill>
            <a:schemeClr val="bg1">
              <a:lumMod val="65000"/>
            </a:schemeClr>
          </a:solidFill>
        </a:ln>
      </c:spPr>
    </c:plotArea>
    <c:legend>
      <c:legendPos val="b"/>
      <c:layout>
        <c:manualLayout>
          <c:xMode val="edge"/>
          <c:yMode val="edge"/>
          <c:x val="7.7141578676711217E-2"/>
          <c:y val="0.86850720583004049"/>
          <c:w val="0.90000000000000013"/>
          <c:h val="9.0641169853768286E-2"/>
        </c:manualLayout>
      </c:layout>
      <c:overlay val="0"/>
      <c:spPr>
        <a:solidFill>
          <a:schemeClr val="bg2"/>
        </a:solidFill>
        <a:effectLst>
          <a:outerShdw blurRad="50800" dist="38100" dir="2700000" algn="tl" rotWithShape="0">
            <a:prstClr val="black">
              <a:alpha val="40000"/>
            </a:prstClr>
          </a:outerShdw>
        </a:effectLst>
      </c:spPr>
      <c:txPr>
        <a:bodyPr/>
        <a:lstStyle/>
        <a:p>
          <a:pPr>
            <a:defRPr sz="1000">
              <a:latin typeface="Calibri Light" panose="020F0302020204030204" pitchFamily="34" charset="0"/>
              <a:cs typeface="Calibri Light" panose="020F0302020204030204" pitchFamily="34" charset="0"/>
            </a:defRPr>
          </a:pPr>
          <a:endParaRPr lang="nl-NL"/>
        </a:p>
      </c:txPr>
    </c:legend>
    <c:plotVisOnly val="0"/>
    <c:dispBlanksAs val="gap"/>
    <c:showDLblsOverMax val="0"/>
  </c:chart>
  <c:spPr>
    <a:solidFill>
      <a:schemeClr val="bg1">
        <a:lumMod val="95000"/>
      </a:schemeClr>
    </a:solidFill>
  </c:spPr>
  <c:txPr>
    <a:bodyPr/>
    <a:lstStyle/>
    <a:p>
      <a:pPr>
        <a:defRPr sz="1000" b="0" i="0" u="none" strike="noStrike" baseline="0">
          <a:solidFill>
            <a:srgbClr val="000000"/>
          </a:solidFill>
          <a:latin typeface="+mn-lt"/>
          <a:ea typeface="Verdana"/>
          <a:cs typeface="Verdana"/>
        </a:defRPr>
      </a:pPr>
      <a:endParaRPr lang="nl-NL"/>
    </a:p>
  </c:txPr>
  <c:printSettings>
    <c:headerFooter/>
    <c:pageMargins b="1" l="0.75" r="0.75"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66948943855592E-2"/>
          <c:y val="0.1825020421575724"/>
          <c:w val="0.91396869176663653"/>
          <c:h val="0.70208234196335417"/>
        </c:manualLayout>
      </c:layout>
      <c:barChart>
        <c:barDir val="col"/>
        <c:grouping val="clustered"/>
        <c:varyColors val="0"/>
        <c:ser>
          <c:idx val="0"/>
          <c:order val="0"/>
          <c:tx>
            <c:strRef>
              <c:f>'Energiebehoefte algemeen'!$B$13</c:f>
              <c:strCache>
                <c:ptCount val="1"/>
                <c:pt idx="0">
                  <c:v>0,50</c:v>
                </c:pt>
              </c:strCache>
            </c:strRef>
          </c:tx>
          <c:spPr>
            <a:solidFill>
              <a:schemeClr val="accent1">
                <a:alpha val="85000"/>
              </a:schemeClr>
            </a:solidFill>
            <a:ln w="9525" cap="flat" cmpd="sng" algn="ctr">
              <a:solidFill>
                <a:schemeClr val="accent1">
                  <a:lumMod val="75000"/>
                </a:schemeClr>
              </a:solidFill>
              <a:round/>
            </a:ln>
            <a:effectLst/>
          </c:spPr>
          <c:invertIfNegative val="0"/>
          <c:cat>
            <c:strRef>
              <c:f>'Energiebehoefte algemeen'!$D$11:$K$11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algemeen'!$D$13:$K$13</c:f>
              <c:numCache>
                <c:formatCode>0</c:formatCode>
                <c:ptCount val="8"/>
                <c:pt idx="0">
                  <c:v>88.088332081020795</c:v>
                </c:pt>
                <c:pt idx="1">
                  <c:v>44.919422488799</c:v>
                </c:pt>
                <c:pt idx="2">
                  <c:v>31.636681075807683</c:v>
                </c:pt>
                <c:pt idx="3">
                  <c:v>24.995310369312019</c:v>
                </c:pt>
                <c:pt idx="4">
                  <c:v>16.693596986192446</c:v>
                </c:pt>
                <c:pt idx="5">
                  <c:v>15.033254309568528</c:v>
                </c:pt>
                <c:pt idx="6">
                  <c:v>13.372911632944614</c:v>
                </c:pt>
                <c:pt idx="7">
                  <c:v>10.052226279696784</c:v>
                </c:pt>
              </c:numCache>
            </c:numRef>
          </c:val>
          <c:extLst>
            <c:ext xmlns:c16="http://schemas.microsoft.com/office/drawing/2014/chart" uri="{C3380CC4-5D6E-409C-BE32-E72D297353CC}">
              <c16:uniqueId val="{00000000-4C73-472B-BD23-61EA90FAE709}"/>
            </c:ext>
          </c:extLst>
        </c:ser>
        <c:ser>
          <c:idx val="1"/>
          <c:order val="1"/>
          <c:tx>
            <c:strRef>
              <c:f>'Energiebehoefte algemeen'!$B$14</c:f>
              <c:strCache>
                <c:ptCount val="1"/>
                <c:pt idx="0">
                  <c:v>0,75</c:v>
                </c:pt>
              </c:strCache>
            </c:strRef>
          </c:tx>
          <c:spPr>
            <a:solidFill>
              <a:schemeClr val="accent2">
                <a:alpha val="85000"/>
              </a:schemeClr>
            </a:solidFill>
            <a:ln w="9525" cap="flat" cmpd="sng" algn="ctr">
              <a:solidFill>
                <a:schemeClr val="accent2">
                  <a:lumMod val="75000"/>
                </a:schemeClr>
              </a:solidFill>
              <a:round/>
            </a:ln>
            <a:effectLst/>
          </c:spPr>
          <c:invertIfNegative val="0"/>
          <c:cat>
            <c:strRef>
              <c:f>'Energiebehoefte algemeen'!$D$11:$K$11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algemeen'!$D$14:$K$14</c:f>
              <c:numCache>
                <c:formatCode>0</c:formatCode>
                <c:ptCount val="8"/>
                <c:pt idx="0">
                  <c:v>123.61095958262166</c:v>
                </c:pt>
                <c:pt idx="1">
                  <c:v>63.015855366973028</c:v>
                </c:pt>
                <c:pt idx="2">
                  <c:v>44.371207916004217</c:v>
                </c:pt>
                <c:pt idx="3">
                  <c:v>35.048884190519807</c:v>
                </c:pt>
                <c:pt idx="4">
                  <c:v>23.395979533664306</c:v>
                </c:pt>
                <c:pt idx="5">
                  <c:v>21.065398602293207</c:v>
                </c:pt>
                <c:pt idx="6">
                  <c:v>18.734817670922105</c:v>
                </c:pt>
                <c:pt idx="7">
                  <c:v>14.0736558081799</c:v>
                </c:pt>
              </c:numCache>
            </c:numRef>
          </c:val>
          <c:extLst>
            <c:ext xmlns:c16="http://schemas.microsoft.com/office/drawing/2014/chart" uri="{C3380CC4-5D6E-409C-BE32-E72D297353CC}">
              <c16:uniqueId val="{00000001-4C73-472B-BD23-61EA90FAE709}"/>
            </c:ext>
          </c:extLst>
        </c:ser>
        <c:ser>
          <c:idx val="2"/>
          <c:order val="2"/>
          <c:tx>
            <c:strRef>
              <c:f>'Energiebehoefte algemeen'!$B$15</c:f>
              <c:strCache>
                <c:ptCount val="1"/>
                <c:pt idx="0">
                  <c:v>1,00</c:v>
                </c:pt>
              </c:strCache>
            </c:strRef>
          </c:tx>
          <c:spPr>
            <a:solidFill>
              <a:schemeClr val="accent3">
                <a:alpha val="85000"/>
              </a:schemeClr>
            </a:solidFill>
            <a:ln w="9525" cap="flat" cmpd="sng" algn="ctr">
              <a:solidFill>
                <a:schemeClr val="accent3">
                  <a:lumMod val="75000"/>
                </a:schemeClr>
              </a:solidFill>
              <a:round/>
            </a:ln>
            <a:effectLst/>
          </c:spPr>
          <c:invertIfNegative val="0"/>
          <c:cat>
            <c:strRef>
              <c:f>'Energiebehoefte algemeen'!$D$11:$K$11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algemeen'!$D$15:$K$15</c:f>
              <c:numCache>
                <c:formatCode>0</c:formatCode>
                <c:ptCount val="8"/>
                <c:pt idx="0">
                  <c:v>157.20865168175712</c:v>
                </c:pt>
                <c:pt idx="1">
                  <c:v>80.131660775966552</c:v>
                </c:pt>
                <c:pt idx="2">
                  <c:v>56.415663574184848</c:v>
                </c:pt>
                <c:pt idx="3">
                  <c:v>44.557664973293988</c:v>
                </c:pt>
                <c:pt idx="4">
                  <c:v>29.735166722180427</c:v>
                </c:pt>
                <c:pt idx="5">
                  <c:v>26.770667071957714</c:v>
                </c:pt>
                <c:pt idx="6">
                  <c:v>23.806167421735001</c:v>
                </c:pt>
                <c:pt idx="7">
                  <c:v>17.877168121289575</c:v>
                </c:pt>
              </c:numCache>
            </c:numRef>
          </c:val>
          <c:extLst>
            <c:ext xmlns:c16="http://schemas.microsoft.com/office/drawing/2014/chart" uri="{C3380CC4-5D6E-409C-BE32-E72D297353CC}">
              <c16:uniqueId val="{00000002-4C73-472B-BD23-61EA90FAE709}"/>
            </c:ext>
          </c:extLst>
        </c:ser>
        <c:ser>
          <c:idx val="3"/>
          <c:order val="3"/>
          <c:tx>
            <c:strRef>
              <c:f>'Energiebehoefte algemeen'!$B$16</c:f>
              <c:strCache>
                <c:ptCount val="1"/>
                <c:pt idx="0">
                  <c:v>1,50</c:v>
                </c:pt>
              </c:strCache>
            </c:strRef>
          </c:tx>
          <c:spPr>
            <a:solidFill>
              <a:schemeClr val="accent4">
                <a:alpha val="85000"/>
              </a:schemeClr>
            </a:solidFill>
            <a:ln w="9525" cap="flat" cmpd="sng" algn="ctr">
              <a:solidFill>
                <a:schemeClr val="accent4">
                  <a:lumMod val="75000"/>
                </a:schemeClr>
              </a:solidFill>
              <a:round/>
            </a:ln>
            <a:effectLst/>
          </c:spPr>
          <c:invertIfNegative val="0"/>
          <c:cat>
            <c:strRef>
              <c:f>'Energiebehoefte algemeen'!$D$11:$K$11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algemeen'!$D$16:$K$16</c:f>
              <c:numCache>
                <c:formatCode>0</c:formatCode>
                <c:ptCount val="8"/>
                <c:pt idx="0">
                  <c:v>220.6334002508988</c:v>
                </c:pt>
                <c:pt idx="1">
                  <c:v>112.44238174515193</c:v>
                </c:pt>
                <c:pt idx="2">
                  <c:v>79.152837589537526</c:v>
                </c:pt>
                <c:pt idx="3">
                  <c:v>62.508065511730315</c:v>
                </c:pt>
                <c:pt idx="4">
                  <c:v>41.702100414471303</c:v>
                </c:pt>
                <c:pt idx="5">
                  <c:v>37.540907395019502</c:v>
                </c:pt>
                <c:pt idx="6">
                  <c:v>33.379714375567701</c:v>
                </c:pt>
                <c:pt idx="7">
                  <c:v>25.057328336664106</c:v>
                </c:pt>
              </c:numCache>
            </c:numRef>
          </c:val>
          <c:extLst>
            <c:ext xmlns:c16="http://schemas.microsoft.com/office/drawing/2014/chart" uri="{C3380CC4-5D6E-409C-BE32-E72D297353CC}">
              <c16:uniqueId val="{00000003-4C73-472B-BD23-61EA90FAE709}"/>
            </c:ext>
          </c:extLst>
        </c:ser>
        <c:ser>
          <c:idx val="4"/>
          <c:order val="4"/>
          <c:tx>
            <c:strRef>
              <c:f>'Energiebehoefte algemeen'!$B$17</c:f>
              <c:strCache>
                <c:ptCount val="1"/>
                <c:pt idx="0">
                  <c:v>2,00</c:v>
                </c:pt>
              </c:strCache>
            </c:strRef>
          </c:tx>
          <c:spPr>
            <a:solidFill>
              <a:schemeClr val="accent5">
                <a:alpha val="85000"/>
              </a:schemeClr>
            </a:solidFill>
            <a:ln w="9525" cap="flat" cmpd="sng" algn="ctr">
              <a:solidFill>
                <a:schemeClr val="accent5">
                  <a:lumMod val="75000"/>
                </a:schemeClr>
              </a:solidFill>
              <a:round/>
            </a:ln>
            <a:effectLst/>
          </c:spPr>
          <c:invertIfNegative val="0"/>
          <c:cat>
            <c:strRef>
              <c:f>'Energiebehoefte algemeen'!$D$11:$K$11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algemeen'!$D$17:$K$17</c:f>
              <c:numCache>
                <c:formatCode>0</c:formatCode>
                <c:ptCount val="8"/>
                <c:pt idx="0">
                  <c:v>280.62122558265582</c:v>
                </c:pt>
                <c:pt idx="1">
                  <c:v>143.00221729151875</c:v>
                </c:pt>
                <c:pt idx="2">
                  <c:v>100.65790704809194</c:v>
                </c:pt>
                <c:pt idx="3">
                  <c:v>79.485751926378541</c:v>
                </c:pt>
                <c:pt idx="4">
                  <c:v>53.020558024236792</c:v>
                </c:pt>
                <c:pt idx="5">
                  <c:v>47.727519243808437</c:v>
                </c:pt>
                <c:pt idx="6">
                  <c:v>42.43448046338009</c:v>
                </c:pt>
                <c:pt idx="7">
                  <c:v>31.848402902523393</c:v>
                </c:pt>
              </c:numCache>
            </c:numRef>
          </c:val>
          <c:extLst>
            <c:ext xmlns:c16="http://schemas.microsoft.com/office/drawing/2014/chart" uri="{C3380CC4-5D6E-409C-BE32-E72D297353CC}">
              <c16:uniqueId val="{00000004-4C73-472B-BD23-61EA90FAE709}"/>
            </c:ext>
          </c:extLst>
        </c:ser>
        <c:ser>
          <c:idx val="5"/>
          <c:order val="5"/>
          <c:tx>
            <c:strRef>
              <c:f>'Energiebehoefte algemeen'!$B$18</c:f>
              <c:strCache>
                <c:ptCount val="1"/>
                <c:pt idx="0">
                  <c:v>2,50</c:v>
                </c:pt>
              </c:strCache>
            </c:strRef>
          </c:tx>
          <c:spPr>
            <a:solidFill>
              <a:schemeClr val="accent6">
                <a:alpha val="85000"/>
              </a:schemeClr>
            </a:solidFill>
            <a:ln w="9525" cap="flat" cmpd="sng" algn="ctr">
              <a:solidFill>
                <a:schemeClr val="accent6">
                  <a:lumMod val="75000"/>
                </a:schemeClr>
              </a:solidFill>
              <a:round/>
            </a:ln>
            <a:effectLst/>
          </c:spPr>
          <c:invertIfNegative val="0"/>
          <c:cat>
            <c:strRef>
              <c:f>'Energiebehoefte algemeen'!$D$11:$K$11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algemeen'!$D$18:$K$18</c:f>
              <c:numCache>
                <c:formatCode>0</c:formatCode>
                <c:ptCount val="8"/>
                <c:pt idx="0">
                  <c:v>338.17643375394931</c:v>
                </c:pt>
                <c:pt idx="1">
                  <c:v>172.32279503915885</c:v>
                </c:pt>
                <c:pt idx="2">
                  <c:v>121.29090620383867</c:v>
                </c:pt>
                <c:pt idx="3">
                  <c:v>95.774961786178579</c:v>
                </c:pt>
                <c:pt idx="4">
                  <c:v>63.880031264103486</c:v>
                </c:pt>
                <c:pt idx="5">
                  <c:v>57.501045159688466</c:v>
                </c:pt>
                <c:pt idx="6">
                  <c:v>51.122059055273446</c:v>
                </c:pt>
                <c:pt idx="7">
                  <c:v>38.364086846443406</c:v>
                </c:pt>
              </c:numCache>
            </c:numRef>
          </c:val>
          <c:extLst>
            <c:ext xmlns:c16="http://schemas.microsoft.com/office/drawing/2014/chart" uri="{C3380CC4-5D6E-409C-BE32-E72D297353CC}">
              <c16:uniqueId val="{00000005-4C73-472B-BD23-61EA90FAE709}"/>
            </c:ext>
          </c:extLst>
        </c:ser>
        <c:dLbls>
          <c:showLegendKey val="0"/>
          <c:showVal val="0"/>
          <c:showCatName val="0"/>
          <c:showSerName val="0"/>
          <c:showPercent val="0"/>
          <c:showBubbleSize val="0"/>
        </c:dLbls>
        <c:gapWidth val="65"/>
        <c:axId val="744689824"/>
        <c:axId val="744690152"/>
      </c:barChart>
      <c:catAx>
        <c:axId val="74468982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nl-NL"/>
          </a:p>
        </c:txPr>
        <c:crossAx val="744690152"/>
        <c:crosses val="autoZero"/>
        <c:auto val="1"/>
        <c:lblAlgn val="ctr"/>
        <c:lblOffset val="100"/>
        <c:noMultiLvlLbl val="0"/>
      </c:catAx>
      <c:valAx>
        <c:axId val="744690152"/>
        <c:scaling>
          <c:orientation val="minMax"/>
        </c:scaling>
        <c:delete val="0"/>
        <c:axPos val="l"/>
        <c:majorGridlines>
          <c:spPr>
            <a:ln w="6350" cap="flat" cmpd="sng" algn="ctr">
              <a:solidFill>
                <a:schemeClr val="bg1">
                  <a:lumMod val="7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crossAx val="744689824"/>
        <c:crosses val="autoZero"/>
        <c:crossBetween val="between"/>
      </c:valAx>
      <c:spPr>
        <a:noFill/>
        <a:ln>
          <a:noFill/>
        </a:ln>
        <a:effectLst/>
      </c:spPr>
    </c:plotArea>
    <c:legend>
      <c:legendPos val="t"/>
      <c:layout>
        <c:manualLayout>
          <c:xMode val="edge"/>
          <c:yMode val="edge"/>
          <c:x val="0.38668121316474569"/>
          <c:y val="0.10826922689416896"/>
          <c:w val="0.32438388351366648"/>
          <c:h val="4.1523999807796939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solidFill>
        <a:schemeClr val="dk1">
          <a:lumMod val="25000"/>
          <a:lumOff val="7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316024103536802E-2"/>
          <c:y val="0.17807028726179408"/>
          <c:w val="0.91760882650363695"/>
          <c:h val="0.70481336067383238"/>
        </c:manualLayout>
      </c:layout>
      <c:barChart>
        <c:barDir val="col"/>
        <c:grouping val="clustered"/>
        <c:varyColors val="0"/>
        <c:ser>
          <c:idx val="0"/>
          <c:order val="0"/>
          <c:tx>
            <c:strRef>
              <c:f>'Energiebehoefte algemeen'!$Y$13</c:f>
              <c:strCache>
                <c:ptCount val="1"/>
                <c:pt idx="0">
                  <c:v>0,50</c:v>
                </c:pt>
              </c:strCache>
            </c:strRef>
          </c:tx>
          <c:spPr>
            <a:solidFill>
              <a:schemeClr val="accent1">
                <a:alpha val="85000"/>
              </a:schemeClr>
            </a:solidFill>
            <a:ln w="9525" cap="flat" cmpd="sng" algn="ctr">
              <a:solidFill>
                <a:schemeClr val="accent1">
                  <a:lumMod val="75000"/>
                </a:schemeClr>
              </a:solidFill>
              <a:round/>
            </a:ln>
            <a:effectLst/>
          </c:spPr>
          <c:invertIfNegative val="0"/>
          <c:cat>
            <c:strRef>
              <c:f>'Energiebehoefte algemeen'!$AA$11:$AH$11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algemeen'!$AA$13:$AH$13</c:f>
              <c:numCache>
                <c:formatCode>0.0</c:formatCode>
                <c:ptCount val="8"/>
                <c:pt idx="0">
                  <c:v>9.3661251514770392</c:v>
                </c:pt>
                <c:pt idx="1">
                  <c:v>11.523586596964609</c:v>
                </c:pt>
                <c:pt idx="2">
                  <c:v>12.647689813564515</c:v>
                </c:pt>
                <c:pt idx="3">
                  <c:v>13.403901957723296</c:v>
                </c:pt>
                <c:pt idx="4">
                  <c:v>14.701024248008483</c:v>
                </c:pt>
                <c:pt idx="5">
                  <c:v>15.038089352301771</c:v>
                </c:pt>
                <c:pt idx="6">
                  <c:v>15.414899291025225</c:v>
                </c:pt>
                <c:pt idx="7">
                  <c:v>16.335262242324692</c:v>
                </c:pt>
              </c:numCache>
            </c:numRef>
          </c:val>
          <c:extLst>
            <c:ext xmlns:c16="http://schemas.microsoft.com/office/drawing/2014/chart" uri="{C3380CC4-5D6E-409C-BE32-E72D297353CC}">
              <c16:uniqueId val="{00000000-EB12-4DF1-9A06-BF8B9A9AD314}"/>
            </c:ext>
          </c:extLst>
        </c:ser>
        <c:ser>
          <c:idx val="1"/>
          <c:order val="1"/>
          <c:tx>
            <c:strRef>
              <c:f>'Energiebehoefte algemeen'!$Y$14</c:f>
              <c:strCache>
                <c:ptCount val="1"/>
                <c:pt idx="0">
                  <c:v>0,75</c:v>
                </c:pt>
              </c:strCache>
            </c:strRef>
          </c:tx>
          <c:spPr>
            <a:solidFill>
              <a:schemeClr val="accent2">
                <a:alpha val="85000"/>
              </a:schemeClr>
            </a:solidFill>
            <a:ln w="9525" cap="flat" cmpd="sng" algn="ctr">
              <a:solidFill>
                <a:schemeClr val="accent2">
                  <a:lumMod val="75000"/>
                </a:schemeClr>
              </a:solidFill>
              <a:round/>
            </a:ln>
            <a:effectLst/>
          </c:spPr>
          <c:invertIfNegative val="0"/>
          <c:cat>
            <c:strRef>
              <c:f>'Energiebehoefte algemeen'!$AA$11:$AH$11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algemeen'!$AA$14:$AH$14</c:f>
              <c:numCache>
                <c:formatCode>0.0</c:formatCode>
                <c:ptCount val="8"/>
                <c:pt idx="0">
                  <c:v>6.4174527539200916</c:v>
                </c:pt>
                <c:pt idx="1">
                  <c:v>8.5749141994076616</c:v>
                </c:pt>
                <c:pt idx="2">
                  <c:v>9.6990174160075675</c:v>
                </c:pt>
                <c:pt idx="3">
                  <c:v>10.455229560166348</c:v>
                </c:pt>
                <c:pt idx="4">
                  <c:v>11.752351850451536</c:v>
                </c:pt>
                <c:pt idx="5">
                  <c:v>12.089416954744824</c:v>
                </c:pt>
                <c:pt idx="6">
                  <c:v>12.466226893468278</c:v>
                </c:pt>
                <c:pt idx="7">
                  <c:v>13.386589844767744</c:v>
                </c:pt>
              </c:numCache>
            </c:numRef>
          </c:val>
          <c:extLst>
            <c:ext xmlns:c16="http://schemas.microsoft.com/office/drawing/2014/chart" uri="{C3380CC4-5D6E-409C-BE32-E72D297353CC}">
              <c16:uniqueId val="{00000001-EB12-4DF1-9A06-BF8B9A9AD314}"/>
            </c:ext>
          </c:extLst>
        </c:ser>
        <c:ser>
          <c:idx val="2"/>
          <c:order val="2"/>
          <c:tx>
            <c:strRef>
              <c:f>'Energiebehoefte algemeen'!$Y$15</c:f>
              <c:strCache>
                <c:ptCount val="1"/>
                <c:pt idx="0">
                  <c:v>1,00</c:v>
                </c:pt>
              </c:strCache>
            </c:strRef>
          </c:tx>
          <c:spPr>
            <a:solidFill>
              <a:schemeClr val="accent3">
                <a:alpha val="85000"/>
              </a:schemeClr>
            </a:solidFill>
            <a:ln w="9525" cap="flat" cmpd="sng" algn="ctr">
              <a:solidFill>
                <a:schemeClr val="accent3">
                  <a:lumMod val="75000"/>
                </a:schemeClr>
              </a:solidFill>
              <a:round/>
            </a:ln>
            <a:effectLst/>
          </c:spPr>
          <c:invertIfNegative val="0"/>
          <c:cat>
            <c:strRef>
              <c:f>'Energiebehoefte algemeen'!$AA$11:$AH$11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algemeen'!$AA$15:$AH$15</c:f>
              <c:numCache>
                <c:formatCode>0.0</c:formatCode>
                <c:ptCount val="8"/>
                <c:pt idx="0">
                  <c:v>4.3252555284327663</c:v>
                </c:pt>
                <c:pt idx="1">
                  <c:v>6.4827169739203363</c:v>
                </c:pt>
                <c:pt idx="2">
                  <c:v>7.6068201905202422</c:v>
                </c:pt>
                <c:pt idx="3">
                  <c:v>8.3630323346790227</c:v>
                </c:pt>
                <c:pt idx="4">
                  <c:v>9.6601546249642105</c:v>
                </c:pt>
                <c:pt idx="5">
                  <c:v>9.9972197292574982</c:v>
                </c:pt>
                <c:pt idx="6">
                  <c:v>10.374029667980952</c:v>
                </c:pt>
                <c:pt idx="7">
                  <c:v>11.294392619280419</c:v>
                </c:pt>
              </c:numCache>
            </c:numRef>
          </c:val>
          <c:extLst>
            <c:ext xmlns:c16="http://schemas.microsoft.com/office/drawing/2014/chart" uri="{C3380CC4-5D6E-409C-BE32-E72D297353CC}">
              <c16:uniqueId val="{00000002-EB12-4DF1-9A06-BF8B9A9AD314}"/>
            </c:ext>
          </c:extLst>
        </c:ser>
        <c:ser>
          <c:idx val="3"/>
          <c:order val="3"/>
          <c:tx>
            <c:strRef>
              <c:f>'Energiebehoefte algemeen'!$Y$16</c:f>
              <c:strCache>
                <c:ptCount val="1"/>
                <c:pt idx="0">
                  <c:v>1,50</c:v>
                </c:pt>
              </c:strCache>
            </c:strRef>
          </c:tx>
          <c:spPr>
            <a:solidFill>
              <a:schemeClr val="accent4">
                <a:alpha val="85000"/>
              </a:schemeClr>
            </a:solidFill>
            <a:ln w="9525" cap="flat" cmpd="sng" algn="ctr">
              <a:solidFill>
                <a:schemeClr val="accent4">
                  <a:lumMod val="75000"/>
                </a:schemeClr>
              </a:solidFill>
              <a:round/>
            </a:ln>
            <a:effectLst/>
          </c:spPr>
          <c:invertIfNegative val="0"/>
          <c:cat>
            <c:strRef>
              <c:f>'Energiebehoefte algemeen'!$AA$11:$AH$11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algemeen'!$AA$16:$AH$16</c:f>
              <c:numCache>
                <c:formatCode>0.0</c:formatCode>
                <c:ptCount val="8"/>
                <c:pt idx="0">
                  <c:v>1.3763551807990133</c:v>
                </c:pt>
                <c:pt idx="1">
                  <c:v>3.5338166262865833</c:v>
                </c:pt>
                <c:pt idx="2">
                  <c:v>4.6579198428864892</c:v>
                </c:pt>
                <c:pt idx="3">
                  <c:v>5.4141319870452698</c:v>
                </c:pt>
                <c:pt idx="4">
                  <c:v>6.7112542773304575</c:v>
                </c:pt>
                <c:pt idx="5">
                  <c:v>7.0483193816237453</c:v>
                </c:pt>
                <c:pt idx="6">
                  <c:v>7.4251293203471995</c:v>
                </c:pt>
                <c:pt idx="7">
                  <c:v>8.3454922716466662</c:v>
                </c:pt>
              </c:numCache>
            </c:numRef>
          </c:val>
          <c:extLst>
            <c:ext xmlns:c16="http://schemas.microsoft.com/office/drawing/2014/chart" uri="{C3380CC4-5D6E-409C-BE32-E72D297353CC}">
              <c16:uniqueId val="{00000003-EB12-4DF1-9A06-BF8B9A9AD314}"/>
            </c:ext>
          </c:extLst>
        </c:ser>
        <c:ser>
          <c:idx val="4"/>
          <c:order val="4"/>
          <c:tx>
            <c:strRef>
              <c:f>'Energiebehoefte algemeen'!$Y$17</c:f>
              <c:strCache>
                <c:ptCount val="1"/>
                <c:pt idx="0">
                  <c:v>2,00</c:v>
                </c:pt>
              </c:strCache>
            </c:strRef>
          </c:tx>
          <c:spPr>
            <a:solidFill>
              <a:schemeClr val="accent5">
                <a:alpha val="85000"/>
              </a:schemeClr>
            </a:solidFill>
            <a:ln w="9525" cap="flat" cmpd="sng" algn="ctr">
              <a:solidFill>
                <a:schemeClr val="accent5">
                  <a:lumMod val="75000"/>
                </a:schemeClr>
              </a:solidFill>
              <a:round/>
            </a:ln>
            <a:effectLst/>
          </c:spPr>
          <c:invertIfNegative val="0"/>
          <c:cat>
            <c:strRef>
              <c:f>'Energiebehoefte algemeen'!$AA$11:$AH$11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algemeen'!$AA$17:$AH$17</c:f>
              <c:numCache>
                <c:formatCode>0.0</c:formatCode>
                <c:ptCount val="8"/>
                <c:pt idx="0">
                  <c:v>1</c:v>
                </c:pt>
                <c:pt idx="1">
                  <c:v>1.4414576613983208</c:v>
                </c:pt>
                <c:pt idx="2">
                  <c:v>2.5655608779982266</c:v>
                </c:pt>
                <c:pt idx="3">
                  <c:v>3.3217730221570072</c:v>
                </c:pt>
                <c:pt idx="4">
                  <c:v>4.618895312442195</c:v>
                </c:pt>
                <c:pt idx="5">
                  <c:v>4.9559604167354827</c:v>
                </c:pt>
                <c:pt idx="6">
                  <c:v>5.332770355458937</c:v>
                </c:pt>
                <c:pt idx="7">
                  <c:v>6.2531333067584036</c:v>
                </c:pt>
              </c:numCache>
            </c:numRef>
          </c:val>
          <c:extLst>
            <c:ext xmlns:c16="http://schemas.microsoft.com/office/drawing/2014/chart" uri="{C3380CC4-5D6E-409C-BE32-E72D297353CC}">
              <c16:uniqueId val="{00000004-EB12-4DF1-9A06-BF8B9A9AD314}"/>
            </c:ext>
          </c:extLst>
        </c:ser>
        <c:ser>
          <c:idx val="5"/>
          <c:order val="5"/>
          <c:tx>
            <c:strRef>
              <c:f>'Energiebehoefte algemeen'!$Y$18</c:f>
              <c:strCache>
                <c:ptCount val="1"/>
                <c:pt idx="0">
                  <c:v>2,50</c:v>
                </c:pt>
              </c:strCache>
            </c:strRef>
          </c:tx>
          <c:spPr>
            <a:solidFill>
              <a:schemeClr val="accent6">
                <a:alpha val="85000"/>
              </a:schemeClr>
            </a:solidFill>
            <a:ln w="9525" cap="flat" cmpd="sng" algn="ctr">
              <a:solidFill>
                <a:schemeClr val="accent6">
                  <a:lumMod val="75000"/>
                </a:schemeClr>
              </a:solidFill>
              <a:round/>
            </a:ln>
            <a:effectLst/>
          </c:spPr>
          <c:invertIfNegative val="0"/>
          <c:cat>
            <c:strRef>
              <c:f>'Energiebehoefte algemeen'!$AA$11:$AH$11</c:f>
              <c:strCache>
                <c:ptCount val="8"/>
                <c:pt idx="0">
                  <c:v>t/m 1964</c:v>
                </c:pt>
                <c:pt idx="1">
                  <c:v>1965-1974</c:v>
                </c:pt>
                <c:pt idx="2">
                  <c:v>1975-1991</c:v>
                </c:pt>
                <c:pt idx="3">
                  <c:v>1992-2005</c:v>
                </c:pt>
                <c:pt idx="4">
                  <c:v>2006-2012</c:v>
                </c:pt>
                <c:pt idx="5">
                  <c:v>2013-2019</c:v>
                </c:pt>
                <c:pt idx="6">
                  <c:v>BENG</c:v>
                </c:pt>
                <c:pt idx="7">
                  <c:v>passief</c:v>
                </c:pt>
              </c:strCache>
            </c:strRef>
          </c:cat>
          <c:val>
            <c:numRef>
              <c:f>'Energiebehoefte algemeen'!$AA$18:$AH$18</c:f>
              <c:numCache>
                <c:formatCode>0.0</c:formatCode>
                <c:ptCount val="8"/>
                <c:pt idx="0">
                  <c:v>1</c:v>
                </c:pt>
                <c:pt idx="1">
                  <c:v>1</c:v>
                </c:pt>
                <c:pt idx="2">
                  <c:v>1</c:v>
                </c:pt>
                <c:pt idx="3">
                  <c:v>1.6987670916189508</c:v>
                </c:pt>
                <c:pt idx="4">
                  <c:v>2.9958893819041386</c:v>
                </c:pt>
                <c:pt idx="5">
                  <c:v>3.3329544861974263</c:v>
                </c:pt>
                <c:pt idx="6">
                  <c:v>3.7097644249208805</c:v>
                </c:pt>
                <c:pt idx="7">
                  <c:v>4.6301273762203472</c:v>
                </c:pt>
              </c:numCache>
            </c:numRef>
          </c:val>
          <c:extLst>
            <c:ext xmlns:c16="http://schemas.microsoft.com/office/drawing/2014/chart" uri="{C3380CC4-5D6E-409C-BE32-E72D297353CC}">
              <c16:uniqueId val="{00000005-EB12-4DF1-9A06-BF8B9A9AD314}"/>
            </c:ext>
          </c:extLst>
        </c:ser>
        <c:dLbls>
          <c:showLegendKey val="0"/>
          <c:showVal val="0"/>
          <c:showCatName val="0"/>
          <c:showSerName val="0"/>
          <c:showPercent val="0"/>
          <c:showBubbleSize val="0"/>
        </c:dLbls>
        <c:gapWidth val="65"/>
        <c:axId val="744689824"/>
        <c:axId val="744690152"/>
      </c:barChart>
      <c:catAx>
        <c:axId val="744689824"/>
        <c:scaling>
          <c:orientation val="minMax"/>
        </c:scaling>
        <c:delete val="0"/>
        <c:axPos val="b"/>
        <c:numFmt formatCode="General" sourceLinked="1"/>
        <c:majorTickMark val="none"/>
        <c:minorTickMark val="none"/>
        <c:tickLblPos val="nextTo"/>
        <c:spPr>
          <a:solidFill>
            <a:schemeClr val="bg1">
              <a:lumMod val="95000"/>
            </a:schemeClr>
          </a:solid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nl-NL"/>
          </a:p>
        </c:txPr>
        <c:crossAx val="744690152"/>
        <c:crosses val="autoZero"/>
        <c:auto val="1"/>
        <c:lblAlgn val="ctr"/>
        <c:lblOffset val="100"/>
        <c:noMultiLvlLbl val="0"/>
      </c:catAx>
      <c:valAx>
        <c:axId val="744690152"/>
        <c:scaling>
          <c:orientation val="minMax"/>
        </c:scaling>
        <c:delete val="0"/>
        <c:axPos val="l"/>
        <c:majorGridlines>
          <c:spPr>
            <a:ln w="6350" cap="flat" cmpd="sng" algn="ctr">
              <a:solidFill>
                <a:schemeClr val="bg1">
                  <a:lumMod val="7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crossAx val="744689824"/>
        <c:crosses val="autoZero"/>
        <c:crossBetween val="between"/>
      </c:valAx>
      <c:spPr>
        <a:noFill/>
        <a:ln>
          <a:noFill/>
        </a:ln>
        <a:effectLst/>
      </c:spPr>
    </c:plotArea>
    <c:legend>
      <c:legendPos val="t"/>
      <c:layout>
        <c:manualLayout>
          <c:xMode val="edge"/>
          <c:yMode val="edge"/>
          <c:x val="0.35912249286466169"/>
          <c:y val="0.10118601592547796"/>
          <c:w val="0.32353675358932776"/>
          <c:h val="4.1646974874309371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solidFill>
        <a:schemeClr val="dk1">
          <a:lumMod val="25000"/>
          <a:lumOff val="7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51566620653365E-2"/>
          <c:y val="0.18265698504149269"/>
          <c:w val="0.93176977685849816"/>
          <c:h val="0.70340196441174918"/>
        </c:manualLayout>
      </c:layout>
      <c:barChart>
        <c:barDir val="col"/>
        <c:grouping val="clustered"/>
        <c:varyColors val="0"/>
        <c:ser>
          <c:idx val="0"/>
          <c:order val="0"/>
          <c:tx>
            <c:strRef>
              <c:f>'Energiebehoefte algemeen'!$Y$13</c:f>
              <c:strCache>
                <c:ptCount val="1"/>
                <c:pt idx="0">
                  <c:v>0,50</c:v>
                </c:pt>
              </c:strCache>
            </c:strRef>
          </c:tx>
          <c:spPr>
            <a:solidFill>
              <a:schemeClr val="accent1">
                <a:alpha val="85000"/>
              </a:schemeClr>
            </a:solidFill>
            <a:ln w="9525" cap="flat" cmpd="sng" algn="ctr">
              <a:solidFill>
                <a:schemeClr val="accent1">
                  <a:lumMod val="75000"/>
                </a:schemeClr>
              </a:solidFill>
              <a:round/>
            </a:ln>
            <a:effectLst/>
          </c:spPr>
          <c:invertIfNegative val="0"/>
          <c:cat>
            <c:strRef>
              <c:f>'Energiebehoefte algemeen'!$AL$11:$AT$11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algemeen'!$AL$13:$AT$13</c:f>
              <c:numCache>
                <c:formatCode>0.0</c:formatCode>
                <c:ptCount val="9"/>
                <c:pt idx="0">
                  <c:v>17.252598496673265</c:v>
                </c:pt>
                <c:pt idx="1">
                  <c:v>17.691855487754914</c:v>
                </c:pt>
                <c:pt idx="2">
                  <c:v>17.968387622087256</c:v>
                </c:pt>
                <c:pt idx="3">
                  <c:v>18.068379156526007</c:v>
                </c:pt>
                <c:pt idx="4">
                  <c:v>18.116313892786202</c:v>
                </c:pt>
                <c:pt idx="5">
                  <c:v>18.21186121404137</c:v>
                </c:pt>
                <c:pt idx="6">
                  <c:v>20.251025817409317</c:v>
                </c:pt>
                <c:pt idx="7">
                  <c:v>20.284708713113901</c:v>
                </c:pt>
                <c:pt idx="8">
                  <c:v>20.416868368336097</c:v>
                </c:pt>
              </c:numCache>
            </c:numRef>
          </c:val>
          <c:extLst>
            <c:ext xmlns:c16="http://schemas.microsoft.com/office/drawing/2014/chart" uri="{C3380CC4-5D6E-409C-BE32-E72D297353CC}">
              <c16:uniqueId val="{00000000-D70F-4FEE-A2DA-6CAF755AC361}"/>
            </c:ext>
          </c:extLst>
        </c:ser>
        <c:ser>
          <c:idx val="1"/>
          <c:order val="1"/>
          <c:tx>
            <c:strRef>
              <c:f>'Energiebehoefte algemeen'!$Y$14</c:f>
              <c:strCache>
                <c:ptCount val="1"/>
                <c:pt idx="0">
                  <c:v>0,75</c:v>
                </c:pt>
              </c:strCache>
            </c:strRef>
          </c:tx>
          <c:spPr>
            <a:solidFill>
              <a:schemeClr val="accent2">
                <a:alpha val="85000"/>
              </a:schemeClr>
            </a:solidFill>
            <a:ln w="9525" cap="flat" cmpd="sng" algn="ctr">
              <a:solidFill>
                <a:schemeClr val="accent2">
                  <a:lumMod val="75000"/>
                </a:schemeClr>
              </a:solidFill>
              <a:round/>
            </a:ln>
            <a:effectLst/>
          </c:spPr>
          <c:invertIfNegative val="0"/>
          <c:cat>
            <c:strRef>
              <c:f>'Energiebehoefte algemeen'!$AL$11:$AT$11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algemeen'!$AL$14:$AT$14</c:f>
              <c:numCache>
                <c:formatCode>0.0</c:formatCode>
                <c:ptCount val="9"/>
                <c:pt idx="0">
                  <c:v>14.467979817879488</c:v>
                </c:pt>
                <c:pt idx="1">
                  <c:v>14.821398706807633</c:v>
                </c:pt>
                <c:pt idx="2">
                  <c:v>15.04090216819103</c:v>
                </c:pt>
                <c:pt idx="3">
                  <c:v>15.119706758969061</c:v>
                </c:pt>
                <c:pt idx="4">
                  <c:v>15.157437267224234</c:v>
                </c:pt>
                <c:pt idx="5">
                  <c:v>15.232337649061471</c:v>
                </c:pt>
                <c:pt idx="6">
                  <c:v>16.910152909936659</c:v>
                </c:pt>
                <c:pt idx="7">
                  <c:v>16.936274294877762</c:v>
                </c:pt>
                <c:pt idx="8">
                  <c:v>17.037758716830965</c:v>
                </c:pt>
              </c:numCache>
            </c:numRef>
          </c:val>
          <c:extLst>
            <c:ext xmlns:c16="http://schemas.microsoft.com/office/drawing/2014/chart" uri="{C3380CC4-5D6E-409C-BE32-E72D297353CC}">
              <c16:uniqueId val="{00000001-D70F-4FEE-A2DA-6CAF755AC361}"/>
            </c:ext>
          </c:extLst>
        </c:ser>
        <c:ser>
          <c:idx val="2"/>
          <c:order val="2"/>
          <c:tx>
            <c:strRef>
              <c:f>'Energiebehoefte algemeen'!$Y$15</c:f>
              <c:strCache>
                <c:ptCount val="1"/>
                <c:pt idx="0">
                  <c:v>1,00</c:v>
                </c:pt>
              </c:strCache>
            </c:strRef>
          </c:tx>
          <c:spPr>
            <a:solidFill>
              <a:schemeClr val="accent3">
                <a:alpha val="85000"/>
              </a:schemeClr>
            </a:solidFill>
            <a:ln w="9525" cap="flat" cmpd="sng" algn="ctr">
              <a:solidFill>
                <a:schemeClr val="accent3">
                  <a:lumMod val="75000"/>
                </a:schemeClr>
              </a:solidFill>
              <a:round/>
            </a:ln>
            <a:effectLst/>
          </c:spPr>
          <c:invertIfNegative val="0"/>
          <c:cat>
            <c:strRef>
              <c:f>'Energiebehoefte algemeen'!$AL$11:$AT$11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algemeen'!$AL$15:$AT$15</c:f>
              <c:numCache>
                <c:formatCode>0.0</c:formatCode>
                <c:ptCount val="9"/>
                <c:pt idx="0">
                  <c:v>12.492174134119516</c:v>
                </c:pt>
                <c:pt idx="1">
                  <c:v>12.784697493544774</c:v>
                </c:pt>
                <c:pt idx="2">
                  <c:v>12.963736628625417</c:v>
                </c:pt>
                <c:pt idx="3">
                  <c:v>13.027509533481735</c:v>
                </c:pt>
                <c:pt idx="4">
                  <c:v>13.058008052851003</c:v>
                </c:pt>
                <c:pt idx="5">
                  <c:v>13.11826361095266</c:v>
                </c:pt>
                <c:pt idx="6">
                  <c:v>14.539668788851049</c:v>
                </c:pt>
                <c:pt idx="7">
                  <c:v>14.560407895338244</c:v>
                </c:pt>
                <c:pt idx="8">
                  <c:v>14.640149507116391</c:v>
                </c:pt>
              </c:numCache>
            </c:numRef>
          </c:val>
          <c:extLst>
            <c:ext xmlns:c16="http://schemas.microsoft.com/office/drawing/2014/chart" uri="{C3380CC4-5D6E-409C-BE32-E72D297353CC}">
              <c16:uniqueId val="{00000002-D70F-4FEE-A2DA-6CAF755AC361}"/>
            </c:ext>
          </c:extLst>
        </c:ser>
        <c:ser>
          <c:idx val="3"/>
          <c:order val="3"/>
          <c:tx>
            <c:strRef>
              <c:f>'Energiebehoefte algemeen'!$Y$16</c:f>
              <c:strCache>
                <c:ptCount val="1"/>
                <c:pt idx="0">
                  <c:v>1,50</c:v>
                </c:pt>
              </c:strCache>
            </c:strRef>
          </c:tx>
          <c:spPr>
            <a:solidFill>
              <a:schemeClr val="accent4">
                <a:alpha val="85000"/>
              </a:schemeClr>
            </a:solidFill>
            <a:ln w="9525" cap="flat" cmpd="sng" algn="ctr">
              <a:solidFill>
                <a:schemeClr val="accent4">
                  <a:lumMod val="75000"/>
                </a:schemeClr>
              </a:solidFill>
              <a:round/>
            </a:ln>
            <a:effectLst/>
          </c:spPr>
          <c:invertIfNegative val="0"/>
          <c:cat>
            <c:strRef>
              <c:f>'Energiebehoefte algemeen'!$AL$11:$AT$11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algemeen'!$AL$16:$AT$16</c:f>
              <c:numCache>
                <c:formatCode>0.0</c:formatCode>
                <c:ptCount val="9"/>
                <c:pt idx="0">
                  <c:v>9.707309395550503</c:v>
                </c:pt>
                <c:pt idx="1">
                  <c:v>9.9140160016023966</c:v>
                </c:pt>
                <c:pt idx="2">
                  <c:v>10.036021280014472</c:v>
                </c:pt>
                <c:pt idx="3">
                  <c:v>10.078609185847982</c:v>
                </c:pt>
                <c:pt idx="4">
                  <c:v>10.098926102442713</c:v>
                </c:pt>
                <c:pt idx="5">
                  <c:v>10.138547160903933</c:v>
                </c:pt>
                <c:pt idx="6">
                  <c:v>11.198522249740126</c:v>
                </c:pt>
                <c:pt idx="7">
                  <c:v>11.211651073905045</c:v>
                </c:pt>
                <c:pt idx="8">
                  <c:v>11.260778382243686</c:v>
                </c:pt>
              </c:numCache>
            </c:numRef>
          </c:val>
          <c:extLst>
            <c:ext xmlns:c16="http://schemas.microsoft.com/office/drawing/2014/chart" uri="{C3380CC4-5D6E-409C-BE32-E72D297353CC}">
              <c16:uniqueId val="{00000003-D70F-4FEE-A2DA-6CAF755AC361}"/>
            </c:ext>
          </c:extLst>
        </c:ser>
        <c:ser>
          <c:idx val="4"/>
          <c:order val="4"/>
          <c:tx>
            <c:strRef>
              <c:f>'Energiebehoefte algemeen'!$Y$17</c:f>
              <c:strCache>
                <c:ptCount val="1"/>
                <c:pt idx="0">
                  <c:v>2,00</c:v>
                </c:pt>
              </c:strCache>
            </c:strRef>
          </c:tx>
          <c:spPr>
            <a:solidFill>
              <a:schemeClr val="accent5">
                <a:alpha val="85000"/>
              </a:schemeClr>
            </a:solidFill>
            <a:ln w="9525" cap="flat" cmpd="sng" algn="ctr">
              <a:solidFill>
                <a:schemeClr val="accent5">
                  <a:lumMod val="75000"/>
                </a:schemeClr>
              </a:solidFill>
              <a:round/>
            </a:ln>
            <a:effectLst/>
          </c:spPr>
          <c:invertIfNegative val="0"/>
          <c:cat>
            <c:strRef>
              <c:f>'Energiebehoefte algemeen'!$AL$11:$AT$11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algemeen'!$AL$17:$AT$17</c:f>
              <c:numCache>
                <c:formatCode>0.0</c:formatCode>
                <c:ptCount val="9"/>
                <c:pt idx="0">
                  <c:v>7.7313291218842934</c:v>
                </c:pt>
                <c:pt idx="1">
                  <c:v>7.8771553471225726</c:v>
                </c:pt>
                <c:pt idx="2">
                  <c:v>7.9586926211407327</c:v>
                </c:pt>
                <c:pt idx="3">
                  <c:v>7.9862502209597199</c:v>
                </c:pt>
                <c:pt idx="4">
                  <c:v>7.9993512027343261</c:v>
                </c:pt>
                <c:pt idx="5">
                  <c:v>8.0243362642297384</c:v>
                </c:pt>
                <c:pt idx="6">
                  <c:v>8.8278439759829048</c:v>
                </c:pt>
                <c:pt idx="7">
                  <c:v>8.8355559146492624</c:v>
                </c:pt>
                <c:pt idx="8">
                  <c:v>8.8629836470332037</c:v>
                </c:pt>
              </c:numCache>
            </c:numRef>
          </c:val>
          <c:extLst>
            <c:ext xmlns:c16="http://schemas.microsoft.com/office/drawing/2014/chart" uri="{C3380CC4-5D6E-409C-BE32-E72D297353CC}">
              <c16:uniqueId val="{00000004-D70F-4FEE-A2DA-6CAF755AC361}"/>
            </c:ext>
          </c:extLst>
        </c:ser>
        <c:ser>
          <c:idx val="5"/>
          <c:order val="5"/>
          <c:tx>
            <c:strRef>
              <c:f>'Energiebehoefte algemeen'!$Y$18</c:f>
              <c:strCache>
                <c:ptCount val="1"/>
                <c:pt idx="0">
                  <c:v>2,50</c:v>
                </c:pt>
              </c:strCache>
            </c:strRef>
          </c:tx>
          <c:spPr>
            <a:solidFill>
              <a:schemeClr val="accent6">
                <a:alpha val="85000"/>
              </a:schemeClr>
            </a:solidFill>
            <a:ln w="9525" cap="flat" cmpd="sng" algn="ctr">
              <a:solidFill>
                <a:schemeClr val="accent6">
                  <a:lumMod val="75000"/>
                </a:schemeClr>
              </a:solidFill>
              <a:round/>
            </a:ln>
            <a:effectLst/>
          </c:spPr>
          <c:invertIfNegative val="0"/>
          <c:cat>
            <c:strRef>
              <c:f>'Energiebehoefte algemeen'!$AL$11:$AT$11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algemeen'!$AL$18:$AT$18</c:f>
              <c:numCache>
                <c:formatCode>0.0</c:formatCode>
                <c:ptCount val="9"/>
                <c:pt idx="0">
                  <c:v>6.1985898438679143</c:v>
                </c:pt>
                <c:pt idx="1">
                  <c:v>6.2971979073692292</c:v>
                </c:pt>
                <c:pt idx="2">
                  <c:v>6.3473447072458722</c:v>
                </c:pt>
                <c:pt idx="3">
                  <c:v>6.3632442904216635</c:v>
                </c:pt>
                <c:pt idx="4">
                  <c:v>6.3707527473218963</c:v>
                </c:pt>
                <c:pt idx="5">
                  <c:v>6.3843877706760637</c:v>
                </c:pt>
                <c:pt idx="6">
                  <c:v>6.9889475528412</c:v>
                </c:pt>
                <c:pt idx="7">
                  <c:v>6.9924479361997101</c:v>
                </c:pt>
                <c:pt idx="8">
                  <c:v>7.0030565284228459</c:v>
                </c:pt>
              </c:numCache>
            </c:numRef>
          </c:val>
          <c:extLst>
            <c:ext xmlns:c16="http://schemas.microsoft.com/office/drawing/2014/chart" uri="{C3380CC4-5D6E-409C-BE32-E72D297353CC}">
              <c16:uniqueId val="{00000005-D70F-4FEE-A2DA-6CAF755AC361}"/>
            </c:ext>
          </c:extLst>
        </c:ser>
        <c:dLbls>
          <c:showLegendKey val="0"/>
          <c:showVal val="0"/>
          <c:showCatName val="0"/>
          <c:showSerName val="0"/>
          <c:showPercent val="0"/>
          <c:showBubbleSize val="0"/>
        </c:dLbls>
        <c:gapWidth val="65"/>
        <c:axId val="744689824"/>
        <c:axId val="744690152"/>
      </c:barChart>
      <c:catAx>
        <c:axId val="74468982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spcFirstLastPara="1" vertOverflow="ellipsis"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nl-NL"/>
          </a:p>
        </c:txPr>
        <c:crossAx val="744690152"/>
        <c:crosses val="autoZero"/>
        <c:auto val="1"/>
        <c:lblAlgn val="ctr"/>
        <c:lblOffset val="100"/>
        <c:noMultiLvlLbl val="0"/>
      </c:catAx>
      <c:valAx>
        <c:axId val="744690152"/>
        <c:scaling>
          <c:orientation val="minMax"/>
        </c:scaling>
        <c:delete val="0"/>
        <c:axPos val="l"/>
        <c:majorGridlines>
          <c:spPr>
            <a:ln w="6350" cap="flat" cmpd="sng" algn="ctr">
              <a:solidFill>
                <a:schemeClr val="bg1">
                  <a:lumMod val="7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crossAx val="744689824"/>
        <c:crosses val="autoZero"/>
        <c:crossBetween val="between"/>
      </c:valAx>
      <c:spPr>
        <a:noFill/>
        <a:ln>
          <a:noFill/>
        </a:ln>
        <a:effectLst/>
      </c:spPr>
    </c:plotArea>
    <c:legend>
      <c:legendPos val="t"/>
      <c:layout>
        <c:manualLayout>
          <c:xMode val="edge"/>
          <c:yMode val="edge"/>
          <c:x val="0.35770784182858339"/>
          <c:y val="0.10858987074929342"/>
          <c:w val="0.27568379266031512"/>
          <c:h val="4.1646974874309371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solidFill>
        <a:schemeClr val="dk1">
          <a:lumMod val="25000"/>
          <a:lumOff val="7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49293066924594E-2"/>
          <c:y val="0.17446233575520587"/>
          <c:w val="0.929733849291837"/>
          <c:h val="0.70543939484491203"/>
        </c:manualLayout>
      </c:layout>
      <c:barChart>
        <c:barDir val="col"/>
        <c:grouping val="clustered"/>
        <c:varyColors val="0"/>
        <c:ser>
          <c:idx val="0"/>
          <c:order val="0"/>
          <c:tx>
            <c:strRef>
              <c:f>'Energiebehoefte algemeen'!$M$13</c:f>
              <c:strCache>
                <c:ptCount val="1"/>
                <c:pt idx="0">
                  <c:v>0,50</c:v>
                </c:pt>
              </c:strCache>
            </c:strRef>
          </c:tx>
          <c:spPr>
            <a:solidFill>
              <a:schemeClr val="accent1">
                <a:alpha val="85000"/>
              </a:schemeClr>
            </a:solidFill>
            <a:ln w="9525" cap="flat" cmpd="sng" algn="ctr">
              <a:solidFill>
                <a:schemeClr val="accent1">
                  <a:lumMod val="75000"/>
                </a:schemeClr>
              </a:solidFill>
              <a:round/>
            </a:ln>
            <a:effectLst/>
          </c:spPr>
          <c:invertIfNegative val="0"/>
          <c:cat>
            <c:strRef>
              <c:f>'Energiebehoefte algemeen'!$O$11:$W$11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algemeen'!$O$13:$W$13</c:f>
              <c:numCache>
                <c:formatCode>0</c:formatCode>
                <c:ptCount val="9"/>
                <c:pt idx="0">
                  <c:v>70.099808945916152</c:v>
                </c:pt>
                <c:pt idx="1">
                  <c:v>65.606005508271679</c:v>
                </c:pt>
                <c:pt idx="2">
                  <c:v>58.795617762609083</c:v>
                </c:pt>
                <c:pt idx="3">
                  <c:v>53.09713670202018</c:v>
                </c:pt>
                <c:pt idx="4">
                  <c:v>50.38121067792904</c:v>
                </c:pt>
                <c:pt idx="5">
                  <c:v>44.963564228950965</c:v>
                </c:pt>
                <c:pt idx="6">
                  <c:v>37.199526499830704</c:v>
                </c:pt>
                <c:pt idx="7">
                  <c:v>35.945101502722736</c:v>
                </c:pt>
                <c:pt idx="8">
                  <c:v>31.120849124510745</c:v>
                </c:pt>
              </c:numCache>
            </c:numRef>
          </c:val>
          <c:extLst>
            <c:ext xmlns:c16="http://schemas.microsoft.com/office/drawing/2014/chart" uri="{C3380CC4-5D6E-409C-BE32-E72D297353CC}">
              <c16:uniqueId val="{00000000-352D-4688-8ECF-97E9F4D228EA}"/>
            </c:ext>
          </c:extLst>
        </c:ser>
        <c:ser>
          <c:idx val="1"/>
          <c:order val="1"/>
          <c:tx>
            <c:strRef>
              <c:f>'Energiebehoefte algemeen'!$M$14</c:f>
              <c:strCache>
                <c:ptCount val="1"/>
                <c:pt idx="0">
                  <c:v>0,75</c:v>
                </c:pt>
              </c:strCache>
            </c:strRef>
          </c:tx>
          <c:spPr>
            <a:solidFill>
              <a:schemeClr val="accent2">
                <a:alpha val="85000"/>
              </a:schemeClr>
            </a:solidFill>
            <a:ln w="9525" cap="flat" cmpd="sng" algn="ctr">
              <a:solidFill>
                <a:schemeClr val="accent2">
                  <a:lumMod val="75000"/>
                </a:schemeClr>
              </a:solidFill>
              <a:round/>
            </a:ln>
            <a:effectLst/>
          </c:spPr>
          <c:invertIfNegative val="0"/>
          <c:cat>
            <c:strRef>
              <c:f>'Energiebehoefte algemeen'!$O$11:$W$11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algemeen'!$O$14:$W$14</c:f>
              <c:numCache>
                <c:formatCode>0</c:formatCode>
                <c:ptCount val="9"/>
                <c:pt idx="0">
                  <c:v>73.42778860954563</c:v>
                </c:pt>
                <c:pt idx="1">
                  <c:v>68.953474632626836</c:v>
                </c:pt>
                <c:pt idx="2">
                  <c:v>62.215103281302454</c:v>
                </c:pt>
                <c:pt idx="3">
                  <c:v>56.536137335376715</c:v>
                </c:pt>
                <c:pt idx="4">
                  <c:v>53.829845586619697</c:v>
                </c:pt>
                <c:pt idx="5">
                  <c:v>48.429529081969292</c:v>
                </c:pt>
                <c:pt idx="6">
                  <c:v>40.664263734407214</c:v>
                </c:pt>
                <c:pt idx="7">
                  <c:v>39.415635198067761</c:v>
                </c:pt>
                <c:pt idx="8">
                  <c:v>34.616678097144337</c:v>
                </c:pt>
              </c:numCache>
            </c:numRef>
          </c:val>
          <c:extLst>
            <c:ext xmlns:c16="http://schemas.microsoft.com/office/drawing/2014/chart" uri="{C3380CC4-5D6E-409C-BE32-E72D297353CC}">
              <c16:uniqueId val="{00000001-352D-4688-8ECF-97E9F4D228EA}"/>
            </c:ext>
          </c:extLst>
        </c:ser>
        <c:ser>
          <c:idx val="2"/>
          <c:order val="2"/>
          <c:tx>
            <c:strRef>
              <c:f>'Energiebehoefte algemeen'!$M$15</c:f>
              <c:strCache>
                <c:ptCount val="1"/>
                <c:pt idx="0">
                  <c:v>1,00</c:v>
                </c:pt>
              </c:strCache>
            </c:strRef>
          </c:tx>
          <c:spPr>
            <a:solidFill>
              <a:schemeClr val="accent3">
                <a:alpha val="85000"/>
              </a:schemeClr>
            </a:solidFill>
            <a:ln w="9525" cap="flat" cmpd="sng" algn="ctr">
              <a:solidFill>
                <a:schemeClr val="accent3">
                  <a:lumMod val="75000"/>
                </a:schemeClr>
              </a:solidFill>
              <a:round/>
            </a:ln>
            <a:effectLst/>
          </c:spPr>
          <c:invertIfNegative val="0"/>
          <c:cat>
            <c:strRef>
              <c:f>'Energiebehoefte algemeen'!$O$11:$W$11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algemeen'!$O$15:$W$15</c:f>
              <c:numCache>
                <c:formatCode>0</c:formatCode>
                <c:ptCount val="9"/>
                <c:pt idx="0">
                  <c:v>76.78939784391163</c:v>
                </c:pt>
                <c:pt idx="1">
                  <c:v>72.339072798598906</c:v>
                </c:pt>
                <c:pt idx="2">
                  <c:v>65.676089660759359</c:v>
                </c:pt>
                <c:pt idx="3">
                  <c:v>60.021421526881163</c:v>
                </c:pt>
                <c:pt idx="4">
                  <c:v>57.327176607503944</c:v>
                </c:pt>
                <c:pt idx="5">
                  <c:v>51.949581489377152</c:v>
                </c:pt>
                <c:pt idx="6">
                  <c:v>44.153466680149116</c:v>
                </c:pt>
                <c:pt idx="7">
                  <c:v>42.915931073587309</c:v>
                </c:pt>
                <c:pt idx="8">
                  <c:v>38.160159275552672</c:v>
                </c:pt>
              </c:numCache>
            </c:numRef>
          </c:val>
          <c:extLst>
            <c:ext xmlns:c16="http://schemas.microsoft.com/office/drawing/2014/chart" uri="{C3380CC4-5D6E-409C-BE32-E72D297353CC}">
              <c16:uniqueId val="{00000002-352D-4688-8ECF-97E9F4D228EA}"/>
            </c:ext>
          </c:extLst>
        </c:ser>
        <c:ser>
          <c:idx val="3"/>
          <c:order val="3"/>
          <c:tx>
            <c:strRef>
              <c:f>'Energiebehoefte algemeen'!$M$16</c:f>
              <c:strCache>
                <c:ptCount val="1"/>
                <c:pt idx="0">
                  <c:v>1,50</c:v>
                </c:pt>
              </c:strCache>
            </c:strRef>
          </c:tx>
          <c:spPr>
            <a:solidFill>
              <a:schemeClr val="accent4">
                <a:alpha val="85000"/>
              </a:schemeClr>
            </a:solidFill>
            <a:ln w="9525" cap="flat" cmpd="sng" algn="ctr">
              <a:solidFill>
                <a:schemeClr val="accent4">
                  <a:lumMod val="75000"/>
                </a:schemeClr>
              </a:solidFill>
              <a:round/>
            </a:ln>
            <a:effectLst/>
          </c:spPr>
          <c:invertIfNegative val="0"/>
          <c:cat>
            <c:strRef>
              <c:f>'Energiebehoefte algemeen'!$O$11:$W$11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algemeen'!$O$16:$W$16</c:f>
              <c:numCache>
                <c:formatCode>0</c:formatCode>
                <c:ptCount val="9"/>
                <c:pt idx="0">
                  <c:v>83.583319463514925</c:v>
                </c:pt>
                <c:pt idx="1">
                  <c:v>79.190541953022802</c:v>
                </c:pt>
                <c:pt idx="2">
                  <c:v>72.685503388332037</c:v>
                </c:pt>
                <c:pt idx="3">
                  <c:v>67.089645150691283</c:v>
                </c:pt>
                <c:pt idx="4">
                  <c:v>64.424656563078884</c:v>
                </c:pt>
                <c:pt idx="5">
                  <c:v>59.10406808973957</c:v>
                </c:pt>
                <c:pt idx="6">
                  <c:v>51.183142528455257</c:v>
                </c:pt>
                <c:pt idx="7">
                  <c:v>49.978993041816651</c:v>
                </c:pt>
                <c:pt idx="8">
                  <c:v>45.347683100378426</c:v>
                </c:pt>
              </c:numCache>
            </c:numRef>
          </c:val>
          <c:extLst>
            <c:ext xmlns:c16="http://schemas.microsoft.com/office/drawing/2014/chart" uri="{C3380CC4-5D6E-409C-BE32-E72D297353CC}">
              <c16:uniqueId val="{00000003-352D-4688-8ECF-97E9F4D228EA}"/>
            </c:ext>
          </c:extLst>
        </c:ser>
        <c:ser>
          <c:idx val="4"/>
          <c:order val="4"/>
          <c:tx>
            <c:strRef>
              <c:f>'Energiebehoefte algemeen'!$M$17</c:f>
              <c:strCache>
                <c:ptCount val="1"/>
                <c:pt idx="0">
                  <c:v>2,00</c:v>
                </c:pt>
              </c:strCache>
            </c:strRef>
          </c:tx>
          <c:spPr>
            <a:solidFill>
              <a:schemeClr val="accent5">
                <a:alpha val="85000"/>
              </a:schemeClr>
            </a:solidFill>
            <a:ln w="9525" cap="flat" cmpd="sng" algn="ctr">
              <a:solidFill>
                <a:schemeClr val="accent5">
                  <a:lumMod val="75000"/>
                </a:schemeClr>
              </a:solidFill>
              <a:round/>
            </a:ln>
            <a:effectLst/>
          </c:spPr>
          <c:invertIfNegative val="0"/>
          <c:cat>
            <c:strRef>
              <c:f>'Energiebehoefte algemeen'!$O$11:$W$11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algemeen'!$O$17:$W$17</c:f>
              <c:numCache>
                <c:formatCode>0</c:formatCode>
                <c:ptCount val="9"/>
                <c:pt idx="0">
                  <c:v>90.445894347494161</c:v>
                </c:pt>
                <c:pt idx="1">
                  <c:v>86.120052141679182</c:v>
                </c:pt>
                <c:pt idx="2">
                  <c:v>79.779987428836819</c:v>
                </c:pt>
                <c:pt idx="3">
                  <c:v>74.252995985564397</c:v>
                </c:pt>
                <c:pt idx="4">
                  <c:v>71.622355790730836</c:v>
                </c:pt>
                <c:pt idx="5">
                  <c:v>66.370202874528701</c:v>
                </c:pt>
                <c:pt idx="6">
                  <c:v>58.262457355779667</c:v>
                </c:pt>
                <c:pt idx="7">
                  <c:v>57.102625556634891</c:v>
                </c:pt>
                <c:pt idx="8">
                  <c:v>52.633181215992622</c:v>
                </c:pt>
              </c:numCache>
            </c:numRef>
          </c:val>
          <c:extLst>
            <c:ext xmlns:c16="http://schemas.microsoft.com/office/drawing/2014/chart" uri="{C3380CC4-5D6E-409C-BE32-E72D297353CC}">
              <c16:uniqueId val="{00000004-352D-4688-8ECF-97E9F4D228EA}"/>
            </c:ext>
          </c:extLst>
        </c:ser>
        <c:ser>
          <c:idx val="5"/>
          <c:order val="5"/>
          <c:tx>
            <c:strRef>
              <c:f>'Energiebehoefte algemeen'!$M$18</c:f>
              <c:strCache>
                <c:ptCount val="1"/>
                <c:pt idx="0">
                  <c:v>2,50</c:v>
                </c:pt>
              </c:strCache>
            </c:strRef>
          </c:tx>
          <c:spPr>
            <a:solidFill>
              <a:schemeClr val="accent6">
                <a:alpha val="85000"/>
              </a:schemeClr>
            </a:solidFill>
            <a:ln w="9525" cap="flat" cmpd="sng" algn="ctr">
              <a:solidFill>
                <a:schemeClr val="accent6">
                  <a:lumMod val="75000"/>
                </a:schemeClr>
              </a:solidFill>
              <a:round/>
            </a:ln>
            <a:effectLst/>
          </c:spPr>
          <c:invertIfNegative val="0"/>
          <c:cat>
            <c:strRef>
              <c:f>'Energiebehoefte algemeen'!$O$11:$W$11</c:f>
              <c:strCache>
                <c:ptCount val="9"/>
                <c:pt idx="0">
                  <c:v>A1 - standaard</c:v>
                </c:pt>
                <c:pt idx="1">
                  <c:v>A2b - luchtdruk roosters</c:v>
                </c:pt>
                <c:pt idx="2">
                  <c:v>C1 - standaard</c:v>
                </c:pt>
                <c:pt idx="3">
                  <c:v>C2a - geregelde roosters</c:v>
                </c:pt>
                <c:pt idx="4">
                  <c:v>C3b - tijdsturing toevoer</c:v>
                </c:pt>
                <c:pt idx="5">
                  <c:v>C4c  - CO2 sturing toevoer</c:v>
                </c:pt>
                <c:pt idx="6">
                  <c:v>D1 - geen wtw</c:v>
                </c:pt>
                <c:pt idx="7">
                  <c:v>D2/D4a - met wtw</c:v>
                </c:pt>
                <c:pt idx="8">
                  <c:v>D5a - CO2 regeling</c:v>
                </c:pt>
              </c:strCache>
            </c:strRef>
          </c:cat>
          <c:val>
            <c:numRef>
              <c:f>'Energiebehoefte algemeen'!$O$18:$W$18</c:f>
              <c:numCache>
                <c:formatCode>0</c:formatCode>
                <c:ptCount val="9"/>
                <c:pt idx="0">
                  <c:v>97.359975541117024</c:v>
                </c:pt>
                <c:pt idx="1">
                  <c:v>93.108177611990754</c:v>
                </c:pt>
                <c:pt idx="2">
                  <c:v>86.938408023594889</c:v>
                </c:pt>
                <c:pt idx="3">
                  <c:v>81.487924465005676</c:v>
                </c:pt>
                <c:pt idx="4">
                  <c:v>78.895507711586987</c:v>
                </c:pt>
                <c:pt idx="5">
                  <c:v>73.720503776652436</c:v>
                </c:pt>
                <c:pt idx="6">
                  <c:v>65.378913942100638</c:v>
                </c:pt>
                <c:pt idx="7">
                  <c:v>64.271639535609452</c:v>
                </c:pt>
                <c:pt idx="8">
                  <c:v>59.992410351450587</c:v>
                </c:pt>
              </c:numCache>
            </c:numRef>
          </c:val>
          <c:extLst>
            <c:ext xmlns:c16="http://schemas.microsoft.com/office/drawing/2014/chart" uri="{C3380CC4-5D6E-409C-BE32-E72D297353CC}">
              <c16:uniqueId val="{00000005-352D-4688-8ECF-97E9F4D228EA}"/>
            </c:ext>
          </c:extLst>
        </c:ser>
        <c:dLbls>
          <c:showLegendKey val="0"/>
          <c:showVal val="0"/>
          <c:showCatName val="0"/>
          <c:showSerName val="0"/>
          <c:showPercent val="0"/>
          <c:showBubbleSize val="0"/>
        </c:dLbls>
        <c:gapWidth val="65"/>
        <c:axId val="744689824"/>
        <c:axId val="744690152"/>
      </c:barChart>
      <c:catAx>
        <c:axId val="74468982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spcFirstLastPara="1" vertOverflow="ellipsis"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nl-NL"/>
          </a:p>
        </c:txPr>
        <c:crossAx val="744690152"/>
        <c:crosses val="autoZero"/>
        <c:auto val="1"/>
        <c:lblAlgn val="ctr"/>
        <c:lblOffset val="100"/>
        <c:noMultiLvlLbl val="0"/>
      </c:catAx>
      <c:valAx>
        <c:axId val="744690152"/>
        <c:scaling>
          <c:orientation val="minMax"/>
        </c:scaling>
        <c:delete val="0"/>
        <c:axPos val="l"/>
        <c:majorGridlines>
          <c:spPr>
            <a:ln w="6350" cap="flat" cmpd="sng" algn="ctr">
              <a:solidFill>
                <a:schemeClr val="bg1">
                  <a:lumMod val="7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crossAx val="744689824"/>
        <c:crosses val="autoZero"/>
        <c:crossBetween val="between"/>
      </c:valAx>
      <c:spPr>
        <a:noFill/>
        <a:ln>
          <a:noFill/>
        </a:ln>
        <a:effectLst/>
      </c:spPr>
    </c:plotArea>
    <c:legend>
      <c:legendPos val="t"/>
      <c:layout>
        <c:manualLayout>
          <c:xMode val="edge"/>
          <c:yMode val="edge"/>
          <c:x val="0.35883208105854991"/>
          <c:y val="9.6178903245926317E-2"/>
          <c:w val="0.28233571825976572"/>
          <c:h val="4.1585396426722515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solidFill>
        <a:schemeClr val="dk1">
          <a:lumMod val="25000"/>
          <a:lumOff val="7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woningen|utiliteit'!A1"/></Relationships>
</file>

<file path=xl/drawings/_rels/drawing10.xml.rels><?xml version="1.0" encoding="UTF-8" standalone="yes"?>
<Relationships xmlns="http://schemas.openxmlformats.org/package/2006/relationships"><Relationship Id="rId8" Type="http://schemas.openxmlformats.org/officeDocument/2006/relationships/hyperlink" Target="#'variant 4'!A1"/><Relationship Id="rId3" Type="http://schemas.openxmlformats.org/officeDocument/2006/relationships/hyperlink" Target="#handleiding!A1"/><Relationship Id="rId7" Type="http://schemas.openxmlformats.org/officeDocument/2006/relationships/hyperlink" Target="#'variant 3'!A1"/><Relationship Id="rId12" Type="http://schemas.openxmlformats.org/officeDocument/2006/relationships/hyperlink" Target="#bibliotheek!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variant 2'!A1"/><Relationship Id="rId11" Type="http://schemas.openxmlformats.org/officeDocument/2006/relationships/hyperlink" Target="#resultaten!A1"/><Relationship Id="rId5" Type="http://schemas.openxmlformats.org/officeDocument/2006/relationships/hyperlink" Target="#'variant 1'!A1"/><Relationship Id="rId10" Type="http://schemas.openxmlformats.org/officeDocument/2006/relationships/hyperlink" Target="#'variant 6'!A1"/><Relationship Id="rId4" Type="http://schemas.openxmlformats.org/officeDocument/2006/relationships/hyperlink" Target="#'woningen|utiliteit'!A1"/><Relationship Id="rId9" Type="http://schemas.openxmlformats.org/officeDocument/2006/relationships/hyperlink" Target="#'variant 5'!A1"/></Relationships>
</file>

<file path=xl/drawings/_rels/drawing13.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_rels/drawing2.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_rels/drawing3.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_rels/drawing4.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_rels/drawing5.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_rels/drawing6.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_rels/drawing7.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_rels/drawing8.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_rels/drawing9.xml.rels><?xml version="1.0" encoding="UTF-8" standalone="yes"?>
<Relationships xmlns="http://schemas.openxmlformats.org/package/2006/relationships"><Relationship Id="rId8" Type="http://schemas.openxmlformats.org/officeDocument/2006/relationships/hyperlink" Target="#'variant 6'!A1"/><Relationship Id="rId3" Type="http://schemas.openxmlformats.org/officeDocument/2006/relationships/hyperlink" Target="#'variant 1'!A1"/><Relationship Id="rId7" Type="http://schemas.openxmlformats.org/officeDocument/2006/relationships/hyperlink" Target="#'variant 5'!A1"/><Relationship Id="rId2" Type="http://schemas.openxmlformats.org/officeDocument/2006/relationships/hyperlink" Target="#'woningen|utiliteit'!A1"/><Relationship Id="rId1" Type="http://schemas.openxmlformats.org/officeDocument/2006/relationships/hyperlink" Target="#handleiding!A1"/><Relationship Id="rId6" Type="http://schemas.openxmlformats.org/officeDocument/2006/relationships/hyperlink" Target="#'variant 4'!A1"/><Relationship Id="rId5" Type="http://schemas.openxmlformats.org/officeDocument/2006/relationships/hyperlink" Target="#'variant 3'!A1"/><Relationship Id="rId10" Type="http://schemas.openxmlformats.org/officeDocument/2006/relationships/hyperlink" Target="#bibliotheek!A1"/><Relationship Id="rId4" Type="http://schemas.openxmlformats.org/officeDocument/2006/relationships/hyperlink" Target="#'variant 2'!A1"/><Relationship Id="rId9" Type="http://schemas.openxmlformats.org/officeDocument/2006/relationships/hyperlink" Target="#resultaten!A1"/></Relationships>
</file>

<file path=xl/drawings/drawing1.xml><?xml version="1.0" encoding="utf-8"?>
<xdr:wsDr xmlns:xdr="http://schemas.openxmlformats.org/drawingml/2006/spreadsheetDrawing" xmlns:a="http://schemas.openxmlformats.org/drawingml/2006/main">
  <xdr:twoCellAnchor editAs="oneCell">
    <xdr:from>
      <xdr:col>4</xdr:col>
      <xdr:colOff>5248275</xdr:colOff>
      <xdr:row>2</xdr:row>
      <xdr:rowOff>0</xdr:rowOff>
    </xdr:from>
    <xdr:to>
      <xdr:col>5</xdr:col>
      <xdr:colOff>0</xdr:colOff>
      <xdr:row>4</xdr:row>
      <xdr:rowOff>171449</xdr:rowOff>
    </xdr:to>
    <xdr:sp macro="" textlink="">
      <xdr:nvSpPr>
        <xdr:cNvPr id="4" name="Rectangle 3">
          <a:hlinkClick xmlns:r="http://schemas.openxmlformats.org/officeDocument/2006/relationships" r:id="rId1" tooltip="Naar de invoer van de woningen en utiliteitsgebouwen in het gebied."/>
          <a:extLst>
            <a:ext uri="{FF2B5EF4-FFF2-40B4-BE49-F238E27FC236}">
              <a16:creationId xmlns:a16="http://schemas.microsoft.com/office/drawing/2014/main" id="{00000000-0008-0000-0000-000004000000}"/>
            </a:ext>
          </a:extLst>
        </xdr:cNvPr>
        <xdr:cNvSpPr>
          <a:spLocks noChangeArrowheads="1"/>
        </xdr:cNvSpPr>
      </xdr:nvSpPr>
      <xdr:spPr bwMode="auto">
        <a:xfrm>
          <a:off x="5429250" y="466725"/>
          <a:ext cx="1581150" cy="647699"/>
        </a:xfrm>
        <a:prstGeom prst="rect">
          <a:avLst/>
        </a:prstGeom>
        <a:gradFill flip="none" rotWithShape="1">
          <a:gsLst>
            <a:gs pos="6000">
              <a:schemeClr val="bg1">
                <a:lumMod val="95000"/>
              </a:schemeClr>
            </a:gs>
            <a:gs pos="0">
              <a:schemeClr val="bg1"/>
            </a:gs>
            <a:gs pos="90036">
              <a:schemeClr val="bg1">
                <a:lumMod val="85000"/>
              </a:schemeClr>
            </a:gs>
            <a:gs pos="100000">
              <a:schemeClr val="bg1">
                <a:lumMod val="65000"/>
              </a:schemeClr>
            </a:gs>
          </a:gsLst>
          <a:lin ang="5400000" scaled="1"/>
          <a:tileRect/>
        </a:gradFill>
        <a:ln w="635">
          <a:solidFill>
            <a:schemeClr val="bg1">
              <a:lumMod val="65000"/>
            </a:schemeClr>
          </a:solidFill>
        </a:ln>
        <a:effectLst>
          <a:outerShdw blurRad="50800" dist="38100" dir="2700000" algn="tl" rotWithShape="0">
            <a:prstClr val="black">
              <a:alpha val="40000"/>
            </a:prstClr>
          </a:outerShdw>
        </a:effectLst>
      </xdr:spPr>
      <xdr:txBody>
        <a:bodyPr vertOverflow="clip" wrap="square" lIns="0" tIns="0" rIns="0" bIns="0" anchor="ctr" upright="1"/>
        <a:lstStyle/>
        <a:p>
          <a:pPr marL="0" indent="0" algn="ctr" rtl="0">
            <a:defRPr sz="1000"/>
          </a:pPr>
          <a:r>
            <a:rPr lang="nl-NL" sz="1000" b="0" i="0" u="none" strike="noStrike" baseline="0">
              <a:solidFill>
                <a:schemeClr val="tx2"/>
              </a:solidFill>
              <a:latin typeface="Calibri Light" panose="020F0302020204030204" pitchFamily="34" charset="0"/>
              <a:ea typeface="Verdana"/>
              <a:cs typeface="Calibri Light" panose="020F0302020204030204" pitchFamily="34" charset="0"/>
            </a:rPr>
            <a:t>Start met de</a:t>
          </a:r>
        </a:p>
        <a:p>
          <a:pPr marL="0" indent="0" algn="ctr" rtl="0">
            <a:defRPr sz="1000"/>
          </a:pPr>
          <a:r>
            <a:rPr lang="nl-NL" sz="1000" b="0" i="0" u="none" strike="noStrike" baseline="0">
              <a:solidFill>
                <a:schemeClr val="tx2"/>
              </a:solidFill>
              <a:latin typeface="Calibri Light" panose="020F0302020204030204" pitchFamily="34" charset="0"/>
              <a:ea typeface="Verdana"/>
              <a:cs typeface="Calibri Light" panose="020F0302020204030204" pitchFamily="34" charset="0"/>
            </a:rPr>
            <a:t>Uniforme Maatlat</a:t>
          </a:r>
        </a:p>
        <a:p>
          <a:pPr marL="0" indent="0" algn="ctr" rtl="0">
            <a:defRPr sz="1000"/>
          </a:pPr>
          <a:r>
            <a:rPr lang="nl-NL" sz="1000" b="0" i="0" u="none" strike="noStrike" baseline="0">
              <a:solidFill>
                <a:schemeClr val="tx2"/>
              </a:solidFill>
              <a:latin typeface="Calibri Light" panose="020F0302020204030204" pitchFamily="34" charset="0"/>
              <a:ea typeface="Verdana"/>
              <a:cs typeface="Calibri Light" panose="020F0302020204030204" pitchFamily="34" charset="0"/>
            </a:rPr>
            <a:t>Gebouwde Omgeving </a:t>
          </a:r>
        </a:p>
      </xdr:txBody>
    </xdr:sp>
    <xdr:clientData/>
  </xdr:twoCellAnchor>
  <xdr:twoCellAnchor editAs="oneCell">
    <xdr:from>
      <xdr:col>3</xdr:col>
      <xdr:colOff>0</xdr:colOff>
      <xdr:row>1</xdr:row>
      <xdr:rowOff>9524</xdr:rowOff>
    </xdr:from>
    <xdr:to>
      <xdr:col>4</xdr:col>
      <xdr:colOff>4977826</xdr:colOff>
      <xdr:row>4</xdr:row>
      <xdr:rowOff>140969</xdr:rowOff>
    </xdr:to>
    <xdr:pic>
      <xdr:nvPicPr>
        <xdr:cNvPr id="2" name="Afbeelding 1" descr="logo rijksdienst voor ondernemend nederland">
          <a:extLst>
            <a:ext uri="{FF2B5EF4-FFF2-40B4-BE49-F238E27FC236}">
              <a16:creationId xmlns:a16="http://schemas.microsoft.com/office/drawing/2014/main" id="{14306D2F-64F6-144A-A26D-F818E543D8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276224"/>
          <a:ext cx="5158801" cy="79819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302</xdr:row>
      <xdr:rowOff>0</xdr:rowOff>
    </xdr:from>
    <xdr:to>
      <xdr:col>18</xdr:col>
      <xdr:colOff>0</xdr:colOff>
      <xdr:row>303</xdr:row>
      <xdr:rowOff>0</xdr:rowOff>
    </xdr:to>
    <xdr:graphicFrame macro="">
      <xdr:nvGraphicFramePr>
        <xdr:cNvPr id="15" name="Grafiek 1554">
          <a:extLst>
            <a:ext uri="{FF2B5EF4-FFF2-40B4-BE49-F238E27FC236}">
              <a16:creationId xmlns:a16="http://schemas.microsoft.com/office/drawing/2014/main" id="{00000000-0008-0000-0900-00000F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304</xdr:row>
      <xdr:rowOff>0</xdr:rowOff>
    </xdr:from>
    <xdr:to>
      <xdr:col>18</xdr:col>
      <xdr:colOff>0</xdr:colOff>
      <xdr:row>305</xdr:row>
      <xdr:rowOff>0</xdr:rowOff>
    </xdr:to>
    <xdr:graphicFrame macro="">
      <xdr:nvGraphicFramePr>
        <xdr:cNvPr id="18" name="Grafiek 1554">
          <a:extLst>
            <a:ext uri="{FF2B5EF4-FFF2-40B4-BE49-F238E27FC236}">
              <a16:creationId xmlns:a16="http://schemas.microsoft.com/office/drawing/2014/main" id="{00000000-0008-0000-0900-00001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4</xdr:col>
      <xdr:colOff>4003</xdr:colOff>
      <xdr:row>7</xdr:row>
      <xdr:rowOff>64209</xdr:rowOff>
    </xdr:from>
    <xdr:to>
      <xdr:col>4</xdr:col>
      <xdr:colOff>212383</xdr:colOff>
      <xdr:row>9</xdr:row>
      <xdr:rowOff>17197</xdr:rowOff>
    </xdr:to>
    <xdr:sp macro="" textlink="">
      <xdr:nvSpPr>
        <xdr:cNvPr id="23" name="Rectangle 3">
          <a:hlinkClick xmlns:r="http://schemas.openxmlformats.org/officeDocument/2006/relationships" r:id="rId3" tooltip="Naar de handleiding"/>
          <a:extLst>
            <a:ext uri="{FF2B5EF4-FFF2-40B4-BE49-F238E27FC236}">
              <a16:creationId xmlns:a16="http://schemas.microsoft.com/office/drawing/2014/main" id="{00000000-0008-0000-0900-000017000000}"/>
            </a:ext>
          </a:extLst>
        </xdr:cNvPr>
        <xdr:cNvSpPr>
          <a:spLocks noChangeArrowheads="1"/>
        </xdr:cNvSpPr>
      </xdr:nvSpPr>
      <xdr:spPr bwMode="auto">
        <a:xfrm>
          <a:off x="575503" y="1543385"/>
          <a:ext cx="208380" cy="22193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absolute">
    <xdr:from>
      <xdr:col>4</xdr:col>
      <xdr:colOff>248652</xdr:colOff>
      <xdr:row>7</xdr:row>
      <xdr:rowOff>64209</xdr:rowOff>
    </xdr:from>
    <xdr:to>
      <xdr:col>4</xdr:col>
      <xdr:colOff>1354133</xdr:colOff>
      <xdr:row>9</xdr:row>
      <xdr:rowOff>17024</xdr:rowOff>
    </xdr:to>
    <xdr:sp macro="" textlink="">
      <xdr:nvSpPr>
        <xdr:cNvPr id="24" name="Rectangle 3">
          <a:hlinkClick xmlns:r="http://schemas.openxmlformats.org/officeDocument/2006/relationships" r:id="rId4" tooltip="Naar de invoer van de woningen en utiliteitsgebouwen in het gebied."/>
          <a:extLst>
            <a:ext uri="{FF2B5EF4-FFF2-40B4-BE49-F238E27FC236}">
              <a16:creationId xmlns:a16="http://schemas.microsoft.com/office/drawing/2014/main" id="{00000000-0008-0000-0900-000018000000}"/>
            </a:ext>
          </a:extLst>
        </xdr:cNvPr>
        <xdr:cNvSpPr>
          <a:spLocks noChangeArrowheads="1"/>
        </xdr:cNvSpPr>
      </xdr:nvSpPr>
      <xdr:spPr bwMode="auto">
        <a:xfrm>
          <a:off x="820152" y="1543385"/>
          <a:ext cx="1105481" cy="221757"/>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absolute">
    <xdr:from>
      <xdr:col>4</xdr:col>
      <xdr:colOff>1391595</xdr:colOff>
      <xdr:row>7</xdr:row>
      <xdr:rowOff>64209</xdr:rowOff>
    </xdr:from>
    <xdr:to>
      <xdr:col>4</xdr:col>
      <xdr:colOff>1812165</xdr:colOff>
      <xdr:row>9</xdr:row>
      <xdr:rowOff>17024</xdr:rowOff>
    </xdr:to>
    <xdr:sp macro="" textlink="">
      <xdr:nvSpPr>
        <xdr:cNvPr id="25" name="Rectangle 4">
          <a:hlinkClick xmlns:r="http://schemas.openxmlformats.org/officeDocument/2006/relationships" r:id="rId5" tooltip="Naar invoer installaties en berekening variant 1"/>
          <a:extLst>
            <a:ext uri="{FF2B5EF4-FFF2-40B4-BE49-F238E27FC236}">
              <a16:creationId xmlns:a16="http://schemas.microsoft.com/office/drawing/2014/main" id="{00000000-0008-0000-0900-000019000000}"/>
            </a:ext>
          </a:extLst>
        </xdr:cNvPr>
        <xdr:cNvSpPr>
          <a:spLocks noChangeArrowheads="1"/>
        </xdr:cNvSpPr>
      </xdr:nvSpPr>
      <xdr:spPr bwMode="auto">
        <a:xfrm>
          <a:off x="1963095" y="1543385"/>
          <a:ext cx="420570" cy="221757"/>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absolute">
    <xdr:from>
      <xdr:col>4</xdr:col>
      <xdr:colOff>1844797</xdr:colOff>
      <xdr:row>7</xdr:row>
      <xdr:rowOff>64209</xdr:rowOff>
    </xdr:from>
    <xdr:to>
      <xdr:col>5</xdr:col>
      <xdr:colOff>211369</xdr:colOff>
      <xdr:row>9</xdr:row>
      <xdr:rowOff>17024</xdr:rowOff>
    </xdr:to>
    <xdr:sp macro="" textlink="">
      <xdr:nvSpPr>
        <xdr:cNvPr id="26" name="Rectangle 8">
          <a:hlinkClick xmlns:r="http://schemas.openxmlformats.org/officeDocument/2006/relationships" r:id="rId6" tooltip="Naar invoer installaties en berekening variant 2."/>
          <a:extLst>
            <a:ext uri="{FF2B5EF4-FFF2-40B4-BE49-F238E27FC236}">
              <a16:creationId xmlns:a16="http://schemas.microsoft.com/office/drawing/2014/main" id="{00000000-0008-0000-0900-00001A000000}"/>
            </a:ext>
          </a:extLst>
        </xdr:cNvPr>
        <xdr:cNvSpPr>
          <a:spLocks noChangeArrowheads="1"/>
        </xdr:cNvSpPr>
      </xdr:nvSpPr>
      <xdr:spPr bwMode="auto">
        <a:xfrm>
          <a:off x="2416297" y="1543385"/>
          <a:ext cx="428454" cy="221757"/>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absolute">
    <xdr:from>
      <xdr:col>5</xdr:col>
      <xdr:colOff>255198</xdr:colOff>
      <xdr:row>7</xdr:row>
      <xdr:rowOff>64209</xdr:rowOff>
    </xdr:from>
    <xdr:to>
      <xdr:col>5</xdr:col>
      <xdr:colOff>671958</xdr:colOff>
      <xdr:row>9</xdr:row>
      <xdr:rowOff>17024</xdr:rowOff>
    </xdr:to>
    <xdr:sp macro="" textlink="">
      <xdr:nvSpPr>
        <xdr:cNvPr id="27" name="Rectangle 9">
          <a:hlinkClick xmlns:r="http://schemas.openxmlformats.org/officeDocument/2006/relationships" r:id="rId7" tooltip="Naar invoer installaties en berekening variant 3."/>
          <a:extLst>
            <a:ext uri="{FF2B5EF4-FFF2-40B4-BE49-F238E27FC236}">
              <a16:creationId xmlns:a16="http://schemas.microsoft.com/office/drawing/2014/main" id="{00000000-0008-0000-0900-00001B000000}"/>
            </a:ext>
          </a:extLst>
        </xdr:cNvPr>
        <xdr:cNvSpPr>
          <a:spLocks noChangeArrowheads="1"/>
        </xdr:cNvSpPr>
      </xdr:nvSpPr>
      <xdr:spPr bwMode="auto">
        <a:xfrm>
          <a:off x="2888580" y="1543385"/>
          <a:ext cx="416760" cy="221757"/>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absolute">
    <xdr:from>
      <xdr:col>5</xdr:col>
      <xdr:colOff>711514</xdr:colOff>
      <xdr:row>7</xdr:row>
      <xdr:rowOff>64209</xdr:rowOff>
    </xdr:from>
    <xdr:to>
      <xdr:col>5</xdr:col>
      <xdr:colOff>1145896</xdr:colOff>
      <xdr:row>9</xdr:row>
      <xdr:rowOff>17024</xdr:rowOff>
    </xdr:to>
    <xdr:sp macro="" textlink="">
      <xdr:nvSpPr>
        <xdr:cNvPr id="28" name="Rectangle 10">
          <a:hlinkClick xmlns:r="http://schemas.openxmlformats.org/officeDocument/2006/relationships" r:id="rId8" tooltip="Naar invoer installaties en berekening variant 4."/>
          <a:extLst>
            <a:ext uri="{FF2B5EF4-FFF2-40B4-BE49-F238E27FC236}">
              <a16:creationId xmlns:a16="http://schemas.microsoft.com/office/drawing/2014/main" id="{00000000-0008-0000-0900-00001C000000}"/>
            </a:ext>
          </a:extLst>
        </xdr:cNvPr>
        <xdr:cNvSpPr>
          <a:spLocks noChangeArrowheads="1"/>
        </xdr:cNvSpPr>
      </xdr:nvSpPr>
      <xdr:spPr bwMode="auto">
        <a:xfrm>
          <a:off x="3344896" y="1543385"/>
          <a:ext cx="434382" cy="221757"/>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absolute">
    <xdr:from>
      <xdr:col>5</xdr:col>
      <xdr:colOff>1166889</xdr:colOff>
      <xdr:row>7</xdr:row>
      <xdr:rowOff>64209</xdr:rowOff>
    </xdr:from>
    <xdr:to>
      <xdr:col>5</xdr:col>
      <xdr:colOff>1600107</xdr:colOff>
      <xdr:row>9</xdr:row>
      <xdr:rowOff>17024</xdr:rowOff>
    </xdr:to>
    <xdr:sp macro="" textlink="">
      <xdr:nvSpPr>
        <xdr:cNvPr id="29" name="Rectangle 11">
          <a:hlinkClick xmlns:r="http://schemas.openxmlformats.org/officeDocument/2006/relationships" r:id="rId9" tooltip="Naar invoer installaties en berekening variant 5."/>
          <a:extLst>
            <a:ext uri="{FF2B5EF4-FFF2-40B4-BE49-F238E27FC236}">
              <a16:creationId xmlns:a16="http://schemas.microsoft.com/office/drawing/2014/main" id="{00000000-0008-0000-0900-00001D000000}"/>
            </a:ext>
          </a:extLst>
        </xdr:cNvPr>
        <xdr:cNvSpPr>
          <a:spLocks noChangeArrowheads="1"/>
        </xdr:cNvSpPr>
      </xdr:nvSpPr>
      <xdr:spPr bwMode="auto">
        <a:xfrm>
          <a:off x="3800271" y="1543385"/>
          <a:ext cx="433218" cy="221757"/>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absolute">
    <xdr:from>
      <xdr:col>5</xdr:col>
      <xdr:colOff>1617134</xdr:colOff>
      <xdr:row>7</xdr:row>
      <xdr:rowOff>64209</xdr:rowOff>
    </xdr:from>
    <xdr:to>
      <xdr:col>6</xdr:col>
      <xdr:colOff>25152</xdr:colOff>
      <xdr:row>9</xdr:row>
      <xdr:rowOff>17024</xdr:rowOff>
    </xdr:to>
    <xdr:sp macro="" textlink="">
      <xdr:nvSpPr>
        <xdr:cNvPr id="30" name="Rectangle 7">
          <a:hlinkClick xmlns:r="http://schemas.openxmlformats.org/officeDocument/2006/relationships" r:id="rId10" tooltip="Naar invoer installaties en berekening variant 6."/>
          <a:extLst>
            <a:ext uri="{FF2B5EF4-FFF2-40B4-BE49-F238E27FC236}">
              <a16:creationId xmlns:a16="http://schemas.microsoft.com/office/drawing/2014/main" id="{00000000-0008-0000-0900-00001E000000}"/>
            </a:ext>
          </a:extLst>
        </xdr:cNvPr>
        <xdr:cNvSpPr>
          <a:spLocks noChangeArrowheads="1"/>
        </xdr:cNvSpPr>
      </xdr:nvSpPr>
      <xdr:spPr bwMode="auto">
        <a:xfrm>
          <a:off x="4250516" y="1543385"/>
          <a:ext cx="469901" cy="221757"/>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absolute">
    <xdr:from>
      <xdr:col>6</xdr:col>
      <xdr:colOff>28037</xdr:colOff>
      <xdr:row>7</xdr:row>
      <xdr:rowOff>64209</xdr:rowOff>
    </xdr:from>
    <xdr:to>
      <xdr:col>6</xdr:col>
      <xdr:colOff>711182</xdr:colOff>
      <xdr:row>9</xdr:row>
      <xdr:rowOff>17024</xdr:rowOff>
    </xdr:to>
    <xdr:sp macro="" textlink="">
      <xdr:nvSpPr>
        <xdr:cNvPr id="31" name="Rectangle 5">
          <a:hlinkClick xmlns:r="http://schemas.openxmlformats.org/officeDocument/2006/relationships" r:id="rId11" tooltip="Naar het overzicht van de rekenresultaten van de referentie en de varianten."/>
          <a:extLst>
            <a:ext uri="{FF2B5EF4-FFF2-40B4-BE49-F238E27FC236}">
              <a16:creationId xmlns:a16="http://schemas.microsoft.com/office/drawing/2014/main" id="{00000000-0008-0000-0900-00001F000000}"/>
            </a:ext>
          </a:extLst>
        </xdr:cNvPr>
        <xdr:cNvSpPr>
          <a:spLocks noChangeArrowheads="1"/>
        </xdr:cNvSpPr>
      </xdr:nvSpPr>
      <xdr:spPr bwMode="auto">
        <a:xfrm>
          <a:off x="4723302" y="1543385"/>
          <a:ext cx="683145" cy="221757"/>
        </a:xfrm>
        <a:prstGeom prst="rect">
          <a:avLst/>
        </a:prstGeom>
        <a:gradFill>
          <a:gsLst>
            <a:gs pos="84000">
              <a:schemeClr val="accent1">
                <a:lumMod val="40000"/>
                <a:lumOff val="60000"/>
              </a:schemeClr>
            </a:gs>
            <a:gs pos="99000">
              <a:schemeClr val="accent1"/>
            </a:gs>
            <a:gs pos="16000">
              <a:schemeClr val="accent1">
                <a:lumMod val="20000"/>
                <a:lumOff val="80000"/>
              </a:schemeClr>
            </a:gs>
            <a:gs pos="0">
              <a:schemeClr val="bg1"/>
            </a:gs>
          </a:gsLst>
          <a:lin ang="5400000" scaled="1"/>
        </a:gradFill>
        <a:ln w="635">
          <a:solidFill>
            <a:schemeClr val="bg1">
              <a:lumMod val="65000"/>
            </a:schemeClr>
          </a:solidFill>
        </a:ln>
        <a:effectLst>
          <a:outerShdw blurRad="50800" dist="38100" dir="5400000" algn="t" rotWithShape="0">
            <a:schemeClr val="accent1">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absolute">
    <xdr:from>
      <xdr:col>6</xdr:col>
      <xdr:colOff>727466</xdr:colOff>
      <xdr:row>7</xdr:row>
      <xdr:rowOff>64209</xdr:rowOff>
    </xdr:from>
    <xdr:to>
      <xdr:col>7</xdr:col>
      <xdr:colOff>377</xdr:colOff>
      <xdr:row>9</xdr:row>
      <xdr:rowOff>17024</xdr:rowOff>
    </xdr:to>
    <xdr:sp macro="" textlink="">
      <xdr:nvSpPr>
        <xdr:cNvPr id="34" name="Rectangle 6">
          <a:hlinkClick xmlns:r="http://schemas.openxmlformats.org/officeDocument/2006/relationships" r:id="rId12" tooltip="Naar de bibilotheek met gegevens van gebouwen en installaties."/>
          <a:extLst>
            <a:ext uri="{FF2B5EF4-FFF2-40B4-BE49-F238E27FC236}">
              <a16:creationId xmlns:a16="http://schemas.microsoft.com/office/drawing/2014/main" id="{00000000-0008-0000-0900-000022000000}"/>
            </a:ext>
          </a:extLst>
        </xdr:cNvPr>
        <xdr:cNvSpPr>
          <a:spLocks noChangeArrowheads="1"/>
        </xdr:cNvSpPr>
      </xdr:nvSpPr>
      <xdr:spPr bwMode="auto">
        <a:xfrm>
          <a:off x="5422731" y="1543385"/>
          <a:ext cx="728876" cy="221757"/>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0.08495</cdr:x>
      <cdr:y>0.04436</cdr:y>
    </cdr:from>
    <cdr:to>
      <cdr:x>0.54519</cdr:x>
      <cdr:y>0.12819</cdr:y>
    </cdr:to>
    <cdr:sp macro="" textlink="">
      <cdr:nvSpPr>
        <cdr:cNvPr id="317441" name="Text Box 1025"/>
        <cdr:cNvSpPr txBox="1">
          <a:spLocks xmlns:a="http://schemas.openxmlformats.org/drawingml/2006/main" noChangeArrowheads="1"/>
        </cdr:cNvSpPr>
      </cdr:nvSpPr>
      <cdr:spPr bwMode="auto">
        <a:xfrm xmlns:a="http://schemas.openxmlformats.org/drawingml/2006/main">
          <a:off x="635984" y="115350"/>
          <a:ext cx="3445656" cy="217986"/>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22860" rIns="0" bIns="22860" anchor="ctr" upright="1"/>
        <a:lstStyle xmlns:a="http://schemas.openxmlformats.org/drawingml/2006/main"/>
        <a:p xmlns:a="http://schemas.openxmlformats.org/drawingml/2006/main">
          <a:pPr algn="l" rtl="0">
            <a:defRPr sz="1000"/>
          </a:pPr>
          <a:r>
            <a:rPr lang="nl-NL" sz="1200" b="1" i="0" u="none" strike="noStrike" baseline="0">
              <a:solidFill>
                <a:sysClr val="windowText" lastClr="000000"/>
              </a:solidFill>
              <a:latin typeface="+mn-lt"/>
              <a:ea typeface="Verdana"/>
              <a:cs typeface="Verdana"/>
            </a:rPr>
            <a:t>CO2 emissie </a:t>
          </a:r>
          <a:r>
            <a:rPr lang="nl-NL" sz="1200" b="0" i="1" u="none" strike="noStrike" baseline="0">
              <a:solidFill>
                <a:sysClr val="windowText" lastClr="000000"/>
              </a:solidFill>
              <a:latin typeface="+mn-lt"/>
              <a:ea typeface="Verdana"/>
              <a:cs typeface="Verdana"/>
            </a:rPr>
            <a:t>ton per jaar</a:t>
          </a:r>
          <a:endParaRPr lang="nl-NL" sz="1200" i="1">
            <a:solidFill>
              <a:sysClr val="windowText" lastClr="000000"/>
            </a:solidFill>
            <a:latin typeface="+mn-lt"/>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0.08495</cdr:x>
      <cdr:y>0.04436</cdr:y>
    </cdr:from>
    <cdr:to>
      <cdr:x>0.54519</cdr:x>
      <cdr:y>0.12819</cdr:y>
    </cdr:to>
    <cdr:sp macro="" textlink="">
      <cdr:nvSpPr>
        <cdr:cNvPr id="317441" name="Text Box 1025"/>
        <cdr:cNvSpPr txBox="1">
          <a:spLocks xmlns:a="http://schemas.openxmlformats.org/drawingml/2006/main" noChangeArrowheads="1"/>
        </cdr:cNvSpPr>
      </cdr:nvSpPr>
      <cdr:spPr bwMode="auto">
        <a:xfrm xmlns:a="http://schemas.openxmlformats.org/drawingml/2006/main">
          <a:off x="635984" y="115350"/>
          <a:ext cx="3445656" cy="217986"/>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22860" rIns="0" bIns="22860" anchor="ctr" upright="1"/>
        <a:lstStyle xmlns:a="http://schemas.openxmlformats.org/drawingml/2006/main"/>
        <a:p xmlns:a="http://schemas.openxmlformats.org/drawingml/2006/main">
          <a:pPr algn="l" rtl="0">
            <a:defRPr sz="1000"/>
          </a:pPr>
          <a:r>
            <a:rPr lang="nl-NL" sz="1200" b="1" i="0" u="none" strike="noStrike" baseline="0">
              <a:solidFill>
                <a:sysClr val="windowText" lastClr="000000"/>
              </a:solidFill>
              <a:latin typeface="+mn-lt"/>
              <a:ea typeface="Verdana"/>
              <a:cs typeface="Verdana"/>
            </a:rPr>
            <a:t>Fossiel energiegebruik  </a:t>
          </a:r>
          <a:r>
            <a:rPr lang="nl-NL" sz="1200" b="0" i="1" u="none" strike="noStrike" baseline="0">
              <a:solidFill>
                <a:sysClr val="windowText" lastClr="000000"/>
              </a:solidFill>
              <a:latin typeface="+mn-lt"/>
              <a:ea typeface="Verdana"/>
              <a:cs typeface="Verdana"/>
            </a:rPr>
            <a:t>MWh per jaar</a:t>
          </a:r>
          <a:endParaRPr lang="nl-NL" sz="1200" i="1">
            <a:solidFill>
              <a:sysClr val="windowText" lastClr="000000"/>
            </a:solidFill>
            <a:latin typeface="+mn-lt"/>
          </a:endParaRPr>
        </a:p>
      </cdr:txBody>
    </cdr:sp>
  </cdr:relSizeAnchor>
</c:userShapes>
</file>

<file path=xl/drawings/drawing13.xml><?xml version="1.0" encoding="utf-8"?>
<xdr:wsDr xmlns:xdr="http://schemas.openxmlformats.org/drawingml/2006/spreadsheetDrawing" xmlns:a="http://schemas.openxmlformats.org/drawingml/2006/main">
  <xdr:twoCellAnchor editAs="oneCell">
    <xdr:from>
      <xdr:col>4</xdr:col>
      <xdr:colOff>1905</xdr:colOff>
      <xdr:row>7</xdr:row>
      <xdr:rowOff>34517</xdr:rowOff>
    </xdr:from>
    <xdr:to>
      <xdr:col>4</xdr:col>
      <xdr:colOff>227430</xdr:colOff>
      <xdr:row>7</xdr:row>
      <xdr:rowOff>225070</xdr:rowOff>
    </xdr:to>
    <xdr:sp macro="" textlink="">
      <xdr:nvSpPr>
        <xdr:cNvPr id="12" name="Rectangle 3">
          <a:hlinkClick xmlns:r="http://schemas.openxmlformats.org/officeDocument/2006/relationships" r:id="rId1" tooltip="Naar de handleiding"/>
          <a:extLst>
            <a:ext uri="{FF2B5EF4-FFF2-40B4-BE49-F238E27FC236}">
              <a16:creationId xmlns:a16="http://schemas.microsoft.com/office/drawing/2014/main" id="{00000000-0008-0000-0A00-00000C000000}"/>
            </a:ext>
          </a:extLst>
        </xdr:cNvPr>
        <xdr:cNvSpPr>
          <a:spLocks noChangeArrowheads="1"/>
        </xdr:cNvSpPr>
      </xdr:nvSpPr>
      <xdr:spPr bwMode="auto">
        <a:xfrm>
          <a:off x="571500" y="1576671"/>
          <a:ext cx="208380" cy="192458"/>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oneCell">
    <xdr:from>
      <xdr:col>4</xdr:col>
      <xdr:colOff>265604</xdr:colOff>
      <xdr:row>7</xdr:row>
      <xdr:rowOff>34517</xdr:rowOff>
    </xdr:from>
    <xdr:to>
      <xdr:col>4</xdr:col>
      <xdr:colOff>1368269</xdr:colOff>
      <xdr:row>7</xdr:row>
      <xdr:rowOff>224897</xdr:rowOff>
    </xdr:to>
    <xdr:sp macro="" textlink="">
      <xdr:nvSpPr>
        <xdr:cNvPr id="13" name="Rectangle 3">
          <a:hlinkClick xmlns:r="http://schemas.openxmlformats.org/officeDocument/2006/relationships" r:id="rId2" tooltip="Naar de invoer van de woningen en utiliteitsgebouwen in het gebied."/>
          <a:extLst>
            <a:ext uri="{FF2B5EF4-FFF2-40B4-BE49-F238E27FC236}">
              <a16:creationId xmlns:a16="http://schemas.microsoft.com/office/drawing/2014/main" id="{00000000-0008-0000-0A00-00000D000000}"/>
            </a:ext>
          </a:extLst>
        </xdr:cNvPr>
        <xdr:cNvSpPr>
          <a:spLocks noChangeArrowheads="1"/>
        </xdr:cNvSpPr>
      </xdr:nvSpPr>
      <xdr:spPr bwMode="auto">
        <a:xfrm>
          <a:off x="816149" y="1576671"/>
          <a:ext cx="1110285" cy="19038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oneCell">
    <xdr:from>
      <xdr:col>4</xdr:col>
      <xdr:colOff>1406366</xdr:colOff>
      <xdr:row>7</xdr:row>
      <xdr:rowOff>34517</xdr:rowOff>
    </xdr:from>
    <xdr:to>
      <xdr:col>4</xdr:col>
      <xdr:colOff>1825031</xdr:colOff>
      <xdr:row>7</xdr:row>
      <xdr:rowOff>224897</xdr:rowOff>
    </xdr:to>
    <xdr:sp macro="" textlink="">
      <xdr:nvSpPr>
        <xdr:cNvPr id="20" name="Rectangle 4">
          <a:hlinkClick xmlns:r="http://schemas.openxmlformats.org/officeDocument/2006/relationships" r:id="rId3" tooltip="Naar invoer installaties en berekening variant 1"/>
          <a:extLst>
            <a:ext uri="{FF2B5EF4-FFF2-40B4-BE49-F238E27FC236}">
              <a16:creationId xmlns:a16="http://schemas.microsoft.com/office/drawing/2014/main" id="{00000000-0008-0000-0A00-000014000000}"/>
            </a:ext>
          </a:extLst>
        </xdr:cNvPr>
        <xdr:cNvSpPr>
          <a:spLocks noChangeArrowheads="1"/>
        </xdr:cNvSpPr>
      </xdr:nvSpPr>
      <xdr:spPr bwMode="auto">
        <a:xfrm>
          <a:off x="1963896" y="1576671"/>
          <a:ext cx="420570" cy="19038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oneCell">
    <xdr:from>
      <xdr:col>4</xdr:col>
      <xdr:colOff>1863378</xdr:colOff>
      <xdr:row>7</xdr:row>
      <xdr:rowOff>34517</xdr:rowOff>
    </xdr:from>
    <xdr:to>
      <xdr:col>5</xdr:col>
      <xdr:colOff>190526</xdr:colOff>
      <xdr:row>7</xdr:row>
      <xdr:rowOff>224897</xdr:rowOff>
    </xdr:to>
    <xdr:sp macro="" textlink="">
      <xdr:nvSpPr>
        <xdr:cNvPr id="25" name="Rectangle 8">
          <a:hlinkClick xmlns:r="http://schemas.openxmlformats.org/officeDocument/2006/relationships" r:id="rId4" tooltip="Naar invoer installaties en berekening variant 2."/>
          <a:extLst>
            <a:ext uri="{FF2B5EF4-FFF2-40B4-BE49-F238E27FC236}">
              <a16:creationId xmlns:a16="http://schemas.microsoft.com/office/drawing/2014/main" id="{00000000-0008-0000-0A00-000019000000}"/>
            </a:ext>
          </a:extLst>
        </xdr:cNvPr>
        <xdr:cNvSpPr>
          <a:spLocks noChangeArrowheads="1"/>
        </xdr:cNvSpPr>
      </xdr:nvSpPr>
      <xdr:spPr bwMode="auto">
        <a:xfrm>
          <a:off x="2417098" y="1576671"/>
          <a:ext cx="419473" cy="19038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oneCell">
    <xdr:from>
      <xdr:col>5</xdr:col>
      <xdr:colOff>228640</xdr:colOff>
      <xdr:row>7</xdr:row>
      <xdr:rowOff>34517</xdr:rowOff>
    </xdr:from>
    <xdr:to>
      <xdr:col>5</xdr:col>
      <xdr:colOff>649210</xdr:colOff>
      <xdr:row>7</xdr:row>
      <xdr:rowOff>224897</xdr:rowOff>
    </xdr:to>
    <xdr:sp macro="" textlink="">
      <xdr:nvSpPr>
        <xdr:cNvPr id="26" name="Rectangle 9">
          <a:hlinkClick xmlns:r="http://schemas.openxmlformats.org/officeDocument/2006/relationships" r:id="rId5" tooltip="Naar invoer installaties en berekening variant 3."/>
          <a:extLst>
            <a:ext uri="{FF2B5EF4-FFF2-40B4-BE49-F238E27FC236}">
              <a16:creationId xmlns:a16="http://schemas.microsoft.com/office/drawing/2014/main" id="{00000000-0008-0000-0A00-00001A000000}"/>
            </a:ext>
          </a:extLst>
        </xdr:cNvPr>
        <xdr:cNvSpPr>
          <a:spLocks noChangeArrowheads="1"/>
        </xdr:cNvSpPr>
      </xdr:nvSpPr>
      <xdr:spPr bwMode="auto">
        <a:xfrm>
          <a:off x="2872780" y="1576671"/>
          <a:ext cx="439620" cy="19038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oneCell">
    <xdr:from>
      <xdr:col>5</xdr:col>
      <xdr:colOff>686861</xdr:colOff>
      <xdr:row>7</xdr:row>
      <xdr:rowOff>34517</xdr:rowOff>
    </xdr:from>
    <xdr:to>
      <xdr:col>5</xdr:col>
      <xdr:colOff>1144103</xdr:colOff>
      <xdr:row>7</xdr:row>
      <xdr:rowOff>224897</xdr:rowOff>
    </xdr:to>
    <xdr:sp macro="" textlink="">
      <xdr:nvSpPr>
        <xdr:cNvPr id="27" name="Rectangle 10">
          <a:hlinkClick xmlns:r="http://schemas.openxmlformats.org/officeDocument/2006/relationships" r:id="rId6" tooltip="Naar invoer installaties en berekening variant 4."/>
          <a:extLst>
            <a:ext uri="{FF2B5EF4-FFF2-40B4-BE49-F238E27FC236}">
              <a16:creationId xmlns:a16="http://schemas.microsoft.com/office/drawing/2014/main" id="{00000000-0008-0000-0A00-00001B000000}"/>
            </a:ext>
          </a:extLst>
        </xdr:cNvPr>
        <xdr:cNvSpPr>
          <a:spLocks noChangeArrowheads="1"/>
        </xdr:cNvSpPr>
      </xdr:nvSpPr>
      <xdr:spPr bwMode="auto">
        <a:xfrm>
          <a:off x="3332906" y="1576671"/>
          <a:ext cx="455337" cy="19038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oneCell">
    <xdr:from>
      <xdr:col>5</xdr:col>
      <xdr:colOff>1144141</xdr:colOff>
      <xdr:row>7</xdr:row>
      <xdr:rowOff>34517</xdr:rowOff>
    </xdr:from>
    <xdr:to>
      <xdr:col>5</xdr:col>
      <xdr:colOff>1597096</xdr:colOff>
      <xdr:row>7</xdr:row>
      <xdr:rowOff>224897</xdr:rowOff>
    </xdr:to>
    <xdr:sp macro="" textlink="">
      <xdr:nvSpPr>
        <xdr:cNvPr id="28" name="Rectangle 11">
          <a:hlinkClick xmlns:r="http://schemas.openxmlformats.org/officeDocument/2006/relationships" r:id="rId7" tooltip="Naar invoer installaties en berekening variant 5."/>
          <a:extLst>
            <a:ext uri="{FF2B5EF4-FFF2-40B4-BE49-F238E27FC236}">
              <a16:creationId xmlns:a16="http://schemas.microsoft.com/office/drawing/2014/main" id="{00000000-0008-0000-0A00-00001C000000}"/>
            </a:ext>
          </a:extLst>
        </xdr:cNvPr>
        <xdr:cNvSpPr>
          <a:spLocks noChangeArrowheads="1"/>
        </xdr:cNvSpPr>
      </xdr:nvSpPr>
      <xdr:spPr bwMode="auto">
        <a:xfrm>
          <a:off x="3807331" y="1576671"/>
          <a:ext cx="437715" cy="19038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oneCell">
    <xdr:from>
      <xdr:col>5</xdr:col>
      <xdr:colOff>1635078</xdr:colOff>
      <xdr:row>7</xdr:row>
      <xdr:rowOff>34517</xdr:rowOff>
    </xdr:from>
    <xdr:to>
      <xdr:col>5</xdr:col>
      <xdr:colOff>2053743</xdr:colOff>
      <xdr:row>7</xdr:row>
      <xdr:rowOff>224897</xdr:rowOff>
    </xdr:to>
    <xdr:sp macro="" textlink="">
      <xdr:nvSpPr>
        <xdr:cNvPr id="29" name="Rectangle 7">
          <a:hlinkClick xmlns:r="http://schemas.openxmlformats.org/officeDocument/2006/relationships" r:id="rId8" tooltip="Naar invoer installaties en berekening variant 6."/>
          <a:extLst>
            <a:ext uri="{FF2B5EF4-FFF2-40B4-BE49-F238E27FC236}">
              <a16:creationId xmlns:a16="http://schemas.microsoft.com/office/drawing/2014/main" id="{00000000-0008-0000-0A00-00001D000000}"/>
            </a:ext>
          </a:extLst>
        </xdr:cNvPr>
        <xdr:cNvSpPr>
          <a:spLocks noChangeArrowheads="1"/>
        </xdr:cNvSpPr>
      </xdr:nvSpPr>
      <xdr:spPr bwMode="auto">
        <a:xfrm>
          <a:off x="4286838" y="1576671"/>
          <a:ext cx="416760" cy="19038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oneCell">
    <xdr:from>
      <xdr:col>5</xdr:col>
      <xdr:colOff>2091899</xdr:colOff>
      <xdr:row>7</xdr:row>
      <xdr:rowOff>34517</xdr:rowOff>
    </xdr:from>
    <xdr:to>
      <xdr:col>6</xdr:col>
      <xdr:colOff>648429</xdr:colOff>
      <xdr:row>7</xdr:row>
      <xdr:rowOff>224897</xdr:rowOff>
    </xdr:to>
    <xdr:sp macro="" textlink="">
      <xdr:nvSpPr>
        <xdr:cNvPr id="30" name="Rectangle 5">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00000000-0008-0000-0A00-00001E000000}"/>
            </a:ext>
          </a:extLst>
        </xdr:cNvPr>
        <xdr:cNvSpPr>
          <a:spLocks noChangeArrowheads="1"/>
        </xdr:cNvSpPr>
      </xdr:nvSpPr>
      <xdr:spPr bwMode="auto">
        <a:xfrm>
          <a:off x="4744929" y="1576671"/>
          <a:ext cx="648855" cy="19038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oneCell">
    <xdr:from>
      <xdr:col>6</xdr:col>
      <xdr:colOff>686303</xdr:colOff>
      <xdr:row>7</xdr:row>
      <xdr:rowOff>34517</xdr:rowOff>
    </xdr:from>
    <xdr:to>
      <xdr:col>7</xdr:col>
      <xdr:colOff>139</xdr:colOff>
      <xdr:row>7</xdr:row>
      <xdr:rowOff>224897</xdr:rowOff>
    </xdr:to>
    <xdr:sp macro="" textlink="">
      <xdr:nvSpPr>
        <xdr:cNvPr id="31" name="Rectangle 6">
          <a:hlinkClick xmlns:r="http://schemas.openxmlformats.org/officeDocument/2006/relationships" r:id="rId10" tooltip="Naar de bibilotheek met gegevens van gebouwen en installaties."/>
          <a:extLst>
            <a:ext uri="{FF2B5EF4-FFF2-40B4-BE49-F238E27FC236}">
              <a16:creationId xmlns:a16="http://schemas.microsoft.com/office/drawing/2014/main" id="{00000000-0008-0000-0A00-00001F000000}"/>
            </a:ext>
          </a:extLst>
        </xdr:cNvPr>
        <xdr:cNvSpPr>
          <a:spLocks noChangeArrowheads="1"/>
        </xdr:cNvSpPr>
      </xdr:nvSpPr>
      <xdr:spPr bwMode="auto">
        <a:xfrm>
          <a:off x="5427213" y="1576671"/>
          <a:ext cx="737200" cy="190380"/>
        </a:xfrm>
        <a:prstGeom prst="rect">
          <a:avLst/>
        </a:prstGeom>
        <a:gradFill>
          <a:gsLst>
            <a:gs pos="84000">
              <a:schemeClr val="accent1">
                <a:lumMod val="40000"/>
                <a:lumOff val="60000"/>
              </a:schemeClr>
            </a:gs>
            <a:gs pos="99000">
              <a:schemeClr val="accent1"/>
            </a:gs>
            <a:gs pos="16000">
              <a:schemeClr val="accent1">
                <a:lumMod val="20000"/>
                <a:lumOff val="80000"/>
              </a:schemeClr>
            </a:gs>
            <a:gs pos="0">
              <a:schemeClr val="bg1"/>
            </a:gs>
          </a:gsLst>
          <a:lin ang="5400000" scaled="1"/>
        </a:gradFill>
        <a:ln w="635">
          <a:solidFill>
            <a:schemeClr val="bg1">
              <a:lumMod val="65000"/>
            </a:schemeClr>
          </a:solidFill>
        </a:ln>
        <a:effectLst>
          <a:outerShdw blurRad="50800" dist="38100" dir="5400000" algn="t" rotWithShape="0">
            <a:schemeClr val="accent1">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bibliotheek</a:t>
          </a:r>
        </a:p>
      </xdr:txBody>
    </xdr:sp>
    <xdr:clientData/>
  </xdr:twoCellAnchor>
  <xdr:twoCellAnchor>
    <xdr:from>
      <xdr:col>23</xdr:col>
      <xdr:colOff>9525</xdr:colOff>
      <xdr:row>37</xdr:row>
      <xdr:rowOff>0</xdr:rowOff>
    </xdr:from>
    <xdr:to>
      <xdr:col>27</xdr:col>
      <xdr:colOff>0</xdr:colOff>
      <xdr:row>52</xdr:row>
      <xdr:rowOff>0</xdr:rowOff>
    </xdr:to>
    <xdr:sp macro="" textlink="">
      <xdr:nvSpPr>
        <xdr:cNvPr id="2" name="Tekstvak 1">
          <a:extLst>
            <a:ext uri="{FF2B5EF4-FFF2-40B4-BE49-F238E27FC236}">
              <a16:creationId xmlns:a16="http://schemas.microsoft.com/office/drawing/2014/main" id="{00000000-0008-0000-0A00-000002000000}"/>
            </a:ext>
          </a:extLst>
        </xdr:cNvPr>
        <xdr:cNvSpPr txBox="1"/>
      </xdr:nvSpPr>
      <xdr:spPr>
        <a:xfrm>
          <a:off x="18935700" y="6286500"/>
          <a:ext cx="338137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l-NL" sz="1000" b="1"/>
            <a:t>Bepalen gemiddelde Rc-waarde (m2K/W)</a:t>
          </a:r>
        </a:p>
        <a:p>
          <a:pPr algn="l"/>
          <a:r>
            <a:rPr lang="nl-NL" sz="1000"/>
            <a:t>Als binnen een bouwdeel (bg vloer, gevel, dak) verschillende Rc-waarden voorkomen, moet de gemiddelde Rc-waarde hier worden ingevuld.</a:t>
          </a:r>
        </a:p>
        <a:p>
          <a:pPr algn="l"/>
          <a:endParaRPr lang="nl-NL" sz="1000"/>
        </a:p>
        <a:p>
          <a:pPr algn="l"/>
          <a:r>
            <a:rPr lang="nl-NL" sz="1000"/>
            <a:t>Bereken de gemiddelde Rc per bouwdeel niet als rekenkundig oppervlaktegewogen gemiddelde van de Rc-waarden, maar bepaal de gemiddelde Rc-waarde (R</a:t>
          </a:r>
          <a:r>
            <a:rPr lang="nl-NL" sz="1000" baseline="-25000"/>
            <a:t>c,gem</a:t>
          </a:r>
          <a:r>
            <a:rPr lang="nl-NL" sz="1000"/>
            <a:t>)</a:t>
          </a:r>
          <a:r>
            <a:rPr lang="nl-NL" sz="1000" baseline="0"/>
            <a:t> </a:t>
          </a:r>
          <a:r>
            <a:rPr lang="nl-NL" sz="1000"/>
            <a:t>via de gemiddelde oppervlaktegewogen warmtedoorgangscoëfficiënt U</a:t>
          </a:r>
        </a:p>
        <a:p>
          <a:pPr algn="l"/>
          <a:r>
            <a:rPr lang="nl-NL" sz="1000"/>
            <a:t>(U = 1/(R</a:t>
          </a:r>
          <a:r>
            <a:rPr lang="nl-NL" sz="1000" baseline="-25000"/>
            <a:t>c</a:t>
          </a:r>
          <a:r>
            <a:rPr lang="nl-NL" sz="1000"/>
            <a:t>+R</a:t>
          </a:r>
          <a:r>
            <a:rPr lang="nl-NL" sz="1000" baseline="-25000"/>
            <a:t>i+e</a:t>
          </a:r>
          <a:r>
            <a:rPr lang="nl-NL" sz="1000"/>
            <a:t>)</a:t>
          </a:r>
          <a:r>
            <a:rPr lang="nl-NL" sz="1000" baseline="0"/>
            <a:t> in </a:t>
          </a:r>
          <a:r>
            <a:rPr lang="nl-NL" sz="1000"/>
            <a:t>W/m2K).</a:t>
          </a:r>
        </a:p>
        <a:p>
          <a:pPr algn="l"/>
          <a:endParaRPr lang="nl-NL" sz="1000"/>
        </a:p>
        <a:p>
          <a:pPr algn="l"/>
          <a:r>
            <a:rPr lang="nl-NL" sz="1000"/>
            <a:t>R</a:t>
          </a:r>
          <a:r>
            <a:rPr lang="nl-NL" sz="1000" baseline="-25000"/>
            <a:t>c,gem </a:t>
          </a:r>
          <a:r>
            <a:rPr lang="nl-NL" sz="1000"/>
            <a:t>= 1 / </a:t>
          </a:r>
          <a:r>
            <a:rPr lang="nl-NL" sz="1000" b="1"/>
            <a:t>( </a:t>
          </a:r>
          <a:r>
            <a:rPr lang="nl-NL" sz="1000"/>
            <a:t>∑</a:t>
          </a:r>
          <a:r>
            <a:rPr lang="nl-NL" sz="1000" baseline="-25000"/>
            <a:t>(1-x)</a:t>
          </a:r>
          <a:r>
            <a:rPr lang="nl-NL" sz="1000"/>
            <a:t>( A</a:t>
          </a:r>
          <a:r>
            <a:rPr lang="nl-NL" sz="1000" baseline="-25000"/>
            <a:t>x</a:t>
          </a:r>
          <a:r>
            <a:rPr lang="nl-NL" sz="1000"/>
            <a:t>/(R</a:t>
          </a:r>
          <a:r>
            <a:rPr lang="nl-NL" sz="1000" baseline="-25000"/>
            <a:t>c,x</a:t>
          </a:r>
          <a:r>
            <a:rPr lang="nl-NL" sz="1000"/>
            <a:t>+R</a:t>
          </a:r>
          <a:r>
            <a:rPr lang="nl-NL" sz="1000" baseline="-25000"/>
            <a:t>i+e</a:t>
          </a:r>
          <a:r>
            <a:rPr lang="nl-NL" sz="1000"/>
            <a:t>) )  /  </a:t>
          </a:r>
          <a:r>
            <a:rPr lang="nl-NL" sz="1000">
              <a:solidFill>
                <a:schemeClr val="dk1"/>
              </a:solidFill>
              <a:effectLst/>
              <a:latin typeface="+mn-lt"/>
              <a:ea typeface="+mn-ea"/>
              <a:cs typeface="+mn-cs"/>
            </a:rPr>
            <a:t>∑</a:t>
          </a:r>
          <a:r>
            <a:rPr lang="nl-NL" sz="1000" baseline="-25000">
              <a:solidFill>
                <a:schemeClr val="dk1"/>
              </a:solidFill>
              <a:effectLst/>
              <a:latin typeface="+mn-lt"/>
              <a:ea typeface="+mn-ea"/>
              <a:cs typeface="+mn-cs"/>
            </a:rPr>
            <a:t>(1-x)</a:t>
          </a:r>
          <a:r>
            <a:rPr lang="nl-NL" sz="1000">
              <a:solidFill>
                <a:schemeClr val="dk1"/>
              </a:solidFill>
              <a:effectLst/>
              <a:latin typeface="+mn-lt"/>
              <a:ea typeface="+mn-ea"/>
              <a:cs typeface="+mn-cs"/>
            </a:rPr>
            <a:t>(A</a:t>
          </a:r>
          <a:r>
            <a:rPr lang="nl-NL" sz="1000" baseline="-25000">
              <a:solidFill>
                <a:schemeClr val="dk1"/>
              </a:solidFill>
              <a:effectLst/>
              <a:latin typeface="+mn-lt"/>
              <a:ea typeface="+mn-ea"/>
              <a:cs typeface="+mn-cs"/>
            </a:rPr>
            <a:t>x</a:t>
          </a:r>
          <a:r>
            <a:rPr lang="nl-NL" sz="1000">
              <a:solidFill>
                <a:schemeClr val="dk1"/>
              </a:solidFill>
              <a:effectLst/>
              <a:latin typeface="+mn-lt"/>
              <a:ea typeface="+mn-ea"/>
              <a:cs typeface="+mn-cs"/>
            </a:rPr>
            <a:t>) </a:t>
          </a:r>
          <a:r>
            <a:rPr lang="nl-NL" sz="1000" b="1">
              <a:solidFill>
                <a:schemeClr val="dk1"/>
              </a:solidFill>
              <a:effectLst/>
              <a:latin typeface="+mn-lt"/>
              <a:ea typeface="+mn-ea"/>
              <a:cs typeface="+mn-cs"/>
            </a:rPr>
            <a:t>)</a:t>
          </a:r>
          <a:r>
            <a:rPr lang="nl-NL" sz="1000">
              <a:solidFill>
                <a:schemeClr val="dk1"/>
              </a:solidFill>
              <a:effectLst/>
              <a:latin typeface="+mn-lt"/>
              <a:ea typeface="+mn-ea"/>
              <a:cs typeface="+mn-cs"/>
            </a:rPr>
            <a:t>   -   R</a:t>
          </a:r>
          <a:r>
            <a:rPr lang="nl-NL" sz="1000" baseline="-25000">
              <a:solidFill>
                <a:schemeClr val="dk1"/>
              </a:solidFill>
              <a:effectLst/>
              <a:latin typeface="+mn-lt"/>
              <a:ea typeface="+mn-ea"/>
              <a:cs typeface="+mn-cs"/>
            </a:rPr>
            <a:t>i+e</a:t>
          </a:r>
        </a:p>
        <a:p>
          <a:pPr algn="l"/>
          <a:endParaRPr lang="nl-NL" sz="1000">
            <a:solidFill>
              <a:schemeClr val="dk1"/>
            </a:solidFill>
            <a:effectLst/>
            <a:latin typeface="+mn-lt"/>
            <a:ea typeface="+mn-ea"/>
            <a:cs typeface="+mn-cs"/>
          </a:endParaRPr>
        </a:p>
        <a:p>
          <a:pPr algn="l"/>
          <a:r>
            <a:rPr lang="nl-NL" sz="1000">
              <a:solidFill>
                <a:schemeClr val="dk1"/>
              </a:solidFill>
              <a:effectLst/>
              <a:latin typeface="+mn-lt"/>
              <a:ea typeface="+mn-ea"/>
              <a:cs typeface="+mn-cs"/>
            </a:rPr>
            <a:t>waarbij:</a:t>
          </a:r>
        </a:p>
        <a:p>
          <a:pPr algn="l"/>
          <a:r>
            <a:rPr lang="nl-NL" sz="1000">
              <a:solidFill>
                <a:schemeClr val="dk1"/>
              </a:solidFill>
              <a:effectLst/>
              <a:latin typeface="+mn-lt"/>
              <a:ea typeface="+mn-ea"/>
              <a:cs typeface="+mn-cs"/>
            </a:rPr>
            <a:t>∑</a:t>
          </a:r>
          <a:r>
            <a:rPr lang="nl-NL" sz="1000" baseline="-25000">
              <a:solidFill>
                <a:schemeClr val="dk1"/>
              </a:solidFill>
              <a:effectLst/>
              <a:latin typeface="+mn-lt"/>
              <a:ea typeface="+mn-ea"/>
              <a:cs typeface="+mn-cs"/>
            </a:rPr>
            <a:t>(1-x)</a:t>
          </a:r>
          <a:r>
            <a:rPr lang="nl-NL" sz="1000">
              <a:solidFill>
                <a:schemeClr val="dk1"/>
              </a:solidFill>
              <a:effectLst/>
              <a:latin typeface="+mn-lt"/>
              <a:ea typeface="+mn-ea"/>
              <a:cs typeface="+mn-cs"/>
            </a:rPr>
            <a:t> = sommatie van alle bouwdelen 1 t/m x</a:t>
          </a:r>
        </a:p>
        <a:p>
          <a:pPr algn="l"/>
          <a:r>
            <a:rPr lang="nl-NL" sz="1000">
              <a:solidFill>
                <a:schemeClr val="dk1"/>
              </a:solidFill>
              <a:effectLst/>
              <a:latin typeface="+mn-lt"/>
              <a:ea typeface="+mn-ea"/>
              <a:cs typeface="+mn-cs"/>
            </a:rPr>
            <a:t>A</a:t>
          </a:r>
          <a:r>
            <a:rPr lang="nl-NL" sz="1000" baseline="-25000">
              <a:solidFill>
                <a:schemeClr val="dk1"/>
              </a:solidFill>
              <a:effectLst/>
              <a:latin typeface="+mn-lt"/>
              <a:ea typeface="+mn-ea"/>
              <a:cs typeface="+mn-cs"/>
            </a:rPr>
            <a:t>x</a:t>
          </a:r>
          <a:r>
            <a:rPr lang="nl-NL" sz="1000">
              <a:solidFill>
                <a:schemeClr val="dk1"/>
              </a:solidFill>
              <a:effectLst/>
              <a:latin typeface="+mn-lt"/>
              <a:ea typeface="+mn-ea"/>
              <a:cs typeface="+mn-cs"/>
            </a:rPr>
            <a:t> = oppervlakte van bouwdeel</a:t>
          </a:r>
          <a:r>
            <a:rPr lang="nl-NL" sz="1000" baseline="0">
              <a:solidFill>
                <a:schemeClr val="dk1"/>
              </a:solidFill>
              <a:effectLst/>
              <a:latin typeface="+mn-lt"/>
              <a:ea typeface="+mn-ea"/>
              <a:cs typeface="+mn-cs"/>
            </a:rPr>
            <a:t> x</a:t>
          </a:r>
        </a:p>
        <a:p>
          <a:pPr algn="l"/>
          <a:r>
            <a:rPr lang="nl-NL" sz="1000" baseline="0">
              <a:solidFill>
                <a:schemeClr val="dk1"/>
              </a:solidFill>
              <a:effectLst/>
              <a:latin typeface="+mn-lt"/>
              <a:ea typeface="+mn-ea"/>
              <a:cs typeface="+mn-cs"/>
            </a:rPr>
            <a:t>R</a:t>
          </a:r>
          <a:r>
            <a:rPr lang="nl-NL" sz="1000" baseline="-25000">
              <a:solidFill>
                <a:schemeClr val="dk1"/>
              </a:solidFill>
              <a:effectLst/>
              <a:latin typeface="+mn-lt"/>
              <a:ea typeface="+mn-ea"/>
              <a:cs typeface="+mn-cs"/>
            </a:rPr>
            <a:t>c,x </a:t>
          </a:r>
          <a:r>
            <a:rPr lang="nl-NL" sz="1000" baseline="0">
              <a:solidFill>
                <a:schemeClr val="dk1"/>
              </a:solidFill>
              <a:effectLst/>
              <a:latin typeface="+mn-lt"/>
              <a:ea typeface="+mn-ea"/>
              <a:cs typeface="+mn-cs"/>
            </a:rPr>
            <a:t>= Rc-waarde van bouwdeel x</a:t>
          </a:r>
        </a:p>
        <a:p>
          <a:pPr algn="l"/>
          <a:r>
            <a:rPr lang="nl-NL" sz="1000" baseline="0">
              <a:solidFill>
                <a:schemeClr val="dk1"/>
              </a:solidFill>
              <a:effectLst/>
              <a:latin typeface="+mn-lt"/>
              <a:ea typeface="+mn-ea"/>
              <a:cs typeface="+mn-cs"/>
            </a:rPr>
            <a:t>R</a:t>
          </a:r>
          <a:r>
            <a:rPr lang="nl-NL" sz="1000" baseline="-25000">
              <a:solidFill>
                <a:schemeClr val="dk1"/>
              </a:solidFill>
              <a:effectLst/>
              <a:latin typeface="+mn-lt"/>
              <a:ea typeface="+mn-ea"/>
              <a:cs typeface="+mn-cs"/>
            </a:rPr>
            <a:t>i+e </a:t>
          </a:r>
          <a:r>
            <a:rPr lang="nl-NL" sz="1000" baseline="0">
              <a:solidFill>
                <a:schemeClr val="dk1"/>
              </a:solidFill>
              <a:effectLst/>
              <a:latin typeface="+mn-lt"/>
              <a:ea typeface="+mn-ea"/>
              <a:cs typeface="+mn-cs"/>
            </a:rPr>
            <a:t>= overgangsweerstand binnen en buiten</a:t>
          </a:r>
          <a:endParaRPr lang="nl-NL"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15241</xdr:colOff>
      <xdr:row>21</xdr:row>
      <xdr:rowOff>0</xdr:rowOff>
    </xdr:from>
    <xdr:to>
      <xdr:col>11</xdr:col>
      <xdr:colOff>0</xdr:colOff>
      <xdr:row>49</xdr:row>
      <xdr:rowOff>142877</xdr:rowOff>
    </xdr:to>
    <xdr:graphicFrame macro="">
      <xdr:nvGraphicFramePr>
        <xdr:cNvPr id="2" name="Grafiek 1">
          <a:extLst>
            <a:ext uri="{FF2B5EF4-FFF2-40B4-BE49-F238E27FC236}">
              <a16:creationId xmlns:a16="http://schemas.microsoft.com/office/drawing/2014/main" id="{00000000-0008-0000-0C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0</xdr:colOff>
      <xdr:row>21</xdr:row>
      <xdr:rowOff>0</xdr:rowOff>
    </xdr:from>
    <xdr:to>
      <xdr:col>34</xdr:col>
      <xdr:colOff>0</xdr:colOff>
      <xdr:row>49</xdr:row>
      <xdr:rowOff>123827</xdr:rowOff>
    </xdr:to>
    <xdr:graphicFrame macro="">
      <xdr:nvGraphicFramePr>
        <xdr:cNvPr id="3" name="Grafiek 2">
          <a:extLst>
            <a:ext uri="{FF2B5EF4-FFF2-40B4-BE49-F238E27FC236}">
              <a16:creationId xmlns:a16="http://schemas.microsoft.com/office/drawing/2014/main" id="{00000000-0008-0000-0C00-00000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0</xdr:colOff>
      <xdr:row>21</xdr:row>
      <xdr:rowOff>0</xdr:rowOff>
    </xdr:from>
    <xdr:to>
      <xdr:col>46</xdr:col>
      <xdr:colOff>0</xdr:colOff>
      <xdr:row>49</xdr:row>
      <xdr:rowOff>123827</xdr:rowOff>
    </xdr:to>
    <xdr:graphicFrame macro="">
      <xdr:nvGraphicFramePr>
        <xdr:cNvPr id="4" name="Grafiek 3">
          <a:extLst>
            <a:ext uri="{FF2B5EF4-FFF2-40B4-BE49-F238E27FC236}">
              <a16:creationId xmlns:a16="http://schemas.microsoft.com/office/drawing/2014/main" id="{00000000-0008-0000-0C00-000004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xdr:colOff>
      <xdr:row>21</xdr:row>
      <xdr:rowOff>0</xdr:rowOff>
    </xdr:from>
    <xdr:to>
      <xdr:col>23</xdr:col>
      <xdr:colOff>0</xdr:colOff>
      <xdr:row>49</xdr:row>
      <xdr:rowOff>129542</xdr:rowOff>
    </xdr:to>
    <xdr:graphicFrame macro="">
      <xdr:nvGraphicFramePr>
        <xdr:cNvPr id="8" name="Grafiek 7">
          <a:extLst>
            <a:ext uri="{FF2B5EF4-FFF2-40B4-BE49-F238E27FC236}">
              <a16:creationId xmlns:a16="http://schemas.microsoft.com/office/drawing/2014/main" id="{00000000-0008-0000-0C00-000008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103318</xdr:colOff>
      <xdr:row>21</xdr:row>
      <xdr:rowOff>140746</xdr:rowOff>
    </xdr:from>
    <xdr:to>
      <xdr:col>7</xdr:col>
      <xdr:colOff>481629</xdr:colOff>
      <xdr:row>23</xdr:row>
      <xdr:rowOff>26447</xdr:rowOff>
    </xdr:to>
    <xdr:sp macro="" textlink="$E$4">
      <xdr:nvSpPr>
        <xdr:cNvPr id="5" name="Tekstvak 4">
          <a:extLst>
            <a:ext uri="{FF2B5EF4-FFF2-40B4-BE49-F238E27FC236}">
              <a16:creationId xmlns:a16="http://schemas.microsoft.com/office/drawing/2014/main" id="{00000000-0008-0000-0C00-000005000000}"/>
            </a:ext>
          </a:extLst>
        </xdr:cNvPr>
        <xdr:cNvSpPr txBox="1"/>
      </xdr:nvSpPr>
      <xdr:spPr>
        <a:xfrm>
          <a:off x="3554730" y="4880834"/>
          <a:ext cx="1173928" cy="244289"/>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67B9A82-9CE2-44AB-A5F9-697C80FF8E07}" type="TxLink">
            <a:rPr lang="en-US" sz="1000" b="0" i="0" u="none" strike="noStrike">
              <a:solidFill>
                <a:sysClr val="windowText" lastClr="000000"/>
              </a:solidFill>
              <a:latin typeface="Calibri"/>
              <a:cs typeface="Calibri"/>
            </a:rPr>
            <a:pPr/>
            <a:t>zorg met bed</a:t>
          </a:fld>
          <a:endParaRPr lang="nl-NL" sz="1100">
            <a:solidFill>
              <a:sysClr val="windowText" lastClr="000000"/>
            </a:solidFill>
          </a:endParaRPr>
        </a:p>
      </xdr:txBody>
    </xdr:sp>
    <xdr:clientData/>
  </xdr:twoCellAnchor>
  <xdr:twoCellAnchor>
    <xdr:from>
      <xdr:col>18</xdr:col>
      <xdr:colOff>742279</xdr:colOff>
      <xdr:row>21</xdr:row>
      <xdr:rowOff>151504</xdr:rowOff>
    </xdr:from>
    <xdr:to>
      <xdr:col>20</xdr:col>
      <xdr:colOff>563434</xdr:colOff>
      <xdr:row>23</xdr:row>
      <xdr:rowOff>35075</xdr:rowOff>
    </xdr:to>
    <xdr:sp macro="" textlink="$P$4">
      <xdr:nvSpPr>
        <xdr:cNvPr id="6" name="Tekstvak 5">
          <a:extLst>
            <a:ext uri="{FF2B5EF4-FFF2-40B4-BE49-F238E27FC236}">
              <a16:creationId xmlns:a16="http://schemas.microsoft.com/office/drawing/2014/main" id="{00000000-0008-0000-0C00-000006000000}"/>
            </a:ext>
          </a:extLst>
        </xdr:cNvPr>
        <xdr:cNvSpPr txBox="1"/>
      </xdr:nvSpPr>
      <xdr:spPr>
        <a:xfrm>
          <a:off x="13012720" y="4891592"/>
          <a:ext cx="1412390" cy="242159"/>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6CADCA9-77B5-4149-81B2-16B2BCFAB221}" type="TxLink">
            <a:rPr lang="en-US" sz="1000" b="0" i="0" u="none" strike="noStrike">
              <a:solidFill>
                <a:sysClr val="windowText" lastClr="000000"/>
              </a:solidFill>
              <a:latin typeface="Calibri"/>
              <a:cs typeface="Calibri"/>
            </a:rPr>
            <a:pPr/>
            <a:t>woning</a:t>
          </a:fld>
          <a:endParaRPr lang="nl-NL" sz="1100">
            <a:solidFill>
              <a:sysClr val="windowText" lastClr="000000"/>
            </a:solidFill>
          </a:endParaRPr>
        </a:p>
      </xdr:txBody>
    </xdr:sp>
    <xdr:clientData/>
  </xdr:twoCellAnchor>
  <xdr:twoCellAnchor>
    <xdr:from>
      <xdr:col>20</xdr:col>
      <xdr:colOff>612964</xdr:colOff>
      <xdr:row>21</xdr:row>
      <xdr:rowOff>151504</xdr:rowOff>
    </xdr:from>
    <xdr:to>
      <xdr:col>21</xdr:col>
      <xdr:colOff>742503</xdr:colOff>
      <xdr:row>23</xdr:row>
      <xdr:rowOff>35075</xdr:rowOff>
    </xdr:to>
    <xdr:sp macro="" textlink="$V$4">
      <xdr:nvSpPr>
        <xdr:cNvPr id="7" name="Tekstvak 6">
          <a:extLst>
            <a:ext uri="{FF2B5EF4-FFF2-40B4-BE49-F238E27FC236}">
              <a16:creationId xmlns:a16="http://schemas.microsoft.com/office/drawing/2014/main" id="{00000000-0008-0000-0C00-000007000000}"/>
            </a:ext>
          </a:extLst>
        </xdr:cNvPr>
        <xdr:cNvSpPr txBox="1"/>
      </xdr:nvSpPr>
      <xdr:spPr>
        <a:xfrm>
          <a:off x="14474640" y="4891592"/>
          <a:ext cx="925157" cy="242159"/>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91FE042-E207-49E0-BA5E-453BE57529D6}" type="TxLink">
            <a:rPr lang="en-US" sz="1000" b="0" i="0" u="none" strike="noStrike">
              <a:solidFill>
                <a:schemeClr val="tx1"/>
              </a:solidFill>
              <a:latin typeface="Calibri"/>
              <a:cs typeface="Calibri"/>
            </a:rPr>
            <a:pPr/>
            <a:t>passief</a:t>
          </a:fld>
          <a:endParaRPr lang="nl-NL" sz="1100">
            <a:solidFill>
              <a:schemeClr val="tx1"/>
            </a:solidFill>
          </a:endParaRPr>
        </a:p>
      </xdr:txBody>
    </xdr:sp>
    <xdr:clientData/>
  </xdr:twoCellAnchor>
  <xdr:twoCellAnchor>
    <xdr:from>
      <xdr:col>26</xdr:col>
      <xdr:colOff>503145</xdr:colOff>
      <xdr:row>21</xdr:row>
      <xdr:rowOff>136712</xdr:rowOff>
    </xdr:from>
    <xdr:to>
      <xdr:col>28</xdr:col>
      <xdr:colOff>226476</xdr:colOff>
      <xdr:row>23</xdr:row>
      <xdr:rowOff>22924</xdr:rowOff>
    </xdr:to>
    <xdr:sp macro="" textlink="$AB$4">
      <xdr:nvSpPr>
        <xdr:cNvPr id="9" name="Tekstvak 8">
          <a:extLst>
            <a:ext uri="{FF2B5EF4-FFF2-40B4-BE49-F238E27FC236}">
              <a16:creationId xmlns:a16="http://schemas.microsoft.com/office/drawing/2014/main" id="{00000000-0008-0000-0C00-000009000000}"/>
            </a:ext>
          </a:extLst>
        </xdr:cNvPr>
        <xdr:cNvSpPr txBox="1"/>
      </xdr:nvSpPr>
      <xdr:spPr>
        <a:xfrm>
          <a:off x="18141204" y="4495800"/>
          <a:ext cx="1314566"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D68267B-7DB7-459F-A78E-CC6D569347E8}" type="TxLink">
            <a:rPr lang="en-US" sz="1000" b="0" i="0" u="none" strike="noStrike">
              <a:solidFill>
                <a:schemeClr val="tx1"/>
              </a:solidFill>
              <a:latin typeface="Calibri"/>
              <a:cs typeface="Calibri"/>
            </a:rPr>
            <a:pPr/>
            <a:t>woning</a:t>
          </a:fld>
          <a:endParaRPr lang="nl-NL" sz="1100">
            <a:solidFill>
              <a:schemeClr val="tx1"/>
            </a:solidFill>
          </a:endParaRPr>
        </a:p>
      </xdr:txBody>
    </xdr:sp>
    <xdr:clientData/>
  </xdr:twoCellAnchor>
  <xdr:twoCellAnchor>
    <xdr:from>
      <xdr:col>28</xdr:col>
      <xdr:colOff>402068</xdr:colOff>
      <xdr:row>21</xdr:row>
      <xdr:rowOff>136712</xdr:rowOff>
    </xdr:from>
    <xdr:to>
      <xdr:col>30</xdr:col>
      <xdr:colOff>113013</xdr:colOff>
      <xdr:row>23</xdr:row>
      <xdr:rowOff>22924</xdr:rowOff>
    </xdr:to>
    <xdr:sp macro="" textlink="$Y$23">
      <xdr:nvSpPr>
        <xdr:cNvPr id="11" name="Tekstvak 10">
          <a:extLst>
            <a:ext uri="{FF2B5EF4-FFF2-40B4-BE49-F238E27FC236}">
              <a16:creationId xmlns:a16="http://schemas.microsoft.com/office/drawing/2014/main" id="{00000000-0008-0000-0C00-00000B000000}"/>
            </a:ext>
          </a:extLst>
        </xdr:cNvPr>
        <xdr:cNvSpPr txBox="1"/>
      </xdr:nvSpPr>
      <xdr:spPr>
        <a:xfrm>
          <a:off x="19631362" y="4495800"/>
          <a:ext cx="1302180"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308EC97-09EF-445E-9457-0C03B4A03192}" type="TxLink">
            <a:rPr lang="en-US" sz="1000" b="0" i="0" u="none" strike="noStrike">
              <a:solidFill>
                <a:srgbClr val="000000"/>
              </a:solidFill>
              <a:latin typeface="Calibri"/>
              <a:cs typeface="Calibri"/>
            </a:rPr>
            <a:pPr/>
            <a:t>zwaar</a:t>
          </a:fld>
          <a:endParaRPr lang="nl-NL" sz="1100">
            <a:solidFill>
              <a:schemeClr val="tx1"/>
            </a:solidFill>
          </a:endParaRPr>
        </a:p>
      </xdr:txBody>
    </xdr:sp>
    <xdr:clientData/>
  </xdr:twoCellAnchor>
  <xdr:twoCellAnchor>
    <xdr:from>
      <xdr:col>32</xdr:col>
      <xdr:colOff>173467</xdr:colOff>
      <xdr:row>21</xdr:row>
      <xdr:rowOff>136712</xdr:rowOff>
    </xdr:from>
    <xdr:to>
      <xdr:col>33</xdr:col>
      <xdr:colOff>683559</xdr:colOff>
      <xdr:row>23</xdr:row>
      <xdr:rowOff>22924</xdr:rowOff>
    </xdr:to>
    <xdr:sp macro="" textlink="$Y$24">
      <xdr:nvSpPr>
        <xdr:cNvPr id="12" name="Tekstvak 11">
          <a:extLst>
            <a:ext uri="{FF2B5EF4-FFF2-40B4-BE49-F238E27FC236}">
              <a16:creationId xmlns:a16="http://schemas.microsoft.com/office/drawing/2014/main" id="{00000000-0008-0000-0C00-00000C000000}"/>
            </a:ext>
          </a:extLst>
        </xdr:cNvPr>
        <xdr:cNvSpPr txBox="1"/>
      </xdr:nvSpPr>
      <xdr:spPr>
        <a:xfrm>
          <a:off x="22585232" y="4495800"/>
          <a:ext cx="1305709"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2F0A635-C9E8-4BD0-9CEB-C7591726FA64}" type="TxLink">
            <a:rPr lang="en-US" sz="1000" b="0" i="0" u="none" strike="noStrike">
              <a:solidFill>
                <a:srgbClr val="000000"/>
              </a:solidFill>
              <a:latin typeface="Calibri"/>
              <a:cs typeface="Calibri"/>
            </a:rPr>
            <a:pPr/>
            <a:t>0,15 m2 raam/m2 GBO</a:t>
          </a:fld>
          <a:endParaRPr lang="nl-NL" sz="1100">
            <a:solidFill>
              <a:schemeClr val="tx1"/>
            </a:solidFill>
          </a:endParaRPr>
        </a:p>
      </xdr:txBody>
    </xdr:sp>
    <xdr:clientData/>
  </xdr:twoCellAnchor>
  <xdr:twoCellAnchor>
    <xdr:from>
      <xdr:col>30</xdr:col>
      <xdr:colOff>287768</xdr:colOff>
      <xdr:row>21</xdr:row>
      <xdr:rowOff>136712</xdr:rowOff>
    </xdr:from>
    <xdr:to>
      <xdr:col>32</xdr:col>
      <xdr:colOff>2240</xdr:colOff>
      <xdr:row>23</xdr:row>
      <xdr:rowOff>22924</xdr:rowOff>
    </xdr:to>
    <xdr:sp macro="" textlink="$AG$4">
      <xdr:nvSpPr>
        <xdr:cNvPr id="13" name="Tekstvak 12">
          <a:extLst>
            <a:ext uri="{FF2B5EF4-FFF2-40B4-BE49-F238E27FC236}">
              <a16:creationId xmlns:a16="http://schemas.microsoft.com/office/drawing/2014/main" id="{00000000-0008-0000-0C00-00000D000000}"/>
            </a:ext>
          </a:extLst>
        </xdr:cNvPr>
        <xdr:cNvSpPr txBox="1"/>
      </xdr:nvSpPr>
      <xdr:spPr>
        <a:xfrm>
          <a:off x="21108297" y="4495800"/>
          <a:ext cx="1305708"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A177A86-C1AF-41DF-8511-F72B9132B371}" type="TxLink">
            <a:rPr lang="en-US" sz="1000" b="0" i="0" u="none" strike="noStrike">
              <a:solidFill>
                <a:schemeClr val="tx1"/>
              </a:solidFill>
              <a:latin typeface="Calibri"/>
              <a:cs typeface="Calibri"/>
            </a:rPr>
            <a:pPr/>
            <a:t>C2a - geregelde roosters</a:t>
          </a:fld>
          <a:endParaRPr lang="nl-NL" sz="1100">
            <a:solidFill>
              <a:schemeClr val="tx1"/>
            </a:solidFill>
          </a:endParaRPr>
        </a:p>
      </xdr:txBody>
    </xdr:sp>
    <xdr:clientData/>
  </xdr:twoCellAnchor>
  <xdr:twoCellAnchor>
    <xdr:from>
      <xdr:col>22</xdr:col>
      <xdr:colOff>7845</xdr:colOff>
      <xdr:row>21</xdr:row>
      <xdr:rowOff>151504</xdr:rowOff>
    </xdr:from>
    <xdr:to>
      <xdr:col>22</xdr:col>
      <xdr:colOff>574863</xdr:colOff>
      <xdr:row>23</xdr:row>
      <xdr:rowOff>35075</xdr:rowOff>
    </xdr:to>
    <xdr:sp macro="" textlink="$M$23">
      <xdr:nvSpPr>
        <xdr:cNvPr id="14" name="Tekstvak 13">
          <a:extLst>
            <a:ext uri="{FF2B5EF4-FFF2-40B4-BE49-F238E27FC236}">
              <a16:creationId xmlns:a16="http://schemas.microsoft.com/office/drawing/2014/main" id="{00000000-0008-0000-0C00-00000E000000}"/>
            </a:ext>
          </a:extLst>
        </xdr:cNvPr>
        <xdr:cNvSpPr txBox="1"/>
      </xdr:nvSpPr>
      <xdr:spPr>
        <a:xfrm>
          <a:off x="15460757" y="4891592"/>
          <a:ext cx="567018" cy="242159"/>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267E50A-7D84-4E50-9E7A-48A99B34BAFA}" type="TxLink">
            <a:rPr lang="en-US" sz="1000" b="0" i="0" u="none" strike="noStrike">
              <a:solidFill>
                <a:srgbClr val="000000"/>
              </a:solidFill>
              <a:latin typeface="Calibri"/>
              <a:cs typeface="Calibri"/>
            </a:rPr>
            <a:pPr/>
            <a:t>licht</a:t>
          </a:fld>
          <a:endParaRPr lang="nl-NL" sz="1100">
            <a:solidFill>
              <a:sysClr val="windowText" lastClr="000000"/>
            </a:solidFill>
          </a:endParaRPr>
        </a:p>
      </xdr:txBody>
    </xdr:sp>
    <xdr:clientData/>
  </xdr:twoCellAnchor>
  <xdr:twoCellAnchor>
    <xdr:from>
      <xdr:col>7</xdr:col>
      <xdr:colOff>531159</xdr:colOff>
      <xdr:row>21</xdr:row>
      <xdr:rowOff>140746</xdr:rowOff>
    </xdr:from>
    <xdr:to>
      <xdr:col>9</xdr:col>
      <xdr:colOff>123488</xdr:colOff>
      <xdr:row>23</xdr:row>
      <xdr:rowOff>26447</xdr:rowOff>
    </xdr:to>
    <xdr:sp macro="" textlink="$J$4">
      <xdr:nvSpPr>
        <xdr:cNvPr id="15" name="Tekstvak 14">
          <a:extLst>
            <a:ext uri="{FF2B5EF4-FFF2-40B4-BE49-F238E27FC236}">
              <a16:creationId xmlns:a16="http://schemas.microsoft.com/office/drawing/2014/main" id="{00000000-0008-0000-0C00-00000F000000}"/>
            </a:ext>
          </a:extLst>
        </xdr:cNvPr>
        <xdr:cNvSpPr txBox="1"/>
      </xdr:nvSpPr>
      <xdr:spPr>
        <a:xfrm>
          <a:off x="4778188" y="4880834"/>
          <a:ext cx="1183565" cy="244289"/>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136C7D4-641B-4132-BE40-BDCC4EFB4343}" type="TxLink">
            <a:rPr lang="en-US" sz="1000" b="0" i="0" u="none" strike="noStrike">
              <a:solidFill>
                <a:schemeClr val="tx1"/>
              </a:solidFill>
              <a:latin typeface="Calibri"/>
              <a:cs typeface="Calibri"/>
            </a:rPr>
            <a:pPr/>
            <a:t>D2/D4a - met wtw</a:t>
          </a:fld>
          <a:endParaRPr lang="nl-NL" sz="1100">
            <a:solidFill>
              <a:schemeClr val="tx1"/>
            </a:solidFill>
          </a:endParaRPr>
        </a:p>
      </xdr:txBody>
    </xdr:sp>
    <xdr:clientData/>
  </xdr:twoCellAnchor>
  <xdr:twoCellAnchor>
    <xdr:from>
      <xdr:col>9</xdr:col>
      <xdr:colOff>169208</xdr:colOff>
      <xdr:row>21</xdr:row>
      <xdr:rowOff>144556</xdr:rowOff>
    </xdr:from>
    <xdr:to>
      <xdr:col>10</xdr:col>
      <xdr:colOff>550209</xdr:colOff>
      <xdr:row>23</xdr:row>
      <xdr:rowOff>30257</xdr:rowOff>
    </xdr:to>
    <xdr:sp macro="" textlink="$B$23">
      <xdr:nvSpPr>
        <xdr:cNvPr id="16" name="Tekstvak 15">
          <a:extLst>
            <a:ext uri="{FF2B5EF4-FFF2-40B4-BE49-F238E27FC236}">
              <a16:creationId xmlns:a16="http://schemas.microsoft.com/office/drawing/2014/main" id="{00000000-0008-0000-0C00-000010000000}"/>
            </a:ext>
          </a:extLst>
        </xdr:cNvPr>
        <xdr:cNvSpPr txBox="1"/>
      </xdr:nvSpPr>
      <xdr:spPr>
        <a:xfrm>
          <a:off x="6007473" y="4884644"/>
          <a:ext cx="1176618" cy="244289"/>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2FC92A0-D577-43E6-A853-509637CB1966}" type="TxLink">
            <a:rPr lang="en-US" sz="1000" b="0" i="0" u="none" strike="noStrike">
              <a:solidFill>
                <a:srgbClr val="000000"/>
              </a:solidFill>
              <a:latin typeface="Calibri"/>
              <a:cs typeface="Calibri"/>
            </a:rPr>
            <a:pPr/>
            <a:t>zwaar</a:t>
          </a:fld>
          <a:endParaRPr lang="nl-NL" sz="1100">
            <a:solidFill>
              <a:sysClr val="windowText" lastClr="000000"/>
            </a:solidFill>
          </a:endParaRPr>
        </a:p>
      </xdr:txBody>
    </xdr:sp>
    <xdr:clientData/>
  </xdr:twoCellAnchor>
  <xdr:twoCellAnchor>
    <xdr:from>
      <xdr:col>37</xdr:col>
      <xdr:colOff>360829</xdr:colOff>
      <xdr:row>21</xdr:row>
      <xdr:rowOff>134807</xdr:rowOff>
    </xdr:from>
    <xdr:to>
      <xdr:col>39</xdr:col>
      <xdr:colOff>133351</xdr:colOff>
      <xdr:row>23</xdr:row>
      <xdr:rowOff>21019</xdr:rowOff>
    </xdr:to>
    <xdr:sp macro="" textlink="$AM$4">
      <xdr:nvSpPr>
        <xdr:cNvPr id="17" name="Tekstvak 16">
          <a:extLst>
            <a:ext uri="{FF2B5EF4-FFF2-40B4-BE49-F238E27FC236}">
              <a16:creationId xmlns:a16="http://schemas.microsoft.com/office/drawing/2014/main" id="{00000000-0008-0000-0C00-000011000000}"/>
            </a:ext>
          </a:extLst>
        </xdr:cNvPr>
        <xdr:cNvSpPr txBox="1"/>
      </xdr:nvSpPr>
      <xdr:spPr>
        <a:xfrm>
          <a:off x="26022300" y="4874895"/>
          <a:ext cx="1408580"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2B007FB-4AAD-44DD-806F-EBD975D36AFF}" type="TxLink">
            <a:rPr lang="en-US" sz="1000" b="0" i="0" u="none" strike="noStrike">
              <a:solidFill>
                <a:schemeClr val="tx1"/>
              </a:solidFill>
              <a:latin typeface="Calibri"/>
              <a:cs typeface="Calibri"/>
            </a:rPr>
            <a:pPr/>
            <a:t>woning</a:t>
          </a:fld>
          <a:endParaRPr lang="nl-NL" sz="1100">
            <a:solidFill>
              <a:schemeClr val="tx1"/>
            </a:solidFill>
          </a:endParaRPr>
        </a:p>
      </xdr:txBody>
    </xdr:sp>
    <xdr:clientData/>
  </xdr:twoCellAnchor>
  <xdr:twoCellAnchor>
    <xdr:from>
      <xdr:col>39</xdr:col>
      <xdr:colOff>209551</xdr:colOff>
      <xdr:row>21</xdr:row>
      <xdr:rowOff>134807</xdr:rowOff>
    </xdr:from>
    <xdr:to>
      <xdr:col>41</xdr:col>
      <xdr:colOff>0</xdr:colOff>
      <xdr:row>23</xdr:row>
      <xdr:rowOff>21019</xdr:rowOff>
    </xdr:to>
    <xdr:sp macro="" textlink="$AJ$23">
      <xdr:nvSpPr>
        <xdr:cNvPr id="18" name="Tekstvak 17">
          <a:extLst>
            <a:ext uri="{FF2B5EF4-FFF2-40B4-BE49-F238E27FC236}">
              <a16:creationId xmlns:a16="http://schemas.microsoft.com/office/drawing/2014/main" id="{00000000-0008-0000-0C00-000012000000}"/>
            </a:ext>
          </a:extLst>
        </xdr:cNvPr>
        <xdr:cNvSpPr txBox="1"/>
      </xdr:nvSpPr>
      <xdr:spPr>
        <a:xfrm>
          <a:off x="27507080" y="4874895"/>
          <a:ext cx="1426508"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4DE24B2-05D6-4E10-90BD-E3C1B410695E}" type="TxLink">
            <a:rPr lang="en-US" sz="1000" b="0" i="0" u="none" strike="noStrike">
              <a:solidFill>
                <a:srgbClr val="000000"/>
              </a:solidFill>
              <a:latin typeface="Calibri"/>
              <a:cs typeface="Calibri"/>
            </a:rPr>
            <a:pPr/>
            <a:t>zwaar</a:t>
          </a:fld>
          <a:endParaRPr lang="nl-NL" sz="1100">
            <a:solidFill>
              <a:schemeClr val="tx1"/>
            </a:solidFill>
          </a:endParaRPr>
        </a:p>
      </xdr:txBody>
    </xdr:sp>
    <xdr:clientData/>
  </xdr:twoCellAnchor>
  <xdr:twoCellAnchor>
    <xdr:from>
      <xdr:col>43</xdr:col>
      <xdr:colOff>739925</xdr:colOff>
      <xdr:row>21</xdr:row>
      <xdr:rowOff>134807</xdr:rowOff>
    </xdr:from>
    <xdr:to>
      <xdr:col>45</xdr:col>
      <xdr:colOff>514350</xdr:colOff>
      <xdr:row>23</xdr:row>
      <xdr:rowOff>21019</xdr:rowOff>
    </xdr:to>
    <xdr:sp macro="" textlink="$AJ$24">
      <xdr:nvSpPr>
        <xdr:cNvPr id="19" name="Tekstvak 18">
          <a:extLst>
            <a:ext uri="{FF2B5EF4-FFF2-40B4-BE49-F238E27FC236}">
              <a16:creationId xmlns:a16="http://schemas.microsoft.com/office/drawing/2014/main" id="{00000000-0008-0000-0C00-000013000000}"/>
            </a:ext>
          </a:extLst>
        </xdr:cNvPr>
        <xdr:cNvSpPr txBox="1"/>
      </xdr:nvSpPr>
      <xdr:spPr>
        <a:xfrm>
          <a:off x="31309572" y="4874895"/>
          <a:ext cx="1410484"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5D8CD37-A2DF-4231-AF00-C581C03A3FF8}" type="TxLink">
            <a:rPr lang="en-US" sz="1000" b="0" i="0" u="none" strike="noStrike">
              <a:solidFill>
                <a:srgbClr val="000000"/>
              </a:solidFill>
              <a:latin typeface="Calibri"/>
              <a:cs typeface="Calibri"/>
            </a:rPr>
            <a:pPr/>
            <a:t>0,20 m2 raam/m2 GBO</a:t>
          </a:fld>
          <a:endParaRPr lang="nl-NL" sz="1100">
            <a:solidFill>
              <a:schemeClr val="tx1"/>
            </a:solidFill>
          </a:endParaRPr>
        </a:p>
      </xdr:txBody>
    </xdr:sp>
    <xdr:clientData/>
  </xdr:twoCellAnchor>
  <xdr:twoCellAnchor>
    <xdr:from>
      <xdr:col>41</xdr:col>
      <xdr:colOff>57150</xdr:colOff>
      <xdr:row>21</xdr:row>
      <xdr:rowOff>134807</xdr:rowOff>
    </xdr:from>
    <xdr:to>
      <xdr:col>43</xdr:col>
      <xdr:colOff>665630</xdr:colOff>
      <xdr:row>23</xdr:row>
      <xdr:rowOff>21019</xdr:rowOff>
    </xdr:to>
    <xdr:sp macro="" textlink="$AS$4">
      <xdr:nvSpPr>
        <xdr:cNvPr id="20" name="Tekstvak 19">
          <a:extLst>
            <a:ext uri="{FF2B5EF4-FFF2-40B4-BE49-F238E27FC236}">
              <a16:creationId xmlns:a16="http://schemas.microsoft.com/office/drawing/2014/main" id="{00000000-0008-0000-0C00-000014000000}"/>
            </a:ext>
          </a:extLst>
        </xdr:cNvPr>
        <xdr:cNvSpPr txBox="1"/>
      </xdr:nvSpPr>
      <xdr:spPr>
        <a:xfrm>
          <a:off x="28990738" y="4874895"/>
          <a:ext cx="2244539"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84081EF-E198-43C8-9E79-6A38C3D109CF}" type="TxLink">
            <a:rPr lang="en-US" sz="1000" b="0" i="0" u="none" strike="noStrike">
              <a:solidFill>
                <a:schemeClr val="tx1"/>
              </a:solidFill>
              <a:latin typeface="Calibri"/>
              <a:cs typeface="Calibri"/>
            </a:rPr>
            <a:pPr/>
            <a:t>2006-2012</a:t>
          </a:fld>
          <a:endParaRPr lang="nl-NL" sz="1100">
            <a:solidFill>
              <a:schemeClr val="tx1"/>
            </a:solidFill>
          </a:endParaRPr>
        </a:p>
      </xdr:txBody>
    </xdr:sp>
    <xdr:clientData/>
  </xdr:twoCellAnchor>
  <xdr:twoCellAnchor>
    <xdr:from>
      <xdr:col>1</xdr:col>
      <xdr:colOff>167640</xdr:colOff>
      <xdr:row>21</xdr:row>
      <xdr:rowOff>133350</xdr:rowOff>
    </xdr:from>
    <xdr:to>
      <xdr:col>3</xdr:col>
      <xdr:colOff>411480</xdr:colOff>
      <xdr:row>23</xdr:row>
      <xdr:rowOff>15240</xdr:rowOff>
    </xdr:to>
    <xdr:sp macro="" textlink="$B$7">
      <xdr:nvSpPr>
        <xdr:cNvPr id="10" name="Tekstvak 9">
          <a:extLst>
            <a:ext uri="{FF2B5EF4-FFF2-40B4-BE49-F238E27FC236}">
              <a16:creationId xmlns:a16="http://schemas.microsoft.com/office/drawing/2014/main" id="{68563E34-4A63-4832-A717-A8797442EA69}"/>
            </a:ext>
          </a:extLst>
        </xdr:cNvPr>
        <xdr:cNvSpPr txBox="1"/>
      </xdr:nvSpPr>
      <xdr:spPr>
        <a:xfrm>
          <a:off x="300990" y="3667125"/>
          <a:ext cx="1177290" cy="24384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EAA5073-FCAA-48F8-ADCC-D2F7DBCE1119}" type="TxLink">
            <a:rPr lang="en-US" sz="1000" b="0" i="0" u="none" strike="noStrike">
              <a:solidFill>
                <a:schemeClr val="tx1"/>
              </a:solidFill>
              <a:latin typeface="Calibri"/>
              <a:ea typeface="Calibri"/>
              <a:cs typeface="Calibri"/>
            </a:rPr>
            <a:pPr/>
            <a:t>MWA</a:t>
          </a:fld>
          <a:endParaRPr lang="nl-NL" sz="1100">
            <a:solidFill>
              <a:schemeClr val="tx1"/>
            </a:solidFill>
          </a:endParaRPr>
        </a:p>
      </xdr:txBody>
    </xdr:sp>
    <xdr:clientData/>
  </xdr:twoCellAnchor>
  <xdr:twoCellAnchor>
    <xdr:from>
      <xdr:col>12</xdr:col>
      <xdr:colOff>167640</xdr:colOff>
      <xdr:row>21</xdr:row>
      <xdr:rowOff>135255</xdr:rowOff>
    </xdr:from>
    <xdr:to>
      <xdr:col>14</xdr:col>
      <xdr:colOff>148590</xdr:colOff>
      <xdr:row>23</xdr:row>
      <xdr:rowOff>15240</xdr:rowOff>
    </xdr:to>
    <xdr:sp macro="" textlink="$M$7">
      <xdr:nvSpPr>
        <xdr:cNvPr id="21" name="Tekstvak 20">
          <a:extLst>
            <a:ext uri="{FF2B5EF4-FFF2-40B4-BE49-F238E27FC236}">
              <a16:creationId xmlns:a16="http://schemas.microsoft.com/office/drawing/2014/main" id="{5A9CF966-8544-456E-B6E2-98A82248572D}"/>
            </a:ext>
          </a:extLst>
        </xdr:cNvPr>
        <xdr:cNvSpPr txBox="1"/>
      </xdr:nvSpPr>
      <xdr:spPr>
        <a:xfrm>
          <a:off x="8092440" y="3669030"/>
          <a:ext cx="1181100" cy="241935"/>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5D9DACE-D32A-453D-B7B1-88862F54E9E6}" type="TxLink">
            <a:rPr lang="en-US" sz="1000" b="0" i="0" u="none" strike="noStrike">
              <a:solidFill>
                <a:schemeClr val="tx1"/>
              </a:solidFill>
              <a:latin typeface="Calibri"/>
              <a:ea typeface="Calibri"/>
              <a:cs typeface="Calibri"/>
            </a:rPr>
            <a:pPr/>
            <a:t>EP</a:t>
          </a:fld>
          <a:endParaRPr lang="nl-NL" sz="1100">
            <a:solidFill>
              <a:schemeClr val="tx1"/>
            </a:solidFill>
          </a:endParaRPr>
        </a:p>
      </xdr:txBody>
    </xdr:sp>
    <xdr:clientData/>
  </xdr:twoCellAnchor>
  <xdr:twoCellAnchor>
    <xdr:from>
      <xdr:col>24</xdr:col>
      <xdr:colOff>205740</xdr:colOff>
      <xdr:row>21</xdr:row>
      <xdr:rowOff>129540</xdr:rowOff>
    </xdr:from>
    <xdr:to>
      <xdr:col>26</xdr:col>
      <xdr:colOff>443865</xdr:colOff>
      <xdr:row>23</xdr:row>
      <xdr:rowOff>15752</xdr:rowOff>
    </xdr:to>
    <xdr:sp macro="" textlink="$Y$7">
      <xdr:nvSpPr>
        <xdr:cNvPr id="22" name="Tekstvak 21">
          <a:extLst>
            <a:ext uri="{FF2B5EF4-FFF2-40B4-BE49-F238E27FC236}">
              <a16:creationId xmlns:a16="http://schemas.microsoft.com/office/drawing/2014/main" id="{5C5004F5-5401-457F-92C1-F07E863AA08F}"/>
            </a:ext>
          </a:extLst>
        </xdr:cNvPr>
        <xdr:cNvSpPr txBox="1"/>
      </xdr:nvSpPr>
      <xdr:spPr>
        <a:xfrm>
          <a:off x="16913711" y="4869628"/>
          <a:ext cx="1168213" cy="244800"/>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29D15CA-2270-4D3E-816E-48D7006043F1}" type="TxLink">
            <a:rPr lang="en-US" sz="1000" b="0" i="0" u="none" strike="noStrike">
              <a:solidFill>
                <a:schemeClr val="tx1"/>
              </a:solidFill>
              <a:latin typeface="Calibri"/>
              <a:ea typeface="Calibri"/>
              <a:cs typeface="Calibri"/>
            </a:rPr>
            <a:pPr/>
            <a:t>MWA</a:t>
          </a:fld>
          <a:endParaRPr lang="nl-NL" sz="1100">
            <a:solidFill>
              <a:schemeClr val="tx1"/>
            </a:solidFill>
          </a:endParaRPr>
        </a:p>
      </xdr:txBody>
    </xdr:sp>
    <xdr:clientData/>
  </xdr:twoCellAnchor>
  <xdr:twoCellAnchor>
    <xdr:from>
      <xdr:col>35</xdr:col>
      <xdr:colOff>281268</xdr:colOff>
      <xdr:row>21</xdr:row>
      <xdr:rowOff>129204</xdr:rowOff>
    </xdr:from>
    <xdr:to>
      <xdr:col>37</xdr:col>
      <xdr:colOff>250788</xdr:colOff>
      <xdr:row>23</xdr:row>
      <xdr:rowOff>21131</xdr:rowOff>
    </xdr:to>
    <xdr:sp macro="" textlink="$AJ$7">
      <xdr:nvSpPr>
        <xdr:cNvPr id="23" name="Tekstvak 22">
          <a:extLst>
            <a:ext uri="{FF2B5EF4-FFF2-40B4-BE49-F238E27FC236}">
              <a16:creationId xmlns:a16="http://schemas.microsoft.com/office/drawing/2014/main" id="{05FE3C42-C3E7-4B93-98A6-FCE7FCE74DBD}"/>
            </a:ext>
          </a:extLst>
        </xdr:cNvPr>
        <xdr:cNvSpPr txBox="1"/>
      </xdr:nvSpPr>
      <xdr:spPr>
        <a:xfrm>
          <a:off x="24743709" y="4869292"/>
          <a:ext cx="1168550" cy="250515"/>
        </a:xfrm>
        <a:prstGeom prst="rect">
          <a:avLst/>
        </a:prstGeom>
        <a:solidFill>
          <a:schemeClr val="bg2"/>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F727075-050E-4F6B-85BE-291CE51B2CEE}" type="TxLink">
            <a:rPr lang="en-US" sz="1000" b="0" i="0" u="none" strike="noStrike">
              <a:solidFill>
                <a:sysClr val="windowText" lastClr="000000"/>
              </a:solidFill>
              <a:latin typeface="Calibri"/>
              <a:ea typeface="Calibri"/>
              <a:cs typeface="Calibri"/>
            </a:rPr>
            <a:pPr/>
            <a:t>MWA</a:t>
          </a:fld>
          <a:endParaRPr lang="nl-NL" sz="1100">
            <a:solidFill>
              <a:sysClr val="windowText" lastClr="000000"/>
            </a:solidFill>
          </a:endParaRP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0.30059</cdr:x>
      <cdr:y>0.10579</cdr:y>
    </cdr:from>
    <cdr:to>
      <cdr:x>0.37848</cdr:x>
      <cdr:y>0.15347</cdr:y>
    </cdr:to>
    <cdr:sp macro="" textlink="">
      <cdr:nvSpPr>
        <cdr:cNvPr id="2" name="Tekstvak 1">
          <a:extLst xmlns:a="http://schemas.openxmlformats.org/drawingml/2006/main">
            <a:ext uri="{FF2B5EF4-FFF2-40B4-BE49-F238E27FC236}">
              <a16:creationId xmlns:a16="http://schemas.microsoft.com/office/drawing/2014/main" id="{FD61E53C-F33B-9B28-6BD3-0EC927D4E7AE}"/>
            </a:ext>
          </a:extLst>
        </cdr:cNvPr>
        <cdr:cNvSpPr txBox="1"/>
      </cdr:nvSpPr>
      <cdr:spPr>
        <a:xfrm xmlns:a="http://schemas.openxmlformats.org/drawingml/2006/main">
          <a:off x="2187113" y="545993"/>
          <a:ext cx="566726" cy="246087"/>
        </a:xfrm>
        <a:prstGeom xmlns:a="http://schemas.openxmlformats.org/drawingml/2006/main" prst="rect">
          <a:avLst/>
        </a:prstGeom>
      </cdr:spPr>
      <cdr:txBody>
        <a:bodyPr xmlns:a="http://schemas.openxmlformats.org/drawingml/2006/main" vertOverflow="clip" wrap="square" lIns="0" tIns="0" rIns="0" bIns="0" rtlCol="0" anchor="ctr"/>
        <a:lstStyle xmlns:a="http://schemas.openxmlformats.org/drawingml/2006/main"/>
        <a:p xmlns:a="http://schemas.openxmlformats.org/drawingml/2006/main">
          <a:pPr algn="ctr"/>
          <a:r>
            <a:rPr lang="nl-NL" sz="900">
              <a:solidFill>
                <a:schemeClr val="tx1">
                  <a:lumMod val="65000"/>
                  <a:lumOff val="35000"/>
                </a:schemeClr>
              </a:solidFill>
            </a:rPr>
            <a:t>vormfactor</a:t>
          </a:r>
        </a:p>
      </cdr:txBody>
    </cdr:sp>
  </cdr:relSizeAnchor>
</c:userShapes>
</file>

<file path=xl/drawings/drawing16.xml><?xml version="1.0" encoding="utf-8"?>
<c:userShapes xmlns:c="http://schemas.openxmlformats.org/drawingml/2006/chart">
  <cdr:relSizeAnchor xmlns:cdr="http://schemas.openxmlformats.org/drawingml/2006/chartDrawing">
    <cdr:from>
      <cdr:x>0.28224</cdr:x>
      <cdr:y>0.09557</cdr:y>
    </cdr:from>
    <cdr:to>
      <cdr:x>0.36012</cdr:x>
      <cdr:y>0.14352</cdr:y>
    </cdr:to>
    <cdr:sp macro="" textlink="">
      <cdr:nvSpPr>
        <cdr:cNvPr id="2" name="Tekstvak 1">
          <a:extLst xmlns:a="http://schemas.openxmlformats.org/drawingml/2006/main">
            <a:ext uri="{FF2B5EF4-FFF2-40B4-BE49-F238E27FC236}">
              <a16:creationId xmlns:a16="http://schemas.microsoft.com/office/drawing/2014/main" id="{09DE0DD6-6D2A-B431-07C8-BA700928302C}"/>
            </a:ext>
          </a:extLst>
        </cdr:cNvPr>
        <cdr:cNvSpPr txBox="1"/>
      </cdr:nvSpPr>
      <cdr:spPr>
        <a:xfrm xmlns:a="http://schemas.openxmlformats.org/drawingml/2006/main">
          <a:off x="2058946" y="491804"/>
          <a:ext cx="568137" cy="246749"/>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nl-NL" sz="900">
              <a:solidFill>
                <a:schemeClr val="tx1">
                  <a:lumMod val="65000"/>
                  <a:lumOff val="35000"/>
                </a:schemeClr>
              </a:solidFill>
            </a:rPr>
            <a:t>vormfactor</a:t>
          </a:r>
        </a:p>
      </cdr:txBody>
    </cdr:sp>
  </cdr:relSizeAnchor>
</c:userShapes>
</file>

<file path=xl/drawings/drawing17.xml><?xml version="1.0" encoding="utf-8"?>
<c:userShapes xmlns:c="http://schemas.openxmlformats.org/drawingml/2006/chart">
  <cdr:relSizeAnchor xmlns:cdr="http://schemas.openxmlformats.org/drawingml/2006/chartDrawing">
    <cdr:from>
      <cdr:x>0.28906</cdr:x>
      <cdr:y>0.10496</cdr:y>
    </cdr:from>
    <cdr:to>
      <cdr:x>0.36302</cdr:x>
      <cdr:y>0.15291</cdr:y>
    </cdr:to>
    <cdr:sp macro="" textlink="">
      <cdr:nvSpPr>
        <cdr:cNvPr id="2" name="Tekstvak 1">
          <a:extLst xmlns:a="http://schemas.openxmlformats.org/drawingml/2006/main">
            <a:ext uri="{FF2B5EF4-FFF2-40B4-BE49-F238E27FC236}">
              <a16:creationId xmlns:a16="http://schemas.microsoft.com/office/drawing/2014/main" id="{09DE0DD6-6D2A-B431-07C8-BA700928302C}"/>
            </a:ext>
          </a:extLst>
        </cdr:cNvPr>
        <cdr:cNvSpPr txBox="1"/>
      </cdr:nvSpPr>
      <cdr:spPr>
        <a:xfrm xmlns:a="http://schemas.openxmlformats.org/drawingml/2006/main">
          <a:off x="2474720" y="540127"/>
          <a:ext cx="633193" cy="246749"/>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nl-NL" sz="900">
              <a:solidFill>
                <a:schemeClr val="tx1">
                  <a:lumMod val="65000"/>
                  <a:lumOff val="35000"/>
                </a:schemeClr>
              </a:solidFill>
            </a:rPr>
            <a:t>vormfactor</a:t>
          </a:r>
        </a:p>
      </cdr:txBody>
    </cdr:sp>
  </cdr:relSizeAnchor>
</c:userShapes>
</file>

<file path=xl/drawings/drawing18.xml><?xml version="1.0" encoding="utf-8"?>
<c:userShapes xmlns:c="http://schemas.openxmlformats.org/drawingml/2006/chart">
  <cdr:relSizeAnchor xmlns:cdr="http://schemas.openxmlformats.org/drawingml/2006/chartDrawing">
    <cdr:from>
      <cdr:x>0.29408</cdr:x>
      <cdr:y>0.08862</cdr:y>
    </cdr:from>
    <cdr:to>
      <cdr:x>0.36923</cdr:x>
      <cdr:y>0.13656</cdr:y>
    </cdr:to>
    <cdr:sp macro="" textlink="">
      <cdr:nvSpPr>
        <cdr:cNvPr id="2" name="Tekstvak 1">
          <a:extLst xmlns:a="http://schemas.openxmlformats.org/drawingml/2006/main">
            <a:ext uri="{FF2B5EF4-FFF2-40B4-BE49-F238E27FC236}">
              <a16:creationId xmlns:a16="http://schemas.microsoft.com/office/drawing/2014/main" id="{09DE0DD6-6D2A-B431-07C8-BA700928302C}"/>
            </a:ext>
          </a:extLst>
        </cdr:cNvPr>
        <cdr:cNvSpPr txBox="1"/>
      </cdr:nvSpPr>
      <cdr:spPr>
        <a:xfrm xmlns:a="http://schemas.openxmlformats.org/drawingml/2006/main">
          <a:off x="2458379" y="456731"/>
          <a:ext cx="628223" cy="247063"/>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nl-NL" sz="900">
              <a:solidFill>
                <a:schemeClr val="tx1">
                  <a:lumMod val="65000"/>
                  <a:lumOff val="35000"/>
                </a:schemeClr>
              </a:solidFill>
            </a:rPr>
            <a:t>vormfactor</a:t>
          </a: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4</xdr:col>
      <xdr:colOff>19050</xdr:colOff>
      <xdr:row>2</xdr:row>
      <xdr:rowOff>49650</xdr:rowOff>
    </xdr:from>
    <xdr:to>
      <xdr:col>4</xdr:col>
      <xdr:colOff>235050</xdr:colOff>
      <xdr:row>3</xdr:row>
      <xdr:rowOff>0</xdr:rowOff>
    </xdr:to>
    <xdr:sp macro="" textlink="">
      <xdr:nvSpPr>
        <xdr:cNvPr id="12" name="Rectangle 3">
          <a:hlinkClick xmlns:r="http://schemas.openxmlformats.org/officeDocument/2006/relationships" r:id="rId1" tooltip="Naar de handleiding"/>
          <a:extLst>
            <a:ext uri="{FF2B5EF4-FFF2-40B4-BE49-F238E27FC236}">
              <a16:creationId xmlns:a16="http://schemas.microsoft.com/office/drawing/2014/main" id="{00000000-0008-0000-0100-00000C000000}"/>
            </a:ext>
          </a:extLst>
        </xdr:cNvPr>
        <xdr:cNvSpPr>
          <a:spLocks noChangeArrowheads="1"/>
        </xdr:cNvSpPr>
      </xdr:nvSpPr>
      <xdr:spPr bwMode="auto">
        <a:xfrm>
          <a:off x="600075" y="611625"/>
          <a:ext cx="216000" cy="198000"/>
        </a:xfrm>
        <a:prstGeom prst="rect">
          <a:avLst/>
        </a:prstGeom>
        <a:gradFill>
          <a:gsLst>
            <a:gs pos="84000">
              <a:schemeClr val="accent3">
                <a:lumMod val="40000"/>
                <a:lumOff val="60000"/>
              </a:schemeClr>
            </a:gs>
            <a:gs pos="99000">
              <a:schemeClr val="accent3">
                <a:lumMod val="75000"/>
              </a:schemeClr>
            </a:gs>
            <a:gs pos="16000">
              <a:schemeClr val="accent3">
                <a:lumMod val="20000"/>
                <a:lumOff val="80000"/>
              </a:schemeClr>
            </a:gs>
            <a:gs pos="0">
              <a:schemeClr val="bg1"/>
            </a:gs>
          </a:gsLst>
          <a:lin ang="5400000" scaled="1"/>
        </a:gradFill>
        <a:ln w="635">
          <a:solidFill>
            <a:schemeClr val="bg1">
              <a:lumMod val="65000"/>
            </a:schemeClr>
          </a:solidFill>
        </a:ln>
        <a:effectLst>
          <a:outerShdw blurRad="50800" dist="38100" dir="5400000" algn="t" rotWithShape="0">
            <a:schemeClr val="accent3">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absolute">
    <xdr:from>
      <xdr:col>4</xdr:col>
      <xdr:colOff>257984</xdr:colOff>
      <xdr:row>2</xdr:row>
      <xdr:rowOff>49477</xdr:rowOff>
    </xdr:from>
    <xdr:to>
      <xdr:col>4</xdr:col>
      <xdr:colOff>1373984</xdr:colOff>
      <xdr:row>2</xdr:row>
      <xdr:rowOff>247477</xdr:rowOff>
    </xdr:to>
    <xdr:sp macro="" textlink="">
      <xdr:nvSpPr>
        <xdr:cNvPr id="13" name="Rectangle 3">
          <a:hlinkClick xmlns:r="http://schemas.openxmlformats.org/officeDocument/2006/relationships" r:id="rId2" tooltip="Naar de invoer van de woningen en utiliteitsgebouwen in het gebied."/>
          <a:extLst>
            <a:ext uri="{FF2B5EF4-FFF2-40B4-BE49-F238E27FC236}">
              <a16:creationId xmlns:a16="http://schemas.microsoft.com/office/drawing/2014/main" id="{00000000-0008-0000-0100-00000D000000}"/>
            </a:ext>
          </a:extLst>
        </xdr:cNvPr>
        <xdr:cNvSpPr>
          <a:spLocks noChangeArrowheads="1"/>
        </xdr:cNvSpPr>
      </xdr:nvSpPr>
      <xdr:spPr bwMode="auto">
        <a:xfrm>
          <a:off x="839009" y="611452"/>
          <a:ext cx="1116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absolute">
    <xdr:from>
      <xdr:col>4</xdr:col>
      <xdr:colOff>1400016</xdr:colOff>
      <xdr:row>2</xdr:row>
      <xdr:rowOff>49477</xdr:rowOff>
    </xdr:from>
    <xdr:to>
      <xdr:col>4</xdr:col>
      <xdr:colOff>1832016</xdr:colOff>
      <xdr:row>2</xdr:row>
      <xdr:rowOff>247477</xdr:rowOff>
    </xdr:to>
    <xdr:sp macro="" textlink="">
      <xdr:nvSpPr>
        <xdr:cNvPr id="14" name="Rectangle 4">
          <a:hlinkClick xmlns:r="http://schemas.openxmlformats.org/officeDocument/2006/relationships" r:id="rId3" tooltip="Naar invoer installaties en berekening variant 1"/>
          <a:extLst>
            <a:ext uri="{FF2B5EF4-FFF2-40B4-BE49-F238E27FC236}">
              <a16:creationId xmlns:a16="http://schemas.microsoft.com/office/drawing/2014/main" id="{00000000-0008-0000-0100-00000E000000}"/>
            </a:ext>
          </a:extLst>
        </xdr:cNvPr>
        <xdr:cNvSpPr>
          <a:spLocks noChangeArrowheads="1"/>
        </xdr:cNvSpPr>
      </xdr:nvSpPr>
      <xdr:spPr bwMode="auto">
        <a:xfrm>
          <a:off x="1981041" y="611452"/>
          <a:ext cx="432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absolute">
    <xdr:from>
      <xdr:col>4</xdr:col>
      <xdr:colOff>1858933</xdr:colOff>
      <xdr:row>2</xdr:row>
      <xdr:rowOff>49477</xdr:rowOff>
    </xdr:from>
    <xdr:to>
      <xdr:col>4</xdr:col>
      <xdr:colOff>2291741</xdr:colOff>
      <xdr:row>2</xdr:row>
      <xdr:rowOff>247477</xdr:rowOff>
    </xdr:to>
    <xdr:sp macro="" textlink="">
      <xdr:nvSpPr>
        <xdr:cNvPr id="15" name="Rectangle 8">
          <a:hlinkClick xmlns:r="http://schemas.openxmlformats.org/officeDocument/2006/relationships" r:id="rId4" tooltip="Naar invoer installaties en berekening variant 2."/>
          <a:extLst>
            <a:ext uri="{FF2B5EF4-FFF2-40B4-BE49-F238E27FC236}">
              <a16:creationId xmlns:a16="http://schemas.microsoft.com/office/drawing/2014/main" id="{00000000-0008-0000-0100-00000F000000}"/>
            </a:ext>
          </a:extLst>
        </xdr:cNvPr>
        <xdr:cNvSpPr>
          <a:spLocks noChangeArrowheads="1"/>
        </xdr:cNvSpPr>
      </xdr:nvSpPr>
      <xdr:spPr bwMode="auto">
        <a:xfrm>
          <a:off x="2439958" y="611452"/>
          <a:ext cx="432808"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absolute">
    <xdr:from>
      <xdr:col>4</xdr:col>
      <xdr:colOff>2327950</xdr:colOff>
      <xdr:row>2</xdr:row>
      <xdr:rowOff>49477</xdr:rowOff>
    </xdr:from>
    <xdr:to>
      <xdr:col>4</xdr:col>
      <xdr:colOff>2759950</xdr:colOff>
      <xdr:row>2</xdr:row>
      <xdr:rowOff>247477</xdr:rowOff>
    </xdr:to>
    <xdr:sp macro="" textlink="">
      <xdr:nvSpPr>
        <xdr:cNvPr id="16" name="Rectangle 9">
          <a:hlinkClick xmlns:r="http://schemas.openxmlformats.org/officeDocument/2006/relationships" r:id="rId5" tooltip="Naar invoer installaties en berekening variant 3."/>
          <a:extLst>
            <a:ext uri="{FF2B5EF4-FFF2-40B4-BE49-F238E27FC236}">
              <a16:creationId xmlns:a16="http://schemas.microsoft.com/office/drawing/2014/main" id="{00000000-0008-0000-0100-000010000000}"/>
            </a:ext>
          </a:extLst>
        </xdr:cNvPr>
        <xdr:cNvSpPr>
          <a:spLocks noChangeArrowheads="1"/>
        </xdr:cNvSpPr>
      </xdr:nvSpPr>
      <xdr:spPr bwMode="auto">
        <a:xfrm>
          <a:off x="2908975" y="611452"/>
          <a:ext cx="432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absolute">
    <xdr:from>
      <xdr:col>4</xdr:col>
      <xdr:colOff>2791886</xdr:colOff>
      <xdr:row>2</xdr:row>
      <xdr:rowOff>49477</xdr:rowOff>
    </xdr:from>
    <xdr:to>
      <xdr:col>4</xdr:col>
      <xdr:colOff>3226268</xdr:colOff>
      <xdr:row>2</xdr:row>
      <xdr:rowOff>247477</xdr:rowOff>
    </xdr:to>
    <xdr:sp macro="" textlink="">
      <xdr:nvSpPr>
        <xdr:cNvPr id="17" name="Rectangle 10">
          <a:hlinkClick xmlns:r="http://schemas.openxmlformats.org/officeDocument/2006/relationships" r:id="rId6" tooltip="Naar invoer installaties en berekening variant 4."/>
          <a:extLst>
            <a:ext uri="{FF2B5EF4-FFF2-40B4-BE49-F238E27FC236}">
              <a16:creationId xmlns:a16="http://schemas.microsoft.com/office/drawing/2014/main" id="{00000000-0008-0000-0100-000011000000}"/>
            </a:ext>
          </a:extLst>
        </xdr:cNvPr>
        <xdr:cNvSpPr>
          <a:spLocks noChangeArrowheads="1"/>
        </xdr:cNvSpPr>
      </xdr:nvSpPr>
      <xdr:spPr bwMode="auto">
        <a:xfrm>
          <a:off x="3372911" y="611452"/>
          <a:ext cx="434382"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absolute">
    <xdr:from>
      <xdr:col>4</xdr:col>
      <xdr:colOff>3254881</xdr:colOff>
      <xdr:row>2</xdr:row>
      <xdr:rowOff>49477</xdr:rowOff>
    </xdr:from>
    <xdr:to>
      <xdr:col>4</xdr:col>
      <xdr:colOff>3686881</xdr:colOff>
      <xdr:row>2</xdr:row>
      <xdr:rowOff>247477</xdr:rowOff>
    </xdr:to>
    <xdr:sp macro="" textlink="">
      <xdr:nvSpPr>
        <xdr:cNvPr id="18" name="Rectangle 11">
          <a:hlinkClick xmlns:r="http://schemas.openxmlformats.org/officeDocument/2006/relationships" r:id="rId7" tooltip="Naar invoer installaties en berekening variant 5."/>
          <a:extLst>
            <a:ext uri="{FF2B5EF4-FFF2-40B4-BE49-F238E27FC236}">
              <a16:creationId xmlns:a16="http://schemas.microsoft.com/office/drawing/2014/main" id="{00000000-0008-0000-0100-000012000000}"/>
            </a:ext>
          </a:extLst>
        </xdr:cNvPr>
        <xdr:cNvSpPr>
          <a:spLocks noChangeArrowheads="1"/>
        </xdr:cNvSpPr>
      </xdr:nvSpPr>
      <xdr:spPr bwMode="auto">
        <a:xfrm>
          <a:off x="3835906" y="611452"/>
          <a:ext cx="432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absolute">
    <xdr:from>
      <xdr:col>4</xdr:col>
      <xdr:colOff>3719148</xdr:colOff>
      <xdr:row>2</xdr:row>
      <xdr:rowOff>49477</xdr:rowOff>
    </xdr:from>
    <xdr:to>
      <xdr:col>4</xdr:col>
      <xdr:colOff>4151148</xdr:colOff>
      <xdr:row>2</xdr:row>
      <xdr:rowOff>247477</xdr:rowOff>
    </xdr:to>
    <xdr:sp macro="" textlink="">
      <xdr:nvSpPr>
        <xdr:cNvPr id="19" name="Rectangle 7">
          <a:hlinkClick xmlns:r="http://schemas.openxmlformats.org/officeDocument/2006/relationships" r:id="rId8" tooltip="Naar invoer installaties en berekening variant 6."/>
          <a:extLst>
            <a:ext uri="{FF2B5EF4-FFF2-40B4-BE49-F238E27FC236}">
              <a16:creationId xmlns:a16="http://schemas.microsoft.com/office/drawing/2014/main" id="{00000000-0008-0000-0100-000013000000}"/>
            </a:ext>
          </a:extLst>
        </xdr:cNvPr>
        <xdr:cNvSpPr>
          <a:spLocks noChangeArrowheads="1"/>
        </xdr:cNvSpPr>
      </xdr:nvSpPr>
      <xdr:spPr bwMode="auto">
        <a:xfrm>
          <a:off x="4300173" y="611452"/>
          <a:ext cx="432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absolute">
    <xdr:from>
      <xdr:col>4</xdr:col>
      <xdr:colOff>4184859</xdr:colOff>
      <xdr:row>2</xdr:row>
      <xdr:rowOff>49477</xdr:rowOff>
    </xdr:from>
    <xdr:to>
      <xdr:col>4</xdr:col>
      <xdr:colOff>4850859</xdr:colOff>
      <xdr:row>2</xdr:row>
      <xdr:rowOff>247477</xdr:rowOff>
    </xdr:to>
    <xdr:sp macro="" textlink="">
      <xdr:nvSpPr>
        <xdr:cNvPr id="20" name="Rectangle 5">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00000000-0008-0000-0100-000014000000}"/>
            </a:ext>
          </a:extLst>
        </xdr:cNvPr>
        <xdr:cNvSpPr>
          <a:spLocks noChangeArrowheads="1"/>
        </xdr:cNvSpPr>
      </xdr:nvSpPr>
      <xdr:spPr bwMode="auto">
        <a:xfrm>
          <a:off x="4765884" y="611452"/>
          <a:ext cx="666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absolute">
    <xdr:from>
      <xdr:col>4</xdr:col>
      <xdr:colOff>4874763</xdr:colOff>
      <xdr:row>2</xdr:row>
      <xdr:rowOff>49477</xdr:rowOff>
    </xdr:from>
    <xdr:to>
      <xdr:col>4</xdr:col>
      <xdr:colOff>5611403</xdr:colOff>
      <xdr:row>2</xdr:row>
      <xdr:rowOff>247477</xdr:rowOff>
    </xdr:to>
    <xdr:sp macro="" textlink="">
      <xdr:nvSpPr>
        <xdr:cNvPr id="21" name="Rectangle 6">
          <a:hlinkClick xmlns:r="http://schemas.openxmlformats.org/officeDocument/2006/relationships" r:id="rId10" tooltip="Naar de bibilotheek met gegevens van gebouwen en installaties."/>
          <a:extLst>
            <a:ext uri="{FF2B5EF4-FFF2-40B4-BE49-F238E27FC236}">
              <a16:creationId xmlns:a16="http://schemas.microsoft.com/office/drawing/2014/main" id="{00000000-0008-0000-0100-000015000000}"/>
            </a:ext>
          </a:extLst>
        </xdr:cNvPr>
        <xdr:cNvSpPr>
          <a:spLocks noChangeArrowheads="1"/>
        </xdr:cNvSpPr>
      </xdr:nvSpPr>
      <xdr:spPr bwMode="auto">
        <a:xfrm>
          <a:off x="5455788" y="611452"/>
          <a:ext cx="73664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799</xdr:colOff>
      <xdr:row>6</xdr:row>
      <xdr:rowOff>19858</xdr:rowOff>
    </xdr:from>
    <xdr:to>
      <xdr:col>4</xdr:col>
      <xdr:colOff>210920</xdr:colOff>
      <xdr:row>6</xdr:row>
      <xdr:rowOff>226748</xdr:rowOff>
    </xdr:to>
    <xdr:sp macro="" textlink="">
      <xdr:nvSpPr>
        <xdr:cNvPr id="21" name="Rectangle 3">
          <a:hlinkClick xmlns:r="http://schemas.openxmlformats.org/officeDocument/2006/relationships" r:id="rId1" tooltip="Naar de handleiding"/>
          <a:extLst>
            <a:ext uri="{FF2B5EF4-FFF2-40B4-BE49-F238E27FC236}">
              <a16:creationId xmlns:a16="http://schemas.microsoft.com/office/drawing/2014/main" id="{00000000-0008-0000-0200-000015000000}"/>
            </a:ext>
          </a:extLst>
        </xdr:cNvPr>
        <xdr:cNvSpPr>
          <a:spLocks noChangeArrowheads="1"/>
        </xdr:cNvSpPr>
      </xdr:nvSpPr>
      <xdr:spPr bwMode="auto">
        <a:xfrm>
          <a:off x="581025" y="1305098"/>
          <a:ext cx="216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absolute">
    <xdr:from>
      <xdr:col>4</xdr:col>
      <xdr:colOff>245284</xdr:colOff>
      <xdr:row>6</xdr:row>
      <xdr:rowOff>19685</xdr:rowOff>
    </xdr:from>
    <xdr:to>
      <xdr:col>4</xdr:col>
      <xdr:colOff>1352394</xdr:colOff>
      <xdr:row>6</xdr:row>
      <xdr:rowOff>226575</xdr:rowOff>
    </xdr:to>
    <xdr:sp macro="" textlink="">
      <xdr:nvSpPr>
        <xdr:cNvPr id="22" name="Rectangle 3">
          <a:hlinkClick xmlns:r="http://schemas.openxmlformats.org/officeDocument/2006/relationships" r:id="rId2" tooltip="Naar de invoer van de woningen en utiliteitsgebouwen in het gebied."/>
          <a:extLst>
            <a:ext uri="{FF2B5EF4-FFF2-40B4-BE49-F238E27FC236}">
              <a16:creationId xmlns:a16="http://schemas.microsoft.com/office/drawing/2014/main" id="{00000000-0008-0000-0200-000016000000}"/>
            </a:ext>
          </a:extLst>
        </xdr:cNvPr>
        <xdr:cNvSpPr>
          <a:spLocks noChangeArrowheads="1"/>
        </xdr:cNvSpPr>
      </xdr:nvSpPr>
      <xdr:spPr bwMode="auto">
        <a:xfrm>
          <a:off x="819959" y="1304925"/>
          <a:ext cx="1116000" cy="198000"/>
        </a:xfrm>
        <a:prstGeom prst="rect">
          <a:avLst/>
        </a:prstGeom>
        <a:gradFill>
          <a:gsLst>
            <a:gs pos="84000">
              <a:schemeClr val="accent3">
                <a:lumMod val="40000"/>
                <a:lumOff val="60000"/>
              </a:schemeClr>
            </a:gs>
            <a:gs pos="99000">
              <a:schemeClr val="accent3">
                <a:lumMod val="75000"/>
              </a:schemeClr>
            </a:gs>
            <a:gs pos="16000">
              <a:schemeClr val="accent3">
                <a:lumMod val="20000"/>
                <a:lumOff val="80000"/>
              </a:schemeClr>
            </a:gs>
            <a:gs pos="0">
              <a:schemeClr val="bg1"/>
            </a:gs>
          </a:gsLst>
          <a:lin ang="5400000" scaled="1"/>
        </a:gradFill>
        <a:ln w="635">
          <a:solidFill>
            <a:schemeClr val="bg1">
              <a:lumMod val="65000"/>
            </a:schemeClr>
          </a:solidFill>
        </a:ln>
        <a:effectLst>
          <a:outerShdw blurRad="50800" dist="38100" dir="5400000" algn="t" rotWithShape="0">
            <a:schemeClr val="accent3">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absolute">
    <xdr:from>
      <xdr:col>4</xdr:col>
      <xdr:colOff>1389856</xdr:colOff>
      <xdr:row>6</xdr:row>
      <xdr:rowOff>19685</xdr:rowOff>
    </xdr:from>
    <xdr:to>
      <xdr:col>4</xdr:col>
      <xdr:colOff>1812331</xdr:colOff>
      <xdr:row>6</xdr:row>
      <xdr:rowOff>226575</xdr:rowOff>
    </xdr:to>
    <xdr:sp macro="" textlink="">
      <xdr:nvSpPr>
        <xdr:cNvPr id="23" name="Rectangle 4">
          <a:hlinkClick xmlns:r="http://schemas.openxmlformats.org/officeDocument/2006/relationships" r:id="rId3" tooltip="Naar invoer installaties en berekening variant 1"/>
          <a:extLst>
            <a:ext uri="{FF2B5EF4-FFF2-40B4-BE49-F238E27FC236}">
              <a16:creationId xmlns:a16="http://schemas.microsoft.com/office/drawing/2014/main" id="{00000000-0008-0000-0200-000017000000}"/>
            </a:ext>
          </a:extLst>
        </xdr:cNvPr>
        <xdr:cNvSpPr>
          <a:spLocks noChangeArrowheads="1"/>
        </xdr:cNvSpPr>
      </xdr:nvSpPr>
      <xdr:spPr bwMode="auto">
        <a:xfrm>
          <a:off x="1961991" y="1304925"/>
          <a:ext cx="432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absolute">
    <xdr:from>
      <xdr:col>4</xdr:col>
      <xdr:colOff>1848138</xdr:colOff>
      <xdr:row>6</xdr:row>
      <xdr:rowOff>19685</xdr:rowOff>
    </xdr:from>
    <xdr:to>
      <xdr:col>5</xdr:col>
      <xdr:colOff>168301</xdr:colOff>
      <xdr:row>6</xdr:row>
      <xdr:rowOff>226575</xdr:rowOff>
    </xdr:to>
    <xdr:sp macro="" textlink="">
      <xdr:nvSpPr>
        <xdr:cNvPr id="24" name="Rectangle 8">
          <a:hlinkClick xmlns:r="http://schemas.openxmlformats.org/officeDocument/2006/relationships" r:id="rId4" tooltip="Naar invoer installaties en berekening variant 2."/>
          <a:extLst>
            <a:ext uri="{FF2B5EF4-FFF2-40B4-BE49-F238E27FC236}">
              <a16:creationId xmlns:a16="http://schemas.microsoft.com/office/drawing/2014/main" id="{00000000-0008-0000-0200-000018000000}"/>
            </a:ext>
          </a:extLst>
        </xdr:cNvPr>
        <xdr:cNvSpPr>
          <a:spLocks noChangeArrowheads="1"/>
        </xdr:cNvSpPr>
      </xdr:nvSpPr>
      <xdr:spPr bwMode="auto">
        <a:xfrm>
          <a:off x="2420908" y="1304925"/>
          <a:ext cx="432808"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absolute">
    <xdr:from>
      <xdr:col>5</xdr:col>
      <xdr:colOff>208955</xdr:colOff>
      <xdr:row>6</xdr:row>
      <xdr:rowOff>19685</xdr:rowOff>
    </xdr:from>
    <xdr:to>
      <xdr:col>5</xdr:col>
      <xdr:colOff>630795</xdr:colOff>
      <xdr:row>6</xdr:row>
      <xdr:rowOff>226575</xdr:rowOff>
    </xdr:to>
    <xdr:sp macro="" textlink="">
      <xdr:nvSpPr>
        <xdr:cNvPr id="25" name="Rectangle 9">
          <a:hlinkClick xmlns:r="http://schemas.openxmlformats.org/officeDocument/2006/relationships" r:id="rId5" tooltip="Naar invoer installaties en berekening variant 3."/>
          <a:extLst>
            <a:ext uri="{FF2B5EF4-FFF2-40B4-BE49-F238E27FC236}">
              <a16:creationId xmlns:a16="http://schemas.microsoft.com/office/drawing/2014/main" id="{00000000-0008-0000-0200-000019000000}"/>
            </a:ext>
          </a:extLst>
        </xdr:cNvPr>
        <xdr:cNvSpPr>
          <a:spLocks noChangeArrowheads="1"/>
        </xdr:cNvSpPr>
      </xdr:nvSpPr>
      <xdr:spPr bwMode="auto">
        <a:xfrm>
          <a:off x="2889925" y="1304925"/>
          <a:ext cx="432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absolute">
    <xdr:from>
      <xdr:col>5</xdr:col>
      <xdr:colOff>665271</xdr:colOff>
      <xdr:row>6</xdr:row>
      <xdr:rowOff>19685</xdr:rowOff>
    </xdr:from>
    <xdr:to>
      <xdr:col>5</xdr:col>
      <xdr:colOff>1102193</xdr:colOff>
      <xdr:row>6</xdr:row>
      <xdr:rowOff>226575</xdr:rowOff>
    </xdr:to>
    <xdr:sp macro="" textlink="">
      <xdr:nvSpPr>
        <xdr:cNvPr id="26" name="Rectangle 10">
          <a:hlinkClick xmlns:r="http://schemas.openxmlformats.org/officeDocument/2006/relationships" r:id="rId6" tooltip="Naar invoer installaties en berekening variant 4."/>
          <a:extLst>
            <a:ext uri="{FF2B5EF4-FFF2-40B4-BE49-F238E27FC236}">
              <a16:creationId xmlns:a16="http://schemas.microsoft.com/office/drawing/2014/main" id="{00000000-0008-0000-0200-00001A000000}"/>
            </a:ext>
          </a:extLst>
        </xdr:cNvPr>
        <xdr:cNvSpPr>
          <a:spLocks noChangeArrowheads="1"/>
        </xdr:cNvSpPr>
      </xdr:nvSpPr>
      <xdr:spPr bwMode="auto">
        <a:xfrm>
          <a:off x="3353861" y="1304925"/>
          <a:ext cx="434382"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absolute">
    <xdr:from>
      <xdr:col>5</xdr:col>
      <xdr:colOff>1125726</xdr:colOff>
      <xdr:row>6</xdr:row>
      <xdr:rowOff>19685</xdr:rowOff>
    </xdr:from>
    <xdr:to>
      <xdr:col>5</xdr:col>
      <xdr:colOff>1562806</xdr:colOff>
      <xdr:row>6</xdr:row>
      <xdr:rowOff>226575</xdr:rowOff>
    </xdr:to>
    <xdr:sp macro="" textlink="">
      <xdr:nvSpPr>
        <xdr:cNvPr id="27" name="Rectangle 11">
          <a:hlinkClick xmlns:r="http://schemas.openxmlformats.org/officeDocument/2006/relationships" r:id="rId7" tooltip="Naar invoer installaties en berekening variant 5."/>
          <a:extLst>
            <a:ext uri="{FF2B5EF4-FFF2-40B4-BE49-F238E27FC236}">
              <a16:creationId xmlns:a16="http://schemas.microsoft.com/office/drawing/2014/main" id="{00000000-0008-0000-0200-00001B000000}"/>
            </a:ext>
          </a:extLst>
        </xdr:cNvPr>
        <xdr:cNvSpPr>
          <a:spLocks noChangeArrowheads="1"/>
        </xdr:cNvSpPr>
      </xdr:nvSpPr>
      <xdr:spPr bwMode="auto">
        <a:xfrm>
          <a:off x="3816856" y="1304925"/>
          <a:ext cx="432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absolute">
    <xdr:from>
      <xdr:col>5</xdr:col>
      <xdr:colOff>1582373</xdr:colOff>
      <xdr:row>6</xdr:row>
      <xdr:rowOff>19685</xdr:rowOff>
    </xdr:from>
    <xdr:to>
      <xdr:col>5</xdr:col>
      <xdr:colOff>2035963</xdr:colOff>
      <xdr:row>6</xdr:row>
      <xdr:rowOff>226575</xdr:rowOff>
    </xdr:to>
    <xdr:sp macro="" textlink="">
      <xdr:nvSpPr>
        <xdr:cNvPr id="28" name="Rectangle 7">
          <a:hlinkClick xmlns:r="http://schemas.openxmlformats.org/officeDocument/2006/relationships" r:id="rId8" tooltip="Naar invoer installaties en berekening variant 6."/>
          <a:extLst>
            <a:ext uri="{FF2B5EF4-FFF2-40B4-BE49-F238E27FC236}">
              <a16:creationId xmlns:a16="http://schemas.microsoft.com/office/drawing/2014/main" id="{00000000-0008-0000-0200-00001C000000}"/>
            </a:ext>
          </a:extLst>
        </xdr:cNvPr>
        <xdr:cNvSpPr>
          <a:spLocks noChangeArrowheads="1"/>
        </xdr:cNvSpPr>
      </xdr:nvSpPr>
      <xdr:spPr bwMode="auto">
        <a:xfrm>
          <a:off x="4281123" y="1304925"/>
          <a:ext cx="432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absolute">
    <xdr:from>
      <xdr:col>5</xdr:col>
      <xdr:colOff>2060784</xdr:colOff>
      <xdr:row>6</xdr:row>
      <xdr:rowOff>19685</xdr:rowOff>
    </xdr:from>
    <xdr:to>
      <xdr:col>6</xdr:col>
      <xdr:colOff>626839</xdr:colOff>
      <xdr:row>6</xdr:row>
      <xdr:rowOff>226575</xdr:rowOff>
    </xdr:to>
    <xdr:sp macro="" textlink="">
      <xdr:nvSpPr>
        <xdr:cNvPr id="29" name="Rectangle 5">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00000000-0008-0000-0200-00001D000000}"/>
            </a:ext>
          </a:extLst>
        </xdr:cNvPr>
        <xdr:cNvSpPr>
          <a:spLocks noChangeArrowheads="1"/>
        </xdr:cNvSpPr>
      </xdr:nvSpPr>
      <xdr:spPr bwMode="auto">
        <a:xfrm>
          <a:off x="4746834" y="1304925"/>
          <a:ext cx="66600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absolute">
    <xdr:from>
      <xdr:col>6</xdr:col>
      <xdr:colOff>645663</xdr:colOff>
      <xdr:row>6</xdr:row>
      <xdr:rowOff>19685</xdr:rowOff>
    </xdr:from>
    <xdr:to>
      <xdr:col>7</xdr:col>
      <xdr:colOff>1178</xdr:colOff>
      <xdr:row>6</xdr:row>
      <xdr:rowOff>226575</xdr:rowOff>
    </xdr:to>
    <xdr:sp macro="" textlink="">
      <xdr:nvSpPr>
        <xdr:cNvPr id="30" name="Rectangle 6">
          <a:hlinkClick xmlns:r="http://schemas.openxmlformats.org/officeDocument/2006/relationships" r:id="rId10" tooltip="Naar de bibilotheek met gegevens van gebouwen en installaties."/>
          <a:extLst>
            <a:ext uri="{FF2B5EF4-FFF2-40B4-BE49-F238E27FC236}">
              <a16:creationId xmlns:a16="http://schemas.microsoft.com/office/drawing/2014/main" id="{00000000-0008-0000-0200-00001E000000}"/>
            </a:ext>
          </a:extLst>
        </xdr:cNvPr>
        <xdr:cNvSpPr>
          <a:spLocks noChangeArrowheads="1"/>
        </xdr:cNvSpPr>
      </xdr:nvSpPr>
      <xdr:spPr bwMode="auto">
        <a:xfrm>
          <a:off x="5436738" y="1304925"/>
          <a:ext cx="736640" cy="1980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635">
          <a:solidFill>
            <a:schemeClr val="bg1">
              <a:lumMod val="6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3">
                  <a:lumMod val="50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9295</xdr:colOff>
      <xdr:row>7</xdr:row>
      <xdr:rowOff>18624</xdr:rowOff>
    </xdr:from>
    <xdr:to>
      <xdr:col>4</xdr:col>
      <xdr:colOff>209015</xdr:colOff>
      <xdr:row>7</xdr:row>
      <xdr:rowOff>224879</xdr:rowOff>
    </xdr:to>
    <xdr:sp macro="" textlink="">
      <xdr:nvSpPr>
        <xdr:cNvPr id="11" name="Handleiding">
          <a:hlinkClick xmlns:r="http://schemas.openxmlformats.org/officeDocument/2006/relationships" r:id="rId1" tooltip="Naar de handleiding"/>
          <a:extLst>
            <a:ext uri="{FF2B5EF4-FFF2-40B4-BE49-F238E27FC236}">
              <a16:creationId xmlns:a16="http://schemas.microsoft.com/office/drawing/2014/main" id="{00000000-0008-0000-0300-00000B000000}"/>
            </a:ext>
          </a:extLst>
        </xdr:cNvPr>
        <xdr:cNvSpPr>
          <a:spLocks noChangeArrowheads="1"/>
        </xdr:cNvSpPr>
      </xdr:nvSpPr>
      <xdr:spPr bwMode="auto">
        <a:xfrm>
          <a:off x="3614141" y="1703816"/>
          <a:ext cx="199720" cy="206255"/>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oneCell">
    <xdr:from>
      <xdr:col>4</xdr:col>
      <xdr:colOff>246554</xdr:colOff>
      <xdr:row>7</xdr:row>
      <xdr:rowOff>18449</xdr:rowOff>
    </xdr:from>
    <xdr:to>
      <xdr:col>4</xdr:col>
      <xdr:colOff>1352394</xdr:colOff>
      <xdr:row>7</xdr:row>
      <xdr:rowOff>227459</xdr:rowOff>
    </xdr:to>
    <xdr:sp macro="" textlink="">
      <xdr:nvSpPr>
        <xdr:cNvPr id="12" name="Woning_Utiliteit">
          <a:hlinkClick xmlns:r="http://schemas.openxmlformats.org/officeDocument/2006/relationships" r:id="rId2" tooltip="Naar de invoer van de woningen en utiliteitsgebouwen in het gebied."/>
          <a:extLst>
            <a:ext uri="{FF2B5EF4-FFF2-40B4-BE49-F238E27FC236}">
              <a16:creationId xmlns:a16="http://schemas.microsoft.com/office/drawing/2014/main" id="{00000000-0008-0000-0300-00000C000000}"/>
            </a:ext>
          </a:extLst>
        </xdr:cNvPr>
        <xdr:cNvSpPr>
          <a:spLocks noChangeArrowheads="1"/>
        </xdr:cNvSpPr>
      </xdr:nvSpPr>
      <xdr:spPr bwMode="auto">
        <a:xfrm>
          <a:off x="3851400" y="1703641"/>
          <a:ext cx="11058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oneCell">
    <xdr:from>
      <xdr:col>4</xdr:col>
      <xdr:colOff>1389856</xdr:colOff>
      <xdr:row>7</xdr:row>
      <xdr:rowOff>18449</xdr:rowOff>
    </xdr:from>
    <xdr:to>
      <xdr:col>5</xdr:col>
      <xdr:colOff>18456</xdr:colOff>
      <xdr:row>7</xdr:row>
      <xdr:rowOff>227459</xdr:rowOff>
    </xdr:to>
    <xdr:sp macro="" textlink="">
      <xdr:nvSpPr>
        <xdr:cNvPr id="13" name="Variant 1">
          <a:hlinkClick xmlns:r="http://schemas.openxmlformats.org/officeDocument/2006/relationships" r:id="rId3" tooltip="Naar invoer installaties en berekening variant 1"/>
          <a:extLst>
            <a:ext uri="{FF2B5EF4-FFF2-40B4-BE49-F238E27FC236}">
              <a16:creationId xmlns:a16="http://schemas.microsoft.com/office/drawing/2014/main" id="{00000000-0008-0000-0300-00000D000000}"/>
            </a:ext>
          </a:extLst>
        </xdr:cNvPr>
        <xdr:cNvSpPr>
          <a:spLocks noChangeArrowheads="1"/>
        </xdr:cNvSpPr>
      </xdr:nvSpPr>
      <xdr:spPr bwMode="auto">
        <a:xfrm>
          <a:off x="4994702" y="1703641"/>
          <a:ext cx="460332" cy="209010"/>
        </a:xfrm>
        <a:prstGeom prst="rect">
          <a:avLst/>
        </a:prstGeom>
        <a:gradFill>
          <a:gsLst>
            <a:gs pos="84000">
              <a:schemeClr val="accent1">
                <a:lumMod val="40000"/>
                <a:lumOff val="60000"/>
              </a:schemeClr>
            </a:gs>
            <a:gs pos="99000">
              <a:schemeClr val="accent1"/>
            </a:gs>
            <a:gs pos="16000">
              <a:schemeClr val="accent1">
                <a:lumMod val="20000"/>
                <a:lumOff val="80000"/>
              </a:schemeClr>
            </a:gs>
            <a:gs pos="0">
              <a:schemeClr val="bg1"/>
            </a:gs>
          </a:gsLst>
          <a:lin ang="5400000" scaled="1"/>
        </a:gradFill>
        <a:ln w="3175">
          <a:solidFill>
            <a:schemeClr val="bg1">
              <a:lumMod val="75000"/>
            </a:schemeClr>
          </a:solidFill>
        </a:ln>
        <a:effectLst>
          <a:outerShdw blurRad="50800" dist="38100" dir="5400000" algn="t" rotWithShape="0">
            <a:schemeClr val="accent1">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oneCell">
    <xdr:from>
      <xdr:col>5</xdr:col>
      <xdr:colOff>48841</xdr:colOff>
      <xdr:row>7</xdr:row>
      <xdr:rowOff>22259</xdr:rowOff>
    </xdr:from>
    <xdr:to>
      <xdr:col>5</xdr:col>
      <xdr:colOff>478474</xdr:colOff>
      <xdr:row>7</xdr:row>
      <xdr:rowOff>227459</xdr:rowOff>
    </xdr:to>
    <xdr:sp macro="" textlink="">
      <xdr:nvSpPr>
        <xdr:cNvPr id="14" name="Variant 2">
          <a:hlinkClick xmlns:r="http://schemas.openxmlformats.org/officeDocument/2006/relationships" r:id="rId4" tooltip="Naar invoer installaties en berekening variant 2."/>
          <a:extLst>
            <a:ext uri="{FF2B5EF4-FFF2-40B4-BE49-F238E27FC236}">
              <a16:creationId xmlns:a16="http://schemas.microsoft.com/office/drawing/2014/main" id="{00000000-0008-0000-0300-00000E000000}"/>
            </a:ext>
          </a:extLst>
        </xdr:cNvPr>
        <xdr:cNvSpPr>
          <a:spLocks noChangeArrowheads="1"/>
        </xdr:cNvSpPr>
      </xdr:nvSpPr>
      <xdr:spPr bwMode="auto">
        <a:xfrm>
          <a:off x="5485418" y="1707451"/>
          <a:ext cx="435348"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oneCell">
    <xdr:from>
      <xdr:col>5</xdr:col>
      <xdr:colOff>514390</xdr:colOff>
      <xdr:row>7</xdr:row>
      <xdr:rowOff>18449</xdr:rowOff>
    </xdr:from>
    <xdr:to>
      <xdr:col>5</xdr:col>
      <xdr:colOff>987030</xdr:colOff>
      <xdr:row>7</xdr:row>
      <xdr:rowOff>227459</xdr:rowOff>
    </xdr:to>
    <xdr:sp macro="" textlink="">
      <xdr:nvSpPr>
        <xdr:cNvPr id="15" name="Variant 3">
          <a:hlinkClick xmlns:r="http://schemas.openxmlformats.org/officeDocument/2006/relationships" r:id="rId5" tooltip="Naar invoer installaties en berekening variant 3."/>
          <a:extLst>
            <a:ext uri="{FF2B5EF4-FFF2-40B4-BE49-F238E27FC236}">
              <a16:creationId xmlns:a16="http://schemas.microsoft.com/office/drawing/2014/main" id="{00000000-0008-0000-0300-00000F000000}"/>
            </a:ext>
          </a:extLst>
        </xdr:cNvPr>
        <xdr:cNvSpPr>
          <a:spLocks noChangeArrowheads="1"/>
        </xdr:cNvSpPr>
      </xdr:nvSpPr>
      <xdr:spPr bwMode="auto">
        <a:xfrm>
          <a:off x="5950967" y="1703641"/>
          <a:ext cx="4726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oneCell">
    <xdr:from>
      <xdr:col>5</xdr:col>
      <xdr:colOff>1017452</xdr:colOff>
      <xdr:row>7</xdr:row>
      <xdr:rowOff>22259</xdr:rowOff>
    </xdr:from>
    <xdr:to>
      <xdr:col>6</xdr:col>
      <xdr:colOff>285974</xdr:colOff>
      <xdr:row>7</xdr:row>
      <xdr:rowOff>227459</xdr:rowOff>
    </xdr:to>
    <xdr:sp macro="" textlink="">
      <xdr:nvSpPr>
        <xdr:cNvPr id="16" name="Variant 4">
          <a:hlinkClick xmlns:r="http://schemas.openxmlformats.org/officeDocument/2006/relationships" r:id="rId6" tooltip="Naar invoer installaties en berekening variant 4."/>
          <a:extLst>
            <a:ext uri="{FF2B5EF4-FFF2-40B4-BE49-F238E27FC236}">
              <a16:creationId xmlns:a16="http://schemas.microsoft.com/office/drawing/2014/main" id="{00000000-0008-0000-0300-000010000000}"/>
            </a:ext>
          </a:extLst>
        </xdr:cNvPr>
        <xdr:cNvSpPr>
          <a:spLocks noChangeArrowheads="1"/>
        </xdr:cNvSpPr>
      </xdr:nvSpPr>
      <xdr:spPr bwMode="auto">
        <a:xfrm>
          <a:off x="6454029" y="1707451"/>
          <a:ext cx="462223"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oneCell">
    <xdr:from>
      <xdr:col>6</xdr:col>
      <xdr:colOff>299054</xdr:colOff>
      <xdr:row>7</xdr:row>
      <xdr:rowOff>18449</xdr:rowOff>
    </xdr:from>
    <xdr:to>
      <xdr:col>6</xdr:col>
      <xdr:colOff>741849</xdr:colOff>
      <xdr:row>7</xdr:row>
      <xdr:rowOff>227459</xdr:rowOff>
    </xdr:to>
    <xdr:sp macro="" textlink="">
      <xdr:nvSpPr>
        <xdr:cNvPr id="17" name="Variant 5">
          <a:hlinkClick xmlns:r="http://schemas.openxmlformats.org/officeDocument/2006/relationships" r:id="rId7" tooltip="Naar invoer installaties en berekening variant 5."/>
          <a:extLst>
            <a:ext uri="{FF2B5EF4-FFF2-40B4-BE49-F238E27FC236}">
              <a16:creationId xmlns:a16="http://schemas.microsoft.com/office/drawing/2014/main" id="{00000000-0008-0000-0300-000011000000}"/>
            </a:ext>
          </a:extLst>
        </xdr:cNvPr>
        <xdr:cNvSpPr>
          <a:spLocks noChangeArrowheads="1"/>
        </xdr:cNvSpPr>
      </xdr:nvSpPr>
      <xdr:spPr bwMode="auto">
        <a:xfrm>
          <a:off x="6944573" y="1703641"/>
          <a:ext cx="45422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oneCell">
    <xdr:from>
      <xdr:col>6</xdr:col>
      <xdr:colOff>779880</xdr:colOff>
      <xdr:row>7</xdr:row>
      <xdr:rowOff>18449</xdr:rowOff>
    </xdr:from>
    <xdr:to>
      <xdr:col>7</xdr:col>
      <xdr:colOff>396</xdr:colOff>
      <xdr:row>7</xdr:row>
      <xdr:rowOff>227459</xdr:rowOff>
    </xdr:to>
    <xdr:sp macro="" textlink="">
      <xdr:nvSpPr>
        <xdr:cNvPr id="18" name="Variant 6">
          <a:hlinkClick xmlns:r="http://schemas.openxmlformats.org/officeDocument/2006/relationships" r:id="rId8" tooltip="Naar invoer installaties en berekening variant 6."/>
          <a:extLst>
            <a:ext uri="{FF2B5EF4-FFF2-40B4-BE49-F238E27FC236}">
              <a16:creationId xmlns:a16="http://schemas.microsoft.com/office/drawing/2014/main" id="{00000000-0008-0000-0300-000012000000}"/>
            </a:ext>
          </a:extLst>
        </xdr:cNvPr>
        <xdr:cNvSpPr>
          <a:spLocks noChangeArrowheads="1"/>
        </xdr:cNvSpPr>
      </xdr:nvSpPr>
      <xdr:spPr bwMode="auto">
        <a:xfrm>
          <a:off x="7425399" y="1703641"/>
          <a:ext cx="42946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oneCell">
    <xdr:from>
      <xdr:col>7</xdr:col>
      <xdr:colOff>16719</xdr:colOff>
      <xdr:row>7</xdr:row>
      <xdr:rowOff>18449</xdr:rowOff>
    </xdr:from>
    <xdr:to>
      <xdr:col>7</xdr:col>
      <xdr:colOff>688434</xdr:colOff>
      <xdr:row>7</xdr:row>
      <xdr:rowOff>227459</xdr:rowOff>
    </xdr:to>
    <xdr:sp macro="" textlink="">
      <xdr:nvSpPr>
        <xdr:cNvPr id="19" name="Resultaten">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00000000-0008-0000-0300-000013000000}"/>
            </a:ext>
          </a:extLst>
        </xdr:cNvPr>
        <xdr:cNvSpPr>
          <a:spLocks noChangeArrowheads="1"/>
        </xdr:cNvSpPr>
      </xdr:nvSpPr>
      <xdr:spPr bwMode="auto">
        <a:xfrm>
          <a:off x="7871181" y="1703641"/>
          <a:ext cx="67171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oneCell">
    <xdr:from>
      <xdr:col>7</xdr:col>
      <xdr:colOff>701543</xdr:colOff>
      <xdr:row>7</xdr:row>
      <xdr:rowOff>18449</xdr:rowOff>
    </xdr:from>
    <xdr:to>
      <xdr:col>7</xdr:col>
      <xdr:colOff>1488983</xdr:colOff>
      <xdr:row>7</xdr:row>
      <xdr:rowOff>227459</xdr:rowOff>
    </xdr:to>
    <xdr:sp macro="" textlink="">
      <xdr:nvSpPr>
        <xdr:cNvPr id="29" name="Bibliotheek">
          <a:hlinkClick xmlns:r="http://schemas.openxmlformats.org/officeDocument/2006/relationships" r:id="rId10" tooltip="Naar de bibilotheek met gegevens van gebouwen en installaties."/>
          <a:extLst>
            <a:ext uri="{FF2B5EF4-FFF2-40B4-BE49-F238E27FC236}">
              <a16:creationId xmlns:a16="http://schemas.microsoft.com/office/drawing/2014/main" id="{00000000-0008-0000-0300-00001D000000}"/>
            </a:ext>
          </a:extLst>
        </xdr:cNvPr>
        <xdr:cNvSpPr>
          <a:spLocks noChangeArrowheads="1"/>
        </xdr:cNvSpPr>
      </xdr:nvSpPr>
      <xdr:spPr bwMode="auto">
        <a:xfrm>
          <a:off x="8556005" y="1703641"/>
          <a:ext cx="78890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9295</xdr:colOff>
      <xdr:row>7</xdr:row>
      <xdr:rowOff>18624</xdr:rowOff>
    </xdr:from>
    <xdr:to>
      <xdr:col>4</xdr:col>
      <xdr:colOff>209015</xdr:colOff>
      <xdr:row>7</xdr:row>
      <xdr:rowOff>224879</xdr:rowOff>
    </xdr:to>
    <xdr:sp macro="" textlink="">
      <xdr:nvSpPr>
        <xdr:cNvPr id="2" name="Handleiding">
          <a:hlinkClick xmlns:r="http://schemas.openxmlformats.org/officeDocument/2006/relationships" r:id="rId1" tooltip="Naar de handleiding"/>
          <a:extLst>
            <a:ext uri="{FF2B5EF4-FFF2-40B4-BE49-F238E27FC236}">
              <a16:creationId xmlns:a16="http://schemas.microsoft.com/office/drawing/2014/main" id="{F2D86835-2C31-41CD-AAC7-7D9D5AE63E8B}"/>
            </a:ext>
          </a:extLst>
        </xdr:cNvPr>
        <xdr:cNvSpPr>
          <a:spLocks noChangeArrowheads="1"/>
        </xdr:cNvSpPr>
      </xdr:nvSpPr>
      <xdr:spPr bwMode="auto">
        <a:xfrm>
          <a:off x="590320" y="1714074"/>
          <a:ext cx="199720" cy="206255"/>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oneCell">
    <xdr:from>
      <xdr:col>4</xdr:col>
      <xdr:colOff>246554</xdr:colOff>
      <xdr:row>7</xdr:row>
      <xdr:rowOff>18449</xdr:rowOff>
    </xdr:from>
    <xdr:to>
      <xdr:col>4</xdr:col>
      <xdr:colOff>1352394</xdr:colOff>
      <xdr:row>7</xdr:row>
      <xdr:rowOff>227459</xdr:rowOff>
    </xdr:to>
    <xdr:sp macro="" textlink="">
      <xdr:nvSpPr>
        <xdr:cNvPr id="3" name="Woning_Utiliteit">
          <a:hlinkClick xmlns:r="http://schemas.openxmlformats.org/officeDocument/2006/relationships" r:id="rId2" tooltip="Naar de invoer van de woningen en utiliteitsgebouwen in het gebied."/>
          <a:extLst>
            <a:ext uri="{FF2B5EF4-FFF2-40B4-BE49-F238E27FC236}">
              <a16:creationId xmlns:a16="http://schemas.microsoft.com/office/drawing/2014/main" id="{F52C2983-6DCE-4C6C-835D-7E19C4574CD6}"/>
            </a:ext>
          </a:extLst>
        </xdr:cNvPr>
        <xdr:cNvSpPr>
          <a:spLocks noChangeArrowheads="1"/>
        </xdr:cNvSpPr>
      </xdr:nvSpPr>
      <xdr:spPr bwMode="auto">
        <a:xfrm>
          <a:off x="827579" y="1713899"/>
          <a:ext cx="11058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oneCell">
    <xdr:from>
      <xdr:col>4</xdr:col>
      <xdr:colOff>1389856</xdr:colOff>
      <xdr:row>7</xdr:row>
      <xdr:rowOff>18449</xdr:rowOff>
    </xdr:from>
    <xdr:to>
      <xdr:col>5</xdr:col>
      <xdr:colOff>18456</xdr:colOff>
      <xdr:row>7</xdr:row>
      <xdr:rowOff>227459</xdr:rowOff>
    </xdr:to>
    <xdr:sp macro="" textlink="">
      <xdr:nvSpPr>
        <xdr:cNvPr id="4" name="Variant 1">
          <a:hlinkClick xmlns:r="http://schemas.openxmlformats.org/officeDocument/2006/relationships" r:id="rId3" tooltip="Naar invoer installaties en berekening variant 1"/>
          <a:extLst>
            <a:ext uri="{FF2B5EF4-FFF2-40B4-BE49-F238E27FC236}">
              <a16:creationId xmlns:a16="http://schemas.microsoft.com/office/drawing/2014/main" id="{7C02D4E7-37F5-4B96-8C29-4D50B4AD9F79}"/>
            </a:ext>
          </a:extLst>
        </xdr:cNvPr>
        <xdr:cNvSpPr>
          <a:spLocks noChangeArrowheads="1"/>
        </xdr:cNvSpPr>
      </xdr:nvSpPr>
      <xdr:spPr bwMode="auto">
        <a:xfrm>
          <a:off x="1970881" y="1713899"/>
          <a:ext cx="40977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oneCell">
    <xdr:from>
      <xdr:col>5</xdr:col>
      <xdr:colOff>48841</xdr:colOff>
      <xdr:row>7</xdr:row>
      <xdr:rowOff>22259</xdr:rowOff>
    </xdr:from>
    <xdr:to>
      <xdr:col>5</xdr:col>
      <xdr:colOff>478474</xdr:colOff>
      <xdr:row>7</xdr:row>
      <xdr:rowOff>227459</xdr:rowOff>
    </xdr:to>
    <xdr:sp macro="" textlink="">
      <xdr:nvSpPr>
        <xdr:cNvPr id="5" name="Variant 2">
          <a:hlinkClick xmlns:r="http://schemas.openxmlformats.org/officeDocument/2006/relationships" r:id="rId4" tooltip="Naar invoer installaties en berekening variant 2."/>
          <a:extLst>
            <a:ext uri="{FF2B5EF4-FFF2-40B4-BE49-F238E27FC236}">
              <a16:creationId xmlns:a16="http://schemas.microsoft.com/office/drawing/2014/main" id="{1A6A27D8-056E-4452-A1D9-53DA72283028}"/>
            </a:ext>
          </a:extLst>
        </xdr:cNvPr>
        <xdr:cNvSpPr>
          <a:spLocks noChangeArrowheads="1"/>
        </xdr:cNvSpPr>
      </xdr:nvSpPr>
      <xdr:spPr bwMode="auto">
        <a:xfrm>
          <a:off x="2411041" y="1717709"/>
          <a:ext cx="429633" cy="205200"/>
        </a:xfrm>
        <a:prstGeom prst="rect">
          <a:avLst/>
        </a:prstGeom>
        <a:gradFill>
          <a:gsLst>
            <a:gs pos="84000">
              <a:schemeClr val="accent1">
                <a:lumMod val="40000"/>
                <a:lumOff val="60000"/>
              </a:schemeClr>
            </a:gs>
            <a:gs pos="99000">
              <a:schemeClr val="accent1"/>
            </a:gs>
            <a:gs pos="16000">
              <a:schemeClr val="accent1">
                <a:lumMod val="20000"/>
                <a:lumOff val="80000"/>
              </a:schemeClr>
            </a:gs>
            <a:gs pos="0">
              <a:schemeClr val="bg1"/>
            </a:gs>
          </a:gsLst>
          <a:lin ang="5400000" scaled="1"/>
        </a:gradFill>
        <a:ln w="3175">
          <a:solidFill>
            <a:schemeClr val="bg1">
              <a:lumMod val="75000"/>
            </a:schemeClr>
          </a:solidFill>
        </a:ln>
        <a:effectLst>
          <a:outerShdw blurRad="50800" dist="38100" dir="5400000" algn="t" rotWithShape="0">
            <a:schemeClr val="accent1">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oneCell">
    <xdr:from>
      <xdr:col>5</xdr:col>
      <xdr:colOff>514390</xdr:colOff>
      <xdr:row>7</xdr:row>
      <xdr:rowOff>18449</xdr:rowOff>
    </xdr:from>
    <xdr:to>
      <xdr:col>5</xdr:col>
      <xdr:colOff>987030</xdr:colOff>
      <xdr:row>7</xdr:row>
      <xdr:rowOff>227459</xdr:rowOff>
    </xdr:to>
    <xdr:sp macro="" textlink="">
      <xdr:nvSpPr>
        <xdr:cNvPr id="6" name="Variant 3">
          <a:hlinkClick xmlns:r="http://schemas.openxmlformats.org/officeDocument/2006/relationships" r:id="rId5" tooltip="Naar invoer installaties en berekening variant 3."/>
          <a:extLst>
            <a:ext uri="{FF2B5EF4-FFF2-40B4-BE49-F238E27FC236}">
              <a16:creationId xmlns:a16="http://schemas.microsoft.com/office/drawing/2014/main" id="{7398C8DD-0B5D-43B0-9CED-7117B7504AAA}"/>
            </a:ext>
          </a:extLst>
        </xdr:cNvPr>
        <xdr:cNvSpPr>
          <a:spLocks noChangeArrowheads="1"/>
        </xdr:cNvSpPr>
      </xdr:nvSpPr>
      <xdr:spPr bwMode="auto">
        <a:xfrm>
          <a:off x="2876590" y="1713899"/>
          <a:ext cx="4726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oneCell">
    <xdr:from>
      <xdr:col>5</xdr:col>
      <xdr:colOff>1017452</xdr:colOff>
      <xdr:row>7</xdr:row>
      <xdr:rowOff>22259</xdr:rowOff>
    </xdr:from>
    <xdr:to>
      <xdr:col>6</xdr:col>
      <xdr:colOff>285974</xdr:colOff>
      <xdr:row>7</xdr:row>
      <xdr:rowOff>227459</xdr:rowOff>
    </xdr:to>
    <xdr:sp macro="" textlink="">
      <xdr:nvSpPr>
        <xdr:cNvPr id="7" name="Variant 4">
          <a:hlinkClick xmlns:r="http://schemas.openxmlformats.org/officeDocument/2006/relationships" r:id="rId6" tooltip="Naar invoer installaties en berekening variant 4."/>
          <a:extLst>
            <a:ext uri="{FF2B5EF4-FFF2-40B4-BE49-F238E27FC236}">
              <a16:creationId xmlns:a16="http://schemas.microsoft.com/office/drawing/2014/main" id="{C1A54D1B-F89B-4C68-84DE-54065FADDE2B}"/>
            </a:ext>
          </a:extLst>
        </xdr:cNvPr>
        <xdr:cNvSpPr>
          <a:spLocks noChangeArrowheads="1"/>
        </xdr:cNvSpPr>
      </xdr:nvSpPr>
      <xdr:spPr bwMode="auto">
        <a:xfrm>
          <a:off x="3379652" y="1717709"/>
          <a:ext cx="449622"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oneCell">
    <xdr:from>
      <xdr:col>6</xdr:col>
      <xdr:colOff>299054</xdr:colOff>
      <xdr:row>7</xdr:row>
      <xdr:rowOff>18449</xdr:rowOff>
    </xdr:from>
    <xdr:to>
      <xdr:col>6</xdr:col>
      <xdr:colOff>741849</xdr:colOff>
      <xdr:row>7</xdr:row>
      <xdr:rowOff>227459</xdr:rowOff>
    </xdr:to>
    <xdr:sp macro="" textlink="">
      <xdr:nvSpPr>
        <xdr:cNvPr id="8" name="Variant 5">
          <a:hlinkClick xmlns:r="http://schemas.openxmlformats.org/officeDocument/2006/relationships" r:id="rId7" tooltip="Naar invoer installaties en berekening variant 5."/>
          <a:extLst>
            <a:ext uri="{FF2B5EF4-FFF2-40B4-BE49-F238E27FC236}">
              <a16:creationId xmlns:a16="http://schemas.microsoft.com/office/drawing/2014/main" id="{0DA67341-30B8-4464-921F-B08E9C21CDDB}"/>
            </a:ext>
          </a:extLst>
        </xdr:cNvPr>
        <xdr:cNvSpPr>
          <a:spLocks noChangeArrowheads="1"/>
        </xdr:cNvSpPr>
      </xdr:nvSpPr>
      <xdr:spPr bwMode="auto">
        <a:xfrm>
          <a:off x="3842354" y="1713899"/>
          <a:ext cx="44279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oneCell">
    <xdr:from>
      <xdr:col>6</xdr:col>
      <xdr:colOff>779880</xdr:colOff>
      <xdr:row>7</xdr:row>
      <xdr:rowOff>18449</xdr:rowOff>
    </xdr:from>
    <xdr:to>
      <xdr:col>7</xdr:col>
      <xdr:colOff>396</xdr:colOff>
      <xdr:row>7</xdr:row>
      <xdr:rowOff>227459</xdr:rowOff>
    </xdr:to>
    <xdr:sp macro="" textlink="">
      <xdr:nvSpPr>
        <xdr:cNvPr id="9" name="Variant 6">
          <a:hlinkClick xmlns:r="http://schemas.openxmlformats.org/officeDocument/2006/relationships" r:id="rId8" tooltip="Naar invoer installaties en berekening variant 6."/>
          <a:extLst>
            <a:ext uri="{FF2B5EF4-FFF2-40B4-BE49-F238E27FC236}">
              <a16:creationId xmlns:a16="http://schemas.microsoft.com/office/drawing/2014/main" id="{C285736E-D178-4768-9E43-E29D98B86DDA}"/>
            </a:ext>
          </a:extLst>
        </xdr:cNvPr>
        <xdr:cNvSpPr>
          <a:spLocks noChangeArrowheads="1"/>
        </xdr:cNvSpPr>
      </xdr:nvSpPr>
      <xdr:spPr bwMode="auto">
        <a:xfrm>
          <a:off x="4323180" y="1713899"/>
          <a:ext cx="401616"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oneCell">
    <xdr:from>
      <xdr:col>7</xdr:col>
      <xdr:colOff>16719</xdr:colOff>
      <xdr:row>7</xdr:row>
      <xdr:rowOff>18449</xdr:rowOff>
    </xdr:from>
    <xdr:to>
      <xdr:col>7</xdr:col>
      <xdr:colOff>688434</xdr:colOff>
      <xdr:row>7</xdr:row>
      <xdr:rowOff>227459</xdr:rowOff>
    </xdr:to>
    <xdr:sp macro="" textlink="">
      <xdr:nvSpPr>
        <xdr:cNvPr id="10" name="Resultaten">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10752E8D-B2F4-4F5B-A381-6171DCAD04FC}"/>
            </a:ext>
          </a:extLst>
        </xdr:cNvPr>
        <xdr:cNvSpPr>
          <a:spLocks noChangeArrowheads="1"/>
        </xdr:cNvSpPr>
      </xdr:nvSpPr>
      <xdr:spPr bwMode="auto">
        <a:xfrm>
          <a:off x="4741119" y="1713899"/>
          <a:ext cx="67171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oneCell">
    <xdr:from>
      <xdr:col>7</xdr:col>
      <xdr:colOff>701543</xdr:colOff>
      <xdr:row>7</xdr:row>
      <xdr:rowOff>18449</xdr:rowOff>
    </xdr:from>
    <xdr:to>
      <xdr:col>7</xdr:col>
      <xdr:colOff>1488983</xdr:colOff>
      <xdr:row>7</xdr:row>
      <xdr:rowOff>227459</xdr:rowOff>
    </xdr:to>
    <xdr:sp macro="" textlink="">
      <xdr:nvSpPr>
        <xdr:cNvPr id="11" name="Bibliotheek">
          <a:hlinkClick xmlns:r="http://schemas.openxmlformats.org/officeDocument/2006/relationships" r:id="rId10" tooltip="Naar de bibilotheek met gegevens van gebouwen en installaties."/>
          <a:extLst>
            <a:ext uri="{FF2B5EF4-FFF2-40B4-BE49-F238E27FC236}">
              <a16:creationId xmlns:a16="http://schemas.microsoft.com/office/drawing/2014/main" id="{DE8627AC-5FA4-4C45-BC3D-F21791E57E99}"/>
            </a:ext>
          </a:extLst>
        </xdr:cNvPr>
        <xdr:cNvSpPr>
          <a:spLocks noChangeArrowheads="1"/>
        </xdr:cNvSpPr>
      </xdr:nvSpPr>
      <xdr:spPr bwMode="auto">
        <a:xfrm>
          <a:off x="5425943" y="1713899"/>
          <a:ext cx="7874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9295</xdr:colOff>
      <xdr:row>7</xdr:row>
      <xdr:rowOff>18624</xdr:rowOff>
    </xdr:from>
    <xdr:to>
      <xdr:col>4</xdr:col>
      <xdr:colOff>209015</xdr:colOff>
      <xdr:row>7</xdr:row>
      <xdr:rowOff>224879</xdr:rowOff>
    </xdr:to>
    <xdr:sp macro="" textlink="">
      <xdr:nvSpPr>
        <xdr:cNvPr id="2" name="Handleiding">
          <a:hlinkClick xmlns:r="http://schemas.openxmlformats.org/officeDocument/2006/relationships" r:id="rId1" tooltip="Naar de handleiding"/>
          <a:extLst>
            <a:ext uri="{FF2B5EF4-FFF2-40B4-BE49-F238E27FC236}">
              <a16:creationId xmlns:a16="http://schemas.microsoft.com/office/drawing/2014/main" id="{683EB274-DCA1-4BA1-8A7B-C73A4323DD6A}"/>
            </a:ext>
          </a:extLst>
        </xdr:cNvPr>
        <xdr:cNvSpPr>
          <a:spLocks noChangeArrowheads="1"/>
        </xdr:cNvSpPr>
      </xdr:nvSpPr>
      <xdr:spPr bwMode="auto">
        <a:xfrm>
          <a:off x="590320" y="1714074"/>
          <a:ext cx="199720" cy="206255"/>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oneCell">
    <xdr:from>
      <xdr:col>4</xdr:col>
      <xdr:colOff>246554</xdr:colOff>
      <xdr:row>7</xdr:row>
      <xdr:rowOff>18449</xdr:rowOff>
    </xdr:from>
    <xdr:to>
      <xdr:col>4</xdr:col>
      <xdr:colOff>1352394</xdr:colOff>
      <xdr:row>7</xdr:row>
      <xdr:rowOff>227459</xdr:rowOff>
    </xdr:to>
    <xdr:sp macro="" textlink="">
      <xdr:nvSpPr>
        <xdr:cNvPr id="3" name="Woning_Utiliteit">
          <a:hlinkClick xmlns:r="http://schemas.openxmlformats.org/officeDocument/2006/relationships" r:id="rId2" tooltip="Naar de invoer van de woningen en utiliteitsgebouwen in het gebied."/>
          <a:extLst>
            <a:ext uri="{FF2B5EF4-FFF2-40B4-BE49-F238E27FC236}">
              <a16:creationId xmlns:a16="http://schemas.microsoft.com/office/drawing/2014/main" id="{81299778-5E90-4E87-B4E9-BEAFB31159EF}"/>
            </a:ext>
          </a:extLst>
        </xdr:cNvPr>
        <xdr:cNvSpPr>
          <a:spLocks noChangeArrowheads="1"/>
        </xdr:cNvSpPr>
      </xdr:nvSpPr>
      <xdr:spPr bwMode="auto">
        <a:xfrm>
          <a:off x="827579" y="1713899"/>
          <a:ext cx="11058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oneCell">
    <xdr:from>
      <xdr:col>4</xdr:col>
      <xdr:colOff>1389856</xdr:colOff>
      <xdr:row>7</xdr:row>
      <xdr:rowOff>18449</xdr:rowOff>
    </xdr:from>
    <xdr:to>
      <xdr:col>5</xdr:col>
      <xdr:colOff>18456</xdr:colOff>
      <xdr:row>7</xdr:row>
      <xdr:rowOff>227459</xdr:rowOff>
    </xdr:to>
    <xdr:sp macro="" textlink="">
      <xdr:nvSpPr>
        <xdr:cNvPr id="4" name="Variant 1">
          <a:hlinkClick xmlns:r="http://schemas.openxmlformats.org/officeDocument/2006/relationships" r:id="rId3" tooltip="Naar invoer installaties en berekening variant 1"/>
          <a:extLst>
            <a:ext uri="{FF2B5EF4-FFF2-40B4-BE49-F238E27FC236}">
              <a16:creationId xmlns:a16="http://schemas.microsoft.com/office/drawing/2014/main" id="{F260225C-5929-420B-B289-1B7EBF34A6F8}"/>
            </a:ext>
          </a:extLst>
        </xdr:cNvPr>
        <xdr:cNvSpPr>
          <a:spLocks noChangeArrowheads="1"/>
        </xdr:cNvSpPr>
      </xdr:nvSpPr>
      <xdr:spPr bwMode="auto">
        <a:xfrm>
          <a:off x="1970881" y="1713899"/>
          <a:ext cx="40977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oneCell">
    <xdr:from>
      <xdr:col>5</xdr:col>
      <xdr:colOff>48841</xdr:colOff>
      <xdr:row>7</xdr:row>
      <xdr:rowOff>22259</xdr:rowOff>
    </xdr:from>
    <xdr:to>
      <xdr:col>5</xdr:col>
      <xdr:colOff>478474</xdr:colOff>
      <xdr:row>7</xdr:row>
      <xdr:rowOff>227459</xdr:rowOff>
    </xdr:to>
    <xdr:sp macro="" textlink="">
      <xdr:nvSpPr>
        <xdr:cNvPr id="5" name="Variant 2">
          <a:hlinkClick xmlns:r="http://schemas.openxmlformats.org/officeDocument/2006/relationships" r:id="rId4" tooltip="Naar invoer installaties en berekening variant 2."/>
          <a:extLst>
            <a:ext uri="{FF2B5EF4-FFF2-40B4-BE49-F238E27FC236}">
              <a16:creationId xmlns:a16="http://schemas.microsoft.com/office/drawing/2014/main" id="{A0D7C4E1-B1F5-4BF5-8E80-B345B3060786}"/>
            </a:ext>
          </a:extLst>
        </xdr:cNvPr>
        <xdr:cNvSpPr>
          <a:spLocks noChangeArrowheads="1"/>
        </xdr:cNvSpPr>
      </xdr:nvSpPr>
      <xdr:spPr bwMode="auto">
        <a:xfrm>
          <a:off x="2411041" y="1717709"/>
          <a:ext cx="429633"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oneCell">
    <xdr:from>
      <xdr:col>5</xdr:col>
      <xdr:colOff>514390</xdr:colOff>
      <xdr:row>7</xdr:row>
      <xdr:rowOff>18449</xdr:rowOff>
    </xdr:from>
    <xdr:to>
      <xdr:col>5</xdr:col>
      <xdr:colOff>987030</xdr:colOff>
      <xdr:row>7</xdr:row>
      <xdr:rowOff>227459</xdr:rowOff>
    </xdr:to>
    <xdr:sp macro="" textlink="">
      <xdr:nvSpPr>
        <xdr:cNvPr id="6" name="Variant 3">
          <a:hlinkClick xmlns:r="http://schemas.openxmlformats.org/officeDocument/2006/relationships" r:id="rId5" tooltip="Naar invoer installaties en berekening variant 3."/>
          <a:extLst>
            <a:ext uri="{FF2B5EF4-FFF2-40B4-BE49-F238E27FC236}">
              <a16:creationId xmlns:a16="http://schemas.microsoft.com/office/drawing/2014/main" id="{7717C7A5-E32A-4533-9FA1-C5336B5D7477}"/>
            </a:ext>
          </a:extLst>
        </xdr:cNvPr>
        <xdr:cNvSpPr>
          <a:spLocks noChangeArrowheads="1"/>
        </xdr:cNvSpPr>
      </xdr:nvSpPr>
      <xdr:spPr bwMode="auto">
        <a:xfrm>
          <a:off x="2876590" y="1713899"/>
          <a:ext cx="472640" cy="209010"/>
        </a:xfrm>
        <a:prstGeom prst="rect">
          <a:avLst/>
        </a:prstGeom>
        <a:gradFill>
          <a:gsLst>
            <a:gs pos="84000">
              <a:schemeClr val="accent1">
                <a:lumMod val="40000"/>
                <a:lumOff val="60000"/>
              </a:schemeClr>
            </a:gs>
            <a:gs pos="99000">
              <a:schemeClr val="accent1"/>
            </a:gs>
            <a:gs pos="16000">
              <a:schemeClr val="accent1">
                <a:lumMod val="20000"/>
                <a:lumOff val="80000"/>
              </a:schemeClr>
            </a:gs>
            <a:gs pos="0">
              <a:schemeClr val="bg1"/>
            </a:gs>
          </a:gsLst>
          <a:lin ang="5400000" scaled="1"/>
        </a:gradFill>
        <a:ln w="3175">
          <a:solidFill>
            <a:schemeClr val="bg1">
              <a:lumMod val="75000"/>
            </a:schemeClr>
          </a:solidFill>
        </a:ln>
        <a:effectLst>
          <a:outerShdw blurRad="50800" dist="38100" dir="5400000" algn="t" rotWithShape="0">
            <a:schemeClr val="accent1">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oneCell">
    <xdr:from>
      <xdr:col>5</xdr:col>
      <xdr:colOff>1017452</xdr:colOff>
      <xdr:row>7</xdr:row>
      <xdr:rowOff>22259</xdr:rowOff>
    </xdr:from>
    <xdr:to>
      <xdr:col>6</xdr:col>
      <xdr:colOff>285974</xdr:colOff>
      <xdr:row>7</xdr:row>
      <xdr:rowOff>227459</xdr:rowOff>
    </xdr:to>
    <xdr:sp macro="" textlink="">
      <xdr:nvSpPr>
        <xdr:cNvPr id="7" name="Variant 4">
          <a:hlinkClick xmlns:r="http://schemas.openxmlformats.org/officeDocument/2006/relationships" r:id="rId6" tooltip="Naar invoer installaties en berekening variant 4."/>
          <a:extLst>
            <a:ext uri="{FF2B5EF4-FFF2-40B4-BE49-F238E27FC236}">
              <a16:creationId xmlns:a16="http://schemas.microsoft.com/office/drawing/2014/main" id="{D5891EFB-2061-43B3-8600-F388B3AC9BBF}"/>
            </a:ext>
          </a:extLst>
        </xdr:cNvPr>
        <xdr:cNvSpPr>
          <a:spLocks noChangeArrowheads="1"/>
        </xdr:cNvSpPr>
      </xdr:nvSpPr>
      <xdr:spPr bwMode="auto">
        <a:xfrm>
          <a:off x="3379652" y="1717709"/>
          <a:ext cx="449622"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oneCell">
    <xdr:from>
      <xdr:col>6</xdr:col>
      <xdr:colOff>299054</xdr:colOff>
      <xdr:row>7</xdr:row>
      <xdr:rowOff>18449</xdr:rowOff>
    </xdr:from>
    <xdr:to>
      <xdr:col>6</xdr:col>
      <xdr:colOff>741849</xdr:colOff>
      <xdr:row>7</xdr:row>
      <xdr:rowOff>227459</xdr:rowOff>
    </xdr:to>
    <xdr:sp macro="" textlink="">
      <xdr:nvSpPr>
        <xdr:cNvPr id="8" name="Variant 5">
          <a:hlinkClick xmlns:r="http://schemas.openxmlformats.org/officeDocument/2006/relationships" r:id="rId7" tooltip="Naar invoer installaties en berekening variant 5."/>
          <a:extLst>
            <a:ext uri="{FF2B5EF4-FFF2-40B4-BE49-F238E27FC236}">
              <a16:creationId xmlns:a16="http://schemas.microsoft.com/office/drawing/2014/main" id="{8A163A37-A352-4393-B466-80555ACA1B70}"/>
            </a:ext>
          </a:extLst>
        </xdr:cNvPr>
        <xdr:cNvSpPr>
          <a:spLocks noChangeArrowheads="1"/>
        </xdr:cNvSpPr>
      </xdr:nvSpPr>
      <xdr:spPr bwMode="auto">
        <a:xfrm>
          <a:off x="3842354" y="1713899"/>
          <a:ext cx="44279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oneCell">
    <xdr:from>
      <xdr:col>6</xdr:col>
      <xdr:colOff>779880</xdr:colOff>
      <xdr:row>7</xdr:row>
      <xdr:rowOff>18449</xdr:rowOff>
    </xdr:from>
    <xdr:to>
      <xdr:col>7</xdr:col>
      <xdr:colOff>396</xdr:colOff>
      <xdr:row>7</xdr:row>
      <xdr:rowOff>227459</xdr:rowOff>
    </xdr:to>
    <xdr:sp macro="" textlink="">
      <xdr:nvSpPr>
        <xdr:cNvPr id="9" name="Variant 6">
          <a:hlinkClick xmlns:r="http://schemas.openxmlformats.org/officeDocument/2006/relationships" r:id="rId8" tooltip="Naar invoer installaties en berekening variant 6."/>
          <a:extLst>
            <a:ext uri="{FF2B5EF4-FFF2-40B4-BE49-F238E27FC236}">
              <a16:creationId xmlns:a16="http://schemas.microsoft.com/office/drawing/2014/main" id="{62E0BCE9-35FE-4B00-95E7-EB4E4FC86207}"/>
            </a:ext>
          </a:extLst>
        </xdr:cNvPr>
        <xdr:cNvSpPr>
          <a:spLocks noChangeArrowheads="1"/>
        </xdr:cNvSpPr>
      </xdr:nvSpPr>
      <xdr:spPr bwMode="auto">
        <a:xfrm>
          <a:off x="4323180" y="1713899"/>
          <a:ext cx="401616"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oneCell">
    <xdr:from>
      <xdr:col>7</xdr:col>
      <xdr:colOff>16719</xdr:colOff>
      <xdr:row>7</xdr:row>
      <xdr:rowOff>18449</xdr:rowOff>
    </xdr:from>
    <xdr:to>
      <xdr:col>7</xdr:col>
      <xdr:colOff>688434</xdr:colOff>
      <xdr:row>7</xdr:row>
      <xdr:rowOff>227459</xdr:rowOff>
    </xdr:to>
    <xdr:sp macro="" textlink="">
      <xdr:nvSpPr>
        <xdr:cNvPr id="10" name="Resultaten">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1FA9B3AE-EEFC-4DC5-BD46-5B4287FAFB97}"/>
            </a:ext>
          </a:extLst>
        </xdr:cNvPr>
        <xdr:cNvSpPr>
          <a:spLocks noChangeArrowheads="1"/>
        </xdr:cNvSpPr>
      </xdr:nvSpPr>
      <xdr:spPr bwMode="auto">
        <a:xfrm>
          <a:off x="4741119" y="1713899"/>
          <a:ext cx="67171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oneCell">
    <xdr:from>
      <xdr:col>7</xdr:col>
      <xdr:colOff>701543</xdr:colOff>
      <xdr:row>7</xdr:row>
      <xdr:rowOff>18449</xdr:rowOff>
    </xdr:from>
    <xdr:to>
      <xdr:col>7</xdr:col>
      <xdr:colOff>1488983</xdr:colOff>
      <xdr:row>7</xdr:row>
      <xdr:rowOff>227459</xdr:rowOff>
    </xdr:to>
    <xdr:sp macro="" textlink="">
      <xdr:nvSpPr>
        <xdr:cNvPr id="11" name="Bibliotheek">
          <a:hlinkClick xmlns:r="http://schemas.openxmlformats.org/officeDocument/2006/relationships" r:id="rId10" tooltip="Naar de bibilotheek met gegevens van gebouwen en installaties."/>
          <a:extLst>
            <a:ext uri="{FF2B5EF4-FFF2-40B4-BE49-F238E27FC236}">
              <a16:creationId xmlns:a16="http://schemas.microsoft.com/office/drawing/2014/main" id="{F7E1FD0B-21D6-4536-B8B3-A7EE07A9FA7A}"/>
            </a:ext>
          </a:extLst>
        </xdr:cNvPr>
        <xdr:cNvSpPr>
          <a:spLocks noChangeArrowheads="1"/>
        </xdr:cNvSpPr>
      </xdr:nvSpPr>
      <xdr:spPr bwMode="auto">
        <a:xfrm>
          <a:off x="5425943" y="1713899"/>
          <a:ext cx="7874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9295</xdr:colOff>
      <xdr:row>7</xdr:row>
      <xdr:rowOff>18624</xdr:rowOff>
    </xdr:from>
    <xdr:to>
      <xdr:col>4</xdr:col>
      <xdr:colOff>209015</xdr:colOff>
      <xdr:row>7</xdr:row>
      <xdr:rowOff>224879</xdr:rowOff>
    </xdr:to>
    <xdr:sp macro="" textlink="">
      <xdr:nvSpPr>
        <xdr:cNvPr id="2" name="Handleiding">
          <a:hlinkClick xmlns:r="http://schemas.openxmlformats.org/officeDocument/2006/relationships" r:id="rId1" tooltip="Naar de handleiding"/>
          <a:extLst>
            <a:ext uri="{FF2B5EF4-FFF2-40B4-BE49-F238E27FC236}">
              <a16:creationId xmlns:a16="http://schemas.microsoft.com/office/drawing/2014/main" id="{7586808E-E54D-4196-8434-0959E2B4A9F1}"/>
            </a:ext>
          </a:extLst>
        </xdr:cNvPr>
        <xdr:cNvSpPr>
          <a:spLocks noChangeArrowheads="1"/>
        </xdr:cNvSpPr>
      </xdr:nvSpPr>
      <xdr:spPr bwMode="auto">
        <a:xfrm>
          <a:off x="590320" y="1714074"/>
          <a:ext cx="199720" cy="206255"/>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oneCell">
    <xdr:from>
      <xdr:col>4</xdr:col>
      <xdr:colOff>246554</xdr:colOff>
      <xdr:row>7</xdr:row>
      <xdr:rowOff>18449</xdr:rowOff>
    </xdr:from>
    <xdr:to>
      <xdr:col>4</xdr:col>
      <xdr:colOff>1352394</xdr:colOff>
      <xdr:row>7</xdr:row>
      <xdr:rowOff>227459</xdr:rowOff>
    </xdr:to>
    <xdr:sp macro="" textlink="">
      <xdr:nvSpPr>
        <xdr:cNvPr id="3" name="Woning_Utiliteit">
          <a:hlinkClick xmlns:r="http://schemas.openxmlformats.org/officeDocument/2006/relationships" r:id="rId2" tooltip="Naar de invoer van de woningen en utiliteitsgebouwen in het gebied."/>
          <a:extLst>
            <a:ext uri="{FF2B5EF4-FFF2-40B4-BE49-F238E27FC236}">
              <a16:creationId xmlns:a16="http://schemas.microsoft.com/office/drawing/2014/main" id="{85ABFBCF-FBFF-484D-AC75-C3E2819DB51D}"/>
            </a:ext>
          </a:extLst>
        </xdr:cNvPr>
        <xdr:cNvSpPr>
          <a:spLocks noChangeArrowheads="1"/>
        </xdr:cNvSpPr>
      </xdr:nvSpPr>
      <xdr:spPr bwMode="auto">
        <a:xfrm>
          <a:off x="827579" y="1713899"/>
          <a:ext cx="11058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oneCell">
    <xdr:from>
      <xdr:col>4</xdr:col>
      <xdr:colOff>1389856</xdr:colOff>
      <xdr:row>7</xdr:row>
      <xdr:rowOff>18449</xdr:rowOff>
    </xdr:from>
    <xdr:to>
      <xdr:col>5</xdr:col>
      <xdr:colOff>18456</xdr:colOff>
      <xdr:row>7</xdr:row>
      <xdr:rowOff>227459</xdr:rowOff>
    </xdr:to>
    <xdr:sp macro="" textlink="">
      <xdr:nvSpPr>
        <xdr:cNvPr id="4" name="Variant 1">
          <a:hlinkClick xmlns:r="http://schemas.openxmlformats.org/officeDocument/2006/relationships" r:id="rId3" tooltip="Naar invoer installaties en berekening variant 1"/>
          <a:extLst>
            <a:ext uri="{FF2B5EF4-FFF2-40B4-BE49-F238E27FC236}">
              <a16:creationId xmlns:a16="http://schemas.microsoft.com/office/drawing/2014/main" id="{79B4FE80-FF5F-415F-9623-C810F590CD4B}"/>
            </a:ext>
          </a:extLst>
        </xdr:cNvPr>
        <xdr:cNvSpPr>
          <a:spLocks noChangeArrowheads="1"/>
        </xdr:cNvSpPr>
      </xdr:nvSpPr>
      <xdr:spPr bwMode="auto">
        <a:xfrm>
          <a:off x="1970881" y="1713899"/>
          <a:ext cx="40977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oneCell">
    <xdr:from>
      <xdr:col>5</xdr:col>
      <xdr:colOff>48841</xdr:colOff>
      <xdr:row>7</xdr:row>
      <xdr:rowOff>22259</xdr:rowOff>
    </xdr:from>
    <xdr:to>
      <xdr:col>5</xdr:col>
      <xdr:colOff>478474</xdr:colOff>
      <xdr:row>7</xdr:row>
      <xdr:rowOff>227459</xdr:rowOff>
    </xdr:to>
    <xdr:sp macro="" textlink="">
      <xdr:nvSpPr>
        <xdr:cNvPr id="5" name="Variant 2">
          <a:hlinkClick xmlns:r="http://schemas.openxmlformats.org/officeDocument/2006/relationships" r:id="rId4" tooltip="Naar invoer installaties en berekening variant 2."/>
          <a:extLst>
            <a:ext uri="{FF2B5EF4-FFF2-40B4-BE49-F238E27FC236}">
              <a16:creationId xmlns:a16="http://schemas.microsoft.com/office/drawing/2014/main" id="{5457395C-CC02-44C3-9F9E-CFA69CA36FCB}"/>
            </a:ext>
          </a:extLst>
        </xdr:cNvPr>
        <xdr:cNvSpPr>
          <a:spLocks noChangeArrowheads="1"/>
        </xdr:cNvSpPr>
      </xdr:nvSpPr>
      <xdr:spPr bwMode="auto">
        <a:xfrm>
          <a:off x="2411041" y="1717709"/>
          <a:ext cx="429633"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oneCell">
    <xdr:from>
      <xdr:col>5</xdr:col>
      <xdr:colOff>514390</xdr:colOff>
      <xdr:row>7</xdr:row>
      <xdr:rowOff>18449</xdr:rowOff>
    </xdr:from>
    <xdr:to>
      <xdr:col>5</xdr:col>
      <xdr:colOff>987030</xdr:colOff>
      <xdr:row>7</xdr:row>
      <xdr:rowOff>227459</xdr:rowOff>
    </xdr:to>
    <xdr:sp macro="" textlink="">
      <xdr:nvSpPr>
        <xdr:cNvPr id="6" name="Variant 3">
          <a:hlinkClick xmlns:r="http://schemas.openxmlformats.org/officeDocument/2006/relationships" r:id="rId5" tooltip="Naar invoer installaties en berekening variant 3."/>
          <a:extLst>
            <a:ext uri="{FF2B5EF4-FFF2-40B4-BE49-F238E27FC236}">
              <a16:creationId xmlns:a16="http://schemas.microsoft.com/office/drawing/2014/main" id="{C131841B-78DD-495C-9784-B7D02F5D6814}"/>
            </a:ext>
          </a:extLst>
        </xdr:cNvPr>
        <xdr:cNvSpPr>
          <a:spLocks noChangeArrowheads="1"/>
        </xdr:cNvSpPr>
      </xdr:nvSpPr>
      <xdr:spPr bwMode="auto">
        <a:xfrm>
          <a:off x="2876590" y="1713899"/>
          <a:ext cx="4726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oneCell">
    <xdr:from>
      <xdr:col>5</xdr:col>
      <xdr:colOff>1017452</xdr:colOff>
      <xdr:row>7</xdr:row>
      <xdr:rowOff>22259</xdr:rowOff>
    </xdr:from>
    <xdr:to>
      <xdr:col>6</xdr:col>
      <xdr:colOff>285974</xdr:colOff>
      <xdr:row>7</xdr:row>
      <xdr:rowOff>227459</xdr:rowOff>
    </xdr:to>
    <xdr:sp macro="" textlink="">
      <xdr:nvSpPr>
        <xdr:cNvPr id="7" name="Variant 4">
          <a:hlinkClick xmlns:r="http://schemas.openxmlformats.org/officeDocument/2006/relationships" r:id="rId6" tooltip="Naar invoer installaties en berekening variant 4."/>
          <a:extLst>
            <a:ext uri="{FF2B5EF4-FFF2-40B4-BE49-F238E27FC236}">
              <a16:creationId xmlns:a16="http://schemas.microsoft.com/office/drawing/2014/main" id="{AE659A41-C460-4960-8B8D-66889676DB2A}"/>
            </a:ext>
          </a:extLst>
        </xdr:cNvPr>
        <xdr:cNvSpPr>
          <a:spLocks noChangeArrowheads="1"/>
        </xdr:cNvSpPr>
      </xdr:nvSpPr>
      <xdr:spPr bwMode="auto">
        <a:xfrm>
          <a:off x="3379652" y="1717709"/>
          <a:ext cx="449622" cy="205200"/>
        </a:xfrm>
        <a:prstGeom prst="rect">
          <a:avLst/>
        </a:prstGeom>
        <a:gradFill>
          <a:gsLst>
            <a:gs pos="84000">
              <a:schemeClr val="accent1">
                <a:lumMod val="40000"/>
                <a:lumOff val="60000"/>
              </a:schemeClr>
            </a:gs>
            <a:gs pos="99000">
              <a:schemeClr val="accent1"/>
            </a:gs>
            <a:gs pos="16000">
              <a:schemeClr val="accent1">
                <a:lumMod val="20000"/>
                <a:lumOff val="80000"/>
              </a:schemeClr>
            </a:gs>
            <a:gs pos="0">
              <a:schemeClr val="bg1"/>
            </a:gs>
          </a:gsLst>
          <a:lin ang="5400000" scaled="1"/>
        </a:gradFill>
        <a:ln w="3175">
          <a:solidFill>
            <a:schemeClr val="bg1">
              <a:lumMod val="75000"/>
            </a:schemeClr>
          </a:solidFill>
        </a:ln>
        <a:effectLst>
          <a:outerShdw blurRad="50800" dist="38100" dir="5400000" algn="t" rotWithShape="0">
            <a:schemeClr val="accent1">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oneCell">
    <xdr:from>
      <xdr:col>6</xdr:col>
      <xdr:colOff>299054</xdr:colOff>
      <xdr:row>7</xdr:row>
      <xdr:rowOff>18449</xdr:rowOff>
    </xdr:from>
    <xdr:to>
      <xdr:col>6</xdr:col>
      <xdr:colOff>741849</xdr:colOff>
      <xdr:row>7</xdr:row>
      <xdr:rowOff>227459</xdr:rowOff>
    </xdr:to>
    <xdr:sp macro="" textlink="">
      <xdr:nvSpPr>
        <xdr:cNvPr id="8" name="Variant 5">
          <a:hlinkClick xmlns:r="http://schemas.openxmlformats.org/officeDocument/2006/relationships" r:id="rId7" tooltip="Naar invoer installaties en berekening variant 5."/>
          <a:extLst>
            <a:ext uri="{FF2B5EF4-FFF2-40B4-BE49-F238E27FC236}">
              <a16:creationId xmlns:a16="http://schemas.microsoft.com/office/drawing/2014/main" id="{913579B9-38AC-4B8A-9677-5EBFAB9AEB45}"/>
            </a:ext>
          </a:extLst>
        </xdr:cNvPr>
        <xdr:cNvSpPr>
          <a:spLocks noChangeArrowheads="1"/>
        </xdr:cNvSpPr>
      </xdr:nvSpPr>
      <xdr:spPr bwMode="auto">
        <a:xfrm>
          <a:off x="3842354" y="1713899"/>
          <a:ext cx="44279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oneCell">
    <xdr:from>
      <xdr:col>6</xdr:col>
      <xdr:colOff>779880</xdr:colOff>
      <xdr:row>7</xdr:row>
      <xdr:rowOff>18449</xdr:rowOff>
    </xdr:from>
    <xdr:to>
      <xdr:col>7</xdr:col>
      <xdr:colOff>396</xdr:colOff>
      <xdr:row>7</xdr:row>
      <xdr:rowOff>227459</xdr:rowOff>
    </xdr:to>
    <xdr:sp macro="" textlink="">
      <xdr:nvSpPr>
        <xdr:cNvPr id="9" name="Variant 6">
          <a:hlinkClick xmlns:r="http://schemas.openxmlformats.org/officeDocument/2006/relationships" r:id="rId8" tooltip="Naar invoer installaties en berekening variant 6."/>
          <a:extLst>
            <a:ext uri="{FF2B5EF4-FFF2-40B4-BE49-F238E27FC236}">
              <a16:creationId xmlns:a16="http://schemas.microsoft.com/office/drawing/2014/main" id="{9F3EA043-DABF-4BD2-A1DA-064D0FB5B23B}"/>
            </a:ext>
          </a:extLst>
        </xdr:cNvPr>
        <xdr:cNvSpPr>
          <a:spLocks noChangeArrowheads="1"/>
        </xdr:cNvSpPr>
      </xdr:nvSpPr>
      <xdr:spPr bwMode="auto">
        <a:xfrm>
          <a:off x="4323180" y="1713899"/>
          <a:ext cx="401616"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oneCell">
    <xdr:from>
      <xdr:col>7</xdr:col>
      <xdr:colOff>16719</xdr:colOff>
      <xdr:row>7</xdr:row>
      <xdr:rowOff>18449</xdr:rowOff>
    </xdr:from>
    <xdr:to>
      <xdr:col>7</xdr:col>
      <xdr:colOff>688434</xdr:colOff>
      <xdr:row>7</xdr:row>
      <xdr:rowOff>227459</xdr:rowOff>
    </xdr:to>
    <xdr:sp macro="" textlink="">
      <xdr:nvSpPr>
        <xdr:cNvPr id="10" name="Resultaten">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A2EC2FA4-7549-4E46-A4DE-6A9CABAED7C3}"/>
            </a:ext>
          </a:extLst>
        </xdr:cNvPr>
        <xdr:cNvSpPr>
          <a:spLocks noChangeArrowheads="1"/>
        </xdr:cNvSpPr>
      </xdr:nvSpPr>
      <xdr:spPr bwMode="auto">
        <a:xfrm>
          <a:off x="4741119" y="1713899"/>
          <a:ext cx="67171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oneCell">
    <xdr:from>
      <xdr:col>7</xdr:col>
      <xdr:colOff>701543</xdr:colOff>
      <xdr:row>7</xdr:row>
      <xdr:rowOff>18449</xdr:rowOff>
    </xdr:from>
    <xdr:to>
      <xdr:col>7</xdr:col>
      <xdr:colOff>1488983</xdr:colOff>
      <xdr:row>7</xdr:row>
      <xdr:rowOff>227459</xdr:rowOff>
    </xdr:to>
    <xdr:sp macro="" textlink="">
      <xdr:nvSpPr>
        <xdr:cNvPr id="11" name="Bibliotheek">
          <a:hlinkClick xmlns:r="http://schemas.openxmlformats.org/officeDocument/2006/relationships" r:id="rId10" tooltip="Naar de bibilotheek met gegevens van gebouwen en installaties."/>
          <a:extLst>
            <a:ext uri="{FF2B5EF4-FFF2-40B4-BE49-F238E27FC236}">
              <a16:creationId xmlns:a16="http://schemas.microsoft.com/office/drawing/2014/main" id="{32295F48-BF83-4382-A9BE-4BD4BE338F3A}"/>
            </a:ext>
          </a:extLst>
        </xdr:cNvPr>
        <xdr:cNvSpPr>
          <a:spLocks noChangeArrowheads="1"/>
        </xdr:cNvSpPr>
      </xdr:nvSpPr>
      <xdr:spPr bwMode="auto">
        <a:xfrm>
          <a:off x="5425943" y="1713899"/>
          <a:ext cx="7874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9295</xdr:colOff>
      <xdr:row>7</xdr:row>
      <xdr:rowOff>18624</xdr:rowOff>
    </xdr:from>
    <xdr:to>
      <xdr:col>4</xdr:col>
      <xdr:colOff>209015</xdr:colOff>
      <xdr:row>7</xdr:row>
      <xdr:rowOff>224879</xdr:rowOff>
    </xdr:to>
    <xdr:sp macro="" textlink="">
      <xdr:nvSpPr>
        <xdr:cNvPr id="2" name="Handleiding">
          <a:hlinkClick xmlns:r="http://schemas.openxmlformats.org/officeDocument/2006/relationships" r:id="rId1" tooltip="Naar de handleiding"/>
          <a:extLst>
            <a:ext uri="{FF2B5EF4-FFF2-40B4-BE49-F238E27FC236}">
              <a16:creationId xmlns:a16="http://schemas.microsoft.com/office/drawing/2014/main" id="{9708FE6B-92B0-4443-8847-52D30C221B5F}"/>
            </a:ext>
          </a:extLst>
        </xdr:cNvPr>
        <xdr:cNvSpPr>
          <a:spLocks noChangeArrowheads="1"/>
        </xdr:cNvSpPr>
      </xdr:nvSpPr>
      <xdr:spPr bwMode="auto">
        <a:xfrm>
          <a:off x="590320" y="1714074"/>
          <a:ext cx="199720" cy="206255"/>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oneCell">
    <xdr:from>
      <xdr:col>4</xdr:col>
      <xdr:colOff>246554</xdr:colOff>
      <xdr:row>7</xdr:row>
      <xdr:rowOff>18449</xdr:rowOff>
    </xdr:from>
    <xdr:to>
      <xdr:col>4</xdr:col>
      <xdr:colOff>1352394</xdr:colOff>
      <xdr:row>7</xdr:row>
      <xdr:rowOff>227459</xdr:rowOff>
    </xdr:to>
    <xdr:sp macro="" textlink="">
      <xdr:nvSpPr>
        <xdr:cNvPr id="3" name="Woning_Utiliteit">
          <a:hlinkClick xmlns:r="http://schemas.openxmlformats.org/officeDocument/2006/relationships" r:id="rId2" tooltip="Naar de invoer van de woningen en utiliteitsgebouwen in het gebied."/>
          <a:extLst>
            <a:ext uri="{FF2B5EF4-FFF2-40B4-BE49-F238E27FC236}">
              <a16:creationId xmlns:a16="http://schemas.microsoft.com/office/drawing/2014/main" id="{97FE26A5-6B2A-497C-9E1F-00565657F80E}"/>
            </a:ext>
          </a:extLst>
        </xdr:cNvPr>
        <xdr:cNvSpPr>
          <a:spLocks noChangeArrowheads="1"/>
        </xdr:cNvSpPr>
      </xdr:nvSpPr>
      <xdr:spPr bwMode="auto">
        <a:xfrm>
          <a:off x="827579" y="1713899"/>
          <a:ext cx="11058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oneCell">
    <xdr:from>
      <xdr:col>4</xdr:col>
      <xdr:colOff>1389856</xdr:colOff>
      <xdr:row>7</xdr:row>
      <xdr:rowOff>18449</xdr:rowOff>
    </xdr:from>
    <xdr:to>
      <xdr:col>5</xdr:col>
      <xdr:colOff>18456</xdr:colOff>
      <xdr:row>7</xdr:row>
      <xdr:rowOff>227459</xdr:rowOff>
    </xdr:to>
    <xdr:sp macro="" textlink="">
      <xdr:nvSpPr>
        <xdr:cNvPr id="4" name="Variant 1">
          <a:hlinkClick xmlns:r="http://schemas.openxmlformats.org/officeDocument/2006/relationships" r:id="rId3" tooltip="Naar invoer installaties en berekening variant 1"/>
          <a:extLst>
            <a:ext uri="{FF2B5EF4-FFF2-40B4-BE49-F238E27FC236}">
              <a16:creationId xmlns:a16="http://schemas.microsoft.com/office/drawing/2014/main" id="{E7B3601C-457D-46DF-9435-62243E481AC5}"/>
            </a:ext>
          </a:extLst>
        </xdr:cNvPr>
        <xdr:cNvSpPr>
          <a:spLocks noChangeArrowheads="1"/>
        </xdr:cNvSpPr>
      </xdr:nvSpPr>
      <xdr:spPr bwMode="auto">
        <a:xfrm>
          <a:off x="1970881" y="1713899"/>
          <a:ext cx="40977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oneCell">
    <xdr:from>
      <xdr:col>5</xdr:col>
      <xdr:colOff>48841</xdr:colOff>
      <xdr:row>7</xdr:row>
      <xdr:rowOff>22259</xdr:rowOff>
    </xdr:from>
    <xdr:to>
      <xdr:col>5</xdr:col>
      <xdr:colOff>478474</xdr:colOff>
      <xdr:row>7</xdr:row>
      <xdr:rowOff>227459</xdr:rowOff>
    </xdr:to>
    <xdr:sp macro="" textlink="">
      <xdr:nvSpPr>
        <xdr:cNvPr id="5" name="Variant 2">
          <a:hlinkClick xmlns:r="http://schemas.openxmlformats.org/officeDocument/2006/relationships" r:id="rId4" tooltip="Naar invoer installaties en berekening variant 2."/>
          <a:extLst>
            <a:ext uri="{FF2B5EF4-FFF2-40B4-BE49-F238E27FC236}">
              <a16:creationId xmlns:a16="http://schemas.microsoft.com/office/drawing/2014/main" id="{A38F65D9-FA47-4179-9374-ED739649003F}"/>
            </a:ext>
          </a:extLst>
        </xdr:cNvPr>
        <xdr:cNvSpPr>
          <a:spLocks noChangeArrowheads="1"/>
        </xdr:cNvSpPr>
      </xdr:nvSpPr>
      <xdr:spPr bwMode="auto">
        <a:xfrm>
          <a:off x="2411041" y="1717709"/>
          <a:ext cx="429633"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oneCell">
    <xdr:from>
      <xdr:col>5</xdr:col>
      <xdr:colOff>514390</xdr:colOff>
      <xdr:row>7</xdr:row>
      <xdr:rowOff>18449</xdr:rowOff>
    </xdr:from>
    <xdr:to>
      <xdr:col>5</xdr:col>
      <xdr:colOff>987030</xdr:colOff>
      <xdr:row>7</xdr:row>
      <xdr:rowOff>227459</xdr:rowOff>
    </xdr:to>
    <xdr:sp macro="" textlink="">
      <xdr:nvSpPr>
        <xdr:cNvPr id="6" name="Variant 3">
          <a:hlinkClick xmlns:r="http://schemas.openxmlformats.org/officeDocument/2006/relationships" r:id="rId5" tooltip="Naar invoer installaties en berekening variant 3."/>
          <a:extLst>
            <a:ext uri="{FF2B5EF4-FFF2-40B4-BE49-F238E27FC236}">
              <a16:creationId xmlns:a16="http://schemas.microsoft.com/office/drawing/2014/main" id="{039281E5-01D3-4ED7-B71E-67DA95EEB2A5}"/>
            </a:ext>
          </a:extLst>
        </xdr:cNvPr>
        <xdr:cNvSpPr>
          <a:spLocks noChangeArrowheads="1"/>
        </xdr:cNvSpPr>
      </xdr:nvSpPr>
      <xdr:spPr bwMode="auto">
        <a:xfrm>
          <a:off x="2876590" y="1713899"/>
          <a:ext cx="4726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oneCell">
    <xdr:from>
      <xdr:col>5</xdr:col>
      <xdr:colOff>1017452</xdr:colOff>
      <xdr:row>7</xdr:row>
      <xdr:rowOff>22259</xdr:rowOff>
    </xdr:from>
    <xdr:to>
      <xdr:col>6</xdr:col>
      <xdr:colOff>285974</xdr:colOff>
      <xdr:row>7</xdr:row>
      <xdr:rowOff>227459</xdr:rowOff>
    </xdr:to>
    <xdr:sp macro="" textlink="">
      <xdr:nvSpPr>
        <xdr:cNvPr id="7" name="Variant 4">
          <a:hlinkClick xmlns:r="http://schemas.openxmlformats.org/officeDocument/2006/relationships" r:id="rId6" tooltip="Naar invoer installaties en berekening variant 4."/>
          <a:extLst>
            <a:ext uri="{FF2B5EF4-FFF2-40B4-BE49-F238E27FC236}">
              <a16:creationId xmlns:a16="http://schemas.microsoft.com/office/drawing/2014/main" id="{81025497-9522-4693-8F5E-B455B7F0A5CE}"/>
            </a:ext>
          </a:extLst>
        </xdr:cNvPr>
        <xdr:cNvSpPr>
          <a:spLocks noChangeArrowheads="1"/>
        </xdr:cNvSpPr>
      </xdr:nvSpPr>
      <xdr:spPr bwMode="auto">
        <a:xfrm>
          <a:off x="3379652" y="1717709"/>
          <a:ext cx="449622"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oneCell">
    <xdr:from>
      <xdr:col>6</xdr:col>
      <xdr:colOff>299054</xdr:colOff>
      <xdr:row>7</xdr:row>
      <xdr:rowOff>18449</xdr:rowOff>
    </xdr:from>
    <xdr:to>
      <xdr:col>6</xdr:col>
      <xdr:colOff>741849</xdr:colOff>
      <xdr:row>7</xdr:row>
      <xdr:rowOff>227459</xdr:rowOff>
    </xdr:to>
    <xdr:sp macro="" textlink="">
      <xdr:nvSpPr>
        <xdr:cNvPr id="8" name="Variant 5">
          <a:hlinkClick xmlns:r="http://schemas.openxmlformats.org/officeDocument/2006/relationships" r:id="rId7" tooltip="Naar invoer installaties en berekening variant 5."/>
          <a:extLst>
            <a:ext uri="{FF2B5EF4-FFF2-40B4-BE49-F238E27FC236}">
              <a16:creationId xmlns:a16="http://schemas.microsoft.com/office/drawing/2014/main" id="{65B2D2A0-FF65-4ECC-BABF-11FEE29B94C7}"/>
            </a:ext>
          </a:extLst>
        </xdr:cNvPr>
        <xdr:cNvSpPr>
          <a:spLocks noChangeArrowheads="1"/>
        </xdr:cNvSpPr>
      </xdr:nvSpPr>
      <xdr:spPr bwMode="auto">
        <a:xfrm>
          <a:off x="3842354" y="1713899"/>
          <a:ext cx="442795" cy="209010"/>
        </a:xfrm>
        <a:prstGeom prst="rect">
          <a:avLst/>
        </a:prstGeom>
        <a:gradFill>
          <a:gsLst>
            <a:gs pos="84000">
              <a:schemeClr val="accent1">
                <a:lumMod val="40000"/>
                <a:lumOff val="60000"/>
              </a:schemeClr>
            </a:gs>
            <a:gs pos="99000">
              <a:schemeClr val="accent1"/>
            </a:gs>
            <a:gs pos="16000">
              <a:schemeClr val="accent1">
                <a:lumMod val="20000"/>
                <a:lumOff val="80000"/>
              </a:schemeClr>
            </a:gs>
            <a:gs pos="0">
              <a:schemeClr val="bg1"/>
            </a:gs>
          </a:gsLst>
          <a:lin ang="5400000" scaled="1"/>
        </a:gradFill>
        <a:ln w="3175">
          <a:solidFill>
            <a:schemeClr val="bg1">
              <a:lumMod val="75000"/>
            </a:schemeClr>
          </a:solidFill>
        </a:ln>
        <a:effectLst>
          <a:outerShdw blurRad="50800" dist="38100" dir="5400000" algn="t" rotWithShape="0">
            <a:schemeClr val="accent1">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oneCell">
    <xdr:from>
      <xdr:col>6</xdr:col>
      <xdr:colOff>779880</xdr:colOff>
      <xdr:row>7</xdr:row>
      <xdr:rowOff>18449</xdr:rowOff>
    </xdr:from>
    <xdr:to>
      <xdr:col>7</xdr:col>
      <xdr:colOff>396</xdr:colOff>
      <xdr:row>7</xdr:row>
      <xdr:rowOff>227459</xdr:rowOff>
    </xdr:to>
    <xdr:sp macro="" textlink="">
      <xdr:nvSpPr>
        <xdr:cNvPr id="9" name="Variant 6">
          <a:hlinkClick xmlns:r="http://schemas.openxmlformats.org/officeDocument/2006/relationships" r:id="rId8" tooltip="Naar invoer installaties en berekening variant 6."/>
          <a:extLst>
            <a:ext uri="{FF2B5EF4-FFF2-40B4-BE49-F238E27FC236}">
              <a16:creationId xmlns:a16="http://schemas.microsoft.com/office/drawing/2014/main" id="{E7722F11-8D47-4B0C-895D-77739216C8C6}"/>
            </a:ext>
          </a:extLst>
        </xdr:cNvPr>
        <xdr:cNvSpPr>
          <a:spLocks noChangeArrowheads="1"/>
        </xdr:cNvSpPr>
      </xdr:nvSpPr>
      <xdr:spPr bwMode="auto">
        <a:xfrm>
          <a:off x="4323180" y="1713899"/>
          <a:ext cx="401616"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oneCell">
    <xdr:from>
      <xdr:col>7</xdr:col>
      <xdr:colOff>16719</xdr:colOff>
      <xdr:row>7</xdr:row>
      <xdr:rowOff>18449</xdr:rowOff>
    </xdr:from>
    <xdr:to>
      <xdr:col>7</xdr:col>
      <xdr:colOff>688434</xdr:colOff>
      <xdr:row>7</xdr:row>
      <xdr:rowOff>227459</xdr:rowOff>
    </xdr:to>
    <xdr:sp macro="" textlink="">
      <xdr:nvSpPr>
        <xdr:cNvPr id="10" name="Resultaten">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5640421D-596F-47D7-B586-F1BC80FF935E}"/>
            </a:ext>
          </a:extLst>
        </xdr:cNvPr>
        <xdr:cNvSpPr>
          <a:spLocks noChangeArrowheads="1"/>
        </xdr:cNvSpPr>
      </xdr:nvSpPr>
      <xdr:spPr bwMode="auto">
        <a:xfrm>
          <a:off x="4741119" y="1713899"/>
          <a:ext cx="67171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oneCell">
    <xdr:from>
      <xdr:col>7</xdr:col>
      <xdr:colOff>701543</xdr:colOff>
      <xdr:row>7</xdr:row>
      <xdr:rowOff>18449</xdr:rowOff>
    </xdr:from>
    <xdr:to>
      <xdr:col>7</xdr:col>
      <xdr:colOff>1488983</xdr:colOff>
      <xdr:row>7</xdr:row>
      <xdr:rowOff>227459</xdr:rowOff>
    </xdr:to>
    <xdr:sp macro="" textlink="">
      <xdr:nvSpPr>
        <xdr:cNvPr id="11" name="Bibliotheek">
          <a:hlinkClick xmlns:r="http://schemas.openxmlformats.org/officeDocument/2006/relationships" r:id="rId10" tooltip="Naar de bibilotheek met gegevens van gebouwen en installaties."/>
          <a:extLst>
            <a:ext uri="{FF2B5EF4-FFF2-40B4-BE49-F238E27FC236}">
              <a16:creationId xmlns:a16="http://schemas.microsoft.com/office/drawing/2014/main" id="{7C197C3A-4D21-4930-9D2A-6E89C2030A32}"/>
            </a:ext>
          </a:extLst>
        </xdr:cNvPr>
        <xdr:cNvSpPr>
          <a:spLocks noChangeArrowheads="1"/>
        </xdr:cNvSpPr>
      </xdr:nvSpPr>
      <xdr:spPr bwMode="auto">
        <a:xfrm>
          <a:off x="5425943" y="1713899"/>
          <a:ext cx="7874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9295</xdr:colOff>
      <xdr:row>7</xdr:row>
      <xdr:rowOff>18624</xdr:rowOff>
    </xdr:from>
    <xdr:to>
      <xdr:col>4</xdr:col>
      <xdr:colOff>209015</xdr:colOff>
      <xdr:row>7</xdr:row>
      <xdr:rowOff>224879</xdr:rowOff>
    </xdr:to>
    <xdr:sp macro="" textlink="">
      <xdr:nvSpPr>
        <xdr:cNvPr id="2" name="Handleiding">
          <a:hlinkClick xmlns:r="http://schemas.openxmlformats.org/officeDocument/2006/relationships" r:id="rId1" tooltip="Naar de handleiding"/>
          <a:extLst>
            <a:ext uri="{FF2B5EF4-FFF2-40B4-BE49-F238E27FC236}">
              <a16:creationId xmlns:a16="http://schemas.microsoft.com/office/drawing/2014/main" id="{652811E0-F15C-4A0D-B332-DB76C3070580}"/>
            </a:ext>
          </a:extLst>
        </xdr:cNvPr>
        <xdr:cNvSpPr>
          <a:spLocks noChangeArrowheads="1"/>
        </xdr:cNvSpPr>
      </xdr:nvSpPr>
      <xdr:spPr bwMode="auto">
        <a:xfrm>
          <a:off x="590320" y="1714074"/>
          <a:ext cx="199720" cy="206255"/>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i</a:t>
          </a:r>
        </a:p>
      </xdr:txBody>
    </xdr:sp>
    <xdr:clientData/>
  </xdr:twoCellAnchor>
  <xdr:twoCellAnchor editAs="oneCell">
    <xdr:from>
      <xdr:col>4</xdr:col>
      <xdr:colOff>246554</xdr:colOff>
      <xdr:row>7</xdr:row>
      <xdr:rowOff>18449</xdr:rowOff>
    </xdr:from>
    <xdr:to>
      <xdr:col>4</xdr:col>
      <xdr:colOff>1352394</xdr:colOff>
      <xdr:row>7</xdr:row>
      <xdr:rowOff>227459</xdr:rowOff>
    </xdr:to>
    <xdr:sp macro="" textlink="">
      <xdr:nvSpPr>
        <xdr:cNvPr id="3" name="Woning_Utiliteit">
          <a:hlinkClick xmlns:r="http://schemas.openxmlformats.org/officeDocument/2006/relationships" r:id="rId2" tooltip="Naar de invoer van de woningen en utiliteitsgebouwen in het gebied."/>
          <a:extLst>
            <a:ext uri="{FF2B5EF4-FFF2-40B4-BE49-F238E27FC236}">
              <a16:creationId xmlns:a16="http://schemas.microsoft.com/office/drawing/2014/main" id="{0051C093-8C22-49BE-8B71-B442DDA356A6}"/>
            </a:ext>
          </a:extLst>
        </xdr:cNvPr>
        <xdr:cNvSpPr>
          <a:spLocks noChangeArrowheads="1"/>
        </xdr:cNvSpPr>
      </xdr:nvSpPr>
      <xdr:spPr bwMode="auto">
        <a:xfrm>
          <a:off x="827579" y="1713899"/>
          <a:ext cx="11058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woningen|utiliteit</a:t>
          </a:r>
        </a:p>
      </xdr:txBody>
    </xdr:sp>
    <xdr:clientData/>
  </xdr:twoCellAnchor>
  <xdr:twoCellAnchor editAs="oneCell">
    <xdr:from>
      <xdr:col>4</xdr:col>
      <xdr:colOff>1389856</xdr:colOff>
      <xdr:row>7</xdr:row>
      <xdr:rowOff>18449</xdr:rowOff>
    </xdr:from>
    <xdr:to>
      <xdr:col>5</xdr:col>
      <xdr:colOff>18456</xdr:colOff>
      <xdr:row>7</xdr:row>
      <xdr:rowOff>227459</xdr:rowOff>
    </xdr:to>
    <xdr:sp macro="" textlink="">
      <xdr:nvSpPr>
        <xdr:cNvPr id="4" name="Variant 1">
          <a:hlinkClick xmlns:r="http://schemas.openxmlformats.org/officeDocument/2006/relationships" r:id="rId3" tooltip="Naar invoer installaties en berekening variant 1"/>
          <a:extLst>
            <a:ext uri="{FF2B5EF4-FFF2-40B4-BE49-F238E27FC236}">
              <a16:creationId xmlns:a16="http://schemas.microsoft.com/office/drawing/2014/main" id="{E6ECF65E-C033-43FE-A349-4680E606AE99}"/>
            </a:ext>
          </a:extLst>
        </xdr:cNvPr>
        <xdr:cNvSpPr>
          <a:spLocks noChangeArrowheads="1"/>
        </xdr:cNvSpPr>
      </xdr:nvSpPr>
      <xdr:spPr bwMode="auto">
        <a:xfrm>
          <a:off x="1970881" y="1713899"/>
          <a:ext cx="40977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var1</a:t>
          </a:r>
        </a:p>
      </xdr:txBody>
    </xdr:sp>
    <xdr:clientData/>
  </xdr:twoCellAnchor>
  <xdr:twoCellAnchor editAs="oneCell">
    <xdr:from>
      <xdr:col>5</xdr:col>
      <xdr:colOff>48841</xdr:colOff>
      <xdr:row>7</xdr:row>
      <xdr:rowOff>22259</xdr:rowOff>
    </xdr:from>
    <xdr:to>
      <xdr:col>5</xdr:col>
      <xdr:colOff>478474</xdr:colOff>
      <xdr:row>7</xdr:row>
      <xdr:rowOff>227459</xdr:rowOff>
    </xdr:to>
    <xdr:sp macro="" textlink="">
      <xdr:nvSpPr>
        <xdr:cNvPr id="5" name="Variant 2">
          <a:hlinkClick xmlns:r="http://schemas.openxmlformats.org/officeDocument/2006/relationships" r:id="rId4" tooltip="Naar invoer installaties en berekening variant 2."/>
          <a:extLst>
            <a:ext uri="{FF2B5EF4-FFF2-40B4-BE49-F238E27FC236}">
              <a16:creationId xmlns:a16="http://schemas.microsoft.com/office/drawing/2014/main" id="{672DA368-6F5F-4B84-A910-503981AFEB13}"/>
            </a:ext>
          </a:extLst>
        </xdr:cNvPr>
        <xdr:cNvSpPr>
          <a:spLocks noChangeArrowheads="1"/>
        </xdr:cNvSpPr>
      </xdr:nvSpPr>
      <xdr:spPr bwMode="auto">
        <a:xfrm>
          <a:off x="2411041" y="1717709"/>
          <a:ext cx="429633"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var2</a:t>
          </a:r>
        </a:p>
      </xdr:txBody>
    </xdr:sp>
    <xdr:clientData/>
  </xdr:twoCellAnchor>
  <xdr:twoCellAnchor editAs="oneCell">
    <xdr:from>
      <xdr:col>5</xdr:col>
      <xdr:colOff>514390</xdr:colOff>
      <xdr:row>7</xdr:row>
      <xdr:rowOff>18449</xdr:rowOff>
    </xdr:from>
    <xdr:to>
      <xdr:col>5</xdr:col>
      <xdr:colOff>987030</xdr:colOff>
      <xdr:row>7</xdr:row>
      <xdr:rowOff>227459</xdr:rowOff>
    </xdr:to>
    <xdr:sp macro="" textlink="">
      <xdr:nvSpPr>
        <xdr:cNvPr id="6" name="Variant 3">
          <a:hlinkClick xmlns:r="http://schemas.openxmlformats.org/officeDocument/2006/relationships" r:id="rId5" tooltip="Naar invoer installaties en berekening variant 3."/>
          <a:extLst>
            <a:ext uri="{FF2B5EF4-FFF2-40B4-BE49-F238E27FC236}">
              <a16:creationId xmlns:a16="http://schemas.microsoft.com/office/drawing/2014/main" id="{EC194F16-D682-414D-B1A6-33B3AA91625C}"/>
            </a:ext>
          </a:extLst>
        </xdr:cNvPr>
        <xdr:cNvSpPr>
          <a:spLocks noChangeArrowheads="1"/>
        </xdr:cNvSpPr>
      </xdr:nvSpPr>
      <xdr:spPr bwMode="auto">
        <a:xfrm>
          <a:off x="2876590" y="1713899"/>
          <a:ext cx="4726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var3</a:t>
          </a:r>
        </a:p>
      </xdr:txBody>
    </xdr:sp>
    <xdr:clientData/>
  </xdr:twoCellAnchor>
  <xdr:twoCellAnchor editAs="oneCell">
    <xdr:from>
      <xdr:col>5</xdr:col>
      <xdr:colOff>1017452</xdr:colOff>
      <xdr:row>7</xdr:row>
      <xdr:rowOff>22259</xdr:rowOff>
    </xdr:from>
    <xdr:to>
      <xdr:col>6</xdr:col>
      <xdr:colOff>285974</xdr:colOff>
      <xdr:row>7</xdr:row>
      <xdr:rowOff>227459</xdr:rowOff>
    </xdr:to>
    <xdr:sp macro="" textlink="">
      <xdr:nvSpPr>
        <xdr:cNvPr id="7" name="Variant 4">
          <a:hlinkClick xmlns:r="http://schemas.openxmlformats.org/officeDocument/2006/relationships" r:id="rId6" tooltip="Naar invoer installaties en berekening variant 4."/>
          <a:extLst>
            <a:ext uri="{FF2B5EF4-FFF2-40B4-BE49-F238E27FC236}">
              <a16:creationId xmlns:a16="http://schemas.microsoft.com/office/drawing/2014/main" id="{A07D3376-A3E8-4508-A8ED-7CD64F9780DA}"/>
            </a:ext>
          </a:extLst>
        </xdr:cNvPr>
        <xdr:cNvSpPr>
          <a:spLocks noChangeArrowheads="1"/>
        </xdr:cNvSpPr>
      </xdr:nvSpPr>
      <xdr:spPr bwMode="auto">
        <a:xfrm>
          <a:off x="3379652" y="1717709"/>
          <a:ext cx="449622" cy="20520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var4</a:t>
          </a:r>
        </a:p>
      </xdr:txBody>
    </xdr:sp>
    <xdr:clientData/>
  </xdr:twoCellAnchor>
  <xdr:twoCellAnchor editAs="oneCell">
    <xdr:from>
      <xdr:col>6</xdr:col>
      <xdr:colOff>299054</xdr:colOff>
      <xdr:row>7</xdr:row>
      <xdr:rowOff>18449</xdr:rowOff>
    </xdr:from>
    <xdr:to>
      <xdr:col>6</xdr:col>
      <xdr:colOff>741849</xdr:colOff>
      <xdr:row>7</xdr:row>
      <xdr:rowOff>227459</xdr:rowOff>
    </xdr:to>
    <xdr:sp macro="" textlink="">
      <xdr:nvSpPr>
        <xdr:cNvPr id="8" name="Variant 5">
          <a:hlinkClick xmlns:r="http://schemas.openxmlformats.org/officeDocument/2006/relationships" r:id="rId7" tooltip="Naar invoer installaties en berekening variant 5."/>
          <a:extLst>
            <a:ext uri="{FF2B5EF4-FFF2-40B4-BE49-F238E27FC236}">
              <a16:creationId xmlns:a16="http://schemas.microsoft.com/office/drawing/2014/main" id="{D0DF1006-8B02-41C2-AF6B-53C6FDD9A0A9}"/>
            </a:ext>
          </a:extLst>
        </xdr:cNvPr>
        <xdr:cNvSpPr>
          <a:spLocks noChangeArrowheads="1"/>
        </xdr:cNvSpPr>
      </xdr:nvSpPr>
      <xdr:spPr bwMode="auto">
        <a:xfrm>
          <a:off x="3842354" y="1713899"/>
          <a:ext cx="44279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var5</a:t>
          </a:r>
        </a:p>
      </xdr:txBody>
    </xdr:sp>
    <xdr:clientData/>
  </xdr:twoCellAnchor>
  <xdr:twoCellAnchor editAs="oneCell">
    <xdr:from>
      <xdr:col>6</xdr:col>
      <xdr:colOff>779880</xdr:colOff>
      <xdr:row>7</xdr:row>
      <xdr:rowOff>18449</xdr:rowOff>
    </xdr:from>
    <xdr:to>
      <xdr:col>7</xdr:col>
      <xdr:colOff>396</xdr:colOff>
      <xdr:row>7</xdr:row>
      <xdr:rowOff>227459</xdr:rowOff>
    </xdr:to>
    <xdr:sp macro="" textlink="">
      <xdr:nvSpPr>
        <xdr:cNvPr id="9" name="Variant 6">
          <a:hlinkClick xmlns:r="http://schemas.openxmlformats.org/officeDocument/2006/relationships" r:id="rId8" tooltip="Naar invoer installaties en berekening variant 6."/>
          <a:extLst>
            <a:ext uri="{FF2B5EF4-FFF2-40B4-BE49-F238E27FC236}">
              <a16:creationId xmlns:a16="http://schemas.microsoft.com/office/drawing/2014/main" id="{DFF2C1CA-0E9D-4EE6-98E2-6D33D88ADDCD}"/>
            </a:ext>
          </a:extLst>
        </xdr:cNvPr>
        <xdr:cNvSpPr>
          <a:spLocks noChangeArrowheads="1"/>
        </xdr:cNvSpPr>
      </xdr:nvSpPr>
      <xdr:spPr bwMode="auto">
        <a:xfrm>
          <a:off x="4323180" y="1713899"/>
          <a:ext cx="401616" cy="209010"/>
        </a:xfrm>
        <a:prstGeom prst="rect">
          <a:avLst/>
        </a:prstGeom>
        <a:gradFill>
          <a:gsLst>
            <a:gs pos="84000">
              <a:schemeClr val="accent1">
                <a:lumMod val="40000"/>
                <a:lumOff val="60000"/>
              </a:schemeClr>
            </a:gs>
            <a:gs pos="99000">
              <a:schemeClr val="accent1"/>
            </a:gs>
            <a:gs pos="16000">
              <a:schemeClr val="accent1">
                <a:lumMod val="20000"/>
                <a:lumOff val="80000"/>
              </a:schemeClr>
            </a:gs>
            <a:gs pos="0">
              <a:schemeClr val="bg1"/>
            </a:gs>
          </a:gsLst>
          <a:lin ang="5400000" scaled="1"/>
        </a:gradFill>
        <a:ln w="3175">
          <a:solidFill>
            <a:schemeClr val="bg1">
              <a:lumMod val="75000"/>
            </a:schemeClr>
          </a:solidFill>
        </a:ln>
        <a:effectLst>
          <a:outerShdw blurRad="50800" dist="38100" dir="5400000" algn="t" rotWithShape="0">
            <a:schemeClr val="accent1">
              <a:lumMod val="60000"/>
              <a:lumOff val="4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tx1">
                  <a:lumMod val="65000"/>
                  <a:lumOff val="35000"/>
                </a:schemeClr>
              </a:solidFill>
              <a:latin typeface="Calibri Light" panose="020F0302020204030204" pitchFamily="34" charset="0"/>
              <a:ea typeface="Verdana"/>
              <a:cs typeface="Calibri Light" panose="020F0302020204030204" pitchFamily="34" charset="0"/>
            </a:rPr>
            <a:t>var6</a:t>
          </a:r>
        </a:p>
      </xdr:txBody>
    </xdr:sp>
    <xdr:clientData/>
  </xdr:twoCellAnchor>
  <xdr:twoCellAnchor editAs="oneCell">
    <xdr:from>
      <xdr:col>7</xdr:col>
      <xdr:colOff>16719</xdr:colOff>
      <xdr:row>7</xdr:row>
      <xdr:rowOff>18449</xdr:rowOff>
    </xdr:from>
    <xdr:to>
      <xdr:col>7</xdr:col>
      <xdr:colOff>688434</xdr:colOff>
      <xdr:row>7</xdr:row>
      <xdr:rowOff>227459</xdr:rowOff>
    </xdr:to>
    <xdr:sp macro="" textlink="">
      <xdr:nvSpPr>
        <xdr:cNvPr id="10" name="Resultaten">
          <a:hlinkClick xmlns:r="http://schemas.openxmlformats.org/officeDocument/2006/relationships" r:id="rId9" tooltip="Naar het overzicht van de rekenresultaten van de referentie en de varianten."/>
          <a:extLst>
            <a:ext uri="{FF2B5EF4-FFF2-40B4-BE49-F238E27FC236}">
              <a16:creationId xmlns:a16="http://schemas.microsoft.com/office/drawing/2014/main" id="{80EB0C5B-75D1-4DB7-8330-949EEA916C44}"/>
            </a:ext>
          </a:extLst>
        </xdr:cNvPr>
        <xdr:cNvSpPr>
          <a:spLocks noChangeArrowheads="1"/>
        </xdr:cNvSpPr>
      </xdr:nvSpPr>
      <xdr:spPr bwMode="auto">
        <a:xfrm>
          <a:off x="4741119" y="1713899"/>
          <a:ext cx="671715"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resultaten</a:t>
          </a:r>
        </a:p>
      </xdr:txBody>
    </xdr:sp>
    <xdr:clientData/>
  </xdr:twoCellAnchor>
  <xdr:twoCellAnchor editAs="oneCell">
    <xdr:from>
      <xdr:col>7</xdr:col>
      <xdr:colOff>701543</xdr:colOff>
      <xdr:row>7</xdr:row>
      <xdr:rowOff>18449</xdr:rowOff>
    </xdr:from>
    <xdr:to>
      <xdr:col>7</xdr:col>
      <xdr:colOff>1488983</xdr:colOff>
      <xdr:row>7</xdr:row>
      <xdr:rowOff>227459</xdr:rowOff>
    </xdr:to>
    <xdr:sp macro="" textlink="">
      <xdr:nvSpPr>
        <xdr:cNvPr id="11" name="Bibliotheek">
          <a:hlinkClick xmlns:r="http://schemas.openxmlformats.org/officeDocument/2006/relationships" r:id="rId10" tooltip="Naar de bibilotheek met gegevens van gebouwen en installaties."/>
          <a:extLst>
            <a:ext uri="{FF2B5EF4-FFF2-40B4-BE49-F238E27FC236}">
              <a16:creationId xmlns:a16="http://schemas.microsoft.com/office/drawing/2014/main" id="{3DFB8443-8B89-4B01-8EEF-9E1C6A8602ED}"/>
            </a:ext>
          </a:extLst>
        </xdr:cNvPr>
        <xdr:cNvSpPr>
          <a:spLocks noChangeArrowheads="1"/>
        </xdr:cNvSpPr>
      </xdr:nvSpPr>
      <xdr:spPr bwMode="auto">
        <a:xfrm>
          <a:off x="5425943" y="1713899"/>
          <a:ext cx="787440" cy="209010"/>
        </a:xfrm>
        <a:prstGeom prst="rect">
          <a:avLst/>
        </a:prstGeom>
        <a:gradFill flip="none" rotWithShape="1">
          <a:gsLst>
            <a:gs pos="8000">
              <a:schemeClr val="bg1">
                <a:lumMod val="95000"/>
              </a:schemeClr>
            </a:gs>
            <a:gs pos="0">
              <a:schemeClr val="bg1"/>
            </a:gs>
            <a:gs pos="90036">
              <a:schemeClr val="bg1">
                <a:lumMod val="75000"/>
              </a:schemeClr>
            </a:gs>
            <a:gs pos="100000">
              <a:schemeClr val="bg1">
                <a:lumMod val="50000"/>
              </a:schemeClr>
            </a:gs>
          </a:gsLst>
          <a:lin ang="5400000" scaled="1"/>
          <a:tileRect/>
        </a:gradFill>
        <a:ln w="3175">
          <a:solidFill>
            <a:schemeClr val="bg1">
              <a:lumMod val="75000"/>
            </a:schemeClr>
          </a:solidFill>
        </a:ln>
        <a:effectLst>
          <a:outerShdw blurRad="50800" dist="38100" dir="5400000" algn="t" rotWithShape="0">
            <a:schemeClr val="bg1">
              <a:lumMod val="50000"/>
              <a:alpha val="40000"/>
            </a:schemeClr>
          </a:outerShdw>
        </a:effectLst>
      </xdr:spPr>
      <xdr:txBody>
        <a:bodyPr vertOverflow="clip" wrap="square" lIns="0" tIns="0" rIns="0" bIns="0" anchor="ctr" upright="1"/>
        <a:lstStyle/>
        <a:p>
          <a:pPr marL="0" indent="0" algn="ctr" rtl="0">
            <a:defRPr sz="1000"/>
          </a:pPr>
          <a:r>
            <a:rPr lang="nl-NL" sz="1000" b="0" i="0" u="none" strike="noStrike" baseline="0">
              <a:solidFill>
                <a:schemeClr val="accent1">
                  <a:lumMod val="75000"/>
                </a:schemeClr>
              </a:solidFill>
              <a:latin typeface="Calibri Light" panose="020F0302020204030204" pitchFamily="34" charset="0"/>
              <a:ea typeface="Verdana"/>
              <a:cs typeface="Calibri Light" panose="020F0302020204030204" pitchFamily="34" charset="0"/>
            </a:rPr>
            <a:t>bibliotheek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weadviseurs.sharepoint.com/sites/WE-TeamCOPI/Gedeelde%20documenten/5.%20Instrumenten/UMGO/09.%20UMGO%20Financieel%20-%20versie%20Jappe/UMGO%205%20WWW%20concepten%20%201,%203,%204,%2012,%2014,%2015,%2016%20-%20BEWERKT%20door%20Harry.xlsm" TargetMode="External"/><Relationship Id="rId1" Type="http://schemas.openxmlformats.org/officeDocument/2006/relationships/externalLinkPath" Target="file:///\\c1122p0620.cicwp.nl\8142-Userdata_P$\sites\WE-TeamCOPI\Gedeelde%20documenten\5.%20Instrumenten\UMGO\09.%20UMGO%20Financieel%20-%20versie%20Jappe\UMGO%205%20WWW%20concepten%20%201,%203,%204,%2012,%2014,%2015,%2016%20-%20BEWERKT%20door%20Harr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handleiding"/>
      <sheetName val="woningen|utiliteit"/>
      <sheetName val="variant 1"/>
      <sheetName val="variant 2"/>
      <sheetName val="variant 3"/>
      <sheetName val="variant 4"/>
      <sheetName val="variant 5"/>
      <sheetName val="variant 6"/>
      <sheetName val="resultaten"/>
      <sheetName val="rapport"/>
      <sheetName val="export voor www"/>
      <sheetName val="geld"/>
      <sheetName val="bibliotheek"/>
      <sheetName val="wijzigingen 5.0"/>
      <sheetName val="energiepakketten nieuwe woning"/>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83">
          <cell r="I83" t="str">
            <v>VR</v>
          </cell>
        </row>
        <row r="227">
          <cell r="I227" t="str">
            <v>nvt</v>
          </cell>
          <cell r="J227" t="str">
            <v>elektriciteit</v>
          </cell>
          <cell r="K227" t="str">
            <v>aardgas</v>
          </cell>
          <cell r="L227" t="str">
            <v>stookolie</v>
          </cell>
          <cell r="M227" t="str">
            <v>biomassa (bmA)</v>
          </cell>
          <cell r="N227" t="str">
            <v>biomassa (bmB)</v>
          </cell>
          <cell r="O227" t="str">
            <v>biomassa (bmC)</v>
          </cell>
          <cell r="P227" t="str">
            <v>externe warmte</v>
          </cell>
          <cell r="Q227" t="str">
            <v>externe koude</v>
          </cell>
          <cell r="R227" t="str">
            <v>bio-|groen gas</v>
          </cell>
          <cell r="S227" t="str">
            <v>AVI</v>
          </cell>
          <cell r="T227" t="str">
            <v>restwarmte</v>
          </cell>
        </row>
        <row r="321">
          <cell r="E321" t="str">
            <v>natuurlijk (A)</v>
          </cell>
          <cell r="G321" t="str">
            <v>kWh/m2</v>
          </cell>
          <cell r="I321">
            <v>18.778995801134073</v>
          </cell>
          <cell r="J321">
            <v>9.0618164510133283</v>
          </cell>
          <cell r="K321">
            <v>-1.2429640022508863</v>
          </cell>
          <cell r="L321">
            <v>15.35056554652931</v>
          </cell>
          <cell r="M321">
            <v>-5.6455728571322936</v>
          </cell>
          <cell r="N321">
            <v>97.294311688874672</v>
          </cell>
          <cell r="O321">
            <v>2.375058719678151</v>
          </cell>
          <cell r="P321">
            <v>-17.855897783637559</v>
          </cell>
          <cell r="Q321">
            <v>2.375058719678151</v>
          </cell>
          <cell r="R321">
            <v>19</v>
          </cell>
          <cell r="S321">
            <v>38.618000678654255</v>
          </cell>
          <cell r="T321">
            <v>38.618000678654255</v>
          </cell>
        </row>
        <row r="322">
          <cell r="E322" t="str">
            <v>mech (C1)</v>
          </cell>
          <cell r="G322" t="str">
            <v>kWh/m2</v>
          </cell>
          <cell r="I322">
            <v>11.009916570051516</v>
          </cell>
          <cell r="J322">
            <v>3.8538155108311827</v>
          </cell>
          <cell r="K322">
            <v>40.306697872991123</v>
          </cell>
          <cell r="L322">
            <v>74.272635191233903</v>
          </cell>
          <cell r="M322">
            <v>-2.8324125079391536</v>
          </cell>
          <cell r="N322">
            <v>128.12133316493339</v>
          </cell>
          <cell r="O322">
            <v>-3.6309719863250081</v>
          </cell>
          <cell r="P322">
            <v>-8.5034003102049667</v>
          </cell>
          <cell r="Q322">
            <v>-3.6309719863250081</v>
          </cell>
          <cell r="R322">
            <v>10.817170087227581</v>
          </cell>
          <cell r="S322">
            <v>31.078098740325309</v>
          </cell>
          <cell r="T322">
            <v>31.078098740325309</v>
          </cell>
        </row>
        <row r="323">
          <cell r="E323" t="str">
            <v>mech - CO2 (C4c)</v>
          </cell>
          <cell r="G323" t="str">
            <v>kWh/m2</v>
          </cell>
          <cell r="I323">
            <v>6.0683571325614967</v>
          </cell>
          <cell r="J323">
            <v>2.1241149916015312</v>
          </cell>
          <cell r="K323">
            <v>22.215921071818126</v>
          </cell>
          <cell r="L323">
            <v>40.936992814538051</v>
          </cell>
          <cell r="M323">
            <v>-1.5611463116498927</v>
          </cell>
          <cell r="N323">
            <v>70.616884423954673</v>
          </cell>
          <cell r="O323">
            <v>-2.0012898927210721</v>
          </cell>
          <cell r="P323">
            <v>-4.6868356899108194</v>
          </cell>
          <cell r="Q323">
            <v>-2.0012898927210721</v>
          </cell>
          <cell r="R323">
            <v>5.9621206786902308</v>
          </cell>
          <cell r="S323">
            <v>17.129376136264504</v>
          </cell>
          <cell r="T323">
            <v>17.129376136264504</v>
          </cell>
        </row>
        <row r="324">
          <cell r="E324" t="str">
            <v>balans (D1)</v>
          </cell>
          <cell r="G324" t="str">
            <v>kWh/m2</v>
          </cell>
          <cell r="I324">
            <v>-4.0334808685668122</v>
          </cell>
          <cell r="J324">
            <v>-11.25877536050632</v>
          </cell>
          <cell r="K324">
            <v>-1.1123803126455498</v>
          </cell>
          <cell r="L324">
            <v>55.952184563640266</v>
          </cell>
          <cell r="M324">
            <v>-6.3629624972518357</v>
          </cell>
          <cell r="N324">
            <v>7.0393796355470837</v>
          </cell>
          <cell r="O324">
            <v>-8.2687669690466095</v>
          </cell>
          <cell r="P324">
            <v>-16.514863153395563</v>
          </cell>
          <cell r="Q324">
            <v>-8.2687669690466095</v>
          </cell>
          <cell r="R324">
            <v>1.6306948449062828</v>
          </cell>
          <cell r="S324">
            <v>-0.03</v>
          </cell>
          <cell r="T324">
            <v>-0.03</v>
          </cell>
        </row>
        <row r="325">
          <cell r="E325" t="str">
            <v>balans WTW (D2)</v>
          </cell>
          <cell r="G325" t="str">
            <v>kWh/m2</v>
          </cell>
          <cell r="I325">
            <v>1.1959939120739449</v>
          </cell>
          <cell r="J325">
            <v>-14.991003007842707</v>
          </cell>
          <cell r="K325">
            <v>-1.4811288154153672</v>
          </cell>
          <cell r="L325">
            <v>-1.9631917714431779</v>
          </cell>
          <cell r="M325">
            <v>-5.9113671946463064</v>
          </cell>
          <cell r="N325">
            <v>6.5397773232526024</v>
          </cell>
          <cell r="O325">
            <v>-8.9076230278572552</v>
          </cell>
          <cell r="P325">
            <v>-16.030485167601999</v>
          </cell>
          <cell r="Q325">
            <v>10.504326754715208</v>
          </cell>
          <cell r="R325">
            <v>1.3950162673744533</v>
          </cell>
          <cell r="S325">
            <v>12.99</v>
          </cell>
          <cell r="T325">
            <v>12.99</v>
          </cell>
        </row>
        <row r="327">
          <cell r="E327" t="str">
            <v>natuurlijk (A)</v>
          </cell>
          <cell r="G327" t="str">
            <v>kWh/m2</v>
          </cell>
          <cell r="I327">
            <v>28.782700024450904</v>
          </cell>
          <cell r="J327">
            <v>36.814592464587712</v>
          </cell>
          <cell r="K327">
            <v>76.596612988078817</v>
          </cell>
          <cell r="L327">
            <v>73.727624196431563</v>
          </cell>
          <cell r="M327">
            <v>40.501867122561102</v>
          </cell>
          <cell r="N327">
            <v>46.685474230004786</v>
          </cell>
          <cell r="O327">
            <v>28.232086539361777</v>
          </cell>
          <cell r="P327">
            <v>23.843392511800541</v>
          </cell>
          <cell r="Q327">
            <v>28.232086539361777</v>
          </cell>
          <cell r="R327">
            <v>18.889043405628165</v>
          </cell>
          <cell r="S327">
            <v>47.965745868732967</v>
          </cell>
          <cell r="T327">
            <v>47.965745868732967</v>
          </cell>
        </row>
        <row r="328">
          <cell r="E328" t="str">
            <v>mech (C1)</v>
          </cell>
          <cell r="G328" t="str">
            <v>kWh/m2</v>
          </cell>
          <cell r="I328">
            <v>34.62390198325263</v>
          </cell>
          <cell r="J328">
            <v>43.686737008735896</v>
          </cell>
          <cell r="K328">
            <v>49.945191180450472</v>
          </cell>
          <cell r="L328">
            <v>32.194310457724569</v>
          </cell>
          <cell r="M328">
            <v>39.627691288837326</v>
          </cell>
          <cell r="N328">
            <v>37.530816258113887</v>
          </cell>
          <cell r="O328">
            <v>30.677212523207018</v>
          </cell>
          <cell r="P328">
            <v>15.701994376780558</v>
          </cell>
          <cell r="Q328">
            <v>30.677212523207018</v>
          </cell>
          <cell r="R328">
            <v>22.222404006621371</v>
          </cell>
          <cell r="S328">
            <v>44.133463424115213</v>
          </cell>
          <cell r="T328">
            <v>44.133463424115213</v>
          </cell>
        </row>
        <row r="329">
          <cell r="E329" t="str">
            <v>mech - CO2 (C4c)</v>
          </cell>
          <cell r="G329" t="str">
            <v>kWh/m2</v>
          </cell>
          <cell r="I329">
            <v>19.083723407015622</v>
          </cell>
          <cell r="J329">
            <v>24.07890381716674</v>
          </cell>
          <cell r="K329">
            <v>27.528388177024674</v>
          </cell>
          <cell r="L329">
            <v>17.74460071981435</v>
          </cell>
          <cell r="M329">
            <v>21.841671692016817</v>
          </cell>
          <cell r="N329">
            <v>20.685933002461866</v>
          </cell>
          <cell r="O329">
            <v>16.908418900165849</v>
          </cell>
          <cell r="P329">
            <v>8.6544987843927839</v>
          </cell>
          <cell r="Q329">
            <v>16.908418900165849</v>
          </cell>
          <cell r="R329">
            <v>12.248365643665636</v>
          </cell>
          <cell r="S329">
            <v>43.659344891707278</v>
          </cell>
          <cell r="T329">
            <v>43.659344891707278</v>
          </cell>
        </row>
        <row r="330">
          <cell r="E330" t="str">
            <v>balans (D1)</v>
          </cell>
          <cell r="G330" t="str">
            <v>kWh/m2</v>
          </cell>
          <cell r="I330">
            <v>30.454984834660923</v>
          </cell>
          <cell r="J330">
            <v>36.26245587776603</v>
          </cell>
          <cell r="K330">
            <v>48.33961864440694</v>
          </cell>
          <cell r="L330">
            <v>26.381724289707748</v>
          </cell>
          <cell r="M330">
            <v>39.964756267039462</v>
          </cell>
          <cell r="N330">
            <v>1.8532794081316093</v>
          </cell>
          <cell r="O330">
            <v>22.651341799340372</v>
          </cell>
          <cell r="P330">
            <v>15.889391561339293</v>
          </cell>
          <cell r="Q330">
            <v>22.651341799340372</v>
          </cell>
          <cell r="R330">
            <v>5.1752782943362448</v>
          </cell>
          <cell r="S330">
            <v>48.298423583368368</v>
          </cell>
          <cell r="T330">
            <v>48.298423583368368</v>
          </cell>
        </row>
        <row r="331">
          <cell r="E331" t="str">
            <v>balans WTW (D2)</v>
          </cell>
          <cell r="G331" t="str">
            <v>kWh/m2</v>
          </cell>
          <cell r="I331">
            <v>16.285405563736955</v>
          </cell>
          <cell r="J331">
            <v>34.156405483345303</v>
          </cell>
          <cell r="K331">
            <v>45.5321509633605</v>
          </cell>
          <cell r="L331">
            <v>36.575216718337622</v>
          </cell>
          <cell r="M331">
            <v>26.261431579327059</v>
          </cell>
          <cell r="N331">
            <v>1.8532794081316093</v>
          </cell>
          <cell r="O331">
            <v>23.247047835017348</v>
          </cell>
          <cell r="P331">
            <v>22.155338664289737</v>
          </cell>
          <cell r="Q331">
            <v>12.197602168531507</v>
          </cell>
          <cell r="R331">
            <v>1.8975382529309441</v>
          </cell>
          <cell r="S331">
            <v>43.099152864230959</v>
          </cell>
          <cell r="T331">
            <v>43.099152864230959</v>
          </cell>
        </row>
        <row r="333">
          <cell r="E333" t="str">
            <v>natuurlijk (A)</v>
          </cell>
          <cell r="G333" t="str">
            <v>kWh/m2</v>
          </cell>
          <cell r="I333">
            <v>1.4</v>
          </cell>
          <cell r="J333">
            <v>1.2</v>
          </cell>
          <cell r="K333">
            <v>0.52</v>
          </cell>
          <cell r="L333">
            <v>0.4</v>
          </cell>
          <cell r="M333">
            <v>1.1499999999999999</v>
          </cell>
          <cell r="N333">
            <v>0.91</v>
          </cell>
          <cell r="O333">
            <v>1.365</v>
          </cell>
          <cell r="P333">
            <v>1.1100000000000001</v>
          </cell>
          <cell r="Q333">
            <v>1.365</v>
          </cell>
          <cell r="R333">
            <v>1.41</v>
          </cell>
          <cell r="S333">
            <v>0.82</v>
          </cell>
          <cell r="T333">
            <v>0.82</v>
          </cell>
        </row>
        <row r="334">
          <cell r="E334" t="str">
            <v>mech (C1)</v>
          </cell>
          <cell r="G334" t="str">
            <v>kWh/m2</v>
          </cell>
          <cell r="I334">
            <v>1.33</v>
          </cell>
          <cell r="J334">
            <v>1.07</v>
          </cell>
          <cell r="K334">
            <v>1.07</v>
          </cell>
          <cell r="L334">
            <v>1.29</v>
          </cell>
          <cell r="M334">
            <v>1.23</v>
          </cell>
          <cell r="N334">
            <v>0.88</v>
          </cell>
          <cell r="O334">
            <v>1.39</v>
          </cell>
          <cell r="P334">
            <v>1.39</v>
          </cell>
          <cell r="Q334">
            <v>1.39</v>
          </cell>
          <cell r="R334">
            <v>1.41</v>
          </cell>
          <cell r="S334">
            <v>1.01</v>
          </cell>
          <cell r="T334">
            <v>1.01</v>
          </cell>
        </row>
        <row r="335">
          <cell r="E335" t="str">
            <v>mech - CO2 (C4c)</v>
          </cell>
          <cell r="G335" t="str">
            <v>kWh/m2</v>
          </cell>
          <cell r="I335">
            <v>1.93</v>
          </cell>
          <cell r="J335">
            <v>1.3</v>
          </cell>
          <cell r="K335">
            <v>0.84</v>
          </cell>
          <cell r="L335">
            <v>0.97</v>
          </cell>
          <cell r="M335">
            <v>1.25</v>
          </cell>
          <cell r="N335">
            <v>3.96</v>
          </cell>
          <cell r="O335">
            <v>1.64</v>
          </cell>
          <cell r="P335">
            <v>1.02</v>
          </cell>
          <cell r="Q335">
            <v>2.27</v>
          </cell>
          <cell r="R335">
            <v>3.5</v>
          </cell>
          <cell r="S335">
            <v>1.04</v>
          </cell>
          <cell r="T335">
            <v>1.04</v>
          </cell>
        </row>
        <row r="336">
          <cell r="E336" t="str">
            <v>balans (D1)</v>
          </cell>
          <cell r="G336" t="str">
            <v>kWh/m2</v>
          </cell>
          <cell r="I336">
            <v>1.38</v>
          </cell>
          <cell r="J336">
            <v>1.31</v>
          </cell>
          <cell r="K336">
            <v>0.89195876288659792</v>
          </cell>
          <cell r="L336">
            <v>1.03</v>
          </cell>
          <cell r="M336">
            <v>0.89</v>
          </cell>
          <cell r="N336">
            <v>2.8195199999999998</v>
          </cell>
          <cell r="O336">
            <v>1.44</v>
          </cell>
          <cell r="P336">
            <v>1.4</v>
          </cell>
          <cell r="Q336">
            <v>1.44</v>
          </cell>
          <cell r="R336">
            <v>0.6</v>
          </cell>
          <cell r="S336">
            <v>0.86</v>
          </cell>
          <cell r="T336">
            <v>0.86</v>
          </cell>
        </row>
        <row r="337">
          <cell r="E337" t="str">
            <v>balans WTW (D2)</v>
          </cell>
          <cell r="G337" t="str">
            <v>kWh/m2</v>
          </cell>
          <cell r="I337">
            <v>1.93</v>
          </cell>
          <cell r="J337">
            <v>1.3</v>
          </cell>
          <cell r="K337">
            <v>0.84</v>
          </cell>
          <cell r="L337">
            <v>0.97</v>
          </cell>
          <cell r="M337">
            <v>1.25</v>
          </cell>
          <cell r="N337">
            <v>3.96</v>
          </cell>
          <cell r="O337">
            <v>1.64</v>
          </cell>
          <cell r="P337">
            <v>1.02</v>
          </cell>
          <cell r="Q337">
            <v>2.27</v>
          </cell>
          <cell r="R337">
            <v>3.5</v>
          </cell>
          <cell r="S337">
            <v>1.06</v>
          </cell>
          <cell r="T337">
            <v>1.06</v>
          </cell>
        </row>
        <row r="366">
          <cell r="I366" t="str">
            <v>mech (C1)</v>
          </cell>
        </row>
      </sheetData>
      <sheetData sheetId="14" refreshError="1"/>
      <sheetData sheetId="15" refreshError="1"/>
    </sheetDataSet>
  </externalBook>
</externalLink>
</file>

<file path=xl/persons/person.xml><?xml version="1.0" encoding="utf-8"?>
<personList xmlns="http://schemas.microsoft.com/office/spreadsheetml/2018/threadedcomments" xmlns:x="http://schemas.openxmlformats.org/spreadsheetml/2006/main">
  <person displayName="Nick ten Caat" id="{7278173B-8E8A-4399-B536-5E768F065607}" userId="caat@w-e.nl" providerId="PeoplePicker"/>
  <person displayName="Pieter Nuiten" id="{5B44134B-3C2B-424E-8687-576D2821C22B}" userId="S::nuiten@w-e.nl::bc7501dd-77aa-4cc2-8702-5012adc594f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415" dT="2026-03-31T09:07:25.00" personId="{5B44134B-3C2B-424E-8687-576D2821C22B}" id="{FED65A8A-52D8-4238-A50E-45B179061356}">
    <text>@Nick ten Caat Updaten.</text>
    <mentions>
      <mention mentionpersonId="{7278173B-8E8A-4399-B536-5E768F065607}" mentionId="{EF2B46A7-2B7C-4556-A9B9-0801BD068698}" startIndex="0"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rvo.nl/onderwerpen/verduurzaming-warmtevoorziening/uniforme-maatla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installatiemonitor.nl/" TargetMode="External"/><Relationship Id="rId13" Type="http://schemas.openxmlformats.org/officeDocument/2006/relationships/printerSettings" Target="../printerSettings/printerSettings11.bin"/><Relationship Id="rId3" Type="http://schemas.openxmlformats.org/officeDocument/2006/relationships/hyperlink" Target="https://www.internetconsultatie.nl/wijzigingwarmteregeling/document/1311" TargetMode="External"/><Relationship Id="rId7" Type="http://schemas.openxmlformats.org/officeDocument/2006/relationships/hyperlink" Target="https://bcrg.nl/nl/" TargetMode="External"/><Relationship Id="rId12" Type="http://schemas.openxmlformats.org/officeDocument/2006/relationships/hyperlink" Target="https://www.rvo.nl/sites/default/files/2017/02/Referentiegebouwen%20BENG.pdf" TargetMode="External"/><Relationship Id="rId17" Type="http://schemas.microsoft.com/office/2017/10/relationships/threadedComment" Target="../threadedComments/threadedComment1.xml"/><Relationship Id="rId2" Type="http://schemas.openxmlformats.org/officeDocument/2006/relationships/hyperlink" Target="https://opendata.cbs.nl/statline/" TargetMode="External"/><Relationship Id="rId16" Type="http://schemas.openxmlformats.org/officeDocument/2006/relationships/comments" Target="../comments1.xml"/><Relationship Id="rId1" Type="http://schemas.openxmlformats.org/officeDocument/2006/relationships/hyperlink" Target="https://opendata.cbs.nl/statline/" TargetMode="External"/><Relationship Id="rId6" Type="http://schemas.openxmlformats.org/officeDocument/2006/relationships/hyperlink" Target="https://zoek.officielebekendmakingen.nl/stb-2019-501.html" TargetMode="External"/><Relationship Id="rId11" Type="http://schemas.openxmlformats.org/officeDocument/2006/relationships/hyperlink" Target="https://www.rvo.nl/sites/default/files/2017/02/Referentiegebouwen%20BENG.pdf" TargetMode="External"/><Relationship Id="rId5" Type="http://schemas.openxmlformats.org/officeDocument/2006/relationships/hyperlink" Target="https://www.rvo.nl/onderwerpen/duurzaam-ondernemen/gebouwen/wetten-en-regels/standaard-en-streefwaarden-voor-woningisolatie" TargetMode="External"/><Relationship Id="rId15" Type="http://schemas.openxmlformats.org/officeDocument/2006/relationships/vmlDrawing" Target="../drawings/vmlDrawing1.vml"/><Relationship Id="rId10" Type="http://schemas.openxmlformats.org/officeDocument/2006/relationships/hyperlink" Target="https://www.rvo.nl/onderwerpen/renovatiestandaard" TargetMode="External"/><Relationship Id="rId4" Type="http://schemas.openxmlformats.org/officeDocument/2006/relationships/hyperlink" Target="https://wetten.overheid.nl/BWBR0020921/2021-07-01" TargetMode="External"/><Relationship Id="rId9" Type="http://schemas.openxmlformats.org/officeDocument/2006/relationships/hyperlink" Target="http://www.installatiemonitor.nl/" TargetMode="External"/><Relationship Id="rId14"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rvo.nl/onderwerpen/verduurzaming-warmtevoorziening/uniforme-maatla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zoek.officielebekendmakingen.nl/stb-2019-501.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zoek.officielebekendmakingen.nl/stb-2019-501.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zoek.officielebekendmakingen.nl/stb-2019-501.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zoek.officielebekendmakingen.nl/stb-2019-501.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zoek.officielebekendmakingen.nl/stb-2019-501.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zoek.officielebekendmakingen.nl/stb-2019-5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0070C0"/>
    <outlinePr showOutlineSymbols="0"/>
  </sheetPr>
  <dimension ref="D1:BH79"/>
  <sheetViews>
    <sheetView showGridLines="0" showRowColHeaders="0" tabSelected="1" zoomScaleNormal="100" workbookViewId="0">
      <pane ySplit="6" topLeftCell="A7" activePane="bottomLeft" state="frozen"/>
      <selection pane="bottomLeft" activeCell="F7" sqref="F7"/>
    </sheetView>
  </sheetViews>
  <sheetFormatPr defaultRowHeight="10.5" customHeight="1"/>
  <cols>
    <col min="1" max="1" width="0.5703125" customWidth="1"/>
    <col min="2" max="4" width="2.7109375" customWidth="1"/>
    <col min="5" max="5" width="102.42578125" style="36" customWidth="1"/>
    <col min="6" max="6" width="9.140625" style="231" customWidth="1"/>
    <col min="7" max="8" width="9.140625" customWidth="1"/>
  </cols>
  <sheetData>
    <row r="1" spans="4:60" s="699" customFormat="1" ht="21">
      <c r="D1" s="693"/>
      <c r="E1" s="1216" t="str">
        <f>disclaimer!$E$7&amp;" - "&amp;"versie "&amp;TEXT(disclaimer!$E$8,"d mmm jjjj")</f>
        <v>Uniforme Maatlat Gebouwde Omgeving 5.3.0 - versie 7 aug 2026</v>
      </c>
      <c r="F1" s="697"/>
      <c r="G1" s="697"/>
      <c r="H1" s="696"/>
      <c r="I1" s="697"/>
      <c r="J1" s="695"/>
      <c r="K1" s="698"/>
      <c r="L1" s="698"/>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4:60" ht="15.75">
      <c r="D2" s="47"/>
      <c r="E2" s="573"/>
    </row>
    <row r="3" spans="4:60" ht="15.75">
      <c r="D3" s="45"/>
      <c r="E3" s="46"/>
    </row>
    <row r="4" spans="4:60" ht="21">
      <c r="D4" s="47"/>
      <c r="E4" s="572"/>
    </row>
    <row r="5" spans="4:60" ht="15.75">
      <c r="D5" s="47"/>
      <c r="E5" s="573"/>
    </row>
    <row r="6" spans="4:60" ht="15.75">
      <c r="D6" s="47"/>
      <c r="E6" s="573"/>
    </row>
    <row r="7" spans="4:60" ht="21">
      <c r="D7" s="47"/>
      <c r="E7" s="421" t="s">
        <v>1163</v>
      </c>
    </row>
    <row r="8" spans="4:60" ht="12.75">
      <c r="D8" s="49"/>
      <c r="E8" s="672">
        <v>46241</v>
      </c>
    </row>
    <row r="9" spans="4:60" ht="191.25">
      <c r="D9" s="47"/>
      <c r="E9" s="681" t="s">
        <v>1366</v>
      </c>
      <c r="F9" s="633"/>
    </row>
    <row r="10" spans="4:60" ht="15.75">
      <c r="D10" s="45"/>
      <c r="E10" s="682"/>
    </row>
    <row r="11" spans="4:60" ht="15.75">
      <c r="D11" s="45"/>
      <c r="E11" s="914" t="s">
        <v>0</v>
      </c>
    </row>
    <row r="12" spans="4:60" ht="15.75">
      <c r="D12" s="45"/>
      <c r="E12" s="673"/>
    </row>
    <row r="13" spans="4:60" ht="21">
      <c r="D13" s="45"/>
      <c r="E13" s="674" t="s">
        <v>1187</v>
      </c>
    </row>
    <row r="14" spans="4:60" ht="12.75">
      <c r="D14" s="49"/>
      <c r="E14" s="675" t="s">
        <v>11</v>
      </c>
    </row>
    <row r="15" spans="4:60" ht="76.5">
      <c r="D15" s="45"/>
      <c r="E15" s="577" t="s">
        <v>1217</v>
      </c>
      <c r="F15" s="1165"/>
    </row>
    <row r="16" spans="4:60" ht="15.75">
      <c r="D16" s="45"/>
      <c r="E16" s="577" t="s">
        <v>1337</v>
      </c>
      <c r="F16" s="1165"/>
    </row>
    <row r="17" spans="4:6" ht="15.75">
      <c r="D17" s="45"/>
      <c r="E17" s="577" t="s">
        <v>1339</v>
      </c>
      <c r="F17" s="1165"/>
    </row>
    <row r="18" spans="4:6" ht="25.5">
      <c r="D18" s="45"/>
      <c r="E18" s="577" t="s">
        <v>1305</v>
      </c>
      <c r="F18" s="1165"/>
    </row>
    <row r="19" spans="4:6" ht="51">
      <c r="D19" s="45"/>
      <c r="E19" s="1161" t="s">
        <v>1342</v>
      </c>
      <c r="F19" s="1165"/>
    </row>
    <row r="20" spans="4:6" ht="64.5" customHeight="1">
      <c r="D20" s="45"/>
      <c r="E20" s="577" t="s">
        <v>1338</v>
      </c>
      <c r="F20" s="1165"/>
    </row>
    <row r="21" spans="4:6" ht="15.75">
      <c r="D21" s="45"/>
      <c r="E21" s="577" t="s">
        <v>1164</v>
      </c>
      <c r="F21" s="1165"/>
    </row>
    <row r="22" spans="4:6" ht="86.25" customHeight="1">
      <c r="D22" s="45"/>
      <c r="E22" s="1161" t="s">
        <v>1387</v>
      </c>
      <c r="F22" s="1166"/>
    </row>
    <row r="23" spans="4:6" ht="45.75" customHeight="1">
      <c r="D23" s="45"/>
      <c r="E23" s="577" t="s">
        <v>1188</v>
      </c>
      <c r="F23" s="1165"/>
    </row>
    <row r="24" spans="4:6" ht="15.75">
      <c r="D24" s="45"/>
      <c r="E24" s="673"/>
    </row>
    <row r="25" spans="4:6" ht="21">
      <c r="D25" s="45"/>
      <c r="E25" s="674" t="s">
        <v>1117</v>
      </c>
    </row>
    <row r="26" spans="4:6" ht="12.75">
      <c r="D26" s="49"/>
      <c r="E26" s="675" t="s">
        <v>11</v>
      </c>
    </row>
    <row r="27" spans="4:6" ht="15.75">
      <c r="D27" s="45"/>
      <c r="E27" s="577" t="s">
        <v>1115</v>
      </c>
    </row>
    <row r="28" spans="4:6" ht="15.75">
      <c r="D28" s="45"/>
      <c r="E28" s="673"/>
    </row>
    <row r="29" spans="4:6" ht="21">
      <c r="D29" s="45"/>
      <c r="E29" s="674" t="s">
        <v>1114</v>
      </c>
    </row>
    <row r="30" spans="4:6" ht="12.75">
      <c r="D30" s="49"/>
      <c r="E30" s="675" t="s">
        <v>11</v>
      </c>
    </row>
    <row r="31" spans="4:6" ht="15.75">
      <c r="D31" s="45"/>
      <c r="E31" s="577" t="s">
        <v>1113</v>
      </c>
    </row>
    <row r="32" spans="4:6" ht="15.75">
      <c r="D32" s="45"/>
      <c r="E32" s="673"/>
    </row>
    <row r="33" spans="4:5" ht="21">
      <c r="D33" s="45"/>
      <c r="E33" s="674" t="s">
        <v>1065</v>
      </c>
    </row>
    <row r="34" spans="4:5" ht="12.75">
      <c r="D34" s="49"/>
      <c r="E34" s="675" t="s">
        <v>957</v>
      </c>
    </row>
    <row r="35" spans="4:5" ht="15.75">
      <c r="D35" s="45"/>
      <c r="E35" s="577" t="s">
        <v>1101</v>
      </c>
    </row>
    <row r="36" spans="4:5" ht="12.75">
      <c r="D36" s="49"/>
      <c r="E36" s="675" t="s">
        <v>11</v>
      </c>
    </row>
    <row r="37" spans="4:5" ht="51">
      <c r="D37" s="45"/>
      <c r="E37" s="577" t="s">
        <v>1109</v>
      </c>
    </row>
    <row r="38" spans="4:5" ht="15.75">
      <c r="D38" s="45"/>
      <c r="E38" s="577" t="s">
        <v>1112</v>
      </c>
    </row>
    <row r="39" spans="4:5" ht="15.75">
      <c r="D39" s="45"/>
      <c r="E39" s="577" t="s">
        <v>1111</v>
      </c>
    </row>
    <row r="40" spans="4:5" ht="15.75">
      <c r="D40" s="45"/>
      <c r="E40" s="577" t="s">
        <v>914</v>
      </c>
    </row>
    <row r="41" spans="4:5" ht="15.75">
      <c r="D41" s="45"/>
      <c r="E41" s="673"/>
    </row>
    <row r="42" spans="4:5" ht="21">
      <c r="D42" s="45"/>
      <c r="E42" s="674" t="s">
        <v>956</v>
      </c>
    </row>
    <row r="43" spans="4:5" ht="12.75">
      <c r="D43" s="49"/>
      <c r="E43" s="675" t="s">
        <v>957</v>
      </c>
    </row>
    <row r="44" spans="4:5" ht="15.75">
      <c r="D44" s="45"/>
      <c r="E44" s="577" t="s">
        <v>1013</v>
      </c>
    </row>
    <row r="45" spans="4:5" ht="15.75">
      <c r="D45" s="45"/>
      <c r="E45" s="577" t="s">
        <v>958</v>
      </c>
    </row>
    <row r="46" spans="4:5" ht="15.75">
      <c r="D46" s="45"/>
      <c r="E46" s="577" t="s">
        <v>959</v>
      </c>
    </row>
    <row r="47" spans="4:5" ht="15.75">
      <c r="D47" s="45"/>
      <c r="E47" s="577" t="s">
        <v>1014</v>
      </c>
    </row>
    <row r="48" spans="4:5" ht="12.75">
      <c r="D48" s="49"/>
      <c r="E48" s="675" t="s">
        <v>11</v>
      </c>
    </row>
    <row r="49" spans="4:5" ht="15.75">
      <c r="D49" s="45"/>
      <c r="E49" s="577" t="s">
        <v>914</v>
      </c>
    </row>
    <row r="50" spans="4:5" ht="15.75">
      <c r="D50" s="45"/>
      <c r="E50" s="577" t="s">
        <v>1018</v>
      </c>
    </row>
    <row r="51" spans="4:5" ht="15.75">
      <c r="D51" s="45"/>
      <c r="E51" s="577" t="s">
        <v>959</v>
      </c>
    </row>
    <row r="52" spans="4:5" ht="15.75">
      <c r="D52" s="45"/>
      <c r="E52" s="673"/>
    </row>
    <row r="53" spans="4:5" ht="21">
      <c r="D53" s="45"/>
      <c r="E53" s="674" t="s">
        <v>913</v>
      </c>
    </row>
    <row r="54" spans="4:5" ht="12.75">
      <c r="D54" s="49"/>
      <c r="E54" s="675" t="s">
        <v>11</v>
      </c>
    </row>
    <row r="55" spans="4:5" ht="15.75">
      <c r="D55" s="45"/>
      <c r="E55" s="577" t="s">
        <v>914</v>
      </c>
    </row>
    <row r="56" spans="4:5" ht="15.75">
      <c r="D56" s="45"/>
      <c r="E56" s="673"/>
    </row>
    <row r="57" spans="4:5" ht="21">
      <c r="D57" s="45"/>
      <c r="E57" s="674" t="s">
        <v>1</v>
      </c>
    </row>
    <row r="58" spans="4:5" ht="12.75">
      <c r="D58" s="49"/>
      <c r="E58" s="675" t="s">
        <v>2</v>
      </c>
    </row>
    <row r="59" spans="4:5" ht="25.5">
      <c r="D59" s="45"/>
      <c r="E59" s="577" t="s">
        <v>3</v>
      </c>
    </row>
    <row r="60" spans="4:5" ht="15.75">
      <c r="D60" s="45"/>
      <c r="E60" s="805" t="s">
        <v>4</v>
      </c>
    </row>
    <row r="61" spans="4:5" ht="51">
      <c r="D61" s="45"/>
      <c r="E61" s="805" t="s">
        <v>5</v>
      </c>
    </row>
    <row r="62" spans="4:5" ht="15.75">
      <c r="D62" s="45"/>
      <c r="E62" s="805" t="s">
        <v>6</v>
      </c>
    </row>
    <row r="63" spans="4:5" ht="15.75">
      <c r="D63" s="45"/>
      <c r="E63" s="805" t="s">
        <v>7</v>
      </c>
    </row>
    <row r="64" spans="4:5" ht="15.75">
      <c r="D64" s="45"/>
      <c r="E64" s="805" t="s">
        <v>8</v>
      </c>
    </row>
    <row r="65" spans="4:5" ht="63.75">
      <c r="D65" s="45"/>
      <c r="E65" s="805" t="s">
        <v>9</v>
      </c>
    </row>
    <row r="66" spans="4:5" ht="15.75">
      <c r="D66" s="45"/>
      <c r="E66" s="673"/>
    </row>
    <row r="67" spans="4:5" ht="21">
      <c r="D67" s="45"/>
      <c r="E67" s="674" t="s">
        <v>10</v>
      </c>
    </row>
    <row r="68" spans="4:5" ht="12.75">
      <c r="D68" s="49"/>
      <c r="E68" s="675" t="s">
        <v>11</v>
      </c>
    </row>
    <row r="69" spans="4:5" ht="51">
      <c r="D69" s="45"/>
      <c r="E69" s="577" t="s">
        <v>12</v>
      </c>
    </row>
    <row r="70" spans="4:5" ht="15.75">
      <c r="D70" s="45"/>
      <c r="E70" s="577" t="s">
        <v>13</v>
      </c>
    </row>
    <row r="71" spans="4:5" ht="15.75">
      <c r="D71" s="45"/>
      <c r="E71" s="577" t="s">
        <v>14</v>
      </c>
    </row>
    <row r="72" spans="4:5" ht="15.75">
      <c r="D72" s="45"/>
      <c r="E72" s="577" t="s">
        <v>15</v>
      </c>
    </row>
    <row r="73" spans="4:5" ht="15.75">
      <c r="D73" s="45"/>
      <c r="E73" s="673"/>
    </row>
    <row r="74" spans="4:5" ht="21">
      <c r="D74" s="45"/>
      <c r="E74" s="674" t="s">
        <v>16</v>
      </c>
    </row>
    <row r="75" spans="4:5" ht="12.75">
      <c r="D75" s="49"/>
      <c r="E75" s="675" t="s">
        <v>17</v>
      </c>
    </row>
    <row r="76" spans="4:5" ht="15.75">
      <c r="D76" s="45"/>
      <c r="E76" s="683" t="s">
        <v>18</v>
      </c>
    </row>
    <row r="77" spans="4:5" ht="15.75">
      <c r="D77" s="48"/>
      <c r="E77" s="680"/>
    </row>
    <row r="78" spans="4:5" ht="21">
      <c r="D78" s="49"/>
      <c r="E78" s="674" t="s">
        <v>19</v>
      </c>
    </row>
    <row r="79" spans="4:5" ht="38.25">
      <c r="D79" s="48"/>
      <c r="E79" s="576" t="s">
        <v>20</v>
      </c>
    </row>
  </sheetData>
  <sheetProtection algorithmName="SHA-512" hashValue="Zdzl6vDFKlb7VVgm/5q1dROdqM7Ur8UQtnggzqVfGYeb6azaliT3O68iu2jx04ouUE38N1yPpMlJsf13nEPgZw==" saltValue="A57SvDC3V+gpGyeG9zinIQ==" spinCount="100000" sheet="1" objects="1" scenarios="1" formatColumns="0" selectLockedCells="1" autoFilter="0" selectUnlockedCells="1"/>
  <phoneticPr fontId="0" type="noConversion"/>
  <hyperlinks>
    <hyperlink ref="E11" r:id="rId1" tooltip="Naar de website van UMGO" xr:uid="{00000000-0004-0000-0000-000003000000}"/>
    <hyperlink ref="E76" location="'wijzigingen 5.0'!A1" tooltip="naar tabblad met wijzigingen in UMGO 5.0 t.o.v. UMGO 4.3.2" display="&gt;&gt; Zie apart tabblad 'wijzigingen 5.0'" xr:uid="{CA896F1B-4477-4650-A3A3-C0E94D7D3815}"/>
  </hyperlinks>
  <pageMargins left="0.74803149606299213" right="0.74803149606299213" top="0.39370078740157483" bottom="0.39370078740157483" header="0.51181102362204722" footer="0.51181102362204722"/>
  <pageSetup paperSize="9" fitToHeight="2" orientation="portrait" r:id="rId2"/>
  <headerFooter alignWithMargins="0">
    <oddFooter>&amp;L_x000D_&amp;1#&amp;"Aptos"&amp;10&amp;K000000 Intern gebruik</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filterMode="1">
    <tabColor theme="6" tint="-0.249977111117893"/>
    <pageSetUpPr fitToPage="1"/>
  </sheetPr>
  <dimension ref="A1:S306"/>
  <sheetViews>
    <sheetView showGridLines="0" showRowColHeaders="0" zoomScaleNormal="100" workbookViewId="0">
      <pane xSplit="7" ySplit="75" topLeftCell="M305" activePane="bottomRight" state="frozen"/>
      <selection pane="topRight" activeCell="H1" sqref="H1"/>
      <selection pane="bottomLeft" activeCell="A76" sqref="A76"/>
      <selection pane="bottomRight" activeCell="P307" sqref="P307"/>
    </sheetView>
  </sheetViews>
  <sheetFormatPr defaultColWidth="12.7109375" defaultRowHeight="15.75"/>
  <cols>
    <col min="1" max="1" width="0.5703125" style="827" customWidth="1"/>
    <col min="2" max="2" width="2.7109375" style="1024" customWidth="1"/>
    <col min="3" max="3" width="2.7109375" style="52" customWidth="1"/>
    <col min="4" max="4" width="2.7109375" customWidth="1"/>
    <col min="5" max="6" width="31" customWidth="1"/>
    <col min="7" max="7" width="21.85546875" customWidth="1"/>
    <col min="8" max="8" width="1.7109375" customWidth="1"/>
    <col min="9" max="11" width="10.7109375" hidden="1" customWidth="1"/>
    <col min="12" max="12" width="1.7109375" customWidth="1"/>
    <col min="13" max="18" width="18.7109375" customWidth="1"/>
    <col min="19" max="19" width="1.28515625" customWidth="1"/>
  </cols>
  <sheetData>
    <row r="1" spans="1:19" s="566" customFormat="1" ht="21">
      <c r="A1" s="819" t="s">
        <v>84</v>
      </c>
      <c r="B1" s="1003"/>
      <c r="C1" s="693"/>
      <c r="D1" s="694"/>
      <c r="E1" s="1216" t="str">
        <f>disclaimer!$E$7&amp;" - "&amp;"versie "&amp;TEXT(disclaimer!$E$8,"d mmm jjjj")</f>
        <v>Uniforme Maatlat Gebouwde Omgeving 5.3.0 - versie 7 aug 2026</v>
      </c>
      <c r="F1" s="697"/>
      <c r="G1" s="697"/>
      <c r="H1" s="696"/>
      <c r="I1" s="697"/>
      <c r="J1" s="695"/>
      <c r="K1" s="698"/>
      <c r="L1" s="698"/>
      <c r="M1" s="698"/>
      <c r="N1" s="698"/>
      <c r="O1" s="702"/>
      <c r="P1" s="698"/>
      <c r="Q1" s="698"/>
      <c r="R1" s="698"/>
      <c r="S1" s="698"/>
    </row>
    <row r="2" spans="1:19" ht="23.25">
      <c r="A2" s="820" t="s">
        <v>84</v>
      </c>
      <c r="B2" s="1020"/>
      <c r="C2" s="582"/>
      <c r="D2" s="54"/>
      <c r="E2" s="50" t="s">
        <v>295</v>
      </c>
      <c r="G2" s="637"/>
      <c r="H2" s="51"/>
      <c r="I2" s="67"/>
      <c r="J2" s="67"/>
      <c r="K2" s="67"/>
      <c r="L2" s="51"/>
      <c r="M2" s="4"/>
      <c r="N2" s="11"/>
      <c r="O2" s="4"/>
      <c r="P2" s="9"/>
      <c r="Q2" s="9"/>
      <c r="R2" s="9"/>
      <c r="S2" s="4"/>
    </row>
    <row r="3" spans="1:19" ht="14.25">
      <c r="A3" s="820" t="s">
        <v>84</v>
      </c>
      <c r="B3" s="1021"/>
      <c r="C3" s="583"/>
      <c r="D3" s="55"/>
      <c r="E3" s="1274" t="str">
        <f>"project: "&amp;IF('woningen|utiliteit'!$F$3="","",'woningen|utiliteit'!$F$3)</f>
        <v xml:space="preserve">project: </v>
      </c>
      <c r="F3" s="1275"/>
      <c r="G3" s="1276"/>
      <c r="H3" s="5"/>
      <c r="I3" s="61"/>
      <c r="J3" s="61"/>
      <c r="K3" s="61"/>
      <c r="L3" s="5"/>
      <c r="M3" s="5"/>
      <c r="N3" s="15"/>
      <c r="O3" s="5"/>
      <c r="P3" s="15"/>
      <c r="Q3" s="15"/>
      <c r="R3" s="15"/>
      <c r="S3" s="15"/>
    </row>
    <row r="4" spans="1:19" ht="14.25">
      <c r="A4" s="820" t="s">
        <v>84</v>
      </c>
      <c r="B4" s="1021"/>
      <c r="C4" s="584"/>
      <c r="D4" s="55"/>
      <c r="E4" s="721" t="s">
        <v>49</v>
      </c>
      <c r="F4" s="1267" t="str">
        <f>IF('woningen|utiliteit'!$F$4="","",'woningen|utiliteit'!$F$4)</f>
        <v/>
      </c>
      <c r="G4" s="1268"/>
      <c r="H4" s="4"/>
      <c r="I4" s="61"/>
      <c r="J4" s="61"/>
      <c r="K4" s="61"/>
      <c r="L4" s="4"/>
      <c r="M4" s="4"/>
      <c r="N4" s="9"/>
      <c r="O4" s="4"/>
      <c r="P4" s="9"/>
      <c r="Q4" s="9"/>
      <c r="R4" s="9"/>
      <c r="S4" s="9"/>
    </row>
    <row r="5" spans="1:19" ht="14.25" customHeight="1">
      <c r="A5" s="820" t="s">
        <v>84</v>
      </c>
      <c r="B5" s="1273" t="s">
        <v>48</v>
      </c>
      <c r="C5" s="584"/>
      <c r="D5" s="638" t="s">
        <v>45</v>
      </c>
      <c r="E5" s="1223" t="s">
        <v>296</v>
      </c>
      <c r="F5" s="1271" t="s">
        <v>297</v>
      </c>
      <c r="G5" s="1272"/>
      <c r="H5" s="4"/>
      <c r="I5" s="61"/>
      <c r="J5" s="61"/>
      <c r="K5" s="61"/>
      <c r="L5" s="4"/>
      <c r="M5" s="4"/>
      <c r="N5" s="9"/>
      <c r="O5" s="4"/>
      <c r="P5" s="9"/>
      <c r="Q5" s="9"/>
      <c r="R5" s="9"/>
      <c r="S5" s="9"/>
    </row>
    <row r="6" spans="1:19" ht="14.25">
      <c r="A6" s="820" t="s">
        <v>84</v>
      </c>
      <c r="B6" s="1273"/>
      <c r="C6" s="584"/>
      <c r="D6" s="638"/>
      <c r="E6" s="722" t="s">
        <v>50</v>
      </c>
      <c r="F6" s="1269"/>
      <c r="G6" s="1270"/>
      <c r="H6" s="4"/>
      <c r="I6" s="61"/>
      <c r="J6" s="61"/>
      <c r="K6" s="61"/>
      <c r="L6" s="4"/>
      <c r="M6" s="4"/>
      <c r="N6" s="4"/>
      <c r="O6" s="4"/>
      <c r="P6" s="9"/>
      <c r="Q6" s="9"/>
      <c r="R6" s="9"/>
      <c r="S6" s="9"/>
    </row>
    <row r="7" spans="1:19" s="833" customFormat="1">
      <c r="A7" s="828" t="s">
        <v>84</v>
      </c>
      <c r="B7" s="1273"/>
      <c r="C7" s="829"/>
      <c r="D7" s="830"/>
      <c r="E7" s="831"/>
      <c r="F7" s="831"/>
      <c r="G7" s="831"/>
      <c r="H7" s="831"/>
      <c r="I7" s="832"/>
      <c r="J7" s="832"/>
      <c r="K7" s="832"/>
      <c r="L7" s="831"/>
      <c r="N7" s="831"/>
      <c r="O7" s="831"/>
      <c r="P7" s="831"/>
      <c r="Q7" s="831"/>
      <c r="R7" s="831"/>
      <c r="S7" s="834"/>
    </row>
    <row r="8" spans="1:19" ht="21">
      <c r="A8" s="822" t="s">
        <v>84</v>
      </c>
      <c r="B8" s="1022"/>
      <c r="C8" s="585"/>
      <c r="D8" s="645" t="s">
        <v>45</v>
      </c>
      <c r="E8" s="568"/>
      <c r="F8" s="31"/>
      <c r="G8" s="31"/>
      <c r="H8" s="31"/>
      <c r="I8" s="70" t="s">
        <v>298</v>
      </c>
      <c r="J8" s="68"/>
      <c r="K8" s="68"/>
      <c r="L8" s="31"/>
      <c r="M8" s="727" t="s">
        <v>297</v>
      </c>
      <c r="N8" s="727" t="s">
        <v>299</v>
      </c>
      <c r="O8" s="727" t="s">
        <v>300</v>
      </c>
      <c r="P8" s="727" t="s">
        <v>301</v>
      </c>
      <c r="Q8" s="727" t="s">
        <v>302</v>
      </c>
      <c r="R8" s="727" t="s">
        <v>303</v>
      </c>
      <c r="S8" s="4"/>
    </row>
    <row r="9" spans="1:19" s="591" customFormat="1" ht="5.25" hidden="1">
      <c r="A9" s="821" t="s">
        <v>84</v>
      </c>
      <c r="B9" s="1023"/>
      <c r="C9" s="646"/>
      <c r="D9" s="588"/>
      <c r="E9" s="589"/>
      <c r="F9" s="589"/>
      <c r="G9" s="589"/>
      <c r="H9" s="589"/>
      <c r="I9" s="565"/>
      <c r="J9" s="565"/>
      <c r="K9" s="565"/>
      <c r="L9" s="589"/>
      <c r="M9" s="589"/>
      <c r="N9" s="589"/>
      <c r="O9" s="589"/>
      <c r="P9" s="589"/>
      <c r="Q9" s="589"/>
      <c r="R9" s="589"/>
      <c r="S9" s="588"/>
    </row>
    <row r="10" spans="1:19" ht="21">
      <c r="A10" s="820" t="s">
        <v>84</v>
      </c>
      <c r="B10" s="1189" t="s">
        <v>304</v>
      </c>
      <c r="C10" s="586"/>
      <c r="D10" s="57"/>
      <c r="E10" s="175" t="s">
        <v>305</v>
      </c>
      <c r="F10" s="175"/>
      <c r="G10" s="175"/>
      <c r="H10" s="4"/>
      <c r="I10" s="546"/>
      <c r="J10" s="546"/>
      <c r="K10" s="546"/>
      <c r="M10" s="561"/>
      <c r="N10" s="561"/>
      <c r="O10" s="561"/>
      <c r="P10" s="561"/>
      <c r="Q10" s="561"/>
      <c r="R10" s="561"/>
    </row>
    <row r="11" spans="1:19" ht="14.25">
      <c r="A11" s="820" t="s">
        <v>84</v>
      </c>
      <c r="B11" s="1189" t="s">
        <v>304</v>
      </c>
      <c r="C11" s="586"/>
      <c r="D11" s="57"/>
      <c r="E11" s="149" t="s">
        <v>87</v>
      </c>
      <c r="F11" s="149"/>
      <c r="G11" s="149" t="s">
        <v>65</v>
      </c>
      <c r="H11" s="71"/>
      <c r="I11" s="547">
        <f>'variant 1'!$H$3</f>
        <v>0</v>
      </c>
      <c r="J11" s="547">
        <f ca="1">ROW(INDIRECT(RIGHT((_xlfn.FORMULATEXT($I11)),LEN(_xlfn.FORMULATEXT($I11))-1)))</f>
        <v>3</v>
      </c>
      <c r="K11" s="547">
        <f ca="1">COLUMN(INDIRECT(RIGHT((_xlfn.FORMULATEXT($I11)),LEN(_xlfn.FORMULATEXT($I11))-1)))</f>
        <v>8</v>
      </c>
      <c r="L11" s="71"/>
      <c r="M11" s="152">
        <f t="shared" ref="M11:R11" ca="1" si="0">_xlfn.SINGLE(IFERROR(_xlfn.SINGLE(INDIRECT(ADDRESS($J11,$K11,,,M$8))),""))</f>
        <v>0</v>
      </c>
      <c r="N11" s="152">
        <f t="shared" ca="1" si="0"/>
        <v>0</v>
      </c>
      <c r="O11" s="152">
        <f t="shared" ca="1" si="0"/>
        <v>0</v>
      </c>
      <c r="P11" s="152">
        <f t="shared" ca="1" si="0"/>
        <v>0</v>
      </c>
      <c r="Q11" s="152">
        <f t="shared" ca="1" si="0"/>
        <v>0</v>
      </c>
      <c r="R11" s="152">
        <f t="shared" ca="1" si="0"/>
        <v>0</v>
      </c>
      <c r="S11" s="5"/>
    </row>
    <row r="12" spans="1:19" ht="14.25">
      <c r="A12" s="820" t="s">
        <v>84</v>
      </c>
      <c r="B12" s="1189" t="s">
        <v>304</v>
      </c>
      <c r="C12" s="586"/>
      <c r="D12" s="57"/>
      <c r="E12" s="180" t="s">
        <v>306</v>
      </c>
      <c r="F12" s="180"/>
      <c r="G12" s="180" t="s">
        <v>65</v>
      </c>
      <c r="H12" s="31"/>
      <c r="I12" s="547" t="str">
        <f>'variant 1'!$F$5</f>
        <v>NTA8800:2026</v>
      </c>
      <c r="J12" s="547">
        <f t="shared" ref="J12:J28" ca="1" si="1">ROW(INDIRECT(RIGHT((_xlfn.FORMULATEXT($I12)),LEN(_xlfn.FORMULATEXT($I12))-1)))</f>
        <v>5</v>
      </c>
      <c r="K12" s="547">
        <f t="shared" ref="K12:K28" ca="1" si="2">COLUMN(INDIRECT(RIGHT((_xlfn.FORMULATEXT($I12)),LEN(_xlfn.FORMULATEXT($I12))-1)))</f>
        <v>6</v>
      </c>
      <c r="L12" s="31"/>
      <c r="M12" s="548" t="str">
        <f t="shared" ref="M12:R13" ca="1" si="3">IFERROR(INDIRECT(ADDRESS($J12,$K12,,,M$8)),0)</f>
        <v>NTA8800:2026</v>
      </c>
      <c r="N12" s="548" t="str">
        <f t="shared" ca="1" si="3"/>
        <v>NTA8800:2026</v>
      </c>
      <c r="O12" s="548" t="str">
        <f t="shared" ca="1" si="3"/>
        <v>NTA8800:2026</v>
      </c>
      <c r="P12" s="548" t="str">
        <f t="shared" ca="1" si="3"/>
        <v>NTA8800:2026</v>
      </c>
      <c r="Q12" s="548" t="str">
        <f t="shared" ca="1" si="3"/>
        <v>NTA8800:2026</v>
      </c>
      <c r="R12" s="548" t="str">
        <f t="shared" ca="1" si="3"/>
        <v>NTA8800:2026</v>
      </c>
      <c r="S12" s="6"/>
    </row>
    <row r="13" spans="1:19" ht="14.25">
      <c r="A13" s="820" t="s">
        <v>84</v>
      </c>
      <c r="B13" s="1189" t="s">
        <v>304</v>
      </c>
      <c r="C13" s="586"/>
      <c r="D13" s="57"/>
      <c r="E13" s="180" t="s">
        <v>1153</v>
      </c>
      <c r="F13" s="180"/>
      <c r="G13" s="180" t="s">
        <v>65</v>
      </c>
      <c r="H13" s="31"/>
      <c r="I13" s="547" t="str">
        <f>'variant 1'!$F$6</f>
        <v>EP</v>
      </c>
      <c r="J13" s="547">
        <f t="shared" ca="1" si="1"/>
        <v>6</v>
      </c>
      <c r="K13" s="547">
        <f t="shared" ca="1" si="2"/>
        <v>6</v>
      </c>
      <c r="L13" s="31"/>
      <c r="M13" s="548" t="str">
        <f t="shared" ca="1" si="3"/>
        <v>EP</v>
      </c>
      <c r="N13" s="548" t="str">
        <f t="shared" ca="1" si="3"/>
        <v>EP</v>
      </c>
      <c r="O13" s="548" t="str">
        <f t="shared" ca="1" si="3"/>
        <v>EP</v>
      </c>
      <c r="P13" s="548" t="str">
        <f t="shared" ca="1" si="3"/>
        <v>EP</v>
      </c>
      <c r="Q13" s="548" t="str">
        <f t="shared" ca="1" si="3"/>
        <v>EP</v>
      </c>
      <c r="R13" s="548" t="str">
        <f t="shared" ca="1" si="3"/>
        <v>EP</v>
      </c>
      <c r="S13" s="6"/>
    </row>
    <row r="14" spans="1:19" ht="14.25">
      <c r="A14" s="820" t="s">
        <v>84</v>
      </c>
      <c r="B14" s="1189" t="s">
        <v>304</v>
      </c>
      <c r="C14" s="586"/>
      <c r="D14" s="57"/>
      <c r="E14" s="180" t="s">
        <v>307</v>
      </c>
      <c r="F14" s="180"/>
      <c r="G14" s="180" t="s">
        <v>65</v>
      </c>
      <c r="H14" s="31"/>
      <c r="I14" s="551" t="str">
        <f>'variant 1'!F2</f>
        <v/>
      </c>
      <c r="J14" s="547">
        <f t="shared" ca="1" si="1"/>
        <v>2</v>
      </c>
      <c r="K14" s="547">
        <f t="shared" ca="1" si="2"/>
        <v>6</v>
      </c>
      <c r="L14" s="31"/>
      <c r="M14" s="548" t="str" cm="1">
        <f t="array" aca="1" ref="M14" ca="1">IF(M8="","",IFERROR(IF(INDIRECT(ADDRESS($J14,$K14,,,M$8))="","ja","nee"),"nee"))</f>
        <v>ja</v>
      </c>
      <c r="N14" s="548" t="str" cm="1">
        <f t="array" aca="1" ref="N14" ca="1">IF(N8="","",IFERROR(IF(INDIRECT(ADDRESS($J14,$K14,,,N$8))="","ja","nee"),"nee"))</f>
        <v>ja</v>
      </c>
      <c r="O14" s="548" t="str" cm="1">
        <f t="array" aca="1" ref="O14" ca="1">IF(O8="","",IFERROR(IF(INDIRECT(ADDRESS($J14,$K14,,,O$8))="","ja","nee"),"nee"))</f>
        <v>ja</v>
      </c>
      <c r="P14" s="548" t="str" cm="1">
        <f t="array" aca="1" ref="P14" ca="1">IF(P8="","",IFERROR(IF(INDIRECT(ADDRESS($J14,$K14,,,P$8))="","ja","nee"),"nee"))</f>
        <v>ja</v>
      </c>
      <c r="Q14" s="548" t="str" cm="1">
        <f t="array" aca="1" ref="Q14" ca="1">IF(Q8="","",IFERROR(IF(INDIRECT(ADDRESS($J14,$K14,,,Q$8))="","ja","nee"),"nee"))</f>
        <v>ja</v>
      </c>
      <c r="R14" s="548" t="str" cm="1">
        <f t="array" aca="1" ref="R14" ca="1">IF(R8="","",IFERROR(IF(INDIRECT(ADDRESS($J14,$K14,,,R$8))="","ja","nee"),"nee"))</f>
        <v>ja</v>
      </c>
      <c r="S14" s="6"/>
    </row>
    <row r="15" spans="1:19" s="818" customFormat="1" ht="5.25">
      <c r="A15" s="823" t="s">
        <v>84</v>
      </c>
      <c r="B15" s="1190" t="s">
        <v>304</v>
      </c>
      <c r="C15" s="815"/>
      <c r="D15" s="816"/>
      <c r="E15" s="817"/>
      <c r="F15" s="817"/>
      <c r="G15" s="817"/>
      <c r="H15" s="817"/>
      <c r="I15" s="842"/>
      <c r="J15" s="843"/>
      <c r="K15" s="843"/>
      <c r="L15" s="817"/>
      <c r="M15" s="817"/>
      <c r="N15" s="817"/>
      <c r="O15" s="817"/>
      <c r="P15" s="817"/>
      <c r="Q15" s="817"/>
      <c r="R15" s="817"/>
      <c r="S15" s="816"/>
    </row>
    <row r="16" spans="1:19" s="818" customFormat="1" ht="5.25" hidden="1">
      <c r="A16" s="823"/>
      <c r="B16" s="1190"/>
      <c r="C16" s="815"/>
      <c r="D16" s="816"/>
      <c r="E16" s="817"/>
      <c r="F16" s="817"/>
      <c r="G16" s="817"/>
      <c r="H16" s="817"/>
      <c r="I16" s="842"/>
      <c r="J16" s="843"/>
      <c r="K16" s="843"/>
      <c r="L16" s="817"/>
      <c r="M16" s="817"/>
      <c r="N16" s="817"/>
      <c r="O16" s="817"/>
      <c r="P16" s="817"/>
      <c r="Q16" s="817"/>
      <c r="R16" s="817"/>
      <c r="S16" s="816"/>
    </row>
    <row r="17" spans="1:19" ht="21" hidden="1">
      <c r="A17" s="820" t="s">
        <v>84</v>
      </c>
      <c r="B17" s="1189" t="s">
        <v>308</v>
      </c>
      <c r="C17" s="586"/>
      <c r="D17" s="57"/>
      <c r="E17" s="175" t="s">
        <v>309</v>
      </c>
      <c r="F17" s="175"/>
      <c r="G17" s="175"/>
      <c r="H17" s="4"/>
      <c r="I17" s="546"/>
      <c r="J17" s="546"/>
      <c r="K17" s="546"/>
      <c r="L17" s="31"/>
      <c r="M17" s="561"/>
      <c r="N17" s="561"/>
      <c r="O17" s="561"/>
      <c r="P17" s="561"/>
      <c r="Q17" s="561"/>
      <c r="R17" s="561"/>
      <c r="S17" s="4"/>
    </row>
    <row r="18" spans="1:19" ht="14.25" hidden="1">
      <c r="A18" s="820" t="s">
        <v>84</v>
      </c>
      <c r="B18" s="1189" t="s">
        <v>308</v>
      </c>
      <c r="C18" s="586"/>
      <c r="D18" s="57"/>
      <c r="E18" s="550" t="str">
        <f>"locatie 1"&amp;IF('woningen|utiliteit'!$L$17="","",": "&amp;'woningen|utiliteit'!$L$17)</f>
        <v>locatie 1</v>
      </c>
      <c r="F18" s="149"/>
      <c r="G18" s="149" t="s">
        <v>65</v>
      </c>
      <c r="H18" s="71"/>
      <c r="I18" s="551">
        <f>'variant 1'!$M$22</f>
        <v>0</v>
      </c>
      <c r="J18" s="547">
        <f t="shared" ca="1" si="1"/>
        <v>22</v>
      </c>
      <c r="K18" s="547">
        <f t="shared" ca="1" si="2"/>
        <v>13</v>
      </c>
      <c r="L18" s="71"/>
      <c r="M18" s="152">
        <f t="shared" ref="M18:R21" ca="1" si="4">IFERROR(INDIRECT(ADDRESS($J18,$K18,,,M$8)),0)</f>
        <v>0</v>
      </c>
      <c r="N18" s="152">
        <f t="shared" ca="1" si="4"/>
        <v>0</v>
      </c>
      <c r="O18" s="152">
        <f t="shared" ca="1" si="4"/>
        <v>0</v>
      </c>
      <c r="P18" s="152">
        <f t="shared" ca="1" si="4"/>
        <v>0</v>
      </c>
      <c r="Q18" s="152">
        <f t="shared" ca="1" si="4"/>
        <v>0</v>
      </c>
      <c r="R18" s="152">
        <f t="shared" ca="1" si="4"/>
        <v>0</v>
      </c>
      <c r="S18" s="5"/>
    </row>
    <row r="19" spans="1:19" ht="14.25" hidden="1">
      <c r="A19" s="820" t="s">
        <v>84</v>
      </c>
      <c r="B19" s="1189" t="s">
        <v>308</v>
      </c>
      <c r="C19" s="586"/>
      <c r="D19" s="57"/>
      <c r="E19" s="550" t="str">
        <f>"locatie 2"&amp;IF('woningen|utiliteit'!$L$33="","",": "&amp;'woningen|utiliteit'!$L$33)</f>
        <v>locatie 2</v>
      </c>
      <c r="F19" s="149"/>
      <c r="G19" s="149" t="s">
        <v>65</v>
      </c>
      <c r="H19" s="71"/>
      <c r="I19" s="551">
        <f>'variant 1'!$Y$22</f>
        <v>0</v>
      </c>
      <c r="J19" s="547">
        <f t="shared" ca="1" si="1"/>
        <v>22</v>
      </c>
      <c r="K19" s="547">
        <f t="shared" ca="1" si="2"/>
        <v>25</v>
      </c>
      <c r="L19" s="71"/>
      <c r="M19" s="152">
        <f t="shared" ca="1" si="4"/>
        <v>0</v>
      </c>
      <c r="N19" s="152">
        <f t="shared" ca="1" si="4"/>
        <v>0</v>
      </c>
      <c r="O19" s="152">
        <f t="shared" ca="1" si="4"/>
        <v>0</v>
      </c>
      <c r="P19" s="152">
        <f t="shared" ca="1" si="4"/>
        <v>0</v>
      </c>
      <c r="Q19" s="152">
        <f t="shared" ca="1" si="4"/>
        <v>0</v>
      </c>
      <c r="R19" s="152">
        <f t="shared" ca="1" si="4"/>
        <v>0</v>
      </c>
      <c r="S19" s="5"/>
    </row>
    <row r="20" spans="1:19" ht="14.25" hidden="1">
      <c r="A20" s="820" t="s">
        <v>84</v>
      </c>
      <c r="B20" s="1189" t="s">
        <v>308</v>
      </c>
      <c r="C20" s="586"/>
      <c r="D20" s="57"/>
      <c r="E20" s="550" t="str">
        <f>"locatie 3"&amp;IF('woningen|utiliteit'!$L$49="","",": "&amp;'woningen|utiliteit'!$L$49)</f>
        <v>locatie 3</v>
      </c>
      <c r="F20" s="149"/>
      <c r="G20" s="149" t="s">
        <v>65</v>
      </c>
      <c r="H20" s="71"/>
      <c r="I20" s="551">
        <f>'variant 1'!$AK$22</f>
        <v>0</v>
      </c>
      <c r="J20" s="547">
        <f t="shared" ca="1" si="1"/>
        <v>22</v>
      </c>
      <c r="K20" s="547">
        <f t="shared" ca="1" si="2"/>
        <v>37</v>
      </c>
      <c r="L20" s="71"/>
      <c r="M20" s="152">
        <f t="shared" ca="1" si="4"/>
        <v>0</v>
      </c>
      <c r="N20" s="152">
        <f t="shared" ca="1" si="4"/>
        <v>0</v>
      </c>
      <c r="O20" s="152">
        <f t="shared" ca="1" si="4"/>
        <v>0</v>
      </c>
      <c r="P20" s="152">
        <f t="shared" ca="1" si="4"/>
        <v>0</v>
      </c>
      <c r="Q20" s="152">
        <f t="shared" ca="1" si="4"/>
        <v>0</v>
      </c>
      <c r="R20" s="152">
        <f t="shared" ca="1" si="4"/>
        <v>0</v>
      </c>
      <c r="S20" s="5"/>
    </row>
    <row r="21" spans="1:19" ht="14.25" hidden="1">
      <c r="A21" s="820" t="s">
        <v>84</v>
      </c>
      <c r="B21" s="1189" t="s">
        <v>308</v>
      </c>
      <c r="C21" s="586"/>
      <c r="D21" s="57"/>
      <c r="E21" s="959" t="str">
        <f>"locatie 4"&amp;IF('woningen|utiliteit'!$L$65="","",": "&amp;'woningen|utiliteit'!$L$65)</f>
        <v>locatie 4</v>
      </c>
      <c r="F21" s="618"/>
      <c r="G21" s="618" t="s">
        <v>65</v>
      </c>
      <c r="H21" s="71"/>
      <c r="I21" s="551">
        <f>'variant 1'!$AW$22</f>
        <v>0</v>
      </c>
      <c r="J21" s="547">
        <f t="shared" ca="1" si="1"/>
        <v>22</v>
      </c>
      <c r="K21" s="547">
        <f t="shared" ca="1" si="2"/>
        <v>49</v>
      </c>
      <c r="L21" s="71"/>
      <c r="M21" s="960">
        <f t="shared" ca="1" si="4"/>
        <v>0</v>
      </c>
      <c r="N21" s="960">
        <f t="shared" ca="1" si="4"/>
        <v>0</v>
      </c>
      <c r="O21" s="960">
        <f t="shared" ca="1" si="4"/>
        <v>0</v>
      </c>
      <c r="P21" s="960">
        <f t="shared" ca="1" si="4"/>
        <v>0</v>
      </c>
      <c r="Q21" s="960">
        <f t="shared" ca="1" si="4"/>
        <v>0</v>
      </c>
      <c r="R21" s="960">
        <f t="shared" ca="1" si="4"/>
        <v>0</v>
      </c>
      <c r="S21" s="5"/>
    </row>
    <row r="22" spans="1:19" ht="15" hidden="1">
      <c r="A22" s="820" t="s">
        <v>84</v>
      </c>
      <c r="B22" s="1189" t="s">
        <v>308</v>
      </c>
      <c r="C22" s="586"/>
      <c r="D22" s="57"/>
      <c r="E22" s="961" t="s">
        <v>232</v>
      </c>
      <c r="F22" s="961"/>
      <c r="G22" s="961" t="s">
        <v>65</v>
      </c>
      <c r="H22" s="71"/>
      <c r="I22" s="551">
        <f>SUM(I18:I21)</f>
        <v>0</v>
      </c>
      <c r="J22" s="68"/>
      <c r="K22" s="68"/>
      <c r="L22" s="71"/>
      <c r="M22" s="962">
        <f t="shared" ref="M22:R22" ca="1" si="5">SUM(M18:M21)</f>
        <v>0</v>
      </c>
      <c r="N22" s="962">
        <f t="shared" ca="1" si="5"/>
        <v>0</v>
      </c>
      <c r="O22" s="962">
        <f t="shared" ca="1" si="5"/>
        <v>0</v>
      </c>
      <c r="P22" s="962">
        <f t="shared" ca="1" si="5"/>
        <v>0</v>
      </c>
      <c r="Q22" s="962">
        <f t="shared" ca="1" si="5"/>
        <v>0</v>
      </c>
      <c r="R22" s="962">
        <f t="shared" ca="1" si="5"/>
        <v>0</v>
      </c>
      <c r="S22" s="5"/>
    </row>
    <row r="23" spans="1:19" ht="15" hidden="1">
      <c r="A23" s="820" t="s">
        <v>84</v>
      </c>
      <c r="B23" s="1189" t="s">
        <v>308</v>
      </c>
      <c r="C23" s="9"/>
      <c r="D23" s="648"/>
      <c r="E23" s="31"/>
      <c r="F23" s="31"/>
      <c r="G23" s="31"/>
      <c r="H23" s="31"/>
      <c r="I23" s="70"/>
      <c r="J23" s="68"/>
      <c r="K23" s="68"/>
      <c r="L23" s="31"/>
      <c r="M23" s="31"/>
      <c r="N23" s="31"/>
      <c r="O23" s="31"/>
      <c r="P23" s="31"/>
      <c r="Q23" s="31"/>
      <c r="R23" s="31"/>
      <c r="S23" s="4"/>
    </row>
    <row r="24" spans="1:19" ht="21" hidden="1">
      <c r="A24" s="820" t="s">
        <v>84</v>
      </c>
      <c r="B24" s="1189" t="s">
        <v>308</v>
      </c>
      <c r="C24" s="586"/>
      <c r="D24" s="57"/>
      <c r="E24" s="175" t="s">
        <v>310</v>
      </c>
      <c r="F24" s="175"/>
      <c r="G24" s="175"/>
      <c r="H24" s="4"/>
      <c r="I24" s="546"/>
      <c r="J24" s="546"/>
      <c r="K24" s="546"/>
      <c r="L24" s="31"/>
      <c r="M24" s="561"/>
      <c r="N24" s="561"/>
      <c r="O24" s="561"/>
      <c r="P24" s="561"/>
      <c r="Q24" s="561"/>
      <c r="R24" s="561"/>
      <c r="S24" s="4"/>
    </row>
    <row r="25" spans="1:19" ht="14.25" hidden="1">
      <c r="A25" s="820" t="s">
        <v>84</v>
      </c>
      <c r="B25" s="1189" t="s">
        <v>308</v>
      </c>
      <c r="C25" s="586"/>
      <c r="D25" s="57"/>
      <c r="E25" s="550" t="str">
        <f>"locatie 1"&amp;IF('woningen|utiliteit'!$L$17="","",": "&amp;'woningen|utiliteit'!$L$17)</f>
        <v>locatie 1</v>
      </c>
      <c r="F25" s="180"/>
      <c r="G25" s="180" t="s">
        <v>127</v>
      </c>
      <c r="H25" s="31"/>
      <c r="I25" s="551">
        <f>'variant 1'!$M$29</f>
        <v>0</v>
      </c>
      <c r="J25" s="547">
        <f t="shared" ca="1" si="1"/>
        <v>29</v>
      </c>
      <c r="K25" s="547">
        <f t="shared" ca="1" si="2"/>
        <v>13</v>
      </c>
      <c r="L25" s="31"/>
      <c r="M25" s="152" t="str">
        <f t="shared" ref="M25:R28" ca="1" si="6">IF(M18=0,"",IFERROR(INDIRECT(ADDRESS($J25,$K25,,,M$8)),0))</f>
        <v/>
      </c>
      <c r="N25" s="152" t="str">
        <f t="shared" ca="1" si="6"/>
        <v/>
      </c>
      <c r="O25" s="152" t="str">
        <f t="shared" ca="1" si="6"/>
        <v/>
      </c>
      <c r="P25" s="152" t="str">
        <f t="shared" ca="1" si="6"/>
        <v/>
      </c>
      <c r="Q25" s="152" t="str">
        <f t="shared" ca="1" si="6"/>
        <v/>
      </c>
      <c r="R25" s="152" t="str">
        <f t="shared" ca="1" si="6"/>
        <v/>
      </c>
      <c r="S25" s="6"/>
    </row>
    <row r="26" spans="1:19" ht="14.25" hidden="1">
      <c r="A26" s="820" t="s">
        <v>84</v>
      </c>
      <c r="B26" s="1189" t="s">
        <v>308</v>
      </c>
      <c r="C26" s="586"/>
      <c r="D26" s="57"/>
      <c r="E26" s="550" t="str">
        <f>"locatie 2"&amp;IF('woningen|utiliteit'!$L$33="","",": "&amp;'woningen|utiliteit'!$L$33)</f>
        <v>locatie 2</v>
      </c>
      <c r="F26" s="180"/>
      <c r="G26" s="180" t="s">
        <v>127</v>
      </c>
      <c r="H26" s="31"/>
      <c r="I26" s="551">
        <f>'variant 1'!$Y$29</f>
        <v>0</v>
      </c>
      <c r="J26" s="547">
        <f t="shared" ca="1" si="1"/>
        <v>29</v>
      </c>
      <c r="K26" s="547">
        <f t="shared" ca="1" si="2"/>
        <v>25</v>
      </c>
      <c r="L26" s="31"/>
      <c r="M26" s="152" t="str">
        <f t="shared" ca="1" si="6"/>
        <v/>
      </c>
      <c r="N26" s="152" t="str">
        <f t="shared" ca="1" si="6"/>
        <v/>
      </c>
      <c r="O26" s="152" t="str">
        <f t="shared" ca="1" si="6"/>
        <v/>
      </c>
      <c r="P26" s="152" t="str">
        <f t="shared" ca="1" si="6"/>
        <v/>
      </c>
      <c r="Q26" s="152" t="str">
        <f t="shared" ca="1" si="6"/>
        <v/>
      </c>
      <c r="R26" s="152" t="str">
        <f t="shared" ca="1" si="6"/>
        <v/>
      </c>
      <c r="S26" s="6"/>
    </row>
    <row r="27" spans="1:19" ht="14.25" hidden="1">
      <c r="A27" s="820" t="s">
        <v>84</v>
      </c>
      <c r="B27" s="1189" t="s">
        <v>308</v>
      </c>
      <c r="C27" s="586"/>
      <c r="D27" s="57"/>
      <c r="E27" s="550" t="str">
        <f>"locatie 3"&amp;IF('woningen|utiliteit'!$L$49="","",": "&amp;'woningen|utiliteit'!$L$49)</f>
        <v>locatie 3</v>
      </c>
      <c r="F27" s="180"/>
      <c r="G27" s="180" t="s">
        <v>127</v>
      </c>
      <c r="H27" s="31"/>
      <c r="I27" s="551">
        <f>'variant 1'!$AK$29</f>
        <v>0</v>
      </c>
      <c r="J27" s="547">
        <f t="shared" ca="1" si="1"/>
        <v>29</v>
      </c>
      <c r="K27" s="547">
        <f t="shared" ca="1" si="2"/>
        <v>37</v>
      </c>
      <c r="L27" s="31"/>
      <c r="M27" s="152" t="str">
        <f t="shared" ca="1" si="6"/>
        <v/>
      </c>
      <c r="N27" s="152" t="str">
        <f t="shared" ca="1" si="6"/>
        <v/>
      </c>
      <c r="O27" s="152" t="str">
        <f t="shared" ca="1" si="6"/>
        <v/>
      </c>
      <c r="P27" s="152" t="str">
        <f t="shared" ca="1" si="6"/>
        <v/>
      </c>
      <c r="Q27" s="152" t="str">
        <f t="shared" ca="1" si="6"/>
        <v/>
      </c>
      <c r="R27" s="152" t="str">
        <f t="shared" ca="1" si="6"/>
        <v/>
      </c>
      <c r="S27" s="6"/>
    </row>
    <row r="28" spans="1:19" ht="14.25" hidden="1">
      <c r="A28" s="820" t="s">
        <v>84</v>
      </c>
      <c r="B28" s="1189" t="s">
        <v>308</v>
      </c>
      <c r="C28" s="586"/>
      <c r="D28" s="57"/>
      <c r="E28" s="959" t="str">
        <f>"locatie 4"&amp;IF('woningen|utiliteit'!$L$65="","",": "&amp;'woningen|utiliteit'!$L$65)</f>
        <v>locatie 4</v>
      </c>
      <c r="F28" s="254"/>
      <c r="G28" s="254" t="s">
        <v>127</v>
      </c>
      <c r="H28" s="31"/>
      <c r="I28" s="551">
        <f>'variant 1'!$AW$29</f>
        <v>0</v>
      </c>
      <c r="J28" s="547">
        <f t="shared" ca="1" si="1"/>
        <v>29</v>
      </c>
      <c r="K28" s="547">
        <f t="shared" ca="1" si="2"/>
        <v>49</v>
      </c>
      <c r="L28" s="31"/>
      <c r="M28" s="960" t="str">
        <f t="shared" ca="1" si="6"/>
        <v/>
      </c>
      <c r="N28" s="960" t="str">
        <f t="shared" ca="1" si="6"/>
        <v/>
      </c>
      <c r="O28" s="960" t="str">
        <f t="shared" ca="1" si="6"/>
        <v/>
      </c>
      <c r="P28" s="960" t="str">
        <f t="shared" ca="1" si="6"/>
        <v/>
      </c>
      <c r="Q28" s="960" t="str">
        <f t="shared" ca="1" si="6"/>
        <v/>
      </c>
      <c r="R28" s="960" t="str">
        <f t="shared" ca="1" si="6"/>
        <v/>
      </c>
      <c r="S28" s="6"/>
    </row>
    <row r="29" spans="1:19" ht="15" hidden="1">
      <c r="A29" s="820" t="s">
        <v>84</v>
      </c>
      <c r="B29" s="1189" t="s">
        <v>308</v>
      </c>
      <c r="C29" s="586"/>
      <c r="D29" s="57"/>
      <c r="E29" s="961" t="s">
        <v>232</v>
      </c>
      <c r="F29" s="963"/>
      <c r="G29" s="963" t="s">
        <v>127</v>
      </c>
      <c r="H29" s="31"/>
      <c r="I29" s="68"/>
      <c r="J29" s="68"/>
      <c r="K29" s="68"/>
      <c r="L29" s="71"/>
      <c r="M29" s="962">
        <f t="shared" ref="M29:R29" ca="1" si="7">SUM(M25:M28)</f>
        <v>0</v>
      </c>
      <c r="N29" s="962">
        <f t="shared" ca="1" si="7"/>
        <v>0</v>
      </c>
      <c r="O29" s="962">
        <f t="shared" ca="1" si="7"/>
        <v>0</v>
      </c>
      <c r="P29" s="962">
        <f t="shared" ca="1" si="7"/>
        <v>0</v>
      </c>
      <c r="Q29" s="962">
        <f t="shared" ca="1" si="7"/>
        <v>0</v>
      </c>
      <c r="R29" s="962">
        <f t="shared" ca="1" si="7"/>
        <v>0</v>
      </c>
      <c r="S29" s="6"/>
    </row>
    <row r="30" spans="1:19" ht="15" hidden="1">
      <c r="A30" s="820" t="s">
        <v>84</v>
      </c>
      <c r="B30" s="1189" t="s">
        <v>311</v>
      </c>
      <c r="C30" s="586"/>
      <c r="D30" s="57"/>
      <c r="E30" s="31"/>
      <c r="F30" s="31"/>
      <c r="G30" s="31"/>
      <c r="H30" s="31"/>
      <c r="I30" s="72" t="s">
        <v>312</v>
      </c>
      <c r="J30" s="68"/>
      <c r="K30" s="68"/>
      <c r="L30" s="31"/>
      <c r="M30" s="31"/>
      <c r="N30" s="31"/>
      <c r="O30" s="31"/>
      <c r="P30" s="31"/>
      <c r="Q30" s="31"/>
      <c r="R30" s="31"/>
      <c r="S30" s="4"/>
    </row>
    <row r="31" spans="1:19" ht="21" hidden="1">
      <c r="A31" s="820" t="s">
        <v>84</v>
      </c>
      <c r="B31" s="1189" t="s">
        <v>311</v>
      </c>
      <c r="C31" s="586"/>
      <c r="D31" s="57"/>
      <c r="E31" s="175" t="s">
        <v>313</v>
      </c>
      <c r="F31" s="175"/>
      <c r="G31" s="175"/>
      <c r="H31" s="4"/>
      <c r="I31" s="546">
        <f>'variant 1'!$O$30</f>
        <v>0</v>
      </c>
      <c r="J31" s="546">
        <f ca="1">ROW(INDIRECT(RIGHT((_xlfn.FORMULATEXT($I31)),LEN(_xlfn.FORMULATEXT($I31))-1)))</f>
        <v>30</v>
      </c>
      <c r="K31" s="546">
        <f ca="1">COLUMN(INDIRECT(RIGHT((_xlfn.FORMULATEXT($I31)),LEN(_xlfn.FORMULATEXT($I31))-1)))</f>
        <v>15</v>
      </c>
      <c r="L31" s="31"/>
      <c r="M31" s="561"/>
      <c r="N31" s="561"/>
      <c r="O31" s="561"/>
      <c r="P31" s="561"/>
      <c r="Q31" s="561"/>
      <c r="R31" s="561"/>
      <c r="S31" s="4"/>
    </row>
    <row r="32" spans="1:19" ht="14.25" hidden="1">
      <c r="A32" s="820" t="s">
        <v>84</v>
      </c>
      <c r="B32" s="1189" t="s">
        <v>311</v>
      </c>
      <c r="C32" s="586"/>
      <c r="D32" s="57"/>
      <c r="E32" s="550" t="str">
        <f>"locatie 1"&amp;IF('woningen|utiliteit'!$L$17="","",": "&amp;'woningen|utiliteit'!$L$17)</f>
        <v>locatie 1</v>
      </c>
      <c r="F32" s="149"/>
      <c r="G32" s="149" t="s">
        <v>65</v>
      </c>
      <c r="H32" s="71"/>
      <c r="I32" s="551" t="str">
        <f>'variant 1'!$O$38</f>
        <v/>
      </c>
      <c r="J32" s="547">
        <f ca="1">ROW(INDIRECT(RIGHT((_xlfn.FORMULATEXT($I32)),LEN(_xlfn.FORMULATEXT($I32))-1)))</f>
        <v>38</v>
      </c>
      <c r="K32" s="547">
        <f ca="1">COLUMN(INDIRECT(RIGHT((_xlfn.FORMULATEXT($I32)),LEN(_xlfn.FORMULATEXT($I32))-1)))</f>
        <v>15</v>
      </c>
      <c r="L32" s="71"/>
      <c r="M32" s="152" t="str" cm="1">
        <f t="array" aca="1" ref="M32" ca="1">IFERROR(IF(M18=0,"",INDEX(OFFSET(INDIRECT(ADDRESS($J32,$K32,,,M$8)),0,0,1,COLUMNS('variant 1'!$N:$X)-2),
MATCH(MAX(SUMIF(OFFSET(INDIRECT(ADDRESS($J32,$K32,,,M$8)),0,0,1,COLUMNS('variant 1'!$N:$X)-2),
OFFSET(INDIRECT(ADDRESS($J32,$K32,,,M$8)),0,0,1,COLUMNS('variant 1'!$N:$X)-2),
OFFSET(INDIRECT(ADDRESS($J$31,$K$31,,,M$8)),0,0,1,COLUMNS('variant 1'!$N:$X)-2))),
SUMIF(OFFSET(INDIRECT(ADDRESS($J32,$K32,,,M$8)),0,0,1,COLUMNS('variant 1'!$N:$X)-2),
OFFSET(INDIRECT(ADDRESS($J32,$K32,,,M$8)),0,0,1,COLUMNS('variant 1'!$N:$X)-2),
OFFSET(INDIRECT(ADDRESS($J$31,$K$31,,,M$8)),0,0,1,COLUMNS('variant 1'!$N:$X)-2)),0))),"")</f>
        <v/>
      </c>
      <c r="N32" s="152" t="str" cm="1">
        <f t="array" aca="1" ref="N32" ca="1">IFERROR(IF(N18=0,"",INDEX(OFFSET(INDIRECT(ADDRESS($J32,$K32,,,N$8)),0,0,1,COLUMNS('variant 1'!$N:$X)-2),
MATCH(MAX(SUMIF(OFFSET(INDIRECT(ADDRESS($J32,$K32,,,N$8)),0,0,1,COLUMNS('variant 1'!$N:$X)-2),
OFFSET(INDIRECT(ADDRESS($J32,$K32,,,N$8)),0,0,1,COLUMNS('variant 1'!$N:$X)-2),
OFFSET(INDIRECT(ADDRESS($J$31,$K$31,,,N$8)),0,0,1,COLUMNS('variant 1'!$N:$X)-2))),
SUMIF(OFFSET(INDIRECT(ADDRESS($J32,$K32,,,N$8)),0,0,1,COLUMNS('variant 1'!$N:$X)-2),
OFFSET(INDIRECT(ADDRESS($J32,$K32,,,N$8)),0,0,1,COLUMNS('variant 1'!$N:$X)-2),
OFFSET(INDIRECT(ADDRESS($J$31,$K$31,,,N$8)),0,0,1,COLUMNS('variant 1'!$N:$X)-2)),0))),"")</f>
        <v/>
      </c>
      <c r="O32" s="152" t="str" cm="1">
        <f t="array" aca="1" ref="O32" ca="1">IFERROR(IF(O18=0,"",INDEX(OFFSET(INDIRECT(ADDRESS($J32,$K32,,,O$8)),0,0,1,COLUMNS('variant 1'!$N:$X)-2),
MATCH(MAX(SUMIF(OFFSET(INDIRECT(ADDRESS($J32,$K32,,,O$8)),0,0,1,COLUMNS('variant 1'!$N:$X)-2),
OFFSET(INDIRECT(ADDRESS($J32,$K32,,,O$8)),0,0,1,COLUMNS('variant 1'!$N:$X)-2),
OFFSET(INDIRECT(ADDRESS($J$31,$K$31,,,O$8)),0,0,1,COLUMNS('variant 1'!$N:$X)-2))),
SUMIF(OFFSET(INDIRECT(ADDRESS($J32,$K32,,,O$8)),0,0,1,COLUMNS('variant 1'!$N:$X)-2),
OFFSET(INDIRECT(ADDRESS($J32,$K32,,,O$8)),0,0,1,COLUMNS('variant 1'!$N:$X)-2),
OFFSET(INDIRECT(ADDRESS($J$31,$K$31,,,O$8)),0,0,1,COLUMNS('variant 1'!$N:$X)-2)),0))),"")</f>
        <v/>
      </c>
      <c r="P32" s="152" t="str" cm="1">
        <f t="array" aca="1" ref="P32" ca="1">IFERROR(IF(P18=0,"",INDEX(OFFSET(INDIRECT(ADDRESS($J32,$K32,,,P$8)),0,0,1,COLUMNS('variant 1'!$N:$X)-2),
MATCH(MAX(SUMIF(OFFSET(INDIRECT(ADDRESS($J32,$K32,,,P$8)),0,0,1,COLUMNS('variant 1'!$N:$X)-2),
OFFSET(INDIRECT(ADDRESS($J32,$K32,,,P$8)),0,0,1,COLUMNS('variant 1'!$N:$X)-2),
OFFSET(INDIRECT(ADDRESS($J$31,$K$31,,,P$8)),0,0,1,COLUMNS('variant 1'!$N:$X)-2))),
SUMIF(OFFSET(INDIRECT(ADDRESS($J32,$K32,,,P$8)),0,0,1,COLUMNS('variant 1'!$N:$X)-2),
OFFSET(INDIRECT(ADDRESS($J32,$K32,,,P$8)),0,0,1,COLUMNS('variant 1'!$N:$X)-2),
OFFSET(INDIRECT(ADDRESS($J$31,$K$31,,,P$8)),0,0,1,COLUMNS('variant 1'!$N:$X)-2)),0))),"")</f>
        <v/>
      </c>
      <c r="Q32" s="152" t="str" cm="1">
        <f t="array" aca="1" ref="Q32" ca="1">IFERROR(IF(Q18=0,"",INDEX(OFFSET(INDIRECT(ADDRESS($J32,$K32,,,Q$8)),0,0,1,COLUMNS('variant 1'!$N:$X)-2),
MATCH(MAX(SUMIF(OFFSET(INDIRECT(ADDRESS($J32,$K32,,,Q$8)),0,0,1,COLUMNS('variant 1'!$N:$X)-2),
OFFSET(INDIRECT(ADDRESS($J32,$K32,,,Q$8)),0,0,1,COLUMNS('variant 1'!$N:$X)-2),
OFFSET(INDIRECT(ADDRESS($J$31,$K$31,,,Q$8)),0,0,1,COLUMNS('variant 1'!$N:$X)-2))),
SUMIF(OFFSET(INDIRECT(ADDRESS($J32,$K32,,,Q$8)),0,0,1,COLUMNS('variant 1'!$N:$X)-2),
OFFSET(INDIRECT(ADDRESS($J32,$K32,,,Q$8)),0,0,1,COLUMNS('variant 1'!$N:$X)-2),
OFFSET(INDIRECT(ADDRESS($J$31,$K$31,,,Q$8)),0,0,1,COLUMNS('variant 1'!$N:$X)-2)),0))),"")</f>
        <v/>
      </c>
      <c r="R32" s="152" t="str" cm="1">
        <f t="array" aca="1" ref="R32" ca="1">IFERROR(IF(R18=0,"",INDEX(OFFSET(INDIRECT(ADDRESS($J32,$K32,,,R$8)),0,0,1,COLUMNS('variant 1'!$N:$X)-2),
MATCH(MAX(SUMIF(OFFSET(INDIRECT(ADDRESS($J32,$K32,,,R$8)),0,0,1,COLUMNS('variant 1'!$N:$X)-2),
OFFSET(INDIRECT(ADDRESS($J32,$K32,,,R$8)),0,0,1,COLUMNS('variant 1'!$N:$X)-2),
OFFSET(INDIRECT(ADDRESS($J$31,$K$31,,,R$8)),0,0,1,COLUMNS('variant 1'!$N:$X)-2))),
SUMIF(OFFSET(INDIRECT(ADDRESS($J32,$K32,,,R$8)),0,0,1,COLUMNS('variant 1'!$N:$X)-2),
OFFSET(INDIRECT(ADDRESS($J32,$K32,,,R$8)),0,0,1,COLUMNS('variant 1'!$N:$X)-2),
OFFSET(INDIRECT(ADDRESS($J$31,$K$31,,,R$8)),0,0,1,COLUMNS('variant 1'!$N:$X)-2)),0))),"")</f>
        <v/>
      </c>
      <c r="S32" s="5"/>
    </row>
    <row r="33" spans="1:19" ht="14.25" hidden="1">
      <c r="A33" s="820" t="s">
        <v>84</v>
      </c>
      <c r="B33" s="1189" t="s">
        <v>311</v>
      </c>
      <c r="C33" s="586"/>
      <c r="D33" s="57"/>
      <c r="E33" s="550" t="str">
        <f>"locatie 2"&amp;IF('woningen|utiliteit'!$L$33="","",": "&amp;'woningen|utiliteit'!$L$33)</f>
        <v>locatie 2</v>
      </c>
      <c r="F33" s="180"/>
      <c r="G33" s="180" t="s">
        <v>65</v>
      </c>
      <c r="H33" s="31"/>
      <c r="I33" s="551" t="str">
        <f>'variant 1'!$AA$38</f>
        <v/>
      </c>
      <c r="J33" s="547">
        <f ca="1">ROW(INDIRECT(RIGHT((_xlfn.FORMULATEXT($I33)),LEN(_xlfn.FORMULATEXT($I33))-1)))</f>
        <v>38</v>
      </c>
      <c r="K33" s="547">
        <f ca="1">COLUMN(INDIRECT(RIGHT((_xlfn.FORMULATEXT($I33)),LEN(_xlfn.FORMULATEXT($I33))-1)))</f>
        <v>27</v>
      </c>
      <c r="L33" s="31"/>
      <c r="M33" s="152" t="str">
        <f t="array" aca="1" ref="M33" ca="1">IFERROR(IF(M19=0,"",INDEX(OFFSET(INDIRECT(ADDRESS($J33,$K33,,,M$8)),0,0,1,COLUMNS('variant 1'!$N:$X)-2),
MATCH(MAX(SUMIF(OFFSET(INDIRECT(ADDRESS($J33,$K33,,,M$8)),0,0,1,COLUMNS('variant 1'!$N:$X)-2),
OFFSET(INDIRECT(ADDRESS($J33,$K33,,,M$8)),0,0,1,COLUMNS('variant 1'!$N:$X)-2),
OFFSET(INDIRECT(ADDRESS($J$31,$K$31,,,M$8)),0,0,1,COLUMNS('variant 1'!$N:$X)-2))),
SUMIF(OFFSET(INDIRECT(ADDRESS($J33,$K33,,,M$8)),0,0,1,COLUMNS('variant 1'!$N:$X)-2),
OFFSET(INDIRECT(ADDRESS($J33,$K33,,,M$8)),0,0,1,COLUMNS('variant 1'!$N:$X)-2),
OFFSET(INDIRECT(ADDRESS($J$31,$K$31,,,M$8)),0,0,1,COLUMNS('variant 1'!$N:$X)-2)),0))),"")</f>
        <v/>
      </c>
      <c r="N33" s="152" t="str">
        <f t="array" aca="1" ref="N33" ca="1">IFERROR(IF(N19=0,"",INDEX(OFFSET(INDIRECT(ADDRESS($J33,$K33,,,N$8)),0,0,1,COLUMNS('variant 1'!$N:$X)-2),
MATCH(MAX(SUMIF(OFFSET(INDIRECT(ADDRESS($J33,$K33,,,N$8)),0,0,1,COLUMNS('variant 1'!$N:$X)-2),
OFFSET(INDIRECT(ADDRESS($J33,$K33,,,N$8)),0,0,1,COLUMNS('variant 1'!$N:$X)-2),
OFFSET(INDIRECT(ADDRESS($J$31,$K$31,,,N$8)),0,0,1,COLUMNS('variant 1'!$N:$X)-2))),
SUMIF(OFFSET(INDIRECT(ADDRESS($J33,$K33,,,N$8)),0,0,1,COLUMNS('variant 1'!$N:$X)-2),
OFFSET(INDIRECT(ADDRESS($J33,$K33,,,N$8)),0,0,1,COLUMNS('variant 1'!$N:$X)-2),
OFFSET(INDIRECT(ADDRESS($J$31,$K$31,,,N$8)),0,0,1,COLUMNS('variant 1'!$N:$X)-2)),0))),"")</f>
        <v/>
      </c>
      <c r="O33" s="152" t="str">
        <f t="array" aca="1" ref="O33" ca="1">IFERROR(IF(O19=0,"",INDEX(OFFSET(INDIRECT(ADDRESS($J33,$K33,,,O$8)),0,0,1,COLUMNS('variant 1'!$N:$X)-2),
MATCH(MAX(SUMIF(OFFSET(INDIRECT(ADDRESS($J33,$K33,,,O$8)),0,0,1,COLUMNS('variant 1'!$N:$X)-2),
OFFSET(INDIRECT(ADDRESS($J33,$K33,,,O$8)),0,0,1,COLUMNS('variant 1'!$N:$X)-2),
OFFSET(INDIRECT(ADDRESS($J$31,$K$31,,,O$8)),0,0,1,COLUMNS('variant 1'!$N:$X)-2))),
SUMIF(OFFSET(INDIRECT(ADDRESS($J33,$K33,,,O$8)),0,0,1,COLUMNS('variant 1'!$N:$X)-2),
OFFSET(INDIRECT(ADDRESS($J33,$K33,,,O$8)),0,0,1,COLUMNS('variant 1'!$N:$X)-2),
OFFSET(INDIRECT(ADDRESS($J$31,$K$31,,,O$8)),0,0,1,COLUMNS('variant 1'!$N:$X)-2)),0))),"")</f>
        <v/>
      </c>
      <c r="P33" s="152" t="str">
        <f t="array" aca="1" ref="P33" ca="1">IFERROR(IF(P19=0,"",INDEX(OFFSET(INDIRECT(ADDRESS($J33,$K33,,,P$8)),0,0,1,COLUMNS('variant 1'!$N:$X)-2),
MATCH(MAX(SUMIF(OFFSET(INDIRECT(ADDRESS($J33,$K33,,,P$8)),0,0,1,COLUMNS('variant 1'!$N:$X)-2),
OFFSET(INDIRECT(ADDRESS($J33,$K33,,,P$8)),0,0,1,COLUMNS('variant 1'!$N:$X)-2),
OFFSET(INDIRECT(ADDRESS($J$31,$K$31,,,P$8)),0,0,1,COLUMNS('variant 1'!$N:$X)-2))),
SUMIF(OFFSET(INDIRECT(ADDRESS($J33,$K33,,,P$8)),0,0,1,COLUMNS('variant 1'!$N:$X)-2),
OFFSET(INDIRECT(ADDRESS($J33,$K33,,,P$8)),0,0,1,COLUMNS('variant 1'!$N:$X)-2),
OFFSET(INDIRECT(ADDRESS($J$31,$K$31,,,P$8)),0,0,1,COLUMNS('variant 1'!$N:$X)-2)),0))),"")</f>
        <v/>
      </c>
      <c r="Q33" s="152" t="str">
        <f t="array" aca="1" ref="Q33" ca="1">IFERROR(IF(Q19=0,"",INDEX(OFFSET(INDIRECT(ADDRESS($J33,$K33,,,Q$8)),0,0,1,COLUMNS('variant 1'!$N:$X)-2),
MATCH(MAX(SUMIF(OFFSET(INDIRECT(ADDRESS($J33,$K33,,,Q$8)),0,0,1,COLUMNS('variant 1'!$N:$X)-2),
OFFSET(INDIRECT(ADDRESS($J33,$K33,,,Q$8)),0,0,1,COLUMNS('variant 1'!$N:$X)-2),
OFFSET(INDIRECT(ADDRESS($J$31,$K$31,,,Q$8)),0,0,1,COLUMNS('variant 1'!$N:$X)-2))),
SUMIF(OFFSET(INDIRECT(ADDRESS($J33,$K33,,,Q$8)),0,0,1,COLUMNS('variant 1'!$N:$X)-2),
OFFSET(INDIRECT(ADDRESS($J33,$K33,,,Q$8)),0,0,1,COLUMNS('variant 1'!$N:$X)-2),
OFFSET(INDIRECT(ADDRESS($J$31,$K$31,,,Q$8)),0,0,1,COLUMNS('variant 1'!$N:$X)-2)),0))),"")</f>
        <v/>
      </c>
      <c r="R33" s="152" t="str">
        <f t="array" aca="1" ref="R33" ca="1">IFERROR(IF(R19=0,"",INDEX(OFFSET(INDIRECT(ADDRESS($J33,$K33,,,R$8)),0,0,1,COLUMNS('variant 1'!$N:$X)-2),
MATCH(MAX(SUMIF(OFFSET(INDIRECT(ADDRESS($J33,$K33,,,R$8)),0,0,1,COLUMNS('variant 1'!$N:$X)-2),
OFFSET(INDIRECT(ADDRESS($J33,$K33,,,R$8)),0,0,1,COLUMNS('variant 1'!$N:$X)-2),
OFFSET(INDIRECT(ADDRESS($J$31,$K$31,,,R$8)),0,0,1,COLUMNS('variant 1'!$N:$X)-2))),
SUMIF(OFFSET(INDIRECT(ADDRESS($J33,$K33,,,R$8)),0,0,1,COLUMNS('variant 1'!$N:$X)-2),
OFFSET(INDIRECT(ADDRESS($J33,$K33,,,R$8)),0,0,1,COLUMNS('variant 1'!$N:$X)-2),
OFFSET(INDIRECT(ADDRESS($J$31,$K$31,,,R$8)),0,0,1,COLUMNS('variant 1'!$N:$X)-2)),0))),"")</f>
        <v/>
      </c>
      <c r="S33" s="6"/>
    </row>
    <row r="34" spans="1:19" ht="14.25" hidden="1">
      <c r="A34" s="820" t="s">
        <v>84</v>
      </c>
      <c r="B34" s="1189" t="s">
        <v>311</v>
      </c>
      <c r="C34" s="586"/>
      <c r="D34" s="57"/>
      <c r="E34" s="550" t="str">
        <f>"locatie 3"&amp;IF('woningen|utiliteit'!$L$49="","",": "&amp;'woningen|utiliteit'!$L$49)</f>
        <v>locatie 3</v>
      </c>
      <c r="F34" s="180"/>
      <c r="G34" s="180" t="s">
        <v>65</v>
      </c>
      <c r="H34" s="31"/>
      <c r="I34" s="551" t="str">
        <f>'variant 1'!$AM$38</f>
        <v/>
      </c>
      <c r="J34" s="547">
        <f ca="1">ROW(INDIRECT(RIGHT((_xlfn.FORMULATEXT($I34)),LEN(_xlfn.FORMULATEXT($I34))-1)))</f>
        <v>38</v>
      </c>
      <c r="K34" s="547">
        <f ca="1">COLUMN(INDIRECT(RIGHT((_xlfn.FORMULATEXT($I34)),LEN(_xlfn.FORMULATEXT($I34))-1)))</f>
        <v>39</v>
      </c>
      <c r="L34" s="31"/>
      <c r="M34" s="152" t="str">
        <f t="array" aca="1" ref="M34" ca="1">IFERROR(IF(M20=0,"",INDEX(OFFSET(INDIRECT(ADDRESS($J34,$K34,,,M$8)),0,0,1,COLUMNS('variant 1'!$N:$X)-2),
MATCH(MAX(SUMIF(OFFSET(INDIRECT(ADDRESS($J34,$K34,,,M$8)),0,0,1,COLUMNS('variant 1'!$N:$X)-2),
OFFSET(INDIRECT(ADDRESS($J34,$K34,,,M$8)),0,0,1,COLUMNS('variant 1'!$N:$X)-2),
OFFSET(INDIRECT(ADDRESS($J$31,$K$31,,,M$8)),0,0,1,COLUMNS('variant 1'!$N:$X)-2))),
SUMIF(OFFSET(INDIRECT(ADDRESS($J34,$K34,,,M$8)),0,0,1,COLUMNS('variant 1'!$N:$X)-2),
OFFSET(INDIRECT(ADDRESS($J34,$K34,,,M$8)),0,0,1,COLUMNS('variant 1'!$N:$X)-2),
OFFSET(INDIRECT(ADDRESS($J$31,$K$31,,,M$8)),0,0,1,COLUMNS('variant 1'!$N:$X)-2)),0))),"")</f>
        <v/>
      </c>
      <c r="N34" s="152" t="str">
        <f t="array" aca="1" ref="N34" ca="1">IFERROR(IF(N20=0,"",INDEX(OFFSET(INDIRECT(ADDRESS($J34,$K34,,,N$8)),0,0,1,COLUMNS('variant 1'!$N:$X)-2),
MATCH(MAX(SUMIF(OFFSET(INDIRECT(ADDRESS($J34,$K34,,,N$8)),0,0,1,COLUMNS('variant 1'!$N:$X)-2),
OFFSET(INDIRECT(ADDRESS($J34,$K34,,,N$8)),0,0,1,COLUMNS('variant 1'!$N:$X)-2),
OFFSET(INDIRECT(ADDRESS($J$31,$K$31,,,N$8)),0,0,1,COLUMNS('variant 1'!$N:$X)-2))),
SUMIF(OFFSET(INDIRECT(ADDRESS($J34,$K34,,,N$8)),0,0,1,COLUMNS('variant 1'!$N:$X)-2),
OFFSET(INDIRECT(ADDRESS($J34,$K34,,,N$8)),0,0,1,COLUMNS('variant 1'!$N:$X)-2),
OFFSET(INDIRECT(ADDRESS($J$31,$K$31,,,N$8)),0,0,1,COLUMNS('variant 1'!$N:$X)-2)),0))),"")</f>
        <v/>
      </c>
      <c r="O34" s="152" t="str">
        <f t="array" aca="1" ref="O34" ca="1">IFERROR(IF(O20=0,"",INDEX(OFFSET(INDIRECT(ADDRESS($J34,$K34,,,O$8)),0,0,1,COLUMNS('variant 1'!$N:$X)-2),
MATCH(MAX(SUMIF(OFFSET(INDIRECT(ADDRESS($J34,$K34,,,O$8)),0,0,1,COLUMNS('variant 1'!$N:$X)-2),
OFFSET(INDIRECT(ADDRESS($J34,$K34,,,O$8)),0,0,1,COLUMNS('variant 1'!$N:$X)-2),
OFFSET(INDIRECT(ADDRESS($J$31,$K$31,,,O$8)),0,0,1,COLUMNS('variant 1'!$N:$X)-2))),
SUMIF(OFFSET(INDIRECT(ADDRESS($J34,$K34,,,O$8)),0,0,1,COLUMNS('variant 1'!$N:$X)-2),
OFFSET(INDIRECT(ADDRESS($J34,$K34,,,O$8)),0,0,1,COLUMNS('variant 1'!$N:$X)-2),
OFFSET(INDIRECT(ADDRESS($J$31,$K$31,,,O$8)),0,0,1,COLUMNS('variant 1'!$N:$X)-2)),0))),"")</f>
        <v/>
      </c>
      <c r="P34" s="152" t="str">
        <f t="array" aca="1" ref="P34" ca="1">IFERROR(IF(P20=0,"",INDEX(OFFSET(INDIRECT(ADDRESS($J34,$K34,,,P$8)),0,0,1,COLUMNS('variant 1'!$N:$X)-2),
MATCH(MAX(SUMIF(OFFSET(INDIRECT(ADDRESS($J34,$K34,,,P$8)),0,0,1,COLUMNS('variant 1'!$N:$X)-2),
OFFSET(INDIRECT(ADDRESS($J34,$K34,,,P$8)),0,0,1,COLUMNS('variant 1'!$N:$X)-2),
OFFSET(INDIRECT(ADDRESS($J$31,$K$31,,,P$8)),0,0,1,COLUMNS('variant 1'!$N:$X)-2))),
SUMIF(OFFSET(INDIRECT(ADDRESS($J34,$K34,,,P$8)),0,0,1,COLUMNS('variant 1'!$N:$X)-2),
OFFSET(INDIRECT(ADDRESS($J34,$K34,,,P$8)),0,0,1,COLUMNS('variant 1'!$N:$X)-2),
OFFSET(INDIRECT(ADDRESS($J$31,$K$31,,,P$8)),0,0,1,COLUMNS('variant 1'!$N:$X)-2)),0))),"")</f>
        <v/>
      </c>
      <c r="Q34" s="152" t="str">
        <f t="array" aca="1" ref="Q34" ca="1">IFERROR(IF(Q20=0,"",INDEX(OFFSET(INDIRECT(ADDRESS($J34,$K34,,,Q$8)),0,0,1,COLUMNS('variant 1'!$N:$X)-2),
MATCH(MAX(SUMIF(OFFSET(INDIRECT(ADDRESS($J34,$K34,,,Q$8)),0,0,1,COLUMNS('variant 1'!$N:$X)-2),
OFFSET(INDIRECT(ADDRESS($J34,$K34,,,Q$8)),0,0,1,COLUMNS('variant 1'!$N:$X)-2),
OFFSET(INDIRECT(ADDRESS($J$31,$K$31,,,Q$8)),0,0,1,COLUMNS('variant 1'!$N:$X)-2))),
SUMIF(OFFSET(INDIRECT(ADDRESS($J34,$K34,,,Q$8)),0,0,1,COLUMNS('variant 1'!$N:$X)-2),
OFFSET(INDIRECT(ADDRESS($J34,$K34,,,Q$8)),0,0,1,COLUMNS('variant 1'!$N:$X)-2),
OFFSET(INDIRECT(ADDRESS($J$31,$K$31,,,Q$8)),0,0,1,COLUMNS('variant 1'!$N:$X)-2)),0))),"")</f>
        <v/>
      </c>
      <c r="R34" s="152" t="str">
        <f t="array" aca="1" ref="R34" ca="1">IFERROR(IF(R20=0,"",INDEX(OFFSET(INDIRECT(ADDRESS($J34,$K34,,,R$8)),0,0,1,COLUMNS('variant 1'!$N:$X)-2),
MATCH(MAX(SUMIF(OFFSET(INDIRECT(ADDRESS($J34,$K34,,,R$8)),0,0,1,COLUMNS('variant 1'!$N:$X)-2),
OFFSET(INDIRECT(ADDRESS($J34,$K34,,,R$8)),0,0,1,COLUMNS('variant 1'!$N:$X)-2),
OFFSET(INDIRECT(ADDRESS($J$31,$K$31,,,R$8)),0,0,1,COLUMNS('variant 1'!$N:$X)-2))),
SUMIF(OFFSET(INDIRECT(ADDRESS($J34,$K34,,,R$8)),0,0,1,COLUMNS('variant 1'!$N:$X)-2),
OFFSET(INDIRECT(ADDRESS($J34,$K34,,,R$8)),0,0,1,COLUMNS('variant 1'!$N:$X)-2),
OFFSET(INDIRECT(ADDRESS($J$31,$K$31,,,R$8)),0,0,1,COLUMNS('variant 1'!$N:$X)-2)),0))),"")</f>
        <v/>
      </c>
      <c r="S34" s="4"/>
    </row>
    <row r="35" spans="1:19" ht="14.25" hidden="1">
      <c r="A35" s="824" t="s">
        <v>84</v>
      </c>
      <c r="B35" s="1189" t="s">
        <v>311</v>
      </c>
      <c r="C35" s="586"/>
      <c r="D35" s="57"/>
      <c r="E35" s="550" t="str">
        <f>"locatie 4"&amp;IF('woningen|utiliteit'!$L$65="","",": "&amp;'woningen|utiliteit'!$L$65)</f>
        <v>locatie 4</v>
      </c>
      <c r="F35" s="149"/>
      <c r="G35" s="149" t="s">
        <v>65</v>
      </c>
      <c r="H35" s="71"/>
      <c r="I35" s="551" t="str">
        <f>'variant 1'!$AY$38</f>
        <v/>
      </c>
      <c r="J35" s="547">
        <f ca="1">ROW(INDIRECT(RIGHT((_xlfn.FORMULATEXT($I35)),LEN(_xlfn.FORMULATEXT($I35))-1)))</f>
        <v>38</v>
      </c>
      <c r="K35" s="547">
        <f ca="1">COLUMN(INDIRECT(RIGHT((_xlfn.FORMULATEXT($I35)),LEN(_xlfn.FORMULATEXT($I35))-1)))</f>
        <v>51</v>
      </c>
      <c r="L35" s="71"/>
      <c r="M35" s="152" t="str">
        <f t="array" aca="1" ref="M35" ca="1">IFERROR(IF(M21=0,"",INDEX(OFFSET(INDIRECT(ADDRESS($J35,$K35,,,M$8)),0,0,1,COLUMNS('variant 1'!$N:$X)-2),
MATCH(MAX(SUMIF(OFFSET(INDIRECT(ADDRESS($J35,$K35,,,M$8)),0,0,1,COLUMNS('variant 1'!$N:$X)-2),
OFFSET(INDIRECT(ADDRESS($J35,$K35,,,M$8)),0,0,1,COLUMNS('variant 1'!$N:$X)-2),
OFFSET(INDIRECT(ADDRESS($J$31,$K$31,,,M$8)),0,0,1,COLUMNS('variant 1'!$N:$X)-2))),
SUMIF(OFFSET(INDIRECT(ADDRESS($J35,$K35,,,M$8)),0,0,1,COLUMNS('variant 1'!$N:$X)-2),
OFFSET(INDIRECT(ADDRESS($J35,$K35,,,M$8)),0,0,1,COLUMNS('variant 1'!$N:$X)-2),
OFFSET(INDIRECT(ADDRESS($J$31,$K$31,,,M$8)),0,0,1,COLUMNS('variant 1'!$N:$X)-2)),0))),"")</f>
        <v/>
      </c>
      <c r="N35" s="152" t="str">
        <f t="array" aca="1" ref="N35" ca="1">IFERROR(IF(N21=0,"",INDEX(OFFSET(INDIRECT(ADDRESS($J35,$K35,,,N$8)),0,0,1,COLUMNS('variant 1'!$N:$X)-2),
MATCH(MAX(SUMIF(OFFSET(INDIRECT(ADDRESS($J35,$K35,,,N$8)),0,0,1,COLUMNS('variant 1'!$N:$X)-2),
OFFSET(INDIRECT(ADDRESS($J35,$K35,,,N$8)),0,0,1,COLUMNS('variant 1'!$N:$X)-2),
OFFSET(INDIRECT(ADDRESS($J$31,$K$31,,,N$8)),0,0,1,COLUMNS('variant 1'!$N:$X)-2))),
SUMIF(OFFSET(INDIRECT(ADDRESS($J35,$K35,,,N$8)),0,0,1,COLUMNS('variant 1'!$N:$X)-2),
OFFSET(INDIRECT(ADDRESS($J35,$K35,,,N$8)),0,0,1,COLUMNS('variant 1'!$N:$X)-2),
OFFSET(INDIRECT(ADDRESS($J$31,$K$31,,,N$8)),0,0,1,COLUMNS('variant 1'!$N:$X)-2)),0))),"")</f>
        <v/>
      </c>
      <c r="O35" s="152" t="str">
        <f t="array" aca="1" ref="O35" ca="1">IFERROR(IF(O21=0,"",INDEX(OFFSET(INDIRECT(ADDRESS($J35,$K35,,,O$8)),0,0,1,COLUMNS('variant 1'!$N:$X)-2),
MATCH(MAX(SUMIF(OFFSET(INDIRECT(ADDRESS($J35,$K35,,,O$8)),0,0,1,COLUMNS('variant 1'!$N:$X)-2),
OFFSET(INDIRECT(ADDRESS($J35,$K35,,,O$8)),0,0,1,COLUMNS('variant 1'!$N:$X)-2),
OFFSET(INDIRECT(ADDRESS($J$31,$K$31,,,O$8)),0,0,1,COLUMNS('variant 1'!$N:$X)-2))),
SUMIF(OFFSET(INDIRECT(ADDRESS($J35,$K35,,,O$8)),0,0,1,COLUMNS('variant 1'!$N:$X)-2),
OFFSET(INDIRECT(ADDRESS($J35,$K35,,,O$8)),0,0,1,COLUMNS('variant 1'!$N:$X)-2),
OFFSET(INDIRECT(ADDRESS($J$31,$K$31,,,O$8)),0,0,1,COLUMNS('variant 1'!$N:$X)-2)),0))),"")</f>
        <v/>
      </c>
      <c r="P35" s="152" t="str">
        <f t="array" aca="1" ref="P35" ca="1">IFERROR(IF(P21=0,"",INDEX(OFFSET(INDIRECT(ADDRESS($J35,$K35,,,P$8)),0,0,1,COLUMNS('variant 1'!$N:$X)-2),
MATCH(MAX(SUMIF(OFFSET(INDIRECT(ADDRESS($J35,$K35,,,P$8)),0,0,1,COLUMNS('variant 1'!$N:$X)-2),
OFFSET(INDIRECT(ADDRESS($J35,$K35,,,P$8)),0,0,1,COLUMNS('variant 1'!$N:$X)-2),
OFFSET(INDIRECT(ADDRESS($J$31,$K$31,,,P$8)),0,0,1,COLUMNS('variant 1'!$N:$X)-2))),
SUMIF(OFFSET(INDIRECT(ADDRESS($J35,$K35,,,P$8)),0,0,1,COLUMNS('variant 1'!$N:$X)-2),
OFFSET(INDIRECT(ADDRESS($J35,$K35,,,P$8)),0,0,1,COLUMNS('variant 1'!$N:$X)-2),
OFFSET(INDIRECT(ADDRESS($J$31,$K$31,,,P$8)),0,0,1,COLUMNS('variant 1'!$N:$X)-2)),0))),"")</f>
        <v/>
      </c>
      <c r="Q35" s="152" t="str">
        <f t="array" aca="1" ref="Q35" ca="1">IFERROR(IF(Q21=0,"",INDEX(OFFSET(INDIRECT(ADDRESS($J35,$K35,,,Q$8)),0,0,1,COLUMNS('variant 1'!$N:$X)-2),
MATCH(MAX(SUMIF(OFFSET(INDIRECT(ADDRESS($J35,$K35,,,Q$8)),0,0,1,COLUMNS('variant 1'!$N:$X)-2),
OFFSET(INDIRECT(ADDRESS($J35,$K35,,,Q$8)),0,0,1,COLUMNS('variant 1'!$N:$X)-2),
OFFSET(INDIRECT(ADDRESS($J$31,$K$31,,,Q$8)),0,0,1,COLUMNS('variant 1'!$N:$X)-2))),
SUMIF(OFFSET(INDIRECT(ADDRESS($J35,$K35,,,Q$8)),0,0,1,COLUMNS('variant 1'!$N:$X)-2),
OFFSET(INDIRECT(ADDRESS($J35,$K35,,,Q$8)),0,0,1,COLUMNS('variant 1'!$N:$X)-2),
OFFSET(INDIRECT(ADDRESS($J$31,$K$31,,,Q$8)),0,0,1,COLUMNS('variant 1'!$N:$X)-2)),0))),"")</f>
        <v/>
      </c>
      <c r="R35" s="152" t="str">
        <f t="array" aca="1" ref="R35" ca="1">IFERROR(IF(R21=0,"",INDEX(OFFSET(INDIRECT(ADDRESS($J35,$K35,,,R$8)),0,0,1,COLUMNS('variant 1'!$N:$X)-2),
MATCH(MAX(SUMIF(OFFSET(INDIRECT(ADDRESS($J35,$K35,,,R$8)),0,0,1,COLUMNS('variant 1'!$N:$X)-2),
OFFSET(INDIRECT(ADDRESS($J35,$K35,,,R$8)),0,0,1,COLUMNS('variant 1'!$N:$X)-2),
OFFSET(INDIRECT(ADDRESS($J$31,$K$31,,,R$8)),0,0,1,COLUMNS('variant 1'!$N:$X)-2))),
SUMIF(OFFSET(INDIRECT(ADDRESS($J35,$K35,,,R$8)),0,0,1,COLUMNS('variant 1'!$N:$X)-2),
OFFSET(INDIRECT(ADDRESS($J35,$K35,,,R$8)),0,0,1,COLUMNS('variant 1'!$N:$X)-2),
OFFSET(INDIRECT(ADDRESS($J$31,$K$31,,,R$8)),0,0,1,COLUMNS('variant 1'!$N:$X)-2)),0))),"")</f>
        <v/>
      </c>
      <c r="S35" s="66"/>
    </row>
    <row r="36" spans="1:19" ht="15" hidden="1">
      <c r="A36" s="820" t="s">
        <v>84</v>
      </c>
      <c r="B36" s="1189" t="s">
        <v>314</v>
      </c>
      <c r="C36" s="586"/>
      <c r="D36" s="57"/>
      <c r="E36" s="31"/>
      <c r="F36" s="31"/>
      <c r="G36" s="31"/>
      <c r="H36" s="31"/>
      <c r="I36" s="70"/>
      <c r="J36" s="68"/>
      <c r="K36" s="68"/>
      <c r="L36" s="31"/>
      <c r="M36" s="31"/>
      <c r="N36" s="31"/>
      <c r="O36" s="31"/>
      <c r="P36" s="31"/>
      <c r="Q36" s="31"/>
      <c r="R36" s="31"/>
      <c r="S36" s="4"/>
    </row>
    <row r="37" spans="1:19" ht="21" hidden="1">
      <c r="A37" s="820" t="s">
        <v>84</v>
      </c>
      <c r="B37" s="1189" t="s">
        <v>314</v>
      </c>
      <c r="C37" s="586"/>
      <c r="D37" s="57"/>
      <c r="E37" s="175" t="s">
        <v>314</v>
      </c>
      <c r="F37" s="175"/>
      <c r="G37" s="175"/>
      <c r="H37" s="4"/>
      <c r="I37" s="546"/>
      <c r="J37" s="546"/>
      <c r="K37" s="546"/>
      <c r="L37" s="31"/>
      <c r="M37" s="561"/>
      <c r="N37" s="561"/>
      <c r="O37" s="561"/>
      <c r="P37" s="561"/>
      <c r="Q37" s="561"/>
      <c r="R37" s="561"/>
      <c r="S37" s="4"/>
    </row>
    <row r="38" spans="1:19" ht="14.25" hidden="1">
      <c r="A38" s="820" t="s">
        <v>84</v>
      </c>
      <c r="B38" s="1189" t="s">
        <v>314</v>
      </c>
      <c r="C38" s="586"/>
      <c r="D38" s="57"/>
      <c r="E38" s="550" t="str">
        <f>"locatie 1"&amp;IF('woningen|utiliteit'!$L$17="","",": "&amp;'woningen|utiliteit'!$L$17)</f>
        <v>locatie 1</v>
      </c>
      <c r="F38" s="149"/>
      <c r="G38" s="149" t="s">
        <v>315</v>
      </c>
      <c r="H38" s="71"/>
      <c r="I38" s="551">
        <f>'variant 1'!$M$71</f>
        <v>0</v>
      </c>
      <c r="J38" s="547">
        <f ca="1">ROW(INDIRECT(RIGHT((_xlfn.FORMULATEXT($I38)),LEN(_xlfn.FORMULATEXT($I38))-1)))</f>
        <v>71</v>
      </c>
      <c r="K38" s="547">
        <f ca="1">COLUMN(INDIRECT(RIGHT((_xlfn.FORMULATEXT($I38)),LEN(_xlfn.FORMULATEXT($I38))-1)))</f>
        <v>13</v>
      </c>
      <c r="L38" s="71"/>
      <c r="M38" s="558" t="str">
        <f t="shared" ref="M38:R41" ca="1" si="8">IF(M18=0,"",IFERROR(INDIRECT(ADDRESS($J38,$K38,,,M$8)),0))</f>
        <v/>
      </c>
      <c r="N38" s="558" t="str">
        <f t="shared" ca="1" si="8"/>
        <v/>
      </c>
      <c r="O38" s="558" t="str">
        <f t="shared" ca="1" si="8"/>
        <v/>
      </c>
      <c r="P38" s="558" t="str">
        <f t="shared" ca="1" si="8"/>
        <v/>
      </c>
      <c r="Q38" s="558" t="str">
        <f t="shared" ca="1" si="8"/>
        <v/>
      </c>
      <c r="R38" s="558" t="str">
        <f t="shared" ca="1" si="8"/>
        <v/>
      </c>
      <c r="S38" s="5"/>
    </row>
    <row r="39" spans="1:19" ht="14.25" hidden="1">
      <c r="A39" s="820" t="s">
        <v>84</v>
      </c>
      <c r="B39" s="1189" t="s">
        <v>314</v>
      </c>
      <c r="C39" s="586"/>
      <c r="D39" s="57"/>
      <c r="E39" s="550" t="str">
        <f>"locatie 2"&amp;IF('woningen|utiliteit'!$L$33="","",": "&amp;'woningen|utiliteit'!$L$33)</f>
        <v>locatie 2</v>
      </c>
      <c r="F39" s="180"/>
      <c r="G39" s="180" t="s">
        <v>315</v>
      </c>
      <c r="H39" s="31"/>
      <c r="I39" s="551">
        <f>'variant 1'!$Y$71</f>
        <v>0</v>
      </c>
      <c r="J39" s="547">
        <f ca="1">ROW(INDIRECT(RIGHT((_xlfn.FORMULATEXT($I39)),LEN(_xlfn.FORMULATEXT($I39))-1)))</f>
        <v>71</v>
      </c>
      <c r="K39" s="547">
        <f ca="1">COLUMN(INDIRECT(RIGHT((_xlfn.FORMULATEXT($I39)),LEN(_xlfn.FORMULATEXT($I39))-1)))</f>
        <v>25</v>
      </c>
      <c r="L39" s="31"/>
      <c r="M39" s="558" t="str">
        <f t="shared" ca="1" si="8"/>
        <v/>
      </c>
      <c r="N39" s="558" t="str">
        <f t="shared" ca="1" si="8"/>
        <v/>
      </c>
      <c r="O39" s="558" t="str">
        <f t="shared" ca="1" si="8"/>
        <v/>
      </c>
      <c r="P39" s="558" t="str">
        <f t="shared" ca="1" si="8"/>
        <v/>
      </c>
      <c r="Q39" s="558" t="str">
        <f t="shared" ca="1" si="8"/>
        <v/>
      </c>
      <c r="R39" s="558" t="str">
        <f t="shared" ca="1" si="8"/>
        <v/>
      </c>
      <c r="S39" s="6"/>
    </row>
    <row r="40" spans="1:19" ht="14.25" hidden="1">
      <c r="A40" s="820" t="s">
        <v>84</v>
      </c>
      <c r="B40" s="1189" t="s">
        <v>314</v>
      </c>
      <c r="C40" s="586"/>
      <c r="D40" s="57"/>
      <c r="E40" s="550" t="str">
        <f>"locatie 3"&amp;IF('woningen|utiliteit'!$L$49="","",": "&amp;'woningen|utiliteit'!$L$49)</f>
        <v>locatie 3</v>
      </c>
      <c r="F40" s="180"/>
      <c r="G40" s="180" t="s">
        <v>315</v>
      </c>
      <c r="H40" s="31"/>
      <c r="I40" s="551">
        <f>'variant 1'!$AK$71</f>
        <v>0</v>
      </c>
      <c r="J40" s="547">
        <f ca="1">ROW(INDIRECT(RIGHT((_xlfn.FORMULATEXT($I40)),LEN(_xlfn.FORMULATEXT($I40))-1)))</f>
        <v>71</v>
      </c>
      <c r="K40" s="547">
        <f ca="1">COLUMN(INDIRECT(RIGHT((_xlfn.FORMULATEXT($I40)),LEN(_xlfn.FORMULATEXT($I40))-1)))</f>
        <v>37</v>
      </c>
      <c r="L40" s="31"/>
      <c r="M40" s="558" t="str">
        <f t="shared" ca="1" si="8"/>
        <v/>
      </c>
      <c r="N40" s="558" t="str">
        <f t="shared" ca="1" si="8"/>
        <v/>
      </c>
      <c r="O40" s="558" t="str">
        <f t="shared" ca="1" si="8"/>
        <v/>
      </c>
      <c r="P40" s="558" t="str">
        <f t="shared" ca="1" si="8"/>
        <v/>
      </c>
      <c r="Q40" s="558" t="str">
        <f t="shared" ca="1" si="8"/>
        <v/>
      </c>
      <c r="R40" s="558" t="str">
        <f t="shared" ca="1" si="8"/>
        <v/>
      </c>
      <c r="S40" s="4"/>
    </row>
    <row r="41" spans="1:19" ht="14.25" hidden="1">
      <c r="A41" s="824" t="s">
        <v>84</v>
      </c>
      <c r="B41" s="1189" t="s">
        <v>314</v>
      </c>
      <c r="C41" s="586"/>
      <c r="D41" s="57"/>
      <c r="E41" s="550" t="str">
        <f>"locatie 4"&amp;IF('woningen|utiliteit'!$L$65="","",": "&amp;'woningen|utiliteit'!$L$65)</f>
        <v>locatie 4</v>
      </c>
      <c r="F41" s="149"/>
      <c r="G41" s="149" t="s">
        <v>315</v>
      </c>
      <c r="H41" s="71"/>
      <c r="I41" s="551">
        <f>'variant 1'!$AW$71</f>
        <v>0</v>
      </c>
      <c r="J41" s="547">
        <f ca="1">ROW(INDIRECT(RIGHT((_xlfn.FORMULATEXT($I41)),LEN(_xlfn.FORMULATEXT($I41))-1)))</f>
        <v>71</v>
      </c>
      <c r="K41" s="547">
        <f ca="1">COLUMN(INDIRECT(RIGHT((_xlfn.FORMULATEXT($I41)),LEN(_xlfn.FORMULATEXT($I41))-1)))</f>
        <v>49</v>
      </c>
      <c r="L41" s="71"/>
      <c r="M41" s="558" t="str">
        <f t="shared" ca="1" si="8"/>
        <v/>
      </c>
      <c r="N41" s="558" t="str">
        <f t="shared" ca="1" si="8"/>
        <v/>
      </c>
      <c r="O41" s="558" t="str">
        <f t="shared" ca="1" si="8"/>
        <v/>
      </c>
      <c r="P41" s="558" t="str">
        <f t="shared" ca="1" si="8"/>
        <v/>
      </c>
      <c r="Q41" s="558" t="str">
        <f t="shared" ca="1" si="8"/>
        <v/>
      </c>
      <c r="R41" s="558" t="str">
        <f t="shared" ca="1" si="8"/>
        <v/>
      </c>
      <c r="S41" s="66"/>
    </row>
    <row r="42" spans="1:19" ht="15" hidden="1">
      <c r="A42" s="820" t="s">
        <v>84</v>
      </c>
      <c r="B42" s="1189" t="s">
        <v>316</v>
      </c>
      <c r="C42" s="586"/>
      <c r="D42" s="57"/>
      <c r="E42" s="31"/>
      <c r="F42" s="31"/>
      <c r="G42" s="31"/>
      <c r="H42" s="31"/>
      <c r="I42" s="70"/>
      <c r="J42" s="68"/>
      <c r="K42" s="68"/>
      <c r="L42" s="31"/>
      <c r="M42" s="31"/>
      <c r="N42" s="31"/>
      <c r="O42" s="31"/>
      <c r="P42" s="31"/>
      <c r="Q42" s="31"/>
      <c r="R42" s="31"/>
      <c r="S42" s="4"/>
    </row>
    <row r="43" spans="1:19" ht="21" hidden="1">
      <c r="A43" s="820" t="s">
        <v>84</v>
      </c>
      <c r="B43" s="1189" t="s">
        <v>316</v>
      </c>
      <c r="C43" s="586"/>
      <c r="D43" s="57"/>
      <c r="E43" s="175" t="s">
        <v>317</v>
      </c>
      <c r="F43" s="175"/>
      <c r="G43" s="175"/>
      <c r="H43" s="4"/>
      <c r="I43" s="546"/>
      <c r="J43" s="546"/>
      <c r="K43" s="546"/>
      <c r="L43" s="31"/>
      <c r="M43" s="561"/>
      <c r="N43" s="561"/>
      <c r="O43" s="561"/>
      <c r="P43" s="561"/>
      <c r="Q43" s="561"/>
      <c r="R43" s="561"/>
      <c r="S43" s="4"/>
    </row>
    <row r="44" spans="1:19" ht="14.25" hidden="1">
      <c r="A44" s="820" t="s">
        <v>84</v>
      </c>
      <c r="B44" s="1189" t="s">
        <v>316</v>
      </c>
      <c r="C44" s="586"/>
      <c r="D44" s="57"/>
      <c r="E44" s="550" t="str">
        <f>"locatie 1"&amp;IF('woningen|utiliteit'!$L$17="","",": "&amp;'woningen|utiliteit'!$L$17)</f>
        <v>locatie 1</v>
      </c>
      <c r="F44" s="149"/>
      <c r="G44" s="149" t="s">
        <v>315</v>
      </c>
      <c r="H44" s="71"/>
      <c r="I44" s="551">
        <f>'variant 1'!$M$73</f>
        <v>0</v>
      </c>
      <c r="J44" s="547">
        <f ca="1">ROW(INDIRECT(RIGHT((_xlfn.FORMULATEXT($I44)),LEN(_xlfn.FORMULATEXT($I44))-1)))</f>
        <v>73</v>
      </c>
      <c r="K44" s="547">
        <f ca="1">COLUMN(INDIRECT(RIGHT((_xlfn.FORMULATEXT($I44)),LEN(_xlfn.FORMULATEXT($I44))-1)))</f>
        <v>13</v>
      </c>
      <c r="L44" s="71"/>
      <c r="M44" s="558" t="str">
        <f t="shared" ref="M44:R47" ca="1" si="9">IF(M18=0,"",IFERROR(INDIRECT(ADDRESS($J44,$K44,,,M$8)),0))</f>
        <v/>
      </c>
      <c r="N44" s="558" t="str">
        <f t="shared" ca="1" si="9"/>
        <v/>
      </c>
      <c r="O44" s="558" t="str">
        <f t="shared" ca="1" si="9"/>
        <v/>
      </c>
      <c r="P44" s="558" t="str">
        <f t="shared" ca="1" si="9"/>
        <v/>
      </c>
      <c r="Q44" s="558" t="str">
        <f t="shared" ca="1" si="9"/>
        <v/>
      </c>
      <c r="R44" s="558" t="str">
        <f t="shared" ca="1" si="9"/>
        <v/>
      </c>
      <c r="S44" s="5"/>
    </row>
    <row r="45" spans="1:19" ht="14.25" hidden="1">
      <c r="A45" s="820" t="s">
        <v>84</v>
      </c>
      <c r="B45" s="1189" t="s">
        <v>316</v>
      </c>
      <c r="C45" s="586"/>
      <c r="D45" s="57"/>
      <c r="E45" s="550" t="str">
        <f>"locatie 2"&amp;IF('woningen|utiliteit'!$L$33="","",": "&amp;'woningen|utiliteit'!$L$33)</f>
        <v>locatie 2</v>
      </c>
      <c r="F45" s="180"/>
      <c r="G45" s="180" t="s">
        <v>315</v>
      </c>
      <c r="H45" s="31"/>
      <c r="I45" s="551">
        <f>'variant 1'!$Y$73</f>
        <v>0</v>
      </c>
      <c r="J45" s="547">
        <f ca="1">ROW(INDIRECT(RIGHT((_xlfn.FORMULATEXT($I45)),LEN(_xlfn.FORMULATEXT($I45))-1)))</f>
        <v>73</v>
      </c>
      <c r="K45" s="547">
        <f ca="1">COLUMN(INDIRECT(RIGHT((_xlfn.FORMULATEXT($I45)),LEN(_xlfn.FORMULATEXT($I45))-1)))</f>
        <v>25</v>
      </c>
      <c r="L45" s="31"/>
      <c r="M45" s="558" t="str">
        <f t="shared" ca="1" si="9"/>
        <v/>
      </c>
      <c r="N45" s="558" t="str">
        <f t="shared" ca="1" si="9"/>
        <v/>
      </c>
      <c r="O45" s="558" t="str">
        <f t="shared" ref="O45:R46" ca="1" si="10">IF(O19=0,"",IFERROR(INDIRECT(ADDRESS($J45,$K45,,,O$8)),0))</f>
        <v/>
      </c>
      <c r="P45" s="558" t="str">
        <f t="shared" ca="1" si="10"/>
        <v/>
      </c>
      <c r="Q45" s="558" t="str">
        <f t="shared" ca="1" si="10"/>
        <v/>
      </c>
      <c r="R45" s="558" t="str">
        <f t="shared" ca="1" si="10"/>
        <v/>
      </c>
      <c r="S45" s="5"/>
    </row>
    <row r="46" spans="1:19" ht="14.25" hidden="1">
      <c r="A46" s="820" t="s">
        <v>84</v>
      </c>
      <c r="B46" s="1189" t="s">
        <v>316</v>
      </c>
      <c r="C46" s="586"/>
      <c r="D46" s="57"/>
      <c r="E46" s="550" t="str">
        <f>"locatie 3"&amp;IF('woningen|utiliteit'!$L$49="","",": "&amp;'woningen|utiliteit'!$L$49)</f>
        <v>locatie 3</v>
      </c>
      <c r="F46" s="180"/>
      <c r="G46" s="180" t="s">
        <v>315</v>
      </c>
      <c r="H46" s="31"/>
      <c r="I46" s="551">
        <f>'variant 1'!$AK$73</f>
        <v>0</v>
      </c>
      <c r="J46" s="547">
        <f ca="1">ROW(INDIRECT(RIGHT((_xlfn.FORMULATEXT($I46)),LEN(_xlfn.FORMULATEXT($I46))-1)))</f>
        <v>73</v>
      </c>
      <c r="K46" s="547">
        <f ca="1">COLUMN(INDIRECT(RIGHT((_xlfn.FORMULATEXT($I46)),LEN(_xlfn.FORMULATEXT($I46))-1)))</f>
        <v>37</v>
      </c>
      <c r="L46" s="31"/>
      <c r="M46" s="558" t="str">
        <f t="shared" ca="1" si="9"/>
        <v/>
      </c>
      <c r="N46" s="558" t="str">
        <f t="shared" ca="1" si="9"/>
        <v/>
      </c>
      <c r="O46" s="558" t="str">
        <f t="shared" ca="1" si="10"/>
        <v/>
      </c>
      <c r="P46" s="558" t="str">
        <f t="shared" ca="1" si="10"/>
        <v/>
      </c>
      <c r="Q46" s="558" t="str">
        <f t="shared" ca="1" si="10"/>
        <v/>
      </c>
      <c r="R46" s="558" t="str">
        <f t="shared" ca="1" si="10"/>
        <v/>
      </c>
      <c r="S46" s="5"/>
    </row>
    <row r="47" spans="1:19" ht="14.25" hidden="1">
      <c r="A47" s="824" t="s">
        <v>84</v>
      </c>
      <c r="B47" s="1189" t="s">
        <v>316</v>
      </c>
      <c r="C47" s="586"/>
      <c r="D47" s="57"/>
      <c r="E47" s="550" t="str">
        <f>"locatie 4"&amp;IF('woningen|utiliteit'!$L$65="","",": "&amp;'woningen|utiliteit'!$L$65)</f>
        <v>locatie 4</v>
      </c>
      <c r="F47" s="149"/>
      <c r="G47" s="149" t="s">
        <v>315</v>
      </c>
      <c r="H47" s="71"/>
      <c r="I47" s="551">
        <f>'variant 1'!$AW$73</f>
        <v>0</v>
      </c>
      <c r="J47" s="547">
        <f ca="1">ROW(INDIRECT(RIGHT((_xlfn.FORMULATEXT($I47)),LEN(_xlfn.FORMULATEXT($I47))-1)))</f>
        <v>73</v>
      </c>
      <c r="K47" s="547">
        <f ca="1">COLUMN(INDIRECT(RIGHT((_xlfn.FORMULATEXT($I47)),LEN(_xlfn.FORMULATEXT($I47))-1)))</f>
        <v>49</v>
      </c>
      <c r="L47" s="71"/>
      <c r="M47" s="558" t="str">
        <f t="shared" ca="1" si="9"/>
        <v/>
      </c>
      <c r="N47" s="558" t="str">
        <f t="shared" ca="1" si="9"/>
        <v/>
      </c>
      <c r="O47" s="558" t="str">
        <f t="shared" ca="1" si="9"/>
        <v/>
      </c>
      <c r="P47" s="558" t="str">
        <f t="shared" ca="1" si="9"/>
        <v/>
      </c>
      <c r="Q47" s="558" t="str">
        <f t="shared" ca="1" si="9"/>
        <v/>
      </c>
      <c r="R47" s="558" t="str">
        <f t="shared" ca="1" si="9"/>
        <v/>
      </c>
      <c r="S47" s="66"/>
    </row>
    <row r="48" spans="1:19" ht="15" hidden="1">
      <c r="A48" s="820" t="s">
        <v>84</v>
      </c>
      <c r="B48" s="1189" t="s">
        <v>318</v>
      </c>
      <c r="C48" s="586"/>
      <c r="D48" s="57"/>
      <c r="E48" s="31"/>
      <c r="F48" s="31"/>
      <c r="G48" s="31"/>
      <c r="H48" s="31"/>
      <c r="I48" s="70"/>
      <c r="J48" s="68"/>
      <c r="K48" s="68"/>
      <c r="L48" s="31"/>
      <c r="M48" s="31"/>
      <c r="N48" s="31"/>
      <c r="O48" s="31"/>
      <c r="P48" s="31"/>
      <c r="Q48" s="31"/>
      <c r="R48" s="31"/>
      <c r="S48" s="4"/>
    </row>
    <row r="49" spans="1:19" ht="21" hidden="1">
      <c r="A49" s="820" t="s">
        <v>84</v>
      </c>
      <c r="B49" s="1189" t="s">
        <v>318</v>
      </c>
      <c r="C49" s="586"/>
      <c r="D49" s="57"/>
      <c r="E49" s="175" t="s">
        <v>319</v>
      </c>
      <c r="F49" s="175"/>
      <c r="G49" s="175"/>
      <c r="H49" s="4"/>
      <c r="I49" s="546"/>
      <c r="J49" s="546"/>
      <c r="K49" s="546"/>
      <c r="L49" s="31"/>
      <c r="M49" s="561"/>
      <c r="N49" s="561"/>
      <c r="O49" s="561"/>
      <c r="P49" s="561"/>
      <c r="Q49" s="561"/>
      <c r="R49" s="561"/>
      <c r="S49" s="4"/>
    </row>
    <row r="50" spans="1:19" ht="14.25" hidden="1">
      <c r="A50" s="820" t="s">
        <v>84</v>
      </c>
      <c r="B50" s="1189" t="s">
        <v>318</v>
      </c>
      <c r="C50" s="586"/>
      <c r="D50" s="57"/>
      <c r="E50" s="550" t="str">
        <f>"locatie 1"&amp;IF('woningen|utiliteit'!$L$17="","",": "&amp;'woningen|utiliteit'!$L$17)</f>
        <v>locatie 1</v>
      </c>
      <c r="F50" s="149"/>
      <c r="G50" s="149" t="s">
        <v>65</v>
      </c>
      <c r="H50" s="71"/>
      <c r="I50" s="551" t="str">
        <f>'variant 1'!$O$83</f>
        <v>ind WP, ind bodem, elek bijstook</v>
      </c>
      <c r="J50" s="547">
        <f ca="1">ROW(INDIRECT(RIGHT((_xlfn.FORMULATEXT($I50)),LEN(_xlfn.FORMULATEXT($I50))-1)))</f>
        <v>83</v>
      </c>
      <c r="K50" s="547">
        <f ca="1">COLUMN(INDIRECT(RIGHT((_xlfn.FORMULATEXT($I50)),LEN(_xlfn.FORMULATEXT($I50))-1)))</f>
        <v>15</v>
      </c>
      <c r="L50" s="71"/>
      <c r="M50" s="152" t="str">
        <f t="shared" ref="M50:R53" ca="1" si="11">IF(M18=0,"",IFERROR(INDIRECT(ADDRESS($J50,$K50,,,M$8)),""))</f>
        <v/>
      </c>
      <c r="N50" s="152" t="str">
        <f t="shared" ca="1" si="11"/>
        <v/>
      </c>
      <c r="O50" s="152" t="str">
        <f t="shared" ca="1" si="11"/>
        <v/>
      </c>
      <c r="P50" s="152" t="str">
        <f t="shared" ca="1" si="11"/>
        <v/>
      </c>
      <c r="Q50" s="152" t="str">
        <f t="shared" ca="1" si="11"/>
        <v/>
      </c>
      <c r="R50" s="152" t="str">
        <f t="shared" ca="1" si="11"/>
        <v/>
      </c>
      <c r="S50" s="5"/>
    </row>
    <row r="51" spans="1:19" ht="14.25" hidden="1">
      <c r="A51" s="820" t="s">
        <v>84</v>
      </c>
      <c r="B51" s="1189" t="s">
        <v>318</v>
      </c>
      <c r="C51" s="586"/>
      <c r="D51" s="57"/>
      <c r="E51" s="550" t="str">
        <f>"locatie 2"&amp;IF('woningen|utiliteit'!$L$33="","",": "&amp;'woningen|utiliteit'!$L$33)</f>
        <v>locatie 2</v>
      </c>
      <c r="F51" s="180"/>
      <c r="G51" s="180" t="s">
        <v>65</v>
      </c>
      <c r="H51" s="31"/>
      <c r="I51" s="551" t="str">
        <f>'variant 1'!$AA$83</f>
        <v>ind WP, ind bodem, elek bijstook</v>
      </c>
      <c r="J51" s="547">
        <f ca="1">ROW(INDIRECT(RIGHT((_xlfn.FORMULATEXT($I51)),LEN(_xlfn.FORMULATEXT($I51))-1)))</f>
        <v>83</v>
      </c>
      <c r="K51" s="547">
        <f ca="1">COLUMN(INDIRECT(RIGHT((_xlfn.FORMULATEXT($I51)),LEN(_xlfn.FORMULATEXT($I51))-1)))</f>
        <v>27</v>
      </c>
      <c r="L51" s="31"/>
      <c r="M51" s="152" t="str">
        <f t="shared" ca="1" si="11"/>
        <v/>
      </c>
      <c r="N51" s="152" t="str">
        <f t="shared" ca="1" si="11"/>
        <v/>
      </c>
      <c r="O51" s="152" t="str">
        <f t="shared" ca="1" si="11"/>
        <v/>
      </c>
      <c r="P51" s="152" t="str">
        <f t="shared" ca="1" si="11"/>
        <v/>
      </c>
      <c r="Q51" s="152" t="str">
        <f t="shared" ca="1" si="11"/>
        <v/>
      </c>
      <c r="R51" s="152" t="str">
        <f t="shared" ca="1" si="11"/>
        <v/>
      </c>
      <c r="S51" s="6"/>
    </row>
    <row r="52" spans="1:19" ht="14.25" hidden="1">
      <c r="A52" s="820" t="s">
        <v>84</v>
      </c>
      <c r="B52" s="1189" t="s">
        <v>318</v>
      </c>
      <c r="C52" s="586"/>
      <c r="D52" s="57"/>
      <c r="E52" s="550" t="str">
        <f>"locatie 3"&amp;IF('woningen|utiliteit'!$L$49="","",": "&amp;'woningen|utiliteit'!$L$49)</f>
        <v>locatie 3</v>
      </c>
      <c r="F52" s="180"/>
      <c r="G52" s="180" t="s">
        <v>65</v>
      </c>
      <c r="H52" s="31"/>
      <c r="I52" s="551" t="str">
        <f>'variant 1'!$AM$83</f>
        <v>ind WP, ind bodem, elek bijstook</v>
      </c>
      <c r="J52" s="547">
        <f ca="1">ROW(INDIRECT(RIGHT((_xlfn.FORMULATEXT($I52)),LEN(_xlfn.FORMULATEXT($I52))-1)))</f>
        <v>83</v>
      </c>
      <c r="K52" s="547">
        <f ca="1">COLUMN(INDIRECT(RIGHT((_xlfn.FORMULATEXT($I52)),LEN(_xlfn.FORMULATEXT($I52))-1)))</f>
        <v>39</v>
      </c>
      <c r="L52" s="31"/>
      <c r="M52" s="152" t="str">
        <f t="shared" ca="1" si="11"/>
        <v/>
      </c>
      <c r="N52" s="152" t="str">
        <f t="shared" ca="1" si="11"/>
        <v/>
      </c>
      <c r="O52" s="152" t="str">
        <f t="shared" ca="1" si="11"/>
        <v/>
      </c>
      <c r="P52" s="152" t="str">
        <f t="shared" ca="1" si="11"/>
        <v/>
      </c>
      <c r="Q52" s="152" t="str">
        <f t="shared" ca="1" si="11"/>
        <v/>
      </c>
      <c r="R52" s="152" t="str">
        <f t="shared" ca="1" si="11"/>
        <v/>
      </c>
      <c r="S52" s="4"/>
    </row>
    <row r="53" spans="1:19" ht="14.25" hidden="1">
      <c r="A53" s="824" t="s">
        <v>84</v>
      </c>
      <c r="B53" s="1189" t="s">
        <v>318</v>
      </c>
      <c r="C53" s="587"/>
      <c r="D53" s="57"/>
      <c r="E53" s="550" t="str">
        <f>"locatie 4"&amp;IF('woningen|utiliteit'!$L$65="","",": "&amp;'woningen|utiliteit'!$L$65)</f>
        <v>locatie 4</v>
      </c>
      <c r="F53" s="149"/>
      <c r="G53" s="149" t="s">
        <v>65</v>
      </c>
      <c r="H53" s="71"/>
      <c r="I53" s="551" t="str">
        <f>'variant 1'!$AY$83</f>
        <v>ind WP, ind bodem, elek bijstook</v>
      </c>
      <c r="J53" s="547">
        <f ca="1">ROW(INDIRECT(RIGHT((_xlfn.FORMULATEXT($I53)),LEN(_xlfn.FORMULATEXT($I53))-1)))</f>
        <v>83</v>
      </c>
      <c r="K53" s="547">
        <f ca="1">COLUMN(INDIRECT(RIGHT((_xlfn.FORMULATEXT($I53)),LEN(_xlfn.FORMULATEXT($I53))-1)))</f>
        <v>51</v>
      </c>
      <c r="L53" s="71"/>
      <c r="M53" s="152" t="str">
        <f t="shared" ca="1" si="11"/>
        <v/>
      </c>
      <c r="N53" s="152" t="str">
        <f t="shared" ca="1" si="11"/>
        <v/>
      </c>
      <c r="O53" s="152" t="str">
        <f t="shared" ca="1" si="11"/>
        <v/>
      </c>
      <c r="P53" s="152" t="str">
        <f t="shared" ca="1" si="11"/>
        <v/>
      </c>
      <c r="Q53" s="152" t="str">
        <f t="shared" ca="1" si="11"/>
        <v/>
      </c>
      <c r="R53" s="152" t="str">
        <f t="shared" ca="1" si="11"/>
        <v/>
      </c>
      <c r="S53" s="66"/>
    </row>
    <row r="54" spans="1:19" ht="15" hidden="1">
      <c r="A54" s="820" t="s">
        <v>84</v>
      </c>
      <c r="B54" s="1189" t="s">
        <v>318</v>
      </c>
      <c r="C54" s="586"/>
      <c r="D54" s="57"/>
      <c r="E54" s="31"/>
      <c r="F54" s="31"/>
      <c r="G54" s="31"/>
      <c r="H54" s="31"/>
      <c r="I54" s="70"/>
      <c r="J54" s="68"/>
      <c r="K54" s="68"/>
      <c r="L54" s="31"/>
      <c r="M54" s="31"/>
      <c r="N54" s="31"/>
      <c r="O54" s="31"/>
      <c r="P54" s="31"/>
      <c r="Q54" s="31"/>
      <c r="R54" s="31"/>
      <c r="S54" s="4"/>
    </row>
    <row r="55" spans="1:19" ht="21" hidden="1">
      <c r="A55" s="820" t="s">
        <v>84</v>
      </c>
      <c r="B55" s="1189" t="s">
        <v>318</v>
      </c>
      <c r="C55" s="586"/>
      <c r="D55" s="57"/>
      <c r="E55" s="175" t="s">
        <v>320</v>
      </c>
      <c r="F55" s="175"/>
      <c r="G55" s="175"/>
      <c r="H55" s="4"/>
      <c r="I55" s="546"/>
      <c r="J55" s="546"/>
      <c r="K55" s="546"/>
      <c r="L55" s="31"/>
      <c r="M55" s="561"/>
      <c r="N55" s="561"/>
      <c r="O55" s="561"/>
      <c r="P55" s="561"/>
      <c r="Q55" s="561"/>
      <c r="R55" s="561"/>
      <c r="S55" s="4"/>
    </row>
    <row r="56" spans="1:19" ht="14.25" hidden="1">
      <c r="A56" s="820" t="s">
        <v>84</v>
      </c>
      <c r="B56" s="1189" t="s">
        <v>318</v>
      </c>
      <c r="C56" s="586"/>
      <c r="D56" s="57"/>
      <c r="E56" s="550" t="str">
        <f>"locatie 1"&amp;IF('woningen|utiliteit'!$L$17="","",": "&amp;'woningen|utiliteit'!$L$17)</f>
        <v>locatie 1</v>
      </c>
      <c r="F56" s="149"/>
      <c r="G56" s="149" t="s">
        <v>65</v>
      </c>
      <c r="H56" s="71"/>
      <c r="I56" s="551" t="str">
        <f>'variant 1'!$P$83</f>
        <v>geen</v>
      </c>
      <c r="J56" s="547">
        <f ca="1">ROW(INDIRECT(RIGHT((_xlfn.FORMULATEXT($I56)),LEN(_xlfn.FORMULATEXT($I56))-1)))</f>
        <v>83</v>
      </c>
      <c r="K56" s="547">
        <f ca="1">COLUMN(INDIRECT(RIGHT((_xlfn.FORMULATEXT($I56)),LEN(_xlfn.FORMULATEXT($I56))-1)))</f>
        <v>16</v>
      </c>
      <c r="L56" s="71"/>
      <c r="M56" s="152" t="str">
        <f t="shared" ref="M56:R59" ca="1" si="12">IF(M18=0,"",IFERROR(INDIRECT(ADDRESS($J56,$K56,,,M$8)),""))</f>
        <v/>
      </c>
      <c r="N56" s="152" t="str">
        <f t="shared" ca="1" si="12"/>
        <v/>
      </c>
      <c r="O56" s="152" t="str">
        <f t="shared" ca="1" si="12"/>
        <v/>
      </c>
      <c r="P56" s="152" t="str">
        <f t="shared" ca="1" si="12"/>
        <v/>
      </c>
      <c r="Q56" s="152" t="str">
        <f t="shared" ca="1" si="12"/>
        <v/>
      </c>
      <c r="R56" s="152" t="str">
        <f t="shared" ca="1" si="12"/>
        <v/>
      </c>
      <c r="S56" s="5"/>
    </row>
    <row r="57" spans="1:19" ht="14.25" hidden="1">
      <c r="A57" s="820" t="s">
        <v>84</v>
      </c>
      <c r="B57" s="1189" t="s">
        <v>318</v>
      </c>
      <c r="C57" s="586"/>
      <c r="D57" s="57"/>
      <c r="E57" s="550" t="str">
        <f>"locatie 2"&amp;IF('woningen|utiliteit'!$L$33="","",": "&amp;'woningen|utiliteit'!$L$33)</f>
        <v>locatie 2</v>
      </c>
      <c r="F57" s="180"/>
      <c r="G57" s="180" t="s">
        <v>65</v>
      </c>
      <c r="H57" s="31"/>
      <c r="I57" s="551" t="str">
        <f>'variant 1'!$AB$83</f>
        <v>geen</v>
      </c>
      <c r="J57" s="547">
        <f ca="1">ROW(INDIRECT(RIGHT((_xlfn.FORMULATEXT($I57)),LEN(_xlfn.FORMULATEXT($I57))-1)))</f>
        <v>83</v>
      </c>
      <c r="K57" s="547">
        <f ca="1">COLUMN(INDIRECT(RIGHT((_xlfn.FORMULATEXT($I57)),LEN(_xlfn.FORMULATEXT($I57))-1)))</f>
        <v>28</v>
      </c>
      <c r="L57" s="31"/>
      <c r="M57" s="152" t="str">
        <f t="shared" ca="1" si="12"/>
        <v/>
      </c>
      <c r="N57" s="152" t="str">
        <f t="shared" ca="1" si="12"/>
        <v/>
      </c>
      <c r="O57" s="152" t="str">
        <f t="shared" ca="1" si="12"/>
        <v/>
      </c>
      <c r="P57" s="152" t="str">
        <f t="shared" ca="1" si="12"/>
        <v/>
      </c>
      <c r="Q57" s="152" t="str">
        <f t="shared" ca="1" si="12"/>
        <v/>
      </c>
      <c r="R57" s="152" t="str">
        <f t="shared" ca="1" si="12"/>
        <v/>
      </c>
      <c r="S57" s="6"/>
    </row>
    <row r="58" spans="1:19" ht="14.25" hidden="1">
      <c r="A58" s="820" t="s">
        <v>84</v>
      </c>
      <c r="B58" s="1189" t="s">
        <v>318</v>
      </c>
      <c r="C58" s="586"/>
      <c r="D58" s="57"/>
      <c r="E58" s="550" t="str">
        <f>"locatie 3"&amp;IF('woningen|utiliteit'!$L$49="","",": "&amp;'woningen|utiliteit'!$L$49)</f>
        <v>locatie 3</v>
      </c>
      <c r="F58" s="180"/>
      <c r="G58" s="180" t="s">
        <v>65</v>
      </c>
      <c r="H58" s="31"/>
      <c r="I58" s="551" t="str">
        <f>'variant 1'!$AN$83</f>
        <v>geen</v>
      </c>
      <c r="J58" s="547">
        <f ca="1">ROW(INDIRECT(RIGHT((_xlfn.FORMULATEXT($I58)),LEN(_xlfn.FORMULATEXT($I58))-1)))</f>
        <v>83</v>
      </c>
      <c r="K58" s="547">
        <f ca="1">COLUMN(INDIRECT(RIGHT((_xlfn.FORMULATEXT($I58)),LEN(_xlfn.FORMULATEXT($I58))-1)))</f>
        <v>40</v>
      </c>
      <c r="L58" s="31"/>
      <c r="M58" s="152" t="str">
        <f t="shared" ca="1" si="12"/>
        <v/>
      </c>
      <c r="N58" s="152" t="str">
        <f t="shared" ca="1" si="12"/>
        <v/>
      </c>
      <c r="O58" s="152" t="str">
        <f t="shared" ca="1" si="12"/>
        <v/>
      </c>
      <c r="P58" s="152" t="str">
        <f t="shared" ca="1" si="12"/>
        <v/>
      </c>
      <c r="Q58" s="152" t="str">
        <f t="shared" ca="1" si="12"/>
        <v/>
      </c>
      <c r="R58" s="152" t="str">
        <f t="shared" ca="1" si="12"/>
        <v/>
      </c>
      <c r="S58" s="4"/>
    </row>
    <row r="59" spans="1:19" ht="14.25" hidden="1">
      <c r="A59" s="824" t="s">
        <v>84</v>
      </c>
      <c r="B59" s="1189" t="s">
        <v>318</v>
      </c>
      <c r="C59" s="587"/>
      <c r="D59" s="57"/>
      <c r="E59" s="550" t="str">
        <f>"locatie 4"&amp;IF('woningen|utiliteit'!$L$65="","",": "&amp;'woningen|utiliteit'!$L$65)</f>
        <v>locatie 4</v>
      </c>
      <c r="F59" s="149"/>
      <c r="G59" s="149" t="s">
        <v>65</v>
      </c>
      <c r="H59" s="71"/>
      <c r="I59" s="551" t="str">
        <f>'variant 1'!$AZ$83</f>
        <v>geen</v>
      </c>
      <c r="J59" s="547">
        <f ca="1">ROW(INDIRECT(RIGHT((_xlfn.FORMULATEXT($I59)),LEN(_xlfn.FORMULATEXT($I59))-1)))</f>
        <v>83</v>
      </c>
      <c r="K59" s="547">
        <f ca="1">COLUMN(INDIRECT(RIGHT((_xlfn.FORMULATEXT($I59)),LEN(_xlfn.FORMULATEXT($I59))-1)))</f>
        <v>52</v>
      </c>
      <c r="L59" s="71"/>
      <c r="M59" s="152" t="str">
        <f t="shared" ca="1" si="12"/>
        <v/>
      </c>
      <c r="N59" s="152" t="str">
        <f t="shared" ca="1" si="12"/>
        <v/>
      </c>
      <c r="O59" s="152" t="str">
        <f t="shared" ca="1" si="12"/>
        <v/>
      </c>
      <c r="P59" s="152" t="str">
        <f t="shared" ca="1" si="12"/>
        <v/>
      </c>
      <c r="Q59" s="152" t="str">
        <f t="shared" ca="1" si="12"/>
        <v/>
      </c>
      <c r="R59" s="152" t="str">
        <f t="shared" ca="1" si="12"/>
        <v/>
      </c>
      <c r="S59" s="66"/>
    </row>
    <row r="60" spans="1:19" ht="15" hidden="1">
      <c r="A60" s="820" t="s">
        <v>84</v>
      </c>
      <c r="B60" s="1189" t="s">
        <v>318</v>
      </c>
      <c r="C60" s="586"/>
      <c r="D60" s="57"/>
      <c r="E60" s="31"/>
      <c r="F60" s="31"/>
      <c r="G60" s="31"/>
      <c r="H60" s="31"/>
      <c r="I60" s="70"/>
      <c r="J60" s="68"/>
      <c r="K60" s="68"/>
      <c r="L60" s="31"/>
      <c r="M60" s="31"/>
      <c r="N60" s="31"/>
      <c r="O60" s="31"/>
      <c r="P60" s="31"/>
      <c r="Q60" s="31"/>
      <c r="R60" s="31"/>
      <c r="S60" s="4"/>
    </row>
    <row r="61" spans="1:19" ht="21" hidden="1">
      <c r="A61" s="820" t="s">
        <v>84</v>
      </c>
      <c r="B61" s="1189" t="s">
        <v>318</v>
      </c>
      <c r="C61" s="586"/>
      <c r="D61" s="57"/>
      <c r="E61" s="175" t="s">
        <v>321</v>
      </c>
      <c r="F61" s="175"/>
      <c r="G61" s="175"/>
      <c r="H61" s="4"/>
      <c r="I61" s="546"/>
      <c r="J61" s="546"/>
      <c r="K61" s="546"/>
      <c r="L61" s="31"/>
      <c r="M61" s="561"/>
      <c r="N61" s="561"/>
      <c r="O61" s="561"/>
      <c r="P61" s="561"/>
      <c r="Q61" s="561"/>
      <c r="R61" s="561"/>
      <c r="S61" s="4"/>
    </row>
    <row r="62" spans="1:19" ht="14.25" hidden="1">
      <c r="A62" s="820" t="s">
        <v>84</v>
      </c>
      <c r="B62" s="1189" t="s">
        <v>318</v>
      </c>
      <c r="C62" s="586"/>
      <c r="D62" s="57"/>
      <c r="E62" s="550" t="str">
        <f>"locatie 1"&amp;IF('woningen|utiliteit'!$L$17="","",": "&amp;'woningen|utiliteit'!$L$17)</f>
        <v>locatie 1</v>
      </c>
      <c r="F62" s="149"/>
      <c r="G62" s="149" t="s">
        <v>65</v>
      </c>
      <c r="H62" s="71"/>
      <c r="I62" s="551" t="str">
        <f>'variant 1'!$Q$83</f>
        <v>ind WP, ind bodem, elek bijstook</v>
      </c>
      <c r="J62" s="547">
        <f ca="1">ROW(INDIRECT(RIGHT((_xlfn.FORMULATEXT($I62)),LEN(_xlfn.FORMULATEXT($I62))-1)))</f>
        <v>83</v>
      </c>
      <c r="K62" s="547">
        <f ca="1">COLUMN(INDIRECT(RIGHT((_xlfn.FORMULATEXT($I62)),LEN(_xlfn.FORMULATEXT($I62))-1)))</f>
        <v>17</v>
      </c>
      <c r="L62" s="71"/>
      <c r="M62" s="152" t="str">
        <f t="shared" ref="M62:R65" ca="1" si="13">IF(M18=0,"",IFERROR(INDIRECT(ADDRESS($J62,$K62,,,M$8)),""))</f>
        <v/>
      </c>
      <c r="N62" s="152" t="str">
        <f t="shared" ca="1" si="13"/>
        <v/>
      </c>
      <c r="O62" s="152" t="str">
        <f t="shared" ca="1" si="13"/>
        <v/>
      </c>
      <c r="P62" s="152" t="str">
        <f t="shared" ca="1" si="13"/>
        <v/>
      </c>
      <c r="Q62" s="152" t="str">
        <f t="shared" ca="1" si="13"/>
        <v/>
      </c>
      <c r="R62" s="152" t="str">
        <f t="shared" ca="1" si="13"/>
        <v/>
      </c>
      <c r="S62" s="5"/>
    </row>
    <row r="63" spans="1:19" ht="14.25" hidden="1">
      <c r="A63" s="820" t="s">
        <v>84</v>
      </c>
      <c r="B63" s="1189" t="s">
        <v>318</v>
      </c>
      <c r="C63" s="586"/>
      <c r="D63" s="57"/>
      <c r="E63" s="550" t="str">
        <f>"locatie 2"&amp;IF('woningen|utiliteit'!$L$33="","",": "&amp;'woningen|utiliteit'!$L$33)</f>
        <v>locatie 2</v>
      </c>
      <c r="F63" s="180"/>
      <c r="G63" s="180" t="s">
        <v>65</v>
      </c>
      <c r="H63" s="31"/>
      <c r="I63" s="551" t="str">
        <f>'variant 1'!$AC$83</f>
        <v>ind WP, ind bodem, elek bijstook</v>
      </c>
      <c r="J63" s="547">
        <f ca="1">ROW(INDIRECT(RIGHT((_xlfn.FORMULATEXT($I63)),LEN(_xlfn.FORMULATEXT($I63))-1)))</f>
        <v>83</v>
      </c>
      <c r="K63" s="547">
        <f ca="1">COLUMN(INDIRECT(RIGHT((_xlfn.FORMULATEXT($I63)),LEN(_xlfn.FORMULATEXT($I63))-1)))</f>
        <v>29</v>
      </c>
      <c r="L63" s="31"/>
      <c r="M63" s="152" t="str">
        <f t="shared" ca="1" si="13"/>
        <v/>
      </c>
      <c r="N63" s="152" t="str">
        <f t="shared" ca="1" si="13"/>
        <v/>
      </c>
      <c r="O63" s="152" t="str">
        <f t="shared" ca="1" si="13"/>
        <v/>
      </c>
      <c r="P63" s="152" t="str">
        <f t="shared" ca="1" si="13"/>
        <v/>
      </c>
      <c r="Q63" s="152" t="str">
        <f t="shared" ca="1" si="13"/>
        <v/>
      </c>
      <c r="R63" s="152" t="str">
        <f t="shared" ca="1" si="13"/>
        <v/>
      </c>
      <c r="S63" s="6"/>
    </row>
    <row r="64" spans="1:19" ht="14.25" hidden="1">
      <c r="A64" s="820" t="s">
        <v>84</v>
      </c>
      <c r="B64" s="1189" t="s">
        <v>318</v>
      </c>
      <c r="C64" s="586"/>
      <c r="D64" s="57"/>
      <c r="E64" s="550" t="str">
        <f>"locatie 3"&amp;IF('woningen|utiliteit'!$L$49="","",": "&amp;'woningen|utiliteit'!$L$49)</f>
        <v>locatie 3</v>
      </c>
      <c r="F64" s="180"/>
      <c r="G64" s="180" t="s">
        <v>65</v>
      </c>
      <c r="H64" s="31"/>
      <c r="I64" s="551" t="str">
        <f>'variant 1'!$AO$83</f>
        <v>ind WP, ind bodem, elek bijstook</v>
      </c>
      <c r="J64" s="547">
        <f ca="1">ROW(INDIRECT(RIGHT((_xlfn.FORMULATEXT($I64)),LEN(_xlfn.FORMULATEXT($I64))-1)))</f>
        <v>83</v>
      </c>
      <c r="K64" s="547">
        <f ca="1">COLUMN(INDIRECT(RIGHT((_xlfn.FORMULATEXT($I64)),LEN(_xlfn.FORMULATEXT($I64))-1)))</f>
        <v>41</v>
      </c>
      <c r="L64" s="31"/>
      <c r="M64" s="152" t="str">
        <f t="shared" ca="1" si="13"/>
        <v/>
      </c>
      <c r="N64" s="152" t="str">
        <f t="shared" ca="1" si="13"/>
        <v/>
      </c>
      <c r="O64" s="152" t="str">
        <f t="shared" ca="1" si="13"/>
        <v/>
      </c>
      <c r="P64" s="152" t="str">
        <f t="shared" ca="1" si="13"/>
        <v/>
      </c>
      <c r="Q64" s="152" t="str">
        <f t="shared" ca="1" si="13"/>
        <v/>
      </c>
      <c r="R64" s="152" t="str">
        <f t="shared" ca="1" si="13"/>
        <v/>
      </c>
      <c r="S64" s="4"/>
    </row>
    <row r="65" spans="1:19" ht="14.25" hidden="1">
      <c r="A65" s="824" t="s">
        <v>84</v>
      </c>
      <c r="B65" s="1189" t="s">
        <v>318</v>
      </c>
      <c r="C65" s="587"/>
      <c r="D65" s="57"/>
      <c r="E65" s="550" t="str">
        <f>"locatie 4"&amp;IF('woningen|utiliteit'!$L$65="","",": "&amp;'woningen|utiliteit'!$L$65)</f>
        <v>locatie 4</v>
      </c>
      <c r="F65" s="149"/>
      <c r="G65" s="149" t="s">
        <v>65</v>
      </c>
      <c r="H65" s="71"/>
      <c r="I65" s="551" t="str">
        <f>'variant 1'!$BA$83</f>
        <v>ind WP, ind bodem, elek bijstook</v>
      </c>
      <c r="J65" s="547">
        <f ca="1">ROW(INDIRECT(RIGHT((_xlfn.FORMULATEXT($I65)),LEN(_xlfn.FORMULATEXT($I65))-1)))</f>
        <v>83</v>
      </c>
      <c r="K65" s="547">
        <f ca="1">COLUMN(INDIRECT(RIGHT((_xlfn.FORMULATEXT($I65)),LEN(_xlfn.FORMULATEXT($I65))-1)))</f>
        <v>53</v>
      </c>
      <c r="L65" s="71"/>
      <c r="M65" s="152" t="str">
        <f t="shared" ca="1" si="13"/>
        <v/>
      </c>
      <c r="N65" s="152" t="str">
        <f t="shared" ca="1" si="13"/>
        <v/>
      </c>
      <c r="O65" s="152" t="str">
        <f t="shared" ca="1" si="13"/>
        <v/>
      </c>
      <c r="P65" s="152" t="str">
        <f t="shared" ca="1" si="13"/>
        <v/>
      </c>
      <c r="Q65" s="152" t="str">
        <f t="shared" ca="1" si="13"/>
        <v/>
      </c>
      <c r="R65" s="152" t="str">
        <f t="shared" ca="1" si="13"/>
        <v/>
      </c>
      <c r="S65" s="66"/>
    </row>
    <row r="66" spans="1:19" ht="15" hidden="1">
      <c r="A66" s="820" t="s">
        <v>84</v>
      </c>
      <c r="B66" s="1189" t="s">
        <v>322</v>
      </c>
      <c r="C66" s="586"/>
      <c r="D66" s="57"/>
      <c r="E66" s="4"/>
      <c r="F66" s="4"/>
      <c r="G66" s="4"/>
      <c r="H66" s="31"/>
      <c r="I66" s="68"/>
      <c r="J66" s="68"/>
      <c r="K66" s="68"/>
      <c r="L66" s="31"/>
      <c r="M66" s="4"/>
      <c r="N66" s="4"/>
      <c r="O66" s="4"/>
      <c r="P66" s="4"/>
      <c r="Q66" s="4"/>
      <c r="R66" s="4"/>
      <c r="S66" s="4"/>
    </row>
    <row r="67" spans="1:19" ht="21" hidden="1">
      <c r="A67" s="820" t="s">
        <v>84</v>
      </c>
      <c r="B67" s="1189" t="s">
        <v>322</v>
      </c>
      <c r="C67" s="586"/>
      <c r="D67" s="57"/>
      <c r="E67" s="175" t="s">
        <v>323</v>
      </c>
      <c r="F67" s="175"/>
      <c r="G67" s="175"/>
      <c r="H67" s="4"/>
      <c r="I67" s="546"/>
      <c r="J67" s="546"/>
      <c r="K67" s="546"/>
      <c r="L67" s="31"/>
      <c r="M67" s="561"/>
      <c r="N67" s="561"/>
      <c r="O67" s="561"/>
      <c r="P67" s="561"/>
      <c r="Q67" s="561"/>
      <c r="R67" s="561"/>
      <c r="S67" s="4"/>
    </row>
    <row r="68" spans="1:19" ht="14.25" hidden="1">
      <c r="A68" s="825" t="s">
        <v>84</v>
      </c>
      <c r="B68" s="1189" t="s">
        <v>322</v>
      </c>
      <c r="C68" s="586"/>
      <c r="D68" s="57"/>
      <c r="E68" s="550" t="str">
        <f>"locatie 1"&amp;IF('woningen|utiliteit'!$L$17="","",": "&amp;'woningen|utiliteit'!$L$17)</f>
        <v>locatie 1</v>
      </c>
      <c r="F68" s="149"/>
      <c r="G68" s="180" t="s">
        <v>324</v>
      </c>
      <c r="H68" s="31"/>
      <c r="I68" s="551">
        <f>'variant 1'!$M$13</f>
        <v>0</v>
      </c>
      <c r="J68" s="547">
        <f ca="1">ROW(INDIRECT(RIGHT((_xlfn.FORMULATEXT($I68)),LEN(_xlfn.FORMULATEXT($I68))-1)))</f>
        <v>13</v>
      </c>
      <c r="K68" s="547">
        <f ca="1">COLUMN(INDIRECT(RIGHT((_xlfn.FORMULATEXT($I68)),LEN(_xlfn.FORMULATEXT($I68))-1)))</f>
        <v>13</v>
      </c>
      <c r="L68" s="31"/>
      <c r="M68" s="168" t="str">
        <f t="shared" ref="M68:R71" ca="1" si="14">IF(M18=0,"",IFERROR(IF(INDIRECT(ADDRESS($J68,$K68,,,M$8))=0,"",INDIRECT(ADDRESS($J68,$K68,,,M$8))),""))</f>
        <v/>
      </c>
      <c r="N68" s="168" t="str">
        <f t="shared" ca="1" si="14"/>
        <v/>
      </c>
      <c r="O68" s="168" t="str">
        <f t="shared" ca="1" si="14"/>
        <v/>
      </c>
      <c r="P68" s="168" t="str">
        <f t="shared" ca="1" si="14"/>
        <v/>
      </c>
      <c r="Q68" s="168" t="str">
        <f t="shared" ca="1" si="14"/>
        <v/>
      </c>
      <c r="R68" s="168" t="str">
        <f t="shared" ca="1" si="14"/>
        <v/>
      </c>
      <c r="S68" s="4"/>
    </row>
    <row r="69" spans="1:19" ht="14.25" hidden="1">
      <c r="A69" s="825" t="s">
        <v>84</v>
      </c>
      <c r="B69" s="1189" t="s">
        <v>322</v>
      </c>
      <c r="C69" s="586"/>
      <c r="D69" s="57"/>
      <c r="E69" s="550" t="str">
        <f>"locatie 2"&amp;IF('woningen|utiliteit'!$L$33="","",": "&amp;'woningen|utiliteit'!$L$33)</f>
        <v>locatie 2</v>
      </c>
      <c r="F69" s="180"/>
      <c r="G69" s="180" t="s">
        <v>324</v>
      </c>
      <c r="H69" s="31"/>
      <c r="I69" s="551">
        <f>'variant 1'!$Y$13</f>
        <v>0</v>
      </c>
      <c r="J69" s="547">
        <f ca="1">ROW(INDIRECT(RIGHT((_xlfn.FORMULATEXT($I69)),LEN(_xlfn.FORMULATEXT($I69))-1)))</f>
        <v>13</v>
      </c>
      <c r="K69" s="547">
        <f ca="1">COLUMN(INDIRECT(RIGHT((_xlfn.FORMULATEXT($I69)),LEN(_xlfn.FORMULATEXT($I69))-1)))</f>
        <v>25</v>
      </c>
      <c r="L69" s="31"/>
      <c r="M69" s="168" t="str">
        <f t="shared" ca="1" si="14"/>
        <v/>
      </c>
      <c r="N69" s="168" t="str">
        <f t="shared" ca="1" si="14"/>
        <v/>
      </c>
      <c r="O69" s="168" t="str">
        <f t="shared" ca="1" si="14"/>
        <v/>
      </c>
      <c r="P69" s="168" t="str">
        <f t="shared" ca="1" si="14"/>
        <v/>
      </c>
      <c r="Q69" s="168" t="str">
        <f t="shared" ca="1" si="14"/>
        <v/>
      </c>
      <c r="R69" s="168" t="str">
        <f t="shared" ca="1" si="14"/>
        <v/>
      </c>
      <c r="S69" s="4"/>
    </row>
    <row r="70" spans="1:19" ht="14.25" hidden="1">
      <c r="A70" s="825" t="s">
        <v>84</v>
      </c>
      <c r="B70" s="1189" t="s">
        <v>322</v>
      </c>
      <c r="C70" s="586"/>
      <c r="D70" s="57"/>
      <c r="E70" s="550" t="str">
        <f>"locatie 3"&amp;IF('woningen|utiliteit'!$L$49="","",": "&amp;'woningen|utiliteit'!$L$49)</f>
        <v>locatie 3</v>
      </c>
      <c r="F70" s="180"/>
      <c r="G70" s="180" t="s">
        <v>324</v>
      </c>
      <c r="H70" s="31"/>
      <c r="I70" s="551">
        <f>'variant 1'!$AK$13</f>
        <v>0</v>
      </c>
      <c r="J70" s="547">
        <f ca="1">ROW(INDIRECT(RIGHT((_xlfn.FORMULATEXT($I70)),LEN(_xlfn.FORMULATEXT($I70))-1)))</f>
        <v>13</v>
      </c>
      <c r="K70" s="547">
        <f ca="1">COLUMN(INDIRECT(RIGHT((_xlfn.FORMULATEXT($I70)),LEN(_xlfn.FORMULATEXT($I70))-1)))</f>
        <v>37</v>
      </c>
      <c r="L70" s="31"/>
      <c r="M70" s="168" t="str">
        <f t="shared" ca="1" si="14"/>
        <v/>
      </c>
      <c r="N70" s="168" t="str">
        <f t="shared" ca="1" si="14"/>
        <v/>
      </c>
      <c r="O70" s="168" t="str">
        <f t="shared" ca="1" si="14"/>
        <v/>
      </c>
      <c r="P70" s="168" t="str">
        <f t="shared" ca="1" si="14"/>
        <v/>
      </c>
      <c r="Q70" s="168" t="str">
        <f t="shared" ca="1" si="14"/>
        <v/>
      </c>
      <c r="R70" s="168" t="str">
        <f t="shared" ca="1" si="14"/>
        <v/>
      </c>
      <c r="S70" s="4"/>
    </row>
    <row r="71" spans="1:19" ht="14.25" hidden="1">
      <c r="A71" s="825" t="s">
        <v>84</v>
      </c>
      <c r="B71" s="1189" t="s">
        <v>322</v>
      </c>
      <c r="C71" s="586"/>
      <c r="D71" s="57"/>
      <c r="E71" s="959" t="str">
        <f>"locatie 4"&amp;IF('woningen|utiliteit'!$L$65="","",": "&amp;'woningen|utiliteit'!$L$65)</f>
        <v>locatie 4</v>
      </c>
      <c r="F71" s="618"/>
      <c r="G71" s="254" t="s">
        <v>324</v>
      </c>
      <c r="H71" s="31"/>
      <c r="I71" s="551">
        <f>'variant 1'!$AW$13</f>
        <v>0</v>
      </c>
      <c r="J71" s="547">
        <f ca="1">ROW(INDIRECT(RIGHT((_xlfn.FORMULATEXT($I71)),LEN(_xlfn.FORMULATEXT($I71))-1)))</f>
        <v>13</v>
      </c>
      <c r="K71" s="547">
        <f ca="1">COLUMN(INDIRECT(RIGHT((_xlfn.FORMULATEXT($I71)),LEN(_xlfn.FORMULATEXT($I71))-1)))</f>
        <v>49</v>
      </c>
      <c r="L71" s="31"/>
      <c r="M71" s="541" t="str">
        <f t="shared" ca="1" si="14"/>
        <v/>
      </c>
      <c r="N71" s="541" t="str">
        <f t="shared" ca="1" si="14"/>
        <v/>
      </c>
      <c r="O71" s="541" t="str">
        <f t="shared" ca="1" si="14"/>
        <v/>
      </c>
      <c r="P71" s="541" t="str">
        <f t="shared" ca="1" si="14"/>
        <v/>
      </c>
      <c r="Q71" s="541" t="str">
        <f t="shared" ca="1" si="14"/>
        <v/>
      </c>
      <c r="R71" s="541" t="str">
        <f t="shared" ca="1" si="14"/>
        <v/>
      </c>
      <c r="S71" s="4"/>
    </row>
    <row r="72" spans="1:19" ht="15" hidden="1">
      <c r="A72" s="820" t="s">
        <v>84</v>
      </c>
      <c r="B72" s="1189" t="s">
        <v>322</v>
      </c>
      <c r="C72" s="586"/>
      <c r="D72" s="57"/>
      <c r="E72" s="963" t="s">
        <v>325</v>
      </c>
      <c r="F72" s="963"/>
      <c r="G72" s="963" t="s">
        <v>324</v>
      </c>
      <c r="H72" s="31"/>
      <c r="I72" s="552"/>
      <c r="J72" s="552"/>
      <c r="K72" s="552"/>
      <c r="L72" s="31"/>
      <c r="M72" s="965">
        <f t="shared" ref="M72:R72" ca="1" si="15">SUM(M68:M71)</f>
        <v>0</v>
      </c>
      <c r="N72" s="965">
        <f t="shared" ca="1" si="15"/>
        <v>0</v>
      </c>
      <c r="O72" s="965">
        <f t="shared" ca="1" si="15"/>
        <v>0</v>
      </c>
      <c r="P72" s="965">
        <f t="shared" ca="1" si="15"/>
        <v>0</v>
      </c>
      <c r="Q72" s="965">
        <f t="shared" ca="1" si="15"/>
        <v>0</v>
      </c>
      <c r="R72" s="965">
        <f t="shared" ca="1" si="15"/>
        <v>0</v>
      </c>
      <c r="S72" s="4"/>
    </row>
    <row r="73" spans="1:19" s="534" customFormat="1" ht="5.25" hidden="1">
      <c r="A73" s="821" t="s">
        <v>84</v>
      </c>
      <c r="B73" s="1191" t="s">
        <v>322</v>
      </c>
      <c r="C73" s="581"/>
      <c r="D73" s="533"/>
      <c r="E73" s="564"/>
      <c r="F73" s="564"/>
      <c r="G73" s="564"/>
      <c r="H73" s="564"/>
      <c r="I73" s="565"/>
      <c r="J73" s="565"/>
      <c r="K73" s="565"/>
      <c r="L73" s="564"/>
      <c r="M73" s="564"/>
      <c r="N73" s="589"/>
      <c r="O73" s="564"/>
      <c r="P73" s="564"/>
      <c r="Q73" s="564"/>
      <c r="R73" s="564"/>
      <c r="S73" s="533"/>
    </row>
    <row r="74" spans="1:19" ht="15" hidden="1">
      <c r="A74" s="820" t="s">
        <v>84</v>
      </c>
      <c r="B74" s="1189" t="s">
        <v>322</v>
      </c>
      <c r="C74" s="586"/>
      <c r="D74" s="57"/>
      <c r="E74" s="649" t="str">
        <f>"resultaten tov "&amp;$F$5</f>
        <v>resultaten tov variant 1</v>
      </c>
      <c r="F74" s="649"/>
      <c r="G74" s="650" t="s">
        <v>324</v>
      </c>
      <c r="H74" s="31"/>
      <c r="I74" s="552"/>
      <c r="J74" s="552"/>
      <c r="K74" s="552"/>
      <c r="L74" s="31"/>
      <c r="M74" s="651">
        <f t="shared" ref="M74:R74" ca="1" si="16">IF(M72="","",M72-INDEX($L72:$S72,MATCH($F$5,$L$8:$S$8,0)))</f>
        <v>0</v>
      </c>
      <c r="N74" s="651">
        <f t="shared" ca="1" si="16"/>
        <v>0</v>
      </c>
      <c r="O74" s="651">
        <f t="shared" ca="1" si="16"/>
        <v>0</v>
      </c>
      <c r="P74" s="651">
        <f t="shared" ca="1" si="16"/>
        <v>0</v>
      </c>
      <c r="Q74" s="651">
        <f t="shared" ca="1" si="16"/>
        <v>0</v>
      </c>
      <c r="R74" s="651">
        <f t="shared" ca="1" si="16"/>
        <v>0</v>
      </c>
      <c r="S74" s="4"/>
    </row>
    <row r="75" spans="1:19" ht="15" hidden="1">
      <c r="A75" s="820" t="s">
        <v>84</v>
      </c>
      <c r="B75" s="1189" t="s">
        <v>322</v>
      </c>
      <c r="C75" s="586"/>
      <c r="D75" s="57"/>
      <c r="E75" s="652"/>
      <c r="F75" s="652"/>
      <c r="G75" s="650" t="s">
        <v>139</v>
      </c>
      <c r="H75" s="31"/>
      <c r="I75" s="553"/>
      <c r="J75" s="553"/>
      <c r="K75" s="553"/>
      <c r="L75" s="31"/>
      <c r="M75" s="656" t="str">
        <f t="shared" ref="M75:R75" ca="1" si="17">IFERROR(M74/INDEX($L72:$S72,MATCH($F$5,$L$8:$S$8,0)),"")</f>
        <v/>
      </c>
      <c r="N75" s="656" t="str">
        <f t="shared" ca="1" si="17"/>
        <v/>
      </c>
      <c r="O75" s="656" t="str">
        <f t="shared" ca="1" si="17"/>
        <v/>
      </c>
      <c r="P75" s="656" t="str">
        <f t="shared" ca="1" si="17"/>
        <v/>
      </c>
      <c r="Q75" s="656" t="str">
        <f t="shared" ca="1" si="17"/>
        <v/>
      </c>
      <c r="R75" s="656" t="str">
        <f t="shared" ca="1" si="17"/>
        <v/>
      </c>
      <c r="S75" s="4"/>
    </row>
    <row r="76" spans="1:19" ht="15">
      <c r="A76" s="820" t="s">
        <v>84</v>
      </c>
      <c r="B76" s="1189" t="s">
        <v>105</v>
      </c>
      <c r="C76" s="586"/>
      <c r="D76" s="57"/>
      <c r="E76" s="4"/>
      <c r="F76" s="4"/>
      <c r="G76" s="4"/>
      <c r="H76" s="31"/>
      <c r="I76" s="68"/>
      <c r="J76" s="68"/>
      <c r="K76" s="68"/>
      <c r="L76" s="31"/>
      <c r="M76" s="4"/>
      <c r="N76" s="4"/>
      <c r="O76" s="4"/>
      <c r="P76" s="4"/>
      <c r="Q76" s="4"/>
      <c r="R76" s="4"/>
      <c r="S76" s="4"/>
    </row>
    <row r="77" spans="1:19" ht="21">
      <c r="A77" s="820" t="s">
        <v>84</v>
      </c>
      <c r="B77" s="1189" t="s">
        <v>105</v>
      </c>
      <c r="C77" s="586"/>
      <c r="D77" s="57"/>
      <c r="E77" s="175" t="s">
        <v>326</v>
      </c>
      <c r="F77" s="175"/>
      <c r="G77" s="175"/>
      <c r="H77" s="4"/>
      <c r="I77" s="546"/>
      <c r="J77" s="546"/>
      <c r="K77" s="546"/>
      <c r="L77" s="31"/>
      <c r="M77" s="561"/>
      <c r="N77" s="561"/>
      <c r="O77" s="561"/>
      <c r="P77" s="561"/>
      <c r="Q77" s="561"/>
      <c r="R77" s="561"/>
      <c r="S77" s="4"/>
    </row>
    <row r="78" spans="1:19" ht="14.25">
      <c r="A78" s="825" t="s">
        <v>84</v>
      </c>
      <c r="B78" s="1189" t="s">
        <v>105</v>
      </c>
      <c r="C78" s="586"/>
      <c r="D78" s="57"/>
      <c r="E78" s="550" t="str">
        <f>"locatie 1"&amp;IF('woningen|utiliteit'!$L$17="","",": "&amp;'woningen|utiliteit'!$L$17)</f>
        <v>locatie 1</v>
      </c>
      <c r="F78" s="149"/>
      <c r="G78" s="180" t="s">
        <v>327</v>
      </c>
      <c r="H78" s="31"/>
      <c r="I78" s="551">
        <f>'variant 1'!$M$298</f>
        <v>0</v>
      </c>
      <c r="J78" s="547">
        <f ca="1">ROW(INDIRECT(RIGHT((_xlfn.FORMULATEXT($I78)),LEN(_xlfn.FORMULATEXT($I78))-1)))</f>
        <v>298</v>
      </c>
      <c r="K78" s="547">
        <f ca="1">COLUMN(INDIRECT(RIGHT((_xlfn.FORMULATEXT($I78)),LEN(_xlfn.FORMULATEXT($I78))-1)))</f>
        <v>13</v>
      </c>
      <c r="L78" s="31"/>
      <c r="M78" s="168" t="str">
        <f t="shared" ref="M78:R81" ca="1" si="18">IF(M18=0,"",IFERROR(IF(INDIRECT(ADDRESS($J78,$K78,,,M$8))=0,"",INDIRECT(ADDRESS($J78,$K78,,,M$8))),""))</f>
        <v/>
      </c>
      <c r="N78" s="168" t="str">
        <f t="shared" ca="1" si="18"/>
        <v/>
      </c>
      <c r="O78" s="168" t="str">
        <f t="shared" ca="1" si="18"/>
        <v/>
      </c>
      <c r="P78" s="168" t="str">
        <f t="shared" ca="1" si="18"/>
        <v/>
      </c>
      <c r="Q78" s="168" t="str">
        <f t="shared" ca="1" si="18"/>
        <v/>
      </c>
      <c r="R78" s="168" t="str">
        <f t="shared" ca="1" si="18"/>
        <v/>
      </c>
      <c r="S78" s="4"/>
    </row>
    <row r="79" spans="1:19" ht="14.25">
      <c r="A79" s="825" t="s">
        <v>84</v>
      </c>
      <c r="B79" s="1189" t="s">
        <v>105</v>
      </c>
      <c r="C79" s="586"/>
      <c r="D79" s="57"/>
      <c r="E79" s="550" t="str">
        <f>"locatie 2"&amp;IF('woningen|utiliteit'!$L$33="","",": "&amp;'woningen|utiliteit'!$L$33)</f>
        <v>locatie 2</v>
      </c>
      <c r="F79" s="180"/>
      <c r="G79" s="180" t="s">
        <v>327</v>
      </c>
      <c r="H79" s="31"/>
      <c r="I79" s="551">
        <f>'variant 1'!$Y$298</f>
        <v>0</v>
      </c>
      <c r="J79" s="547">
        <f ca="1">ROW(INDIRECT(RIGHT((_xlfn.FORMULATEXT($I79)),LEN(_xlfn.FORMULATEXT($I79))-1)))</f>
        <v>298</v>
      </c>
      <c r="K79" s="547">
        <f ca="1">COLUMN(INDIRECT(RIGHT((_xlfn.FORMULATEXT($I79)),LEN(_xlfn.FORMULATEXT($I79))-1)))</f>
        <v>25</v>
      </c>
      <c r="L79" s="31"/>
      <c r="M79" s="168" t="str">
        <f t="shared" ca="1" si="18"/>
        <v/>
      </c>
      <c r="N79" s="168" t="str">
        <f t="shared" ca="1" si="18"/>
        <v/>
      </c>
      <c r="O79" s="168" t="str">
        <f t="shared" ca="1" si="18"/>
        <v/>
      </c>
      <c r="P79" s="168" t="str">
        <f t="shared" ca="1" si="18"/>
        <v/>
      </c>
      <c r="Q79" s="168" t="str">
        <f t="shared" ca="1" si="18"/>
        <v/>
      </c>
      <c r="R79" s="168" t="str">
        <f t="shared" ca="1" si="18"/>
        <v/>
      </c>
      <c r="S79" s="4"/>
    </row>
    <row r="80" spans="1:19" ht="14.25">
      <c r="A80" s="825" t="s">
        <v>84</v>
      </c>
      <c r="B80" s="1189" t="s">
        <v>105</v>
      </c>
      <c r="C80" s="586"/>
      <c r="D80" s="57"/>
      <c r="E80" s="550" t="str">
        <f>"locatie 3"&amp;IF('woningen|utiliteit'!$L$49="","",": "&amp;'woningen|utiliteit'!$L$49)</f>
        <v>locatie 3</v>
      </c>
      <c r="F80" s="180"/>
      <c r="G80" s="180" t="s">
        <v>327</v>
      </c>
      <c r="H80" s="31"/>
      <c r="I80" s="551">
        <f>'variant 1'!$AK$298</f>
        <v>0</v>
      </c>
      <c r="J80" s="547">
        <f ca="1">ROW(INDIRECT(RIGHT((_xlfn.FORMULATEXT($I80)),LEN(_xlfn.FORMULATEXT($I80))-1)))</f>
        <v>298</v>
      </c>
      <c r="K80" s="547">
        <f ca="1">COLUMN(INDIRECT(RIGHT((_xlfn.FORMULATEXT($I80)),LEN(_xlfn.FORMULATEXT($I80))-1)))</f>
        <v>37</v>
      </c>
      <c r="L80" s="31"/>
      <c r="M80" s="168" t="str">
        <f t="shared" ca="1" si="18"/>
        <v/>
      </c>
      <c r="N80" s="168" t="str">
        <f t="shared" ca="1" si="18"/>
        <v/>
      </c>
      <c r="O80" s="168" t="str">
        <f t="shared" ca="1" si="18"/>
        <v/>
      </c>
      <c r="P80" s="168" t="str">
        <f t="shared" ca="1" si="18"/>
        <v/>
      </c>
      <c r="Q80" s="168" t="str">
        <f t="shared" ca="1" si="18"/>
        <v/>
      </c>
      <c r="R80" s="168" t="str">
        <f t="shared" ca="1" si="18"/>
        <v/>
      </c>
      <c r="S80" s="4"/>
    </row>
    <row r="81" spans="1:19" ht="14.25">
      <c r="A81" s="825" t="s">
        <v>84</v>
      </c>
      <c r="B81" s="1189" t="s">
        <v>105</v>
      </c>
      <c r="C81" s="586"/>
      <c r="D81" s="57"/>
      <c r="E81" s="959" t="str">
        <f>"locatie 4"&amp;IF('woningen|utiliteit'!$L$65="","",": "&amp;'woningen|utiliteit'!$L$65)</f>
        <v>locatie 4</v>
      </c>
      <c r="F81" s="618"/>
      <c r="G81" s="254" t="s">
        <v>327</v>
      </c>
      <c r="H81" s="31"/>
      <c r="I81" s="551">
        <f>'variant 1'!$AW$298</f>
        <v>0</v>
      </c>
      <c r="J81" s="547">
        <f ca="1">ROW(INDIRECT(RIGHT((_xlfn.FORMULATEXT($I81)),LEN(_xlfn.FORMULATEXT($I81))-1)))</f>
        <v>298</v>
      </c>
      <c r="K81" s="547">
        <f ca="1">COLUMN(INDIRECT(RIGHT((_xlfn.FORMULATEXT($I81)),LEN(_xlfn.FORMULATEXT($I81))-1)))</f>
        <v>49</v>
      </c>
      <c r="L81" s="31"/>
      <c r="M81" s="541" t="str">
        <f t="shared" ca="1" si="18"/>
        <v/>
      </c>
      <c r="N81" s="541" t="str">
        <f t="shared" ca="1" si="18"/>
        <v/>
      </c>
      <c r="O81" s="541" t="str">
        <f t="shared" ca="1" si="18"/>
        <v/>
      </c>
      <c r="P81" s="541" t="str">
        <f t="shared" ca="1" si="18"/>
        <v/>
      </c>
      <c r="Q81" s="541" t="str">
        <f t="shared" ca="1" si="18"/>
        <v/>
      </c>
      <c r="R81" s="541" t="str">
        <f t="shared" ca="1" si="18"/>
        <v/>
      </c>
      <c r="S81" s="4"/>
    </row>
    <row r="82" spans="1:19" ht="15">
      <c r="A82" s="820" t="s">
        <v>84</v>
      </c>
      <c r="B82" s="1189" t="s">
        <v>105</v>
      </c>
      <c r="C82" s="586"/>
      <c r="D82" s="57"/>
      <c r="E82" s="963" t="s">
        <v>325</v>
      </c>
      <c r="F82" s="963"/>
      <c r="G82" s="963" t="s">
        <v>327</v>
      </c>
      <c r="H82" s="31"/>
      <c r="I82" s="68"/>
      <c r="J82" s="68"/>
      <c r="K82" s="68"/>
      <c r="L82" s="31"/>
      <c r="M82" s="965">
        <f t="shared" ref="M82:R82" ca="1" si="19">SUM(M78:M81)</f>
        <v>0</v>
      </c>
      <c r="N82" s="965">
        <f t="shared" ca="1" si="19"/>
        <v>0</v>
      </c>
      <c r="O82" s="965">
        <f t="shared" ca="1" si="19"/>
        <v>0</v>
      </c>
      <c r="P82" s="965">
        <f t="shared" ca="1" si="19"/>
        <v>0</v>
      </c>
      <c r="Q82" s="965">
        <f t="shared" ca="1" si="19"/>
        <v>0</v>
      </c>
      <c r="R82" s="965">
        <f t="shared" ca="1" si="19"/>
        <v>0</v>
      </c>
      <c r="S82" s="4"/>
    </row>
    <row r="83" spans="1:19" s="534" customFormat="1" ht="5.25">
      <c r="A83" s="821" t="s">
        <v>84</v>
      </c>
      <c r="B83" s="1191" t="s">
        <v>105</v>
      </c>
      <c r="C83" s="581"/>
      <c r="D83" s="533"/>
      <c r="E83" s="564"/>
      <c r="F83" s="564"/>
      <c r="G83" s="564"/>
      <c r="H83" s="564"/>
      <c r="I83" s="565"/>
      <c r="J83" s="565"/>
      <c r="K83" s="565"/>
      <c r="L83" s="564"/>
      <c r="M83" s="564"/>
      <c r="N83" s="589"/>
      <c r="O83" s="564"/>
      <c r="P83" s="564"/>
      <c r="Q83" s="564"/>
      <c r="R83" s="564"/>
      <c r="S83" s="533"/>
    </row>
    <row r="84" spans="1:19" ht="15">
      <c r="A84" s="820" t="s">
        <v>84</v>
      </c>
      <c r="B84" s="1189" t="s">
        <v>105</v>
      </c>
      <c r="C84" s="586"/>
      <c r="D84" s="57"/>
      <c r="E84" s="1224" t="str">
        <f>"resultaten tov "&amp;$F$5</f>
        <v>resultaten tov variant 1</v>
      </c>
      <c r="F84" s="649"/>
      <c r="G84" s="1225" t="s">
        <v>327</v>
      </c>
      <c r="H84" s="31"/>
      <c r="I84" s="552"/>
      <c r="J84" s="552"/>
      <c r="K84" s="552"/>
      <c r="L84" s="31"/>
      <c r="M84" s="1226">
        <f t="shared" ref="M84:R84" ca="1" si="20">IF(M82="","",M82-INDEX($L82:$S82,MATCH($F$5,$L$8:$S$8,0)))</f>
        <v>0</v>
      </c>
      <c r="N84" s="1226">
        <f t="shared" ca="1" si="20"/>
        <v>0</v>
      </c>
      <c r="O84" s="1226">
        <f t="shared" ca="1" si="20"/>
        <v>0</v>
      </c>
      <c r="P84" s="1226">
        <f t="shared" ca="1" si="20"/>
        <v>0</v>
      </c>
      <c r="Q84" s="1226">
        <f t="shared" ca="1" si="20"/>
        <v>0</v>
      </c>
      <c r="R84" s="1226">
        <f t="shared" ca="1" si="20"/>
        <v>0</v>
      </c>
      <c r="S84" s="4"/>
    </row>
    <row r="85" spans="1:19" ht="15">
      <c r="A85" s="820" t="s">
        <v>84</v>
      </c>
      <c r="B85" s="1189" t="s">
        <v>105</v>
      </c>
      <c r="C85" s="586"/>
      <c r="D85" s="57"/>
      <c r="E85" s="652"/>
      <c r="F85" s="652"/>
      <c r="G85" s="1225" t="s">
        <v>139</v>
      </c>
      <c r="H85" s="31"/>
      <c r="I85" s="553"/>
      <c r="J85" s="553"/>
      <c r="K85" s="553"/>
      <c r="L85" s="31"/>
      <c r="M85" s="1227" t="str">
        <f t="shared" ref="M85:R85" ca="1" si="21">IFERROR(M84/INDEX($L82:$S82,MATCH($F$5,$L$8:$S$8,0)),"")</f>
        <v/>
      </c>
      <c r="N85" s="1227" t="str">
        <f t="shared" ca="1" si="21"/>
        <v/>
      </c>
      <c r="O85" s="1227" t="str">
        <f t="shared" ca="1" si="21"/>
        <v/>
      </c>
      <c r="P85" s="1227" t="str">
        <f t="shared" ca="1" si="21"/>
        <v/>
      </c>
      <c r="Q85" s="1227" t="str">
        <f t="shared" ca="1" si="21"/>
        <v/>
      </c>
      <c r="R85" s="1227" t="str">
        <f t="shared" ca="1" si="21"/>
        <v/>
      </c>
      <c r="S85" s="4"/>
    </row>
    <row r="86" spans="1:19" ht="15" hidden="1">
      <c r="A86" s="820" t="s">
        <v>84</v>
      </c>
      <c r="B86" s="1189" t="s">
        <v>328</v>
      </c>
      <c r="C86" s="586"/>
      <c r="D86" s="57"/>
      <c r="E86" s="4"/>
      <c r="F86" s="4"/>
      <c r="G86" s="4"/>
      <c r="H86" s="31"/>
      <c r="I86" s="68"/>
      <c r="J86" s="68"/>
      <c r="K86" s="68"/>
      <c r="L86" s="31"/>
      <c r="M86" s="13"/>
      <c r="N86" s="13"/>
      <c r="O86" s="13"/>
      <c r="P86" s="13"/>
      <c r="Q86" s="13"/>
      <c r="R86" s="13"/>
      <c r="S86" s="4"/>
    </row>
    <row r="87" spans="1:19" ht="21" hidden="1">
      <c r="A87" s="820" t="s">
        <v>84</v>
      </c>
      <c r="B87" s="1189" t="s">
        <v>328</v>
      </c>
      <c r="C87" s="586"/>
      <c r="D87" s="57"/>
      <c r="E87" s="175" t="s">
        <v>329</v>
      </c>
      <c r="F87" s="175"/>
      <c r="G87" s="175"/>
      <c r="H87" s="4"/>
      <c r="I87" s="546"/>
      <c r="J87" s="546"/>
      <c r="K87" s="546"/>
      <c r="L87" s="31"/>
      <c r="M87" s="561"/>
      <c r="N87" s="561"/>
      <c r="O87" s="561"/>
      <c r="P87" s="561"/>
      <c r="Q87" s="561"/>
      <c r="R87" s="561"/>
      <c r="S87" s="4"/>
    </row>
    <row r="88" spans="1:19" ht="14.25" hidden="1">
      <c r="A88" s="825" t="s">
        <v>84</v>
      </c>
      <c r="B88" s="1189" t="s">
        <v>328</v>
      </c>
      <c r="C88" s="586"/>
      <c r="D88" s="57"/>
      <c r="E88" s="304" t="str">
        <f>'variant 1'!$E$62</f>
        <v>verwarming</v>
      </c>
      <c r="F88" s="180"/>
      <c r="G88" s="180" t="s">
        <v>327</v>
      </c>
      <c r="H88" s="31"/>
      <c r="I88" s="551">
        <f>'variant 1'!$M$282</f>
        <v>0</v>
      </c>
      <c r="J88" s="547">
        <f t="shared" ref="J88:J96" ca="1" si="22">ROW(INDIRECT(RIGHT((_xlfn.FORMULATEXT($I88)),LEN(_xlfn.FORMULATEXT($I88))-1)))</f>
        <v>282</v>
      </c>
      <c r="K88" s="547">
        <f t="shared" ref="K88:K96" ca="1" si="23">COLUMN(INDIRECT(RIGHT((_xlfn.FORMULATEXT($I88)),LEN(_xlfn.FORMULATEXT($I88))-1)))</f>
        <v>13</v>
      </c>
      <c r="L88" s="31"/>
      <c r="M88" s="168" t="str">
        <f ca="1">IF(M$18=0,"",IFERROR(IF(INDIRECT(ADDRESS($J88,$K88,,,M$8))=0,"",INDIRECT(ADDRESS($J88,$K88,,,M$8))),""))</f>
        <v/>
      </c>
      <c r="N88" s="168" t="str">
        <f t="shared" ref="M88:R96" ca="1" si="24">IF(N$18=0,"",IFERROR(IF(INDIRECT(ADDRESS($J88,$K88,,,N$8))=0,"",INDIRECT(ADDRESS($J88,$K88,,,N$8))),""))</f>
        <v/>
      </c>
      <c r="O88" s="168" t="str">
        <f t="shared" ca="1" si="24"/>
        <v/>
      </c>
      <c r="P88" s="168" t="str">
        <f t="shared" ca="1" si="24"/>
        <v/>
      </c>
      <c r="Q88" s="168" t="str">
        <f t="shared" ca="1" si="24"/>
        <v/>
      </c>
      <c r="R88" s="168" t="str">
        <f t="shared" ca="1" si="24"/>
        <v/>
      </c>
      <c r="S88" s="4"/>
    </row>
    <row r="89" spans="1:19" ht="14.25" hidden="1">
      <c r="A89" s="825" t="s">
        <v>84</v>
      </c>
      <c r="B89" s="1189" t="s">
        <v>328</v>
      </c>
      <c r="C89" s="586"/>
      <c r="D89" s="57"/>
      <c r="E89" s="304" t="str">
        <f>'variant 1'!$E$64</f>
        <v>koeling</v>
      </c>
      <c r="F89" s="180"/>
      <c r="G89" s="180" t="s">
        <v>327</v>
      </c>
      <c r="H89" s="31"/>
      <c r="I89" s="551">
        <f>'variant 1'!$M$283</f>
        <v>0</v>
      </c>
      <c r="J89" s="547">
        <f t="shared" ca="1" si="22"/>
        <v>283</v>
      </c>
      <c r="K89" s="547">
        <f t="shared" ca="1" si="23"/>
        <v>13</v>
      </c>
      <c r="L89" s="31"/>
      <c r="M89" s="168" t="str">
        <f ca="1">IF(M$18=0,"",IFERROR(IF(INDIRECT(ADDRESS($J89,$K89,,,M$8))=0,"",INDIRECT(ADDRESS($J89,$K89,,,M$8))),""))</f>
        <v/>
      </c>
      <c r="N89" s="168" t="str">
        <f t="shared" ca="1" si="24"/>
        <v/>
      </c>
      <c r="O89" s="168" t="str">
        <f t="shared" ca="1" si="24"/>
        <v/>
      </c>
      <c r="P89" s="168" t="str">
        <f t="shared" ca="1" si="24"/>
        <v/>
      </c>
      <c r="Q89" s="168" t="str">
        <f t="shared" ca="1" si="24"/>
        <v/>
      </c>
      <c r="R89" s="168" t="str">
        <f t="shared" ca="1" si="24"/>
        <v/>
      </c>
      <c r="S89" s="4"/>
    </row>
    <row r="90" spans="1:19" ht="14.25" hidden="1">
      <c r="A90" s="825" t="s">
        <v>84</v>
      </c>
      <c r="B90" s="1189" t="s">
        <v>328</v>
      </c>
      <c r="C90" s="586"/>
      <c r="D90" s="57"/>
      <c r="E90" s="304" t="str">
        <f>'variant 1'!$E$65</f>
        <v>tapwater</v>
      </c>
      <c r="F90" s="180"/>
      <c r="G90" s="180" t="s">
        <v>327</v>
      </c>
      <c r="H90" s="31"/>
      <c r="I90" s="551">
        <f>'variant 1'!$M$284</f>
        <v>0</v>
      </c>
      <c r="J90" s="547">
        <f t="shared" ca="1" si="22"/>
        <v>284</v>
      </c>
      <c r="K90" s="547">
        <f t="shared" ca="1" si="23"/>
        <v>13</v>
      </c>
      <c r="L90" s="31"/>
      <c r="M90" s="168" t="str">
        <f t="shared" ca="1" si="24"/>
        <v/>
      </c>
      <c r="N90" s="168" t="str">
        <f t="shared" ca="1" si="24"/>
        <v/>
      </c>
      <c r="O90" s="168" t="str">
        <f t="shared" ca="1" si="24"/>
        <v/>
      </c>
      <c r="P90" s="168" t="str">
        <f t="shared" ca="1" si="24"/>
        <v/>
      </c>
      <c r="Q90" s="168" t="str">
        <f t="shared" ca="1" si="24"/>
        <v/>
      </c>
      <c r="R90" s="168" t="str">
        <f t="shared" ca="1" si="24"/>
        <v/>
      </c>
      <c r="S90" s="4"/>
    </row>
    <row r="91" spans="1:19" ht="14.25" hidden="1">
      <c r="A91" s="825" t="s">
        <v>84</v>
      </c>
      <c r="B91" s="1189" t="s">
        <v>328</v>
      </c>
      <c r="C91" s="586"/>
      <c r="D91" s="57"/>
      <c r="E91" s="304" t="str">
        <f>'variant 1'!$E$66</f>
        <v>verlichting</v>
      </c>
      <c r="F91" s="180"/>
      <c r="G91" s="180" t="s">
        <v>327</v>
      </c>
      <c r="H91" s="31"/>
      <c r="I91" s="551">
        <f>'variant 1'!$M$285</f>
        <v>0</v>
      </c>
      <c r="J91" s="547">
        <f t="shared" ca="1" si="22"/>
        <v>285</v>
      </c>
      <c r="K91" s="547">
        <f t="shared" ca="1" si="23"/>
        <v>13</v>
      </c>
      <c r="L91" s="31"/>
      <c r="M91" s="168" t="str">
        <f t="shared" ca="1" si="24"/>
        <v/>
      </c>
      <c r="N91" s="168" t="str">
        <f t="shared" ca="1" si="24"/>
        <v/>
      </c>
      <c r="O91" s="168" t="str">
        <f t="shared" ca="1" si="24"/>
        <v/>
      </c>
      <c r="P91" s="168" t="str">
        <f t="shared" ca="1" si="24"/>
        <v/>
      </c>
      <c r="Q91" s="168" t="str">
        <f t="shared" ca="1" si="24"/>
        <v/>
      </c>
      <c r="R91" s="168" t="str">
        <f t="shared" ca="1" si="24"/>
        <v/>
      </c>
      <c r="S91" s="4"/>
    </row>
    <row r="92" spans="1:19" ht="14.25" hidden="1">
      <c r="A92" s="825" t="s">
        <v>84</v>
      </c>
      <c r="B92" s="1189" t="s">
        <v>328</v>
      </c>
      <c r="C92" s="586"/>
      <c r="D92" s="57"/>
      <c r="E92" s="304" t="str">
        <f>'variant 1'!$E$67</f>
        <v>ventilatoren</v>
      </c>
      <c r="F92" s="180"/>
      <c r="G92" s="180" t="s">
        <v>327</v>
      </c>
      <c r="H92" s="31"/>
      <c r="I92" s="551">
        <f>'variant 1'!$M$286</f>
        <v>0</v>
      </c>
      <c r="J92" s="547">
        <f t="shared" ca="1" si="22"/>
        <v>286</v>
      </c>
      <c r="K92" s="547">
        <f t="shared" ca="1" si="23"/>
        <v>13</v>
      </c>
      <c r="L92" s="31"/>
      <c r="M92" s="168" t="str">
        <f t="shared" ca="1" si="24"/>
        <v/>
      </c>
      <c r="N92" s="168" t="str">
        <f t="shared" ca="1" si="24"/>
        <v/>
      </c>
      <c r="O92" s="168" t="str">
        <f t="shared" ca="1" si="24"/>
        <v/>
      </c>
      <c r="P92" s="168" t="str">
        <f t="shared" ca="1" si="24"/>
        <v/>
      </c>
      <c r="Q92" s="168" t="str">
        <f t="shared" ca="1" si="24"/>
        <v/>
      </c>
      <c r="R92" s="168" t="str">
        <f t="shared" ca="1" si="24"/>
        <v/>
      </c>
      <c r="S92" s="4"/>
    </row>
    <row r="93" spans="1:19" ht="14.25" hidden="1">
      <c r="A93" s="825" t="s">
        <v>84</v>
      </c>
      <c r="B93" s="1189" t="s">
        <v>328</v>
      </c>
      <c r="C93" s="586"/>
      <c r="D93" s="57"/>
      <c r="E93" s="304" t="str">
        <f>'variant 1'!$E$69</f>
        <v>overig elektra</v>
      </c>
      <c r="F93" s="180"/>
      <c r="G93" s="180" t="s">
        <v>327</v>
      </c>
      <c r="H93" s="31"/>
      <c r="I93" s="551">
        <f>'variant 1'!$M$288</f>
        <v>0</v>
      </c>
      <c r="J93" s="547">
        <f t="shared" ca="1" si="22"/>
        <v>288</v>
      </c>
      <c r="K93" s="547">
        <f t="shared" ca="1" si="23"/>
        <v>13</v>
      </c>
      <c r="L93" s="31"/>
      <c r="M93" s="168" t="str">
        <f t="shared" ca="1" si="24"/>
        <v/>
      </c>
      <c r="N93" s="168" t="str">
        <f t="shared" ca="1" si="24"/>
        <v/>
      </c>
      <c r="O93" s="168" t="str">
        <f t="shared" ca="1" si="24"/>
        <v/>
      </c>
      <c r="P93" s="168" t="str">
        <f t="shared" ca="1" si="24"/>
        <v/>
      </c>
      <c r="Q93" s="168" t="str">
        <f t="shared" ca="1" si="24"/>
        <v/>
      </c>
      <c r="R93" s="168" t="str">
        <f t="shared" ca="1" si="24"/>
        <v/>
      </c>
      <c r="S93" s="4"/>
    </row>
    <row r="94" spans="1:19" ht="14.25" hidden="1">
      <c r="A94" s="825" t="s">
        <v>84</v>
      </c>
      <c r="B94" s="1189" t="s">
        <v>328</v>
      </c>
      <c r="C94" s="586"/>
      <c r="D94" s="57"/>
      <c r="E94" s="304" t="str">
        <f>'variant 1'!$E$71</f>
        <v>mobiliteit</v>
      </c>
      <c r="F94" s="180"/>
      <c r="G94" s="180" t="s">
        <v>327</v>
      </c>
      <c r="H94" s="31"/>
      <c r="I94" s="551">
        <f>'variant 1'!$M$289</f>
        <v>0</v>
      </c>
      <c r="J94" s="547">
        <f t="shared" ca="1" si="22"/>
        <v>289</v>
      </c>
      <c r="K94" s="547">
        <f t="shared" ca="1" si="23"/>
        <v>13</v>
      </c>
      <c r="L94" s="31"/>
      <c r="M94" s="168" t="str">
        <f t="shared" ca="1" si="24"/>
        <v/>
      </c>
      <c r="N94" s="168" t="str">
        <f t="shared" ca="1" si="24"/>
        <v/>
      </c>
      <c r="O94" s="168" t="str">
        <f t="shared" ca="1" si="24"/>
        <v/>
      </c>
      <c r="P94" s="168" t="str">
        <f t="shared" ca="1" si="24"/>
        <v/>
      </c>
      <c r="Q94" s="168" t="str">
        <f t="shared" ca="1" si="24"/>
        <v/>
      </c>
      <c r="R94" s="168" t="str">
        <f t="shared" ca="1" si="24"/>
        <v/>
      </c>
      <c r="S94" s="4"/>
    </row>
    <row r="95" spans="1:19" ht="14.25" hidden="1">
      <c r="A95" s="825" t="s">
        <v>84</v>
      </c>
      <c r="B95" s="1189" t="s">
        <v>328</v>
      </c>
      <c r="C95" s="586"/>
      <c r="D95" s="57"/>
      <c r="E95" s="304" t="str">
        <f>'variant 1'!$E$295</f>
        <v>warmtekracht (vermeden primair)</v>
      </c>
      <c r="F95" s="180"/>
      <c r="G95" s="180" t="s">
        <v>327</v>
      </c>
      <c r="H95" s="31"/>
      <c r="I95" s="551">
        <f>'variant 1'!$M$295</f>
        <v>0</v>
      </c>
      <c r="J95" s="547">
        <f t="shared" ca="1" si="22"/>
        <v>295</v>
      </c>
      <c r="K95" s="547">
        <f t="shared" ca="1" si="23"/>
        <v>13</v>
      </c>
      <c r="L95" s="31"/>
      <c r="M95" s="168" t="str">
        <f t="shared" ca="1" si="24"/>
        <v/>
      </c>
      <c r="N95" s="168" t="str">
        <f t="shared" ca="1" si="24"/>
        <v/>
      </c>
      <c r="O95" s="168" t="str">
        <f t="shared" ca="1" si="24"/>
        <v/>
      </c>
      <c r="P95" s="168" t="str">
        <f t="shared" ca="1" si="24"/>
        <v/>
      </c>
      <c r="Q95" s="168" t="str">
        <f t="shared" ca="1" si="24"/>
        <v/>
      </c>
      <c r="R95" s="168" t="str">
        <f t="shared" ca="1" si="24"/>
        <v/>
      </c>
      <c r="S95" s="4"/>
    </row>
    <row r="96" spans="1:19" ht="14.25" hidden="1">
      <c r="A96" s="825" t="s">
        <v>84</v>
      </c>
      <c r="B96" s="1189" t="s">
        <v>328</v>
      </c>
      <c r="C96" s="586"/>
      <c r="D96" s="57"/>
      <c r="E96" s="964" t="str">
        <f>'variant 1'!$E$294</f>
        <v>zonnepanelen (vermeden primair)</v>
      </c>
      <c r="F96" s="254"/>
      <c r="G96" s="254" t="s">
        <v>327</v>
      </c>
      <c r="H96" s="31"/>
      <c r="I96" s="969">
        <f>'variant 1'!$M$294</f>
        <v>0</v>
      </c>
      <c r="J96" s="547">
        <f t="shared" ca="1" si="22"/>
        <v>294</v>
      </c>
      <c r="K96" s="547">
        <f t="shared" ca="1" si="23"/>
        <v>13</v>
      </c>
      <c r="L96" s="31"/>
      <c r="M96" s="541" t="str">
        <f ca="1">IF(M$18=0,"",IFERROR(IF(INDIRECT(ADDRESS($J96,$K96,,,M$8))=0,"",INDIRECT(ADDRESS($J96,$K96,,,M$8))),""))</f>
        <v/>
      </c>
      <c r="N96" s="541" t="str">
        <f t="shared" ca="1" si="24"/>
        <v/>
      </c>
      <c r="O96" s="541" t="str">
        <f t="shared" ca="1" si="24"/>
        <v/>
      </c>
      <c r="P96" s="541" t="str">
        <f t="shared" ca="1" si="24"/>
        <v/>
      </c>
      <c r="Q96" s="541" t="str">
        <f t="shared" ca="1" si="24"/>
        <v/>
      </c>
      <c r="R96" s="541" t="str">
        <f t="shared" ca="1" si="24"/>
        <v/>
      </c>
      <c r="S96" s="4"/>
    </row>
    <row r="97" spans="1:19" ht="15" hidden="1">
      <c r="A97" s="825" t="s">
        <v>84</v>
      </c>
      <c r="B97" s="1189" t="s">
        <v>328</v>
      </c>
      <c r="C97" s="586"/>
      <c r="D97" s="57"/>
      <c r="E97" s="963" t="s">
        <v>232</v>
      </c>
      <c r="F97" s="963"/>
      <c r="G97" s="963" t="s">
        <v>327</v>
      </c>
      <c r="H97" s="31"/>
      <c r="I97" s="549"/>
      <c r="J97" s="549"/>
      <c r="K97" s="549"/>
      <c r="L97" s="31"/>
      <c r="M97" s="965" t="str">
        <f t="shared" ref="M97:R97" ca="1" si="25">IF(M88="","",SUM(M88:M96))</f>
        <v/>
      </c>
      <c r="N97" s="965" t="str">
        <f t="shared" ca="1" si="25"/>
        <v/>
      </c>
      <c r="O97" s="965" t="str">
        <f t="shared" ca="1" si="25"/>
        <v/>
      </c>
      <c r="P97" s="965" t="str">
        <f t="shared" ca="1" si="25"/>
        <v/>
      </c>
      <c r="Q97" s="965" t="str">
        <f t="shared" ca="1" si="25"/>
        <v/>
      </c>
      <c r="R97" s="965" t="str">
        <f t="shared" ca="1" si="25"/>
        <v/>
      </c>
      <c r="S97" s="4"/>
    </row>
    <row r="98" spans="1:19" s="534" customFormat="1" ht="5.25" hidden="1">
      <c r="A98" s="821" t="s">
        <v>84</v>
      </c>
      <c r="B98" s="1191" t="s">
        <v>328</v>
      </c>
      <c r="C98" s="581"/>
      <c r="D98" s="533"/>
      <c r="E98" s="564"/>
      <c r="F98" s="564"/>
      <c r="G98" s="564"/>
      <c r="H98" s="564"/>
      <c r="I98" s="565"/>
      <c r="J98" s="565"/>
      <c r="K98" s="565"/>
      <c r="L98" s="564"/>
      <c r="M98" s="564"/>
      <c r="N98" s="589"/>
      <c r="O98" s="564"/>
      <c r="P98" s="564"/>
      <c r="Q98" s="564"/>
      <c r="R98" s="564"/>
      <c r="S98" s="533"/>
    </row>
    <row r="99" spans="1:19" ht="15" hidden="1">
      <c r="A99" s="820" t="s">
        <v>84</v>
      </c>
      <c r="B99" s="1189" t="s">
        <v>328</v>
      </c>
      <c r="C99" s="586"/>
      <c r="D99" s="57"/>
      <c r="E99" s="649" t="str">
        <f>"resultaten tov "&amp;$F$5</f>
        <v>resultaten tov variant 1</v>
      </c>
      <c r="F99" s="649"/>
      <c r="G99" s="650" t="s">
        <v>327</v>
      </c>
      <c r="H99" s="31"/>
      <c r="I99" s="552"/>
      <c r="J99" s="552"/>
      <c r="K99" s="552"/>
      <c r="L99" s="31"/>
      <c r="M99" s="651" t="str">
        <f t="shared" ref="M99:R99" ca="1" si="26">IF(M97="","",M97-INDEX($L97:$S97,MATCH($F$5,$L$8:$S$8,0)))</f>
        <v/>
      </c>
      <c r="N99" s="651" t="str">
        <f t="shared" ca="1" si="26"/>
        <v/>
      </c>
      <c r="O99" s="651" t="str">
        <f t="shared" ca="1" si="26"/>
        <v/>
      </c>
      <c r="P99" s="651" t="str">
        <f t="shared" ca="1" si="26"/>
        <v/>
      </c>
      <c r="Q99" s="651" t="str">
        <f t="shared" ca="1" si="26"/>
        <v/>
      </c>
      <c r="R99" s="651" t="str">
        <f t="shared" ca="1" si="26"/>
        <v/>
      </c>
      <c r="S99" s="4"/>
    </row>
    <row r="100" spans="1:19" ht="15" hidden="1">
      <c r="A100" s="820" t="s">
        <v>84</v>
      </c>
      <c r="B100" s="1189" t="s">
        <v>328</v>
      </c>
      <c r="C100" s="586"/>
      <c r="D100" s="57"/>
      <c r="E100" s="652"/>
      <c r="F100" s="652"/>
      <c r="G100" s="650" t="s">
        <v>139</v>
      </c>
      <c r="H100" s="31"/>
      <c r="I100" s="553"/>
      <c r="J100" s="553"/>
      <c r="K100" s="553"/>
      <c r="L100" s="31"/>
      <c r="M100" s="656" t="str">
        <f t="shared" ref="M100:R100" ca="1" si="27">IFERROR(M99/INDEX($L97:$S97,MATCH($F$5,$L$8:$S$8,0)),"")</f>
        <v/>
      </c>
      <c r="N100" s="656" t="str">
        <f t="shared" ca="1" si="27"/>
        <v/>
      </c>
      <c r="O100" s="656" t="str">
        <f t="shared" ca="1" si="27"/>
        <v/>
      </c>
      <c r="P100" s="656" t="str">
        <f t="shared" ca="1" si="27"/>
        <v/>
      </c>
      <c r="Q100" s="656" t="str">
        <f t="shared" ca="1" si="27"/>
        <v/>
      </c>
      <c r="R100" s="656" t="str">
        <f t="shared" ca="1" si="27"/>
        <v/>
      </c>
      <c r="S100" s="4"/>
    </row>
    <row r="101" spans="1:19" ht="15" hidden="1">
      <c r="A101" s="825" t="s">
        <v>84</v>
      </c>
      <c r="B101" s="1189" t="s">
        <v>328</v>
      </c>
      <c r="C101" s="586"/>
      <c r="D101" s="57"/>
      <c r="E101" s="4"/>
      <c r="F101" s="4"/>
      <c r="G101" s="4"/>
      <c r="H101" s="31"/>
      <c r="I101" s="68"/>
      <c r="J101" s="68"/>
      <c r="K101" s="68"/>
      <c r="L101" s="31"/>
      <c r="M101" s="13"/>
      <c r="N101" s="13"/>
      <c r="O101" s="13"/>
      <c r="P101" s="13"/>
      <c r="Q101" s="13"/>
      <c r="R101" s="13"/>
      <c r="S101" s="4"/>
    </row>
    <row r="102" spans="1:19" ht="21" hidden="1">
      <c r="A102" s="820" t="s">
        <v>84</v>
      </c>
      <c r="B102" s="1189" t="s">
        <v>328</v>
      </c>
      <c r="C102" s="586"/>
      <c r="D102" s="57"/>
      <c r="E102" s="175" t="s">
        <v>330</v>
      </c>
      <c r="F102" s="175"/>
      <c r="G102" s="175"/>
      <c r="H102" s="4"/>
      <c r="I102" s="546"/>
      <c r="J102" s="546"/>
      <c r="K102" s="546"/>
      <c r="L102" s="31"/>
      <c r="M102" s="561"/>
      <c r="N102" s="561"/>
      <c r="O102" s="561"/>
      <c r="P102" s="561"/>
      <c r="Q102" s="561"/>
      <c r="R102" s="561"/>
      <c r="S102" s="4"/>
    </row>
    <row r="103" spans="1:19" ht="14.25" hidden="1">
      <c r="A103" s="825" t="s">
        <v>84</v>
      </c>
      <c r="B103" s="1189" t="s">
        <v>328</v>
      </c>
      <c r="C103" s="586"/>
      <c r="D103" s="57"/>
      <c r="E103" s="304" t="str">
        <f>'variant 1'!$E$62</f>
        <v>verwarming</v>
      </c>
      <c r="F103" s="180"/>
      <c r="G103" s="180" t="s">
        <v>327</v>
      </c>
      <c r="H103" s="31"/>
      <c r="I103" s="551">
        <f>'variant 1'!$Y$282</f>
        <v>0</v>
      </c>
      <c r="J103" s="547">
        <f t="shared" ref="J103:J111" ca="1" si="28">ROW(INDIRECT(RIGHT((_xlfn.FORMULATEXT($I103)),LEN(_xlfn.FORMULATEXT($I103))-1)))</f>
        <v>282</v>
      </c>
      <c r="K103" s="547">
        <f t="shared" ref="K103:K111" ca="1" si="29">COLUMN(INDIRECT(RIGHT((_xlfn.FORMULATEXT($I103)),LEN(_xlfn.FORMULATEXT($I103))-1)))</f>
        <v>25</v>
      </c>
      <c r="L103" s="31"/>
      <c r="M103" s="168" t="str">
        <f t="shared" ref="M103:R111" ca="1" si="30">IF(M$19=0,"",IFERROR(IF(INDIRECT(ADDRESS($J103,$K103,,,M$8))=0,"",INDIRECT(ADDRESS($J103,$K103,,,M$8))),""))</f>
        <v/>
      </c>
      <c r="N103" s="168" t="str">
        <f t="shared" ca="1" si="30"/>
        <v/>
      </c>
      <c r="O103" s="168" t="str">
        <f t="shared" ca="1" si="30"/>
        <v/>
      </c>
      <c r="P103" s="168" t="str">
        <f t="shared" ca="1" si="30"/>
        <v/>
      </c>
      <c r="Q103" s="168" t="str">
        <f t="shared" ca="1" si="30"/>
        <v/>
      </c>
      <c r="R103" s="168" t="str">
        <f t="shared" ca="1" si="30"/>
        <v/>
      </c>
      <c r="S103" s="4"/>
    </row>
    <row r="104" spans="1:19" ht="14.25" hidden="1">
      <c r="A104" s="825" t="s">
        <v>84</v>
      </c>
      <c r="B104" s="1189" t="s">
        <v>328</v>
      </c>
      <c r="C104" s="586"/>
      <c r="D104" s="57"/>
      <c r="E104" s="304" t="str">
        <f>'variant 1'!$E$64</f>
        <v>koeling</v>
      </c>
      <c r="F104" s="180"/>
      <c r="G104" s="180" t="s">
        <v>327</v>
      </c>
      <c r="H104" s="31"/>
      <c r="I104" s="551">
        <f>'variant 1'!$Y$283</f>
        <v>0</v>
      </c>
      <c r="J104" s="547">
        <f t="shared" ca="1" si="28"/>
        <v>283</v>
      </c>
      <c r="K104" s="547">
        <f t="shared" ca="1" si="29"/>
        <v>25</v>
      </c>
      <c r="L104" s="31"/>
      <c r="M104" s="168" t="str">
        <f t="shared" ca="1" si="30"/>
        <v/>
      </c>
      <c r="N104" s="168" t="str">
        <f t="shared" ca="1" si="30"/>
        <v/>
      </c>
      <c r="O104" s="168" t="str">
        <f t="shared" ca="1" si="30"/>
        <v/>
      </c>
      <c r="P104" s="168" t="str">
        <f t="shared" ca="1" si="30"/>
        <v/>
      </c>
      <c r="Q104" s="168" t="str">
        <f t="shared" ca="1" si="30"/>
        <v/>
      </c>
      <c r="R104" s="168" t="str">
        <f t="shared" ca="1" si="30"/>
        <v/>
      </c>
      <c r="S104" s="4"/>
    </row>
    <row r="105" spans="1:19" ht="14.25" hidden="1">
      <c r="A105" s="825" t="s">
        <v>84</v>
      </c>
      <c r="B105" s="1189" t="s">
        <v>328</v>
      </c>
      <c r="C105" s="586"/>
      <c r="D105" s="57"/>
      <c r="E105" s="304" t="str">
        <f>'variant 1'!$E$65</f>
        <v>tapwater</v>
      </c>
      <c r="F105" s="180"/>
      <c r="G105" s="180" t="s">
        <v>327</v>
      </c>
      <c r="H105" s="31"/>
      <c r="I105" s="551">
        <f>'variant 1'!$Y$284</f>
        <v>0</v>
      </c>
      <c r="J105" s="547">
        <f t="shared" ca="1" si="28"/>
        <v>284</v>
      </c>
      <c r="K105" s="547">
        <f t="shared" ca="1" si="29"/>
        <v>25</v>
      </c>
      <c r="L105" s="31"/>
      <c r="M105" s="168" t="str">
        <f t="shared" ca="1" si="30"/>
        <v/>
      </c>
      <c r="N105" s="168" t="str">
        <f t="shared" ca="1" si="30"/>
        <v/>
      </c>
      <c r="O105" s="168" t="str">
        <f t="shared" ca="1" si="30"/>
        <v/>
      </c>
      <c r="P105" s="168" t="str">
        <f t="shared" ca="1" si="30"/>
        <v/>
      </c>
      <c r="Q105" s="168" t="str">
        <f t="shared" ca="1" si="30"/>
        <v/>
      </c>
      <c r="R105" s="168" t="str">
        <f t="shared" ca="1" si="30"/>
        <v/>
      </c>
      <c r="S105" s="4"/>
    </row>
    <row r="106" spans="1:19" ht="14.25" hidden="1">
      <c r="A106" s="825" t="s">
        <v>84</v>
      </c>
      <c r="B106" s="1189" t="s">
        <v>328</v>
      </c>
      <c r="C106" s="586"/>
      <c r="D106" s="57"/>
      <c r="E106" s="304" t="str">
        <f>'variant 1'!$E$66</f>
        <v>verlichting</v>
      </c>
      <c r="F106" s="180"/>
      <c r="G106" s="180" t="s">
        <v>327</v>
      </c>
      <c r="H106" s="31"/>
      <c r="I106" s="551">
        <f>'variant 1'!$Y$285</f>
        <v>0</v>
      </c>
      <c r="J106" s="547">
        <f t="shared" ca="1" si="28"/>
        <v>285</v>
      </c>
      <c r="K106" s="547">
        <f t="shared" ca="1" si="29"/>
        <v>25</v>
      </c>
      <c r="L106" s="31"/>
      <c r="M106" s="168" t="str">
        <f t="shared" ca="1" si="30"/>
        <v/>
      </c>
      <c r="N106" s="168" t="str">
        <f t="shared" ca="1" si="30"/>
        <v/>
      </c>
      <c r="O106" s="168" t="str">
        <f t="shared" ca="1" si="30"/>
        <v/>
      </c>
      <c r="P106" s="168" t="str">
        <f t="shared" ca="1" si="30"/>
        <v/>
      </c>
      <c r="Q106" s="168" t="str">
        <f t="shared" ca="1" si="30"/>
        <v/>
      </c>
      <c r="R106" s="168" t="str">
        <f t="shared" ca="1" si="30"/>
        <v/>
      </c>
      <c r="S106" s="4"/>
    </row>
    <row r="107" spans="1:19" ht="14.25" hidden="1">
      <c r="A107" s="825" t="s">
        <v>84</v>
      </c>
      <c r="B107" s="1189" t="s">
        <v>328</v>
      </c>
      <c r="C107" s="586"/>
      <c r="D107" s="57"/>
      <c r="E107" s="304" t="str">
        <f>'variant 1'!$E$67</f>
        <v>ventilatoren</v>
      </c>
      <c r="F107" s="180"/>
      <c r="G107" s="180" t="s">
        <v>327</v>
      </c>
      <c r="H107" s="31"/>
      <c r="I107" s="551">
        <f>'variant 1'!$Y$286</f>
        <v>0</v>
      </c>
      <c r="J107" s="547">
        <f t="shared" ca="1" si="28"/>
        <v>286</v>
      </c>
      <c r="K107" s="547">
        <f t="shared" ca="1" si="29"/>
        <v>25</v>
      </c>
      <c r="L107" s="31"/>
      <c r="M107" s="168" t="str">
        <f t="shared" ca="1" si="30"/>
        <v/>
      </c>
      <c r="N107" s="168" t="str">
        <f t="shared" ca="1" si="30"/>
        <v/>
      </c>
      <c r="O107" s="168" t="str">
        <f t="shared" ca="1" si="30"/>
        <v/>
      </c>
      <c r="P107" s="168" t="str">
        <f t="shared" ca="1" si="30"/>
        <v/>
      </c>
      <c r="Q107" s="168" t="str">
        <f t="shared" ca="1" si="30"/>
        <v/>
      </c>
      <c r="R107" s="168" t="str">
        <f t="shared" ca="1" si="30"/>
        <v/>
      </c>
      <c r="S107" s="4"/>
    </row>
    <row r="108" spans="1:19" ht="14.25" hidden="1">
      <c r="A108" s="825" t="s">
        <v>84</v>
      </c>
      <c r="B108" s="1189" t="s">
        <v>328</v>
      </c>
      <c r="C108" s="586"/>
      <c r="D108" s="57"/>
      <c r="E108" s="304" t="str">
        <f>'variant 1'!$E$69</f>
        <v>overig elektra</v>
      </c>
      <c r="F108" s="180"/>
      <c r="G108" s="180" t="s">
        <v>327</v>
      </c>
      <c r="H108" s="31"/>
      <c r="I108" s="551">
        <f>'variant 1'!$Y$288</f>
        <v>0</v>
      </c>
      <c r="J108" s="547">
        <f t="shared" ca="1" si="28"/>
        <v>288</v>
      </c>
      <c r="K108" s="547">
        <f t="shared" ca="1" si="29"/>
        <v>25</v>
      </c>
      <c r="L108" s="31"/>
      <c r="M108" s="168" t="str">
        <f t="shared" ca="1" si="30"/>
        <v/>
      </c>
      <c r="N108" s="168" t="str">
        <f t="shared" ca="1" si="30"/>
        <v/>
      </c>
      <c r="O108" s="168" t="str">
        <f t="shared" ca="1" si="30"/>
        <v/>
      </c>
      <c r="P108" s="168" t="str">
        <f t="shared" ca="1" si="30"/>
        <v/>
      </c>
      <c r="Q108" s="168" t="str">
        <f t="shared" ca="1" si="30"/>
        <v/>
      </c>
      <c r="R108" s="168" t="str">
        <f t="shared" ca="1" si="30"/>
        <v/>
      </c>
      <c r="S108" s="4"/>
    </row>
    <row r="109" spans="1:19" ht="14.25" hidden="1">
      <c r="A109" s="825" t="s">
        <v>84</v>
      </c>
      <c r="B109" s="1189" t="s">
        <v>328</v>
      </c>
      <c r="C109" s="586"/>
      <c r="D109" s="57"/>
      <c r="E109" s="304" t="str">
        <f>'variant 1'!$E$71</f>
        <v>mobiliteit</v>
      </c>
      <c r="F109" s="180"/>
      <c r="G109" s="180" t="s">
        <v>327</v>
      </c>
      <c r="H109" s="31"/>
      <c r="I109" s="551">
        <f>'variant 1'!$Y$289</f>
        <v>0</v>
      </c>
      <c r="J109" s="547">
        <f t="shared" ca="1" si="28"/>
        <v>289</v>
      </c>
      <c r="K109" s="547">
        <f t="shared" ca="1" si="29"/>
        <v>25</v>
      </c>
      <c r="L109" s="31"/>
      <c r="M109" s="168" t="str">
        <f t="shared" ca="1" si="30"/>
        <v/>
      </c>
      <c r="N109" s="168" t="str">
        <f t="shared" ca="1" si="30"/>
        <v/>
      </c>
      <c r="O109" s="168" t="str">
        <f t="shared" ca="1" si="30"/>
        <v/>
      </c>
      <c r="P109" s="168" t="str">
        <f t="shared" ca="1" si="30"/>
        <v/>
      </c>
      <c r="Q109" s="168" t="str">
        <f t="shared" ca="1" si="30"/>
        <v/>
      </c>
      <c r="R109" s="168" t="str">
        <f t="shared" ca="1" si="30"/>
        <v/>
      </c>
      <c r="S109" s="4"/>
    </row>
    <row r="110" spans="1:19" ht="14.25" hidden="1">
      <c r="A110" s="825" t="s">
        <v>84</v>
      </c>
      <c r="B110" s="1189" t="s">
        <v>328</v>
      </c>
      <c r="C110" s="586"/>
      <c r="D110" s="57"/>
      <c r="E110" s="304" t="str">
        <f>'variant 1'!$E$295</f>
        <v>warmtekracht (vermeden primair)</v>
      </c>
      <c r="F110" s="180"/>
      <c r="G110" s="180" t="s">
        <v>327</v>
      </c>
      <c r="H110" s="31"/>
      <c r="I110" s="551">
        <f>'variant 1'!$Y$295</f>
        <v>0</v>
      </c>
      <c r="J110" s="547">
        <f t="shared" ca="1" si="28"/>
        <v>295</v>
      </c>
      <c r="K110" s="547">
        <f t="shared" ca="1" si="29"/>
        <v>25</v>
      </c>
      <c r="L110" s="31"/>
      <c r="M110" s="168" t="str">
        <f t="shared" ca="1" si="30"/>
        <v/>
      </c>
      <c r="N110" s="168" t="str">
        <f t="shared" ca="1" si="30"/>
        <v/>
      </c>
      <c r="O110" s="168" t="str">
        <f t="shared" ca="1" si="30"/>
        <v/>
      </c>
      <c r="P110" s="168" t="str">
        <f t="shared" ca="1" si="30"/>
        <v/>
      </c>
      <c r="Q110" s="168" t="str">
        <f t="shared" ca="1" si="30"/>
        <v/>
      </c>
      <c r="R110" s="168" t="str">
        <f t="shared" ca="1" si="30"/>
        <v/>
      </c>
      <c r="S110" s="4"/>
    </row>
    <row r="111" spans="1:19" ht="14.25" hidden="1">
      <c r="A111" s="825" t="s">
        <v>84</v>
      </c>
      <c r="B111" s="1189" t="s">
        <v>328</v>
      </c>
      <c r="C111" s="586"/>
      <c r="D111" s="57"/>
      <c r="E111" s="964" t="str">
        <f>'variant 1'!$E$294</f>
        <v>zonnepanelen (vermeden primair)</v>
      </c>
      <c r="F111" s="254"/>
      <c r="G111" s="254" t="s">
        <v>327</v>
      </c>
      <c r="H111" s="31"/>
      <c r="I111" s="551">
        <f>'variant 1'!$Y$294</f>
        <v>0</v>
      </c>
      <c r="J111" s="547">
        <f t="shared" ca="1" si="28"/>
        <v>294</v>
      </c>
      <c r="K111" s="547">
        <f t="shared" ca="1" si="29"/>
        <v>25</v>
      </c>
      <c r="L111" s="31"/>
      <c r="M111" s="541" t="str">
        <f t="shared" ca="1" si="30"/>
        <v/>
      </c>
      <c r="N111" s="541" t="str">
        <f t="shared" ca="1" si="30"/>
        <v/>
      </c>
      <c r="O111" s="541" t="str">
        <f t="shared" ca="1" si="30"/>
        <v/>
      </c>
      <c r="P111" s="541" t="str">
        <f t="shared" ca="1" si="30"/>
        <v/>
      </c>
      <c r="Q111" s="541" t="str">
        <f t="shared" ca="1" si="30"/>
        <v/>
      </c>
      <c r="R111" s="541" t="str">
        <f t="shared" ca="1" si="30"/>
        <v/>
      </c>
      <c r="S111" s="4"/>
    </row>
    <row r="112" spans="1:19" ht="15" hidden="1">
      <c r="A112" s="825" t="s">
        <v>84</v>
      </c>
      <c r="B112" s="1189" t="s">
        <v>328</v>
      </c>
      <c r="C112" s="586"/>
      <c r="D112" s="57"/>
      <c r="E112" s="963" t="s">
        <v>232</v>
      </c>
      <c r="F112" s="963"/>
      <c r="G112" s="963" t="s">
        <v>327</v>
      </c>
      <c r="H112" s="31"/>
      <c r="I112" s="549"/>
      <c r="J112" s="549"/>
      <c r="K112" s="549"/>
      <c r="L112" s="31"/>
      <c r="M112" s="965" t="str">
        <f t="shared" ref="M112:R112" ca="1" si="31">IF(M103="","",SUM(M103:M111))</f>
        <v/>
      </c>
      <c r="N112" s="965" t="str">
        <f t="shared" ca="1" si="31"/>
        <v/>
      </c>
      <c r="O112" s="965" t="str">
        <f t="shared" ca="1" si="31"/>
        <v/>
      </c>
      <c r="P112" s="965" t="str">
        <f t="shared" ca="1" si="31"/>
        <v/>
      </c>
      <c r="Q112" s="965" t="str">
        <f t="shared" ca="1" si="31"/>
        <v/>
      </c>
      <c r="R112" s="965" t="str">
        <f t="shared" ca="1" si="31"/>
        <v/>
      </c>
      <c r="S112" s="4"/>
    </row>
    <row r="113" spans="1:19" s="534" customFormat="1" ht="5.25" hidden="1">
      <c r="A113" s="821" t="s">
        <v>84</v>
      </c>
      <c r="B113" s="1191" t="s">
        <v>328</v>
      </c>
      <c r="C113" s="581"/>
      <c r="D113" s="533"/>
      <c r="E113" s="564"/>
      <c r="F113" s="564"/>
      <c r="G113" s="564"/>
      <c r="H113" s="564"/>
      <c r="I113" s="565"/>
      <c r="J113" s="565"/>
      <c r="K113" s="565"/>
      <c r="L113" s="564"/>
      <c r="M113" s="564"/>
      <c r="N113" s="589"/>
      <c r="O113" s="564"/>
      <c r="P113" s="564"/>
      <c r="Q113" s="564"/>
      <c r="R113" s="564"/>
      <c r="S113" s="533"/>
    </row>
    <row r="114" spans="1:19" ht="15" hidden="1">
      <c r="A114" s="825" t="s">
        <v>84</v>
      </c>
      <c r="B114" s="1189" t="s">
        <v>328</v>
      </c>
      <c r="C114" s="586"/>
      <c r="D114" s="57"/>
      <c r="E114" s="649" t="str">
        <f>"resultaten tov "&amp;$F$5</f>
        <v>resultaten tov variant 1</v>
      </c>
      <c r="F114" s="649"/>
      <c r="G114" s="650" t="s">
        <v>327</v>
      </c>
      <c r="H114" s="31"/>
      <c r="I114" s="552"/>
      <c r="J114" s="552"/>
      <c r="K114" s="552"/>
      <c r="L114" s="31"/>
      <c r="M114" s="651" t="str">
        <f t="shared" ref="M114:R114" ca="1" si="32">IF(M112="","",M112-INDEX($L112:$S112,MATCH($F$5,$L$8:$S$8,0)))</f>
        <v/>
      </c>
      <c r="N114" s="651" t="str">
        <f t="shared" ca="1" si="32"/>
        <v/>
      </c>
      <c r="O114" s="651" t="str">
        <f t="shared" ca="1" si="32"/>
        <v/>
      </c>
      <c r="P114" s="651" t="str">
        <f t="shared" ca="1" si="32"/>
        <v/>
      </c>
      <c r="Q114" s="651" t="str">
        <f t="shared" ca="1" si="32"/>
        <v/>
      </c>
      <c r="R114" s="651" t="str">
        <f t="shared" ca="1" si="32"/>
        <v/>
      </c>
      <c r="S114" s="4"/>
    </row>
    <row r="115" spans="1:19" ht="15" hidden="1">
      <c r="A115" s="820" t="s">
        <v>84</v>
      </c>
      <c r="B115" s="1189" t="s">
        <v>328</v>
      </c>
      <c r="C115" s="586"/>
      <c r="D115" s="57"/>
      <c r="E115" s="652"/>
      <c r="F115" s="652"/>
      <c r="G115" s="650" t="s">
        <v>139</v>
      </c>
      <c r="H115" s="31"/>
      <c r="I115" s="553"/>
      <c r="J115" s="553"/>
      <c r="K115" s="553"/>
      <c r="L115" s="31"/>
      <c r="M115" s="656" t="str">
        <f t="shared" ref="M115:R115" ca="1" si="33">IFERROR(M114/INDEX($L112:$S112,MATCH($F$5,$L$8:$S$8,0)),"")</f>
        <v/>
      </c>
      <c r="N115" s="656" t="str">
        <f t="shared" ca="1" si="33"/>
        <v/>
      </c>
      <c r="O115" s="656" t="str">
        <f t="shared" ca="1" si="33"/>
        <v/>
      </c>
      <c r="P115" s="656" t="str">
        <f t="shared" ca="1" si="33"/>
        <v/>
      </c>
      <c r="Q115" s="656" t="str">
        <f t="shared" ca="1" si="33"/>
        <v/>
      </c>
      <c r="R115" s="656" t="str">
        <f t="shared" ca="1" si="33"/>
        <v/>
      </c>
      <c r="S115" s="4"/>
    </row>
    <row r="116" spans="1:19" ht="15" hidden="1">
      <c r="A116" s="825" t="s">
        <v>84</v>
      </c>
      <c r="B116" s="1189" t="s">
        <v>328</v>
      </c>
      <c r="C116" s="586"/>
      <c r="D116" s="57"/>
      <c r="E116" s="4"/>
      <c r="F116" s="4"/>
      <c r="G116" s="4"/>
      <c r="H116" s="31"/>
      <c r="I116" s="68"/>
      <c r="J116" s="68"/>
      <c r="K116" s="68"/>
      <c r="L116" s="31"/>
      <c r="M116" s="13"/>
      <c r="N116" s="13"/>
      <c r="O116" s="13"/>
      <c r="P116" s="13"/>
      <c r="Q116" s="13"/>
      <c r="R116" s="13"/>
      <c r="S116" s="4"/>
    </row>
    <row r="117" spans="1:19" ht="21" hidden="1">
      <c r="A117" s="820" t="s">
        <v>84</v>
      </c>
      <c r="B117" s="1189" t="s">
        <v>328</v>
      </c>
      <c r="C117" s="586"/>
      <c r="D117" s="57"/>
      <c r="E117" s="175" t="s">
        <v>331</v>
      </c>
      <c r="F117" s="175"/>
      <c r="G117" s="175"/>
      <c r="H117" s="4"/>
      <c r="I117" s="546"/>
      <c r="J117" s="546"/>
      <c r="K117" s="546"/>
      <c r="L117" s="31"/>
      <c r="M117" s="561"/>
      <c r="N117" s="561"/>
      <c r="O117" s="561"/>
      <c r="P117" s="561"/>
      <c r="Q117" s="561"/>
      <c r="R117" s="561"/>
      <c r="S117" s="4"/>
    </row>
    <row r="118" spans="1:19" ht="14.25" hidden="1">
      <c r="A118" s="825" t="s">
        <v>84</v>
      </c>
      <c r="B118" s="1189" t="s">
        <v>328</v>
      </c>
      <c r="C118" s="586"/>
      <c r="D118" s="57"/>
      <c r="E118" s="304" t="str">
        <f>'variant 1'!$E$62</f>
        <v>verwarming</v>
      </c>
      <c r="F118" s="180"/>
      <c r="G118" s="180" t="s">
        <v>327</v>
      </c>
      <c r="H118" s="31"/>
      <c r="I118" s="551">
        <f>'variant 1'!$AK$282</f>
        <v>0</v>
      </c>
      <c r="J118" s="547">
        <f t="shared" ref="J118:J126" ca="1" si="34">ROW(INDIRECT(RIGHT((_xlfn.FORMULATEXT($I118)),LEN(_xlfn.FORMULATEXT($I118))-1)))</f>
        <v>282</v>
      </c>
      <c r="K118" s="547">
        <f t="shared" ref="K118:K126" ca="1" si="35">COLUMN(INDIRECT(RIGHT((_xlfn.FORMULATEXT($I118)),LEN(_xlfn.FORMULATEXT($I118))-1)))</f>
        <v>37</v>
      </c>
      <c r="L118" s="31"/>
      <c r="M118" s="168" t="str">
        <f t="shared" ref="M118:R126" ca="1" si="36">IF(M$20=0,"",IFERROR(IF(INDIRECT(ADDRESS($J118,$K118,,,M$8))=0,"",INDIRECT(ADDRESS($J118,$K118,,,M$8))),""))</f>
        <v/>
      </c>
      <c r="N118" s="168" t="str">
        <f t="shared" ca="1" si="36"/>
        <v/>
      </c>
      <c r="O118" s="168" t="str">
        <f t="shared" ca="1" si="36"/>
        <v/>
      </c>
      <c r="P118" s="168" t="str">
        <f t="shared" ca="1" si="36"/>
        <v/>
      </c>
      <c r="Q118" s="168" t="str">
        <f t="shared" ca="1" si="36"/>
        <v/>
      </c>
      <c r="R118" s="168" t="str">
        <f t="shared" ca="1" si="36"/>
        <v/>
      </c>
      <c r="S118" s="4"/>
    </row>
    <row r="119" spans="1:19" ht="14.25" hidden="1">
      <c r="A119" s="825" t="s">
        <v>84</v>
      </c>
      <c r="B119" s="1189" t="s">
        <v>328</v>
      </c>
      <c r="C119" s="586"/>
      <c r="D119" s="57"/>
      <c r="E119" s="304" t="str">
        <f>'variant 1'!$E$64</f>
        <v>koeling</v>
      </c>
      <c r="F119" s="180"/>
      <c r="G119" s="180" t="s">
        <v>327</v>
      </c>
      <c r="H119" s="31"/>
      <c r="I119" s="551">
        <f>'variant 1'!$AK$283</f>
        <v>0</v>
      </c>
      <c r="J119" s="547">
        <f t="shared" ca="1" si="34"/>
        <v>283</v>
      </c>
      <c r="K119" s="547">
        <f t="shared" ca="1" si="35"/>
        <v>37</v>
      </c>
      <c r="L119" s="31"/>
      <c r="M119" s="168" t="str">
        <f t="shared" ca="1" si="36"/>
        <v/>
      </c>
      <c r="N119" s="168" t="str">
        <f t="shared" ca="1" si="36"/>
        <v/>
      </c>
      <c r="O119" s="168" t="str">
        <f t="shared" ca="1" si="36"/>
        <v/>
      </c>
      <c r="P119" s="168" t="str">
        <f t="shared" ca="1" si="36"/>
        <v/>
      </c>
      <c r="Q119" s="168" t="str">
        <f t="shared" ca="1" si="36"/>
        <v/>
      </c>
      <c r="R119" s="168" t="str">
        <f t="shared" ca="1" si="36"/>
        <v/>
      </c>
      <c r="S119" s="4"/>
    </row>
    <row r="120" spans="1:19" ht="14.25" hidden="1">
      <c r="A120" s="825" t="s">
        <v>84</v>
      </c>
      <c r="B120" s="1189" t="s">
        <v>328</v>
      </c>
      <c r="C120" s="586"/>
      <c r="D120" s="57"/>
      <c r="E120" s="304" t="str">
        <f>'variant 1'!$E$65</f>
        <v>tapwater</v>
      </c>
      <c r="F120" s="180"/>
      <c r="G120" s="180" t="s">
        <v>327</v>
      </c>
      <c r="H120" s="31"/>
      <c r="I120" s="551">
        <f>'variant 1'!$AK$284</f>
        <v>0</v>
      </c>
      <c r="J120" s="547">
        <f t="shared" ca="1" si="34"/>
        <v>284</v>
      </c>
      <c r="K120" s="547">
        <f t="shared" ca="1" si="35"/>
        <v>37</v>
      </c>
      <c r="L120" s="31"/>
      <c r="M120" s="168" t="str">
        <f t="shared" ca="1" si="36"/>
        <v/>
      </c>
      <c r="N120" s="168" t="str">
        <f t="shared" ca="1" si="36"/>
        <v/>
      </c>
      <c r="O120" s="168" t="str">
        <f t="shared" ca="1" si="36"/>
        <v/>
      </c>
      <c r="P120" s="168" t="str">
        <f t="shared" ca="1" si="36"/>
        <v/>
      </c>
      <c r="Q120" s="168" t="str">
        <f t="shared" ca="1" si="36"/>
        <v/>
      </c>
      <c r="R120" s="168" t="str">
        <f t="shared" ca="1" si="36"/>
        <v/>
      </c>
      <c r="S120" s="4"/>
    </row>
    <row r="121" spans="1:19" ht="14.25" hidden="1">
      <c r="A121" s="825" t="s">
        <v>84</v>
      </c>
      <c r="B121" s="1189" t="s">
        <v>328</v>
      </c>
      <c r="C121" s="586"/>
      <c r="D121" s="57"/>
      <c r="E121" s="304" t="str">
        <f>'variant 1'!$E$66</f>
        <v>verlichting</v>
      </c>
      <c r="F121" s="180"/>
      <c r="G121" s="180" t="s">
        <v>327</v>
      </c>
      <c r="H121" s="31"/>
      <c r="I121" s="551">
        <f>'variant 1'!$AK$285</f>
        <v>0</v>
      </c>
      <c r="J121" s="547">
        <f t="shared" ca="1" si="34"/>
        <v>285</v>
      </c>
      <c r="K121" s="547">
        <f t="shared" ca="1" si="35"/>
        <v>37</v>
      </c>
      <c r="L121" s="31"/>
      <c r="M121" s="168" t="str">
        <f t="shared" ca="1" si="36"/>
        <v/>
      </c>
      <c r="N121" s="168" t="str">
        <f t="shared" ca="1" si="36"/>
        <v/>
      </c>
      <c r="O121" s="168" t="str">
        <f t="shared" ca="1" si="36"/>
        <v/>
      </c>
      <c r="P121" s="168" t="str">
        <f t="shared" ca="1" si="36"/>
        <v/>
      </c>
      <c r="Q121" s="168" t="str">
        <f t="shared" ca="1" si="36"/>
        <v/>
      </c>
      <c r="R121" s="168" t="str">
        <f t="shared" ca="1" si="36"/>
        <v/>
      </c>
      <c r="S121" s="4"/>
    </row>
    <row r="122" spans="1:19" ht="14.25" hidden="1">
      <c r="A122" s="825" t="s">
        <v>84</v>
      </c>
      <c r="B122" s="1189" t="s">
        <v>328</v>
      </c>
      <c r="C122" s="586"/>
      <c r="D122" s="57"/>
      <c r="E122" s="304" t="str">
        <f>'variant 1'!$E$67</f>
        <v>ventilatoren</v>
      </c>
      <c r="F122" s="180"/>
      <c r="G122" s="180" t="s">
        <v>327</v>
      </c>
      <c r="H122" s="31"/>
      <c r="I122" s="551">
        <f>'variant 1'!$AK$286</f>
        <v>0</v>
      </c>
      <c r="J122" s="547">
        <f t="shared" ca="1" si="34"/>
        <v>286</v>
      </c>
      <c r="K122" s="547">
        <f t="shared" ca="1" si="35"/>
        <v>37</v>
      </c>
      <c r="L122" s="31"/>
      <c r="M122" s="168" t="str">
        <f t="shared" ca="1" si="36"/>
        <v/>
      </c>
      <c r="N122" s="168" t="str">
        <f t="shared" ca="1" si="36"/>
        <v/>
      </c>
      <c r="O122" s="168" t="str">
        <f t="shared" ca="1" si="36"/>
        <v/>
      </c>
      <c r="P122" s="168" t="str">
        <f t="shared" ca="1" si="36"/>
        <v/>
      </c>
      <c r="Q122" s="168" t="str">
        <f t="shared" ca="1" si="36"/>
        <v/>
      </c>
      <c r="R122" s="168" t="str">
        <f t="shared" ca="1" si="36"/>
        <v/>
      </c>
      <c r="S122" s="4"/>
    </row>
    <row r="123" spans="1:19" ht="14.25" hidden="1">
      <c r="A123" s="825" t="s">
        <v>84</v>
      </c>
      <c r="B123" s="1189" t="s">
        <v>328</v>
      </c>
      <c r="C123" s="586"/>
      <c r="D123" s="57"/>
      <c r="E123" s="304" t="str">
        <f>'variant 1'!$E$69</f>
        <v>overig elektra</v>
      </c>
      <c r="F123" s="180"/>
      <c r="G123" s="180" t="s">
        <v>327</v>
      </c>
      <c r="H123" s="31"/>
      <c r="I123" s="551">
        <f>'variant 1'!$AK$288</f>
        <v>0</v>
      </c>
      <c r="J123" s="547">
        <f t="shared" ca="1" si="34"/>
        <v>288</v>
      </c>
      <c r="K123" s="547">
        <f t="shared" ca="1" si="35"/>
        <v>37</v>
      </c>
      <c r="L123" s="31"/>
      <c r="M123" s="168" t="str">
        <f t="shared" ca="1" si="36"/>
        <v/>
      </c>
      <c r="N123" s="168" t="str">
        <f t="shared" ca="1" si="36"/>
        <v/>
      </c>
      <c r="O123" s="168" t="str">
        <f t="shared" ca="1" si="36"/>
        <v/>
      </c>
      <c r="P123" s="168" t="str">
        <f t="shared" ca="1" si="36"/>
        <v/>
      </c>
      <c r="Q123" s="168" t="str">
        <f t="shared" ca="1" si="36"/>
        <v/>
      </c>
      <c r="R123" s="168" t="str">
        <f t="shared" ca="1" si="36"/>
        <v/>
      </c>
      <c r="S123" s="4"/>
    </row>
    <row r="124" spans="1:19" ht="14.25" hidden="1">
      <c r="A124" s="825" t="s">
        <v>84</v>
      </c>
      <c r="B124" s="1189" t="s">
        <v>328</v>
      </c>
      <c r="C124" s="586"/>
      <c r="D124" s="57"/>
      <c r="E124" s="304" t="str">
        <f>'variant 1'!$E$71</f>
        <v>mobiliteit</v>
      </c>
      <c r="F124" s="180"/>
      <c r="G124" s="180" t="s">
        <v>327</v>
      </c>
      <c r="H124" s="31"/>
      <c r="I124" s="551">
        <f>'variant 1'!$AK$289</f>
        <v>0</v>
      </c>
      <c r="J124" s="547">
        <f t="shared" ca="1" si="34"/>
        <v>289</v>
      </c>
      <c r="K124" s="547">
        <f t="shared" ca="1" si="35"/>
        <v>37</v>
      </c>
      <c r="L124" s="31"/>
      <c r="M124" s="168" t="str">
        <f t="shared" ca="1" si="36"/>
        <v/>
      </c>
      <c r="N124" s="168" t="str">
        <f t="shared" ca="1" si="36"/>
        <v/>
      </c>
      <c r="O124" s="168" t="str">
        <f t="shared" ca="1" si="36"/>
        <v/>
      </c>
      <c r="P124" s="168" t="str">
        <f t="shared" ca="1" si="36"/>
        <v/>
      </c>
      <c r="Q124" s="168" t="str">
        <f t="shared" ca="1" si="36"/>
        <v/>
      </c>
      <c r="R124" s="168" t="str">
        <f t="shared" ca="1" si="36"/>
        <v/>
      </c>
      <c r="S124" s="4"/>
    </row>
    <row r="125" spans="1:19" ht="14.25" hidden="1">
      <c r="A125" s="825" t="s">
        <v>84</v>
      </c>
      <c r="B125" s="1189" t="s">
        <v>328</v>
      </c>
      <c r="C125" s="586"/>
      <c r="D125" s="57"/>
      <c r="E125" s="304" t="str">
        <f>'variant 1'!$E$295</f>
        <v>warmtekracht (vermeden primair)</v>
      </c>
      <c r="F125" s="180"/>
      <c r="G125" s="180" t="s">
        <v>327</v>
      </c>
      <c r="H125" s="31"/>
      <c r="I125" s="551">
        <f>'variant 1'!$AK$295</f>
        <v>0</v>
      </c>
      <c r="J125" s="547">
        <f t="shared" ca="1" si="34"/>
        <v>295</v>
      </c>
      <c r="K125" s="547">
        <f t="shared" ca="1" si="35"/>
        <v>37</v>
      </c>
      <c r="L125" s="31"/>
      <c r="M125" s="168" t="str">
        <f t="shared" ca="1" si="36"/>
        <v/>
      </c>
      <c r="N125" s="168" t="str">
        <f t="shared" ca="1" si="36"/>
        <v/>
      </c>
      <c r="O125" s="168" t="str">
        <f t="shared" ca="1" si="36"/>
        <v/>
      </c>
      <c r="P125" s="168" t="str">
        <f t="shared" ca="1" si="36"/>
        <v/>
      </c>
      <c r="Q125" s="168" t="str">
        <f t="shared" ca="1" si="36"/>
        <v/>
      </c>
      <c r="R125" s="168" t="str">
        <f t="shared" ca="1" si="36"/>
        <v/>
      </c>
      <c r="S125" s="4"/>
    </row>
    <row r="126" spans="1:19" ht="14.25" hidden="1">
      <c r="A126" s="825" t="s">
        <v>84</v>
      </c>
      <c r="B126" s="1189" t="s">
        <v>328</v>
      </c>
      <c r="C126" s="586"/>
      <c r="D126" s="57"/>
      <c r="E126" s="964" t="str">
        <f>'variant 1'!$E$294</f>
        <v>zonnepanelen (vermeden primair)</v>
      </c>
      <c r="F126" s="254"/>
      <c r="G126" s="254" t="s">
        <v>327</v>
      </c>
      <c r="H126" s="31"/>
      <c r="I126" s="551">
        <f>'variant 1'!$AK$294</f>
        <v>0</v>
      </c>
      <c r="J126" s="547">
        <f t="shared" ca="1" si="34"/>
        <v>294</v>
      </c>
      <c r="K126" s="547">
        <f t="shared" ca="1" si="35"/>
        <v>37</v>
      </c>
      <c r="L126" s="31"/>
      <c r="M126" s="541" t="str">
        <f t="shared" ca="1" si="36"/>
        <v/>
      </c>
      <c r="N126" s="541" t="str">
        <f t="shared" ca="1" si="36"/>
        <v/>
      </c>
      <c r="O126" s="541" t="str">
        <f t="shared" ca="1" si="36"/>
        <v/>
      </c>
      <c r="P126" s="541" t="str">
        <f t="shared" ca="1" si="36"/>
        <v/>
      </c>
      <c r="Q126" s="541" t="str">
        <f t="shared" ca="1" si="36"/>
        <v/>
      </c>
      <c r="R126" s="541" t="str">
        <f t="shared" ca="1" si="36"/>
        <v/>
      </c>
      <c r="S126" s="4"/>
    </row>
    <row r="127" spans="1:19" ht="15" hidden="1">
      <c r="A127" s="825" t="s">
        <v>84</v>
      </c>
      <c r="B127" s="1189" t="s">
        <v>328</v>
      </c>
      <c r="C127" s="586"/>
      <c r="D127" s="57"/>
      <c r="E127" s="963" t="s">
        <v>232</v>
      </c>
      <c r="F127" s="963"/>
      <c r="G127" s="963" t="s">
        <v>327</v>
      </c>
      <c r="H127" s="31"/>
      <c r="I127" s="549"/>
      <c r="J127" s="549"/>
      <c r="K127" s="549"/>
      <c r="L127" s="31"/>
      <c r="M127" s="965" t="str">
        <f t="shared" ref="M127:R127" ca="1" si="37">IF(M118="","",SUM(M118:M126))</f>
        <v/>
      </c>
      <c r="N127" s="965" t="str">
        <f t="shared" ca="1" si="37"/>
        <v/>
      </c>
      <c r="O127" s="965" t="str">
        <f t="shared" ca="1" si="37"/>
        <v/>
      </c>
      <c r="P127" s="965" t="str">
        <f t="shared" ca="1" si="37"/>
        <v/>
      </c>
      <c r="Q127" s="965" t="str">
        <f t="shared" ca="1" si="37"/>
        <v/>
      </c>
      <c r="R127" s="965" t="str">
        <f t="shared" ca="1" si="37"/>
        <v/>
      </c>
      <c r="S127" s="4"/>
    </row>
    <row r="128" spans="1:19" s="534" customFormat="1" ht="5.25" hidden="1">
      <c r="A128" s="821" t="s">
        <v>84</v>
      </c>
      <c r="B128" s="1191" t="s">
        <v>328</v>
      </c>
      <c r="C128" s="581"/>
      <c r="D128" s="533"/>
      <c r="E128" s="564"/>
      <c r="F128" s="564"/>
      <c r="G128" s="564"/>
      <c r="H128" s="564"/>
      <c r="I128" s="565"/>
      <c r="J128" s="565"/>
      <c r="K128" s="565"/>
      <c r="L128" s="564"/>
      <c r="M128" s="564"/>
      <c r="N128" s="589"/>
      <c r="O128" s="564"/>
      <c r="P128" s="564"/>
      <c r="Q128" s="564"/>
      <c r="R128" s="564"/>
      <c r="S128" s="533"/>
    </row>
    <row r="129" spans="1:19" ht="15" hidden="1">
      <c r="A129" s="825" t="s">
        <v>84</v>
      </c>
      <c r="B129" s="1189" t="s">
        <v>328</v>
      </c>
      <c r="C129" s="586"/>
      <c r="D129" s="57"/>
      <c r="E129" s="649" t="str">
        <f>"resultaten tov "&amp;$F$5</f>
        <v>resultaten tov variant 1</v>
      </c>
      <c r="F129" s="649"/>
      <c r="G129" s="650" t="s">
        <v>327</v>
      </c>
      <c r="H129" s="31"/>
      <c r="I129" s="552"/>
      <c r="J129" s="552"/>
      <c r="K129" s="552"/>
      <c r="L129" s="31"/>
      <c r="M129" s="651" t="str">
        <f t="shared" ref="M129:R129" ca="1" si="38">IF(M127="","",M127-INDEX($L127:$S127,MATCH($F$5,$L$8:$S$8,0)))</f>
        <v/>
      </c>
      <c r="N129" s="651" t="str">
        <f t="shared" ca="1" si="38"/>
        <v/>
      </c>
      <c r="O129" s="651" t="str">
        <f t="shared" ca="1" si="38"/>
        <v/>
      </c>
      <c r="P129" s="651" t="str">
        <f t="shared" ca="1" si="38"/>
        <v/>
      </c>
      <c r="Q129" s="651" t="str">
        <f t="shared" ca="1" si="38"/>
        <v/>
      </c>
      <c r="R129" s="651" t="str">
        <f t="shared" ca="1" si="38"/>
        <v/>
      </c>
      <c r="S129" s="4"/>
    </row>
    <row r="130" spans="1:19" ht="15" hidden="1">
      <c r="A130" s="820" t="s">
        <v>84</v>
      </c>
      <c r="B130" s="1189" t="s">
        <v>328</v>
      </c>
      <c r="C130" s="586"/>
      <c r="D130" s="57"/>
      <c r="E130" s="652"/>
      <c r="F130" s="652"/>
      <c r="G130" s="650" t="s">
        <v>139</v>
      </c>
      <c r="H130" s="31"/>
      <c r="I130" s="553"/>
      <c r="J130" s="553"/>
      <c r="K130" s="553"/>
      <c r="L130" s="31"/>
      <c r="M130" s="656" t="str">
        <f t="shared" ref="M130:R130" ca="1" si="39">IFERROR(M129/INDEX($L127:$S127,MATCH($F$5,$L$8:$S$8,0)),"")</f>
        <v/>
      </c>
      <c r="N130" s="656" t="str">
        <f t="shared" ca="1" si="39"/>
        <v/>
      </c>
      <c r="O130" s="656" t="str">
        <f t="shared" ca="1" si="39"/>
        <v/>
      </c>
      <c r="P130" s="656" t="str">
        <f t="shared" ca="1" si="39"/>
        <v/>
      </c>
      <c r="Q130" s="656" t="str">
        <f t="shared" ca="1" si="39"/>
        <v/>
      </c>
      <c r="R130" s="656" t="str">
        <f t="shared" ca="1" si="39"/>
        <v/>
      </c>
      <c r="S130" s="4"/>
    </row>
    <row r="131" spans="1:19" ht="15" hidden="1">
      <c r="A131" s="825" t="s">
        <v>84</v>
      </c>
      <c r="B131" s="1189" t="s">
        <v>328</v>
      </c>
      <c r="C131" s="586"/>
      <c r="D131" s="57"/>
      <c r="E131" s="4"/>
      <c r="F131" s="4"/>
      <c r="G131" s="4"/>
      <c r="H131" s="31"/>
      <c r="I131" s="68"/>
      <c r="J131" s="68"/>
      <c r="K131" s="68"/>
      <c r="L131" s="31"/>
      <c r="M131" s="13"/>
      <c r="N131" s="13"/>
      <c r="O131" s="13"/>
      <c r="P131" s="13"/>
      <c r="Q131" s="13"/>
      <c r="R131" s="13"/>
      <c r="S131" s="4"/>
    </row>
    <row r="132" spans="1:19" ht="21" hidden="1">
      <c r="A132" s="820" t="s">
        <v>84</v>
      </c>
      <c r="B132" s="1189" t="s">
        <v>328</v>
      </c>
      <c r="C132" s="586"/>
      <c r="D132" s="57"/>
      <c r="E132" s="175" t="s">
        <v>332</v>
      </c>
      <c r="F132" s="175"/>
      <c r="G132" s="175"/>
      <c r="H132" s="4"/>
      <c r="I132" s="546"/>
      <c r="J132" s="546"/>
      <c r="K132" s="546"/>
      <c r="L132" s="31"/>
      <c r="M132" s="561"/>
      <c r="N132" s="561"/>
      <c r="O132" s="561"/>
      <c r="P132" s="561"/>
      <c r="Q132" s="561"/>
      <c r="R132" s="561"/>
      <c r="S132" s="4"/>
    </row>
    <row r="133" spans="1:19" ht="14.25" hidden="1">
      <c r="A133" s="825" t="s">
        <v>84</v>
      </c>
      <c r="B133" s="1189" t="s">
        <v>328</v>
      </c>
      <c r="C133" s="586"/>
      <c r="D133" s="57"/>
      <c r="E133" s="304" t="str">
        <f>'variant 1'!$E$62</f>
        <v>verwarming</v>
      </c>
      <c r="F133" s="180"/>
      <c r="G133" s="180" t="s">
        <v>327</v>
      </c>
      <c r="H133" s="31"/>
      <c r="I133" s="551">
        <f>'variant 1'!$AW$282</f>
        <v>0</v>
      </c>
      <c r="J133" s="547">
        <f ca="1">ROW(INDIRECT(RIGHT((_xlfn.FORMULATEXT($I133)),LEN(_xlfn.FORMULATEXT($I133))-1)))</f>
        <v>282</v>
      </c>
      <c r="K133" s="547">
        <f t="shared" ref="K133:K141" ca="1" si="40">COLUMN(INDIRECT(RIGHT((_xlfn.FORMULATEXT($I133)),LEN(_xlfn.FORMULATEXT($I133))-1)))</f>
        <v>49</v>
      </c>
      <c r="L133" s="31"/>
      <c r="M133" s="168" t="str">
        <f ca="1">IF(M$21=0,"",IFERROR(IF(INDIRECT(ADDRESS($J133,$K133,,,M$8))=0,"",INDIRECT(ADDRESS($J133,$K133,,,M$8))),""))</f>
        <v/>
      </c>
      <c r="N133" s="168" t="str">
        <f t="shared" ref="M133:R141" ca="1" si="41">IF(N$21=0,"",IFERROR(IF(INDIRECT(ADDRESS($J133,$K133,,,N$8))=0,"",INDIRECT(ADDRESS($J133,$K133,,,N$8))),""))</f>
        <v/>
      </c>
      <c r="O133" s="168" t="str">
        <f t="shared" ca="1" si="41"/>
        <v/>
      </c>
      <c r="P133" s="168" t="str">
        <f t="shared" ca="1" si="41"/>
        <v/>
      </c>
      <c r="Q133" s="168" t="str">
        <f t="shared" ca="1" si="41"/>
        <v/>
      </c>
      <c r="R133" s="168" t="str">
        <f t="shared" ca="1" si="41"/>
        <v/>
      </c>
      <c r="S133" s="4"/>
    </row>
    <row r="134" spans="1:19" ht="14.25" hidden="1">
      <c r="A134" s="825" t="s">
        <v>84</v>
      </c>
      <c r="B134" s="1189" t="s">
        <v>328</v>
      </c>
      <c r="C134" s="586"/>
      <c r="D134" s="57"/>
      <c r="E134" s="304" t="str">
        <f>'variant 1'!$E$64</f>
        <v>koeling</v>
      </c>
      <c r="F134" s="180"/>
      <c r="G134" s="180" t="s">
        <v>327</v>
      </c>
      <c r="H134" s="31"/>
      <c r="I134" s="551">
        <f>'variant 1'!$AW$283</f>
        <v>0</v>
      </c>
      <c r="J134" s="547">
        <f t="shared" ref="J134:J141" ca="1" si="42">ROW(INDIRECT(RIGHT((_xlfn.FORMULATEXT($I134)),LEN(_xlfn.FORMULATEXT($I134))-1)))</f>
        <v>283</v>
      </c>
      <c r="K134" s="547">
        <f t="shared" ca="1" si="40"/>
        <v>49</v>
      </c>
      <c r="L134" s="31"/>
      <c r="M134" s="168" t="str">
        <f t="shared" ca="1" si="41"/>
        <v/>
      </c>
      <c r="N134" s="168" t="str">
        <f t="shared" ca="1" si="41"/>
        <v/>
      </c>
      <c r="O134" s="168" t="str">
        <f t="shared" ca="1" si="41"/>
        <v/>
      </c>
      <c r="P134" s="168" t="str">
        <f t="shared" ca="1" si="41"/>
        <v/>
      </c>
      <c r="Q134" s="168" t="str">
        <f t="shared" ca="1" si="41"/>
        <v/>
      </c>
      <c r="R134" s="168" t="str">
        <f t="shared" ca="1" si="41"/>
        <v/>
      </c>
      <c r="S134" s="4"/>
    </row>
    <row r="135" spans="1:19" ht="14.25" hidden="1">
      <c r="A135" s="825" t="s">
        <v>84</v>
      </c>
      <c r="B135" s="1189" t="s">
        <v>328</v>
      </c>
      <c r="C135" s="586"/>
      <c r="D135" s="57"/>
      <c r="E135" s="304" t="str">
        <f>'variant 1'!$E$65</f>
        <v>tapwater</v>
      </c>
      <c r="F135" s="180"/>
      <c r="G135" s="180" t="s">
        <v>327</v>
      </c>
      <c r="H135" s="31"/>
      <c r="I135" s="551">
        <f>'variant 1'!$AW$284</f>
        <v>0</v>
      </c>
      <c r="J135" s="547">
        <f t="shared" ca="1" si="42"/>
        <v>284</v>
      </c>
      <c r="K135" s="547">
        <f t="shared" ca="1" si="40"/>
        <v>49</v>
      </c>
      <c r="L135" s="31"/>
      <c r="M135" s="168" t="str">
        <f t="shared" ca="1" si="41"/>
        <v/>
      </c>
      <c r="N135" s="168" t="str">
        <f t="shared" ca="1" si="41"/>
        <v/>
      </c>
      <c r="O135" s="168" t="str">
        <f t="shared" ca="1" si="41"/>
        <v/>
      </c>
      <c r="P135" s="168" t="str">
        <f t="shared" ca="1" si="41"/>
        <v/>
      </c>
      <c r="Q135" s="168" t="str">
        <f t="shared" ca="1" si="41"/>
        <v/>
      </c>
      <c r="R135" s="168" t="str">
        <f t="shared" ca="1" si="41"/>
        <v/>
      </c>
      <c r="S135" s="4"/>
    </row>
    <row r="136" spans="1:19" ht="14.25" hidden="1">
      <c r="A136" s="825" t="s">
        <v>84</v>
      </c>
      <c r="B136" s="1189" t="s">
        <v>328</v>
      </c>
      <c r="C136" s="586"/>
      <c r="D136" s="57"/>
      <c r="E136" s="304" t="str">
        <f>'variant 1'!$E$66</f>
        <v>verlichting</v>
      </c>
      <c r="F136" s="180"/>
      <c r="G136" s="180" t="s">
        <v>327</v>
      </c>
      <c r="H136" s="31"/>
      <c r="I136" s="551">
        <f>'variant 1'!$AW$285</f>
        <v>0</v>
      </c>
      <c r="J136" s="547">
        <f t="shared" ca="1" si="42"/>
        <v>285</v>
      </c>
      <c r="K136" s="547">
        <f t="shared" ca="1" si="40"/>
        <v>49</v>
      </c>
      <c r="L136" s="31"/>
      <c r="M136" s="168" t="str">
        <f t="shared" ca="1" si="41"/>
        <v/>
      </c>
      <c r="N136" s="168" t="str">
        <f t="shared" ca="1" si="41"/>
        <v/>
      </c>
      <c r="O136" s="168" t="str">
        <f t="shared" ca="1" si="41"/>
        <v/>
      </c>
      <c r="P136" s="168" t="str">
        <f t="shared" ca="1" si="41"/>
        <v/>
      </c>
      <c r="Q136" s="168" t="str">
        <f t="shared" ca="1" si="41"/>
        <v/>
      </c>
      <c r="R136" s="168" t="str">
        <f t="shared" ca="1" si="41"/>
        <v/>
      </c>
      <c r="S136" s="4"/>
    </row>
    <row r="137" spans="1:19" ht="14.25" hidden="1">
      <c r="A137" s="825" t="s">
        <v>84</v>
      </c>
      <c r="B137" s="1189" t="s">
        <v>328</v>
      </c>
      <c r="C137" s="586"/>
      <c r="D137" s="57"/>
      <c r="E137" s="304" t="str">
        <f>'variant 1'!$E$67</f>
        <v>ventilatoren</v>
      </c>
      <c r="F137" s="180"/>
      <c r="G137" s="180" t="s">
        <v>327</v>
      </c>
      <c r="H137" s="31"/>
      <c r="I137" s="551">
        <f>'variant 1'!$AW$286</f>
        <v>0</v>
      </c>
      <c r="J137" s="547">
        <f t="shared" ca="1" si="42"/>
        <v>286</v>
      </c>
      <c r="K137" s="547">
        <f t="shared" ca="1" si="40"/>
        <v>49</v>
      </c>
      <c r="L137" s="31"/>
      <c r="M137" s="168" t="str">
        <f t="shared" ca="1" si="41"/>
        <v/>
      </c>
      <c r="N137" s="168" t="str">
        <f t="shared" ca="1" si="41"/>
        <v/>
      </c>
      <c r="O137" s="168" t="str">
        <f t="shared" ca="1" si="41"/>
        <v/>
      </c>
      <c r="P137" s="168" t="str">
        <f t="shared" ca="1" si="41"/>
        <v/>
      </c>
      <c r="Q137" s="168" t="str">
        <f t="shared" ca="1" si="41"/>
        <v/>
      </c>
      <c r="R137" s="168" t="str">
        <f t="shared" ca="1" si="41"/>
        <v/>
      </c>
      <c r="S137" s="4"/>
    </row>
    <row r="138" spans="1:19" ht="14.25" hidden="1">
      <c r="A138" s="825" t="s">
        <v>84</v>
      </c>
      <c r="B138" s="1189" t="s">
        <v>328</v>
      </c>
      <c r="C138" s="586"/>
      <c r="D138" s="57"/>
      <c r="E138" s="304" t="str">
        <f>'variant 1'!$E$69</f>
        <v>overig elektra</v>
      </c>
      <c r="F138" s="180"/>
      <c r="G138" s="180" t="s">
        <v>327</v>
      </c>
      <c r="H138" s="31"/>
      <c r="I138" s="551">
        <f>'variant 1'!$AW$288</f>
        <v>0</v>
      </c>
      <c r="J138" s="547">
        <f t="shared" ca="1" si="42"/>
        <v>288</v>
      </c>
      <c r="K138" s="547">
        <f t="shared" ca="1" si="40"/>
        <v>49</v>
      </c>
      <c r="L138" s="31"/>
      <c r="M138" s="168" t="str">
        <f t="shared" ca="1" si="41"/>
        <v/>
      </c>
      <c r="N138" s="168" t="str">
        <f t="shared" ca="1" si="41"/>
        <v/>
      </c>
      <c r="O138" s="168" t="str">
        <f t="shared" ca="1" si="41"/>
        <v/>
      </c>
      <c r="P138" s="168" t="str">
        <f t="shared" ca="1" si="41"/>
        <v/>
      </c>
      <c r="Q138" s="168" t="str">
        <f t="shared" ca="1" si="41"/>
        <v/>
      </c>
      <c r="R138" s="168" t="str">
        <f t="shared" ca="1" si="41"/>
        <v/>
      </c>
      <c r="S138" s="4"/>
    </row>
    <row r="139" spans="1:19" ht="14.25" hidden="1">
      <c r="A139" s="825" t="s">
        <v>84</v>
      </c>
      <c r="B139" s="1189" t="s">
        <v>328</v>
      </c>
      <c r="C139" s="586"/>
      <c r="D139" s="57"/>
      <c r="E139" s="304" t="str">
        <f>'variant 1'!$E$71</f>
        <v>mobiliteit</v>
      </c>
      <c r="F139" s="180"/>
      <c r="G139" s="180" t="s">
        <v>327</v>
      </c>
      <c r="H139" s="31"/>
      <c r="I139" s="551">
        <f>'variant 1'!$AW$289</f>
        <v>0</v>
      </c>
      <c r="J139" s="547">
        <f t="shared" ca="1" si="42"/>
        <v>289</v>
      </c>
      <c r="K139" s="547">
        <f t="shared" ca="1" si="40"/>
        <v>49</v>
      </c>
      <c r="L139" s="31"/>
      <c r="M139" s="168" t="str">
        <f t="shared" ca="1" si="41"/>
        <v/>
      </c>
      <c r="N139" s="168" t="str">
        <f t="shared" ca="1" si="41"/>
        <v/>
      </c>
      <c r="O139" s="168" t="str">
        <f t="shared" ca="1" si="41"/>
        <v/>
      </c>
      <c r="P139" s="168" t="str">
        <f t="shared" ca="1" si="41"/>
        <v/>
      </c>
      <c r="Q139" s="168" t="str">
        <f t="shared" ca="1" si="41"/>
        <v/>
      </c>
      <c r="R139" s="168" t="str">
        <f t="shared" ca="1" si="41"/>
        <v/>
      </c>
      <c r="S139" s="4"/>
    </row>
    <row r="140" spans="1:19" ht="14.25" hidden="1">
      <c r="A140" s="825" t="s">
        <v>84</v>
      </c>
      <c r="B140" s="1189" t="s">
        <v>328</v>
      </c>
      <c r="C140" s="586"/>
      <c r="D140" s="57"/>
      <c r="E140" s="304" t="str">
        <f>'variant 1'!$E$295</f>
        <v>warmtekracht (vermeden primair)</v>
      </c>
      <c r="F140" s="180"/>
      <c r="G140" s="180" t="s">
        <v>327</v>
      </c>
      <c r="H140" s="31"/>
      <c r="I140" s="551">
        <f>'variant 1'!$AW$295</f>
        <v>0</v>
      </c>
      <c r="J140" s="547">
        <f t="shared" ca="1" si="42"/>
        <v>295</v>
      </c>
      <c r="K140" s="547">
        <f t="shared" ca="1" si="40"/>
        <v>49</v>
      </c>
      <c r="L140" s="31"/>
      <c r="M140" s="168" t="str">
        <f t="shared" ca="1" si="41"/>
        <v/>
      </c>
      <c r="N140" s="168" t="str">
        <f t="shared" ca="1" si="41"/>
        <v/>
      </c>
      <c r="O140" s="168" t="str">
        <f t="shared" ca="1" si="41"/>
        <v/>
      </c>
      <c r="P140" s="168" t="str">
        <f t="shared" ca="1" si="41"/>
        <v/>
      </c>
      <c r="Q140" s="168" t="str">
        <f t="shared" ca="1" si="41"/>
        <v/>
      </c>
      <c r="R140" s="168" t="str">
        <f t="shared" ca="1" si="41"/>
        <v/>
      </c>
      <c r="S140" s="4"/>
    </row>
    <row r="141" spans="1:19" ht="14.25" hidden="1">
      <c r="A141" s="825" t="s">
        <v>84</v>
      </c>
      <c r="B141" s="1189" t="s">
        <v>328</v>
      </c>
      <c r="C141" s="586"/>
      <c r="D141" s="57"/>
      <c r="E141" s="964" t="str">
        <f>'variant 1'!$E$294</f>
        <v>zonnepanelen (vermeden primair)</v>
      </c>
      <c r="F141" s="254"/>
      <c r="G141" s="254" t="s">
        <v>327</v>
      </c>
      <c r="H141" s="31"/>
      <c r="I141" s="551">
        <f>'variant 1'!$AW$294</f>
        <v>0</v>
      </c>
      <c r="J141" s="547">
        <f t="shared" ca="1" si="42"/>
        <v>294</v>
      </c>
      <c r="K141" s="547">
        <f t="shared" ca="1" si="40"/>
        <v>49</v>
      </c>
      <c r="L141" s="31"/>
      <c r="M141" s="541" t="str">
        <f t="shared" ca="1" si="41"/>
        <v/>
      </c>
      <c r="N141" s="541" t="str">
        <f t="shared" ca="1" si="41"/>
        <v/>
      </c>
      <c r="O141" s="541" t="str">
        <f t="shared" ca="1" si="41"/>
        <v/>
      </c>
      <c r="P141" s="541" t="str">
        <f t="shared" ca="1" si="41"/>
        <v/>
      </c>
      <c r="Q141" s="541" t="str">
        <f t="shared" ca="1" si="41"/>
        <v/>
      </c>
      <c r="R141" s="541" t="str">
        <f t="shared" ca="1" si="41"/>
        <v/>
      </c>
      <c r="S141" s="4"/>
    </row>
    <row r="142" spans="1:19" ht="15" hidden="1">
      <c r="A142" s="825" t="s">
        <v>84</v>
      </c>
      <c r="B142" s="1189" t="s">
        <v>328</v>
      </c>
      <c r="C142" s="586"/>
      <c r="D142" s="57"/>
      <c r="E142" s="963" t="s">
        <v>232</v>
      </c>
      <c r="F142" s="963"/>
      <c r="G142" s="963" t="s">
        <v>327</v>
      </c>
      <c r="H142" s="31"/>
      <c r="I142" s="549"/>
      <c r="J142" s="549"/>
      <c r="K142" s="549"/>
      <c r="L142" s="31"/>
      <c r="M142" s="965" t="str">
        <f t="shared" ref="M142:R142" ca="1" si="43">IF(M133="","",SUM(M133:M141))</f>
        <v/>
      </c>
      <c r="N142" s="965" t="str">
        <f t="shared" ca="1" si="43"/>
        <v/>
      </c>
      <c r="O142" s="965" t="str">
        <f t="shared" ca="1" si="43"/>
        <v/>
      </c>
      <c r="P142" s="965" t="str">
        <f t="shared" ca="1" si="43"/>
        <v/>
      </c>
      <c r="Q142" s="965" t="str">
        <f t="shared" ca="1" si="43"/>
        <v/>
      </c>
      <c r="R142" s="965" t="str">
        <f t="shared" ca="1" si="43"/>
        <v/>
      </c>
      <c r="S142" s="4"/>
    </row>
    <row r="143" spans="1:19" s="534" customFormat="1" ht="5.25" hidden="1">
      <c r="A143" s="821" t="s">
        <v>84</v>
      </c>
      <c r="B143" s="1191" t="s">
        <v>328</v>
      </c>
      <c r="C143" s="581"/>
      <c r="D143" s="533"/>
      <c r="E143" s="564"/>
      <c r="F143" s="564"/>
      <c r="G143" s="564"/>
      <c r="H143" s="564"/>
      <c r="I143" s="565"/>
      <c r="J143" s="565"/>
      <c r="K143" s="565"/>
      <c r="L143" s="564"/>
      <c r="M143" s="564"/>
      <c r="N143" s="589"/>
      <c r="O143" s="564"/>
      <c r="P143" s="564"/>
      <c r="Q143" s="564"/>
      <c r="R143" s="564"/>
      <c r="S143" s="533"/>
    </row>
    <row r="144" spans="1:19" ht="15" hidden="1">
      <c r="A144" s="825" t="s">
        <v>84</v>
      </c>
      <c r="B144" s="1189" t="s">
        <v>328</v>
      </c>
      <c r="C144" s="586"/>
      <c r="D144" s="57"/>
      <c r="E144" s="649" t="str">
        <f>"resultaten tov "&amp;$F$5</f>
        <v>resultaten tov variant 1</v>
      </c>
      <c r="F144" s="649"/>
      <c r="G144" s="650" t="s">
        <v>327</v>
      </c>
      <c r="H144" s="31"/>
      <c r="I144" s="552"/>
      <c r="J144" s="552"/>
      <c r="K144" s="552"/>
      <c r="L144" s="31"/>
      <c r="M144" s="651" t="str">
        <f t="shared" ref="M144:R144" ca="1" si="44">IF(M142="","",M142-INDEX($L142:$S142,MATCH($F$5,$L$8:$S$8,0)))</f>
        <v/>
      </c>
      <c r="N144" s="651" t="str">
        <f t="shared" ca="1" si="44"/>
        <v/>
      </c>
      <c r="O144" s="651" t="str">
        <f t="shared" ca="1" si="44"/>
        <v/>
      </c>
      <c r="P144" s="651" t="str">
        <f t="shared" ca="1" si="44"/>
        <v/>
      </c>
      <c r="Q144" s="651" t="str">
        <f t="shared" ca="1" si="44"/>
        <v/>
      </c>
      <c r="R144" s="651" t="str">
        <f t="shared" ca="1" si="44"/>
        <v/>
      </c>
      <c r="S144" s="4"/>
    </row>
    <row r="145" spans="1:19" ht="15" hidden="1">
      <c r="A145" s="820" t="s">
        <v>84</v>
      </c>
      <c r="B145" s="1189" t="s">
        <v>328</v>
      </c>
      <c r="C145" s="586"/>
      <c r="D145" s="57"/>
      <c r="E145" s="652"/>
      <c r="F145" s="652"/>
      <c r="G145" s="650" t="s">
        <v>139</v>
      </c>
      <c r="H145" s="31"/>
      <c r="I145" s="553"/>
      <c r="J145" s="553"/>
      <c r="K145" s="553"/>
      <c r="L145" s="31"/>
      <c r="M145" s="656" t="str">
        <f t="shared" ref="M145:R145" ca="1" si="45">IFERROR(M144/INDEX($L142:$S142,MATCH($F$5,$L$8:$S$8,0)),"")</f>
        <v/>
      </c>
      <c r="N145" s="656" t="str">
        <f t="shared" ca="1" si="45"/>
        <v/>
      </c>
      <c r="O145" s="656" t="str">
        <f t="shared" ca="1" si="45"/>
        <v/>
      </c>
      <c r="P145" s="656" t="str">
        <f t="shared" ca="1" si="45"/>
        <v/>
      </c>
      <c r="Q145" s="656" t="str">
        <f t="shared" ca="1" si="45"/>
        <v/>
      </c>
      <c r="R145" s="656" t="str">
        <f t="shared" ca="1" si="45"/>
        <v/>
      </c>
      <c r="S145" s="4"/>
    </row>
    <row r="146" spans="1:19" ht="15" hidden="1">
      <c r="A146" s="820"/>
      <c r="B146" s="1189" t="s">
        <v>1376</v>
      </c>
      <c r="C146" s="586"/>
      <c r="D146" s="57"/>
      <c r="E146" s="10"/>
      <c r="F146" s="4"/>
      <c r="G146" s="4"/>
      <c r="H146" s="31"/>
      <c r="I146" s="68"/>
      <c r="J146" s="68"/>
      <c r="K146" s="68"/>
      <c r="L146" s="31"/>
      <c r="M146" s="4"/>
      <c r="N146" s="4"/>
      <c r="O146" s="4"/>
      <c r="P146" s="4"/>
      <c r="Q146" s="4"/>
      <c r="R146" s="4"/>
      <c r="S146" s="4"/>
    </row>
    <row r="147" spans="1:19" ht="21" hidden="1">
      <c r="A147" s="820"/>
      <c r="B147" s="1189" t="s">
        <v>1376</v>
      </c>
      <c r="C147" s="586"/>
      <c r="D147" s="57"/>
      <c r="E147" s="175" t="s">
        <v>1375</v>
      </c>
      <c r="F147" s="175"/>
      <c r="G147" s="175"/>
      <c r="H147" s="4"/>
      <c r="I147" s="546"/>
      <c r="J147" s="546"/>
      <c r="K147" s="546"/>
      <c r="L147" s="31"/>
      <c r="M147" s="561"/>
      <c r="N147" s="561"/>
      <c r="O147" s="561"/>
      <c r="P147" s="561"/>
      <c r="Q147" s="561"/>
      <c r="R147" s="561"/>
      <c r="S147" s="4"/>
    </row>
    <row r="148" spans="1:19" ht="14.25" hidden="1">
      <c r="A148" s="820"/>
      <c r="B148" s="1189" t="s">
        <v>1376</v>
      </c>
      <c r="C148" s="586"/>
      <c r="D148" s="57"/>
      <c r="E148" s="550" t="str">
        <f>"locatie 1"&amp;IF('woningen|utiliteit'!$L$17="","",": "&amp;'woningen|utiliteit'!$L$17)</f>
        <v>locatie 1</v>
      </c>
      <c r="F148" s="149"/>
      <c r="G148" s="180" t="s">
        <v>1377</v>
      </c>
      <c r="H148" s="31"/>
      <c r="I148" s="551" t="e">
        <f>'variant 1'!$M$374</f>
        <v>#DIV/0!</v>
      </c>
      <c r="J148" s="547">
        <f ca="1">ROW(INDIRECT(RIGHT((_xlfn.FORMULATEXT($I148)),LEN(_xlfn.FORMULATEXT($I148))-1)))</f>
        <v>374</v>
      </c>
      <c r="K148" s="547">
        <f ca="1">COLUMN(INDIRECT(RIGHT((_xlfn.FORMULATEXT($I148)),LEN(_xlfn.FORMULATEXT($I148))-1)))</f>
        <v>13</v>
      </c>
      <c r="L148" s="31"/>
      <c r="M148" s="168" t="str">
        <f ca="1">IF(M18=0,"",IFERROR(IF(INDIRECT(ADDRESS($J148,$K148,,,M$8))=0,"",INDIRECT(ADDRESS($J148,$K148,,,M$8))),""))</f>
        <v/>
      </c>
      <c r="N148" s="168" t="str">
        <f t="shared" ref="M148:R151" ca="1" si="46">IF(N89=0,"",IFERROR(IF(INDIRECT(ADDRESS($J148,$K148,,,N$8))=0,"",INDIRECT(ADDRESS($J148,$K148,,,N$8))),""))</f>
        <v/>
      </c>
      <c r="O148" s="168" t="str">
        <f t="shared" ca="1" si="46"/>
        <v/>
      </c>
      <c r="P148" s="168" t="str">
        <f t="shared" ca="1" si="46"/>
        <v/>
      </c>
      <c r="Q148" s="168" t="str">
        <f t="shared" ca="1" si="46"/>
        <v/>
      </c>
      <c r="R148" s="168" t="str">
        <f t="shared" ca="1" si="46"/>
        <v/>
      </c>
      <c r="S148" s="4"/>
    </row>
    <row r="149" spans="1:19" ht="14.25" hidden="1">
      <c r="A149" s="820"/>
      <c r="B149" s="1189" t="s">
        <v>1376</v>
      </c>
      <c r="C149" s="586"/>
      <c r="D149" s="57"/>
      <c r="E149" s="550" t="str">
        <f>"locatie 2"&amp;IF('woningen|utiliteit'!$L$33="","",": "&amp;'woningen|utiliteit'!$L$33)</f>
        <v>locatie 2</v>
      </c>
      <c r="F149" s="180"/>
      <c r="G149" s="180" t="s">
        <v>1377</v>
      </c>
      <c r="H149" s="31"/>
      <c r="I149" s="551" t="e">
        <f>'variant 1'!$Y$374</f>
        <v>#DIV/0!</v>
      </c>
      <c r="J149" s="547">
        <f ca="1">ROW(INDIRECT(RIGHT((_xlfn.FORMULATEXT($I149)),LEN(_xlfn.FORMULATEXT($I149))-1)))</f>
        <v>374</v>
      </c>
      <c r="K149" s="547">
        <f ca="1">COLUMN(INDIRECT(RIGHT((_xlfn.FORMULATEXT($I149)),LEN(_xlfn.FORMULATEXT($I149))-1)))</f>
        <v>25</v>
      </c>
      <c r="L149" s="31"/>
      <c r="M149" s="168" t="str">
        <f t="shared" ca="1" si="46"/>
        <v/>
      </c>
      <c r="N149" s="168" t="str">
        <f t="shared" ca="1" si="46"/>
        <v/>
      </c>
      <c r="O149" s="168" t="str">
        <f t="shared" ca="1" si="46"/>
        <v/>
      </c>
      <c r="P149" s="168" t="str">
        <f t="shared" ca="1" si="46"/>
        <v/>
      </c>
      <c r="Q149" s="168" t="str">
        <f t="shared" ca="1" si="46"/>
        <v/>
      </c>
      <c r="R149" s="168" t="str">
        <f t="shared" ca="1" si="46"/>
        <v/>
      </c>
      <c r="S149" s="4"/>
    </row>
    <row r="150" spans="1:19" ht="14.25" hidden="1">
      <c r="A150" s="820"/>
      <c r="B150" s="1189" t="s">
        <v>1376</v>
      </c>
      <c r="C150" s="586"/>
      <c r="D150" s="57"/>
      <c r="E150" s="550" t="str">
        <f>"locatie 3"&amp;IF('woningen|utiliteit'!$L$49="","",": "&amp;'woningen|utiliteit'!$L$49)</f>
        <v>locatie 3</v>
      </c>
      <c r="F150" s="180"/>
      <c r="G150" s="180" t="s">
        <v>1377</v>
      </c>
      <c r="H150" s="31"/>
      <c r="I150" s="551" t="e">
        <f>'variant 1'!$AK$374</f>
        <v>#DIV/0!</v>
      </c>
      <c r="J150" s="547">
        <f ca="1">ROW(INDIRECT(RIGHT((_xlfn.FORMULATEXT($I150)),LEN(_xlfn.FORMULATEXT($I150))-1)))</f>
        <v>374</v>
      </c>
      <c r="K150" s="547">
        <f ca="1">COLUMN(INDIRECT(RIGHT((_xlfn.FORMULATEXT($I150)),LEN(_xlfn.FORMULATEXT($I150))-1)))</f>
        <v>37</v>
      </c>
      <c r="L150" s="31"/>
      <c r="M150" s="168" t="str">
        <f t="shared" ca="1" si="46"/>
        <v/>
      </c>
      <c r="N150" s="168" t="str">
        <f t="shared" ca="1" si="46"/>
        <v/>
      </c>
      <c r="O150" s="168" t="str">
        <f t="shared" ca="1" si="46"/>
        <v/>
      </c>
      <c r="P150" s="168" t="str">
        <f t="shared" ca="1" si="46"/>
        <v/>
      </c>
      <c r="Q150" s="168" t="str">
        <f t="shared" ca="1" si="46"/>
        <v/>
      </c>
      <c r="R150" s="168" t="str">
        <f t="shared" ca="1" si="46"/>
        <v/>
      </c>
      <c r="S150" s="4"/>
    </row>
    <row r="151" spans="1:19" ht="14.25" hidden="1">
      <c r="A151" s="820"/>
      <c r="B151" s="1189" t="s">
        <v>1376</v>
      </c>
      <c r="C151" s="586"/>
      <c r="D151" s="57"/>
      <c r="E151" s="959" t="str">
        <f>"locatie 4"&amp;IF('woningen|utiliteit'!$L$65="","",": "&amp;'woningen|utiliteit'!$L$65)</f>
        <v>locatie 4</v>
      </c>
      <c r="F151" s="618"/>
      <c r="G151" s="254" t="s">
        <v>1377</v>
      </c>
      <c r="H151" s="31"/>
      <c r="I151" s="551" t="e">
        <f>'variant 1'!$AW$374</f>
        <v>#DIV/0!</v>
      </c>
      <c r="J151" s="547">
        <f ca="1">ROW(INDIRECT(RIGHT((_xlfn.FORMULATEXT($I151)),LEN(_xlfn.FORMULATEXT($I151))-1)))</f>
        <v>374</v>
      </c>
      <c r="K151" s="547">
        <f ca="1">COLUMN(INDIRECT(RIGHT((_xlfn.FORMULATEXT($I151)),LEN(_xlfn.FORMULATEXT($I151))-1)))</f>
        <v>49</v>
      </c>
      <c r="L151" s="31"/>
      <c r="M151" s="541" t="str">
        <f t="shared" ca="1" si="46"/>
        <v/>
      </c>
      <c r="N151" s="541" t="str">
        <f t="shared" ca="1" si="46"/>
        <v/>
      </c>
      <c r="O151" s="541" t="str">
        <f t="shared" ca="1" si="46"/>
        <v/>
      </c>
      <c r="P151" s="541" t="str">
        <f t="shared" ca="1" si="46"/>
        <v/>
      </c>
      <c r="Q151" s="541" t="str">
        <f t="shared" ca="1" si="46"/>
        <v/>
      </c>
      <c r="R151" s="541" t="str">
        <f t="shared" ca="1" si="46"/>
        <v/>
      </c>
      <c r="S151" s="4"/>
    </row>
    <row r="152" spans="1:19" ht="15" hidden="1">
      <c r="A152" s="820"/>
      <c r="B152" s="1189" t="s">
        <v>1376</v>
      </c>
      <c r="C152" s="586"/>
      <c r="D152" s="57"/>
      <c r="E152" s="963" t="s">
        <v>325</v>
      </c>
      <c r="F152" s="963"/>
      <c r="G152" s="963" t="s">
        <v>1377</v>
      </c>
      <c r="H152" s="31"/>
      <c r="I152" s="68"/>
      <c r="J152" s="68"/>
      <c r="K152" s="68"/>
      <c r="L152" s="31"/>
      <c r="M152" s="965">
        <f t="shared" ref="M152:R152" ca="1" si="47">SUM(M148:M151)</f>
        <v>0</v>
      </c>
      <c r="N152" s="965">
        <f t="shared" ca="1" si="47"/>
        <v>0</v>
      </c>
      <c r="O152" s="965">
        <f t="shared" ca="1" si="47"/>
        <v>0</v>
      </c>
      <c r="P152" s="965">
        <f t="shared" ca="1" si="47"/>
        <v>0</v>
      </c>
      <c r="Q152" s="965">
        <f t="shared" ca="1" si="47"/>
        <v>0</v>
      </c>
      <c r="R152" s="965">
        <f t="shared" ca="1" si="47"/>
        <v>0</v>
      </c>
      <c r="S152" s="4"/>
    </row>
    <row r="153" spans="1:19" ht="12.75" hidden="1">
      <c r="A153" s="820"/>
      <c r="B153" s="1189" t="s">
        <v>1376</v>
      </c>
      <c r="C153" s="581"/>
      <c r="D153" s="533"/>
      <c r="E153" s="564"/>
      <c r="F153" s="564"/>
      <c r="G153" s="564"/>
      <c r="H153" s="564"/>
      <c r="I153" s="565"/>
      <c r="J153" s="565"/>
      <c r="K153" s="565"/>
      <c r="L153" s="564"/>
      <c r="M153" s="564"/>
      <c r="N153" s="589"/>
      <c r="O153" s="564"/>
      <c r="P153" s="564"/>
      <c r="Q153" s="564"/>
      <c r="R153" s="564"/>
      <c r="S153" s="4"/>
    </row>
    <row r="154" spans="1:19" ht="15" hidden="1">
      <c r="A154" s="820"/>
      <c r="B154" s="1189" t="s">
        <v>1376</v>
      </c>
      <c r="C154" s="586"/>
      <c r="D154" s="57"/>
      <c r="E154" s="649" t="str">
        <f>"resultaten tov "&amp;$F$5</f>
        <v>resultaten tov variant 1</v>
      </c>
      <c r="F154" s="649"/>
      <c r="G154" s="650" t="s">
        <v>327</v>
      </c>
      <c r="H154" s="31"/>
      <c r="I154" s="552"/>
      <c r="J154" s="552"/>
      <c r="K154" s="552"/>
      <c r="L154" s="31"/>
      <c r="M154" s="651">
        <f t="shared" ref="M154:R154" ca="1" si="48">IF(M152="","",M152-INDEX($L152:$S152,MATCH($F$5,$L$8:$S$8,0)))</f>
        <v>0</v>
      </c>
      <c r="N154" s="651">
        <f t="shared" ca="1" si="48"/>
        <v>0</v>
      </c>
      <c r="O154" s="651">
        <f t="shared" ca="1" si="48"/>
        <v>0</v>
      </c>
      <c r="P154" s="651">
        <f t="shared" ca="1" si="48"/>
        <v>0</v>
      </c>
      <c r="Q154" s="651">
        <f t="shared" ca="1" si="48"/>
        <v>0</v>
      </c>
      <c r="R154" s="651">
        <f t="shared" ca="1" si="48"/>
        <v>0</v>
      </c>
      <c r="S154" s="4"/>
    </row>
    <row r="155" spans="1:19" ht="15" hidden="1">
      <c r="A155" s="820"/>
      <c r="B155" s="1189" t="s">
        <v>1376</v>
      </c>
      <c r="C155" s="586"/>
      <c r="D155" s="57"/>
      <c r="E155" s="652"/>
      <c r="F155" s="652"/>
      <c r="G155" s="650" t="s">
        <v>139</v>
      </c>
      <c r="H155" s="31"/>
      <c r="I155" s="553"/>
      <c r="J155" s="553"/>
      <c r="K155" s="553"/>
      <c r="L155" s="31"/>
      <c r="M155" s="656" t="str">
        <f t="shared" ref="M155:R155" ca="1" si="49">IFERROR(M154/INDEX($L152:$S152,MATCH($F$5,$L$8:$S$8,0)),"")</f>
        <v/>
      </c>
      <c r="N155" s="656" t="str">
        <f t="shared" ca="1" si="49"/>
        <v/>
      </c>
      <c r="O155" s="656" t="str">
        <f t="shared" ca="1" si="49"/>
        <v/>
      </c>
      <c r="P155" s="656" t="str">
        <f t="shared" ca="1" si="49"/>
        <v/>
      </c>
      <c r="Q155" s="656" t="str">
        <f t="shared" ca="1" si="49"/>
        <v/>
      </c>
      <c r="R155" s="656" t="str">
        <f t="shared" ca="1" si="49"/>
        <v/>
      </c>
      <c r="S155" s="4"/>
    </row>
    <row r="156" spans="1:19" ht="15" hidden="1">
      <c r="A156" s="820"/>
      <c r="B156" s="1189" t="s">
        <v>1376</v>
      </c>
      <c r="C156" s="586"/>
      <c r="D156" s="57"/>
      <c r="E156" s="10"/>
      <c r="F156" s="4"/>
      <c r="G156" s="4"/>
      <c r="H156" s="31"/>
      <c r="I156" s="68"/>
      <c r="J156" s="68"/>
      <c r="K156" s="68"/>
      <c r="L156" s="31"/>
      <c r="M156" s="13"/>
      <c r="N156" s="13"/>
      <c r="O156" s="13"/>
      <c r="P156" s="13"/>
      <c r="Q156" s="13"/>
      <c r="R156" s="13"/>
      <c r="S156" s="4"/>
    </row>
    <row r="157" spans="1:19" ht="21" hidden="1">
      <c r="A157" s="820"/>
      <c r="B157" s="1189" t="s">
        <v>1376</v>
      </c>
      <c r="C157" s="586"/>
      <c r="D157" s="57"/>
      <c r="E157" s="175" t="s">
        <v>1368</v>
      </c>
      <c r="F157" s="175"/>
      <c r="G157" s="175"/>
      <c r="H157" s="4"/>
      <c r="I157" s="546"/>
      <c r="J157" s="546"/>
      <c r="K157" s="546"/>
      <c r="L157" s="31"/>
      <c r="M157" s="561"/>
      <c r="N157" s="561"/>
      <c r="O157" s="561"/>
      <c r="P157" s="561"/>
      <c r="Q157" s="561"/>
      <c r="R157" s="561"/>
      <c r="S157" s="4"/>
    </row>
    <row r="158" spans="1:19" ht="14.25" hidden="1">
      <c r="A158" s="820"/>
      <c r="B158" s="1189" t="s">
        <v>1376</v>
      </c>
      <c r="C158" s="586"/>
      <c r="D158" s="57"/>
      <c r="E158" s="304" t="str">
        <f>'variant 1'!$E$62</f>
        <v>verwarming</v>
      </c>
      <c r="F158" s="180"/>
      <c r="G158" s="180" t="s">
        <v>1377</v>
      </c>
      <c r="H158" s="31"/>
      <c r="I158" s="551">
        <f>'variant 1'!$M$365</f>
        <v>0</v>
      </c>
      <c r="J158" s="547">
        <f t="shared" ref="J158:J163" ca="1" si="50">ROW(INDIRECT(RIGHT((_xlfn.FORMULATEXT($I158)),LEN(_xlfn.FORMULATEXT($I158))-1)))</f>
        <v>365</v>
      </c>
      <c r="K158" s="547">
        <f t="shared" ref="K158:K163" ca="1" si="51">COLUMN(INDIRECT(RIGHT((_xlfn.FORMULATEXT($I158)),LEN(_xlfn.FORMULATEXT($I158))-1)))</f>
        <v>13</v>
      </c>
      <c r="L158" s="31"/>
      <c r="M158" s="168" t="str">
        <f t="shared" ref="M158:R163" ca="1" si="52">IF(M$18=0,"",IFERROR(IF(INDIRECT(ADDRESS($J158,$K158,,,M$8))=0,"",INDIRECT(ADDRESS($J158,$K158,,,M$8))),""))</f>
        <v/>
      </c>
      <c r="N158" s="168" t="str">
        <f t="shared" ca="1" si="52"/>
        <v/>
      </c>
      <c r="O158" s="168" t="str">
        <f t="shared" ca="1" si="52"/>
        <v/>
      </c>
      <c r="P158" s="168" t="str">
        <f t="shared" ca="1" si="52"/>
        <v/>
      </c>
      <c r="Q158" s="168" t="str">
        <f t="shared" ca="1" si="52"/>
        <v/>
      </c>
      <c r="R158" s="168" t="str">
        <f t="shared" ca="1" si="52"/>
        <v/>
      </c>
      <c r="S158" s="4"/>
    </row>
    <row r="159" spans="1:19" ht="14.25" hidden="1">
      <c r="A159" s="820"/>
      <c r="B159" s="1189" t="s">
        <v>1376</v>
      </c>
      <c r="C159" s="586"/>
      <c r="D159" s="57"/>
      <c r="E159" s="304" t="str">
        <f>'variant 1'!$E$64</f>
        <v>koeling</v>
      </c>
      <c r="F159" s="180"/>
      <c r="G159" s="180" t="s">
        <v>1377</v>
      </c>
      <c r="H159" s="31"/>
      <c r="I159" s="551">
        <f>'variant 1'!$M$366</f>
        <v>0</v>
      </c>
      <c r="J159" s="547">
        <f t="shared" ca="1" si="50"/>
        <v>366</v>
      </c>
      <c r="K159" s="547">
        <f t="shared" ca="1" si="51"/>
        <v>13</v>
      </c>
      <c r="L159" s="31"/>
      <c r="M159" s="168" t="str">
        <f t="shared" ca="1" si="52"/>
        <v/>
      </c>
      <c r="N159" s="168" t="str">
        <f t="shared" ca="1" si="52"/>
        <v/>
      </c>
      <c r="O159" s="168" t="str">
        <f t="shared" ca="1" si="52"/>
        <v/>
      </c>
      <c r="P159" s="168" t="str">
        <f t="shared" ca="1" si="52"/>
        <v/>
      </c>
      <c r="Q159" s="168" t="str">
        <f t="shared" ca="1" si="52"/>
        <v/>
      </c>
      <c r="R159" s="168" t="str">
        <f t="shared" ca="1" si="52"/>
        <v/>
      </c>
      <c r="S159" s="4"/>
    </row>
    <row r="160" spans="1:19" ht="14.25" hidden="1">
      <c r="A160" s="820"/>
      <c r="B160" s="1189" t="s">
        <v>1376</v>
      </c>
      <c r="C160" s="586"/>
      <c r="D160" s="57"/>
      <c r="E160" s="304" t="str">
        <f>'variant 1'!$E$65</f>
        <v>tapwater</v>
      </c>
      <c r="F160" s="180"/>
      <c r="G160" s="180" t="s">
        <v>1377</v>
      </c>
      <c r="H160" s="31"/>
      <c r="I160" s="551">
        <f>'variant 1'!$M$367</f>
        <v>0</v>
      </c>
      <c r="J160" s="547">
        <f t="shared" ca="1" si="50"/>
        <v>367</v>
      </c>
      <c r="K160" s="547">
        <f t="shared" ca="1" si="51"/>
        <v>13</v>
      </c>
      <c r="L160" s="31"/>
      <c r="M160" s="168" t="str">
        <f t="shared" ca="1" si="52"/>
        <v/>
      </c>
      <c r="N160" s="168" t="str">
        <f t="shared" ca="1" si="52"/>
        <v/>
      </c>
      <c r="O160" s="168" t="str">
        <f t="shared" ca="1" si="52"/>
        <v/>
      </c>
      <c r="P160" s="168" t="str">
        <f t="shared" ca="1" si="52"/>
        <v/>
      </c>
      <c r="Q160" s="168" t="str">
        <f t="shared" ca="1" si="52"/>
        <v/>
      </c>
      <c r="R160" s="168" t="str">
        <f t="shared" ca="1" si="52"/>
        <v/>
      </c>
      <c r="S160" s="4"/>
    </row>
    <row r="161" spans="1:19" ht="14.25" hidden="1">
      <c r="A161" s="820"/>
      <c r="B161" s="1189" t="s">
        <v>1376</v>
      </c>
      <c r="C161" s="586"/>
      <c r="D161" s="57"/>
      <c r="E161" s="304" t="str">
        <f>'variant 1'!$E$66</f>
        <v>verlichting</v>
      </c>
      <c r="F161" s="180"/>
      <c r="G161" s="180" t="s">
        <v>1377</v>
      </c>
      <c r="H161" s="31"/>
      <c r="I161" s="551">
        <f>'variant 1'!$M$368</f>
        <v>0</v>
      </c>
      <c r="J161" s="547">
        <f t="shared" ca="1" si="50"/>
        <v>368</v>
      </c>
      <c r="K161" s="547">
        <f t="shared" ca="1" si="51"/>
        <v>13</v>
      </c>
      <c r="L161" s="31"/>
      <c r="M161" s="168" t="str">
        <f t="shared" ca="1" si="52"/>
        <v/>
      </c>
      <c r="N161" s="168" t="str">
        <f t="shared" ca="1" si="52"/>
        <v/>
      </c>
      <c r="O161" s="168" t="str">
        <f t="shared" ca="1" si="52"/>
        <v/>
      </c>
      <c r="P161" s="168" t="str">
        <f t="shared" ca="1" si="52"/>
        <v/>
      </c>
      <c r="Q161" s="168" t="str">
        <f t="shared" ca="1" si="52"/>
        <v/>
      </c>
      <c r="R161" s="168" t="str">
        <f t="shared" ca="1" si="52"/>
        <v/>
      </c>
      <c r="S161" s="4"/>
    </row>
    <row r="162" spans="1:19" ht="14.25" hidden="1">
      <c r="A162" s="820"/>
      <c r="B162" s="1189" t="s">
        <v>1376</v>
      </c>
      <c r="C162" s="586"/>
      <c r="D162" s="57"/>
      <c r="E162" s="304" t="str">
        <f>'variant 1'!$E$67</f>
        <v>ventilatoren</v>
      </c>
      <c r="F162" s="180"/>
      <c r="G162" s="180" t="s">
        <v>1377</v>
      </c>
      <c r="H162" s="31"/>
      <c r="I162" s="551">
        <f>'variant 1'!$M$369</f>
        <v>0</v>
      </c>
      <c r="J162" s="547">
        <f t="shared" ca="1" si="50"/>
        <v>369</v>
      </c>
      <c r="K162" s="547">
        <f t="shared" ca="1" si="51"/>
        <v>13</v>
      </c>
      <c r="L162" s="31"/>
      <c r="M162" s="168" t="str">
        <f t="shared" ca="1" si="52"/>
        <v/>
      </c>
      <c r="N162" s="168" t="str">
        <f t="shared" ca="1" si="52"/>
        <v/>
      </c>
      <c r="O162" s="168" t="str">
        <f t="shared" ca="1" si="52"/>
        <v/>
      </c>
      <c r="P162" s="168" t="str">
        <f t="shared" ca="1" si="52"/>
        <v/>
      </c>
      <c r="Q162" s="168" t="str">
        <f t="shared" ca="1" si="52"/>
        <v/>
      </c>
      <c r="R162" s="168" t="str">
        <f t="shared" ca="1" si="52"/>
        <v/>
      </c>
      <c r="S162" s="4"/>
    </row>
    <row r="163" spans="1:19" ht="14.25" hidden="1">
      <c r="A163" s="820"/>
      <c r="B163" s="1189" t="s">
        <v>1376</v>
      </c>
      <c r="C163" s="586"/>
      <c r="D163" s="57"/>
      <c r="E163" s="964" t="str">
        <f>'variant 1'!$E$294</f>
        <v>zonnepanelen (vermeden primair)</v>
      </c>
      <c r="F163" s="254"/>
      <c r="G163" s="180" t="s">
        <v>1377</v>
      </c>
      <c r="H163" s="31"/>
      <c r="I163" s="969" t="e">
        <f>'variant 1'!$M$372</f>
        <v>#DIV/0!</v>
      </c>
      <c r="J163" s="547">
        <f t="shared" ca="1" si="50"/>
        <v>372</v>
      </c>
      <c r="K163" s="547">
        <f t="shared" ca="1" si="51"/>
        <v>13</v>
      </c>
      <c r="L163" s="31"/>
      <c r="M163" s="541" t="str">
        <f ca="1">IF(M$18=0,"",IFERROR(IF(INDIRECT(ADDRESS($J163,$K163,,,M$8))=0,"",INDIRECT(ADDRESS($J163,$K163,,,M$8))),""))</f>
        <v/>
      </c>
      <c r="N163" s="541" t="str">
        <f t="shared" ca="1" si="52"/>
        <v/>
      </c>
      <c r="O163" s="541" t="str">
        <f t="shared" ca="1" si="52"/>
        <v/>
      </c>
      <c r="P163" s="541" t="str">
        <f t="shared" ca="1" si="52"/>
        <v/>
      </c>
      <c r="Q163" s="541" t="str">
        <f t="shared" ca="1" si="52"/>
        <v/>
      </c>
      <c r="R163" s="541" t="str">
        <f t="shared" ca="1" si="52"/>
        <v/>
      </c>
      <c r="S163" s="4"/>
    </row>
    <row r="164" spans="1:19" ht="15" hidden="1">
      <c r="A164" s="820"/>
      <c r="B164" s="1189" t="s">
        <v>1376</v>
      </c>
      <c r="C164" s="586"/>
      <c r="D164" s="57"/>
      <c r="E164" s="963" t="s">
        <v>232</v>
      </c>
      <c r="F164" s="963"/>
      <c r="G164" s="963" t="s">
        <v>1377</v>
      </c>
      <c r="H164" s="31"/>
      <c r="I164" s="549"/>
      <c r="J164" s="549"/>
      <c r="K164" s="549"/>
      <c r="L164" s="31"/>
      <c r="M164" s="965" t="str">
        <f t="shared" ref="M164:R164" ca="1" si="53">IF(M158="","",SUM(M158:M163))</f>
        <v/>
      </c>
      <c r="N164" s="965" t="str">
        <f t="shared" ca="1" si="53"/>
        <v/>
      </c>
      <c r="O164" s="965" t="str">
        <f t="shared" ca="1" si="53"/>
        <v/>
      </c>
      <c r="P164" s="965" t="str">
        <f t="shared" ca="1" si="53"/>
        <v/>
      </c>
      <c r="Q164" s="965" t="str">
        <f t="shared" ca="1" si="53"/>
        <v/>
      </c>
      <c r="R164" s="965" t="str">
        <f t="shared" ca="1" si="53"/>
        <v/>
      </c>
      <c r="S164" s="4"/>
    </row>
    <row r="165" spans="1:19" ht="12.75" hidden="1">
      <c r="A165" s="820"/>
      <c r="B165" s="1189" t="s">
        <v>1376</v>
      </c>
      <c r="C165" s="581"/>
      <c r="D165" s="533"/>
      <c r="E165" s="564"/>
      <c r="F165" s="564"/>
      <c r="G165" s="564"/>
      <c r="H165" s="564"/>
      <c r="I165" s="565"/>
      <c r="J165" s="565"/>
      <c r="K165" s="565"/>
      <c r="L165" s="564"/>
      <c r="M165" s="564"/>
      <c r="N165" s="589"/>
      <c r="O165" s="564"/>
      <c r="P165" s="564"/>
      <c r="Q165" s="564"/>
      <c r="R165" s="564"/>
      <c r="S165" s="4"/>
    </row>
    <row r="166" spans="1:19" ht="15" hidden="1">
      <c r="A166" s="820"/>
      <c r="B166" s="1189" t="s">
        <v>1376</v>
      </c>
      <c r="C166" s="586"/>
      <c r="D166" s="57"/>
      <c r="E166" s="649" t="str">
        <f>"resultaten tov "&amp;$F$5</f>
        <v>resultaten tov variant 1</v>
      </c>
      <c r="F166" s="649"/>
      <c r="G166" s="650" t="s">
        <v>327</v>
      </c>
      <c r="H166" s="31"/>
      <c r="I166" s="552"/>
      <c r="J166" s="552"/>
      <c r="K166" s="552"/>
      <c r="L166" s="31"/>
      <c r="M166" s="651" t="str">
        <f t="shared" ref="M166:R166" ca="1" si="54">IF(M164="","",M164-INDEX($L164:$S164,MATCH($F$5,$L$8:$S$8,0)))</f>
        <v/>
      </c>
      <c r="N166" s="651" t="str">
        <f t="shared" ca="1" si="54"/>
        <v/>
      </c>
      <c r="O166" s="651" t="str">
        <f t="shared" ca="1" si="54"/>
        <v/>
      </c>
      <c r="P166" s="651" t="str">
        <f t="shared" ca="1" si="54"/>
        <v/>
      </c>
      <c r="Q166" s="651" t="str">
        <f t="shared" ca="1" si="54"/>
        <v/>
      </c>
      <c r="R166" s="651" t="str">
        <f t="shared" ca="1" si="54"/>
        <v/>
      </c>
      <c r="S166" s="4"/>
    </row>
    <row r="167" spans="1:19" ht="15" hidden="1">
      <c r="A167" s="820"/>
      <c r="B167" s="1189" t="s">
        <v>1376</v>
      </c>
      <c r="C167" s="586"/>
      <c r="D167" s="57"/>
      <c r="E167" s="652"/>
      <c r="F167" s="652"/>
      <c r="G167" s="650" t="s">
        <v>139</v>
      </c>
      <c r="H167" s="31"/>
      <c r="I167" s="553"/>
      <c r="J167" s="553"/>
      <c r="K167" s="553"/>
      <c r="L167" s="31"/>
      <c r="M167" s="656" t="str">
        <f t="shared" ref="M167:R167" ca="1" si="55">IFERROR(M166/INDEX($L164:$S164,MATCH($F$5,$L$8:$S$8,0)),"")</f>
        <v/>
      </c>
      <c r="N167" s="656" t="str">
        <f t="shared" ca="1" si="55"/>
        <v/>
      </c>
      <c r="O167" s="656" t="str">
        <f t="shared" ca="1" si="55"/>
        <v/>
      </c>
      <c r="P167" s="656" t="str">
        <f t="shared" ca="1" si="55"/>
        <v/>
      </c>
      <c r="Q167" s="656" t="str">
        <f t="shared" ca="1" si="55"/>
        <v/>
      </c>
      <c r="R167" s="656" t="str">
        <f t="shared" ca="1" si="55"/>
        <v/>
      </c>
      <c r="S167" s="4"/>
    </row>
    <row r="168" spans="1:19" ht="15" hidden="1">
      <c r="A168" s="820"/>
      <c r="B168" s="1189" t="s">
        <v>1376</v>
      </c>
      <c r="C168" s="586"/>
      <c r="D168" s="57"/>
      <c r="E168" s="10"/>
      <c r="F168" s="4"/>
      <c r="G168" s="4"/>
      <c r="H168" s="31"/>
      <c r="I168" s="68"/>
      <c r="J168" s="68"/>
      <c r="K168" s="68"/>
      <c r="L168" s="31"/>
      <c r="M168" s="13"/>
      <c r="N168" s="13"/>
      <c r="O168" s="13"/>
      <c r="P168" s="13"/>
      <c r="Q168" s="13"/>
      <c r="R168" s="13"/>
      <c r="S168" s="4"/>
    </row>
    <row r="169" spans="1:19" ht="21" hidden="1">
      <c r="A169" s="820"/>
      <c r="B169" s="1189" t="s">
        <v>1376</v>
      </c>
      <c r="C169" s="586"/>
      <c r="D169" s="57"/>
      <c r="E169" s="175" t="s">
        <v>1372</v>
      </c>
      <c r="F169" s="175"/>
      <c r="G169" s="175"/>
      <c r="H169" s="4"/>
      <c r="I169" s="546"/>
      <c r="J169" s="546"/>
      <c r="K169" s="546"/>
      <c r="L169" s="31"/>
      <c r="M169" s="561"/>
      <c r="N169" s="561"/>
      <c r="O169" s="561"/>
      <c r="P169" s="561"/>
      <c r="Q169" s="561"/>
      <c r="R169" s="561"/>
      <c r="S169" s="4"/>
    </row>
    <row r="170" spans="1:19" ht="14.25" hidden="1">
      <c r="A170" s="820"/>
      <c r="B170" s="1189" t="s">
        <v>1376</v>
      </c>
      <c r="C170" s="586"/>
      <c r="D170" s="57"/>
      <c r="E170" s="304" t="str">
        <f>'variant 1'!$E$62</f>
        <v>verwarming</v>
      </c>
      <c r="F170" s="180"/>
      <c r="G170" s="180" t="s">
        <v>1377</v>
      </c>
      <c r="H170" s="31"/>
      <c r="I170" s="551">
        <f>'variant 1'!Y365</f>
        <v>0</v>
      </c>
      <c r="J170" s="547">
        <f t="shared" ref="J170:J175" ca="1" si="56">ROW(INDIRECT(RIGHT((_xlfn.FORMULATEXT($I170)),LEN(_xlfn.FORMULATEXT($I170))-1)))</f>
        <v>365</v>
      </c>
      <c r="K170" s="547">
        <f t="shared" ref="K170:K175" ca="1" si="57">COLUMN(INDIRECT(RIGHT((_xlfn.FORMULATEXT($I170)),LEN(_xlfn.FORMULATEXT($I170))-1)))</f>
        <v>25</v>
      </c>
      <c r="L170" s="31"/>
      <c r="M170" s="168" t="str">
        <f t="shared" ref="M170:R175" ca="1" si="58">IF(M$19=0,"",IFERROR(IF(INDIRECT(ADDRESS($J170,$K170,,,M$8))=0,"",INDIRECT(ADDRESS($J170,$K170,,,M$8))),""))</f>
        <v/>
      </c>
      <c r="N170" s="168" t="str">
        <f t="shared" ca="1" si="58"/>
        <v/>
      </c>
      <c r="O170" s="168" t="str">
        <f t="shared" ca="1" si="58"/>
        <v/>
      </c>
      <c r="P170" s="168" t="str">
        <f t="shared" ca="1" si="58"/>
        <v/>
      </c>
      <c r="Q170" s="168" t="str">
        <f t="shared" ca="1" si="58"/>
        <v/>
      </c>
      <c r="R170" s="168" t="str">
        <f t="shared" ca="1" si="58"/>
        <v/>
      </c>
      <c r="S170" s="4"/>
    </row>
    <row r="171" spans="1:19" ht="14.25" hidden="1">
      <c r="A171" s="820"/>
      <c r="B171" s="1189" t="s">
        <v>1376</v>
      </c>
      <c r="C171" s="586"/>
      <c r="D171" s="57"/>
      <c r="E171" s="304" t="str">
        <f>'variant 1'!$E$64</f>
        <v>koeling</v>
      </c>
      <c r="F171" s="180"/>
      <c r="G171" s="180" t="s">
        <v>1377</v>
      </c>
      <c r="H171" s="31"/>
      <c r="I171" s="551">
        <f>'variant 1'!Y366</f>
        <v>0</v>
      </c>
      <c r="J171" s="547">
        <f t="shared" ca="1" si="56"/>
        <v>366</v>
      </c>
      <c r="K171" s="547">
        <f t="shared" ca="1" si="57"/>
        <v>25</v>
      </c>
      <c r="L171" s="31"/>
      <c r="M171" s="168" t="str">
        <f t="shared" ca="1" si="58"/>
        <v/>
      </c>
      <c r="N171" s="168" t="str">
        <f t="shared" ca="1" si="58"/>
        <v/>
      </c>
      <c r="O171" s="168" t="str">
        <f t="shared" ca="1" si="58"/>
        <v/>
      </c>
      <c r="P171" s="168" t="str">
        <f t="shared" ca="1" si="58"/>
        <v/>
      </c>
      <c r="Q171" s="168" t="str">
        <f t="shared" ca="1" si="58"/>
        <v/>
      </c>
      <c r="R171" s="168" t="str">
        <f t="shared" ca="1" si="58"/>
        <v/>
      </c>
      <c r="S171" s="4"/>
    </row>
    <row r="172" spans="1:19" ht="14.25" hidden="1">
      <c r="A172" s="820"/>
      <c r="B172" s="1189" t="s">
        <v>1376</v>
      </c>
      <c r="C172" s="586"/>
      <c r="D172" s="57"/>
      <c r="E172" s="304" t="str">
        <f>'variant 1'!$E$65</f>
        <v>tapwater</v>
      </c>
      <c r="F172" s="180"/>
      <c r="G172" s="180" t="s">
        <v>1377</v>
      </c>
      <c r="H172" s="31"/>
      <c r="I172" s="551">
        <f>'variant 1'!Y367</f>
        <v>0</v>
      </c>
      <c r="J172" s="547">
        <f t="shared" ca="1" si="56"/>
        <v>367</v>
      </c>
      <c r="K172" s="547">
        <f t="shared" ca="1" si="57"/>
        <v>25</v>
      </c>
      <c r="L172" s="31"/>
      <c r="M172" s="168" t="str">
        <f t="shared" ca="1" si="58"/>
        <v/>
      </c>
      <c r="N172" s="168" t="str">
        <f t="shared" ca="1" si="58"/>
        <v/>
      </c>
      <c r="O172" s="168" t="str">
        <f t="shared" ca="1" si="58"/>
        <v/>
      </c>
      <c r="P172" s="168" t="str">
        <f t="shared" ca="1" si="58"/>
        <v/>
      </c>
      <c r="Q172" s="168" t="str">
        <f t="shared" ca="1" si="58"/>
        <v/>
      </c>
      <c r="R172" s="168" t="str">
        <f t="shared" ca="1" si="58"/>
        <v/>
      </c>
      <c r="S172" s="4"/>
    </row>
    <row r="173" spans="1:19" ht="14.25" hidden="1">
      <c r="A173" s="820"/>
      <c r="B173" s="1189" t="s">
        <v>1376</v>
      </c>
      <c r="C173" s="586"/>
      <c r="D173" s="57"/>
      <c r="E173" s="304" t="str">
        <f>'variant 1'!$E$66</f>
        <v>verlichting</v>
      </c>
      <c r="F173" s="180"/>
      <c r="G173" s="180" t="s">
        <v>1377</v>
      </c>
      <c r="H173" s="31"/>
      <c r="I173" s="551">
        <f>'variant 1'!Y368</f>
        <v>0</v>
      </c>
      <c r="J173" s="547">
        <f t="shared" ca="1" si="56"/>
        <v>368</v>
      </c>
      <c r="K173" s="547">
        <f t="shared" ca="1" si="57"/>
        <v>25</v>
      </c>
      <c r="L173" s="31"/>
      <c r="M173" s="168" t="str">
        <f t="shared" ca="1" si="58"/>
        <v/>
      </c>
      <c r="N173" s="168" t="str">
        <f t="shared" ca="1" si="58"/>
        <v/>
      </c>
      <c r="O173" s="168" t="str">
        <f t="shared" ca="1" si="58"/>
        <v/>
      </c>
      <c r="P173" s="168" t="str">
        <f t="shared" ca="1" si="58"/>
        <v/>
      </c>
      <c r="Q173" s="168" t="str">
        <f t="shared" ca="1" si="58"/>
        <v/>
      </c>
      <c r="R173" s="168" t="str">
        <f t="shared" ca="1" si="58"/>
        <v/>
      </c>
      <c r="S173" s="4"/>
    </row>
    <row r="174" spans="1:19" ht="14.25" hidden="1">
      <c r="A174" s="820"/>
      <c r="B174" s="1189" t="s">
        <v>1376</v>
      </c>
      <c r="C174" s="586"/>
      <c r="D174" s="57"/>
      <c r="E174" s="304" t="str">
        <f>'variant 1'!$E$67</f>
        <v>ventilatoren</v>
      </c>
      <c r="F174" s="180"/>
      <c r="G174" s="180" t="s">
        <v>1377</v>
      </c>
      <c r="H174" s="31"/>
      <c r="I174" s="551">
        <f>'variant 1'!Y369</f>
        <v>0</v>
      </c>
      <c r="J174" s="547">
        <f t="shared" ca="1" si="56"/>
        <v>369</v>
      </c>
      <c r="K174" s="547">
        <f t="shared" ca="1" si="57"/>
        <v>25</v>
      </c>
      <c r="L174" s="31"/>
      <c r="M174" s="168" t="str">
        <f t="shared" ca="1" si="58"/>
        <v/>
      </c>
      <c r="N174" s="168" t="str">
        <f t="shared" ca="1" si="58"/>
        <v/>
      </c>
      <c r="O174" s="168" t="str">
        <f t="shared" ca="1" si="58"/>
        <v/>
      </c>
      <c r="P174" s="168" t="str">
        <f t="shared" ca="1" si="58"/>
        <v/>
      </c>
      <c r="Q174" s="168" t="str">
        <f t="shared" ca="1" si="58"/>
        <v/>
      </c>
      <c r="R174" s="168" t="str">
        <f t="shared" ca="1" si="58"/>
        <v/>
      </c>
      <c r="S174" s="4"/>
    </row>
    <row r="175" spans="1:19" ht="14.25" hidden="1">
      <c r="A175" s="820"/>
      <c r="B175" s="1189" t="s">
        <v>1376</v>
      </c>
      <c r="C175" s="586"/>
      <c r="D175" s="57"/>
      <c r="E175" s="964" t="str">
        <f>'variant 1'!$E$294</f>
        <v>zonnepanelen (vermeden primair)</v>
      </c>
      <c r="F175" s="254"/>
      <c r="G175" s="180" t="s">
        <v>1377</v>
      </c>
      <c r="H175" s="31"/>
      <c r="I175" s="551" t="e">
        <f>'variant 1'!Y372</f>
        <v>#DIV/0!</v>
      </c>
      <c r="J175" s="547">
        <f t="shared" ca="1" si="56"/>
        <v>372</v>
      </c>
      <c r="K175" s="547">
        <f t="shared" ca="1" si="57"/>
        <v>25</v>
      </c>
      <c r="L175" s="31"/>
      <c r="M175" s="541" t="str">
        <f t="shared" ca="1" si="58"/>
        <v/>
      </c>
      <c r="N175" s="541" t="str">
        <f t="shared" ca="1" si="58"/>
        <v/>
      </c>
      <c r="O175" s="541" t="str">
        <f t="shared" ca="1" si="58"/>
        <v/>
      </c>
      <c r="P175" s="541" t="str">
        <f t="shared" ca="1" si="58"/>
        <v/>
      </c>
      <c r="Q175" s="541" t="str">
        <f t="shared" ca="1" si="58"/>
        <v/>
      </c>
      <c r="R175" s="541" t="str">
        <f t="shared" ca="1" si="58"/>
        <v/>
      </c>
      <c r="S175" s="4"/>
    </row>
    <row r="176" spans="1:19" ht="15" hidden="1">
      <c r="A176" s="820"/>
      <c r="B176" s="1189" t="s">
        <v>1376</v>
      </c>
      <c r="C176" s="586"/>
      <c r="D176" s="57"/>
      <c r="E176" s="963" t="s">
        <v>232</v>
      </c>
      <c r="F176" s="963"/>
      <c r="G176" s="963" t="s">
        <v>1377</v>
      </c>
      <c r="H176" s="31"/>
      <c r="I176" s="549"/>
      <c r="J176" s="549"/>
      <c r="K176" s="549"/>
      <c r="L176" s="31"/>
      <c r="M176" s="965" t="str">
        <f t="shared" ref="M176:R176" ca="1" si="59">IF(M170="","",SUM(M170:M175))</f>
        <v/>
      </c>
      <c r="N176" s="965" t="str">
        <f t="shared" ca="1" si="59"/>
        <v/>
      </c>
      <c r="O176" s="965" t="str">
        <f t="shared" ca="1" si="59"/>
        <v/>
      </c>
      <c r="P176" s="965" t="str">
        <f t="shared" ca="1" si="59"/>
        <v/>
      </c>
      <c r="Q176" s="965" t="str">
        <f t="shared" ca="1" si="59"/>
        <v/>
      </c>
      <c r="R176" s="965" t="str">
        <f t="shared" ca="1" si="59"/>
        <v/>
      </c>
      <c r="S176" s="4"/>
    </row>
    <row r="177" spans="1:19" ht="12.75" hidden="1">
      <c r="A177" s="820"/>
      <c r="B177" s="1189" t="s">
        <v>1376</v>
      </c>
      <c r="C177" s="581"/>
      <c r="D177" s="533"/>
      <c r="E177" s="564"/>
      <c r="F177" s="564"/>
      <c r="G177" s="564"/>
      <c r="H177" s="564"/>
      <c r="I177" s="565"/>
      <c r="J177" s="565"/>
      <c r="K177" s="565"/>
      <c r="L177" s="564"/>
      <c r="M177" s="564"/>
      <c r="N177" s="589"/>
      <c r="O177" s="564"/>
      <c r="P177" s="564"/>
      <c r="Q177" s="564"/>
      <c r="R177" s="564"/>
      <c r="S177" s="4"/>
    </row>
    <row r="178" spans="1:19" ht="15" hidden="1">
      <c r="A178" s="820"/>
      <c r="B178" s="1189" t="s">
        <v>1376</v>
      </c>
      <c r="C178" s="586"/>
      <c r="D178" s="57"/>
      <c r="E178" s="649" t="str">
        <f>"resultaten tov "&amp;$F$5</f>
        <v>resultaten tov variant 1</v>
      </c>
      <c r="F178" s="649"/>
      <c r="G178" s="650" t="s">
        <v>327</v>
      </c>
      <c r="H178" s="31"/>
      <c r="I178" s="552"/>
      <c r="J178" s="552"/>
      <c r="K178" s="552"/>
      <c r="L178" s="31"/>
      <c r="M178" s="651" t="str">
        <f t="shared" ref="M178:R178" ca="1" si="60">IF(M176="","",M176-INDEX($L176:$S176,MATCH($F$5,$L$8:$S$8,0)))</f>
        <v/>
      </c>
      <c r="N178" s="651" t="str">
        <f t="shared" ca="1" si="60"/>
        <v/>
      </c>
      <c r="O178" s="651" t="str">
        <f t="shared" ca="1" si="60"/>
        <v/>
      </c>
      <c r="P178" s="651" t="str">
        <f t="shared" ca="1" si="60"/>
        <v/>
      </c>
      <c r="Q178" s="651" t="str">
        <f t="shared" ca="1" si="60"/>
        <v/>
      </c>
      <c r="R178" s="651" t="str">
        <f t="shared" ca="1" si="60"/>
        <v/>
      </c>
      <c r="S178" s="4"/>
    </row>
    <row r="179" spans="1:19" ht="15" hidden="1">
      <c r="A179" s="820"/>
      <c r="B179" s="1189" t="s">
        <v>1376</v>
      </c>
      <c r="C179" s="586"/>
      <c r="D179" s="57"/>
      <c r="E179" s="652"/>
      <c r="F179" s="652"/>
      <c r="G179" s="650" t="s">
        <v>139</v>
      </c>
      <c r="H179" s="31"/>
      <c r="I179" s="553"/>
      <c r="J179" s="553"/>
      <c r="K179" s="553"/>
      <c r="L179" s="31"/>
      <c r="M179" s="656" t="str">
        <f t="shared" ref="M179:R179" ca="1" si="61">IFERROR(M178/INDEX($L176:$S176,MATCH($F$5,$L$8:$S$8,0)),"")</f>
        <v/>
      </c>
      <c r="N179" s="656" t="str">
        <f t="shared" ca="1" si="61"/>
        <v/>
      </c>
      <c r="O179" s="656" t="str">
        <f t="shared" ca="1" si="61"/>
        <v/>
      </c>
      <c r="P179" s="656" t="str">
        <f t="shared" ca="1" si="61"/>
        <v/>
      </c>
      <c r="Q179" s="656" t="str">
        <f t="shared" ca="1" si="61"/>
        <v/>
      </c>
      <c r="R179" s="656" t="str">
        <f t="shared" ca="1" si="61"/>
        <v/>
      </c>
      <c r="S179" s="4"/>
    </row>
    <row r="180" spans="1:19" ht="15" hidden="1">
      <c r="A180" s="820"/>
      <c r="B180" s="1189" t="s">
        <v>1376</v>
      </c>
      <c r="C180" s="586"/>
      <c r="D180" s="57"/>
      <c r="E180" s="10"/>
      <c r="F180" s="4"/>
      <c r="G180" s="4"/>
      <c r="H180" s="31"/>
      <c r="I180" s="68"/>
      <c r="J180" s="68"/>
      <c r="K180" s="68"/>
      <c r="L180" s="31"/>
      <c r="M180" s="13"/>
      <c r="N180" s="13"/>
      <c r="O180" s="13"/>
      <c r="P180" s="13"/>
      <c r="Q180" s="13"/>
      <c r="R180" s="13"/>
      <c r="S180" s="4"/>
    </row>
    <row r="181" spans="1:19" ht="21" hidden="1">
      <c r="A181" s="820"/>
      <c r="B181" s="1189" t="s">
        <v>1376</v>
      </c>
      <c r="C181" s="586"/>
      <c r="D181" s="57"/>
      <c r="E181" s="175" t="s">
        <v>1373</v>
      </c>
      <c r="F181" s="175"/>
      <c r="G181" s="175"/>
      <c r="H181" s="4"/>
      <c r="I181" s="546"/>
      <c r="J181" s="546"/>
      <c r="K181" s="546"/>
      <c r="L181" s="31"/>
      <c r="M181" s="561"/>
      <c r="N181" s="561"/>
      <c r="O181" s="561"/>
      <c r="P181" s="561"/>
      <c r="Q181" s="561"/>
      <c r="R181" s="561"/>
      <c r="S181" s="4"/>
    </row>
    <row r="182" spans="1:19" ht="14.25" hidden="1">
      <c r="A182" s="820"/>
      <c r="B182" s="1189" t="s">
        <v>1376</v>
      </c>
      <c r="C182" s="586"/>
      <c r="D182" s="57"/>
      <c r="E182" s="304" t="str">
        <f>'variant 1'!$E$62</f>
        <v>verwarming</v>
      </c>
      <c r="F182" s="180"/>
      <c r="G182" s="180" t="s">
        <v>1377</v>
      </c>
      <c r="H182" s="31"/>
      <c r="I182" s="551">
        <f>'variant 1'!AK365</f>
        <v>0</v>
      </c>
      <c r="J182" s="547">
        <f t="shared" ref="J182:J187" ca="1" si="62">ROW(INDIRECT(RIGHT((_xlfn.FORMULATEXT($I182)),LEN(_xlfn.FORMULATEXT($I182))-1)))</f>
        <v>365</v>
      </c>
      <c r="K182" s="547">
        <f t="shared" ref="K182:K187" ca="1" si="63">COLUMN(INDIRECT(RIGHT((_xlfn.FORMULATEXT($I182)),LEN(_xlfn.FORMULATEXT($I182))-1)))</f>
        <v>37</v>
      </c>
      <c r="L182" s="31"/>
      <c r="M182" s="168" t="str">
        <f t="shared" ref="M182:R187" ca="1" si="64">IF(M$20=0,"",IFERROR(IF(INDIRECT(ADDRESS($J182,$K182,,,M$8))=0,"",INDIRECT(ADDRESS($J182,$K182,,,M$8))),""))</f>
        <v/>
      </c>
      <c r="N182" s="168" t="str">
        <f t="shared" ca="1" si="64"/>
        <v/>
      </c>
      <c r="O182" s="168" t="str">
        <f t="shared" ca="1" si="64"/>
        <v/>
      </c>
      <c r="P182" s="168" t="str">
        <f t="shared" ca="1" si="64"/>
        <v/>
      </c>
      <c r="Q182" s="168" t="str">
        <f t="shared" ca="1" si="64"/>
        <v/>
      </c>
      <c r="R182" s="168" t="str">
        <f t="shared" ca="1" si="64"/>
        <v/>
      </c>
      <c r="S182" s="4"/>
    </row>
    <row r="183" spans="1:19" ht="14.25" hidden="1">
      <c r="A183" s="820"/>
      <c r="B183" s="1189" t="s">
        <v>1376</v>
      </c>
      <c r="C183" s="586"/>
      <c r="D183" s="57"/>
      <c r="E183" s="304" t="str">
        <f>'variant 1'!$E$64</f>
        <v>koeling</v>
      </c>
      <c r="F183" s="180"/>
      <c r="G183" s="180" t="s">
        <v>1377</v>
      </c>
      <c r="H183" s="31"/>
      <c r="I183" s="551">
        <f>'variant 1'!AK366</f>
        <v>0</v>
      </c>
      <c r="J183" s="547">
        <f t="shared" ca="1" si="62"/>
        <v>366</v>
      </c>
      <c r="K183" s="547">
        <f t="shared" ca="1" si="63"/>
        <v>37</v>
      </c>
      <c r="L183" s="31"/>
      <c r="M183" s="168" t="str">
        <f t="shared" ca="1" si="64"/>
        <v/>
      </c>
      <c r="N183" s="168" t="str">
        <f t="shared" ca="1" si="64"/>
        <v/>
      </c>
      <c r="O183" s="168" t="str">
        <f t="shared" ca="1" si="64"/>
        <v/>
      </c>
      <c r="P183" s="168" t="str">
        <f t="shared" ca="1" si="64"/>
        <v/>
      </c>
      <c r="Q183" s="168" t="str">
        <f t="shared" ca="1" si="64"/>
        <v/>
      </c>
      <c r="R183" s="168" t="str">
        <f t="shared" ca="1" si="64"/>
        <v/>
      </c>
      <c r="S183" s="4"/>
    </row>
    <row r="184" spans="1:19" ht="14.25" hidden="1">
      <c r="A184" s="820"/>
      <c r="B184" s="1189" t="s">
        <v>1376</v>
      </c>
      <c r="C184" s="586"/>
      <c r="D184" s="57"/>
      <c r="E184" s="304" t="str">
        <f>'variant 1'!$E$65</f>
        <v>tapwater</v>
      </c>
      <c r="F184" s="180"/>
      <c r="G184" s="180" t="s">
        <v>1377</v>
      </c>
      <c r="H184" s="31"/>
      <c r="I184" s="551">
        <f>'variant 1'!AK367</f>
        <v>0</v>
      </c>
      <c r="J184" s="547">
        <f t="shared" ca="1" si="62"/>
        <v>367</v>
      </c>
      <c r="K184" s="547">
        <f t="shared" ca="1" si="63"/>
        <v>37</v>
      </c>
      <c r="L184" s="31"/>
      <c r="M184" s="168" t="str">
        <f t="shared" ca="1" si="64"/>
        <v/>
      </c>
      <c r="N184" s="168" t="str">
        <f t="shared" ca="1" si="64"/>
        <v/>
      </c>
      <c r="O184" s="168" t="str">
        <f t="shared" ca="1" si="64"/>
        <v/>
      </c>
      <c r="P184" s="168" t="str">
        <f t="shared" ca="1" si="64"/>
        <v/>
      </c>
      <c r="Q184" s="168" t="str">
        <f t="shared" ca="1" si="64"/>
        <v/>
      </c>
      <c r="R184" s="168" t="str">
        <f t="shared" ca="1" si="64"/>
        <v/>
      </c>
      <c r="S184" s="4"/>
    </row>
    <row r="185" spans="1:19" ht="14.25" hidden="1">
      <c r="A185" s="820"/>
      <c r="B185" s="1189" t="s">
        <v>1376</v>
      </c>
      <c r="C185" s="586"/>
      <c r="D185" s="57"/>
      <c r="E185" s="304" t="str">
        <f>'variant 1'!$E$66</f>
        <v>verlichting</v>
      </c>
      <c r="F185" s="180"/>
      <c r="G185" s="180" t="s">
        <v>1377</v>
      </c>
      <c r="H185" s="31"/>
      <c r="I185" s="551">
        <f>'variant 1'!AK368</f>
        <v>0</v>
      </c>
      <c r="J185" s="547">
        <f t="shared" ca="1" si="62"/>
        <v>368</v>
      </c>
      <c r="K185" s="547">
        <f t="shared" ca="1" si="63"/>
        <v>37</v>
      </c>
      <c r="L185" s="31"/>
      <c r="M185" s="168" t="str">
        <f t="shared" ca="1" si="64"/>
        <v/>
      </c>
      <c r="N185" s="168" t="str">
        <f t="shared" ca="1" si="64"/>
        <v/>
      </c>
      <c r="O185" s="168" t="str">
        <f t="shared" ca="1" si="64"/>
        <v/>
      </c>
      <c r="P185" s="168" t="str">
        <f t="shared" ca="1" si="64"/>
        <v/>
      </c>
      <c r="Q185" s="168" t="str">
        <f t="shared" ca="1" si="64"/>
        <v/>
      </c>
      <c r="R185" s="168" t="str">
        <f t="shared" ca="1" si="64"/>
        <v/>
      </c>
      <c r="S185" s="4"/>
    </row>
    <row r="186" spans="1:19" ht="14.25" hidden="1">
      <c r="A186" s="820"/>
      <c r="B186" s="1189" t="s">
        <v>1376</v>
      </c>
      <c r="C186" s="586"/>
      <c r="D186" s="57"/>
      <c r="E186" s="304" t="str">
        <f>'variant 1'!$E$67</f>
        <v>ventilatoren</v>
      </c>
      <c r="F186" s="180"/>
      <c r="G186" s="180" t="s">
        <v>1377</v>
      </c>
      <c r="H186" s="31"/>
      <c r="I186" s="551">
        <f>'variant 1'!AK369</f>
        <v>0</v>
      </c>
      <c r="J186" s="547">
        <f t="shared" ca="1" si="62"/>
        <v>369</v>
      </c>
      <c r="K186" s="547">
        <f t="shared" ca="1" si="63"/>
        <v>37</v>
      </c>
      <c r="L186" s="31"/>
      <c r="M186" s="168" t="str">
        <f ca="1">IF(M$20=0,"",IFERROR(IF(INDIRECT(ADDRESS($J186,$K186,,,M$8))=0,"",INDIRECT(ADDRESS($J186,$K186,,,M$8))),""))</f>
        <v/>
      </c>
      <c r="N186" s="168" t="str">
        <f t="shared" ca="1" si="64"/>
        <v/>
      </c>
      <c r="O186" s="168" t="str">
        <f t="shared" ca="1" si="64"/>
        <v/>
      </c>
      <c r="P186" s="168" t="str">
        <f t="shared" ca="1" si="64"/>
        <v/>
      </c>
      <c r="Q186" s="168" t="str">
        <f t="shared" ca="1" si="64"/>
        <v/>
      </c>
      <c r="R186" s="168" t="str">
        <f t="shared" ca="1" si="64"/>
        <v/>
      </c>
      <c r="S186" s="4"/>
    </row>
    <row r="187" spans="1:19" ht="14.25" hidden="1">
      <c r="A187" s="820"/>
      <c r="B187" s="1189" t="s">
        <v>1376</v>
      </c>
      <c r="C187" s="586"/>
      <c r="D187" s="57"/>
      <c r="E187" s="964" t="str">
        <f>'variant 1'!$E$294</f>
        <v>zonnepanelen (vermeden primair)</v>
      </c>
      <c r="F187" s="254"/>
      <c r="G187" s="180" t="s">
        <v>1377</v>
      </c>
      <c r="H187" s="31"/>
      <c r="I187" s="551" t="e">
        <f>'variant 1'!AK372</f>
        <v>#DIV/0!</v>
      </c>
      <c r="J187" s="547">
        <f t="shared" ca="1" si="62"/>
        <v>372</v>
      </c>
      <c r="K187" s="547">
        <f t="shared" ca="1" si="63"/>
        <v>37</v>
      </c>
      <c r="L187" s="31"/>
      <c r="M187" s="541" t="str">
        <f t="shared" ca="1" si="64"/>
        <v/>
      </c>
      <c r="N187" s="541" t="str">
        <f t="shared" ca="1" si="64"/>
        <v/>
      </c>
      <c r="O187" s="541" t="str">
        <f t="shared" ca="1" si="64"/>
        <v/>
      </c>
      <c r="P187" s="541" t="str">
        <f t="shared" ca="1" si="64"/>
        <v/>
      </c>
      <c r="Q187" s="541" t="str">
        <f t="shared" ca="1" si="64"/>
        <v/>
      </c>
      <c r="R187" s="541" t="str">
        <f t="shared" ca="1" si="64"/>
        <v/>
      </c>
      <c r="S187" s="4"/>
    </row>
    <row r="188" spans="1:19" ht="15" hidden="1">
      <c r="A188" s="820"/>
      <c r="B188" s="1189" t="s">
        <v>1376</v>
      </c>
      <c r="C188" s="586"/>
      <c r="D188" s="57"/>
      <c r="E188" s="963" t="s">
        <v>232</v>
      </c>
      <c r="F188" s="963"/>
      <c r="G188" s="963" t="s">
        <v>1377</v>
      </c>
      <c r="H188" s="31"/>
      <c r="I188" s="549"/>
      <c r="J188" s="549"/>
      <c r="K188" s="549"/>
      <c r="L188" s="31"/>
      <c r="M188" s="965" t="str">
        <f t="shared" ref="M188:R188" ca="1" si="65">IF(M182="","",SUM(M182:M187))</f>
        <v/>
      </c>
      <c r="N188" s="965" t="str">
        <f t="shared" ca="1" si="65"/>
        <v/>
      </c>
      <c r="O188" s="965" t="str">
        <f t="shared" ca="1" si="65"/>
        <v/>
      </c>
      <c r="P188" s="965" t="str">
        <f t="shared" ca="1" si="65"/>
        <v/>
      </c>
      <c r="Q188" s="965" t="str">
        <f t="shared" ca="1" si="65"/>
        <v/>
      </c>
      <c r="R188" s="965" t="str">
        <f t="shared" ca="1" si="65"/>
        <v/>
      </c>
      <c r="S188" s="4"/>
    </row>
    <row r="189" spans="1:19" ht="12.75" hidden="1">
      <c r="A189" s="820"/>
      <c r="B189" s="1189" t="s">
        <v>1376</v>
      </c>
      <c r="C189" s="581"/>
      <c r="D189" s="533"/>
      <c r="E189" s="564"/>
      <c r="F189" s="564"/>
      <c r="G189" s="564"/>
      <c r="H189" s="564"/>
      <c r="I189" s="565"/>
      <c r="J189" s="565"/>
      <c r="K189" s="565"/>
      <c r="L189" s="564"/>
      <c r="M189" s="564"/>
      <c r="N189" s="589"/>
      <c r="O189" s="564"/>
      <c r="P189" s="564"/>
      <c r="Q189" s="564"/>
      <c r="R189" s="564"/>
      <c r="S189" s="4"/>
    </row>
    <row r="190" spans="1:19" ht="15" hidden="1">
      <c r="A190" s="820"/>
      <c r="B190" s="1189" t="s">
        <v>1376</v>
      </c>
      <c r="C190" s="586"/>
      <c r="D190" s="57"/>
      <c r="E190" s="649" t="str">
        <f>"resultaten tov "&amp;$F$5</f>
        <v>resultaten tov variant 1</v>
      </c>
      <c r="F190" s="649"/>
      <c r="G190" s="650" t="s">
        <v>327</v>
      </c>
      <c r="H190" s="31"/>
      <c r="I190" s="552"/>
      <c r="J190" s="552"/>
      <c r="K190" s="552"/>
      <c r="L190" s="31"/>
      <c r="M190" s="651" t="str">
        <f t="shared" ref="M190:R190" ca="1" si="66">IF(M188="","",M188-INDEX($L188:$S188,MATCH($F$5,$L$8:$S$8,0)))</f>
        <v/>
      </c>
      <c r="N190" s="651" t="str">
        <f t="shared" ca="1" si="66"/>
        <v/>
      </c>
      <c r="O190" s="651" t="str">
        <f t="shared" ca="1" si="66"/>
        <v/>
      </c>
      <c r="P190" s="651" t="str">
        <f t="shared" ca="1" si="66"/>
        <v/>
      </c>
      <c r="Q190" s="651" t="str">
        <f t="shared" ca="1" si="66"/>
        <v/>
      </c>
      <c r="R190" s="651" t="str">
        <f t="shared" ca="1" si="66"/>
        <v/>
      </c>
      <c r="S190" s="4"/>
    </row>
    <row r="191" spans="1:19" ht="15" hidden="1">
      <c r="A191" s="820"/>
      <c r="B191" s="1189" t="s">
        <v>1376</v>
      </c>
      <c r="C191" s="586"/>
      <c r="D191" s="57"/>
      <c r="E191" s="652"/>
      <c r="F191" s="652"/>
      <c r="G191" s="650" t="s">
        <v>139</v>
      </c>
      <c r="H191" s="31"/>
      <c r="I191" s="553"/>
      <c r="J191" s="553"/>
      <c r="K191" s="553"/>
      <c r="L191" s="31"/>
      <c r="M191" s="656" t="str">
        <f t="shared" ref="M191:R191" ca="1" si="67">IFERROR(M190/INDEX($L188:$S188,MATCH($F$5,$L$8:$S$8,0)),"")</f>
        <v/>
      </c>
      <c r="N191" s="656" t="str">
        <f t="shared" ca="1" si="67"/>
        <v/>
      </c>
      <c r="O191" s="656" t="str">
        <f t="shared" ca="1" si="67"/>
        <v/>
      </c>
      <c r="P191" s="656" t="str">
        <f t="shared" ca="1" si="67"/>
        <v/>
      </c>
      <c r="Q191" s="656" t="str">
        <f t="shared" ca="1" si="67"/>
        <v/>
      </c>
      <c r="R191" s="656" t="str">
        <f t="shared" ca="1" si="67"/>
        <v/>
      </c>
      <c r="S191" s="4"/>
    </row>
    <row r="192" spans="1:19" ht="15" hidden="1">
      <c r="A192" s="820"/>
      <c r="B192" s="1189" t="s">
        <v>1376</v>
      </c>
      <c r="C192" s="586"/>
      <c r="D192" s="57"/>
      <c r="E192" s="10"/>
      <c r="F192" s="4"/>
      <c r="G192" s="4"/>
      <c r="H192" s="31"/>
      <c r="I192" s="68"/>
      <c r="J192" s="68"/>
      <c r="K192" s="68"/>
      <c r="L192" s="31"/>
      <c r="M192" s="13"/>
      <c r="N192" s="13"/>
      <c r="O192" s="13"/>
      <c r="P192" s="13"/>
      <c r="Q192" s="13"/>
      <c r="R192" s="13"/>
      <c r="S192" s="4"/>
    </row>
    <row r="193" spans="1:19" ht="21" hidden="1">
      <c r="A193" s="820"/>
      <c r="B193" s="1189" t="s">
        <v>1376</v>
      </c>
      <c r="C193" s="586"/>
      <c r="D193" s="57"/>
      <c r="E193" s="175" t="s">
        <v>1374</v>
      </c>
      <c r="F193" s="175"/>
      <c r="G193" s="175"/>
      <c r="H193" s="4"/>
      <c r="I193" s="546"/>
      <c r="J193" s="546"/>
      <c r="K193" s="546"/>
      <c r="L193" s="31"/>
      <c r="M193" s="561"/>
      <c r="N193" s="561"/>
      <c r="O193" s="561"/>
      <c r="P193" s="561"/>
      <c r="Q193" s="561"/>
      <c r="R193" s="561"/>
      <c r="S193" s="4"/>
    </row>
    <row r="194" spans="1:19" ht="14.25" hidden="1">
      <c r="A194" s="820"/>
      <c r="B194" s="1189" t="s">
        <v>1376</v>
      </c>
      <c r="C194" s="586"/>
      <c r="D194" s="57"/>
      <c r="E194" s="304" t="str">
        <f>'variant 1'!$E$62</f>
        <v>verwarming</v>
      </c>
      <c r="F194" s="180"/>
      <c r="G194" s="180" t="s">
        <v>1377</v>
      </c>
      <c r="H194" s="31"/>
      <c r="I194" s="551">
        <f>'variant 1'!AW365</f>
        <v>0</v>
      </c>
      <c r="J194" s="547">
        <f t="shared" ref="J194:J199" ca="1" si="68">ROW(INDIRECT(RIGHT((_xlfn.FORMULATEXT($I194)),LEN(_xlfn.FORMULATEXT($I194))-1)))</f>
        <v>365</v>
      </c>
      <c r="K194" s="547">
        <f t="shared" ref="K194:K199" ca="1" si="69">COLUMN(INDIRECT(RIGHT((_xlfn.FORMULATEXT($I194)),LEN(_xlfn.FORMULATEXT($I194))-1)))</f>
        <v>49</v>
      </c>
      <c r="L194" s="31"/>
      <c r="M194" s="168" t="str">
        <f t="shared" ref="M194:R199" ca="1" si="70">IF(M$21=0,"",IFERROR(IF(INDIRECT(ADDRESS($J194,$K194,,,M$8))=0,"",INDIRECT(ADDRESS($J194,$K194,,,M$8))),""))</f>
        <v/>
      </c>
      <c r="N194" s="168" t="str">
        <f t="shared" ca="1" si="70"/>
        <v/>
      </c>
      <c r="O194" s="168" t="str">
        <f t="shared" ca="1" si="70"/>
        <v/>
      </c>
      <c r="P194" s="168" t="str">
        <f t="shared" ca="1" si="70"/>
        <v/>
      </c>
      <c r="Q194" s="168" t="str">
        <f t="shared" ca="1" si="70"/>
        <v/>
      </c>
      <c r="R194" s="168" t="str">
        <f t="shared" ca="1" si="70"/>
        <v/>
      </c>
      <c r="S194" s="4"/>
    </row>
    <row r="195" spans="1:19" ht="14.25" hidden="1">
      <c r="A195" s="820"/>
      <c r="B195" s="1189" t="s">
        <v>1376</v>
      </c>
      <c r="C195" s="586"/>
      <c r="D195" s="57"/>
      <c r="E195" s="304" t="str">
        <f>'variant 1'!$E$64</f>
        <v>koeling</v>
      </c>
      <c r="F195" s="180"/>
      <c r="G195" s="180" t="s">
        <v>1377</v>
      </c>
      <c r="H195" s="31"/>
      <c r="I195" s="551">
        <f>'variant 1'!AW366</f>
        <v>0</v>
      </c>
      <c r="J195" s="547">
        <f t="shared" ca="1" si="68"/>
        <v>366</v>
      </c>
      <c r="K195" s="547">
        <f t="shared" ca="1" si="69"/>
        <v>49</v>
      </c>
      <c r="L195" s="31"/>
      <c r="M195" s="168" t="str">
        <f t="shared" ca="1" si="70"/>
        <v/>
      </c>
      <c r="N195" s="168" t="str">
        <f t="shared" ca="1" si="70"/>
        <v/>
      </c>
      <c r="O195" s="168" t="str">
        <f t="shared" ca="1" si="70"/>
        <v/>
      </c>
      <c r="P195" s="168" t="str">
        <f t="shared" ca="1" si="70"/>
        <v/>
      </c>
      <c r="Q195" s="168" t="str">
        <f t="shared" ca="1" si="70"/>
        <v/>
      </c>
      <c r="R195" s="168" t="str">
        <f t="shared" ca="1" si="70"/>
        <v/>
      </c>
      <c r="S195" s="4"/>
    </row>
    <row r="196" spans="1:19" ht="14.25" hidden="1">
      <c r="A196" s="820"/>
      <c r="B196" s="1189" t="s">
        <v>1376</v>
      </c>
      <c r="C196" s="586"/>
      <c r="D196" s="57"/>
      <c r="E196" s="304" t="str">
        <f>'variant 1'!$E$65</f>
        <v>tapwater</v>
      </c>
      <c r="F196" s="180"/>
      <c r="G196" s="180" t="s">
        <v>1377</v>
      </c>
      <c r="H196" s="31"/>
      <c r="I196" s="551">
        <f>'variant 1'!AW367</f>
        <v>0</v>
      </c>
      <c r="J196" s="547">
        <f t="shared" ca="1" si="68"/>
        <v>367</v>
      </c>
      <c r="K196" s="547">
        <f t="shared" ca="1" si="69"/>
        <v>49</v>
      </c>
      <c r="L196" s="31"/>
      <c r="M196" s="168" t="str">
        <f t="shared" ca="1" si="70"/>
        <v/>
      </c>
      <c r="N196" s="168" t="str">
        <f t="shared" ca="1" si="70"/>
        <v/>
      </c>
      <c r="O196" s="168" t="str">
        <f t="shared" ca="1" si="70"/>
        <v/>
      </c>
      <c r="P196" s="168" t="str">
        <f t="shared" ca="1" si="70"/>
        <v/>
      </c>
      <c r="Q196" s="168" t="str">
        <f t="shared" ca="1" si="70"/>
        <v/>
      </c>
      <c r="R196" s="168" t="str">
        <f t="shared" ca="1" si="70"/>
        <v/>
      </c>
      <c r="S196" s="4"/>
    </row>
    <row r="197" spans="1:19" ht="14.25" hidden="1">
      <c r="A197" s="820"/>
      <c r="B197" s="1189" t="s">
        <v>1376</v>
      </c>
      <c r="C197" s="586"/>
      <c r="D197" s="57"/>
      <c r="E197" s="304" t="str">
        <f>'variant 1'!$E$66</f>
        <v>verlichting</v>
      </c>
      <c r="F197" s="180"/>
      <c r="G197" s="180" t="s">
        <v>1377</v>
      </c>
      <c r="H197" s="31"/>
      <c r="I197" s="551">
        <f>'variant 1'!AW368</f>
        <v>0</v>
      </c>
      <c r="J197" s="547">
        <f t="shared" ca="1" si="68"/>
        <v>368</v>
      </c>
      <c r="K197" s="547">
        <f t="shared" ca="1" si="69"/>
        <v>49</v>
      </c>
      <c r="L197" s="31"/>
      <c r="M197" s="168" t="str">
        <f t="shared" ca="1" si="70"/>
        <v/>
      </c>
      <c r="N197" s="168" t="str">
        <f t="shared" ca="1" si="70"/>
        <v/>
      </c>
      <c r="O197" s="168" t="str">
        <f t="shared" ca="1" si="70"/>
        <v/>
      </c>
      <c r="P197" s="168" t="str">
        <f t="shared" ca="1" si="70"/>
        <v/>
      </c>
      <c r="Q197" s="168" t="str">
        <f t="shared" ca="1" si="70"/>
        <v/>
      </c>
      <c r="R197" s="168" t="str">
        <f t="shared" ca="1" si="70"/>
        <v/>
      </c>
      <c r="S197" s="4"/>
    </row>
    <row r="198" spans="1:19" ht="14.25" hidden="1">
      <c r="A198" s="820"/>
      <c r="B198" s="1189" t="s">
        <v>1376</v>
      </c>
      <c r="C198" s="586"/>
      <c r="D198" s="57"/>
      <c r="E198" s="304" t="str">
        <f>'variant 1'!$E$67</f>
        <v>ventilatoren</v>
      </c>
      <c r="F198" s="180"/>
      <c r="G198" s="180" t="s">
        <v>1377</v>
      </c>
      <c r="H198" s="31"/>
      <c r="I198" s="551">
        <f>'variant 1'!AW369</f>
        <v>0</v>
      </c>
      <c r="J198" s="547">
        <f t="shared" ca="1" si="68"/>
        <v>369</v>
      </c>
      <c r="K198" s="547">
        <f t="shared" ca="1" si="69"/>
        <v>49</v>
      </c>
      <c r="L198" s="31"/>
      <c r="M198" s="168" t="str">
        <f t="shared" ca="1" si="70"/>
        <v/>
      </c>
      <c r="N198" s="168" t="str">
        <f t="shared" ca="1" si="70"/>
        <v/>
      </c>
      <c r="O198" s="168" t="str">
        <f t="shared" ca="1" si="70"/>
        <v/>
      </c>
      <c r="P198" s="168" t="str">
        <f t="shared" ca="1" si="70"/>
        <v/>
      </c>
      <c r="Q198" s="168" t="str">
        <f t="shared" ca="1" si="70"/>
        <v/>
      </c>
      <c r="R198" s="168" t="str">
        <f t="shared" ca="1" si="70"/>
        <v/>
      </c>
      <c r="S198" s="4"/>
    </row>
    <row r="199" spans="1:19" ht="14.25" hidden="1">
      <c r="A199" s="820"/>
      <c r="B199" s="1189" t="s">
        <v>1376</v>
      </c>
      <c r="C199" s="586"/>
      <c r="D199" s="57"/>
      <c r="E199" s="964" t="str">
        <f>'variant 1'!$E$294</f>
        <v>zonnepanelen (vermeden primair)</v>
      </c>
      <c r="F199" s="254"/>
      <c r="G199" s="180" t="s">
        <v>1377</v>
      </c>
      <c r="H199" s="31"/>
      <c r="I199" s="551" t="e">
        <f>'variant 1'!AW372</f>
        <v>#DIV/0!</v>
      </c>
      <c r="J199" s="547">
        <f t="shared" ca="1" si="68"/>
        <v>372</v>
      </c>
      <c r="K199" s="547">
        <f t="shared" ca="1" si="69"/>
        <v>49</v>
      </c>
      <c r="L199" s="31"/>
      <c r="M199" s="541" t="str">
        <f t="shared" ca="1" si="70"/>
        <v/>
      </c>
      <c r="N199" s="541" t="str">
        <f t="shared" ca="1" si="70"/>
        <v/>
      </c>
      <c r="O199" s="541" t="str">
        <f t="shared" ca="1" si="70"/>
        <v/>
      </c>
      <c r="P199" s="541" t="str">
        <f t="shared" ca="1" si="70"/>
        <v/>
      </c>
      <c r="Q199" s="541" t="str">
        <f t="shared" ca="1" si="70"/>
        <v/>
      </c>
      <c r="R199" s="541" t="str">
        <f t="shared" ca="1" si="70"/>
        <v/>
      </c>
      <c r="S199" s="4"/>
    </row>
    <row r="200" spans="1:19" ht="15" hidden="1">
      <c r="A200" s="820"/>
      <c r="B200" s="1189" t="s">
        <v>1376</v>
      </c>
      <c r="C200" s="586"/>
      <c r="D200" s="57"/>
      <c r="E200" s="963" t="s">
        <v>232</v>
      </c>
      <c r="F200" s="963"/>
      <c r="G200" s="963" t="s">
        <v>1377</v>
      </c>
      <c r="H200" s="31"/>
      <c r="I200" s="549"/>
      <c r="J200" s="549"/>
      <c r="K200" s="549"/>
      <c r="L200" s="31"/>
      <c r="M200" s="965" t="str">
        <f t="shared" ref="M200:R200" ca="1" si="71">IF(M194="","",SUM(M194:M199))</f>
        <v/>
      </c>
      <c r="N200" s="965" t="str">
        <f t="shared" ca="1" si="71"/>
        <v/>
      </c>
      <c r="O200" s="965" t="str">
        <f t="shared" ca="1" si="71"/>
        <v/>
      </c>
      <c r="P200" s="965" t="str">
        <f t="shared" ca="1" si="71"/>
        <v/>
      </c>
      <c r="Q200" s="965" t="str">
        <f t="shared" ca="1" si="71"/>
        <v/>
      </c>
      <c r="R200" s="965" t="str">
        <f t="shared" ca="1" si="71"/>
        <v/>
      </c>
      <c r="S200" s="4"/>
    </row>
    <row r="201" spans="1:19" ht="12.75" hidden="1">
      <c r="A201" s="820"/>
      <c r="B201" s="1189" t="s">
        <v>1376</v>
      </c>
      <c r="C201" s="581"/>
      <c r="D201" s="533"/>
      <c r="E201" s="564"/>
      <c r="F201" s="564"/>
      <c r="G201" s="564"/>
      <c r="H201" s="564"/>
      <c r="I201" s="565"/>
      <c r="J201" s="565"/>
      <c r="K201" s="565"/>
      <c r="L201" s="564"/>
      <c r="M201" s="564"/>
      <c r="N201" s="589"/>
      <c r="O201" s="564"/>
      <c r="P201" s="564"/>
      <c r="Q201" s="564"/>
      <c r="R201" s="564"/>
      <c r="S201" s="4"/>
    </row>
    <row r="202" spans="1:19" ht="15" hidden="1">
      <c r="A202" s="820"/>
      <c r="B202" s="1189" t="s">
        <v>1376</v>
      </c>
      <c r="C202" s="586"/>
      <c r="D202" s="57"/>
      <c r="E202" s="649" t="str">
        <f>"resultaten tov "&amp;$F$5</f>
        <v>resultaten tov variant 1</v>
      </c>
      <c r="F202" s="649"/>
      <c r="G202" s="650" t="s">
        <v>327</v>
      </c>
      <c r="H202" s="31"/>
      <c r="I202" s="552"/>
      <c r="J202" s="552"/>
      <c r="K202" s="552"/>
      <c r="L202" s="31"/>
      <c r="M202" s="651" t="str">
        <f t="shared" ref="M202:R202" ca="1" si="72">IF(M200="","",M200-INDEX($L200:$S200,MATCH($F$5,$L$8:$S$8,0)))</f>
        <v/>
      </c>
      <c r="N202" s="651" t="str">
        <f t="shared" ca="1" si="72"/>
        <v/>
      </c>
      <c r="O202" s="651" t="str">
        <f t="shared" ca="1" si="72"/>
        <v/>
      </c>
      <c r="P202" s="651" t="str">
        <f t="shared" ca="1" si="72"/>
        <v/>
      </c>
      <c r="Q202" s="651" t="str">
        <f t="shared" ca="1" si="72"/>
        <v/>
      </c>
      <c r="R202" s="651" t="str">
        <f t="shared" ca="1" si="72"/>
        <v/>
      </c>
      <c r="S202" s="4"/>
    </row>
    <row r="203" spans="1:19" ht="15" hidden="1">
      <c r="A203" s="820"/>
      <c r="B203" s="1189" t="s">
        <v>1376</v>
      </c>
      <c r="C203" s="586"/>
      <c r="D203" s="57"/>
      <c r="E203" s="652"/>
      <c r="F203" s="652"/>
      <c r="G203" s="650" t="s">
        <v>139</v>
      </c>
      <c r="H203" s="31"/>
      <c r="I203" s="553"/>
      <c r="J203" s="553"/>
      <c r="K203" s="553"/>
      <c r="L203" s="31"/>
      <c r="M203" s="656" t="str">
        <f t="shared" ref="M203:R203" ca="1" si="73">IFERROR(M202/INDEX($L200:$S200,MATCH($F$5,$L$8:$S$8,0)),"")</f>
        <v/>
      </c>
      <c r="N203" s="656" t="str">
        <f t="shared" ca="1" si="73"/>
        <v/>
      </c>
      <c r="O203" s="656" t="str">
        <f t="shared" ca="1" si="73"/>
        <v/>
      </c>
      <c r="P203" s="656" t="str">
        <f t="shared" ca="1" si="73"/>
        <v/>
      </c>
      <c r="Q203" s="656" t="str">
        <f t="shared" ca="1" si="73"/>
        <v/>
      </c>
      <c r="R203" s="656" t="str">
        <f t="shared" ca="1" si="73"/>
        <v/>
      </c>
      <c r="S203" s="4"/>
    </row>
    <row r="204" spans="1:19" ht="15">
      <c r="A204" s="820"/>
      <c r="B204" s="1189" t="s">
        <v>107</v>
      </c>
      <c r="C204" s="586"/>
      <c r="D204" s="57"/>
      <c r="E204" s="4"/>
      <c r="F204" s="4"/>
      <c r="G204" s="4"/>
      <c r="H204" s="31"/>
      <c r="I204" s="68"/>
      <c r="J204" s="68"/>
      <c r="K204" s="68"/>
      <c r="L204" s="31"/>
      <c r="M204" s="13"/>
      <c r="N204" s="13"/>
      <c r="O204" s="13"/>
      <c r="P204" s="13"/>
      <c r="Q204" s="13"/>
      <c r="R204" s="13"/>
      <c r="S204" s="4"/>
    </row>
    <row r="205" spans="1:19" ht="21">
      <c r="A205" s="820" t="s">
        <v>84</v>
      </c>
      <c r="B205" s="1189" t="s">
        <v>107</v>
      </c>
      <c r="C205" s="586"/>
      <c r="D205" s="57"/>
      <c r="E205" s="175" t="s">
        <v>333</v>
      </c>
      <c r="F205" s="175"/>
      <c r="G205" s="175"/>
      <c r="H205" s="4"/>
      <c r="I205" s="546"/>
      <c r="J205" s="546"/>
      <c r="K205" s="546"/>
      <c r="L205" s="31"/>
      <c r="M205" s="561"/>
      <c r="N205" s="561"/>
      <c r="O205" s="561"/>
      <c r="P205" s="561"/>
      <c r="Q205" s="561"/>
      <c r="R205" s="561"/>
      <c r="S205" s="4"/>
    </row>
    <row r="206" spans="1:19" ht="14.25">
      <c r="A206" s="825" t="s">
        <v>84</v>
      </c>
      <c r="B206" s="1189" t="s">
        <v>107</v>
      </c>
      <c r="C206" s="586"/>
      <c r="D206" s="57"/>
      <c r="E206" s="550" t="str">
        <f>"locatie 1"&amp;IF('woningen|utiliteit'!$L$17="","",": "&amp;'woningen|utiliteit'!$L$17)</f>
        <v>locatie 1</v>
      </c>
      <c r="F206" s="149"/>
      <c r="G206" s="180" t="s">
        <v>334</v>
      </c>
      <c r="H206" s="31"/>
      <c r="I206" s="551">
        <f>'variant 1'!$M$359</f>
        <v>0</v>
      </c>
      <c r="J206" s="547">
        <f ca="1">ROW(INDIRECT(RIGHT((_xlfn.FORMULATEXT($I206)),LEN(_xlfn.FORMULATEXT($I206))-1)))</f>
        <v>359</v>
      </c>
      <c r="K206" s="547">
        <f ca="1">COLUMN(INDIRECT(RIGHT((_xlfn.FORMULATEXT($I206)),LEN(_xlfn.FORMULATEXT($I206))-1)))</f>
        <v>13</v>
      </c>
      <c r="L206" s="31"/>
      <c r="M206" s="168" t="str">
        <f t="shared" ref="M206:R209" ca="1" si="74">IF(M18=0,"",IFERROR(IF(INDIRECT(ADDRESS($J206,$K206,,,M$8))=0,"",INDIRECT(ADDRESS($J206,$K206,,,M$8))),""))</f>
        <v/>
      </c>
      <c r="N206" s="168" t="str">
        <f t="shared" ca="1" si="74"/>
        <v/>
      </c>
      <c r="O206" s="168" t="str">
        <f t="shared" ca="1" si="74"/>
        <v/>
      </c>
      <c r="P206" s="168" t="str">
        <f t="shared" ca="1" si="74"/>
        <v/>
      </c>
      <c r="Q206" s="168" t="str">
        <f t="shared" ca="1" si="74"/>
        <v/>
      </c>
      <c r="R206" s="168" t="str">
        <f t="shared" ca="1" si="74"/>
        <v/>
      </c>
      <c r="S206" s="4"/>
    </row>
    <row r="207" spans="1:19" ht="14.25">
      <c r="A207" s="825" t="s">
        <v>84</v>
      </c>
      <c r="B207" s="1189" t="s">
        <v>107</v>
      </c>
      <c r="C207" s="586"/>
      <c r="D207" s="57"/>
      <c r="E207" s="550" t="str">
        <f>"locatie 2"&amp;IF('woningen|utiliteit'!$L$33="","",": "&amp;'woningen|utiliteit'!$L$33)</f>
        <v>locatie 2</v>
      </c>
      <c r="F207" s="180"/>
      <c r="G207" s="180" t="s">
        <v>334</v>
      </c>
      <c r="H207" s="31"/>
      <c r="I207" s="551">
        <f>'variant 1'!$Y$359</f>
        <v>0</v>
      </c>
      <c r="J207" s="547">
        <f ca="1">ROW(INDIRECT(RIGHT((_xlfn.FORMULATEXT($I207)),LEN(_xlfn.FORMULATEXT($I207))-1)))</f>
        <v>359</v>
      </c>
      <c r="K207" s="547">
        <f ca="1">COLUMN(INDIRECT(RIGHT((_xlfn.FORMULATEXT($I207)),LEN(_xlfn.FORMULATEXT($I207))-1)))</f>
        <v>25</v>
      </c>
      <c r="L207" s="31"/>
      <c r="M207" s="168" t="str">
        <f t="shared" ca="1" si="74"/>
        <v/>
      </c>
      <c r="N207" s="168" t="str">
        <f t="shared" ca="1" si="74"/>
        <v/>
      </c>
      <c r="O207" s="168" t="str">
        <f t="shared" ca="1" si="74"/>
        <v/>
      </c>
      <c r="P207" s="168" t="str">
        <f t="shared" ca="1" si="74"/>
        <v/>
      </c>
      <c r="Q207" s="168" t="str">
        <f t="shared" ca="1" si="74"/>
        <v/>
      </c>
      <c r="R207" s="168" t="str">
        <f t="shared" ca="1" si="74"/>
        <v/>
      </c>
      <c r="S207" s="4"/>
    </row>
    <row r="208" spans="1:19" ht="14.25">
      <c r="A208" s="825" t="s">
        <v>84</v>
      </c>
      <c r="B208" s="1189" t="s">
        <v>107</v>
      </c>
      <c r="C208" s="586"/>
      <c r="D208" s="57"/>
      <c r="E208" s="550" t="str">
        <f>"locatie 3"&amp;IF('woningen|utiliteit'!$L$49="","",": "&amp;'woningen|utiliteit'!$L$49)</f>
        <v>locatie 3</v>
      </c>
      <c r="F208" s="180"/>
      <c r="G208" s="180" t="s">
        <v>334</v>
      </c>
      <c r="H208" s="31"/>
      <c r="I208" s="551">
        <f>'variant 1'!$AK$359</f>
        <v>0</v>
      </c>
      <c r="J208" s="547">
        <f ca="1">ROW(INDIRECT(RIGHT((_xlfn.FORMULATEXT($I208)),LEN(_xlfn.FORMULATEXT($I208))-1)))</f>
        <v>359</v>
      </c>
      <c r="K208" s="547">
        <f ca="1">COLUMN(INDIRECT(RIGHT((_xlfn.FORMULATEXT($I208)),LEN(_xlfn.FORMULATEXT($I208))-1)))</f>
        <v>37</v>
      </c>
      <c r="L208" s="31"/>
      <c r="M208" s="168" t="str">
        <f t="shared" ca="1" si="74"/>
        <v/>
      </c>
      <c r="N208" s="168" t="str">
        <f t="shared" ca="1" si="74"/>
        <v/>
      </c>
      <c r="O208" s="168" t="str">
        <f t="shared" ca="1" si="74"/>
        <v/>
      </c>
      <c r="P208" s="168" t="str">
        <f t="shared" ca="1" si="74"/>
        <v/>
      </c>
      <c r="Q208" s="168" t="str">
        <f t="shared" ca="1" si="74"/>
        <v/>
      </c>
      <c r="R208" s="168" t="str">
        <f t="shared" ca="1" si="74"/>
        <v/>
      </c>
      <c r="S208" s="4"/>
    </row>
    <row r="209" spans="1:19" ht="14.25">
      <c r="A209" s="825" t="s">
        <v>84</v>
      </c>
      <c r="B209" s="1189" t="s">
        <v>107</v>
      </c>
      <c r="C209" s="586"/>
      <c r="D209" s="57"/>
      <c r="E209" s="959" t="str">
        <f>"locatie 4"&amp;IF('woningen|utiliteit'!$L$65="","",": "&amp;'woningen|utiliteit'!$L$65)</f>
        <v>locatie 4</v>
      </c>
      <c r="F209" s="618"/>
      <c r="G209" s="254" t="s">
        <v>334</v>
      </c>
      <c r="H209" s="31"/>
      <c r="I209" s="551">
        <f>'variant 1'!$AW$359</f>
        <v>0</v>
      </c>
      <c r="J209" s="547">
        <f ca="1">ROW(INDIRECT(RIGHT((_xlfn.FORMULATEXT($I209)),LEN(_xlfn.FORMULATEXT($I209))-1)))</f>
        <v>359</v>
      </c>
      <c r="K209" s="547">
        <f ca="1">COLUMN(INDIRECT(RIGHT((_xlfn.FORMULATEXT($I209)),LEN(_xlfn.FORMULATEXT($I209))-1)))</f>
        <v>49</v>
      </c>
      <c r="L209" s="31"/>
      <c r="M209" s="541" t="str">
        <f t="shared" ca="1" si="74"/>
        <v/>
      </c>
      <c r="N209" s="541" t="str">
        <f t="shared" ca="1" si="74"/>
        <v/>
      </c>
      <c r="O209" s="541" t="str">
        <f t="shared" ca="1" si="74"/>
        <v/>
      </c>
      <c r="P209" s="541" t="str">
        <f t="shared" ca="1" si="74"/>
        <v/>
      </c>
      <c r="Q209" s="541" t="str">
        <f t="shared" ca="1" si="74"/>
        <v/>
      </c>
      <c r="R209" s="541" t="str">
        <f t="shared" ca="1" si="74"/>
        <v/>
      </c>
      <c r="S209" s="4"/>
    </row>
    <row r="210" spans="1:19" ht="15">
      <c r="A210" s="820" t="s">
        <v>84</v>
      </c>
      <c r="B210" s="1189" t="s">
        <v>107</v>
      </c>
      <c r="C210" s="586"/>
      <c r="D210" s="57"/>
      <c r="E210" s="963" t="s">
        <v>325</v>
      </c>
      <c r="F210" s="963"/>
      <c r="G210" s="963" t="s">
        <v>334</v>
      </c>
      <c r="H210" s="31"/>
      <c r="I210" s="549"/>
      <c r="J210" s="549"/>
      <c r="K210" s="549"/>
      <c r="L210" s="31"/>
      <c r="M210" s="965" t="str">
        <f ca="1">IF(M$22=0,"",SUM(M206:M209))</f>
        <v/>
      </c>
      <c r="N210" s="965">
        <f ca="1">SUM(N206:N209)</f>
        <v>0</v>
      </c>
      <c r="O210" s="965">
        <f ca="1">SUM(O206:O209)</f>
        <v>0</v>
      </c>
      <c r="P210" s="965">
        <f ca="1">SUM(P206:P209)</f>
        <v>0</v>
      </c>
      <c r="Q210" s="965">
        <f ca="1">SUM(Q206:Q209)</f>
        <v>0</v>
      </c>
      <c r="R210" s="965">
        <f ca="1">SUM(R206:R209)</f>
        <v>0</v>
      </c>
      <c r="S210" s="4"/>
    </row>
    <row r="211" spans="1:19" s="534" customFormat="1" ht="5.25">
      <c r="A211" s="821" t="s">
        <v>84</v>
      </c>
      <c r="B211" s="1191" t="s">
        <v>107</v>
      </c>
      <c r="C211" s="581"/>
      <c r="D211" s="533"/>
      <c r="E211" s="564"/>
      <c r="F211" s="564"/>
      <c r="G211" s="564"/>
      <c r="H211" s="564"/>
      <c r="I211" s="565"/>
      <c r="J211" s="565"/>
      <c r="K211" s="565"/>
      <c r="L211" s="564"/>
      <c r="M211" s="564"/>
      <c r="N211" s="589"/>
      <c r="O211" s="564"/>
      <c r="P211" s="564"/>
      <c r="Q211" s="564"/>
      <c r="R211" s="564"/>
      <c r="S211" s="533"/>
    </row>
    <row r="212" spans="1:19" ht="15">
      <c r="A212" s="820" t="s">
        <v>84</v>
      </c>
      <c r="B212" s="1189" t="s">
        <v>107</v>
      </c>
      <c r="C212" s="586"/>
      <c r="D212" s="57"/>
      <c r="E212" s="1224" t="str">
        <f>"resultaten tov "&amp;$F$5</f>
        <v>resultaten tov variant 1</v>
      </c>
      <c r="F212" s="649"/>
      <c r="G212" s="1225" t="s">
        <v>334</v>
      </c>
      <c r="H212" s="31"/>
      <c r="I212" s="552"/>
      <c r="J212" s="552"/>
      <c r="K212" s="552"/>
      <c r="L212" s="31"/>
      <c r="M212" s="1226" t="str">
        <f t="shared" ref="M212:R212" ca="1" si="75">IF(M210="","",M210-INDEX($L210:$S210,MATCH($F$5,$L$8:$S$8,0)))</f>
        <v/>
      </c>
      <c r="N212" s="1226" t="e">
        <f t="shared" ca="1" si="75"/>
        <v>#VALUE!</v>
      </c>
      <c r="O212" s="1226" t="e">
        <f t="shared" ca="1" si="75"/>
        <v>#VALUE!</v>
      </c>
      <c r="P212" s="1226" t="e">
        <f t="shared" ca="1" si="75"/>
        <v>#VALUE!</v>
      </c>
      <c r="Q212" s="1226" t="e">
        <f t="shared" ca="1" si="75"/>
        <v>#VALUE!</v>
      </c>
      <c r="R212" s="1226" t="e">
        <f t="shared" ca="1" si="75"/>
        <v>#VALUE!</v>
      </c>
      <c r="S212" s="4"/>
    </row>
    <row r="213" spans="1:19" ht="15">
      <c r="A213" s="820" t="s">
        <v>84</v>
      </c>
      <c r="B213" s="1189" t="s">
        <v>107</v>
      </c>
      <c r="C213" s="586"/>
      <c r="D213" s="57"/>
      <c r="E213" s="652"/>
      <c r="F213" s="652"/>
      <c r="G213" s="1225" t="s">
        <v>139</v>
      </c>
      <c r="H213" s="31"/>
      <c r="I213" s="553"/>
      <c r="J213" s="553"/>
      <c r="K213" s="553"/>
      <c r="L213" s="31"/>
      <c r="M213" s="1227" t="str">
        <f t="shared" ref="M213:R213" ca="1" si="76">IFERROR(M212/INDEX($L210:$S210,MATCH($F$5,$L$8:$S$8,0)),"")</f>
        <v/>
      </c>
      <c r="N213" s="1227" t="str">
        <f t="shared" ca="1" si="76"/>
        <v/>
      </c>
      <c r="O213" s="1227" t="str">
        <f t="shared" ca="1" si="76"/>
        <v/>
      </c>
      <c r="P213" s="1227" t="str">
        <f t="shared" ca="1" si="76"/>
        <v/>
      </c>
      <c r="Q213" s="1227" t="str">
        <f t="shared" ca="1" si="76"/>
        <v/>
      </c>
      <c r="R213" s="1227" t="str">
        <f t="shared" ca="1" si="76"/>
        <v/>
      </c>
      <c r="S213" s="4"/>
    </row>
    <row r="214" spans="1:19" ht="15" hidden="1" collapsed="1">
      <c r="A214" s="825" t="s">
        <v>84</v>
      </c>
      <c r="B214" s="1189" t="s">
        <v>335</v>
      </c>
      <c r="C214" s="586"/>
      <c r="D214" s="57"/>
      <c r="E214" s="4"/>
      <c r="F214" s="4"/>
      <c r="G214" s="4"/>
      <c r="H214" s="31"/>
      <c r="I214" s="68"/>
      <c r="J214" s="68"/>
      <c r="K214" s="68"/>
      <c r="L214" s="31"/>
      <c r="M214" s="13"/>
      <c r="N214" s="13"/>
      <c r="O214" s="13"/>
      <c r="P214" s="13"/>
      <c r="Q214" s="13"/>
      <c r="R214" s="13"/>
      <c r="S214" s="4"/>
    </row>
    <row r="215" spans="1:19" ht="21" hidden="1">
      <c r="A215" s="820" t="s">
        <v>84</v>
      </c>
      <c r="B215" s="1189" t="s">
        <v>335</v>
      </c>
      <c r="C215" s="586"/>
      <c r="D215" s="57"/>
      <c r="E215" s="175" t="s">
        <v>336</v>
      </c>
      <c r="F215" s="175"/>
      <c r="G215" s="175"/>
      <c r="H215" s="4"/>
      <c r="I215" s="546"/>
      <c r="J215" s="546"/>
      <c r="K215" s="546"/>
      <c r="L215" s="31"/>
      <c r="M215" s="561"/>
      <c r="N215" s="561"/>
      <c r="O215" s="561"/>
      <c r="P215" s="561"/>
      <c r="Q215" s="561"/>
      <c r="R215" s="561"/>
      <c r="S215" s="4"/>
    </row>
    <row r="216" spans="1:19" ht="14.25" hidden="1">
      <c r="A216" s="825" t="s">
        <v>84</v>
      </c>
      <c r="B216" s="1189" t="s">
        <v>335</v>
      </c>
      <c r="C216" s="586"/>
      <c r="D216" s="57"/>
      <c r="E216" s="304" t="str">
        <f>'variant 1'!$E$62</f>
        <v>verwarming</v>
      </c>
      <c r="F216" s="180"/>
      <c r="G216" s="180" t="s">
        <v>337</v>
      </c>
      <c r="H216" s="31"/>
      <c r="I216" s="551">
        <f>'variant 1'!$M$345</f>
        <v>0</v>
      </c>
      <c r="J216" s="547">
        <f t="shared" ref="J216:J224" ca="1" si="77">ROW(INDIRECT(RIGHT((_xlfn.FORMULATEXT($I216)),LEN(_xlfn.FORMULATEXT($I216))-1)))</f>
        <v>345</v>
      </c>
      <c r="K216" s="547">
        <f t="shared" ref="K216:K224" ca="1" si="78">COLUMN(INDIRECT(RIGHT((_xlfn.FORMULATEXT($I216)),LEN(_xlfn.FORMULATEXT($I216))-1)))</f>
        <v>13</v>
      </c>
      <c r="L216" s="31"/>
      <c r="M216" s="168" t="str">
        <f t="shared" ref="M216:R224" ca="1" si="79">IF(M$22=0,"",IFERROR(IF(INDIRECT(ADDRESS($J216,$K216,,,M$8))=0,"",INDIRECT(ADDRESS($J216,$K216,,,M$8))),""))</f>
        <v/>
      </c>
      <c r="N216" s="168" t="str">
        <f t="shared" ca="1" si="79"/>
        <v/>
      </c>
      <c r="O216" s="168" t="str">
        <f t="shared" ca="1" si="79"/>
        <v/>
      </c>
      <c r="P216" s="168" t="str">
        <f t="shared" ca="1" si="79"/>
        <v/>
      </c>
      <c r="Q216" s="168" t="str">
        <f t="shared" ca="1" si="79"/>
        <v/>
      </c>
      <c r="R216" s="168" t="str">
        <f t="shared" ca="1" si="79"/>
        <v/>
      </c>
      <c r="S216" s="4"/>
    </row>
    <row r="217" spans="1:19" ht="14.25" hidden="1">
      <c r="A217" s="825" t="s">
        <v>84</v>
      </c>
      <c r="B217" s="1189" t="s">
        <v>335</v>
      </c>
      <c r="C217" s="586"/>
      <c r="D217" s="57"/>
      <c r="E217" s="304" t="str">
        <f>'variant 1'!$E$64</f>
        <v>koeling</v>
      </c>
      <c r="F217" s="180"/>
      <c r="G217" s="180" t="s">
        <v>337</v>
      </c>
      <c r="H217" s="31"/>
      <c r="I217" s="551">
        <f>'variant 1'!$M$346</f>
        <v>0</v>
      </c>
      <c r="J217" s="547">
        <f t="shared" ca="1" si="77"/>
        <v>346</v>
      </c>
      <c r="K217" s="547">
        <f t="shared" ca="1" si="78"/>
        <v>13</v>
      </c>
      <c r="L217" s="31"/>
      <c r="M217" s="168" t="str">
        <f t="shared" ca="1" si="79"/>
        <v/>
      </c>
      <c r="N217" s="168" t="str">
        <f t="shared" ca="1" si="79"/>
        <v/>
      </c>
      <c r="O217" s="168" t="str">
        <f t="shared" ca="1" si="79"/>
        <v/>
      </c>
      <c r="P217" s="168" t="str">
        <f t="shared" ca="1" si="79"/>
        <v/>
      </c>
      <c r="Q217" s="168" t="str">
        <f t="shared" ca="1" si="79"/>
        <v/>
      </c>
      <c r="R217" s="168" t="str">
        <f t="shared" ca="1" si="79"/>
        <v/>
      </c>
      <c r="S217" s="4"/>
    </row>
    <row r="218" spans="1:19" ht="14.25" hidden="1">
      <c r="A218" s="825" t="s">
        <v>84</v>
      </c>
      <c r="B218" s="1189" t="s">
        <v>335</v>
      </c>
      <c r="C218" s="586"/>
      <c r="D218" s="57"/>
      <c r="E218" s="304" t="str">
        <f>'variant 1'!$E$65</f>
        <v>tapwater</v>
      </c>
      <c r="F218" s="180"/>
      <c r="G218" s="180" t="s">
        <v>337</v>
      </c>
      <c r="H218" s="31"/>
      <c r="I218" s="551">
        <f>'variant 1'!$M$347</f>
        <v>0</v>
      </c>
      <c r="J218" s="547">
        <f t="shared" ca="1" si="77"/>
        <v>347</v>
      </c>
      <c r="K218" s="547">
        <f t="shared" ca="1" si="78"/>
        <v>13</v>
      </c>
      <c r="L218" s="31"/>
      <c r="M218" s="168" t="str">
        <f t="shared" ca="1" si="79"/>
        <v/>
      </c>
      <c r="N218" s="168" t="str">
        <f t="shared" ca="1" si="79"/>
        <v/>
      </c>
      <c r="O218" s="168" t="str">
        <f t="shared" ca="1" si="79"/>
        <v/>
      </c>
      <c r="P218" s="168" t="str">
        <f t="shared" ca="1" si="79"/>
        <v/>
      </c>
      <c r="Q218" s="168" t="str">
        <f t="shared" ca="1" si="79"/>
        <v/>
      </c>
      <c r="R218" s="168" t="str">
        <f t="shared" ca="1" si="79"/>
        <v/>
      </c>
      <c r="S218" s="4"/>
    </row>
    <row r="219" spans="1:19" ht="14.25" hidden="1">
      <c r="A219" s="825" t="s">
        <v>84</v>
      </c>
      <c r="B219" s="1189" t="s">
        <v>335</v>
      </c>
      <c r="C219" s="586"/>
      <c r="D219" s="57"/>
      <c r="E219" s="304" t="str">
        <f>'variant 1'!$E$66</f>
        <v>verlichting</v>
      </c>
      <c r="F219" s="180"/>
      <c r="G219" s="180" t="s">
        <v>337</v>
      </c>
      <c r="H219" s="31"/>
      <c r="I219" s="551">
        <f>'variant 1'!$M$348</f>
        <v>0</v>
      </c>
      <c r="J219" s="547">
        <f t="shared" ca="1" si="77"/>
        <v>348</v>
      </c>
      <c r="K219" s="547">
        <f t="shared" ca="1" si="78"/>
        <v>13</v>
      </c>
      <c r="L219" s="31"/>
      <c r="M219" s="168" t="str">
        <f t="shared" ca="1" si="79"/>
        <v/>
      </c>
      <c r="N219" s="168" t="str">
        <f t="shared" ca="1" si="79"/>
        <v/>
      </c>
      <c r="O219" s="168" t="str">
        <f t="shared" ca="1" si="79"/>
        <v/>
      </c>
      <c r="P219" s="168" t="str">
        <f t="shared" ca="1" si="79"/>
        <v/>
      </c>
      <c r="Q219" s="168" t="str">
        <f t="shared" ca="1" si="79"/>
        <v/>
      </c>
      <c r="R219" s="168" t="str">
        <f t="shared" ca="1" si="79"/>
        <v/>
      </c>
      <c r="S219" s="4"/>
    </row>
    <row r="220" spans="1:19" ht="14.25" hidden="1">
      <c r="A220" s="825" t="s">
        <v>84</v>
      </c>
      <c r="B220" s="1189" t="s">
        <v>335</v>
      </c>
      <c r="C220" s="586"/>
      <c r="D220" s="57"/>
      <c r="E220" s="304" t="str">
        <f>'variant 1'!$E$67</f>
        <v>ventilatoren</v>
      </c>
      <c r="F220" s="180"/>
      <c r="G220" s="180" t="s">
        <v>337</v>
      </c>
      <c r="H220" s="31"/>
      <c r="I220" s="551">
        <f>'variant 1'!$M$349</f>
        <v>0</v>
      </c>
      <c r="J220" s="547">
        <f t="shared" ca="1" si="77"/>
        <v>349</v>
      </c>
      <c r="K220" s="547">
        <f t="shared" ca="1" si="78"/>
        <v>13</v>
      </c>
      <c r="L220" s="31"/>
      <c r="M220" s="168" t="str">
        <f t="shared" ca="1" si="79"/>
        <v/>
      </c>
      <c r="N220" s="168" t="str">
        <f t="shared" ca="1" si="79"/>
        <v/>
      </c>
      <c r="O220" s="168" t="str">
        <f t="shared" ca="1" si="79"/>
        <v/>
      </c>
      <c r="P220" s="168" t="str">
        <f t="shared" ca="1" si="79"/>
        <v/>
      </c>
      <c r="Q220" s="168" t="str">
        <f t="shared" ca="1" si="79"/>
        <v/>
      </c>
      <c r="R220" s="168" t="str">
        <f t="shared" ca="1" si="79"/>
        <v/>
      </c>
      <c r="S220" s="4"/>
    </row>
    <row r="221" spans="1:19" ht="14.25" hidden="1">
      <c r="A221" s="825" t="s">
        <v>84</v>
      </c>
      <c r="B221" s="1189" t="s">
        <v>335</v>
      </c>
      <c r="C221" s="586"/>
      <c r="D221" s="57"/>
      <c r="E221" s="304" t="str">
        <f>'variant 1'!$E$69</f>
        <v>overig elektra</v>
      </c>
      <c r="F221" s="180"/>
      <c r="G221" s="180" t="s">
        <v>337</v>
      </c>
      <c r="H221" s="31"/>
      <c r="I221" s="551">
        <f>'variant 1'!$M$351</f>
        <v>0</v>
      </c>
      <c r="J221" s="547">
        <f t="shared" ca="1" si="77"/>
        <v>351</v>
      </c>
      <c r="K221" s="547">
        <f t="shared" ca="1" si="78"/>
        <v>13</v>
      </c>
      <c r="L221" s="31"/>
      <c r="M221" s="168" t="str">
        <f t="shared" ca="1" si="79"/>
        <v/>
      </c>
      <c r="N221" s="168" t="str">
        <f t="shared" ca="1" si="79"/>
        <v/>
      </c>
      <c r="O221" s="168" t="str">
        <f t="shared" ca="1" si="79"/>
        <v/>
      </c>
      <c r="P221" s="168" t="str">
        <f t="shared" ca="1" si="79"/>
        <v/>
      </c>
      <c r="Q221" s="168" t="str">
        <f t="shared" ca="1" si="79"/>
        <v/>
      </c>
      <c r="R221" s="168" t="str">
        <f t="shared" ca="1" si="79"/>
        <v/>
      </c>
      <c r="S221" s="4"/>
    </row>
    <row r="222" spans="1:19" ht="14.25" hidden="1">
      <c r="A222" s="825" t="s">
        <v>84</v>
      </c>
      <c r="B222" s="1189" t="s">
        <v>335</v>
      </c>
      <c r="C222" s="586"/>
      <c r="D222" s="57"/>
      <c r="E222" s="304" t="str">
        <f>'variant 1'!$E$71</f>
        <v>mobiliteit</v>
      </c>
      <c r="F222" s="180"/>
      <c r="G222" s="180" t="s">
        <v>337</v>
      </c>
      <c r="H222" s="31"/>
      <c r="I222" s="551">
        <f>'variant 1'!$M$352</f>
        <v>0</v>
      </c>
      <c r="J222" s="547">
        <f t="shared" ca="1" si="77"/>
        <v>352</v>
      </c>
      <c r="K222" s="547">
        <f t="shared" ca="1" si="78"/>
        <v>13</v>
      </c>
      <c r="L222" s="31"/>
      <c r="M222" s="168" t="str">
        <f t="shared" ca="1" si="79"/>
        <v/>
      </c>
      <c r="N222" s="168" t="str">
        <f t="shared" ca="1" si="79"/>
        <v/>
      </c>
      <c r="O222" s="168" t="str">
        <f t="shared" ca="1" si="79"/>
        <v/>
      </c>
      <c r="P222" s="168" t="str">
        <f t="shared" ca="1" si="79"/>
        <v/>
      </c>
      <c r="Q222" s="168" t="str">
        <f t="shared" ca="1" si="79"/>
        <v/>
      </c>
      <c r="R222" s="168" t="str">
        <f t="shared" ca="1" si="79"/>
        <v/>
      </c>
      <c r="S222" s="4"/>
    </row>
    <row r="223" spans="1:19" ht="14.25" hidden="1">
      <c r="A223" s="825" t="s">
        <v>84</v>
      </c>
      <c r="B223" s="1189" t="s">
        <v>335</v>
      </c>
      <c r="C223" s="586"/>
      <c r="D223" s="57"/>
      <c r="E223" s="304" t="str">
        <f>'variant 1'!$E$355</f>
        <v>warmtekracht (vermeden CO2 emissie)</v>
      </c>
      <c r="F223" s="180"/>
      <c r="G223" s="180" t="s">
        <v>337</v>
      </c>
      <c r="H223" s="31"/>
      <c r="I223" s="551">
        <f>'variant 1'!$M$355</f>
        <v>0</v>
      </c>
      <c r="J223" s="547">
        <f t="shared" ca="1" si="77"/>
        <v>355</v>
      </c>
      <c r="K223" s="547">
        <f t="shared" ca="1" si="78"/>
        <v>13</v>
      </c>
      <c r="L223" s="31"/>
      <c r="M223" s="168" t="str">
        <f t="shared" ca="1" si="79"/>
        <v/>
      </c>
      <c r="N223" s="168" t="str">
        <f t="shared" ca="1" si="79"/>
        <v/>
      </c>
      <c r="O223" s="168" t="str">
        <f t="shared" ca="1" si="79"/>
        <v/>
      </c>
      <c r="P223" s="168" t="str">
        <f t="shared" ca="1" si="79"/>
        <v/>
      </c>
      <c r="Q223" s="168" t="str">
        <f t="shared" ca="1" si="79"/>
        <v/>
      </c>
      <c r="R223" s="168" t="str">
        <f t="shared" ca="1" si="79"/>
        <v/>
      </c>
      <c r="S223" s="4"/>
    </row>
    <row r="224" spans="1:19" ht="14.25" hidden="1">
      <c r="A224" s="825" t="s">
        <v>84</v>
      </c>
      <c r="B224" s="1189" t="s">
        <v>335</v>
      </c>
      <c r="C224" s="586"/>
      <c r="D224" s="57"/>
      <c r="E224" s="964" t="str">
        <f>'variant 1'!$E$356</f>
        <v>zonnepanelen (vermeden CO2 emissie)</v>
      </c>
      <c r="F224" s="254"/>
      <c r="G224" s="254" t="s">
        <v>337</v>
      </c>
      <c r="H224" s="31"/>
      <c r="I224" s="551">
        <f>'variant 1'!$M$356</f>
        <v>0</v>
      </c>
      <c r="J224" s="547">
        <f t="shared" ca="1" si="77"/>
        <v>356</v>
      </c>
      <c r="K224" s="547">
        <f t="shared" ca="1" si="78"/>
        <v>13</v>
      </c>
      <c r="L224" s="31"/>
      <c r="M224" s="541" t="str">
        <f t="shared" ca="1" si="79"/>
        <v/>
      </c>
      <c r="N224" s="541" t="str">
        <f t="shared" ca="1" si="79"/>
        <v/>
      </c>
      <c r="O224" s="541" t="str">
        <f t="shared" ca="1" si="79"/>
        <v/>
      </c>
      <c r="P224" s="541" t="str">
        <f t="shared" ca="1" si="79"/>
        <v/>
      </c>
      <c r="Q224" s="541" t="str">
        <f t="shared" ca="1" si="79"/>
        <v/>
      </c>
      <c r="R224" s="541" t="str">
        <f t="shared" ca="1" si="79"/>
        <v/>
      </c>
      <c r="S224" s="4"/>
    </row>
    <row r="225" spans="1:19" ht="15" hidden="1">
      <c r="A225" s="825" t="s">
        <v>84</v>
      </c>
      <c r="B225" s="1189" t="s">
        <v>335</v>
      </c>
      <c r="C225" s="586"/>
      <c r="D225" s="57"/>
      <c r="E225" s="963" t="s">
        <v>232</v>
      </c>
      <c r="F225" s="963"/>
      <c r="G225" s="963" t="s">
        <v>337</v>
      </c>
      <c r="H225" s="31"/>
      <c r="I225" s="549"/>
      <c r="J225" s="549"/>
      <c r="K225" s="549"/>
      <c r="L225" s="31"/>
      <c r="M225" s="965" t="str">
        <f t="shared" ref="M225:R225" ca="1" si="80">IF(M216="","",SUM(M216:M224))</f>
        <v/>
      </c>
      <c r="N225" s="965" t="str">
        <f t="shared" ca="1" si="80"/>
        <v/>
      </c>
      <c r="O225" s="965" t="str">
        <f t="shared" ca="1" si="80"/>
        <v/>
      </c>
      <c r="P225" s="965" t="str">
        <f t="shared" ca="1" si="80"/>
        <v/>
      </c>
      <c r="Q225" s="965" t="str">
        <f t="shared" ca="1" si="80"/>
        <v/>
      </c>
      <c r="R225" s="965" t="str">
        <f t="shared" ca="1" si="80"/>
        <v/>
      </c>
      <c r="S225" s="4"/>
    </row>
    <row r="226" spans="1:19" s="534" customFormat="1" ht="5.25" hidden="1">
      <c r="A226" s="821" t="s">
        <v>84</v>
      </c>
      <c r="B226" s="1191" t="s">
        <v>335</v>
      </c>
      <c r="C226" s="581"/>
      <c r="D226" s="533"/>
      <c r="E226" s="564"/>
      <c r="F226" s="564"/>
      <c r="G226" s="564"/>
      <c r="H226" s="564"/>
      <c r="I226" s="565"/>
      <c r="J226" s="565"/>
      <c r="K226" s="565"/>
      <c r="L226" s="564"/>
      <c r="M226" s="564"/>
      <c r="N226" s="589"/>
      <c r="O226" s="564"/>
      <c r="P226" s="564"/>
      <c r="Q226" s="564"/>
      <c r="R226" s="564"/>
      <c r="S226" s="533"/>
    </row>
    <row r="227" spans="1:19" ht="15" hidden="1">
      <c r="A227" s="820" t="s">
        <v>84</v>
      </c>
      <c r="B227" s="1189" t="s">
        <v>335</v>
      </c>
      <c r="C227" s="586"/>
      <c r="D227" s="57"/>
      <c r="E227" s="649" t="str">
        <f>"resultaten tov "&amp;$F$5</f>
        <v>resultaten tov variant 1</v>
      </c>
      <c r="F227" s="649"/>
      <c r="G227" s="650" t="s">
        <v>337</v>
      </c>
      <c r="H227" s="31"/>
      <c r="I227" s="552"/>
      <c r="J227" s="552"/>
      <c r="K227" s="552"/>
      <c r="L227" s="31"/>
      <c r="M227" s="651" t="str">
        <f t="shared" ref="M227:R227" ca="1" si="81">IF(M225="","",M225-INDEX($L225:$S225,MATCH($F$5,$L$8:$S$8,0)))</f>
        <v/>
      </c>
      <c r="N227" s="651" t="str">
        <f t="shared" ca="1" si="81"/>
        <v/>
      </c>
      <c r="O227" s="651" t="str">
        <f t="shared" ca="1" si="81"/>
        <v/>
      </c>
      <c r="P227" s="651" t="str">
        <f t="shared" ca="1" si="81"/>
        <v/>
      </c>
      <c r="Q227" s="651" t="str">
        <f t="shared" ca="1" si="81"/>
        <v/>
      </c>
      <c r="R227" s="651" t="str">
        <f t="shared" ca="1" si="81"/>
        <v/>
      </c>
      <c r="S227" s="4"/>
    </row>
    <row r="228" spans="1:19" ht="15" hidden="1">
      <c r="A228" s="820" t="s">
        <v>84</v>
      </c>
      <c r="B228" s="1189" t="s">
        <v>335</v>
      </c>
      <c r="C228" s="586"/>
      <c r="D228" s="57"/>
      <c r="E228" s="652"/>
      <c r="F228" s="652"/>
      <c r="G228" s="650" t="s">
        <v>139</v>
      </c>
      <c r="H228" s="31"/>
      <c r="I228" s="553"/>
      <c r="J228" s="553"/>
      <c r="K228" s="553"/>
      <c r="L228" s="31"/>
      <c r="M228" s="656" t="str">
        <f t="shared" ref="M228:R228" ca="1" si="82">IFERROR(M227/INDEX($L225:$S225,MATCH($F$5,$L$8:$S$8,0)),"")</f>
        <v/>
      </c>
      <c r="N228" s="656" t="str">
        <f t="shared" ca="1" si="82"/>
        <v/>
      </c>
      <c r="O228" s="656" t="str">
        <f t="shared" ca="1" si="82"/>
        <v/>
      </c>
      <c r="P228" s="656" t="str">
        <f t="shared" ca="1" si="82"/>
        <v/>
      </c>
      <c r="Q228" s="656" t="str">
        <f t="shared" ca="1" si="82"/>
        <v/>
      </c>
      <c r="R228" s="656" t="str">
        <f t="shared" ca="1" si="82"/>
        <v/>
      </c>
      <c r="S228" s="4"/>
    </row>
    <row r="229" spans="1:19" ht="15" hidden="1">
      <c r="A229" s="825" t="s">
        <v>84</v>
      </c>
      <c r="B229" s="1189" t="s">
        <v>335</v>
      </c>
      <c r="C229" s="586"/>
      <c r="D229" s="57"/>
      <c r="E229" s="4"/>
      <c r="F229" s="4"/>
      <c r="G229" s="4"/>
      <c r="H229" s="31"/>
      <c r="I229" s="68"/>
      <c r="J229" s="68"/>
      <c r="K229" s="68"/>
      <c r="L229" s="31"/>
      <c r="M229" s="13"/>
      <c r="N229" s="13"/>
      <c r="O229" s="13"/>
      <c r="P229" s="13"/>
      <c r="Q229" s="13"/>
      <c r="R229" s="13"/>
      <c r="S229" s="4"/>
    </row>
    <row r="230" spans="1:19" ht="21" hidden="1">
      <c r="A230" s="820" t="s">
        <v>84</v>
      </c>
      <c r="B230" s="1189" t="s">
        <v>335</v>
      </c>
      <c r="C230" s="586"/>
      <c r="D230" s="57"/>
      <c r="E230" s="175" t="s">
        <v>338</v>
      </c>
      <c r="F230" s="175"/>
      <c r="G230" s="175"/>
      <c r="H230" s="4"/>
      <c r="I230" s="546"/>
      <c r="J230" s="546"/>
      <c r="K230" s="546"/>
      <c r="L230" s="31"/>
      <c r="M230" s="561"/>
      <c r="N230" s="561"/>
      <c r="O230" s="561"/>
      <c r="P230" s="561"/>
      <c r="Q230" s="561"/>
      <c r="R230" s="561"/>
      <c r="S230" s="4"/>
    </row>
    <row r="231" spans="1:19" ht="14.25" hidden="1">
      <c r="A231" s="825" t="s">
        <v>84</v>
      </c>
      <c r="B231" s="1189" t="s">
        <v>335</v>
      </c>
      <c r="C231" s="586"/>
      <c r="D231" s="57"/>
      <c r="E231" s="304" t="str">
        <f>'variant 1'!$E$62</f>
        <v>verwarming</v>
      </c>
      <c r="F231" s="180"/>
      <c r="G231" s="180" t="s">
        <v>337</v>
      </c>
      <c r="H231" s="31"/>
      <c r="I231" s="551">
        <f>'variant 1'!$Y$345</f>
        <v>0</v>
      </c>
      <c r="J231" s="547">
        <f t="shared" ref="J231:J239" ca="1" si="83">ROW(INDIRECT(RIGHT((_xlfn.FORMULATEXT($I231)),LEN(_xlfn.FORMULATEXT($I231))-1)))</f>
        <v>345</v>
      </c>
      <c r="K231" s="547">
        <f t="shared" ref="K231:K239" ca="1" si="84">COLUMN(INDIRECT(RIGHT((_xlfn.FORMULATEXT($I231)),LEN(_xlfn.FORMULATEXT($I231))-1)))</f>
        <v>25</v>
      </c>
      <c r="L231" s="31"/>
      <c r="M231" s="168" t="str">
        <f t="shared" ref="M231:R239" ca="1" si="85">IF(M$22=0,"",IFERROR(IF(INDIRECT(ADDRESS($J231,$K231,,,M$8))=0,"",INDIRECT(ADDRESS($J231,$K231,,,M$8))),""))</f>
        <v/>
      </c>
      <c r="N231" s="168" t="str">
        <f t="shared" ca="1" si="85"/>
        <v/>
      </c>
      <c r="O231" s="168" t="str">
        <f t="shared" ca="1" si="85"/>
        <v/>
      </c>
      <c r="P231" s="168" t="str">
        <f t="shared" ca="1" si="85"/>
        <v/>
      </c>
      <c r="Q231" s="168" t="str">
        <f t="shared" ca="1" si="85"/>
        <v/>
      </c>
      <c r="R231" s="168" t="str">
        <f t="shared" ca="1" si="85"/>
        <v/>
      </c>
      <c r="S231" s="4"/>
    </row>
    <row r="232" spans="1:19" ht="14.25" hidden="1">
      <c r="A232" s="825" t="s">
        <v>84</v>
      </c>
      <c r="B232" s="1189" t="s">
        <v>335</v>
      </c>
      <c r="C232" s="586"/>
      <c r="D232" s="57"/>
      <c r="E232" s="304" t="str">
        <f>'variant 1'!$E$64</f>
        <v>koeling</v>
      </c>
      <c r="F232" s="180"/>
      <c r="G232" s="180" t="s">
        <v>337</v>
      </c>
      <c r="H232" s="31"/>
      <c r="I232" s="551">
        <f>'variant 1'!$Y$346</f>
        <v>0</v>
      </c>
      <c r="J232" s="547">
        <f t="shared" ca="1" si="83"/>
        <v>346</v>
      </c>
      <c r="K232" s="547">
        <f t="shared" ca="1" si="84"/>
        <v>25</v>
      </c>
      <c r="L232" s="31"/>
      <c r="M232" s="168" t="str">
        <f t="shared" ca="1" si="85"/>
        <v/>
      </c>
      <c r="N232" s="168" t="str">
        <f t="shared" ca="1" si="85"/>
        <v/>
      </c>
      <c r="O232" s="168" t="str">
        <f t="shared" ca="1" si="85"/>
        <v/>
      </c>
      <c r="P232" s="168" t="str">
        <f t="shared" ca="1" si="85"/>
        <v/>
      </c>
      <c r="Q232" s="168" t="str">
        <f t="shared" ca="1" si="85"/>
        <v/>
      </c>
      <c r="R232" s="168" t="str">
        <f t="shared" ca="1" si="85"/>
        <v/>
      </c>
      <c r="S232" s="4"/>
    </row>
    <row r="233" spans="1:19" ht="14.25" hidden="1">
      <c r="A233" s="825" t="s">
        <v>84</v>
      </c>
      <c r="B233" s="1189" t="s">
        <v>335</v>
      </c>
      <c r="C233" s="586"/>
      <c r="D233" s="57"/>
      <c r="E233" s="304" t="str">
        <f>'variant 1'!$E$65</f>
        <v>tapwater</v>
      </c>
      <c r="F233" s="180"/>
      <c r="G233" s="180" t="s">
        <v>337</v>
      </c>
      <c r="H233" s="31"/>
      <c r="I233" s="551">
        <f>'variant 1'!$Y$347</f>
        <v>0</v>
      </c>
      <c r="J233" s="547">
        <f t="shared" ca="1" si="83"/>
        <v>347</v>
      </c>
      <c r="K233" s="547">
        <f t="shared" ca="1" si="84"/>
        <v>25</v>
      </c>
      <c r="L233" s="31"/>
      <c r="M233" s="168" t="str">
        <f t="shared" ca="1" si="85"/>
        <v/>
      </c>
      <c r="N233" s="168" t="str">
        <f t="shared" ca="1" si="85"/>
        <v/>
      </c>
      <c r="O233" s="168" t="str">
        <f t="shared" ca="1" si="85"/>
        <v/>
      </c>
      <c r="P233" s="168" t="str">
        <f t="shared" ca="1" si="85"/>
        <v/>
      </c>
      <c r="Q233" s="168" t="str">
        <f t="shared" ca="1" si="85"/>
        <v/>
      </c>
      <c r="R233" s="168" t="str">
        <f t="shared" ca="1" si="85"/>
        <v/>
      </c>
      <c r="S233" s="4"/>
    </row>
    <row r="234" spans="1:19" ht="14.25" hidden="1">
      <c r="A234" s="825" t="s">
        <v>84</v>
      </c>
      <c r="B234" s="1189" t="s">
        <v>335</v>
      </c>
      <c r="C234" s="586"/>
      <c r="D234" s="57"/>
      <c r="E234" s="304" t="str">
        <f>'variant 1'!$E$66</f>
        <v>verlichting</v>
      </c>
      <c r="F234" s="180"/>
      <c r="G234" s="180" t="s">
        <v>337</v>
      </c>
      <c r="H234" s="31"/>
      <c r="I234" s="551">
        <f>'variant 1'!$Y$348</f>
        <v>0</v>
      </c>
      <c r="J234" s="547">
        <f t="shared" ca="1" si="83"/>
        <v>348</v>
      </c>
      <c r="K234" s="547">
        <f t="shared" ca="1" si="84"/>
        <v>25</v>
      </c>
      <c r="L234" s="31"/>
      <c r="M234" s="168" t="str">
        <f t="shared" ca="1" si="85"/>
        <v/>
      </c>
      <c r="N234" s="168" t="str">
        <f t="shared" ca="1" si="85"/>
        <v/>
      </c>
      <c r="O234" s="168" t="str">
        <f t="shared" ca="1" si="85"/>
        <v/>
      </c>
      <c r="P234" s="168" t="str">
        <f t="shared" ca="1" si="85"/>
        <v/>
      </c>
      <c r="Q234" s="168" t="str">
        <f t="shared" ca="1" si="85"/>
        <v/>
      </c>
      <c r="R234" s="168" t="str">
        <f t="shared" ca="1" si="85"/>
        <v/>
      </c>
      <c r="S234" s="4"/>
    </row>
    <row r="235" spans="1:19" ht="14.25" hidden="1">
      <c r="A235" s="825" t="s">
        <v>84</v>
      </c>
      <c r="B235" s="1189" t="s">
        <v>335</v>
      </c>
      <c r="C235" s="586"/>
      <c r="D235" s="57"/>
      <c r="E235" s="304" t="str">
        <f>'variant 1'!$E$67</f>
        <v>ventilatoren</v>
      </c>
      <c r="F235" s="180"/>
      <c r="G235" s="180" t="s">
        <v>337</v>
      </c>
      <c r="H235" s="31"/>
      <c r="I235" s="551">
        <f>'variant 1'!$Y$349</f>
        <v>0</v>
      </c>
      <c r="J235" s="547">
        <f t="shared" ca="1" si="83"/>
        <v>349</v>
      </c>
      <c r="K235" s="547">
        <f t="shared" ca="1" si="84"/>
        <v>25</v>
      </c>
      <c r="L235" s="31"/>
      <c r="M235" s="168" t="str">
        <f t="shared" ca="1" si="85"/>
        <v/>
      </c>
      <c r="N235" s="168" t="str">
        <f t="shared" ca="1" si="85"/>
        <v/>
      </c>
      <c r="O235" s="168" t="str">
        <f t="shared" ca="1" si="85"/>
        <v/>
      </c>
      <c r="P235" s="168" t="str">
        <f t="shared" ca="1" si="85"/>
        <v/>
      </c>
      <c r="Q235" s="168" t="str">
        <f t="shared" ca="1" si="85"/>
        <v/>
      </c>
      <c r="R235" s="168" t="str">
        <f t="shared" ca="1" si="85"/>
        <v/>
      </c>
      <c r="S235" s="4"/>
    </row>
    <row r="236" spans="1:19" ht="14.25" hidden="1">
      <c r="A236" s="825" t="s">
        <v>84</v>
      </c>
      <c r="B236" s="1189" t="s">
        <v>335</v>
      </c>
      <c r="C236" s="586"/>
      <c r="D236" s="57"/>
      <c r="E236" s="304" t="str">
        <f>'variant 1'!$E$69</f>
        <v>overig elektra</v>
      </c>
      <c r="F236" s="180"/>
      <c r="G236" s="180" t="s">
        <v>337</v>
      </c>
      <c r="H236" s="31"/>
      <c r="I236" s="551">
        <f>'variant 1'!$Y$351</f>
        <v>0</v>
      </c>
      <c r="J236" s="547">
        <f t="shared" ca="1" si="83"/>
        <v>351</v>
      </c>
      <c r="K236" s="547">
        <f t="shared" ca="1" si="84"/>
        <v>25</v>
      </c>
      <c r="L236" s="31"/>
      <c r="M236" s="168" t="str">
        <f t="shared" ca="1" si="85"/>
        <v/>
      </c>
      <c r="N236" s="168" t="str">
        <f t="shared" ca="1" si="85"/>
        <v/>
      </c>
      <c r="O236" s="168" t="str">
        <f t="shared" ca="1" si="85"/>
        <v/>
      </c>
      <c r="P236" s="168" t="str">
        <f t="shared" ca="1" si="85"/>
        <v/>
      </c>
      <c r="Q236" s="168" t="str">
        <f t="shared" ca="1" si="85"/>
        <v/>
      </c>
      <c r="R236" s="168" t="str">
        <f t="shared" ca="1" si="85"/>
        <v/>
      </c>
      <c r="S236" s="4"/>
    </row>
    <row r="237" spans="1:19" ht="14.25" hidden="1">
      <c r="A237" s="825" t="s">
        <v>84</v>
      </c>
      <c r="B237" s="1189" t="s">
        <v>335</v>
      </c>
      <c r="C237" s="586"/>
      <c r="D237" s="57"/>
      <c r="E237" s="304" t="str">
        <f>'variant 1'!$E$71</f>
        <v>mobiliteit</v>
      </c>
      <c r="F237" s="180"/>
      <c r="G237" s="180" t="s">
        <v>337</v>
      </c>
      <c r="H237" s="31"/>
      <c r="I237" s="551">
        <f>'variant 1'!$Y$352</f>
        <v>0</v>
      </c>
      <c r="J237" s="547">
        <f t="shared" ca="1" si="83"/>
        <v>352</v>
      </c>
      <c r="K237" s="547">
        <f t="shared" ca="1" si="84"/>
        <v>25</v>
      </c>
      <c r="L237" s="31"/>
      <c r="M237" s="168" t="str">
        <f t="shared" ca="1" si="85"/>
        <v/>
      </c>
      <c r="N237" s="168" t="str">
        <f t="shared" ca="1" si="85"/>
        <v/>
      </c>
      <c r="O237" s="168" t="str">
        <f t="shared" ca="1" si="85"/>
        <v/>
      </c>
      <c r="P237" s="168" t="str">
        <f t="shared" ca="1" si="85"/>
        <v/>
      </c>
      <c r="Q237" s="168" t="str">
        <f t="shared" ca="1" si="85"/>
        <v/>
      </c>
      <c r="R237" s="168" t="str">
        <f t="shared" ca="1" si="85"/>
        <v/>
      </c>
      <c r="S237" s="4"/>
    </row>
    <row r="238" spans="1:19" ht="14.25" hidden="1">
      <c r="A238" s="825" t="s">
        <v>84</v>
      </c>
      <c r="B238" s="1189" t="s">
        <v>335</v>
      </c>
      <c r="C238" s="586"/>
      <c r="D238" s="57"/>
      <c r="E238" s="304" t="str">
        <f>'variant 1'!$E$355</f>
        <v>warmtekracht (vermeden CO2 emissie)</v>
      </c>
      <c r="F238" s="180"/>
      <c r="G238" s="180" t="s">
        <v>337</v>
      </c>
      <c r="H238" s="31"/>
      <c r="I238" s="551">
        <f>'variant 1'!$Y$355</f>
        <v>0</v>
      </c>
      <c r="J238" s="547">
        <f t="shared" ca="1" si="83"/>
        <v>355</v>
      </c>
      <c r="K238" s="547">
        <f t="shared" ca="1" si="84"/>
        <v>25</v>
      </c>
      <c r="L238" s="31"/>
      <c r="M238" s="168" t="str">
        <f t="shared" ca="1" si="85"/>
        <v/>
      </c>
      <c r="N238" s="168" t="str">
        <f t="shared" ca="1" si="85"/>
        <v/>
      </c>
      <c r="O238" s="168" t="str">
        <f t="shared" ca="1" si="85"/>
        <v/>
      </c>
      <c r="P238" s="168" t="str">
        <f t="shared" ca="1" si="85"/>
        <v/>
      </c>
      <c r="Q238" s="168" t="str">
        <f t="shared" ca="1" si="85"/>
        <v/>
      </c>
      <c r="R238" s="168" t="str">
        <f t="shared" ca="1" si="85"/>
        <v/>
      </c>
      <c r="S238" s="4"/>
    </row>
    <row r="239" spans="1:19" ht="14.25" hidden="1">
      <c r="A239" s="825" t="s">
        <v>84</v>
      </c>
      <c r="B239" s="1189" t="s">
        <v>335</v>
      </c>
      <c r="C239" s="586"/>
      <c r="D239" s="57"/>
      <c r="E239" s="964" t="str">
        <f>'variant 1'!$E$356</f>
        <v>zonnepanelen (vermeden CO2 emissie)</v>
      </c>
      <c r="F239" s="254"/>
      <c r="G239" s="254" t="s">
        <v>337</v>
      </c>
      <c r="H239" s="31"/>
      <c r="I239" s="551">
        <f>'variant 1'!$Y$356</f>
        <v>0</v>
      </c>
      <c r="J239" s="547">
        <f t="shared" ca="1" si="83"/>
        <v>356</v>
      </c>
      <c r="K239" s="547">
        <f t="shared" ca="1" si="84"/>
        <v>25</v>
      </c>
      <c r="L239" s="31"/>
      <c r="M239" s="541" t="str">
        <f t="shared" ca="1" si="85"/>
        <v/>
      </c>
      <c r="N239" s="541" t="str">
        <f t="shared" ca="1" si="85"/>
        <v/>
      </c>
      <c r="O239" s="541" t="str">
        <f t="shared" ca="1" si="85"/>
        <v/>
      </c>
      <c r="P239" s="541" t="str">
        <f t="shared" ca="1" si="85"/>
        <v/>
      </c>
      <c r="Q239" s="541" t="str">
        <f t="shared" ca="1" si="85"/>
        <v/>
      </c>
      <c r="R239" s="541" t="str">
        <f t="shared" ca="1" si="85"/>
        <v/>
      </c>
      <c r="S239" s="4"/>
    </row>
    <row r="240" spans="1:19" ht="15" hidden="1">
      <c r="A240" s="825" t="s">
        <v>84</v>
      </c>
      <c r="B240" s="1189" t="s">
        <v>335</v>
      </c>
      <c r="C240" s="586"/>
      <c r="D240" s="57"/>
      <c r="E240" s="963" t="s">
        <v>232</v>
      </c>
      <c r="F240" s="963"/>
      <c r="G240" s="963" t="s">
        <v>337</v>
      </c>
      <c r="H240" s="31"/>
      <c r="I240" s="549"/>
      <c r="J240" s="549"/>
      <c r="K240" s="549"/>
      <c r="L240" s="31"/>
      <c r="M240" s="965" t="str">
        <f t="shared" ref="M240:R240" ca="1" si="86">IF(M231="","",SUM(M231:M239))</f>
        <v/>
      </c>
      <c r="N240" s="965" t="str">
        <f t="shared" ca="1" si="86"/>
        <v/>
      </c>
      <c r="O240" s="965" t="str">
        <f t="shared" ca="1" si="86"/>
        <v/>
      </c>
      <c r="P240" s="965" t="str">
        <f t="shared" ca="1" si="86"/>
        <v/>
      </c>
      <c r="Q240" s="965" t="str">
        <f t="shared" ca="1" si="86"/>
        <v/>
      </c>
      <c r="R240" s="965" t="str">
        <f t="shared" ca="1" si="86"/>
        <v/>
      </c>
      <c r="S240" s="4"/>
    </row>
    <row r="241" spans="1:19" s="534" customFormat="1" ht="5.25" hidden="1">
      <c r="A241" s="821" t="s">
        <v>84</v>
      </c>
      <c r="B241" s="1191" t="s">
        <v>335</v>
      </c>
      <c r="C241" s="581"/>
      <c r="D241" s="533"/>
      <c r="E241" s="564"/>
      <c r="F241" s="564"/>
      <c r="G241" s="564"/>
      <c r="H241" s="564"/>
      <c r="I241" s="565"/>
      <c r="J241" s="565"/>
      <c r="K241" s="565"/>
      <c r="L241" s="564"/>
      <c r="M241" s="564"/>
      <c r="N241" s="589"/>
      <c r="O241" s="564"/>
      <c r="P241" s="564"/>
      <c r="Q241" s="564"/>
      <c r="R241" s="564"/>
      <c r="S241" s="533"/>
    </row>
    <row r="242" spans="1:19" ht="15" hidden="1">
      <c r="A242" s="820" t="s">
        <v>84</v>
      </c>
      <c r="B242" s="1189" t="s">
        <v>335</v>
      </c>
      <c r="C242" s="586"/>
      <c r="D242" s="57"/>
      <c r="E242" s="649" t="str">
        <f>"resultaten tov "&amp;$F$5</f>
        <v>resultaten tov variant 1</v>
      </c>
      <c r="F242" s="649"/>
      <c r="G242" s="650" t="s">
        <v>337</v>
      </c>
      <c r="H242" s="31"/>
      <c r="I242" s="552"/>
      <c r="J242" s="552"/>
      <c r="K242" s="552"/>
      <c r="L242" s="31"/>
      <c r="M242" s="651" t="str">
        <f t="shared" ref="M242:R242" ca="1" si="87">IF(M240="","",M240-INDEX($L240:$S240,MATCH($F$5,$L$8:$S$8,0)))</f>
        <v/>
      </c>
      <c r="N242" s="651" t="str">
        <f t="shared" ca="1" si="87"/>
        <v/>
      </c>
      <c r="O242" s="651" t="str">
        <f t="shared" ca="1" si="87"/>
        <v/>
      </c>
      <c r="P242" s="651" t="str">
        <f t="shared" ca="1" si="87"/>
        <v/>
      </c>
      <c r="Q242" s="651" t="str">
        <f t="shared" ca="1" si="87"/>
        <v/>
      </c>
      <c r="R242" s="651" t="str">
        <f t="shared" ca="1" si="87"/>
        <v/>
      </c>
      <c r="S242" s="4"/>
    </row>
    <row r="243" spans="1:19" ht="15" hidden="1">
      <c r="A243" s="820" t="s">
        <v>84</v>
      </c>
      <c r="B243" s="1189" t="s">
        <v>335</v>
      </c>
      <c r="C243" s="586"/>
      <c r="D243" s="57"/>
      <c r="E243" s="652"/>
      <c r="F243" s="652"/>
      <c r="G243" s="650" t="s">
        <v>139</v>
      </c>
      <c r="H243" s="31"/>
      <c r="I243" s="553"/>
      <c r="J243" s="553"/>
      <c r="K243" s="553"/>
      <c r="L243" s="31"/>
      <c r="M243" s="656" t="str">
        <f t="shared" ref="M243:R243" ca="1" si="88">IFERROR(M242/INDEX($L240:$S240,MATCH($F$5,$L$8:$S$8,0)),"")</f>
        <v/>
      </c>
      <c r="N243" s="656" t="str">
        <f t="shared" ca="1" si="88"/>
        <v/>
      </c>
      <c r="O243" s="656" t="str">
        <f t="shared" ca="1" si="88"/>
        <v/>
      </c>
      <c r="P243" s="656" t="str">
        <f t="shared" ca="1" si="88"/>
        <v/>
      </c>
      <c r="Q243" s="656" t="str">
        <f t="shared" ca="1" si="88"/>
        <v/>
      </c>
      <c r="R243" s="656" t="str">
        <f t="shared" ca="1" si="88"/>
        <v/>
      </c>
      <c r="S243" s="4"/>
    </row>
    <row r="244" spans="1:19" ht="15" hidden="1">
      <c r="A244" s="825" t="s">
        <v>84</v>
      </c>
      <c r="B244" s="1189" t="s">
        <v>335</v>
      </c>
      <c r="C244" s="586"/>
      <c r="D244" s="57"/>
      <c r="E244" s="4"/>
      <c r="F244" s="4"/>
      <c r="G244" s="4"/>
      <c r="H244" s="31"/>
      <c r="I244" s="68"/>
      <c r="J244" s="68"/>
      <c r="K244" s="68"/>
      <c r="L244" s="31"/>
      <c r="M244" s="13"/>
      <c r="N244" s="13"/>
      <c r="O244" s="13"/>
      <c r="P244" s="13"/>
      <c r="Q244" s="13"/>
      <c r="R244" s="13"/>
      <c r="S244" s="4"/>
    </row>
    <row r="245" spans="1:19" ht="21" hidden="1">
      <c r="A245" s="820" t="s">
        <v>84</v>
      </c>
      <c r="B245" s="1189" t="s">
        <v>335</v>
      </c>
      <c r="C245" s="586"/>
      <c r="D245" s="57"/>
      <c r="E245" s="175" t="s">
        <v>339</v>
      </c>
      <c r="F245" s="175"/>
      <c r="G245" s="175"/>
      <c r="H245" s="4"/>
      <c r="I245" s="546"/>
      <c r="J245" s="546"/>
      <c r="K245" s="546"/>
      <c r="L245" s="31"/>
      <c r="M245" s="561"/>
      <c r="N245" s="561"/>
      <c r="O245" s="561"/>
      <c r="P245" s="561"/>
      <c r="Q245" s="561"/>
      <c r="R245" s="561"/>
      <c r="S245" s="4"/>
    </row>
    <row r="246" spans="1:19" ht="14.25" hidden="1">
      <c r="A246" s="825" t="s">
        <v>84</v>
      </c>
      <c r="B246" s="1189" t="s">
        <v>335</v>
      </c>
      <c r="C246" s="586"/>
      <c r="D246" s="57"/>
      <c r="E246" s="304" t="str">
        <f>'variant 1'!$E$62</f>
        <v>verwarming</v>
      </c>
      <c r="F246" s="180"/>
      <c r="G246" s="180" t="s">
        <v>337</v>
      </c>
      <c r="H246" s="31"/>
      <c r="I246" s="551">
        <f>'variant 1'!$AK$345</f>
        <v>0</v>
      </c>
      <c r="J246" s="547">
        <f t="shared" ref="J246:J254" ca="1" si="89">ROW(INDIRECT(RIGHT((_xlfn.FORMULATEXT($I246)),LEN(_xlfn.FORMULATEXT($I246))-1)))</f>
        <v>345</v>
      </c>
      <c r="K246" s="547">
        <f t="shared" ref="K246:K254" ca="1" si="90">COLUMN(INDIRECT(RIGHT((_xlfn.FORMULATEXT($I246)),LEN(_xlfn.FORMULATEXT($I246))-1)))</f>
        <v>37</v>
      </c>
      <c r="L246" s="31"/>
      <c r="M246" s="168" t="str">
        <f t="shared" ref="M246:R254" ca="1" si="91">IF(M$22=0,"",IFERROR(IF(INDIRECT(ADDRESS($J246,$K246,,,M$8))=0,"",INDIRECT(ADDRESS($J246,$K246,,,M$8))),""))</f>
        <v/>
      </c>
      <c r="N246" s="168" t="str">
        <f t="shared" ca="1" si="91"/>
        <v/>
      </c>
      <c r="O246" s="168" t="str">
        <f t="shared" ca="1" si="91"/>
        <v/>
      </c>
      <c r="P246" s="168" t="str">
        <f t="shared" ca="1" si="91"/>
        <v/>
      </c>
      <c r="Q246" s="168" t="str">
        <f t="shared" ca="1" si="91"/>
        <v/>
      </c>
      <c r="R246" s="168" t="str">
        <f t="shared" ca="1" si="91"/>
        <v/>
      </c>
      <c r="S246" s="4"/>
    </row>
    <row r="247" spans="1:19" ht="14.25" hidden="1">
      <c r="A247" s="825" t="s">
        <v>84</v>
      </c>
      <c r="B247" s="1189" t="s">
        <v>335</v>
      </c>
      <c r="C247" s="586"/>
      <c r="D247" s="57"/>
      <c r="E247" s="304" t="str">
        <f>'variant 1'!$E$64</f>
        <v>koeling</v>
      </c>
      <c r="F247" s="180"/>
      <c r="G247" s="180" t="s">
        <v>337</v>
      </c>
      <c r="H247" s="31"/>
      <c r="I247" s="551">
        <f>'variant 1'!$AK$346</f>
        <v>0</v>
      </c>
      <c r="J247" s="547">
        <f t="shared" ca="1" si="89"/>
        <v>346</v>
      </c>
      <c r="K247" s="547">
        <f t="shared" ca="1" si="90"/>
        <v>37</v>
      </c>
      <c r="L247" s="31"/>
      <c r="M247" s="168" t="str">
        <f t="shared" ca="1" si="91"/>
        <v/>
      </c>
      <c r="N247" s="168" t="str">
        <f t="shared" ca="1" si="91"/>
        <v/>
      </c>
      <c r="O247" s="168" t="str">
        <f t="shared" ca="1" si="91"/>
        <v/>
      </c>
      <c r="P247" s="168" t="str">
        <f t="shared" ca="1" si="91"/>
        <v/>
      </c>
      <c r="Q247" s="168" t="str">
        <f t="shared" ca="1" si="91"/>
        <v/>
      </c>
      <c r="R247" s="168" t="str">
        <f t="shared" ca="1" si="91"/>
        <v/>
      </c>
      <c r="S247" s="4"/>
    </row>
    <row r="248" spans="1:19" ht="14.25" hidden="1">
      <c r="A248" s="825" t="s">
        <v>84</v>
      </c>
      <c r="B248" s="1189" t="s">
        <v>335</v>
      </c>
      <c r="C248" s="586"/>
      <c r="D248" s="57"/>
      <c r="E248" s="304" t="str">
        <f>'variant 1'!$E$65</f>
        <v>tapwater</v>
      </c>
      <c r="F248" s="180"/>
      <c r="G248" s="180" t="s">
        <v>337</v>
      </c>
      <c r="H248" s="31"/>
      <c r="I248" s="551">
        <f>'variant 1'!$AK$347</f>
        <v>0</v>
      </c>
      <c r="J248" s="547">
        <f t="shared" ca="1" si="89"/>
        <v>347</v>
      </c>
      <c r="K248" s="547">
        <f t="shared" ca="1" si="90"/>
        <v>37</v>
      </c>
      <c r="L248" s="31"/>
      <c r="M248" s="168" t="str">
        <f t="shared" ca="1" si="91"/>
        <v/>
      </c>
      <c r="N248" s="168" t="str">
        <f t="shared" ca="1" si="91"/>
        <v/>
      </c>
      <c r="O248" s="168" t="str">
        <f t="shared" ca="1" si="91"/>
        <v/>
      </c>
      <c r="P248" s="168" t="str">
        <f t="shared" ca="1" si="91"/>
        <v/>
      </c>
      <c r="Q248" s="168" t="str">
        <f t="shared" ca="1" si="91"/>
        <v/>
      </c>
      <c r="R248" s="168" t="str">
        <f t="shared" ca="1" si="91"/>
        <v/>
      </c>
      <c r="S248" s="4"/>
    </row>
    <row r="249" spans="1:19" ht="14.25" hidden="1">
      <c r="A249" s="825" t="s">
        <v>84</v>
      </c>
      <c r="B249" s="1189" t="s">
        <v>335</v>
      </c>
      <c r="C249" s="586"/>
      <c r="D249" s="57"/>
      <c r="E249" s="304" t="str">
        <f>'variant 1'!$E$66</f>
        <v>verlichting</v>
      </c>
      <c r="F249" s="180"/>
      <c r="G249" s="180" t="s">
        <v>337</v>
      </c>
      <c r="H249" s="31"/>
      <c r="I249" s="551">
        <f>'variant 1'!$AK$348</f>
        <v>0</v>
      </c>
      <c r="J249" s="547">
        <f t="shared" ca="1" si="89"/>
        <v>348</v>
      </c>
      <c r="K249" s="547">
        <f t="shared" ca="1" si="90"/>
        <v>37</v>
      </c>
      <c r="L249" s="31"/>
      <c r="M249" s="168" t="str">
        <f t="shared" ca="1" si="91"/>
        <v/>
      </c>
      <c r="N249" s="168" t="str">
        <f t="shared" ca="1" si="91"/>
        <v/>
      </c>
      <c r="O249" s="168" t="str">
        <f t="shared" ca="1" si="91"/>
        <v/>
      </c>
      <c r="P249" s="168" t="str">
        <f t="shared" ca="1" si="91"/>
        <v/>
      </c>
      <c r="Q249" s="168" t="str">
        <f t="shared" ca="1" si="91"/>
        <v/>
      </c>
      <c r="R249" s="168" t="str">
        <f t="shared" ca="1" si="91"/>
        <v/>
      </c>
      <c r="S249" s="4"/>
    </row>
    <row r="250" spans="1:19" ht="14.25" hidden="1">
      <c r="A250" s="825" t="s">
        <v>84</v>
      </c>
      <c r="B250" s="1189" t="s">
        <v>335</v>
      </c>
      <c r="C250" s="586"/>
      <c r="D250" s="57"/>
      <c r="E250" s="304" t="str">
        <f>'variant 1'!$E$67</f>
        <v>ventilatoren</v>
      </c>
      <c r="F250" s="180"/>
      <c r="G250" s="180" t="s">
        <v>337</v>
      </c>
      <c r="H250" s="31"/>
      <c r="I250" s="551">
        <f>'variant 1'!$AK$349</f>
        <v>0</v>
      </c>
      <c r="J250" s="547">
        <f t="shared" ca="1" si="89"/>
        <v>349</v>
      </c>
      <c r="K250" s="547">
        <f t="shared" ca="1" si="90"/>
        <v>37</v>
      </c>
      <c r="L250" s="31"/>
      <c r="M250" s="168" t="str">
        <f t="shared" ca="1" si="91"/>
        <v/>
      </c>
      <c r="N250" s="168" t="str">
        <f t="shared" ca="1" si="91"/>
        <v/>
      </c>
      <c r="O250" s="168" t="str">
        <f t="shared" ca="1" si="91"/>
        <v/>
      </c>
      <c r="P250" s="168" t="str">
        <f t="shared" ca="1" si="91"/>
        <v/>
      </c>
      <c r="Q250" s="168" t="str">
        <f t="shared" ca="1" si="91"/>
        <v/>
      </c>
      <c r="R250" s="168" t="str">
        <f t="shared" ca="1" si="91"/>
        <v/>
      </c>
      <c r="S250" s="4"/>
    </row>
    <row r="251" spans="1:19" ht="14.25" hidden="1">
      <c r="A251" s="825" t="s">
        <v>84</v>
      </c>
      <c r="B251" s="1189" t="s">
        <v>335</v>
      </c>
      <c r="C251" s="586"/>
      <c r="D251" s="57"/>
      <c r="E251" s="304" t="str">
        <f>'variant 1'!$E$69</f>
        <v>overig elektra</v>
      </c>
      <c r="F251" s="180"/>
      <c r="G251" s="180" t="s">
        <v>337</v>
      </c>
      <c r="H251" s="31"/>
      <c r="I251" s="551">
        <f>'variant 1'!$AK$351</f>
        <v>0</v>
      </c>
      <c r="J251" s="547">
        <f t="shared" ca="1" si="89"/>
        <v>351</v>
      </c>
      <c r="K251" s="547">
        <f t="shared" ca="1" si="90"/>
        <v>37</v>
      </c>
      <c r="L251" s="31"/>
      <c r="M251" s="168" t="str">
        <f t="shared" ca="1" si="91"/>
        <v/>
      </c>
      <c r="N251" s="168" t="str">
        <f t="shared" ca="1" si="91"/>
        <v/>
      </c>
      <c r="O251" s="168" t="str">
        <f t="shared" ca="1" si="91"/>
        <v/>
      </c>
      <c r="P251" s="168" t="str">
        <f t="shared" ca="1" si="91"/>
        <v/>
      </c>
      <c r="Q251" s="168" t="str">
        <f t="shared" ca="1" si="91"/>
        <v/>
      </c>
      <c r="R251" s="168" t="str">
        <f t="shared" ca="1" si="91"/>
        <v/>
      </c>
      <c r="S251" s="4"/>
    </row>
    <row r="252" spans="1:19" ht="14.25" hidden="1">
      <c r="A252" s="825" t="s">
        <v>84</v>
      </c>
      <c r="B252" s="1189" t="s">
        <v>335</v>
      </c>
      <c r="C252" s="586"/>
      <c r="D252" s="57"/>
      <c r="E252" s="304" t="str">
        <f>'variant 1'!$E$71</f>
        <v>mobiliteit</v>
      </c>
      <c r="F252" s="180"/>
      <c r="G252" s="180" t="s">
        <v>337</v>
      </c>
      <c r="H252" s="31"/>
      <c r="I252" s="551">
        <f>'variant 1'!$AK$352</f>
        <v>0</v>
      </c>
      <c r="J252" s="547">
        <f t="shared" ca="1" si="89"/>
        <v>352</v>
      </c>
      <c r="K252" s="547">
        <f t="shared" ca="1" si="90"/>
        <v>37</v>
      </c>
      <c r="L252" s="31"/>
      <c r="M252" s="168" t="str">
        <f t="shared" ca="1" si="91"/>
        <v/>
      </c>
      <c r="N252" s="168" t="str">
        <f t="shared" ca="1" si="91"/>
        <v/>
      </c>
      <c r="O252" s="168" t="str">
        <f t="shared" ca="1" si="91"/>
        <v/>
      </c>
      <c r="P252" s="168" t="str">
        <f t="shared" ca="1" si="91"/>
        <v/>
      </c>
      <c r="Q252" s="168" t="str">
        <f t="shared" ca="1" si="91"/>
        <v/>
      </c>
      <c r="R252" s="168" t="str">
        <f t="shared" ca="1" si="91"/>
        <v/>
      </c>
      <c r="S252" s="4"/>
    </row>
    <row r="253" spans="1:19" ht="14.25" hidden="1">
      <c r="A253" s="825" t="s">
        <v>84</v>
      </c>
      <c r="B253" s="1189" t="s">
        <v>335</v>
      </c>
      <c r="C253" s="586"/>
      <c r="D253" s="57"/>
      <c r="E253" s="304" t="str">
        <f>'variant 1'!$E$355</f>
        <v>warmtekracht (vermeden CO2 emissie)</v>
      </c>
      <c r="F253" s="180"/>
      <c r="G253" s="180" t="s">
        <v>337</v>
      </c>
      <c r="H253" s="31"/>
      <c r="I253" s="551">
        <f>'variant 1'!$AK$355</f>
        <v>0</v>
      </c>
      <c r="J253" s="547">
        <f t="shared" ca="1" si="89"/>
        <v>355</v>
      </c>
      <c r="K253" s="547">
        <f t="shared" ca="1" si="90"/>
        <v>37</v>
      </c>
      <c r="L253" s="31"/>
      <c r="M253" s="168" t="str">
        <f t="shared" ca="1" si="91"/>
        <v/>
      </c>
      <c r="N253" s="168" t="str">
        <f t="shared" ca="1" si="91"/>
        <v/>
      </c>
      <c r="O253" s="168" t="str">
        <f t="shared" ca="1" si="91"/>
        <v/>
      </c>
      <c r="P253" s="168" t="str">
        <f t="shared" ca="1" si="91"/>
        <v/>
      </c>
      <c r="Q253" s="168" t="str">
        <f t="shared" ca="1" si="91"/>
        <v/>
      </c>
      <c r="R253" s="168" t="str">
        <f t="shared" ca="1" si="91"/>
        <v/>
      </c>
      <c r="S253" s="4"/>
    </row>
    <row r="254" spans="1:19" ht="14.25" hidden="1">
      <c r="A254" s="825" t="s">
        <v>84</v>
      </c>
      <c r="B254" s="1189" t="s">
        <v>335</v>
      </c>
      <c r="C254" s="586"/>
      <c r="D254" s="57"/>
      <c r="E254" s="964" t="str">
        <f>'variant 1'!$E$356</f>
        <v>zonnepanelen (vermeden CO2 emissie)</v>
      </c>
      <c r="F254" s="254"/>
      <c r="G254" s="254" t="s">
        <v>337</v>
      </c>
      <c r="H254" s="31"/>
      <c r="I254" s="551">
        <f>'variant 1'!$AK$356</f>
        <v>0</v>
      </c>
      <c r="J254" s="547">
        <f t="shared" ca="1" si="89"/>
        <v>356</v>
      </c>
      <c r="K254" s="547">
        <f t="shared" ca="1" si="90"/>
        <v>37</v>
      </c>
      <c r="L254" s="31"/>
      <c r="M254" s="541" t="str">
        <f t="shared" ca="1" si="91"/>
        <v/>
      </c>
      <c r="N254" s="541" t="str">
        <f t="shared" ca="1" si="91"/>
        <v/>
      </c>
      <c r="O254" s="541" t="str">
        <f t="shared" ca="1" si="91"/>
        <v/>
      </c>
      <c r="P254" s="541" t="str">
        <f t="shared" ca="1" si="91"/>
        <v/>
      </c>
      <c r="Q254" s="541" t="str">
        <f t="shared" ca="1" si="91"/>
        <v/>
      </c>
      <c r="R254" s="541" t="str">
        <f t="shared" ca="1" si="91"/>
        <v/>
      </c>
      <c r="S254" s="4"/>
    </row>
    <row r="255" spans="1:19" ht="15" hidden="1">
      <c r="A255" s="825" t="s">
        <v>84</v>
      </c>
      <c r="B255" s="1189" t="s">
        <v>335</v>
      </c>
      <c r="C255" s="586"/>
      <c r="D255" s="57"/>
      <c r="E255" s="963" t="s">
        <v>232</v>
      </c>
      <c r="F255" s="963"/>
      <c r="G255" s="963" t="s">
        <v>337</v>
      </c>
      <c r="H255" s="31"/>
      <c r="I255" s="549"/>
      <c r="J255" s="549"/>
      <c r="K255" s="549"/>
      <c r="L255" s="31"/>
      <c r="M255" s="965" t="str">
        <f t="shared" ref="M255:R255" ca="1" si="92">IF(M246="","",SUM(M246:M254))</f>
        <v/>
      </c>
      <c r="N255" s="965" t="str">
        <f t="shared" ca="1" si="92"/>
        <v/>
      </c>
      <c r="O255" s="965" t="str">
        <f t="shared" ca="1" si="92"/>
        <v/>
      </c>
      <c r="P255" s="965" t="str">
        <f t="shared" ca="1" si="92"/>
        <v/>
      </c>
      <c r="Q255" s="965" t="str">
        <f t="shared" ca="1" si="92"/>
        <v/>
      </c>
      <c r="R255" s="965" t="str">
        <f t="shared" ca="1" si="92"/>
        <v/>
      </c>
      <c r="S255" s="4"/>
    </row>
    <row r="256" spans="1:19" s="534" customFormat="1" ht="5.25" hidden="1">
      <c r="A256" s="821" t="s">
        <v>84</v>
      </c>
      <c r="B256" s="1191" t="s">
        <v>335</v>
      </c>
      <c r="C256" s="581"/>
      <c r="D256" s="533"/>
      <c r="E256" s="564"/>
      <c r="F256" s="564"/>
      <c r="G256" s="564"/>
      <c r="H256" s="564"/>
      <c r="I256" s="565"/>
      <c r="J256" s="565"/>
      <c r="K256" s="565"/>
      <c r="L256" s="564"/>
      <c r="M256" s="564"/>
      <c r="N256" s="589"/>
      <c r="O256" s="564"/>
      <c r="P256" s="564"/>
      <c r="Q256" s="564"/>
      <c r="R256" s="564"/>
      <c r="S256" s="533"/>
    </row>
    <row r="257" spans="1:19" ht="15" hidden="1">
      <c r="A257" s="820" t="s">
        <v>84</v>
      </c>
      <c r="B257" s="1189" t="s">
        <v>335</v>
      </c>
      <c r="C257" s="586"/>
      <c r="D257" s="57"/>
      <c r="E257" s="649" t="str">
        <f>"resultaten tov "&amp;$F$5</f>
        <v>resultaten tov variant 1</v>
      </c>
      <c r="F257" s="649"/>
      <c r="G257" s="650" t="s">
        <v>337</v>
      </c>
      <c r="H257" s="31"/>
      <c r="I257" s="552"/>
      <c r="J257" s="552"/>
      <c r="K257" s="552"/>
      <c r="L257" s="31"/>
      <c r="M257" s="651" t="str">
        <f t="shared" ref="M257:R257" ca="1" si="93">IF(M255="","",M255-INDEX($L255:$S255,MATCH($F$5,$L$8:$S$8,0)))</f>
        <v/>
      </c>
      <c r="N257" s="651" t="str">
        <f t="shared" ca="1" si="93"/>
        <v/>
      </c>
      <c r="O257" s="651" t="str">
        <f t="shared" ca="1" si="93"/>
        <v/>
      </c>
      <c r="P257" s="651" t="str">
        <f t="shared" ca="1" si="93"/>
        <v/>
      </c>
      <c r="Q257" s="651" t="str">
        <f t="shared" ca="1" si="93"/>
        <v/>
      </c>
      <c r="R257" s="651" t="str">
        <f t="shared" ca="1" si="93"/>
        <v/>
      </c>
      <c r="S257" s="4"/>
    </row>
    <row r="258" spans="1:19" ht="15" hidden="1">
      <c r="A258" s="820" t="s">
        <v>84</v>
      </c>
      <c r="B258" s="1189" t="s">
        <v>335</v>
      </c>
      <c r="C258" s="586"/>
      <c r="D258" s="57"/>
      <c r="E258" s="652"/>
      <c r="F258" s="652"/>
      <c r="G258" s="650" t="s">
        <v>139</v>
      </c>
      <c r="H258" s="31"/>
      <c r="I258" s="553"/>
      <c r="J258" s="553"/>
      <c r="K258" s="553"/>
      <c r="L258" s="31"/>
      <c r="M258" s="656" t="str">
        <f t="shared" ref="M258:R258" ca="1" si="94">IFERROR(M257/INDEX($L255:$S255,MATCH($F$5,$L$8:$S$8,0)),"")</f>
        <v/>
      </c>
      <c r="N258" s="656" t="str">
        <f t="shared" ca="1" si="94"/>
        <v/>
      </c>
      <c r="O258" s="656" t="str">
        <f t="shared" ca="1" si="94"/>
        <v/>
      </c>
      <c r="P258" s="656" t="str">
        <f t="shared" ca="1" si="94"/>
        <v/>
      </c>
      <c r="Q258" s="656" t="str">
        <f t="shared" ca="1" si="94"/>
        <v/>
      </c>
      <c r="R258" s="656" t="str">
        <f t="shared" ca="1" si="94"/>
        <v/>
      </c>
      <c r="S258" s="4"/>
    </row>
    <row r="259" spans="1:19" ht="15" hidden="1">
      <c r="A259" s="825" t="s">
        <v>84</v>
      </c>
      <c r="B259" s="1189" t="s">
        <v>335</v>
      </c>
      <c r="C259" s="586"/>
      <c r="D259" s="57"/>
      <c r="E259" s="4"/>
      <c r="F259" s="4"/>
      <c r="G259" s="4"/>
      <c r="H259" s="31"/>
      <c r="I259" s="68"/>
      <c r="J259" s="68"/>
      <c r="K259" s="68"/>
      <c r="L259" s="31"/>
      <c r="M259" s="13"/>
      <c r="N259" s="13"/>
      <c r="O259" s="13"/>
      <c r="P259" s="13"/>
      <c r="Q259" s="13"/>
      <c r="R259" s="13"/>
      <c r="S259" s="4"/>
    </row>
    <row r="260" spans="1:19" ht="21" hidden="1">
      <c r="A260" s="820" t="s">
        <v>84</v>
      </c>
      <c r="B260" s="1189" t="s">
        <v>335</v>
      </c>
      <c r="C260" s="586"/>
      <c r="D260" s="57"/>
      <c r="E260" s="175" t="s">
        <v>340</v>
      </c>
      <c r="F260" s="175"/>
      <c r="G260" s="175"/>
      <c r="H260" s="4"/>
      <c r="I260" s="546"/>
      <c r="J260" s="546"/>
      <c r="K260" s="546"/>
      <c r="L260" s="31"/>
      <c r="M260" s="561"/>
      <c r="N260" s="561"/>
      <c r="O260" s="561"/>
      <c r="P260" s="561"/>
      <c r="Q260" s="561"/>
      <c r="R260" s="561"/>
      <c r="S260" s="4"/>
    </row>
    <row r="261" spans="1:19" ht="14.25" hidden="1">
      <c r="A261" s="825" t="s">
        <v>84</v>
      </c>
      <c r="B261" s="1189" t="s">
        <v>335</v>
      </c>
      <c r="C261" s="586"/>
      <c r="D261" s="57"/>
      <c r="E261" s="304" t="str">
        <f>'variant 1'!$E$62</f>
        <v>verwarming</v>
      </c>
      <c r="F261" s="180"/>
      <c r="G261" s="180" t="s">
        <v>337</v>
      </c>
      <c r="H261" s="31"/>
      <c r="I261" s="551">
        <f>'variant 1'!$AW$345</f>
        <v>0</v>
      </c>
      <c r="J261" s="547">
        <f t="shared" ref="J261:J269" ca="1" si="95">ROW(INDIRECT(RIGHT((_xlfn.FORMULATEXT($I261)),LEN(_xlfn.FORMULATEXT($I261))-1)))</f>
        <v>345</v>
      </c>
      <c r="K261" s="547">
        <f t="shared" ref="K261:K269" ca="1" si="96">COLUMN(INDIRECT(RIGHT((_xlfn.FORMULATEXT($I261)),LEN(_xlfn.FORMULATEXT($I261))-1)))</f>
        <v>49</v>
      </c>
      <c r="L261" s="31"/>
      <c r="M261" s="168" t="str">
        <f t="shared" ref="M261:R269" ca="1" si="97">IF(M$22=0,"",IFERROR(IF(INDIRECT(ADDRESS($J261,$K261,,,M$8))=0,"",INDIRECT(ADDRESS($J261,$K261,,,M$8))),""))</f>
        <v/>
      </c>
      <c r="N261" s="168" t="str">
        <f t="shared" ca="1" si="97"/>
        <v/>
      </c>
      <c r="O261" s="168" t="str">
        <f t="shared" ca="1" si="97"/>
        <v/>
      </c>
      <c r="P261" s="168" t="str">
        <f t="shared" ca="1" si="97"/>
        <v/>
      </c>
      <c r="Q261" s="168" t="str">
        <f t="shared" ca="1" si="97"/>
        <v/>
      </c>
      <c r="R261" s="168" t="str">
        <f t="shared" ca="1" si="97"/>
        <v/>
      </c>
      <c r="S261" s="4"/>
    </row>
    <row r="262" spans="1:19" ht="14.25" hidden="1">
      <c r="A262" s="825" t="s">
        <v>84</v>
      </c>
      <c r="B262" s="1189" t="s">
        <v>335</v>
      </c>
      <c r="C262" s="586"/>
      <c r="D262" s="57"/>
      <c r="E262" s="304" t="str">
        <f>'variant 1'!$E$64</f>
        <v>koeling</v>
      </c>
      <c r="F262" s="180"/>
      <c r="G262" s="180" t="s">
        <v>337</v>
      </c>
      <c r="H262" s="31"/>
      <c r="I262" s="551">
        <f>'variant 1'!$AW$346</f>
        <v>0</v>
      </c>
      <c r="J262" s="547">
        <f t="shared" ca="1" si="95"/>
        <v>346</v>
      </c>
      <c r="K262" s="547">
        <f t="shared" ca="1" si="96"/>
        <v>49</v>
      </c>
      <c r="L262" s="31"/>
      <c r="M262" s="168" t="str">
        <f t="shared" ca="1" si="97"/>
        <v/>
      </c>
      <c r="N262" s="168" t="str">
        <f t="shared" ca="1" si="97"/>
        <v/>
      </c>
      <c r="O262" s="168" t="str">
        <f t="shared" ca="1" si="97"/>
        <v/>
      </c>
      <c r="P262" s="168" t="str">
        <f t="shared" ca="1" si="97"/>
        <v/>
      </c>
      <c r="Q262" s="168" t="str">
        <f t="shared" ca="1" si="97"/>
        <v/>
      </c>
      <c r="R262" s="168" t="str">
        <f t="shared" ca="1" si="97"/>
        <v/>
      </c>
      <c r="S262" s="4"/>
    </row>
    <row r="263" spans="1:19" ht="14.25" hidden="1">
      <c r="A263" s="825" t="s">
        <v>84</v>
      </c>
      <c r="B263" s="1189" t="s">
        <v>335</v>
      </c>
      <c r="C263" s="586"/>
      <c r="D263" s="57"/>
      <c r="E263" s="304" t="str">
        <f>'variant 1'!$E$65</f>
        <v>tapwater</v>
      </c>
      <c r="F263" s="180"/>
      <c r="G263" s="180" t="s">
        <v>337</v>
      </c>
      <c r="H263" s="31"/>
      <c r="I263" s="551">
        <f>'variant 1'!$AW$347</f>
        <v>0</v>
      </c>
      <c r="J263" s="547">
        <f t="shared" ca="1" si="95"/>
        <v>347</v>
      </c>
      <c r="K263" s="547">
        <f t="shared" ca="1" si="96"/>
        <v>49</v>
      </c>
      <c r="L263" s="31"/>
      <c r="M263" s="168" t="str">
        <f t="shared" ca="1" si="97"/>
        <v/>
      </c>
      <c r="N263" s="168" t="str">
        <f t="shared" ca="1" si="97"/>
        <v/>
      </c>
      <c r="O263" s="168" t="str">
        <f t="shared" ca="1" si="97"/>
        <v/>
      </c>
      <c r="P263" s="168" t="str">
        <f t="shared" ca="1" si="97"/>
        <v/>
      </c>
      <c r="Q263" s="168" t="str">
        <f t="shared" ca="1" si="97"/>
        <v/>
      </c>
      <c r="R263" s="168" t="str">
        <f t="shared" ca="1" si="97"/>
        <v/>
      </c>
      <c r="S263" s="4"/>
    </row>
    <row r="264" spans="1:19" ht="14.25" hidden="1">
      <c r="A264" s="825" t="s">
        <v>84</v>
      </c>
      <c r="B264" s="1189" t="s">
        <v>335</v>
      </c>
      <c r="C264" s="586"/>
      <c r="D264" s="57"/>
      <c r="E264" s="304" t="str">
        <f>'variant 1'!$E$66</f>
        <v>verlichting</v>
      </c>
      <c r="F264" s="180"/>
      <c r="G264" s="180" t="s">
        <v>337</v>
      </c>
      <c r="H264" s="31"/>
      <c r="I264" s="551">
        <f>'variant 1'!$AW$348</f>
        <v>0</v>
      </c>
      <c r="J264" s="547">
        <f t="shared" ca="1" si="95"/>
        <v>348</v>
      </c>
      <c r="K264" s="547">
        <f t="shared" ca="1" si="96"/>
        <v>49</v>
      </c>
      <c r="L264" s="31"/>
      <c r="M264" s="168" t="str">
        <f t="shared" ca="1" si="97"/>
        <v/>
      </c>
      <c r="N264" s="168" t="str">
        <f t="shared" ca="1" si="97"/>
        <v/>
      </c>
      <c r="O264" s="168" t="str">
        <f t="shared" ca="1" si="97"/>
        <v/>
      </c>
      <c r="P264" s="168" t="str">
        <f t="shared" ca="1" si="97"/>
        <v/>
      </c>
      <c r="Q264" s="168" t="str">
        <f t="shared" ca="1" si="97"/>
        <v/>
      </c>
      <c r="R264" s="168" t="str">
        <f t="shared" ca="1" si="97"/>
        <v/>
      </c>
      <c r="S264" s="4"/>
    </row>
    <row r="265" spans="1:19" ht="14.25" hidden="1">
      <c r="A265" s="825" t="s">
        <v>84</v>
      </c>
      <c r="B265" s="1189" t="s">
        <v>335</v>
      </c>
      <c r="C265" s="586"/>
      <c r="D265" s="57"/>
      <c r="E265" s="304" t="str">
        <f>'variant 1'!$E$67</f>
        <v>ventilatoren</v>
      </c>
      <c r="F265" s="180"/>
      <c r="G265" s="180" t="s">
        <v>337</v>
      </c>
      <c r="H265" s="31"/>
      <c r="I265" s="551">
        <f>'variant 1'!$AW$349</f>
        <v>0</v>
      </c>
      <c r="J265" s="547">
        <f t="shared" ca="1" si="95"/>
        <v>349</v>
      </c>
      <c r="K265" s="547">
        <f t="shared" ca="1" si="96"/>
        <v>49</v>
      </c>
      <c r="L265" s="31"/>
      <c r="M265" s="168" t="str">
        <f t="shared" ca="1" si="97"/>
        <v/>
      </c>
      <c r="N265" s="168" t="str">
        <f t="shared" ca="1" si="97"/>
        <v/>
      </c>
      <c r="O265" s="168" t="str">
        <f t="shared" ca="1" si="97"/>
        <v/>
      </c>
      <c r="P265" s="168" t="str">
        <f t="shared" ca="1" si="97"/>
        <v/>
      </c>
      <c r="Q265" s="168" t="str">
        <f t="shared" ca="1" si="97"/>
        <v/>
      </c>
      <c r="R265" s="168" t="str">
        <f t="shared" ca="1" si="97"/>
        <v/>
      </c>
      <c r="S265" s="4"/>
    </row>
    <row r="266" spans="1:19" ht="14.25" hidden="1">
      <c r="A266" s="825" t="s">
        <v>84</v>
      </c>
      <c r="B266" s="1189" t="s">
        <v>335</v>
      </c>
      <c r="C266" s="586"/>
      <c r="D266" s="57"/>
      <c r="E266" s="304" t="str">
        <f>'variant 1'!$E$69</f>
        <v>overig elektra</v>
      </c>
      <c r="F266" s="180"/>
      <c r="G266" s="180" t="s">
        <v>337</v>
      </c>
      <c r="H266" s="31"/>
      <c r="I266" s="551">
        <f>'variant 1'!$AW$351</f>
        <v>0</v>
      </c>
      <c r="J266" s="547">
        <f t="shared" ca="1" si="95"/>
        <v>351</v>
      </c>
      <c r="K266" s="547">
        <f t="shared" ca="1" si="96"/>
        <v>49</v>
      </c>
      <c r="L266" s="31"/>
      <c r="M266" s="168" t="str">
        <f t="shared" ca="1" si="97"/>
        <v/>
      </c>
      <c r="N266" s="168" t="str">
        <f t="shared" ca="1" si="97"/>
        <v/>
      </c>
      <c r="O266" s="168" t="str">
        <f t="shared" ca="1" si="97"/>
        <v/>
      </c>
      <c r="P266" s="168" t="str">
        <f t="shared" ca="1" si="97"/>
        <v/>
      </c>
      <c r="Q266" s="168" t="str">
        <f t="shared" ca="1" si="97"/>
        <v/>
      </c>
      <c r="R266" s="168" t="str">
        <f t="shared" ca="1" si="97"/>
        <v/>
      </c>
      <c r="S266" s="4"/>
    </row>
    <row r="267" spans="1:19" ht="14.25" hidden="1">
      <c r="A267" s="825" t="s">
        <v>84</v>
      </c>
      <c r="B267" s="1189" t="s">
        <v>335</v>
      </c>
      <c r="C267" s="586"/>
      <c r="D267" s="57"/>
      <c r="E267" s="304" t="str">
        <f>'variant 1'!$E$71</f>
        <v>mobiliteit</v>
      </c>
      <c r="F267" s="180"/>
      <c r="G267" s="180" t="s">
        <v>337</v>
      </c>
      <c r="H267" s="31"/>
      <c r="I267" s="551">
        <f>'variant 1'!$AW$352</f>
        <v>0</v>
      </c>
      <c r="J267" s="547">
        <f t="shared" ca="1" si="95"/>
        <v>352</v>
      </c>
      <c r="K267" s="547">
        <f t="shared" ca="1" si="96"/>
        <v>49</v>
      </c>
      <c r="L267" s="31"/>
      <c r="M267" s="168" t="str">
        <f t="shared" ca="1" si="97"/>
        <v/>
      </c>
      <c r="N267" s="168" t="str">
        <f t="shared" ca="1" si="97"/>
        <v/>
      </c>
      <c r="O267" s="168" t="str">
        <f t="shared" ca="1" si="97"/>
        <v/>
      </c>
      <c r="P267" s="168" t="str">
        <f t="shared" ca="1" si="97"/>
        <v/>
      </c>
      <c r="Q267" s="168" t="str">
        <f t="shared" ca="1" si="97"/>
        <v/>
      </c>
      <c r="R267" s="168" t="str">
        <f t="shared" ca="1" si="97"/>
        <v/>
      </c>
      <c r="S267" s="4"/>
    </row>
    <row r="268" spans="1:19" ht="14.25" hidden="1">
      <c r="A268" s="825" t="s">
        <v>84</v>
      </c>
      <c r="B268" s="1189" t="s">
        <v>335</v>
      </c>
      <c r="C268" s="586"/>
      <c r="D268" s="57"/>
      <c r="E268" s="304" t="str">
        <f>'variant 1'!$E$355</f>
        <v>warmtekracht (vermeden CO2 emissie)</v>
      </c>
      <c r="F268" s="180"/>
      <c r="G268" s="180" t="s">
        <v>337</v>
      </c>
      <c r="H268" s="31"/>
      <c r="I268" s="551">
        <f>'variant 1'!$AW$355</f>
        <v>0</v>
      </c>
      <c r="J268" s="547">
        <f t="shared" ca="1" si="95"/>
        <v>355</v>
      </c>
      <c r="K268" s="547">
        <f t="shared" ca="1" si="96"/>
        <v>49</v>
      </c>
      <c r="L268" s="31"/>
      <c r="M268" s="168" t="str">
        <f t="shared" ca="1" si="97"/>
        <v/>
      </c>
      <c r="N268" s="168" t="str">
        <f t="shared" ca="1" si="97"/>
        <v/>
      </c>
      <c r="O268" s="168" t="str">
        <f t="shared" ca="1" si="97"/>
        <v/>
      </c>
      <c r="P268" s="168" t="str">
        <f t="shared" ca="1" si="97"/>
        <v/>
      </c>
      <c r="Q268" s="168" t="str">
        <f t="shared" ca="1" si="97"/>
        <v/>
      </c>
      <c r="R268" s="168" t="str">
        <f t="shared" ca="1" si="97"/>
        <v/>
      </c>
      <c r="S268" s="4"/>
    </row>
    <row r="269" spans="1:19" ht="14.25" hidden="1">
      <c r="A269" s="825" t="s">
        <v>84</v>
      </c>
      <c r="B269" s="1189" t="s">
        <v>335</v>
      </c>
      <c r="C269" s="586"/>
      <c r="D269" s="57"/>
      <c r="E269" s="964" t="str">
        <f>'variant 1'!$E$356</f>
        <v>zonnepanelen (vermeden CO2 emissie)</v>
      </c>
      <c r="F269" s="254"/>
      <c r="G269" s="254" t="s">
        <v>337</v>
      </c>
      <c r="H269" s="31"/>
      <c r="I269" s="551">
        <f>'variant 1'!$AW$356</f>
        <v>0</v>
      </c>
      <c r="J269" s="547">
        <f t="shared" ca="1" si="95"/>
        <v>356</v>
      </c>
      <c r="K269" s="547">
        <f t="shared" ca="1" si="96"/>
        <v>49</v>
      </c>
      <c r="L269" s="31"/>
      <c r="M269" s="541" t="str">
        <f t="shared" ca="1" si="97"/>
        <v/>
      </c>
      <c r="N269" s="541" t="str">
        <f t="shared" ca="1" si="97"/>
        <v/>
      </c>
      <c r="O269" s="541" t="str">
        <f t="shared" ca="1" si="97"/>
        <v/>
      </c>
      <c r="P269" s="541" t="str">
        <f t="shared" ca="1" si="97"/>
        <v/>
      </c>
      <c r="Q269" s="541" t="str">
        <f t="shared" ca="1" si="97"/>
        <v/>
      </c>
      <c r="R269" s="541" t="str">
        <f t="shared" ca="1" si="97"/>
        <v/>
      </c>
      <c r="S269" s="4"/>
    </row>
    <row r="270" spans="1:19" ht="15" hidden="1">
      <c r="A270" s="825" t="s">
        <v>84</v>
      </c>
      <c r="B270" s="1189" t="s">
        <v>335</v>
      </c>
      <c r="C270" s="586"/>
      <c r="D270" s="57"/>
      <c r="E270" s="963" t="s">
        <v>232</v>
      </c>
      <c r="F270" s="963"/>
      <c r="G270" s="963" t="s">
        <v>337</v>
      </c>
      <c r="H270" s="31"/>
      <c r="I270" s="549"/>
      <c r="J270" s="549"/>
      <c r="K270" s="549"/>
      <c r="L270" s="31"/>
      <c r="M270" s="965" t="str">
        <f t="shared" ref="M270:R270" ca="1" si="98">IF(M261="","",SUM(M261:M269))</f>
        <v/>
      </c>
      <c r="N270" s="965" t="str">
        <f t="shared" ca="1" si="98"/>
        <v/>
      </c>
      <c r="O270" s="965" t="str">
        <f t="shared" ca="1" si="98"/>
        <v/>
      </c>
      <c r="P270" s="965" t="str">
        <f t="shared" ca="1" si="98"/>
        <v/>
      </c>
      <c r="Q270" s="965" t="str">
        <f t="shared" ca="1" si="98"/>
        <v/>
      </c>
      <c r="R270" s="965" t="str">
        <f t="shared" ca="1" si="98"/>
        <v/>
      </c>
      <c r="S270" s="4"/>
    </row>
    <row r="271" spans="1:19" s="534" customFormat="1" ht="5.25" hidden="1">
      <c r="A271" s="821" t="s">
        <v>84</v>
      </c>
      <c r="B271" s="1191" t="s">
        <v>335</v>
      </c>
      <c r="C271" s="581"/>
      <c r="D271" s="533"/>
      <c r="E271" s="564"/>
      <c r="F271" s="564"/>
      <c r="G271" s="564"/>
      <c r="H271" s="564"/>
      <c r="I271" s="565"/>
      <c r="J271" s="565"/>
      <c r="K271" s="565"/>
      <c r="L271" s="564"/>
      <c r="M271" s="564"/>
      <c r="N271" s="589"/>
      <c r="O271" s="564"/>
      <c r="P271" s="564"/>
      <c r="Q271" s="564"/>
      <c r="R271" s="564"/>
      <c r="S271" s="533"/>
    </row>
    <row r="272" spans="1:19" ht="15" hidden="1">
      <c r="A272" s="820" t="s">
        <v>84</v>
      </c>
      <c r="B272" s="1189" t="s">
        <v>335</v>
      </c>
      <c r="C272" s="586"/>
      <c r="D272" s="57"/>
      <c r="E272" s="649" t="str">
        <f>"resultaten tov "&amp;$F$5</f>
        <v>resultaten tov variant 1</v>
      </c>
      <c r="F272" s="649"/>
      <c r="G272" s="650" t="s">
        <v>337</v>
      </c>
      <c r="H272" s="31"/>
      <c r="I272" s="552"/>
      <c r="J272" s="552"/>
      <c r="K272" s="552"/>
      <c r="L272" s="31"/>
      <c r="M272" s="651" t="str">
        <f t="shared" ref="M272:R272" ca="1" si="99">IF(M270="","",M270-INDEX($L270:$S270,MATCH($F$5,$L$8:$S$8,0)))</f>
        <v/>
      </c>
      <c r="N272" s="651" t="str">
        <f t="shared" ca="1" si="99"/>
        <v/>
      </c>
      <c r="O272" s="651" t="str">
        <f t="shared" ca="1" si="99"/>
        <v/>
      </c>
      <c r="P272" s="651" t="str">
        <f t="shared" ca="1" si="99"/>
        <v/>
      </c>
      <c r="Q272" s="651" t="str">
        <f t="shared" ca="1" si="99"/>
        <v/>
      </c>
      <c r="R272" s="651" t="str">
        <f t="shared" ca="1" si="99"/>
        <v/>
      </c>
      <c r="S272" s="4"/>
    </row>
    <row r="273" spans="1:19" ht="15" hidden="1">
      <c r="A273" s="820" t="s">
        <v>84</v>
      </c>
      <c r="B273" s="1189" t="s">
        <v>335</v>
      </c>
      <c r="C273" s="586"/>
      <c r="D273" s="57"/>
      <c r="E273" s="652"/>
      <c r="F273" s="652"/>
      <c r="G273" s="650" t="s">
        <v>139</v>
      </c>
      <c r="H273" s="31"/>
      <c r="I273" s="553"/>
      <c r="J273" s="553"/>
      <c r="K273" s="553"/>
      <c r="L273" s="31"/>
      <c r="M273" s="656" t="str">
        <f t="shared" ref="M273:R273" ca="1" si="100">IFERROR(M272/INDEX($L270:$S270,MATCH($F$5,$L$8:$S$8,0)),"")</f>
        <v/>
      </c>
      <c r="N273" s="656" t="str">
        <f t="shared" ca="1" si="100"/>
        <v/>
      </c>
      <c r="O273" s="656" t="str">
        <f t="shared" ca="1" si="100"/>
        <v/>
      </c>
      <c r="P273" s="656" t="str">
        <f t="shared" ca="1" si="100"/>
        <v/>
      </c>
      <c r="Q273" s="656" t="str">
        <f t="shared" ca="1" si="100"/>
        <v/>
      </c>
      <c r="R273" s="656" t="str">
        <f t="shared" ca="1" si="100"/>
        <v/>
      </c>
      <c r="S273" s="4"/>
    </row>
    <row r="274" spans="1:19" ht="15" hidden="1">
      <c r="A274" s="825" t="s">
        <v>84</v>
      </c>
      <c r="B274" s="1189" t="s">
        <v>258</v>
      </c>
      <c r="C274" s="586"/>
      <c r="D274" s="57"/>
      <c r="E274" s="4"/>
      <c r="F274" s="4"/>
      <c r="G274" s="4"/>
      <c r="H274" s="31"/>
      <c r="I274" s="68"/>
      <c r="J274" s="68"/>
      <c r="K274" s="68"/>
      <c r="L274" s="31"/>
      <c r="M274" s="13"/>
      <c r="N274" s="13"/>
      <c r="O274" s="13"/>
      <c r="P274" s="13"/>
      <c r="Q274" s="13"/>
      <c r="R274" s="13"/>
      <c r="S274" s="4"/>
    </row>
    <row r="275" spans="1:19" ht="21" hidden="1">
      <c r="A275" s="820" t="s">
        <v>84</v>
      </c>
      <c r="B275" s="1189" t="s">
        <v>258</v>
      </c>
      <c r="C275" s="586"/>
      <c r="D275" s="57"/>
      <c r="E275" s="175" t="s">
        <v>341</v>
      </c>
      <c r="F275" s="175"/>
      <c r="G275" s="175"/>
      <c r="H275" s="4"/>
      <c r="I275" s="546"/>
      <c r="J275" s="546"/>
      <c r="K275" s="546"/>
      <c r="L275" s="31"/>
      <c r="M275" s="561"/>
      <c r="N275" s="561"/>
      <c r="O275" s="561"/>
      <c r="P275" s="561"/>
      <c r="Q275" s="561"/>
      <c r="R275" s="561"/>
      <c r="S275" s="4"/>
    </row>
    <row r="276" spans="1:19" ht="14.25" hidden="1">
      <c r="A276" s="825" t="s">
        <v>84</v>
      </c>
      <c r="B276" s="1189" t="s">
        <v>258</v>
      </c>
      <c r="C276" s="586"/>
      <c r="D276" s="57"/>
      <c r="E276" s="550" t="str">
        <f>"locatie 1"&amp;IF('woningen|utiliteit'!$L$17="","",": "&amp;'woningen|utiliteit'!$L$17)</f>
        <v>locatie 1</v>
      </c>
      <c r="F276" s="180"/>
      <c r="G276" s="180" t="s">
        <v>65</v>
      </c>
      <c r="H276" s="31"/>
      <c r="I276" s="560" t="str">
        <f>'variant 1'!$O$264</f>
        <v>-</v>
      </c>
      <c r="J276" s="547">
        <f t="shared" ref="J276:J300" ca="1" si="101">ROW(INDIRECT(RIGHT((_xlfn.FORMULATEXT($I276)),LEN(_xlfn.FORMULATEXT($I276))-1)))</f>
        <v>264</v>
      </c>
      <c r="K276" s="547">
        <f t="shared" ref="K276:K300" ca="1" si="102">COLUMN(INDIRECT(RIGHT((_xlfn.FORMULATEXT($I276)),LEN(_xlfn.FORMULATEXT($I276))-1)))</f>
        <v>15</v>
      </c>
      <c r="L276" s="31"/>
      <c r="M276" s="227" t="str">
        <f t="shared" ref="M276:R279" ca="1" si="103">IF(M18=0,"",IFERROR(INDIRECT(ADDRESS($J276,$K276,,,M$8)),0))</f>
        <v/>
      </c>
      <c r="N276" s="227" t="str">
        <f t="shared" ca="1" si="103"/>
        <v/>
      </c>
      <c r="O276" s="227" t="str">
        <f t="shared" ca="1" si="103"/>
        <v/>
      </c>
      <c r="P276" s="227" t="str">
        <f t="shared" ca="1" si="103"/>
        <v/>
      </c>
      <c r="Q276" s="227" t="str">
        <f t="shared" ca="1" si="103"/>
        <v/>
      </c>
      <c r="R276" s="227" t="str">
        <f t="shared" ca="1" si="103"/>
        <v/>
      </c>
      <c r="S276" s="4"/>
    </row>
    <row r="277" spans="1:19" ht="14.25" hidden="1">
      <c r="A277" s="825" t="s">
        <v>84</v>
      </c>
      <c r="B277" s="1189" t="s">
        <v>258</v>
      </c>
      <c r="C277" s="586"/>
      <c r="D277" s="57"/>
      <c r="E277" s="550" t="str">
        <f>"locatie 2"&amp;IF('woningen|utiliteit'!$L$33="","",": "&amp;'woningen|utiliteit'!$L$33)</f>
        <v>locatie 2</v>
      </c>
      <c r="F277" s="180"/>
      <c r="G277" s="180" t="s">
        <v>65</v>
      </c>
      <c r="H277" s="31"/>
      <c r="I277" s="560" t="str">
        <f>'variant 1'!$AA$264</f>
        <v>-</v>
      </c>
      <c r="J277" s="547">
        <f t="shared" ca="1" si="101"/>
        <v>264</v>
      </c>
      <c r="K277" s="547">
        <f t="shared" ca="1" si="102"/>
        <v>27</v>
      </c>
      <c r="L277" s="31"/>
      <c r="M277" s="227" t="str">
        <f t="shared" ca="1" si="103"/>
        <v/>
      </c>
      <c r="N277" s="227" t="str">
        <f t="shared" ca="1" si="103"/>
        <v/>
      </c>
      <c r="O277" s="227" t="str">
        <f t="shared" ca="1" si="103"/>
        <v/>
      </c>
      <c r="P277" s="227" t="str">
        <f t="shared" ca="1" si="103"/>
        <v/>
      </c>
      <c r="Q277" s="227" t="str">
        <f t="shared" ca="1" si="103"/>
        <v/>
      </c>
      <c r="R277" s="227" t="str">
        <f t="shared" ca="1" si="103"/>
        <v/>
      </c>
      <c r="S277" s="4"/>
    </row>
    <row r="278" spans="1:19" ht="14.25" hidden="1">
      <c r="A278" s="825" t="s">
        <v>84</v>
      </c>
      <c r="B278" s="1189" t="s">
        <v>258</v>
      </c>
      <c r="C278" s="586"/>
      <c r="D278" s="57"/>
      <c r="E278" s="550" t="str">
        <f>"locatie 3"&amp;IF('woningen|utiliteit'!$L$49="","",": "&amp;'woningen|utiliteit'!$L$49)</f>
        <v>locatie 3</v>
      </c>
      <c r="F278" s="180"/>
      <c r="G278" s="180" t="s">
        <v>65</v>
      </c>
      <c r="H278" s="31"/>
      <c r="I278" s="560" t="str">
        <f>'variant 1'!$AM$264</f>
        <v>-</v>
      </c>
      <c r="J278" s="547">
        <f t="shared" ca="1" si="101"/>
        <v>264</v>
      </c>
      <c r="K278" s="547">
        <f t="shared" ca="1" si="102"/>
        <v>39</v>
      </c>
      <c r="L278" s="31"/>
      <c r="M278" s="227" t="str">
        <f t="shared" ca="1" si="103"/>
        <v/>
      </c>
      <c r="N278" s="227" t="str">
        <f t="shared" ca="1" si="103"/>
        <v/>
      </c>
      <c r="O278" s="227" t="str">
        <f t="shared" ca="1" si="103"/>
        <v/>
      </c>
      <c r="P278" s="227" t="str">
        <f t="shared" ca="1" si="103"/>
        <v/>
      </c>
      <c r="Q278" s="227" t="str">
        <f t="shared" ca="1" si="103"/>
        <v/>
      </c>
      <c r="R278" s="227" t="str">
        <f t="shared" ca="1" si="103"/>
        <v/>
      </c>
      <c r="S278" s="4"/>
    </row>
    <row r="279" spans="1:19" ht="14.25" hidden="1">
      <c r="A279" s="825" t="s">
        <v>84</v>
      </c>
      <c r="B279" s="1189" t="s">
        <v>258</v>
      </c>
      <c r="C279" s="586"/>
      <c r="D279" s="57"/>
      <c r="E279" s="550" t="str">
        <f>"locatie 4"&amp;IF('woningen|utiliteit'!$L$65="","",": "&amp;'woningen|utiliteit'!$L$65)</f>
        <v>locatie 4</v>
      </c>
      <c r="F279" s="180"/>
      <c r="G279" s="180" t="s">
        <v>65</v>
      </c>
      <c r="H279" s="31"/>
      <c r="I279" s="560" t="str">
        <f>'variant 1'!$AY$264</f>
        <v>-</v>
      </c>
      <c r="J279" s="547">
        <f t="shared" ca="1" si="101"/>
        <v>264</v>
      </c>
      <c r="K279" s="547">
        <f t="shared" ca="1" si="102"/>
        <v>51</v>
      </c>
      <c r="L279" s="31"/>
      <c r="M279" s="227" t="str">
        <f t="shared" ca="1" si="103"/>
        <v/>
      </c>
      <c r="N279" s="227" t="str">
        <f t="shared" ca="1" si="103"/>
        <v/>
      </c>
      <c r="O279" s="227" t="str">
        <f t="shared" ca="1" si="103"/>
        <v/>
      </c>
      <c r="P279" s="227" t="str">
        <f t="shared" ca="1" si="103"/>
        <v/>
      </c>
      <c r="Q279" s="227" t="str">
        <f t="shared" ca="1" si="103"/>
        <v/>
      </c>
      <c r="R279" s="227" t="str">
        <f t="shared" ca="1" si="103"/>
        <v/>
      </c>
      <c r="S279" s="4"/>
    </row>
    <row r="280" spans="1:19" ht="15" hidden="1">
      <c r="A280" s="825" t="s">
        <v>84</v>
      </c>
      <c r="B280" s="1189" t="s">
        <v>258</v>
      </c>
      <c r="C280" s="586"/>
      <c r="D280" s="57"/>
      <c r="E280" s="4"/>
      <c r="F280" s="4"/>
      <c r="G280" s="4"/>
      <c r="H280" s="31"/>
      <c r="I280" s="68"/>
      <c r="J280" s="68"/>
      <c r="K280" s="68"/>
      <c r="L280" s="31"/>
      <c r="M280" s="13"/>
      <c r="N280" s="13"/>
      <c r="O280" s="13"/>
      <c r="P280" s="13"/>
      <c r="Q280" s="13"/>
      <c r="R280" s="13"/>
      <c r="S280" s="4"/>
    </row>
    <row r="281" spans="1:19" ht="21" hidden="1">
      <c r="A281" s="820" t="s">
        <v>84</v>
      </c>
      <c r="B281" s="1189" t="s">
        <v>258</v>
      </c>
      <c r="C281" s="586"/>
      <c r="D281" s="57"/>
      <c r="E281" s="175" t="s">
        <v>342</v>
      </c>
      <c r="F281" s="175"/>
      <c r="G281" s="175"/>
      <c r="H281" s="4"/>
      <c r="I281" s="546"/>
      <c r="J281" s="546"/>
      <c r="K281" s="546"/>
      <c r="L281" s="31"/>
      <c r="M281" s="561"/>
      <c r="N281" s="561"/>
      <c r="O281" s="561"/>
      <c r="P281" s="561"/>
      <c r="Q281" s="561"/>
      <c r="R281" s="561"/>
      <c r="S281" s="4"/>
    </row>
    <row r="282" spans="1:19" ht="14.25" hidden="1">
      <c r="A282" s="825" t="s">
        <v>84</v>
      </c>
      <c r="B282" s="1189" t="s">
        <v>258</v>
      </c>
      <c r="C282" s="586"/>
      <c r="D282" s="57"/>
      <c r="E282" s="550" t="str">
        <f>"locatie 1"&amp;IF('woningen|utiliteit'!$L$17="","",": "&amp;'woningen|utiliteit'!$L$17)</f>
        <v>locatie 1</v>
      </c>
      <c r="F282" s="180"/>
      <c r="G282" s="180" t="s">
        <v>65</v>
      </c>
      <c r="H282" s="31"/>
      <c r="I282" s="560" t="str">
        <f>'variant 1'!$P$264</f>
        <v>-</v>
      </c>
      <c r="J282" s="547">
        <f t="shared" ca="1" si="101"/>
        <v>264</v>
      </c>
      <c r="K282" s="547">
        <f t="shared" ca="1" si="102"/>
        <v>16</v>
      </c>
      <c r="L282" s="31"/>
      <c r="M282" s="227" t="str">
        <f t="shared" ref="M282:R285" ca="1" si="104">IF(M18=0,"",IFERROR(INDIRECT(ADDRESS($J282,$K282,,,M$8)),0))</f>
        <v/>
      </c>
      <c r="N282" s="227" t="str">
        <f t="shared" ca="1" si="104"/>
        <v/>
      </c>
      <c r="O282" s="227" t="str">
        <f t="shared" ca="1" si="104"/>
        <v/>
      </c>
      <c r="P282" s="227" t="str">
        <f t="shared" ca="1" si="104"/>
        <v/>
      </c>
      <c r="Q282" s="227" t="str">
        <f t="shared" ca="1" si="104"/>
        <v/>
      </c>
      <c r="R282" s="227" t="str">
        <f t="shared" ca="1" si="104"/>
        <v/>
      </c>
      <c r="S282" s="4"/>
    </row>
    <row r="283" spans="1:19" ht="14.25" hidden="1">
      <c r="A283" s="825" t="s">
        <v>84</v>
      </c>
      <c r="B283" s="1189" t="s">
        <v>258</v>
      </c>
      <c r="C283" s="586"/>
      <c r="D283" s="57"/>
      <c r="E283" s="550" t="str">
        <f>"locatie 2"&amp;IF('woningen|utiliteit'!$L$33="","",": "&amp;'woningen|utiliteit'!$L$33)</f>
        <v>locatie 2</v>
      </c>
      <c r="F283" s="180"/>
      <c r="G283" s="180" t="s">
        <v>65</v>
      </c>
      <c r="H283" s="31"/>
      <c r="I283" s="560" t="str">
        <f>'variant 1'!$AB$264</f>
        <v>-</v>
      </c>
      <c r="J283" s="547">
        <f t="shared" ca="1" si="101"/>
        <v>264</v>
      </c>
      <c r="K283" s="547">
        <f t="shared" ca="1" si="102"/>
        <v>28</v>
      </c>
      <c r="L283" s="31"/>
      <c r="M283" s="227" t="str">
        <f t="shared" ca="1" si="104"/>
        <v/>
      </c>
      <c r="N283" s="227" t="str">
        <f t="shared" ca="1" si="104"/>
        <v/>
      </c>
      <c r="O283" s="227" t="str">
        <f t="shared" ca="1" si="104"/>
        <v/>
      </c>
      <c r="P283" s="227" t="str">
        <f t="shared" ca="1" si="104"/>
        <v/>
      </c>
      <c r="Q283" s="227" t="str">
        <f t="shared" ca="1" si="104"/>
        <v/>
      </c>
      <c r="R283" s="227" t="str">
        <f t="shared" ca="1" si="104"/>
        <v/>
      </c>
      <c r="S283" s="4"/>
    </row>
    <row r="284" spans="1:19" ht="14.25" hidden="1">
      <c r="A284" s="825" t="s">
        <v>84</v>
      </c>
      <c r="B284" s="1189" t="s">
        <v>258</v>
      </c>
      <c r="C284" s="586"/>
      <c r="D284" s="57"/>
      <c r="E284" s="550" t="str">
        <f>"locatie 3"&amp;IF('woningen|utiliteit'!$L$49="","",": "&amp;'woningen|utiliteit'!$L$49)</f>
        <v>locatie 3</v>
      </c>
      <c r="F284" s="180"/>
      <c r="G284" s="180" t="s">
        <v>65</v>
      </c>
      <c r="H284" s="31"/>
      <c r="I284" s="560" t="str">
        <f>'variant 1'!$AN$264</f>
        <v>-</v>
      </c>
      <c r="J284" s="547">
        <f t="shared" ca="1" si="101"/>
        <v>264</v>
      </c>
      <c r="K284" s="547">
        <f t="shared" ca="1" si="102"/>
        <v>40</v>
      </c>
      <c r="L284" s="31"/>
      <c r="M284" s="227" t="str">
        <f t="shared" ca="1" si="104"/>
        <v/>
      </c>
      <c r="N284" s="227" t="str">
        <f t="shared" ca="1" si="104"/>
        <v/>
      </c>
      <c r="O284" s="227" t="str">
        <f t="shared" ca="1" si="104"/>
        <v/>
      </c>
      <c r="P284" s="227" t="str">
        <f t="shared" ca="1" si="104"/>
        <v/>
      </c>
      <c r="Q284" s="227" t="str">
        <f t="shared" ca="1" si="104"/>
        <v/>
      </c>
      <c r="R284" s="227" t="str">
        <f t="shared" ca="1" si="104"/>
        <v/>
      </c>
      <c r="S284" s="4"/>
    </row>
    <row r="285" spans="1:19" ht="14.25" hidden="1">
      <c r="A285" s="825" t="s">
        <v>84</v>
      </c>
      <c r="B285" s="1189" t="s">
        <v>258</v>
      </c>
      <c r="C285" s="586"/>
      <c r="D285" s="57"/>
      <c r="E285" s="550" t="str">
        <f>"locatie 4"&amp;IF('woningen|utiliteit'!$L$65="","",": "&amp;'woningen|utiliteit'!$L$65)</f>
        <v>locatie 4</v>
      </c>
      <c r="F285" s="180"/>
      <c r="G285" s="180" t="s">
        <v>65</v>
      </c>
      <c r="H285" s="31"/>
      <c r="I285" s="560" t="str">
        <f>'variant 1'!$AZ$264</f>
        <v>-</v>
      </c>
      <c r="J285" s="547">
        <f t="shared" ca="1" si="101"/>
        <v>264</v>
      </c>
      <c r="K285" s="547">
        <f t="shared" ca="1" si="102"/>
        <v>52</v>
      </c>
      <c r="L285" s="31"/>
      <c r="M285" s="227" t="str">
        <f t="shared" ca="1" si="104"/>
        <v/>
      </c>
      <c r="N285" s="227" t="str">
        <f t="shared" ca="1" si="104"/>
        <v/>
      </c>
      <c r="O285" s="227" t="str">
        <f t="shared" ca="1" si="104"/>
        <v/>
      </c>
      <c r="P285" s="227" t="str">
        <f t="shared" ca="1" si="104"/>
        <v/>
      </c>
      <c r="Q285" s="227" t="str">
        <f t="shared" ca="1" si="104"/>
        <v/>
      </c>
      <c r="R285" s="227" t="str">
        <f t="shared" ca="1" si="104"/>
        <v/>
      </c>
      <c r="S285" s="4"/>
    </row>
    <row r="286" spans="1:19" ht="15" hidden="1">
      <c r="A286" s="825" t="s">
        <v>84</v>
      </c>
      <c r="B286" s="1189" t="s">
        <v>258</v>
      </c>
      <c r="C286" s="586"/>
      <c r="D286" s="57"/>
      <c r="E286" s="4"/>
      <c r="F286" s="4"/>
      <c r="G286" s="4"/>
      <c r="H286" s="31"/>
      <c r="I286" s="68"/>
      <c r="J286" s="68"/>
      <c r="K286" s="68"/>
      <c r="L286" s="31"/>
      <c r="M286" s="13"/>
      <c r="N286" s="13"/>
      <c r="O286" s="13"/>
      <c r="P286" s="13"/>
      <c r="Q286" s="13"/>
      <c r="R286" s="13"/>
      <c r="S286" s="4"/>
    </row>
    <row r="287" spans="1:19" ht="21" hidden="1">
      <c r="A287" s="820" t="s">
        <v>84</v>
      </c>
      <c r="B287" s="1189" t="s">
        <v>258</v>
      </c>
      <c r="C287" s="586"/>
      <c r="D287" s="57"/>
      <c r="E287" s="175" t="s">
        <v>343</v>
      </c>
      <c r="F287" s="175"/>
      <c r="G287" s="175"/>
      <c r="H287" s="4"/>
      <c r="I287" s="546"/>
      <c r="J287" s="546"/>
      <c r="K287" s="546"/>
      <c r="L287" s="31"/>
      <c r="M287" s="561"/>
      <c r="N287" s="561"/>
      <c r="O287" s="561"/>
      <c r="P287" s="561"/>
      <c r="Q287" s="561"/>
      <c r="R287" s="561"/>
      <c r="S287" s="4"/>
    </row>
    <row r="288" spans="1:19" ht="14.25" hidden="1">
      <c r="A288" s="825" t="s">
        <v>84</v>
      </c>
      <c r="B288" s="1189" t="s">
        <v>258</v>
      </c>
      <c r="C288" s="586"/>
      <c r="D288" s="57"/>
      <c r="E288" s="550" t="str">
        <f>"locatie 1"&amp;IF('woningen|utiliteit'!$L$17="","",": "&amp;'woningen|utiliteit'!$L$17)</f>
        <v>locatie 1</v>
      </c>
      <c r="F288" s="180"/>
      <c r="G288" s="180" t="s">
        <v>65</v>
      </c>
      <c r="H288" s="31"/>
      <c r="I288" s="560" t="str">
        <f>'variant 1'!$Q$264</f>
        <v>-</v>
      </c>
      <c r="J288" s="547">
        <f t="shared" ca="1" si="101"/>
        <v>264</v>
      </c>
      <c r="K288" s="547">
        <f t="shared" ca="1" si="102"/>
        <v>17</v>
      </c>
      <c r="L288" s="31"/>
      <c r="M288" s="227" t="str">
        <f t="shared" ref="M288:R291" ca="1" si="105">IF(M18=0,"",IFERROR(INDIRECT(ADDRESS($J288,$K288,,,M$8)),0))</f>
        <v/>
      </c>
      <c r="N288" s="227" t="str">
        <f t="shared" ca="1" si="105"/>
        <v/>
      </c>
      <c r="O288" s="227" t="str">
        <f t="shared" ca="1" si="105"/>
        <v/>
      </c>
      <c r="P288" s="227" t="str">
        <f t="shared" ca="1" si="105"/>
        <v/>
      </c>
      <c r="Q288" s="227" t="str">
        <f t="shared" ca="1" si="105"/>
        <v/>
      </c>
      <c r="R288" s="227" t="str">
        <f t="shared" ca="1" si="105"/>
        <v/>
      </c>
      <c r="S288" s="4"/>
    </row>
    <row r="289" spans="1:19" ht="14.25" hidden="1">
      <c r="A289" s="825" t="s">
        <v>84</v>
      </c>
      <c r="B289" s="1189" t="s">
        <v>258</v>
      </c>
      <c r="C289" s="586"/>
      <c r="D289" s="57"/>
      <c r="E289" s="550" t="str">
        <f>"locatie 2"&amp;IF('woningen|utiliteit'!$L$33="","",": "&amp;'woningen|utiliteit'!$L$33)</f>
        <v>locatie 2</v>
      </c>
      <c r="F289" s="180"/>
      <c r="G289" s="180" t="s">
        <v>65</v>
      </c>
      <c r="H289" s="31"/>
      <c r="I289" s="560" t="str">
        <f>'variant 1'!$AC$264</f>
        <v>-</v>
      </c>
      <c r="J289" s="547">
        <f t="shared" ca="1" si="101"/>
        <v>264</v>
      </c>
      <c r="K289" s="547">
        <f t="shared" ca="1" si="102"/>
        <v>29</v>
      </c>
      <c r="L289" s="31"/>
      <c r="M289" s="227" t="str">
        <f t="shared" ca="1" si="105"/>
        <v/>
      </c>
      <c r="N289" s="227" t="str">
        <f t="shared" ca="1" si="105"/>
        <v/>
      </c>
      <c r="O289" s="227" t="str">
        <f t="shared" ca="1" si="105"/>
        <v/>
      </c>
      <c r="P289" s="227" t="str">
        <f t="shared" ca="1" si="105"/>
        <v/>
      </c>
      <c r="Q289" s="227" t="str">
        <f t="shared" ca="1" si="105"/>
        <v/>
      </c>
      <c r="R289" s="227" t="str">
        <f t="shared" ca="1" si="105"/>
        <v/>
      </c>
      <c r="S289" s="4"/>
    </row>
    <row r="290" spans="1:19" ht="14.25" hidden="1">
      <c r="A290" s="825" t="s">
        <v>84</v>
      </c>
      <c r="B290" s="1189" t="s">
        <v>258</v>
      </c>
      <c r="C290" s="586"/>
      <c r="D290" s="57"/>
      <c r="E290" s="550" t="str">
        <f>"locatie 3"&amp;IF('woningen|utiliteit'!$L$49="","",": "&amp;'woningen|utiliteit'!$L$49)</f>
        <v>locatie 3</v>
      </c>
      <c r="F290" s="180"/>
      <c r="G290" s="180" t="s">
        <v>65</v>
      </c>
      <c r="H290" s="31"/>
      <c r="I290" s="560" t="str">
        <f>'variant 1'!$AO$264</f>
        <v>-</v>
      </c>
      <c r="J290" s="547">
        <f t="shared" ca="1" si="101"/>
        <v>264</v>
      </c>
      <c r="K290" s="547">
        <f t="shared" ca="1" si="102"/>
        <v>41</v>
      </c>
      <c r="L290" s="31"/>
      <c r="M290" s="227" t="str">
        <f t="shared" ca="1" si="105"/>
        <v/>
      </c>
      <c r="N290" s="227" t="str">
        <f t="shared" ca="1" si="105"/>
        <v/>
      </c>
      <c r="O290" s="227" t="str">
        <f t="shared" ca="1" si="105"/>
        <v/>
      </c>
      <c r="P290" s="227" t="str">
        <f t="shared" ca="1" si="105"/>
        <v/>
      </c>
      <c r="Q290" s="227" t="str">
        <f t="shared" ca="1" si="105"/>
        <v/>
      </c>
      <c r="R290" s="227" t="str">
        <f t="shared" ca="1" si="105"/>
        <v/>
      </c>
      <c r="S290" s="4"/>
    </row>
    <row r="291" spans="1:19" ht="14.25" hidden="1">
      <c r="A291" s="825" t="s">
        <v>84</v>
      </c>
      <c r="B291" s="1189" t="s">
        <v>258</v>
      </c>
      <c r="C291" s="586"/>
      <c r="D291" s="57"/>
      <c r="E291" s="550" t="str">
        <f>"locatie 4"&amp;IF('woningen|utiliteit'!$L$65="","",": "&amp;'woningen|utiliteit'!$L$65)</f>
        <v>locatie 4</v>
      </c>
      <c r="F291" s="180"/>
      <c r="G291" s="180" t="s">
        <v>65</v>
      </c>
      <c r="H291" s="31"/>
      <c r="I291" s="560" t="str">
        <f>'variant 1'!$BA$264</f>
        <v>-</v>
      </c>
      <c r="J291" s="547">
        <f t="shared" ca="1" si="101"/>
        <v>264</v>
      </c>
      <c r="K291" s="547">
        <f t="shared" ca="1" si="102"/>
        <v>53</v>
      </c>
      <c r="L291" s="31"/>
      <c r="M291" s="227" t="str">
        <f t="shared" ca="1" si="105"/>
        <v/>
      </c>
      <c r="N291" s="227" t="str">
        <f t="shared" ca="1" si="105"/>
        <v/>
      </c>
      <c r="O291" s="227" t="str">
        <f t="shared" ca="1" si="105"/>
        <v/>
      </c>
      <c r="P291" s="227" t="str">
        <f t="shared" ca="1" si="105"/>
        <v/>
      </c>
      <c r="Q291" s="227" t="str">
        <f t="shared" ca="1" si="105"/>
        <v/>
      </c>
      <c r="R291" s="227" t="str">
        <f t="shared" ca="1" si="105"/>
        <v/>
      </c>
      <c r="S291" s="4"/>
    </row>
    <row r="292" spans="1:19" ht="15" hidden="1">
      <c r="A292" s="825" t="s">
        <v>84</v>
      </c>
      <c r="B292" s="1189" t="s">
        <v>344</v>
      </c>
      <c r="C292" s="586"/>
      <c r="D292" s="57"/>
      <c r="E292" s="4"/>
      <c r="F292" s="4"/>
      <c r="G292" s="4"/>
      <c r="H292" s="31"/>
      <c r="I292" s="68"/>
      <c r="J292" s="68"/>
      <c r="K292" s="68"/>
      <c r="L292" s="31"/>
      <c r="M292" s="13"/>
      <c r="N292" s="13"/>
      <c r="O292" s="13"/>
      <c r="P292" s="13"/>
      <c r="Q292" s="13"/>
      <c r="R292" s="13"/>
      <c r="S292" s="4"/>
    </row>
    <row r="293" spans="1:19" ht="21" hidden="1">
      <c r="A293" s="820" t="s">
        <v>84</v>
      </c>
      <c r="B293" s="1189" t="s">
        <v>344</v>
      </c>
      <c r="C293" s="586"/>
      <c r="D293" s="57"/>
      <c r="E293" s="175" t="s">
        <v>345</v>
      </c>
      <c r="F293" s="175"/>
      <c r="G293" s="175"/>
      <c r="H293" s="4"/>
      <c r="I293" s="546"/>
      <c r="J293" s="546"/>
      <c r="K293" s="546"/>
      <c r="L293" s="31"/>
      <c r="M293" s="561"/>
      <c r="N293" s="561"/>
      <c r="O293" s="561"/>
      <c r="P293" s="561"/>
      <c r="Q293" s="561"/>
      <c r="R293" s="561"/>
      <c r="S293" s="4"/>
    </row>
    <row r="294" spans="1:19" ht="14.25" hidden="1">
      <c r="A294" s="825" t="s">
        <v>84</v>
      </c>
      <c r="B294" s="1189" t="s">
        <v>344</v>
      </c>
      <c r="C294" s="586"/>
      <c r="D294" s="57"/>
      <c r="E294" s="550" t="str">
        <f>'variant 1'!E251</f>
        <v>warmtepomp (EPren;hp)</v>
      </c>
      <c r="F294" s="180"/>
      <c r="G294" s="180" t="s">
        <v>160</v>
      </c>
      <c r="H294" s="31"/>
      <c r="I294" s="551">
        <f>'variant 1'!J251</f>
        <v>0</v>
      </c>
      <c r="J294" s="547">
        <f t="shared" ca="1" si="101"/>
        <v>251</v>
      </c>
      <c r="K294" s="547">
        <f t="shared" ca="1" si="102"/>
        <v>10</v>
      </c>
      <c r="L294" s="31"/>
      <c r="M294" s="168" t="str">
        <f t="shared" ref="M294:R300" ca="1" si="106">IF(M$22=0,"",IFERROR(INDIRECT(ADDRESS($J294,$K294,,,M$8)),0))</f>
        <v/>
      </c>
      <c r="N294" s="168" t="str">
        <f t="shared" ca="1" si="106"/>
        <v/>
      </c>
      <c r="O294" s="168" t="str">
        <f t="shared" ca="1" si="106"/>
        <v/>
      </c>
      <c r="P294" s="168" t="str">
        <f t="shared" ca="1" si="106"/>
        <v/>
      </c>
      <c r="Q294" s="168" t="str">
        <f t="shared" ca="1" si="106"/>
        <v/>
      </c>
      <c r="R294" s="168" t="str">
        <f t="shared" ca="1" si="106"/>
        <v/>
      </c>
      <c r="S294" s="4"/>
    </row>
    <row r="295" spans="1:19" ht="14.25" hidden="1">
      <c r="A295" s="825" t="s">
        <v>84</v>
      </c>
      <c r="B295" s="1189" t="s">
        <v>344</v>
      </c>
      <c r="C295" s="586"/>
      <c r="D295" s="57"/>
      <c r="E295" s="550" t="str">
        <f>'variant 1'!E252</f>
        <v>vrije koeling (EPren;gen;out)</v>
      </c>
      <c r="F295" s="180"/>
      <c r="G295" s="180" t="s">
        <v>160</v>
      </c>
      <c r="H295" s="31"/>
      <c r="I295" s="551">
        <f>'variant 1'!J252</f>
        <v>0</v>
      </c>
      <c r="J295" s="547">
        <f t="shared" ca="1" si="101"/>
        <v>252</v>
      </c>
      <c r="K295" s="547">
        <f t="shared" ca="1" si="102"/>
        <v>10</v>
      </c>
      <c r="L295" s="31"/>
      <c r="M295" s="168" t="str">
        <f t="shared" ca="1" si="106"/>
        <v/>
      </c>
      <c r="N295" s="168" t="str">
        <f t="shared" ca="1" si="106"/>
        <v/>
      </c>
      <c r="O295" s="168" t="str">
        <f t="shared" ca="1" si="106"/>
        <v/>
      </c>
      <c r="P295" s="168" t="str">
        <f t="shared" ca="1" si="106"/>
        <v/>
      </c>
      <c r="Q295" s="168" t="str">
        <f t="shared" ca="1" si="106"/>
        <v/>
      </c>
      <c r="R295" s="168" t="str">
        <f t="shared" ca="1" si="106"/>
        <v/>
      </c>
      <c r="S295" s="4"/>
    </row>
    <row r="296" spans="1:19" ht="14.25" hidden="1">
      <c r="A296" s="825" t="s">
        <v>84</v>
      </c>
      <c r="B296" s="1189" t="s">
        <v>344</v>
      </c>
      <c r="C296" s="586"/>
      <c r="D296" s="57"/>
      <c r="E296" s="550" t="str">
        <f>'variant 1'!E253</f>
        <v>biomassagestookte toestellen (EPren;gen;out)</v>
      </c>
      <c r="F296" s="180"/>
      <c r="G296" s="180" t="s">
        <v>160</v>
      </c>
      <c r="H296" s="31"/>
      <c r="I296" s="551">
        <f>'variant 1'!J253</f>
        <v>0</v>
      </c>
      <c r="J296" s="547">
        <f t="shared" ca="1" si="101"/>
        <v>253</v>
      </c>
      <c r="K296" s="547">
        <f t="shared" ca="1" si="102"/>
        <v>10</v>
      </c>
      <c r="L296" s="31"/>
      <c r="M296" s="168" t="str">
        <f t="shared" ca="1" si="106"/>
        <v/>
      </c>
      <c r="N296" s="168" t="str">
        <f t="shared" ca="1" si="106"/>
        <v/>
      </c>
      <c r="O296" s="168" t="str">
        <f t="shared" ca="1" si="106"/>
        <v/>
      </c>
      <c r="P296" s="168" t="str">
        <f t="shared" ca="1" si="106"/>
        <v/>
      </c>
      <c r="Q296" s="168" t="str">
        <f t="shared" ca="1" si="106"/>
        <v/>
      </c>
      <c r="R296" s="168" t="str">
        <f t="shared" ca="1" si="106"/>
        <v/>
      </c>
      <c r="S296" s="4"/>
    </row>
    <row r="297" spans="1:19" ht="14.25" hidden="1">
      <c r="A297" s="825" t="s">
        <v>84</v>
      </c>
      <c r="B297" s="1189" t="s">
        <v>344</v>
      </c>
      <c r="C297" s="586"/>
      <c r="D297" s="57"/>
      <c r="E297" s="550" t="str">
        <f>'variant 1'!E254</f>
        <v>externe warmte-/koudelevering (EPren;gen;out)</v>
      </c>
      <c r="F297" s="180"/>
      <c r="G297" s="180" t="s">
        <v>160</v>
      </c>
      <c r="H297" s="31"/>
      <c r="I297" s="551">
        <f>'variant 1'!J254</f>
        <v>0</v>
      </c>
      <c r="J297" s="547">
        <f t="shared" ca="1" si="101"/>
        <v>254</v>
      </c>
      <c r="K297" s="547">
        <f t="shared" ca="1" si="102"/>
        <v>10</v>
      </c>
      <c r="L297" s="31"/>
      <c r="M297" s="168" t="str">
        <f t="shared" ca="1" si="106"/>
        <v/>
      </c>
      <c r="N297" s="168" t="str">
        <f t="shared" ca="1" si="106"/>
        <v/>
      </c>
      <c r="O297" s="168" t="str">
        <f t="shared" ca="1" si="106"/>
        <v/>
      </c>
      <c r="P297" s="168" t="str">
        <f t="shared" ca="1" si="106"/>
        <v/>
      </c>
      <c r="Q297" s="168" t="str">
        <f t="shared" ca="1" si="106"/>
        <v/>
      </c>
      <c r="R297" s="168" t="str">
        <f t="shared" ca="1" si="106"/>
        <v/>
      </c>
      <c r="S297" s="4"/>
    </row>
    <row r="298" spans="1:19" ht="14.25" hidden="1">
      <c r="A298" s="825" t="s">
        <v>84</v>
      </c>
      <c r="B298" s="1189" t="s">
        <v>344</v>
      </c>
      <c r="C298" s="586"/>
      <c r="D298" s="57"/>
      <c r="E298" s="550" t="str">
        <f>'variant 1'!E255</f>
        <v>absorptiekoeling op ext. warmtelevering (EPren;gen;out)</v>
      </c>
      <c r="F298" s="180"/>
      <c r="G298" s="180" t="s">
        <v>160</v>
      </c>
      <c r="H298" s="31"/>
      <c r="I298" s="551">
        <f>'variant 1'!J255</f>
        <v>0</v>
      </c>
      <c r="J298" s="547">
        <f t="shared" ca="1" si="101"/>
        <v>255</v>
      </c>
      <c r="K298" s="547">
        <f t="shared" ca="1" si="102"/>
        <v>10</v>
      </c>
      <c r="L298" s="31"/>
      <c r="M298" s="168" t="str">
        <f t="shared" ca="1" si="106"/>
        <v/>
      </c>
      <c r="N298" s="168" t="str">
        <f t="shared" ca="1" si="106"/>
        <v/>
      </c>
      <c r="O298" s="168" t="str">
        <f t="shared" ca="1" si="106"/>
        <v/>
      </c>
      <c r="P298" s="168" t="str">
        <f t="shared" ca="1" si="106"/>
        <v/>
      </c>
      <c r="Q298" s="168" t="str">
        <f t="shared" ca="1" si="106"/>
        <v/>
      </c>
      <c r="R298" s="168" t="str">
        <f t="shared" ca="1" si="106"/>
        <v/>
      </c>
      <c r="S298" s="4"/>
    </row>
    <row r="299" spans="1:19" ht="14.25" hidden="1">
      <c r="A299" s="825" t="s">
        <v>84</v>
      </c>
      <c r="B299" s="1189" t="s">
        <v>344</v>
      </c>
      <c r="C299" s="586"/>
      <c r="D299" s="57"/>
      <c r="E299" s="550" t="str">
        <f>'variant 1'!E256</f>
        <v>zonneboiler (EPren;sol;prac)</v>
      </c>
      <c r="F299" s="180"/>
      <c r="G299" s="180" t="s">
        <v>160</v>
      </c>
      <c r="H299" s="31"/>
      <c r="I299" s="551">
        <f>'variant 1'!J256</f>
        <v>0</v>
      </c>
      <c r="J299" s="547">
        <f t="shared" ca="1" si="101"/>
        <v>256</v>
      </c>
      <c r="K299" s="547">
        <f t="shared" ca="1" si="102"/>
        <v>10</v>
      </c>
      <c r="L299" s="31"/>
      <c r="M299" s="168" t="str">
        <f t="shared" ca="1" si="106"/>
        <v/>
      </c>
      <c r="N299" s="168" t="str">
        <f t="shared" ca="1" si="106"/>
        <v/>
      </c>
      <c r="O299" s="168" t="str">
        <f t="shared" ca="1" si="106"/>
        <v/>
      </c>
      <c r="P299" s="168" t="str">
        <f t="shared" ca="1" si="106"/>
        <v/>
      </c>
      <c r="Q299" s="168" t="str">
        <f t="shared" ca="1" si="106"/>
        <v/>
      </c>
      <c r="R299" s="168" t="str">
        <f t="shared" ca="1" si="106"/>
        <v/>
      </c>
      <c r="S299" s="4"/>
    </row>
    <row r="300" spans="1:19" ht="14.25" hidden="1">
      <c r="A300" s="825" t="s">
        <v>84</v>
      </c>
      <c r="B300" s="1189" t="s">
        <v>344</v>
      </c>
      <c r="C300" s="586"/>
      <c r="D300" s="57"/>
      <c r="E300" s="959" t="str">
        <f>'variant 1'!E257</f>
        <v>hernieuwbaar opgewekte elektriciteit (EPren;el)</v>
      </c>
      <c r="F300" s="254"/>
      <c r="G300" s="254" t="s">
        <v>160</v>
      </c>
      <c r="H300" s="31"/>
      <c r="I300" s="551">
        <f>'variant 1'!J257</f>
        <v>0</v>
      </c>
      <c r="J300" s="547">
        <f t="shared" ca="1" si="101"/>
        <v>257</v>
      </c>
      <c r="K300" s="547">
        <f t="shared" ca="1" si="102"/>
        <v>10</v>
      </c>
      <c r="L300" s="31"/>
      <c r="M300" s="541" t="str">
        <f t="shared" ca="1" si="106"/>
        <v/>
      </c>
      <c r="N300" s="541" t="str">
        <f t="shared" ca="1" si="106"/>
        <v/>
      </c>
      <c r="O300" s="541" t="str">
        <f t="shared" ca="1" si="106"/>
        <v/>
      </c>
      <c r="P300" s="541" t="str">
        <f t="shared" ca="1" si="106"/>
        <v/>
      </c>
      <c r="Q300" s="541" t="str">
        <f t="shared" ca="1" si="106"/>
        <v/>
      </c>
      <c r="R300" s="541" t="str">
        <f t="shared" ca="1" si="106"/>
        <v/>
      </c>
      <c r="S300" s="4"/>
    </row>
    <row r="301" spans="1:19" ht="15" hidden="1">
      <c r="A301" s="825" t="s">
        <v>84</v>
      </c>
      <c r="B301" s="1189" t="s">
        <v>344</v>
      </c>
      <c r="C301" s="586"/>
      <c r="D301" s="57"/>
      <c r="E301" s="963" t="s">
        <v>232</v>
      </c>
      <c r="F301" s="963"/>
      <c r="G301" s="963" t="s">
        <v>160</v>
      </c>
      <c r="H301" s="31"/>
      <c r="I301" s="68"/>
      <c r="J301" s="68"/>
      <c r="K301" s="68"/>
      <c r="L301" s="31"/>
      <c r="M301" s="965">
        <f t="shared" ref="M301:R301" ca="1" si="107">SUM(M294:M300)</f>
        <v>0</v>
      </c>
      <c r="N301" s="965">
        <f t="shared" ca="1" si="107"/>
        <v>0</v>
      </c>
      <c r="O301" s="965">
        <f t="shared" ca="1" si="107"/>
        <v>0</v>
      </c>
      <c r="P301" s="965">
        <f t="shared" ca="1" si="107"/>
        <v>0</v>
      </c>
      <c r="Q301" s="965">
        <f t="shared" ca="1" si="107"/>
        <v>0</v>
      </c>
      <c r="R301" s="965">
        <f t="shared" ca="1" si="107"/>
        <v>0</v>
      </c>
      <c r="S301" s="4"/>
    </row>
    <row r="302" spans="1:19" ht="15">
      <c r="A302" s="820" t="s">
        <v>84</v>
      </c>
      <c r="B302" s="1189" t="s">
        <v>346</v>
      </c>
      <c r="C302" s="586"/>
      <c r="D302" s="56"/>
      <c r="E302" s="30"/>
      <c r="F302" s="30"/>
      <c r="G302" s="30"/>
      <c r="H302" s="31"/>
      <c r="I302" s="68"/>
      <c r="J302" s="68"/>
      <c r="K302" s="68"/>
      <c r="L302" s="31"/>
      <c r="M302" s="30"/>
      <c r="N302" s="30"/>
      <c r="O302" s="30"/>
      <c r="P302" s="30"/>
      <c r="Q302" s="30"/>
      <c r="R302" s="30"/>
      <c r="S302" s="4"/>
    </row>
    <row r="303" spans="1:19" ht="255">
      <c r="A303" s="820" t="s">
        <v>84</v>
      </c>
      <c r="B303" s="1189" t="s">
        <v>346</v>
      </c>
      <c r="C303" s="586"/>
      <c r="D303" s="58"/>
      <c r="E303" s="653" t="s">
        <v>346</v>
      </c>
      <c r="F303" s="654" t="s">
        <v>347</v>
      </c>
      <c r="G303" s="655"/>
      <c r="H303" s="4"/>
      <c r="I303" s="61"/>
      <c r="J303" s="61"/>
      <c r="K303" s="61"/>
      <c r="L303" s="4"/>
      <c r="M303" s="9"/>
      <c r="N303" s="9"/>
      <c r="O303" s="9"/>
      <c r="P303" s="9"/>
      <c r="Q303" s="9"/>
      <c r="R303" s="9"/>
      <c r="S303" s="4"/>
    </row>
    <row r="304" spans="1:19" ht="14.25">
      <c r="A304" s="820" t="s">
        <v>84</v>
      </c>
      <c r="B304" s="1189" t="s">
        <v>348</v>
      </c>
      <c r="C304" s="586"/>
      <c r="D304" s="35"/>
      <c r="E304" s="73"/>
      <c r="F304" s="4"/>
      <c r="G304" s="4"/>
      <c r="H304" s="4"/>
      <c r="I304" s="61"/>
      <c r="J304" s="61"/>
      <c r="K304" s="61"/>
      <c r="L304" s="4"/>
      <c r="M304" s="9"/>
      <c r="N304" s="9"/>
      <c r="O304" s="9"/>
      <c r="P304" s="9"/>
      <c r="Q304" s="9"/>
      <c r="R304" s="9"/>
      <c r="S304" s="4"/>
    </row>
    <row r="305" spans="1:19" ht="255">
      <c r="A305" s="820" t="s">
        <v>84</v>
      </c>
      <c r="B305" s="1189" t="s">
        <v>348</v>
      </c>
      <c r="C305" s="586"/>
      <c r="D305" s="35"/>
      <c r="E305" s="653" t="s">
        <v>349</v>
      </c>
      <c r="F305" s="654" t="s">
        <v>347</v>
      </c>
      <c r="G305" s="655"/>
      <c r="H305" s="4"/>
      <c r="I305" s="61"/>
      <c r="J305" s="61"/>
      <c r="K305" s="61"/>
      <c r="L305" s="4"/>
      <c r="M305" s="9"/>
      <c r="N305" s="9"/>
      <c r="O305" s="9"/>
      <c r="P305" s="9"/>
      <c r="Q305" s="9"/>
      <c r="R305" s="9"/>
      <c r="S305" s="4"/>
    </row>
    <row r="306" spans="1:19" ht="14.25">
      <c r="A306" s="826"/>
      <c r="B306" s="1189" t="s">
        <v>348</v>
      </c>
      <c r="C306" s="586"/>
      <c r="D306" s="35"/>
      <c r="E306" s="4"/>
      <c r="F306" s="4"/>
      <c r="G306" s="4"/>
      <c r="H306" s="4"/>
      <c r="I306" s="61"/>
      <c r="J306" s="61"/>
      <c r="K306" s="61"/>
      <c r="L306" s="4"/>
      <c r="M306" s="9"/>
      <c r="N306" s="9"/>
      <c r="O306" s="9"/>
      <c r="P306" s="9"/>
      <c r="Q306" s="9"/>
      <c r="R306" s="9"/>
      <c r="S306" s="4"/>
    </row>
  </sheetData>
  <sheetProtection algorithmName="SHA-512" hashValue="Yulpn7nOmnH1auv7pFBfJgOix+vl48tzSu6fsqiUqnEXQCyowGFWQ7++3Ug5qSbJvQaH97leyNVtH6C0iwGiHQ==" saltValue="JqOmjOc0WZoaoecMJsnOfA==" spinCount="100000" sheet="1" objects="1" scenarios="1" formatColumns="0" autoFilter="0"/>
  <autoFilter ref="B8:B306" xr:uid="{74ED3B3D-4A23-4A2F-BBEB-0D2274B171B4}">
    <filterColumn colId="0">
      <filters>
        <filter val="algemeen"/>
        <filter val="CO2 emissie"/>
        <filter val="grafiek CO2 emissie"/>
        <filter val="grafiek primair energiegebruik"/>
        <filter val="primair energiegebruik"/>
      </filters>
    </filterColumn>
  </autoFilter>
  <mergeCells count="5">
    <mergeCell ref="F4:G4"/>
    <mergeCell ref="F6:G6"/>
    <mergeCell ref="F5:G5"/>
    <mergeCell ref="B5:B7"/>
    <mergeCell ref="E3:G3"/>
  </mergeCells>
  <phoneticPr fontId="0" type="noConversion"/>
  <conditionalFormatting sqref="F5">
    <cfRule type="expression" dxfId="1198" priority="4456">
      <formula>ISERROR(MATCH(F5,$M$8:$R$8,0))</formula>
    </cfRule>
  </conditionalFormatting>
  <conditionalFormatting sqref="F6">
    <cfRule type="expression" dxfId="1197" priority="106">
      <formula>F6=""</formula>
    </cfRule>
  </conditionalFormatting>
  <conditionalFormatting sqref="G2">
    <cfRule type="expression" dxfId="1196" priority="29">
      <formula>$G$2&lt;&gt;""</formula>
    </cfRule>
  </conditionalFormatting>
  <conditionalFormatting sqref="M10:R10 M31:R31 M37:R37 M43:R43 M49:R49 M55:R55 M61:R61 M77:R77 M87:R87 M102:R102 M117:R117 M132:R132 M205:R205 M215:R215 M230:R230 M245:R245 M275:R275 M281:R281 M287:R287">
    <cfRule type="expression" dxfId="1195" priority="25">
      <formula>M$22=0</formula>
    </cfRule>
  </conditionalFormatting>
  <conditionalFormatting sqref="M11:R14 M29:R29">
    <cfRule type="expression" dxfId="1194" priority="22">
      <formula>M$22=0</formula>
    </cfRule>
  </conditionalFormatting>
  <conditionalFormatting sqref="M11:R301">
    <cfRule type="expression" dxfId="1193" priority="5245">
      <formula>M11&lt;&gt;INDEX($L11:$S11,MATCH($F$5,$L$8:$S$8,0))</formula>
    </cfRule>
  </conditionalFormatting>
  <conditionalFormatting sqref="M14:R14">
    <cfRule type="expression" dxfId="1192" priority="23">
      <formula>M14="nee"</formula>
    </cfRule>
  </conditionalFormatting>
  <conditionalFormatting sqref="M17:R17">
    <cfRule type="expression" dxfId="1191" priority="69">
      <formula>M$22=0</formula>
    </cfRule>
  </conditionalFormatting>
  <conditionalFormatting sqref="M18:R22">
    <cfRule type="expression" dxfId="1190" priority="71">
      <formula>M$22=0</formula>
    </cfRule>
  </conditionalFormatting>
  <conditionalFormatting sqref="M24:R24">
    <cfRule type="expression" dxfId="1189" priority="70">
      <formula>M$22=0</formula>
    </cfRule>
  </conditionalFormatting>
  <conditionalFormatting sqref="M67:R67">
    <cfRule type="expression" dxfId="1188" priority="68">
      <formula>M$22=0</formula>
    </cfRule>
  </conditionalFormatting>
  <conditionalFormatting sqref="M72:R72">
    <cfRule type="expression" dxfId="1187" priority="96">
      <formula>M$22=0</formula>
    </cfRule>
  </conditionalFormatting>
  <conditionalFormatting sqref="M74:R74 M154:R154 M166:R166 M178:R178 M190:R190 M202:R202 M212:R212 M227:R227 M242:R242 M257:R257 M272:R272">
    <cfRule type="expression" dxfId="1186" priority="63">
      <formula>OR(M$22=0,M72="")</formula>
    </cfRule>
  </conditionalFormatting>
  <conditionalFormatting sqref="M75:R75 M155:R155 M167:R167 M179:R179 M191:R191 M203:R203 M213:R213 M228:R228 M243:R243 M258:R258 M273:R273">
    <cfRule type="expression" dxfId="1185" priority="50">
      <formula>OR(M$22=0,M72="")</formula>
    </cfRule>
  </conditionalFormatting>
  <conditionalFormatting sqref="M82:R82">
    <cfRule type="expression" dxfId="1184" priority="100">
      <formula>M$22=0</formula>
    </cfRule>
  </conditionalFormatting>
  <conditionalFormatting sqref="M84:R84">
    <cfRule type="expression" dxfId="1183" priority="49">
      <formula>OR(M$22=0,M82="")</formula>
    </cfRule>
  </conditionalFormatting>
  <conditionalFormatting sqref="M85:R85">
    <cfRule type="expression" dxfId="1182" priority="48">
      <formula>OR(M$22=0,M82="")</formula>
    </cfRule>
  </conditionalFormatting>
  <conditionalFormatting sqref="M97:R97">
    <cfRule type="expression" dxfId="1181" priority="93">
      <formula>M$18=0</formula>
    </cfRule>
  </conditionalFormatting>
  <conditionalFormatting sqref="M99:R99">
    <cfRule type="expression" dxfId="1180" priority="47">
      <formula>OR(M$22=0,M97="")</formula>
    </cfRule>
  </conditionalFormatting>
  <conditionalFormatting sqref="M100:R100">
    <cfRule type="expression" dxfId="1179" priority="46">
      <formula>OR(M$22=0,M97="")</formula>
    </cfRule>
  </conditionalFormatting>
  <conditionalFormatting sqref="M112:R112">
    <cfRule type="expression" dxfId="1178" priority="90">
      <formula>M$19=0</formula>
    </cfRule>
  </conditionalFormatting>
  <conditionalFormatting sqref="M114:R114">
    <cfRule type="expression" dxfId="1177" priority="45">
      <formula>OR(M$22=0,M112="")</formula>
    </cfRule>
  </conditionalFormatting>
  <conditionalFormatting sqref="M115:R115">
    <cfRule type="expression" dxfId="1176" priority="44">
      <formula>OR(M$22=0,M112="")</formula>
    </cfRule>
  </conditionalFormatting>
  <conditionalFormatting sqref="M127:R127">
    <cfRule type="expression" dxfId="1175" priority="87">
      <formula>M$20=0</formula>
    </cfRule>
  </conditionalFormatting>
  <conditionalFormatting sqref="M129:R129">
    <cfRule type="expression" dxfId="1174" priority="43">
      <formula>OR(M$22=0,M127="")</formula>
    </cfRule>
  </conditionalFormatting>
  <conditionalFormatting sqref="M130:R130">
    <cfRule type="expression" dxfId="1173" priority="42">
      <formula>OR(M$22=0,M127="")</formula>
    </cfRule>
  </conditionalFormatting>
  <conditionalFormatting sqref="M142:R142">
    <cfRule type="expression" dxfId="1172" priority="84">
      <formula>M$21=0</formula>
    </cfRule>
  </conditionalFormatting>
  <conditionalFormatting sqref="M144:R144">
    <cfRule type="expression" dxfId="1171" priority="41">
      <formula>OR(M$22=0,M142="")</formula>
    </cfRule>
  </conditionalFormatting>
  <conditionalFormatting sqref="M145:R145">
    <cfRule type="expression" dxfId="1170" priority="40">
      <formula>OR(M$22=0,M142="")</formula>
    </cfRule>
  </conditionalFormatting>
  <conditionalFormatting sqref="M147:R147 M157:R157 M169:R169 M181:R181 M193:R193">
    <cfRule type="expression" dxfId="1169" priority="1">
      <formula>M$22=0</formula>
    </cfRule>
  </conditionalFormatting>
  <conditionalFormatting sqref="M152:R152">
    <cfRule type="expression" dxfId="1168" priority="16">
      <formula>M$22=0</formula>
    </cfRule>
  </conditionalFormatting>
  <conditionalFormatting sqref="M164:R164">
    <cfRule type="expression" dxfId="1167" priority="15">
      <formula>M$18=0</formula>
    </cfRule>
  </conditionalFormatting>
  <conditionalFormatting sqref="M176:R176">
    <cfRule type="expression" dxfId="1166" priority="14">
      <formula>M$19=0</formula>
    </cfRule>
  </conditionalFormatting>
  <conditionalFormatting sqref="M188:R188">
    <cfRule type="expression" dxfId="1165" priority="13">
      <formula>M$20=0</formula>
    </cfRule>
  </conditionalFormatting>
  <conditionalFormatting sqref="M200:R200">
    <cfRule type="expression" dxfId="1164" priority="12">
      <formula>M$21=0</formula>
    </cfRule>
  </conditionalFormatting>
  <conditionalFormatting sqref="M210:R210">
    <cfRule type="expression" dxfId="1163" priority="104">
      <formula>M$22=0</formula>
    </cfRule>
  </conditionalFormatting>
  <conditionalFormatting sqref="M225:R225">
    <cfRule type="expression" dxfId="1162" priority="81">
      <formula>M$18=0</formula>
    </cfRule>
  </conditionalFormatting>
  <conditionalFormatting sqref="M240:R240">
    <cfRule type="expression" dxfId="1161" priority="78">
      <formula>M$19=0</formula>
    </cfRule>
  </conditionalFormatting>
  <conditionalFormatting sqref="M255:R255">
    <cfRule type="expression" dxfId="1160" priority="75">
      <formula>M$20=0</formula>
    </cfRule>
  </conditionalFormatting>
  <conditionalFormatting sqref="M260:R260">
    <cfRule type="expression" dxfId="1159" priority="67">
      <formula>M$22=0</formula>
    </cfRule>
  </conditionalFormatting>
  <conditionalFormatting sqref="M270:R270">
    <cfRule type="expression" dxfId="1158" priority="72">
      <formula>M$21=0</formula>
    </cfRule>
  </conditionalFormatting>
  <conditionalFormatting sqref="M293:R293">
    <cfRule type="expression" dxfId="1157" priority="66">
      <formula>M$22=0</formula>
    </cfRule>
  </conditionalFormatting>
  <conditionalFormatting sqref="M301:R301">
    <cfRule type="expression" dxfId="1156" priority="65">
      <formula>M$22=0</formula>
    </cfRule>
  </conditionalFormatting>
  <dataValidations count="5">
    <dataValidation type="textLength" errorStyle="warning" allowBlank="1" showInputMessage="1" showErrorMessage="1" errorTitle="Maximaal 30 karakters" error="Maximaal 30 karakters" sqref="F4 E3" xr:uid="{00000000-0002-0000-0900-000000000000}">
      <formula1>0</formula1>
      <formula2>30</formula2>
    </dataValidation>
    <dataValidation type="textLength" allowBlank="1" showInputMessage="1" showErrorMessage="1" errorTitle="Maximaal 65 karakters" error="Maximaal 65 karakters" sqref="F6" xr:uid="{00000000-0002-0000-0900-000001000000}">
      <formula1>0</formula1>
      <formula2>65</formula2>
    </dataValidation>
    <dataValidation allowBlank="1" showInputMessage="1" showErrorMessage="1" promptTitle="Gegevensfilter (links)" prompt="Het pijltje links geeft toegang tot het gegevensfilter, waarmee informatie zichtbaar/onzichtbaar gemaakt kan worden." sqref="D8" xr:uid="{00000000-0002-0000-0900-000002000000}"/>
    <dataValidation allowBlank="1" showInputMessage="1" showErrorMessage="1" promptTitle="Variant als referentie" prompt="In een deel van de resultaattabellen worden rekenresultaten vergeleken met de uitkomsten van de referentie._x000a__x000a_Hier kan worden aangegeven welke variant als referentie wordt gebruikt." sqref="D5" xr:uid="{995A1EFA-29D1-48E0-8869-7C56F160CE2C}"/>
    <dataValidation type="list" allowBlank="1" showInputMessage="1" showErrorMessage="1" sqref="F5" xr:uid="{1035C938-A7A3-459C-9239-438A32BB37BA}">
      <formula1>$M$8:$R$8</formula1>
    </dataValidation>
  </dataValidations>
  <printOptions horizontalCentered="1" verticalCentered="1"/>
  <pageMargins left="0.39370078740157483" right="0.39370078740157483" top="0.39370078740157483" bottom="0.59055118110236227" header="0.19685039370078741" footer="0.39370078740157483"/>
  <pageSetup paperSize="9" scale="54" orientation="portrait" horizontalDpi="4294967293" verticalDpi="4294967293" r:id="rId1"/>
  <headerFooter alignWithMargins="0">
    <oddFooter>&amp;L_x000D_&amp;1#&amp;"Aptos"&amp;10&amp;K000000 Intern gebruik</oddFooter>
  </headerFooter>
  <ignoredErrors>
    <ignoredError sqref="N212:R212" evalError="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3" filterMode="1">
    <tabColor theme="6" tint="-0.499984740745262"/>
    <pageSetUpPr fitToPage="1"/>
  </sheetPr>
  <dimension ref="A1:APJ548"/>
  <sheetViews>
    <sheetView showGridLines="0" showRowColHeaders="0" zoomScaleNormal="100" workbookViewId="0">
      <pane xSplit="8" ySplit="15" topLeftCell="I16" activePane="bottomRight" state="frozen"/>
      <selection pane="topRight" activeCell="I1" sqref="I1"/>
      <selection pane="bottomLeft" activeCell="A16" sqref="A16"/>
      <selection pane="bottomRight" activeCell="O4" sqref="O4"/>
    </sheetView>
  </sheetViews>
  <sheetFormatPr defaultRowHeight="14.25"/>
  <cols>
    <col min="1" max="1" width="1.7109375" style="1005" customWidth="1"/>
    <col min="2" max="3" width="2.7109375" style="1002" customWidth="1"/>
    <col min="4" max="4" width="2.7109375" style="724" customWidth="1"/>
    <col min="5" max="6" width="31.42578125" customWidth="1"/>
    <col min="7" max="7" width="21" customWidth="1"/>
    <col min="8" max="8" width="0.5703125" customWidth="1"/>
    <col min="9" max="24" width="12.7109375" customWidth="1"/>
    <col min="25" max="25" width="12.7109375" style="51" customWidth="1"/>
    <col min="26" max="39" width="12.7109375" customWidth="1"/>
    <col min="40" max="44" width="13.7109375" customWidth="1"/>
    <col min="45" max="45" width="13.7109375" style="229" customWidth="1"/>
    <col min="46" max="713" width="13.7109375" customWidth="1"/>
    <col min="715" max="715" width="22.7109375" customWidth="1"/>
  </cols>
  <sheetData>
    <row r="1" spans="1:124" s="699" customFormat="1" ht="21">
      <c r="A1" s="1003"/>
      <c r="B1" s="989"/>
      <c r="C1" s="989"/>
      <c r="D1" s="693"/>
      <c r="E1" s="1216" t="str">
        <f>disclaimer!$E$7&amp;" - "&amp;"versie "&amp;TEXT(disclaimer!$E$8,"d mmm jjjj")</f>
        <v>Uniforme Maatlat Gebouwde Omgeving 5.3.0 - versie 7 aug 2026</v>
      </c>
      <c r="F1" s="697"/>
      <c r="G1" s="697"/>
      <c r="H1" s="696"/>
      <c r="I1" s="697"/>
      <c r="J1" s="695"/>
      <c r="K1" s="698"/>
      <c r="L1" s="698"/>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1:124" ht="23.25">
      <c r="B2" s="990" t="s">
        <v>1118</v>
      </c>
      <c r="C2" s="990" t="s">
        <v>1118</v>
      </c>
      <c r="E2" s="50" t="s">
        <v>350</v>
      </c>
      <c r="F2" s="2"/>
      <c r="G2" s="2"/>
      <c r="H2" s="4"/>
      <c r="I2" s="600"/>
      <c r="J2" s="11"/>
      <c r="K2" s="11"/>
      <c r="L2" s="12"/>
      <c r="M2" s="15"/>
      <c r="N2" s="15"/>
      <c r="O2" s="15"/>
      <c r="P2" s="15"/>
      <c r="Q2" s="15"/>
      <c r="R2" s="5"/>
      <c r="S2" s="5"/>
      <c r="T2" s="15"/>
      <c r="U2" s="15"/>
      <c r="V2" s="15"/>
      <c r="W2" s="15"/>
      <c r="X2" s="15"/>
      <c r="Y2" s="19"/>
      <c r="Z2" s="18"/>
      <c r="AA2" s="5"/>
      <c r="AB2" s="5"/>
      <c r="AC2" s="5"/>
      <c r="AD2" s="5"/>
      <c r="AE2" s="5"/>
      <c r="AF2" s="5"/>
      <c r="AG2" s="5"/>
      <c r="AH2" s="5"/>
      <c r="AI2" s="5"/>
      <c r="AJ2" s="5"/>
      <c r="AK2" s="5"/>
      <c r="AL2" s="5"/>
      <c r="AM2" s="5"/>
      <c r="AN2" s="5"/>
      <c r="AO2" s="5"/>
      <c r="AP2" s="5"/>
      <c r="AQ2" s="5"/>
      <c r="AR2" s="5"/>
      <c r="AS2" s="21"/>
    </row>
    <row r="3" spans="1:124" ht="15.75" customHeight="1">
      <c r="A3" s="1006"/>
      <c r="B3" s="995"/>
      <c r="C3" s="995"/>
      <c r="E3" s="717" t="s">
        <v>47</v>
      </c>
      <c r="F3" s="1281" t="str">
        <f>IF('woningen|utiliteit'!$F$3="","",'woningen|utiliteit'!$F$3)</f>
        <v/>
      </c>
      <c r="G3" s="1282"/>
      <c r="H3" s="5"/>
      <c r="I3" s="5"/>
      <c r="J3" s="5"/>
      <c r="K3" s="5"/>
      <c r="L3" s="15"/>
      <c r="M3" s="5"/>
      <c r="N3" s="15"/>
      <c r="O3" s="15"/>
      <c r="P3" s="15"/>
      <c r="Q3" s="15"/>
      <c r="R3" s="15"/>
      <c r="S3" s="15"/>
      <c r="T3" s="15"/>
      <c r="U3" s="15"/>
      <c r="V3" s="5"/>
      <c r="W3" s="15"/>
      <c r="X3" s="15"/>
      <c r="Y3" s="19"/>
      <c r="Z3" s="15"/>
      <c r="AA3" s="15"/>
      <c r="AB3" s="15"/>
      <c r="AC3" s="15"/>
      <c r="AD3" s="15"/>
      <c r="AE3" s="5"/>
      <c r="AS3" s="51"/>
    </row>
    <row r="4" spans="1:124" ht="15.75" customHeight="1">
      <c r="A4" s="1006"/>
      <c r="B4" s="1283" t="s">
        <v>48</v>
      </c>
      <c r="C4" s="996"/>
      <c r="E4" s="718" t="s">
        <v>49</v>
      </c>
      <c r="F4" s="1277" t="str">
        <f>IF('woningen|utiliteit'!$F$4="","",'woningen|utiliteit'!$F$4)</f>
        <v/>
      </c>
      <c r="G4" s="1278"/>
      <c r="H4" s="4"/>
      <c r="I4" s="4"/>
      <c r="J4" s="10"/>
      <c r="K4" s="7"/>
      <c r="L4" s="9"/>
      <c r="M4" s="4"/>
      <c r="N4" s="9"/>
      <c r="O4" s="9"/>
      <c r="P4" s="15"/>
      <c r="Q4" s="9"/>
      <c r="R4" s="9"/>
      <c r="S4" s="9"/>
      <c r="T4" s="9"/>
      <c r="U4" s="9"/>
      <c r="V4" s="4"/>
      <c r="W4" s="9"/>
      <c r="X4" s="9"/>
      <c r="Y4" s="8"/>
      <c r="Z4" s="9"/>
      <c r="AA4" s="9"/>
      <c r="AB4" s="9"/>
      <c r="AC4" s="9"/>
      <c r="AD4" s="9"/>
      <c r="AE4" s="4"/>
      <c r="AF4" s="4"/>
      <c r="AG4" s="4"/>
      <c r="AH4" s="4"/>
      <c r="AI4" s="4"/>
      <c r="AJ4" s="4"/>
      <c r="AK4" s="4"/>
      <c r="AL4" s="4"/>
      <c r="AM4" s="4"/>
      <c r="AN4" s="4"/>
      <c r="AO4" s="4"/>
      <c r="AP4" s="4"/>
      <c r="AQ4" s="4"/>
      <c r="AR4" s="4"/>
      <c r="AS4" s="21"/>
    </row>
    <row r="5" spans="1:124" ht="15.75" customHeight="1">
      <c r="A5" s="1006"/>
      <c r="B5" s="1283"/>
      <c r="C5" s="996"/>
      <c r="E5" s="719" t="s">
        <v>50</v>
      </c>
      <c r="F5" s="1279"/>
      <c r="G5" s="1280"/>
      <c r="H5" s="4"/>
      <c r="I5" s="4"/>
      <c r="J5" s="4"/>
      <c r="K5" s="4"/>
      <c r="L5" s="9"/>
      <c r="M5" s="9"/>
      <c r="N5" s="9"/>
      <c r="O5" s="9"/>
      <c r="P5" s="15"/>
      <c r="Q5" s="9"/>
      <c r="R5" s="9"/>
      <c r="S5" s="9"/>
      <c r="T5" s="9"/>
      <c r="U5" s="9"/>
      <c r="V5" s="4"/>
      <c r="W5" s="9"/>
      <c r="X5" s="9"/>
      <c r="Y5" s="8"/>
      <c r="Z5" s="9"/>
      <c r="AA5" s="9"/>
      <c r="AB5" s="9"/>
      <c r="AC5" s="9"/>
      <c r="AD5" s="9"/>
      <c r="AE5" s="4"/>
      <c r="AF5" s="4"/>
      <c r="AG5" s="4"/>
      <c r="AH5" s="4"/>
      <c r="AI5" s="4"/>
      <c r="AJ5" s="4"/>
      <c r="AK5" s="4"/>
      <c r="AL5" s="4"/>
      <c r="AM5" s="4"/>
      <c r="AN5" s="4"/>
      <c r="AO5" s="4"/>
      <c r="AP5" s="4"/>
      <c r="AQ5" s="4"/>
      <c r="AR5" s="4"/>
      <c r="AS5" s="21"/>
    </row>
    <row r="6" spans="1:124" s="833" customFormat="1" ht="15.75">
      <c r="A6" s="1007"/>
      <c r="B6" s="1283"/>
      <c r="C6" s="997"/>
      <c r="D6" s="829"/>
      <c r="E6" s="831"/>
      <c r="F6" s="831"/>
      <c r="G6" s="831"/>
      <c r="H6" s="831"/>
      <c r="I6" s="832"/>
      <c r="J6" s="832"/>
      <c r="K6" s="832"/>
      <c r="L6" s="831"/>
      <c r="M6" s="831"/>
      <c r="N6" s="831"/>
      <c r="O6" s="831"/>
      <c r="P6" s="831"/>
      <c r="Q6" s="831"/>
      <c r="R6" s="831"/>
      <c r="S6" s="834"/>
      <c r="T6" s="834"/>
    </row>
    <row r="7" spans="1:124" s="833" customFormat="1" ht="15.75">
      <c r="A7" s="1007"/>
      <c r="B7" s="1283"/>
      <c r="C7" s="998"/>
      <c r="D7" s="829"/>
      <c r="E7" s="834"/>
      <c r="F7" s="831"/>
      <c r="G7" s="831"/>
      <c r="H7" s="831"/>
      <c r="I7" s="831"/>
      <c r="J7" s="832"/>
      <c r="K7" s="832"/>
      <c r="L7" s="832"/>
      <c r="M7" s="831"/>
      <c r="N7" s="831"/>
      <c r="O7" s="831"/>
      <c r="P7" s="831"/>
      <c r="Q7" s="831"/>
      <c r="R7" s="831"/>
      <c r="S7" s="831"/>
      <c r="T7" s="834"/>
      <c r="U7" s="834"/>
    </row>
    <row r="8" spans="1:124" ht="19.5">
      <c r="A8" s="1008"/>
      <c r="B8" s="1114"/>
      <c r="C8" s="532"/>
      <c r="D8" s="639" t="s">
        <v>45</v>
      </c>
      <c r="E8" s="568"/>
      <c r="F8" s="31"/>
      <c r="G8" s="31"/>
      <c r="H8" s="31"/>
      <c r="I8" s="874"/>
      <c r="J8" s="874"/>
      <c r="K8" s="874"/>
      <c r="L8" s="874"/>
      <c r="M8" s="874"/>
      <c r="N8" s="874"/>
      <c r="O8" s="874"/>
      <c r="P8" s="874"/>
      <c r="Q8" s="874"/>
      <c r="R8" s="874"/>
      <c r="S8" s="874"/>
      <c r="T8" s="874"/>
      <c r="U8" s="874"/>
      <c r="V8" s="874"/>
      <c r="W8" s="874"/>
      <c r="X8" s="874"/>
      <c r="Y8" s="874"/>
      <c r="Z8" s="874"/>
      <c r="AA8" s="874"/>
      <c r="AB8" s="874"/>
      <c r="AC8" s="874"/>
      <c r="AD8" s="874"/>
      <c r="AE8" s="874"/>
      <c r="AF8" s="874"/>
      <c r="AG8" s="874"/>
      <c r="AH8" s="874"/>
      <c r="AI8" s="874"/>
      <c r="AJ8" s="874"/>
      <c r="AK8" s="874"/>
      <c r="AL8" s="874"/>
      <c r="AM8" s="874"/>
      <c r="AN8" s="874"/>
      <c r="AO8" s="874"/>
      <c r="AP8" s="874"/>
      <c r="AQ8" s="874"/>
      <c r="AR8" s="874"/>
      <c r="AS8" s="874"/>
      <c r="AT8" s="874"/>
      <c r="AU8" s="874"/>
      <c r="AV8" s="874"/>
      <c r="AW8" s="874"/>
      <c r="AX8" s="874"/>
      <c r="AY8" s="874"/>
      <c r="AZ8" s="874"/>
      <c r="BA8" s="874"/>
      <c r="BB8" s="874"/>
      <c r="BC8" s="874"/>
      <c r="BD8" s="874"/>
      <c r="BE8" s="874"/>
      <c r="BF8" s="874"/>
      <c r="BG8" s="874"/>
      <c r="BH8" s="874"/>
      <c r="BI8" s="874"/>
      <c r="BJ8" s="874"/>
      <c r="BK8" s="874"/>
      <c r="BL8" s="874"/>
      <c r="BM8" s="874"/>
      <c r="BN8" s="874"/>
      <c r="BO8" s="874"/>
      <c r="BP8" s="874"/>
      <c r="BQ8" s="874"/>
      <c r="BR8" s="874"/>
      <c r="BS8" s="874"/>
      <c r="BT8" s="874"/>
      <c r="BU8" s="874"/>
      <c r="BV8" s="874"/>
      <c r="BW8" s="874"/>
      <c r="BX8" s="874"/>
      <c r="BY8" s="874"/>
      <c r="BZ8" s="874"/>
      <c r="CA8" s="874"/>
      <c r="CB8" s="874"/>
      <c r="CC8" s="874"/>
      <c r="CD8" s="874"/>
      <c r="CE8" s="874"/>
      <c r="CF8" s="874"/>
      <c r="CG8" s="874"/>
      <c r="CH8" s="874"/>
      <c r="CI8" s="874"/>
      <c r="CJ8" s="874"/>
      <c r="CK8" s="874"/>
      <c r="CL8" s="874"/>
      <c r="CM8" s="874"/>
      <c r="CN8" s="874"/>
      <c r="CO8" s="874"/>
      <c r="CP8" s="874"/>
      <c r="CQ8" s="874"/>
      <c r="CR8" s="874"/>
      <c r="CS8" s="874"/>
      <c r="CT8" s="874"/>
      <c r="CU8" s="874"/>
      <c r="CV8" s="874"/>
      <c r="CW8" s="874"/>
      <c r="CX8" s="874"/>
      <c r="CY8" s="874"/>
      <c r="CZ8" s="874"/>
      <c r="DA8" s="874"/>
      <c r="DB8" s="874"/>
      <c r="DC8" s="874"/>
      <c r="DD8" s="874"/>
      <c r="DE8" s="874"/>
      <c r="DF8" s="874"/>
      <c r="DG8" s="874"/>
      <c r="DH8" s="874"/>
      <c r="DI8" s="874"/>
      <c r="DJ8" s="874"/>
      <c r="DK8" s="874"/>
      <c r="DL8" s="874"/>
      <c r="DM8" s="874"/>
      <c r="DN8" s="874"/>
      <c r="DO8" s="874"/>
      <c r="DP8" s="874"/>
      <c r="DQ8" s="874"/>
      <c r="DR8" s="874"/>
      <c r="DS8" s="874"/>
      <c r="DT8" s="874"/>
    </row>
    <row r="9" spans="1:124" s="591" customFormat="1" ht="5.25" hidden="1">
      <c r="A9" s="1009"/>
      <c r="B9" s="1115"/>
      <c r="C9" s="999"/>
      <c r="D9" s="835"/>
      <c r="E9" s="589"/>
      <c r="F9" s="589"/>
      <c r="G9" s="589"/>
      <c r="H9" s="589"/>
      <c r="I9" s="590"/>
      <c r="J9" s="590"/>
      <c r="K9" s="590"/>
      <c r="L9" s="589"/>
      <c r="M9" s="589"/>
      <c r="N9" s="589"/>
      <c r="O9" s="589"/>
      <c r="P9" s="589"/>
      <c r="Q9" s="589"/>
      <c r="R9" s="589"/>
      <c r="S9" s="588"/>
      <c r="T9" s="588"/>
    </row>
    <row r="10" spans="1:124" hidden="1">
      <c r="B10" s="1000" t="s">
        <v>1144</v>
      </c>
      <c r="C10" s="1000"/>
      <c r="E10" s="5"/>
      <c r="F10" s="5"/>
      <c r="G10" s="5"/>
      <c r="H10" s="15"/>
      <c r="I10" s="15"/>
      <c r="J10" s="15"/>
      <c r="K10" s="15"/>
      <c r="L10" s="15"/>
      <c r="M10" s="15"/>
      <c r="N10" s="15"/>
      <c r="O10" s="15"/>
      <c r="P10" s="15"/>
      <c r="Q10" s="15"/>
      <c r="R10" s="15"/>
      <c r="S10" s="15"/>
      <c r="T10" s="15"/>
      <c r="U10" s="15"/>
      <c r="V10" s="15"/>
      <c r="X10" s="15"/>
      <c r="Y10" s="19"/>
      <c r="Z10" s="15"/>
      <c r="AA10" s="15"/>
      <c r="AB10" s="5"/>
      <c r="AC10" s="5"/>
      <c r="AD10" s="5"/>
      <c r="AE10" s="5"/>
      <c r="AF10" s="5"/>
      <c r="AG10" s="5"/>
      <c r="AH10" s="5"/>
      <c r="AI10" s="5"/>
      <c r="AJ10" s="5"/>
      <c r="AK10" s="5"/>
      <c r="AL10" s="5"/>
      <c r="AM10" s="5"/>
      <c r="AN10" s="5"/>
      <c r="AO10" s="5"/>
      <c r="AP10" s="5"/>
      <c r="AQ10" s="5"/>
      <c r="AR10" s="5"/>
      <c r="AS10" s="21"/>
    </row>
    <row r="11" spans="1:124" ht="21" hidden="1">
      <c r="B11" s="1000" t="s">
        <v>1144</v>
      </c>
      <c r="C11" s="1000"/>
      <c r="E11" s="199" t="s">
        <v>1144</v>
      </c>
      <c r="F11" s="199"/>
      <c r="G11" s="199"/>
      <c r="H11" s="199"/>
      <c r="I11" s="199"/>
      <c r="J11" s="199"/>
      <c r="K11" s="199"/>
      <c r="L11" s="52"/>
      <c r="N11" s="52"/>
      <c r="O11" s="19"/>
      <c r="P11" s="5"/>
      <c r="Q11" s="5"/>
      <c r="R11" s="5"/>
      <c r="S11" s="5"/>
      <c r="T11" s="5"/>
      <c r="U11" s="5"/>
      <c r="V11" s="5"/>
      <c r="W11" s="5"/>
      <c r="X11" s="5"/>
      <c r="Y11" s="5"/>
      <c r="Z11" s="5"/>
      <c r="AA11" s="5"/>
      <c r="AB11" s="5"/>
      <c r="AC11" s="5"/>
      <c r="AD11" s="5"/>
      <c r="AE11" s="5"/>
      <c r="AF11" s="5"/>
      <c r="AG11" s="5"/>
      <c r="AH11" s="5"/>
      <c r="AI11" s="371"/>
      <c r="AS11"/>
    </row>
    <row r="12" spans="1:124" hidden="1">
      <c r="B12" s="1000" t="s">
        <v>1144</v>
      </c>
      <c r="C12" s="1000"/>
      <c r="D12" s="725"/>
      <c r="E12" s="320" t="s">
        <v>414</v>
      </c>
      <c r="F12" s="320"/>
      <c r="G12" s="320" t="s">
        <v>353</v>
      </c>
      <c r="H12" s="321"/>
      <c r="I12" s="321">
        <f ca="1">OFFSET(I12,0,-1)+1</f>
        <v>1</v>
      </c>
      <c r="J12" s="321">
        <f ca="1">OFFSET(J12,0,-1)+1</f>
        <v>2</v>
      </c>
      <c r="K12" s="321"/>
      <c r="L12" s="52"/>
      <c r="M12" s="52"/>
      <c r="N12" s="5"/>
      <c r="O12" s="19"/>
      <c r="P12" s="5"/>
      <c r="Q12" s="5"/>
      <c r="R12" s="5"/>
      <c r="S12" s="5"/>
      <c r="T12" s="5"/>
      <c r="U12" s="5"/>
      <c r="V12" s="5"/>
      <c r="W12" s="5"/>
      <c r="X12" s="5"/>
      <c r="Y12" s="5"/>
      <c r="Z12" s="5"/>
      <c r="AA12" s="5"/>
      <c r="AB12" s="5"/>
      <c r="AC12" s="5"/>
      <c r="AD12" s="5"/>
      <c r="AE12" s="5"/>
      <c r="AF12" s="5"/>
      <c r="AG12" s="5"/>
      <c r="AH12" s="5"/>
      <c r="AI12" s="21"/>
      <c r="AS12"/>
    </row>
    <row r="13" spans="1:124" ht="25.5" hidden="1">
      <c r="B13" s="1000" t="s">
        <v>1144</v>
      </c>
      <c r="C13" s="1000"/>
      <c r="E13" s="329" t="s">
        <v>1146</v>
      </c>
      <c r="F13" s="330"/>
      <c r="G13" s="329" t="s">
        <v>65</v>
      </c>
      <c r="H13" s="342"/>
      <c r="I13" s="450" t="s">
        <v>1147</v>
      </c>
      <c r="J13" s="450" t="s">
        <v>1148</v>
      </c>
      <c r="K13" s="342"/>
      <c r="L13" s="19"/>
      <c r="M13" s="15"/>
      <c r="N13" s="15"/>
      <c r="O13" s="19"/>
      <c r="P13" s="5"/>
      <c r="Q13" s="5"/>
      <c r="R13" s="5"/>
      <c r="S13" s="5"/>
      <c r="T13" s="5"/>
      <c r="U13" s="5"/>
      <c r="V13" s="5"/>
      <c r="W13" s="5"/>
      <c r="X13" s="5"/>
      <c r="Y13" s="5"/>
      <c r="Z13" s="5"/>
      <c r="AA13" s="5"/>
      <c r="AB13" s="5"/>
      <c r="AC13" s="5"/>
      <c r="AD13" s="5"/>
      <c r="AE13" s="5"/>
      <c r="AF13" s="5"/>
      <c r="AG13" s="5"/>
      <c r="AH13" s="5"/>
      <c r="AI13" s="21"/>
      <c r="AS13"/>
    </row>
    <row r="14" spans="1:124" hidden="1">
      <c r="B14" s="1000" t="s">
        <v>1144</v>
      </c>
      <c r="C14" s="1000"/>
      <c r="E14" s="329" t="s">
        <v>1145</v>
      </c>
      <c r="F14" s="330"/>
      <c r="G14" s="329" t="s">
        <v>65</v>
      </c>
      <c r="H14" s="342"/>
      <c r="I14" s="344" t="s">
        <v>1119</v>
      </c>
      <c r="J14" s="344" t="s">
        <v>1120</v>
      </c>
      <c r="K14" s="342"/>
      <c r="L14" s="19"/>
      <c r="M14" s="15"/>
      <c r="N14" s="15"/>
      <c r="O14" s="19"/>
      <c r="P14" s="5"/>
      <c r="Q14" s="5"/>
      <c r="R14" s="5"/>
      <c r="S14" s="5"/>
      <c r="T14" s="5"/>
      <c r="U14" s="5"/>
      <c r="V14" s="5"/>
      <c r="W14" s="5"/>
      <c r="X14" s="5"/>
      <c r="Y14" s="5"/>
      <c r="Z14" s="5"/>
      <c r="AA14" s="5"/>
      <c r="AB14" s="5"/>
      <c r="AC14" s="5"/>
      <c r="AD14" s="5"/>
      <c r="AE14" s="5"/>
      <c r="AF14" s="5"/>
      <c r="AG14" s="5"/>
      <c r="AH14" s="5"/>
      <c r="AI14" s="21"/>
      <c r="AS14"/>
    </row>
    <row r="15" spans="1:124" hidden="1">
      <c r="B15" s="1000" t="s">
        <v>1144</v>
      </c>
      <c r="C15" s="1000"/>
      <c r="E15" s="5"/>
      <c r="F15" s="5"/>
      <c r="G15" s="5"/>
      <c r="H15" s="15"/>
      <c r="I15" s="15"/>
      <c r="J15" s="15"/>
      <c r="K15" s="15"/>
      <c r="L15" s="15"/>
      <c r="M15" s="15"/>
      <c r="N15" s="15"/>
      <c r="O15" s="15"/>
      <c r="P15" s="15"/>
      <c r="Q15" s="15"/>
      <c r="R15" s="15"/>
      <c r="S15" s="15"/>
      <c r="T15" s="15"/>
      <c r="U15" s="15"/>
      <c r="V15" s="15"/>
      <c r="X15" s="15"/>
      <c r="Y15" s="19"/>
      <c r="Z15" s="15"/>
      <c r="AA15" s="5"/>
      <c r="AB15" s="5"/>
      <c r="AC15" s="5"/>
      <c r="AD15" s="5"/>
      <c r="AE15" s="5"/>
      <c r="AF15" s="5"/>
      <c r="AG15" s="5"/>
      <c r="AH15" s="5"/>
      <c r="AI15" s="5"/>
      <c r="AJ15" s="5"/>
      <c r="AK15" s="5"/>
      <c r="AL15" s="5"/>
      <c r="AM15" s="5"/>
      <c r="AN15" s="5"/>
      <c r="AO15" s="5"/>
      <c r="AP15" s="5"/>
      <c r="AQ15" s="5"/>
      <c r="AR15" s="5"/>
      <c r="AS15" s="21"/>
    </row>
    <row r="16" spans="1:124">
      <c r="B16" s="1000" t="s">
        <v>351</v>
      </c>
      <c r="C16" s="1000"/>
      <c r="D16" s="837"/>
      <c r="E16" s="5"/>
      <c r="F16" s="5"/>
      <c r="G16" s="5"/>
      <c r="H16" s="15"/>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row>
    <row r="17" spans="2:159" ht="21">
      <c r="B17" s="1000" t="s">
        <v>351</v>
      </c>
      <c r="C17" s="1000"/>
      <c r="D17" s="1151" t="s">
        <v>45</v>
      </c>
      <c r="E17" s="421" t="s">
        <v>351</v>
      </c>
      <c r="F17" s="421"/>
      <c r="G17" s="421"/>
      <c r="H17" s="421"/>
      <c r="I17" s="421"/>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421"/>
      <c r="AI17" s="421"/>
      <c r="AJ17" s="421"/>
      <c r="AK17" s="421"/>
      <c r="AL17" s="421"/>
      <c r="AM17" s="421"/>
      <c r="AN17" s="421"/>
      <c r="AO17" s="421"/>
      <c r="AP17" s="421"/>
      <c r="AQ17" s="421"/>
      <c r="AR17" s="421"/>
      <c r="AS17" s="421"/>
      <c r="AT17" s="421"/>
      <c r="AU17" s="421"/>
      <c r="AV17" s="421"/>
      <c r="AW17" s="421"/>
      <c r="AX17" s="421"/>
      <c r="AY17" s="421"/>
      <c r="AZ17" s="421"/>
      <c r="BA17" s="421"/>
      <c r="BB17" s="421"/>
      <c r="BC17" s="421"/>
      <c r="BD17" s="421"/>
      <c r="BE17" s="421"/>
      <c r="BF17" s="421"/>
      <c r="BG17" s="421"/>
      <c r="BH17" s="421"/>
      <c r="BI17" s="421"/>
      <c r="BJ17" s="421"/>
      <c r="BK17" s="421"/>
      <c r="BL17" s="421"/>
      <c r="BM17" s="421"/>
      <c r="BN17" s="421"/>
      <c r="BO17" s="421"/>
      <c r="BP17" s="421"/>
      <c r="BQ17" s="421"/>
      <c r="BR17" s="421"/>
      <c r="BS17" s="421"/>
      <c r="BT17" s="421"/>
      <c r="BU17" s="421"/>
      <c r="BV17" s="421"/>
      <c r="BW17" s="421"/>
      <c r="BX17" s="421"/>
      <c r="BY17" s="421"/>
      <c r="BZ17" s="421"/>
      <c r="CA17" s="421"/>
      <c r="CB17" s="421"/>
      <c r="CC17" s="421"/>
      <c r="CD17" s="421"/>
      <c r="CE17" s="421"/>
      <c r="CF17" s="421"/>
      <c r="CG17" s="421"/>
      <c r="CH17" s="421"/>
      <c r="CI17" s="421"/>
      <c r="CJ17" s="421"/>
      <c r="CK17" s="421"/>
      <c r="CL17" s="421"/>
      <c r="CM17" s="421"/>
      <c r="CN17" s="421"/>
      <c r="CO17" s="421"/>
      <c r="CP17" s="421"/>
      <c r="CQ17" s="421"/>
      <c r="CR17" s="421"/>
      <c r="CS17" s="421"/>
      <c r="CT17" s="421"/>
      <c r="CU17" s="421"/>
      <c r="CV17" s="421"/>
      <c r="CW17" s="421"/>
      <c r="CX17" s="421"/>
      <c r="CY17" s="421"/>
      <c r="CZ17" s="421"/>
      <c r="DA17" s="421"/>
      <c r="DB17" s="421"/>
      <c r="DC17" s="421"/>
      <c r="DD17" s="421"/>
      <c r="DE17" s="421"/>
      <c r="DF17" s="421"/>
      <c r="DG17" s="421"/>
      <c r="DH17" s="421"/>
      <c r="DI17" s="421"/>
      <c r="DJ17" s="421"/>
      <c r="DK17" s="421"/>
      <c r="DL17" s="421"/>
      <c r="DM17" s="421"/>
      <c r="DN17" s="421"/>
      <c r="DO17" s="421"/>
      <c r="DP17" s="421"/>
      <c r="DQ17" s="421"/>
      <c r="DR17" s="421"/>
      <c r="DS17" s="421"/>
      <c r="DT17" s="421"/>
      <c r="DU17" s="421"/>
      <c r="DV17" s="421"/>
      <c r="DW17" s="421"/>
      <c r="DX17" s="421"/>
      <c r="DY17" s="421"/>
      <c r="DZ17" s="421"/>
      <c r="EA17" s="421"/>
      <c r="EB17" s="421"/>
      <c r="EC17" s="421"/>
      <c r="ED17" s="421"/>
      <c r="EE17" s="421"/>
      <c r="EF17" s="421"/>
      <c r="EG17" s="421"/>
      <c r="EH17" s="421"/>
      <c r="EI17" s="421"/>
      <c r="EJ17" s="421"/>
      <c r="EK17" s="421"/>
      <c r="EL17" s="421"/>
      <c r="EM17" s="421"/>
      <c r="EN17" s="421"/>
      <c r="EO17" s="421"/>
      <c r="EP17" s="421"/>
      <c r="EQ17" s="421"/>
      <c r="ER17" s="421"/>
      <c r="ES17" s="421"/>
      <c r="ET17" s="421"/>
      <c r="EU17" s="421"/>
      <c r="EV17" s="421"/>
      <c r="EW17" s="421"/>
      <c r="EX17" s="421"/>
      <c r="EY17" s="421"/>
      <c r="EZ17" s="421"/>
      <c r="FA17" s="421"/>
      <c r="FB17" s="421"/>
      <c r="FC17" s="421"/>
    </row>
    <row r="18" spans="2:159">
      <c r="B18" s="1000" t="s">
        <v>351</v>
      </c>
      <c r="C18" s="1000"/>
      <c r="D18" s="837"/>
      <c r="E18" s="531" t="s">
        <v>352</v>
      </c>
      <c r="F18" s="373"/>
      <c r="G18" s="531" t="s">
        <v>353</v>
      </c>
      <c r="H18" s="373"/>
      <c r="I18" s="373">
        <f t="shared" ref="I18:AN18" ca="1" si="0">OFFSET(I18,0,-1)+1</f>
        <v>1</v>
      </c>
      <c r="J18" s="373">
        <f t="shared" ca="1" si="0"/>
        <v>2</v>
      </c>
      <c r="K18" s="373">
        <f t="shared" ca="1" si="0"/>
        <v>3</v>
      </c>
      <c r="L18" s="373">
        <f t="shared" ca="1" si="0"/>
        <v>4</v>
      </c>
      <c r="M18" s="373">
        <f t="shared" ca="1" si="0"/>
        <v>5</v>
      </c>
      <c r="N18" s="373">
        <f t="shared" ca="1" si="0"/>
        <v>6</v>
      </c>
      <c r="O18" s="373">
        <f t="shared" ca="1" si="0"/>
        <v>7</v>
      </c>
      <c r="P18" s="373">
        <f t="shared" ca="1" si="0"/>
        <v>8</v>
      </c>
      <c r="Q18" s="373">
        <f t="shared" ca="1" si="0"/>
        <v>9</v>
      </c>
      <c r="R18" s="373">
        <f t="shared" ca="1" si="0"/>
        <v>10</v>
      </c>
      <c r="S18" s="373">
        <f t="shared" ca="1" si="0"/>
        <v>11</v>
      </c>
      <c r="T18" s="373">
        <f t="shared" ca="1" si="0"/>
        <v>12</v>
      </c>
      <c r="U18" s="373">
        <f t="shared" ca="1" si="0"/>
        <v>13</v>
      </c>
      <c r="V18" s="373">
        <f t="shared" ca="1" si="0"/>
        <v>14</v>
      </c>
      <c r="W18" s="373">
        <f t="shared" ca="1" si="0"/>
        <v>15</v>
      </c>
      <c r="X18" s="373">
        <f t="shared" ca="1" si="0"/>
        <v>16</v>
      </c>
      <c r="Y18" s="373">
        <f t="shared" ca="1" si="0"/>
        <v>17</v>
      </c>
      <c r="Z18" s="373">
        <f t="shared" ca="1" si="0"/>
        <v>18</v>
      </c>
      <c r="AA18" s="373">
        <f t="shared" ca="1" si="0"/>
        <v>19</v>
      </c>
      <c r="AB18" s="373">
        <f t="shared" ca="1" si="0"/>
        <v>20</v>
      </c>
      <c r="AC18" s="373">
        <f t="shared" ca="1" si="0"/>
        <v>21</v>
      </c>
      <c r="AD18" s="373">
        <f t="shared" ca="1" si="0"/>
        <v>22</v>
      </c>
      <c r="AE18" s="373">
        <f t="shared" ca="1" si="0"/>
        <v>23</v>
      </c>
      <c r="AF18" s="373">
        <f t="shared" ca="1" si="0"/>
        <v>24</v>
      </c>
      <c r="AG18" s="373">
        <f t="shared" ca="1" si="0"/>
        <v>25</v>
      </c>
      <c r="AH18" s="373">
        <f t="shared" ca="1" si="0"/>
        <v>26</v>
      </c>
      <c r="AI18" s="373">
        <f t="shared" ca="1" si="0"/>
        <v>27</v>
      </c>
      <c r="AJ18" s="373">
        <f t="shared" ca="1" si="0"/>
        <v>28</v>
      </c>
      <c r="AK18" s="373">
        <f t="shared" ca="1" si="0"/>
        <v>29</v>
      </c>
      <c r="AL18" s="373">
        <f t="shared" ca="1" si="0"/>
        <v>30</v>
      </c>
      <c r="AM18" s="373">
        <f t="shared" ca="1" si="0"/>
        <v>31</v>
      </c>
      <c r="AN18" s="373">
        <f t="shared" ca="1" si="0"/>
        <v>32</v>
      </c>
      <c r="AO18" s="373">
        <f t="shared" ref="AO18:BT18" ca="1" si="1">OFFSET(AO18,0,-1)+1</f>
        <v>33</v>
      </c>
      <c r="AP18" s="373">
        <f t="shared" ca="1" si="1"/>
        <v>34</v>
      </c>
      <c r="AQ18" s="373">
        <f t="shared" ca="1" si="1"/>
        <v>35</v>
      </c>
      <c r="AR18" s="373">
        <f t="shared" ca="1" si="1"/>
        <v>36</v>
      </c>
      <c r="AS18" s="373">
        <f t="shared" ca="1" si="1"/>
        <v>37</v>
      </c>
      <c r="AT18" s="373">
        <f t="shared" ca="1" si="1"/>
        <v>38</v>
      </c>
      <c r="AU18" s="373">
        <f t="shared" ca="1" si="1"/>
        <v>39</v>
      </c>
      <c r="AV18" s="373">
        <f t="shared" ca="1" si="1"/>
        <v>40</v>
      </c>
      <c r="AW18" s="373">
        <f t="shared" ca="1" si="1"/>
        <v>41</v>
      </c>
      <c r="AX18" s="373">
        <f t="shared" ca="1" si="1"/>
        <v>42</v>
      </c>
      <c r="AY18" s="373">
        <f t="shared" ca="1" si="1"/>
        <v>43</v>
      </c>
      <c r="AZ18" s="373">
        <f t="shared" ca="1" si="1"/>
        <v>44</v>
      </c>
      <c r="BA18" s="373">
        <f t="shared" ca="1" si="1"/>
        <v>45</v>
      </c>
      <c r="BB18" s="373">
        <f t="shared" ca="1" si="1"/>
        <v>46</v>
      </c>
      <c r="BC18" s="373">
        <f t="shared" ca="1" si="1"/>
        <v>47</v>
      </c>
      <c r="BD18" s="373">
        <f t="shared" ca="1" si="1"/>
        <v>48</v>
      </c>
      <c r="BE18" s="373">
        <f t="shared" ca="1" si="1"/>
        <v>49</v>
      </c>
      <c r="BF18" s="373">
        <f t="shared" ca="1" si="1"/>
        <v>50</v>
      </c>
      <c r="BG18" s="373">
        <f t="shared" ca="1" si="1"/>
        <v>51</v>
      </c>
      <c r="BH18" s="373">
        <f t="shared" ca="1" si="1"/>
        <v>52</v>
      </c>
      <c r="BI18" s="373">
        <f t="shared" ca="1" si="1"/>
        <v>53</v>
      </c>
      <c r="BJ18" s="373">
        <f t="shared" ca="1" si="1"/>
        <v>54</v>
      </c>
      <c r="BK18" s="373">
        <f t="shared" ca="1" si="1"/>
        <v>55</v>
      </c>
      <c r="BL18" s="373">
        <f t="shared" ca="1" si="1"/>
        <v>56</v>
      </c>
      <c r="BM18" s="373">
        <f t="shared" ca="1" si="1"/>
        <v>57</v>
      </c>
      <c r="BN18" s="373">
        <f t="shared" ca="1" si="1"/>
        <v>58</v>
      </c>
      <c r="BO18" s="373">
        <f t="shared" ca="1" si="1"/>
        <v>59</v>
      </c>
      <c r="BP18" s="373">
        <f t="shared" ca="1" si="1"/>
        <v>60</v>
      </c>
      <c r="BQ18" s="373">
        <f t="shared" ca="1" si="1"/>
        <v>61</v>
      </c>
      <c r="BR18" s="373">
        <f t="shared" ca="1" si="1"/>
        <v>62</v>
      </c>
      <c r="BS18" s="373">
        <f t="shared" ca="1" si="1"/>
        <v>63</v>
      </c>
      <c r="BT18" s="373">
        <f t="shared" ca="1" si="1"/>
        <v>64</v>
      </c>
      <c r="BU18" s="373">
        <f t="shared" ref="BU18:CZ18" ca="1" si="2">OFFSET(BU18,0,-1)+1</f>
        <v>65</v>
      </c>
      <c r="BV18" s="373">
        <f t="shared" ca="1" si="2"/>
        <v>66</v>
      </c>
      <c r="BW18" s="373">
        <f t="shared" ca="1" si="2"/>
        <v>67</v>
      </c>
      <c r="BX18" s="373">
        <f t="shared" ca="1" si="2"/>
        <v>68</v>
      </c>
      <c r="BY18" s="373">
        <f t="shared" ca="1" si="2"/>
        <v>69</v>
      </c>
      <c r="BZ18" s="373">
        <f t="shared" ca="1" si="2"/>
        <v>70</v>
      </c>
      <c r="CA18" s="373">
        <f t="shared" ca="1" si="2"/>
        <v>71</v>
      </c>
      <c r="CB18" s="373">
        <f t="shared" ca="1" si="2"/>
        <v>72</v>
      </c>
      <c r="CC18" s="373">
        <f t="shared" ca="1" si="2"/>
        <v>73</v>
      </c>
      <c r="CD18" s="373">
        <f t="shared" ca="1" si="2"/>
        <v>74</v>
      </c>
      <c r="CE18" s="373">
        <f t="shared" ca="1" si="2"/>
        <v>75</v>
      </c>
      <c r="CF18" s="373">
        <f t="shared" ca="1" si="2"/>
        <v>76</v>
      </c>
      <c r="CG18" s="373">
        <f t="shared" ca="1" si="2"/>
        <v>77</v>
      </c>
      <c r="CH18" s="373">
        <f t="shared" ca="1" si="2"/>
        <v>78</v>
      </c>
      <c r="CI18" s="373">
        <f t="shared" ca="1" si="2"/>
        <v>79</v>
      </c>
      <c r="CJ18" s="373">
        <f t="shared" ca="1" si="2"/>
        <v>80</v>
      </c>
      <c r="CK18" s="373">
        <f t="shared" ca="1" si="2"/>
        <v>81</v>
      </c>
      <c r="CL18" s="373">
        <f t="shared" ca="1" si="2"/>
        <v>82</v>
      </c>
      <c r="CM18" s="373">
        <f t="shared" ca="1" si="2"/>
        <v>83</v>
      </c>
      <c r="CN18" s="373">
        <f t="shared" ca="1" si="2"/>
        <v>84</v>
      </c>
      <c r="CO18" s="373">
        <f t="shared" ca="1" si="2"/>
        <v>85</v>
      </c>
      <c r="CP18" s="373">
        <f t="shared" ca="1" si="2"/>
        <v>86</v>
      </c>
      <c r="CQ18" s="373">
        <f t="shared" ca="1" si="2"/>
        <v>87</v>
      </c>
      <c r="CR18" s="373">
        <f t="shared" ca="1" si="2"/>
        <v>88</v>
      </c>
      <c r="CS18" s="373">
        <f t="shared" ca="1" si="2"/>
        <v>89</v>
      </c>
      <c r="CT18" s="373">
        <f t="shared" ca="1" si="2"/>
        <v>90</v>
      </c>
      <c r="CU18" s="373">
        <f t="shared" ca="1" si="2"/>
        <v>91</v>
      </c>
      <c r="CV18" s="373">
        <f t="shared" ca="1" si="2"/>
        <v>92</v>
      </c>
      <c r="CW18" s="373">
        <f t="shared" ca="1" si="2"/>
        <v>93</v>
      </c>
      <c r="CX18" s="373">
        <f t="shared" ca="1" si="2"/>
        <v>94</v>
      </c>
      <c r="CY18" s="373">
        <f t="shared" ca="1" si="2"/>
        <v>95</v>
      </c>
      <c r="CZ18" s="373">
        <f t="shared" ca="1" si="2"/>
        <v>96</v>
      </c>
      <c r="DA18" s="373">
        <f t="shared" ref="DA18:FB18" ca="1" si="3">OFFSET(DA18,0,-1)+1</f>
        <v>97</v>
      </c>
      <c r="DB18" s="373">
        <f t="shared" ca="1" si="3"/>
        <v>98</v>
      </c>
      <c r="DC18" s="373">
        <f t="shared" ca="1" si="3"/>
        <v>99</v>
      </c>
      <c r="DD18" s="373">
        <f t="shared" ca="1" si="3"/>
        <v>100</v>
      </c>
      <c r="DE18" s="373">
        <f t="shared" ca="1" si="3"/>
        <v>101</v>
      </c>
      <c r="DF18" s="373">
        <f t="shared" ca="1" si="3"/>
        <v>102</v>
      </c>
      <c r="DG18" s="373">
        <f t="shared" ca="1" si="3"/>
        <v>103</v>
      </c>
      <c r="DH18" s="373">
        <f t="shared" ca="1" si="3"/>
        <v>104</v>
      </c>
      <c r="DI18" s="373">
        <f t="shared" ca="1" si="3"/>
        <v>105</v>
      </c>
      <c r="DJ18" s="373">
        <f t="shared" ca="1" si="3"/>
        <v>106</v>
      </c>
      <c r="DK18" s="373">
        <f t="shared" ca="1" si="3"/>
        <v>107</v>
      </c>
      <c r="DL18" s="373">
        <f t="shared" ca="1" si="3"/>
        <v>108</v>
      </c>
      <c r="DM18" s="373">
        <f t="shared" ca="1" si="3"/>
        <v>109</v>
      </c>
      <c r="DN18" s="373">
        <f t="shared" ca="1" si="3"/>
        <v>110</v>
      </c>
      <c r="DO18" s="373">
        <f t="shared" ca="1" si="3"/>
        <v>111</v>
      </c>
      <c r="DP18" s="373">
        <f t="shared" ca="1" si="3"/>
        <v>112</v>
      </c>
      <c r="DQ18" s="373">
        <f t="shared" ca="1" si="3"/>
        <v>113</v>
      </c>
      <c r="DR18" s="373">
        <f t="shared" ca="1" si="3"/>
        <v>114</v>
      </c>
      <c r="DS18" s="373">
        <f t="shared" ca="1" si="3"/>
        <v>115</v>
      </c>
      <c r="DT18" s="373">
        <f t="shared" ca="1" si="3"/>
        <v>116</v>
      </c>
      <c r="DU18" s="373">
        <f t="shared" ca="1" si="3"/>
        <v>117</v>
      </c>
      <c r="DV18" s="373">
        <f t="shared" ca="1" si="3"/>
        <v>118</v>
      </c>
      <c r="DW18" s="373">
        <f t="shared" ca="1" si="3"/>
        <v>119</v>
      </c>
      <c r="DX18" s="373">
        <f t="shared" ca="1" si="3"/>
        <v>120</v>
      </c>
      <c r="DY18" s="373">
        <f t="shared" ca="1" si="3"/>
        <v>121</v>
      </c>
      <c r="DZ18" s="373">
        <f t="shared" ca="1" si="3"/>
        <v>122</v>
      </c>
      <c r="EA18" s="373">
        <f t="shared" ca="1" si="3"/>
        <v>123</v>
      </c>
      <c r="EB18" s="373">
        <f t="shared" ca="1" si="3"/>
        <v>124</v>
      </c>
      <c r="EC18" s="373">
        <f t="shared" ca="1" si="3"/>
        <v>125</v>
      </c>
      <c r="ED18" s="373">
        <f t="shared" ca="1" si="3"/>
        <v>126</v>
      </c>
      <c r="EE18" s="373">
        <f t="shared" ca="1" si="3"/>
        <v>127</v>
      </c>
      <c r="EF18" s="373">
        <f t="shared" ca="1" si="3"/>
        <v>128</v>
      </c>
      <c r="EG18" s="373">
        <f t="shared" ca="1" si="3"/>
        <v>129</v>
      </c>
      <c r="EH18" s="373">
        <f t="shared" ca="1" si="3"/>
        <v>130</v>
      </c>
      <c r="EI18" s="373">
        <f t="shared" ca="1" si="3"/>
        <v>131</v>
      </c>
      <c r="EJ18" s="373">
        <f t="shared" ca="1" si="3"/>
        <v>132</v>
      </c>
      <c r="EK18" s="373">
        <f t="shared" ca="1" si="3"/>
        <v>133</v>
      </c>
      <c r="EL18" s="373">
        <f t="shared" ca="1" si="3"/>
        <v>134</v>
      </c>
      <c r="EM18" s="373">
        <f t="shared" ca="1" si="3"/>
        <v>135</v>
      </c>
      <c r="EN18" s="373">
        <f t="shared" ca="1" si="3"/>
        <v>136</v>
      </c>
      <c r="EO18" s="373">
        <f t="shared" ca="1" si="3"/>
        <v>137</v>
      </c>
      <c r="EP18" s="373">
        <f t="shared" ca="1" si="3"/>
        <v>138</v>
      </c>
      <c r="EQ18" s="373">
        <f t="shared" ca="1" si="3"/>
        <v>139</v>
      </c>
      <c r="ER18" s="373">
        <f t="shared" ca="1" si="3"/>
        <v>140</v>
      </c>
      <c r="ES18" s="373">
        <f t="shared" ca="1" si="3"/>
        <v>141</v>
      </c>
      <c r="ET18" s="373">
        <f t="shared" ca="1" si="3"/>
        <v>142</v>
      </c>
      <c r="EU18" s="373">
        <f t="shared" ca="1" si="3"/>
        <v>143</v>
      </c>
      <c r="EV18" s="373">
        <f t="shared" ca="1" si="3"/>
        <v>144</v>
      </c>
      <c r="EW18" s="373">
        <f t="shared" ca="1" si="3"/>
        <v>145</v>
      </c>
      <c r="EX18" s="373">
        <f t="shared" ca="1" si="3"/>
        <v>146</v>
      </c>
      <c r="EY18" s="373">
        <f t="shared" ca="1" si="3"/>
        <v>147</v>
      </c>
      <c r="EZ18" s="373">
        <f t="shared" ca="1" si="3"/>
        <v>148</v>
      </c>
      <c r="FA18" s="373">
        <f t="shared" ca="1" si="3"/>
        <v>149</v>
      </c>
      <c r="FB18" s="373">
        <f t="shared" ca="1" si="3"/>
        <v>150</v>
      </c>
      <c r="FC18" s="373"/>
    </row>
    <row r="19" spans="2:159" ht="18.75">
      <c r="B19" s="1000" t="s">
        <v>351</v>
      </c>
      <c r="C19" s="1000"/>
      <c r="D19" s="836"/>
      <c r="E19" s="529" t="s">
        <v>354</v>
      </c>
      <c r="F19" s="338"/>
      <c r="G19" s="529"/>
      <c r="H19" s="530"/>
      <c r="I19" s="530"/>
      <c r="J19" s="530"/>
      <c r="K19" s="530"/>
      <c r="L19" s="530"/>
      <c r="M19" s="530"/>
      <c r="N19" s="530"/>
      <c r="O19" s="530"/>
      <c r="P19" s="530"/>
      <c r="Q19" s="530"/>
      <c r="R19" s="530"/>
      <c r="S19" s="530"/>
      <c r="T19" s="530"/>
      <c r="U19" s="530"/>
      <c r="V19" s="530"/>
      <c r="W19" s="530"/>
      <c r="X19" s="530"/>
      <c r="Y19" s="530"/>
      <c r="Z19" s="530"/>
      <c r="AA19" s="530"/>
      <c r="AB19" s="530"/>
      <c r="AC19" s="530"/>
      <c r="AD19" s="530"/>
      <c r="AE19" s="530"/>
      <c r="AF19" s="530"/>
      <c r="AG19" s="530"/>
      <c r="AH19" s="530"/>
      <c r="AI19" s="530"/>
      <c r="AJ19" s="530"/>
      <c r="AK19" s="530"/>
      <c r="AL19" s="530"/>
      <c r="AM19" s="530"/>
      <c r="AN19" s="530"/>
      <c r="AO19" s="530"/>
      <c r="AP19" s="530"/>
      <c r="AQ19" s="530"/>
      <c r="AR19" s="530"/>
      <c r="AS19" s="530"/>
      <c r="AT19" s="530"/>
      <c r="AU19" s="530"/>
      <c r="AV19" s="530"/>
      <c r="AW19" s="530"/>
      <c r="AX19" s="530"/>
      <c r="AY19" s="530"/>
      <c r="AZ19" s="530"/>
      <c r="BA19" s="530"/>
      <c r="BB19" s="530"/>
      <c r="BC19" s="530"/>
      <c r="BD19" s="530"/>
      <c r="BE19" s="530"/>
      <c r="BF19" s="530"/>
      <c r="BG19" s="530"/>
      <c r="BH19" s="530"/>
      <c r="BI19" s="530"/>
      <c r="BJ19" s="530"/>
      <c r="BK19" s="530"/>
      <c r="BL19" s="530"/>
      <c r="BM19" s="530"/>
      <c r="BN19" s="530"/>
      <c r="BO19" s="530"/>
      <c r="BP19" s="530"/>
      <c r="BQ19" s="530"/>
      <c r="BR19" s="530"/>
      <c r="BS19" s="530"/>
      <c r="BT19" s="530"/>
      <c r="BU19" s="530"/>
      <c r="BV19" s="530"/>
      <c r="BW19" s="530"/>
      <c r="BX19" s="530"/>
      <c r="BY19" s="530"/>
      <c r="BZ19" s="530"/>
      <c r="CA19" s="530"/>
      <c r="CB19" s="530"/>
      <c r="CC19" s="530"/>
      <c r="CD19" s="530"/>
      <c r="CE19" s="530"/>
      <c r="CF19" s="530"/>
      <c r="CG19" s="530"/>
      <c r="CH19" s="530"/>
      <c r="CI19" s="530"/>
      <c r="CJ19" s="530"/>
      <c r="CK19" s="530"/>
      <c r="CL19" s="530"/>
      <c r="CM19" s="530"/>
      <c r="CN19" s="530"/>
      <c r="CO19" s="530"/>
      <c r="CP19" s="530"/>
      <c r="CQ19" s="530"/>
      <c r="CR19" s="530"/>
      <c r="CS19" s="530"/>
      <c r="CT19" s="530"/>
      <c r="CU19" s="530"/>
      <c r="CV19" s="530"/>
      <c r="CW19" s="530"/>
      <c r="CX19" s="530"/>
      <c r="CY19" s="530"/>
      <c r="CZ19" s="530"/>
      <c r="DA19" s="530"/>
      <c r="DB19" s="530"/>
      <c r="DC19" s="530"/>
      <c r="DD19" s="530"/>
      <c r="DE19" s="530"/>
      <c r="DF19" s="530"/>
      <c r="DG19" s="530"/>
      <c r="DH19" s="530"/>
      <c r="DI19" s="530"/>
      <c r="DJ19" s="530"/>
      <c r="DK19" s="530"/>
      <c r="DL19" s="530"/>
      <c r="DM19" s="530"/>
      <c r="DN19" s="530"/>
      <c r="DO19" s="530"/>
      <c r="DP19" s="530"/>
      <c r="DQ19" s="530"/>
      <c r="DR19" s="530"/>
      <c r="DS19" s="530"/>
      <c r="DT19" s="530"/>
      <c r="DU19" s="596" t="s">
        <v>355</v>
      </c>
      <c r="DV19" s="596" t="s">
        <v>355</v>
      </c>
      <c r="DW19" s="596" t="s">
        <v>355</v>
      </c>
      <c r="DX19" s="596" t="s">
        <v>355</v>
      </c>
      <c r="DY19" s="596" t="s">
        <v>355</v>
      </c>
      <c r="DZ19" s="596" t="s">
        <v>355</v>
      </c>
      <c r="EA19" s="596" t="s">
        <v>355</v>
      </c>
      <c r="EB19" s="596" t="s">
        <v>355</v>
      </c>
      <c r="EC19" s="596" t="s">
        <v>355</v>
      </c>
      <c r="ED19" s="596" t="s">
        <v>355</v>
      </c>
      <c r="EE19" s="596" t="s">
        <v>355</v>
      </c>
      <c r="EF19" s="596" t="s">
        <v>355</v>
      </c>
      <c r="EG19" s="596" t="s">
        <v>355</v>
      </c>
      <c r="EH19" s="596" t="s">
        <v>355</v>
      </c>
      <c r="EI19" s="596" t="s">
        <v>355</v>
      </c>
      <c r="EJ19" s="596" t="s">
        <v>355</v>
      </c>
      <c r="EK19" s="596" t="s">
        <v>355</v>
      </c>
      <c r="EL19" s="596" t="s">
        <v>355</v>
      </c>
      <c r="EM19" s="596" t="s">
        <v>355</v>
      </c>
      <c r="EN19" s="596" t="s">
        <v>355</v>
      </c>
      <c r="EO19" s="596" t="s">
        <v>355</v>
      </c>
      <c r="EP19" s="596" t="s">
        <v>355</v>
      </c>
      <c r="EQ19" s="596" t="s">
        <v>355</v>
      </c>
      <c r="ER19" s="596" t="s">
        <v>355</v>
      </c>
      <c r="ES19" s="596" t="s">
        <v>355</v>
      </c>
      <c r="ET19" s="596" t="s">
        <v>355</v>
      </c>
      <c r="EU19" s="596" t="s">
        <v>355</v>
      </c>
      <c r="EV19" s="596" t="s">
        <v>355</v>
      </c>
      <c r="EW19" s="596" t="s">
        <v>355</v>
      </c>
      <c r="EX19" s="596" t="s">
        <v>355</v>
      </c>
      <c r="EY19" s="596" t="s">
        <v>355</v>
      </c>
      <c r="EZ19" s="596" t="s">
        <v>355</v>
      </c>
      <c r="FA19" s="596" t="s">
        <v>355</v>
      </c>
      <c r="FB19" s="596" t="s">
        <v>355</v>
      </c>
      <c r="FC19" s="530"/>
    </row>
    <row r="20" spans="2:159" ht="25.5">
      <c r="B20" s="1000" t="s">
        <v>351</v>
      </c>
      <c r="C20" s="1000"/>
      <c r="D20" s="642" t="s">
        <v>45</v>
      </c>
      <c r="E20" s="329" t="s">
        <v>356</v>
      </c>
      <c r="F20" s="330"/>
      <c r="G20" s="329" t="s">
        <v>357</v>
      </c>
      <c r="H20" s="342"/>
      <c r="I20" s="422" t="s">
        <v>67</v>
      </c>
      <c r="J20" s="422" t="s">
        <v>358</v>
      </c>
      <c r="K20" s="422" t="s">
        <v>359</v>
      </c>
      <c r="L20" s="422" t="s">
        <v>360</v>
      </c>
      <c r="M20" s="422" t="s">
        <v>361</v>
      </c>
      <c r="N20" s="422" t="s">
        <v>362</v>
      </c>
      <c r="O20" s="422" t="s">
        <v>363</v>
      </c>
      <c r="P20" s="422" t="s">
        <v>1008</v>
      </c>
      <c r="Q20" s="422" t="s">
        <v>974</v>
      </c>
      <c r="R20" s="422" t="s">
        <v>975</v>
      </c>
      <c r="S20" s="422" t="s">
        <v>976</v>
      </c>
      <c r="T20" s="422" t="s">
        <v>962</v>
      </c>
      <c r="U20" s="422" t="s">
        <v>963</v>
      </c>
      <c r="V20" s="422" t="s">
        <v>1009</v>
      </c>
      <c r="W20" s="422" t="s">
        <v>977</v>
      </c>
      <c r="X20" s="422" t="s">
        <v>978</v>
      </c>
      <c r="Y20" s="422" t="s">
        <v>979</v>
      </c>
      <c r="Z20" s="422" t="s">
        <v>964</v>
      </c>
      <c r="AA20" s="422" t="s">
        <v>965</v>
      </c>
      <c r="AB20" s="422" t="s">
        <v>1005</v>
      </c>
      <c r="AC20" s="422" t="s">
        <v>999</v>
      </c>
      <c r="AD20" s="422" t="s">
        <v>1000</v>
      </c>
      <c r="AE20" s="422" t="s">
        <v>1001</v>
      </c>
      <c r="AF20" s="422" t="s">
        <v>1002</v>
      </c>
      <c r="AG20" s="422" t="s">
        <v>1003</v>
      </c>
      <c r="AH20" s="422" t="s">
        <v>1004</v>
      </c>
      <c r="AI20" s="422" t="s">
        <v>1006</v>
      </c>
      <c r="AJ20" s="422" t="s">
        <v>998</v>
      </c>
      <c r="AK20" s="422" t="s">
        <v>997</v>
      </c>
      <c r="AL20" s="422" t="s">
        <v>996</v>
      </c>
      <c r="AM20" s="422" t="s">
        <v>995</v>
      </c>
      <c r="AN20" s="422" t="s">
        <v>994</v>
      </c>
      <c r="AO20" s="422" t="s">
        <v>993</v>
      </c>
      <c r="AP20" s="422" t="s">
        <v>1010</v>
      </c>
      <c r="AQ20" s="422" t="s">
        <v>980</v>
      </c>
      <c r="AR20" s="422" t="s">
        <v>981</v>
      </c>
      <c r="AS20" s="422" t="s">
        <v>982</v>
      </c>
      <c r="AT20" s="422" t="s">
        <v>966</v>
      </c>
      <c r="AU20" s="422" t="s">
        <v>967</v>
      </c>
      <c r="AV20" s="422" t="s">
        <v>1011</v>
      </c>
      <c r="AW20" s="422" t="s">
        <v>983</v>
      </c>
      <c r="AX20" s="422" t="s">
        <v>984</v>
      </c>
      <c r="AY20" s="422" t="s">
        <v>985</v>
      </c>
      <c r="AZ20" s="422" t="s">
        <v>968</v>
      </c>
      <c r="BA20" s="422" t="s">
        <v>969</v>
      </c>
      <c r="BB20" s="422" t="s">
        <v>1007</v>
      </c>
      <c r="BC20" s="422" t="s">
        <v>986</v>
      </c>
      <c r="BD20" s="422" t="s">
        <v>987</v>
      </c>
      <c r="BE20" s="422" t="s">
        <v>988</v>
      </c>
      <c r="BF20" s="422" t="s">
        <v>989</v>
      </c>
      <c r="BG20" s="422" t="s">
        <v>970</v>
      </c>
      <c r="BH20" s="422" t="s">
        <v>971</v>
      </c>
      <c r="BI20" s="422" t="s">
        <v>1012</v>
      </c>
      <c r="BJ20" s="422" t="s">
        <v>990</v>
      </c>
      <c r="BK20" s="422" t="s">
        <v>991</v>
      </c>
      <c r="BL20" s="422" t="s">
        <v>992</v>
      </c>
      <c r="BM20" s="422" t="s">
        <v>972</v>
      </c>
      <c r="BN20" s="422" t="s">
        <v>973</v>
      </c>
      <c r="BO20" s="863" t="s">
        <v>921</v>
      </c>
      <c r="BP20" s="863" t="s">
        <v>948</v>
      </c>
      <c r="BQ20" s="863" t="s">
        <v>926</v>
      </c>
      <c r="BR20" s="863" t="s">
        <v>928</v>
      </c>
      <c r="BS20" s="863" t="s">
        <v>922</v>
      </c>
      <c r="BT20" s="863" t="s">
        <v>927</v>
      </c>
      <c r="BU20" s="863" t="s">
        <v>923</v>
      </c>
      <c r="BV20" s="863" t="s">
        <v>924</v>
      </c>
      <c r="BW20" s="863" t="s">
        <v>925</v>
      </c>
      <c r="BX20" s="863" t="s">
        <v>929</v>
      </c>
      <c r="BY20" s="863" t="s">
        <v>930</v>
      </c>
      <c r="BZ20" s="863" t="s">
        <v>931</v>
      </c>
      <c r="CA20" s="863" t="s">
        <v>932</v>
      </c>
      <c r="CB20" s="863" t="s">
        <v>933</v>
      </c>
      <c r="CC20" s="863" t="s">
        <v>934</v>
      </c>
      <c r="CD20" s="863" t="s">
        <v>935</v>
      </c>
      <c r="CE20" s="863" t="s">
        <v>936</v>
      </c>
      <c r="CF20" s="863" t="s">
        <v>937</v>
      </c>
      <c r="CG20" s="863" t="s">
        <v>938</v>
      </c>
      <c r="CH20" s="863" t="s">
        <v>939</v>
      </c>
      <c r="CI20" s="863" t="s">
        <v>949</v>
      </c>
      <c r="CJ20" s="863" t="s">
        <v>940</v>
      </c>
      <c r="CK20" s="863" t="s">
        <v>950</v>
      </c>
      <c r="CL20" s="863" t="s">
        <v>941</v>
      </c>
      <c r="CM20" s="863" t="s">
        <v>942</v>
      </c>
      <c r="CN20" s="863" t="s">
        <v>943</v>
      </c>
      <c r="CO20" s="863" t="s">
        <v>944</v>
      </c>
      <c r="CP20" s="863" t="s">
        <v>945</v>
      </c>
      <c r="CQ20" s="863" t="s">
        <v>946</v>
      </c>
      <c r="CR20" s="863" t="s">
        <v>947</v>
      </c>
      <c r="CS20" s="422" t="s">
        <v>364</v>
      </c>
      <c r="CT20" s="422" t="s">
        <v>365</v>
      </c>
      <c r="CU20" s="422" t="s">
        <v>366</v>
      </c>
      <c r="CV20" s="422" t="s">
        <v>367</v>
      </c>
      <c r="CW20" s="422" t="s">
        <v>368</v>
      </c>
      <c r="CX20" s="422" t="s">
        <v>369</v>
      </c>
      <c r="CY20" s="422" t="s">
        <v>370</v>
      </c>
      <c r="CZ20" s="422" t="s">
        <v>371</v>
      </c>
      <c r="DA20" s="422" t="s">
        <v>372</v>
      </c>
      <c r="DB20" s="422" t="s">
        <v>373</v>
      </c>
      <c r="DC20" s="422" t="s">
        <v>374</v>
      </c>
      <c r="DD20" s="422" t="s">
        <v>375</v>
      </c>
      <c r="DE20" s="422" t="s">
        <v>376</v>
      </c>
      <c r="DF20" s="422" t="s">
        <v>377</v>
      </c>
      <c r="DG20" s="422" t="s">
        <v>378</v>
      </c>
      <c r="DH20" s="422" t="s">
        <v>379</v>
      </c>
      <c r="DI20" s="422" t="s">
        <v>380</v>
      </c>
      <c r="DJ20" s="422" t="s">
        <v>381</v>
      </c>
      <c r="DK20" s="422" t="s">
        <v>382</v>
      </c>
      <c r="DL20" s="422" t="s">
        <v>383</v>
      </c>
      <c r="DM20" s="422" t="s">
        <v>384</v>
      </c>
      <c r="DN20" s="422" t="s">
        <v>385</v>
      </c>
      <c r="DO20" s="422" t="s">
        <v>386</v>
      </c>
      <c r="DP20" s="422" t="s">
        <v>387</v>
      </c>
      <c r="DQ20" s="422" t="s">
        <v>388</v>
      </c>
      <c r="DR20" s="422" t="s">
        <v>389</v>
      </c>
      <c r="DS20" s="422" t="s">
        <v>390</v>
      </c>
      <c r="DT20" s="422" t="s">
        <v>391</v>
      </c>
      <c r="DU20" s="868"/>
      <c r="DV20" s="484"/>
      <c r="DW20" s="484"/>
      <c r="DX20" s="484"/>
      <c r="DY20" s="484"/>
      <c r="DZ20" s="484"/>
      <c r="EA20" s="484"/>
      <c r="EB20" s="484"/>
      <c r="EC20" s="484"/>
      <c r="ED20" s="484"/>
      <c r="EE20" s="484"/>
      <c r="EF20" s="484"/>
      <c r="EG20" s="484"/>
      <c r="EH20" s="484"/>
      <c r="EI20" s="484"/>
      <c r="EJ20" s="484"/>
      <c r="EK20" s="484"/>
      <c r="EL20" s="484"/>
      <c r="EM20" s="484"/>
      <c r="EN20" s="484"/>
      <c r="EO20" s="484"/>
      <c r="EP20" s="484"/>
      <c r="EQ20" s="484"/>
      <c r="ER20" s="484"/>
      <c r="ES20" s="484"/>
      <c r="ET20" s="484"/>
      <c r="EU20" s="484"/>
      <c r="EV20" s="484"/>
      <c r="EW20" s="484"/>
      <c r="EX20" s="484"/>
      <c r="EY20" s="484"/>
      <c r="EZ20" s="484"/>
      <c r="FA20" s="484"/>
      <c r="FB20" s="484"/>
      <c r="FC20" s="342"/>
    </row>
    <row r="21" spans="2:159">
      <c r="B21" s="1000" t="s">
        <v>351</v>
      </c>
      <c r="C21" s="1000"/>
      <c r="D21" s="836"/>
      <c r="E21" s="329" t="s">
        <v>115</v>
      </c>
      <c r="F21" s="330"/>
      <c r="G21" s="329" t="s">
        <v>392</v>
      </c>
      <c r="H21" s="342"/>
      <c r="I21" s="422" t="s">
        <v>393</v>
      </c>
      <c r="J21" s="422" t="s">
        <v>393</v>
      </c>
      <c r="K21" s="422" t="s">
        <v>393</v>
      </c>
      <c r="L21" s="422" t="s">
        <v>393</v>
      </c>
      <c r="M21" s="422" t="s">
        <v>393</v>
      </c>
      <c r="N21" s="422" t="s">
        <v>394</v>
      </c>
      <c r="O21" s="422" t="s">
        <v>394</v>
      </c>
      <c r="P21" s="422" t="s">
        <v>393</v>
      </c>
      <c r="Q21" s="422" t="s">
        <v>393</v>
      </c>
      <c r="R21" s="422" t="s">
        <v>393</v>
      </c>
      <c r="S21" s="422" t="s">
        <v>393</v>
      </c>
      <c r="T21" s="422" t="s">
        <v>393</v>
      </c>
      <c r="U21" s="422" t="s">
        <v>393</v>
      </c>
      <c r="V21" s="422" t="s">
        <v>393</v>
      </c>
      <c r="W21" s="422" t="s">
        <v>393</v>
      </c>
      <c r="X21" s="422" t="s">
        <v>393</v>
      </c>
      <c r="Y21" s="422" t="s">
        <v>393</v>
      </c>
      <c r="Z21" s="422" t="s">
        <v>393</v>
      </c>
      <c r="AA21" s="422" t="s">
        <v>393</v>
      </c>
      <c r="AB21" s="422" t="s">
        <v>393</v>
      </c>
      <c r="AC21" s="422" t="s">
        <v>393</v>
      </c>
      <c r="AD21" s="422" t="s">
        <v>393</v>
      </c>
      <c r="AE21" s="422" t="s">
        <v>393</v>
      </c>
      <c r="AF21" s="422" t="s">
        <v>393</v>
      </c>
      <c r="AG21" s="422" t="s">
        <v>393</v>
      </c>
      <c r="AH21" s="422" t="s">
        <v>393</v>
      </c>
      <c r="AI21" s="422" t="s">
        <v>393</v>
      </c>
      <c r="AJ21" s="422" t="s">
        <v>393</v>
      </c>
      <c r="AK21" s="422" t="s">
        <v>393</v>
      </c>
      <c r="AL21" s="422" t="s">
        <v>393</v>
      </c>
      <c r="AM21" s="422" t="s">
        <v>393</v>
      </c>
      <c r="AN21" s="422" t="s">
        <v>393</v>
      </c>
      <c r="AO21" s="422" t="s">
        <v>393</v>
      </c>
      <c r="AP21" s="422" t="s">
        <v>394</v>
      </c>
      <c r="AQ21" s="422" t="s">
        <v>394</v>
      </c>
      <c r="AR21" s="422" t="s">
        <v>394</v>
      </c>
      <c r="AS21" s="422" t="s">
        <v>394</v>
      </c>
      <c r="AT21" s="422" t="s">
        <v>394</v>
      </c>
      <c r="AU21" s="422" t="s">
        <v>394</v>
      </c>
      <c r="AV21" s="422" t="s">
        <v>394</v>
      </c>
      <c r="AW21" s="422" t="s">
        <v>394</v>
      </c>
      <c r="AX21" s="422" t="s">
        <v>394</v>
      </c>
      <c r="AY21" s="422" t="s">
        <v>394</v>
      </c>
      <c r="AZ21" s="422" t="s">
        <v>394</v>
      </c>
      <c r="BA21" s="422" t="s">
        <v>394</v>
      </c>
      <c r="BB21" s="422" t="s">
        <v>394</v>
      </c>
      <c r="BC21" s="422" t="s">
        <v>394</v>
      </c>
      <c r="BD21" s="422" t="s">
        <v>394</v>
      </c>
      <c r="BE21" s="422" t="s">
        <v>394</v>
      </c>
      <c r="BF21" s="422" t="s">
        <v>394</v>
      </c>
      <c r="BG21" s="422" t="s">
        <v>394</v>
      </c>
      <c r="BH21" s="422" t="s">
        <v>394</v>
      </c>
      <c r="BI21" s="422" t="s">
        <v>394</v>
      </c>
      <c r="BJ21" s="422" t="s">
        <v>394</v>
      </c>
      <c r="BK21" s="422" t="s">
        <v>394</v>
      </c>
      <c r="BL21" s="422" t="s">
        <v>394</v>
      </c>
      <c r="BM21" s="422" t="s">
        <v>394</v>
      </c>
      <c r="BN21" s="422" t="s">
        <v>394</v>
      </c>
      <c r="BO21" s="863" t="s">
        <v>395</v>
      </c>
      <c r="BP21" s="863" t="s">
        <v>395</v>
      </c>
      <c r="BQ21" s="863" t="s">
        <v>395</v>
      </c>
      <c r="BR21" s="863" t="s">
        <v>399</v>
      </c>
      <c r="BS21" s="863" t="s">
        <v>399</v>
      </c>
      <c r="BT21" s="863" t="s">
        <v>399</v>
      </c>
      <c r="BU21" s="863" t="s">
        <v>398</v>
      </c>
      <c r="BV21" s="863" t="s">
        <v>398</v>
      </c>
      <c r="BW21" s="863" t="s">
        <v>398</v>
      </c>
      <c r="BX21" s="863" t="s">
        <v>397</v>
      </c>
      <c r="BY21" s="863" t="s">
        <v>397</v>
      </c>
      <c r="BZ21" s="863" t="s">
        <v>397</v>
      </c>
      <c r="CA21" s="863" t="s">
        <v>1027</v>
      </c>
      <c r="CB21" s="863" t="s">
        <v>1027</v>
      </c>
      <c r="CC21" s="863" t="s">
        <v>1027</v>
      </c>
      <c r="CD21" s="863" t="s">
        <v>1029</v>
      </c>
      <c r="CE21" s="863" t="s">
        <v>1029</v>
      </c>
      <c r="CF21" s="863" t="s">
        <v>1031</v>
      </c>
      <c r="CG21" s="863" t="s">
        <v>1031</v>
      </c>
      <c r="CH21" s="863" t="s">
        <v>1031</v>
      </c>
      <c r="CI21" s="863" t="s">
        <v>1030</v>
      </c>
      <c r="CJ21" s="863" t="s">
        <v>1030</v>
      </c>
      <c r="CK21" s="863" t="s">
        <v>1030</v>
      </c>
      <c r="CL21" s="863" t="s">
        <v>1028</v>
      </c>
      <c r="CM21" s="863" t="s">
        <v>1028</v>
      </c>
      <c r="CN21" s="863" t="s">
        <v>1028</v>
      </c>
      <c r="CO21" s="863" t="s">
        <v>396</v>
      </c>
      <c r="CP21" s="863" t="s">
        <v>396</v>
      </c>
      <c r="CQ21" s="863" t="s">
        <v>396</v>
      </c>
      <c r="CR21" s="863" t="s">
        <v>396</v>
      </c>
      <c r="CS21" s="422" t="s">
        <v>1027</v>
      </c>
      <c r="CT21" s="422" t="s">
        <v>1027</v>
      </c>
      <c r="CU21" s="422" t="s">
        <v>1027</v>
      </c>
      <c r="CV21" s="422" t="s">
        <v>1027</v>
      </c>
      <c r="CW21" s="422" t="s">
        <v>1029</v>
      </c>
      <c r="CX21" s="422" t="s">
        <v>1029</v>
      </c>
      <c r="CY21" s="422" t="s">
        <v>1029</v>
      </c>
      <c r="CZ21" s="422" t="s">
        <v>1030</v>
      </c>
      <c r="DA21" s="422" t="s">
        <v>1030</v>
      </c>
      <c r="DB21" s="422" t="s">
        <v>1031</v>
      </c>
      <c r="DC21" s="422" t="s">
        <v>395</v>
      </c>
      <c r="DD21" s="422" t="s">
        <v>395</v>
      </c>
      <c r="DE21" s="422" t="s">
        <v>395</v>
      </c>
      <c r="DF21" s="422" t="s">
        <v>395</v>
      </c>
      <c r="DG21" s="422" t="s">
        <v>395</v>
      </c>
      <c r="DH21" s="422" t="s">
        <v>395</v>
      </c>
      <c r="DI21" s="422" t="s">
        <v>396</v>
      </c>
      <c r="DJ21" s="422" t="s">
        <v>397</v>
      </c>
      <c r="DK21" s="422" t="s">
        <v>397</v>
      </c>
      <c r="DL21" s="422" t="s">
        <v>397</v>
      </c>
      <c r="DM21" s="422" t="s">
        <v>397</v>
      </c>
      <c r="DN21" s="422" t="s">
        <v>397</v>
      </c>
      <c r="DO21" s="422" t="s">
        <v>398</v>
      </c>
      <c r="DP21" s="422" t="s">
        <v>398</v>
      </c>
      <c r="DQ21" s="422" t="s">
        <v>399</v>
      </c>
      <c r="DR21" s="422" t="s">
        <v>399</v>
      </c>
      <c r="DS21" s="422" t="s">
        <v>399</v>
      </c>
      <c r="DT21" s="422" t="s">
        <v>399</v>
      </c>
      <c r="DU21" s="395"/>
      <c r="DV21" s="395"/>
      <c r="DW21" s="485"/>
      <c r="DX21" s="485"/>
      <c r="DY21" s="485"/>
      <c r="DZ21" s="485"/>
      <c r="EA21" s="485"/>
      <c r="EB21" s="485"/>
      <c r="EC21" s="485"/>
      <c r="ED21" s="485"/>
      <c r="EE21" s="485"/>
      <c r="EF21" s="485"/>
      <c r="EG21" s="485"/>
      <c r="EH21" s="485"/>
      <c r="EI21" s="485"/>
      <c r="EJ21" s="485"/>
      <c r="EK21" s="485"/>
      <c r="EL21" s="485"/>
      <c r="EM21" s="485"/>
      <c r="EN21" s="485"/>
      <c r="EO21" s="485"/>
      <c r="EP21" s="485"/>
      <c r="EQ21" s="485"/>
      <c r="ER21" s="485"/>
      <c r="ES21" s="485"/>
      <c r="ET21" s="485"/>
      <c r="EU21" s="485"/>
      <c r="EV21" s="485"/>
      <c r="EW21" s="485"/>
      <c r="EX21" s="485"/>
      <c r="EY21" s="485"/>
      <c r="EZ21" s="485"/>
      <c r="FA21" s="485"/>
      <c r="FB21" s="485"/>
      <c r="FC21" s="342"/>
    </row>
    <row r="22" spans="2:159">
      <c r="B22" s="1000" t="s">
        <v>351</v>
      </c>
      <c r="C22" s="1000"/>
      <c r="D22" s="836"/>
      <c r="E22" s="329" t="s">
        <v>400</v>
      </c>
      <c r="F22" s="330"/>
      <c r="G22" s="329" t="s">
        <v>401</v>
      </c>
      <c r="H22" s="342"/>
      <c r="I22" s="615">
        <v>0</v>
      </c>
      <c r="J22" s="615">
        <v>0</v>
      </c>
      <c r="K22" s="615">
        <v>0</v>
      </c>
      <c r="L22" s="615">
        <v>0</v>
      </c>
      <c r="M22" s="615">
        <v>0</v>
      </c>
      <c r="N22" s="615">
        <v>1</v>
      </c>
      <c r="O22" s="615">
        <v>1</v>
      </c>
      <c r="P22" s="615">
        <v>0</v>
      </c>
      <c r="Q22" s="615">
        <v>0</v>
      </c>
      <c r="R22" s="615">
        <v>0</v>
      </c>
      <c r="S22" s="615">
        <v>0</v>
      </c>
      <c r="T22" s="615">
        <v>0</v>
      </c>
      <c r="U22" s="615">
        <v>0</v>
      </c>
      <c r="V22" s="615">
        <v>0</v>
      </c>
      <c r="W22" s="615">
        <v>0</v>
      </c>
      <c r="X22" s="615">
        <v>0</v>
      </c>
      <c r="Y22" s="615">
        <v>0</v>
      </c>
      <c r="Z22" s="615">
        <v>0</v>
      </c>
      <c r="AA22" s="615">
        <v>0</v>
      </c>
      <c r="AB22" s="615">
        <v>0</v>
      </c>
      <c r="AC22" s="615">
        <v>0</v>
      </c>
      <c r="AD22" s="615">
        <v>0</v>
      </c>
      <c r="AE22" s="615">
        <v>0</v>
      </c>
      <c r="AF22" s="615">
        <v>0</v>
      </c>
      <c r="AG22" s="615">
        <v>0</v>
      </c>
      <c r="AH22" s="615">
        <v>0</v>
      </c>
      <c r="AI22" s="615">
        <v>0</v>
      </c>
      <c r="AJ22" s="615">
        <v>0</v>
      </c>
      <c r="AK22" s="615">
        <v>0</v>
      </c>
      <c r="AL22" s="615">
        <v>0</v>
      </c>
      <c r="AM22" s="615">
        <v>0</v>
      </c>
      <c r="AN22" s="615">
        <v>0</v>
      </c>
      <c r="AO22" s="615">
        <v>0</v>
      </c>
      <c r="AP22" s="615">
        <v>1</v>
      </c>
      <c r="AQ22" s="615">
        <v>1</v>
      </c>
      <c r="AR22" s="615">
        <v>1</v>
      </c>
      <c r="AS22" s="615">
        <v>1</v>
      </c>
      <c r="AT22" s="615">
        <v>1</v>
      </c>
      <c r="AU22" s="615">
        <v>1</v>
      </c>
      <c r="AV22" s="615">
        <v>1</v>
      </c>
      <c r="AW22" s="615">
        <v>1</v>
      </c>
      <c r="AX22" s="615">
        <v>1</v>
      </c>
      <c r="AY22" s="615">
        <v>1</v>
      </c>
      <c r="AZ22" s="615">
        <v>1</v>
      </c>
      <c r="BA22" s="615">
        <v>1</v>
      </c>
      <c r="BB22" s="615">
        <v>1</v>
      </c>
      <c r="BC22" s="615">
        <v>1</v>
      </c>
      <c r="BD22" s="615">
        <v>1</v>
      </c>
      <c r="BE22" s="615">
        <v>1</v>
      </c>
      <c r="BF22" s="615">
        <v>1</v>
      </c>
      <c r="BG22" s="615">
        <v>1</v>
      </c>
      <c r="BH22" s="615">
        <v>1</v>
      </c>
      <c r="BI22" s="615">
        <v>1</v>
      </c>
      <c r="BJ22" s="615">
        <v>1</v>
      </c>
      <c r="BK22" s="615">
        <v>1</v>
      </c>
      <c r="BL22" s="615">
        <v>1</v>
      </c>
      <c r="BM22" s="615">
        <v>1</v>
      </c>
      <c r="BN22" s="615">
        <v>1</v>
      </c>
      <c r="BO22" s="864">
        <v>1</v>
      </c>
      <c r="BP22" s="864">
        <v>1</v>
      </c>
      <c r="BQ22" s="864">
        <v>1</v>
      </c>
      <c r="BR22" s="864">
        <v>1</v>
      </c>
      <c r="BS22" s="864">
        <v>1</v>
      </c>
      <c r="BT22" s="864">
        <v>1</v>
      </c>
      <c r="BU22" s="864">
        <v>1</v>
      </c>
      <c r="BV22" s="864">
        <v>1</v>
      </c>
      <c r="BW22" s="864">
        <v>1</v>
      </c>
      <c r="BX22" s="864">
        <v>1</v>
      </c>
      <c r="BY22" s="864">
        <v>1</v>
      </c>
      <c r="BZ22" s="864">
        <v>1</v>
      </c>
      <c r="CA22" s="864">
        <v>1</v>
      </c>
      <c r="CB22" s="864">
        <v>1</v>
      </c>
      <c r="CC22" s="864">
        <v>1</v>
      </c>
      <c r="CD22" s="864">
        <v>1</v>
      </c>
      <c r="CE22" s="864">
        <v>1</v>
      </c>
      <c r="CF22" s="864">
        <v>1</v>
      </c>
      <c r="CG22" s="864">
        <v>1</v>
      </c>
      <c r="CH22" s="864">
        <v>1</v>
      </c>
      <c r="CI22" s="864">
        <v>1</v>
      </c>
      <c r="CJ22" s="864">
        <v>1</v>
      </c>
      <c r="CK22" s="864">
        <v>1</v>
      </c>
      <c r="CL22" s="864">
        <v>1</v>
      </c>
      <c r="CM22" s="864">
        <v>1</v>
      </c>
      <c r="CN22" s="864">
        <v>1</v>
      </c>
      <c r="CO22" s="864">
        <v>1</v>
      </c>
      <c r="CP22" s="864">
        <v>1</v>
      </c>
      <c r="CQ22" s="864">
        <v>1</v>
      </c>
      <c r="CR22" s="864">
        <v>1</v>
      </c>
      <c r="CS22" s="615">
        <v>0</v>
      </c>
      <c r="CT22" s="615">
        <v>1</v>
      </c>
      <c r="CU22" s="615">
        <v>1</v>
      </c>
      <c r="CV22" s="615">
        <v>1</v>
      </c>
      <c r="CW22" s="615">
        <v>0</v>
      </c>
      <c r="CX22" s="615">
        <v>0</v>
      </c>
      <c r="CY22" s="615">
        <v>0</v>
      </c>
      <c r="CZ22" s="615">
        <v>1</v>
      </c>
      <c r="DA22" s="615">
        <v>1</v>
      </c>
      <c r="DB22" s="615">
        <v>0</v>
      </c>
      <c r="DC22" s="615">
        <v>0</v>
      </c>
      <c r="DD22" s="615">
        <v>0</v>
      </c>
      <c r="DE22" s="615">
        <v>0</v>
      </c>
      <c r="DF22" s="615">
        <v>1</v>
      </c>
      <c r="DG22" s="615">
        <v>1</v>
      </c>
      <c r="DH22" s="615">
        <v>1</v>
      </c>
      <c r="DI22" s="615">
        <v>1</v>
      </c>
      <c r="DJ22" s="615">
        <v>0</v>
      </c>
      <c r="DK22" s="615">
        <v>0</v>
      </c>
      <c r="DL22" s="615">
        <v>1</v>
      </c>
      <c r="DM22" s="615">
        <v>1</v>
      </c>
      <c r="DN22" s="615">
        <v>1</v>
      </c>
      <c r="DO22" s="615">
        <v>1</v>
      </c>
      <c r="DP22" s="615">
        <v>1</v>
      </c>
      <c r="DQ22" s="615">
        <v>0</v>
      </c>
      <c r="DR22" s="615">
        <v>0</v>
      </c>
      <c r="DS22" s="615">
        <v>0</v>
      </c>
      <c r="DT22" s="615">
        <v>1</v>
      </c>
      <c r="DU22" s="869"/>
      <c r="DV22" s="870"/>
      <c r="DW22" s="870"/>
      <c r="DX22" s="870"/>
      <c r="DY22" s="870"/>
      <c r="DZ22" s="870"/>
      <c r="EA22" s="870"/>
      <c r="EB22" s="870"/>
      <c r="EC22" s="870"/>
      <c r="ED22" s="870"/>
      <c r="EE22" s="870"/>
      <c r="EF22" s="870"/>
      <c r="EG22" s="870"/>
      <c r="EH22" s="870"/>
      <c r="EI22" s="870"/>
      <c r="EJ22" s="870"/>
      <c r="EK22" s="870"/>
      <c r="EL22" s="870"/>
      <c r="EM22" s="870"/>
      <c r="EN22" s="870"/>
      <c r="EO22" s="870"/>
      <c r="EP22" s="870"/>
      <c r="EQ22" s="870"/>
      <c r="ER22" s="870"/>
      <c r="ES22" s="870"/>
      <c r="ET22" s="870"/>
      <c r="EU22" s="870"/>
      <c r="EV22" s="870"/>
      <c r="EW22" s="870"/>
      <c r="EX22" s="870"/>
      <c r="EY22" s="870"/>
      <c r="EZ22" s="870"/>
      <c r="FA22" s="870"/>
      <c r="FB22" s="870"/>
      <c r="FC22" s="342"/>
    </row>
    <row r="23" spans="2:159">
      <c r="B23" s="1000" t="s">
        <v>351</v>
      </c>
      <c r="C23" s="1000"/>
      <c r="D23" s="836"/>
      <c r="E23" s="423" t="s">
        <v>75</v>
      </c>
      <c r="F23" s="424"/>
      <c r="G23" s="329" t="s">
        <v>402</v>
      </c>
      <c r="H23" s="342"/>
      <c r="I23" s="341">
        <v>180.72</v>
      </c>
      <c r="J23" s="341">
        <v>133.32</v>
      </c>
      <c r="K23" s="341">
        <v>94.44</v>
      </c>
      <c r="L23" s="341">
        <v>110.07</v>
      </c>
      <c r="M23" s="341">
        <v>87.1</v>
      </c>
      <c r="N23" s="341">
        <v>36.709850993377479</v>
      </c>
      <c r="O23" s="341">
        <v>97.875757575757589</v>
      </c>
      <c r="P23" s="341">
        <v>173.61</v>
      </c>
      <c r="Q23" s="341">
        <v>175.18</v>
      </c>
      <c r="R23" s="341">
        <v>167.43</v>
      </c>
      <c r="S23" s="341">
        <v>190.82</v>
      </c>
      <c r="T23" s="341">
        <v>211.2</v>
      </c>
      <c r="U23" s="341">
        <v>224.46</v>
      </c>
      <c r="V23" s="341">
        <v>122.07</v>
      </c>
      <c r="W23" s="341">
        <v>135.15</v>
      </c>
      <c r="X23" s="341">
        <v>135.02000000000001</v>
      </c>
      <c r="Y23" s="341">
        <v>142.93</v>
      </c>
      <c r="Z23" s="341">
        <v>153.47</v>
      </c>
      <c r="AA23" s="341">
        <v>133.93</v>
      </c>
      <c r="AB23" s="341">
        <v>129</v>
      </c>
      <c r="AC23" s="341">
        <v>104.39</v>
      </c>
      <c r="AD23" s="341">
        <v>115.61</v>
      </c>
      <c r="AE23" s="341">
        <v>112.82</v>
      </c>
      <c r="AF23" s="341">
        <v>128.79</v>
      </c>
      <c r="AG23" s="341">
        <v>138.44</v>
      </c>
      <c r="AH23" s="341">
        <v>132.91999999999999</v>
      </c>
      <c r="AI23" s="341">
        <v>114.74</v>
      </c>
      <c r="AJ23" s="341">
        <v>102.04</v>
      </c>
      <c r="AK23" s="341">
        <v>113.83</v>
      </c>
      <c r="AL23" s="341">
        <v>114.65</v>
      </c>
      <c r="AM23" s="341">
        <v>123.6</v>
      </c>
      <c r="AN23" s="341">
        <v>130.75</v>
      </c>
      <c r="AO23" s="341">
        <v>118.78</v>
      </c>
      <c r="AP23" s="341">
        <v>105.15</v>
      </c>
      <c r="AQ23" s="341">
        <v>81.22</v>
      </c>
      <c r="AR23" s="341">
        <v>85.99</v>
      </c>
      <c r="AS23" s="341">
        <v>101.6</v>
      </c>
      <c r="AT23" s="341">
        <v>123.4</v>
      </c>
      <c r="AU23" s="341">
        <v>123.4</v>
      </c>
      <c r="AV23" s="341">
        <v>70.739999999999995</v>
      </c>
      <c r="AW23" s="341">
        <v>80.36</v>
      </c>
      <c r="AX23" s="341">
        <v>68.430000000000007</v>
      </c>
      <c r="AY23" s="341">
        <v>72.86</v>
      </c>
      <c r="AZ23" s="341">
        <v>86.19</v>
      </c>
      <c r="BA23" s="341">
        <v>65.75</v>
      </c>
      <c r="BB23" s="341">
        <v>63.54</v>
      </c>
      <c r="BC23" s="341">
        <v>65.09</v>
      </c>
      <c r="BD23" s="341">
        <v>78.400000000000006</v>
      </c>
      <c r="BE23" s="341">
        <v>64.58</v>
      </c>
      <c r="BF23" s="341">
        <v>86.01</v>
      </c>
      <c r="BG23" s="341">
        <v>73.14</v>
      </c>
      <c r="BH23" s="341">
        <v>28.23</v>
      </c>
      <c r="BI23" s="341">
        <v>64.97</v>
      </c>
      <c r="BJ23" s="341">
        <v>82.3</v>
      </c>
      <c r="BK23" s="341">
        <v>67.7</v>
      </c>
      <c r="BL23" s="341">
        <v>94.11</v>
      </c>
      <c r="BM23" s="341">
        <v>73.97</v>
      </c>
      <c r="BN23" s="341">
        <v>69.930000000000007</v>
      </c>
      <c r="BO23" s="865">
        <v>297.8</v>
      </c>
      <c r="BP23" s="865">
        <v>2741</v>
      </c>
      <c r="BQ23" s="865">
        <v>9456</v>
      </c>
      <c r="BR23" s="865">
        <v>176.12</v>
      </c>
      <c r="BS23" s="865">
        <v>1283.5999999999999</v>
      </c>
      <c r="BT23" s="865">
        <v>6967</v>
      </c>
      <c r="BU23" s="865">
        <v>409.7</v>
      </c>
      <c r="BV23" s="865">
        <v>1181.7</v>
      </c>
      <c r="BW23" s="865">
        <v>3336.6</v>
      </c>
      <c r="BX23" s="865">
        <v>918.89</v>
      </c>
      <c r="BY23" s="865">
        <v>3464</v>
      </c>
      <c r="BZ23" s="865">
        <v>8624.5</v>
      </c>
      <c r="CA23" s="865">
        <v>179.9</v>
      </c>
      <c r="CB23" s="865">
        <v>712.2</v>
      </c>
      <c r="CC23" s="865">
        <v>4340.9399999999996</v>
      </c>
      <c r="CD23" s="865">
        <v>298.33999999999997</v>
      </c>
      <c r="CE23" s="865">
        <v>940</v>
      </c>
      <c r="CF23" s="865">
        <v>325.27</v>
      </c>
      <c r="CG23" s="865">
        <v>2148.6999999999998</v>
      </c>
      <c r="CH23" s="865">
        <v>8076.85</v>
      </c>
      <c r="CI23" s="865">
        <v>469.56</v>
      </c>
      <c r="CJ23" s="865">
        <v>3353.15</v>
      </c>
      <c r="CK23" s="865">
        <v>19657.400000000001</v>
      </c>
      <c r="CL23" s="865">
        <v>1999.52</v>
      </c>
      <c r="CM23" s="865">
        <v>10894.08</v>
      </c>
      <c r="CN23" s="865">
        <v>24218.560000000001</v>
      </c>
      <c r="CO23" s="865">
        <v>580.70000000000005</v>
      </c>
      <c r="CP23" s="865">
        <v>2757.01</v>
      </c>
      <c r="CQ23" s="865">
        <v>9295.2000000000007</v>
      </c>
      <c r="CR23" s="865">
        <v>80.38</v>
      </c>
      <c r="CS23" s="341">
        <v>1814.9799999999998</v>
      </c>
      <c r="CT23" s="341">
        <v>2392.92</v>
      </c>
      <c r="CU23" s="341">
        <v>5036</v>
      </c>
      <c r="CV23" s="341">
        <v>10811.93</v>
      </c>
      <c r="CW23" s="341">
        <v>82.7</v>
      </c>
      <c r="CX23" s="341">
        <v>158.08999999999997</v>
      </c>
      <c r="CY23" s="341">
        <v>1814.9799999999998</v>
      </c>
      <c r="CZ23" s="341">
        <v>5704.88</v>
      </c>
      <c r="DA23" s="341">
        <v>35207.519999999997</v>
      </c>
      <c r="DB23" s="341">
        <v>877.48</v>
      </c>
      <c r="DC23" s="341">
        <v>82.7</v>
      </c>
      <c r="DD23" s="341">
        <v>158.08999999999997</v>
      </c>
      <c r="DE23" s="341">
        <v>1680.46</v>
      </c>
      <c r="DF23" s="341">
        <v>4383</v>
      </c>
      <c r="DG23" s="341">
        <v>24631.52</v>
      </c>
      <c r="DH23" s="341">
        <v>24436.33</v>
      </c>
      <c r="DI23" s="341">
        <v>3792.4500000000003</v>
      </c>
      <c r="DJ23" s="341">
        <v>158.08999999999997</v>
      </c>
      <c r="DK23" s="341">
        <v>2360</v>
      </c>
      <c r="DL23" s="341">
        <v>3833</v>
      </c>
      <c r="DM23" s="341">
        <v>8511.6</v>
      </c>
      <c r="DN23" s="341">
        <v>15729</v>
      </c>
      <c r="DO23" s="341">
        <v>3154.25</v>
      </c>
      <c r="DP23" s="341">
        <v>8714.7799999999988</v>
      </c>
      <c r="DQ23" s="341">
        <v>82.7</v>
      </c>
      <c r="DR23" s="341">
        <v>158.08999999999997</v>
      </c>
      <c r="DS23" s="341">
        <v>1553.2399999999998</v>
      </c>
      <c r="DT23" s="341">
        <v>23023.339999999997</v>
      </c>
      <c r="DU23" s="486"/>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425"/>
    </row>
    <row r="24" spans="2:159">
      <c r="B24" s="1000" t="s">
        <v>351</v>
      </c>
      <c r="C24" s="1000"/>
      <c r="D24" s="836"/>
      <c r="E24" s="423" t="s">
        <v>919</v>
      </c>
      <c r="F24" s="424"/>
      <c r="G24" s="329" t="s">
        <v>65</v>
      </c>
      <c r="H24" s="342"/>
      <c r="I24" s="341" t="s">
        <v>920</v>
      </c>
      <c r="J24" s="341" t="s">
        <v>920</v>
      </c>
      <c r="K24" s="341" t="s">
        <v>920</v>
      </c>
      <c r="L24" s="341" t="s">
        <v>920</v>
      </c>
      <c r="M24" s="341" t="s">
        <v>920</v>
      </c>
      <c r="N24" s="341" t="s">
        <v>920</v>
      </c>
      <c r="O24" s="341" t="s">
        <v>920</v>
      </c>
      <c r="P24" s="341" t="s">
        <v>429</v>
      </c>
      <c r="Q24" s="341" t="s">
        <v>428</v>
      </c>
      <c r="R24" s="341" t="s">
        <v>427</v>
      </c>
      <c r="S24" s="341" t="s">
        <v>426</v>
      </c>
      <c r="T24" s="341" t="s">
        <v>920</v>
      </c>
      <c r="U24" s="341" t="s">
        <v>952</v>
      </c>
      <c r="V24" s="341" t="s">
        <v>429</v>
      </c>
      <c r="W24" s="341" t="s">
        <v>428</v>
      </c>
      <c r="X24" s="341" t="s">
        <v>427</v>
      </c>
      <c r="Y24" s="341" t="s">
        <v>426</v>
      </c>
      <c r="Z24" s="341" t="s">
        <v>920</v>
      </c>
      <c r="AA24" s="341" t="s">
        <v>952</v>
      </c>
      <c r="AB24" s="341" t="s">
        <v>429</v>
      </c>
      <c r="AC24" s="341" t="s">
        <v>429</v>
      </c>
      <c r="AD24" s="341" t="s">
        <v>428</v>
      </c>
      <c r="AE24" s="341" t="s">
        <v>427</v>
      </c>
      <c r="AF24" s="341" t="s">
        <v>426</v>
      </c>
      <c r="AG24" s="341" t="s">
        <v>920</v>
      </c>
      <c r="AH24" s="341" t="s">
        <v>952</v>
      </c>
      <c r="AI24" s="341" t="s">
        <v>429</v>
      </c>
      <c r="AJ24" s="341" t="s">
        <v>429</v>
      </c>
      <c r="AK24" s="341" t="s">
        <v>428</v>
      </c>
      <c r="AL24" s="341" t="s">
        <v>427</v>
      </c>
      <c r="AM24" s="341" t="s">
        <v>426</v>
      </c>
      <c r="AN24" s="341" t="s">
        <v>920</v>
      </c>
      <c r="AO24" s="341" t="s">
        <v>952</v>
      </c>
      <c r="AP24" s="341" t="s">
        <v>429</v>
      </c>
      <c r="AQ24" s="341" t="s">
        <v>428</v>
      </c>
      <c r="AR24" s="341" t="s">
        <v>427</v>
      </c>
      <c r="AS24" s="341" t="s">
        <v>426</v>
      </c>
      <c r="AT24" s="341" t="s">
        <v>920</v>
      </c>
      <c r="AU24" s="341" t="s">
        <v>952</v>
      </c>
      <c r="AV24" s="341" t="s">
        <v>429</v>
      </c>
      <c r="AW24" s="341" t="s">
        <v>428</v>
      </c>
      <c r="AX24" s="341" t="s">
        <v>427</v>
      </c>
      <c r="AY24" s="341" t="s">
        <v>426</v>
      </c>
      <c r="AZ24" s="341" t="s">
        <v>920</v>
      </c>
      <c r="BA24" s="341" t="s">
        <v>952</v>
      </c>
      <c r="BB24" s="341" t="s">
        <v>429</v>
      </c>
      <c r="BC24" s="341" t="s">
        <v>429</v>
      </c>
      <c r="BD24" s="341" t="s">
        <v>428</v>
      </c>
      <c r="BE24" s="341" t="s">
        <v>427</v>
      </c>
      <c r="BF24" s="341" t="s">
        <v>426</v>
      </c>
      <c r="BG24" s="341" t="s">
        <v>920</v>
      </c>
      <c r="BH24" s="341" t="s">
        <v>952</v>
      </c>
      <c r="BI24" s="341" t="s">
        <v>429</v>
      </c>
      <c r="BJ24" s="341" t="s">
        <v>428</v>
      </c>
      <c r="BK24" s="341" t="s">
        <v>427</v>
      </c>
      <c r="BL24" s="341" t="s">
        <v>426</v>
      </c>
      <c r="BM24" s="341" t="s">
        <v>920</v>
      </c>
      <c r="BN24" s="341" t="s">
        <v>952</v>
      </c>
      <c r="BO24" s="865" t="s">
        <v>426</v>
      </c>
      <c r="BP24" s="865" t="s">
        <v>426</v>
      </c>
      <c r="BQ24" s="865" t="s">
        <v>426</v>
      </c>
      <c r="BR24" s="865" t="s">
        <v>426</v>
      </c>
      <c r="BS24" s="865" t="s">
        <v>426</v>
      </c>
      <c r="BT24" s="865" t="s">
        <v>426</v>
      </c>
      <c r="BU24" s="865" t="s">
        <v>426</v>
      </c>
      <c r="BV24" s="865" t="s">
        <v>426</v>
      </c>
      <c r="BW24" s="865" t="s">
        <v>426</v>
      </c>
      <c r="BX24" s="865" t="s">
        <v>426</v>
      </c>
      <c r="BY24" s="865" t="s">
        <v>426</v>
      </c>
      <c r="BZ24" s="865" t="s">
        <v>426</v>
      </c>
      <c r="CA24" s="865" t="s">
        <v>426</v>
      </c>
      <c r="CB24" s="865" t="s">
        <v>426</v>
      </c>
      <c r="CC24" s="865" t="s">
        <v>426</v>
      </c>
      <c r="CD24" s="865" t="s">
        <v>426</v>
      </c>
      <c r="CE24" s="865" t="s">
        <v>426</v>
      </c>
      <c r="CF24" s="865" t="s">
        <v>426</v>
      </c>
      <c r="CG24" s="865" t="s">
        <v>426</v>
      </c>
      <c r="CH24" s="865" t="s">
        <v>426</v>
      </c>
      <c r="CI24" s="865" t="s">
        <v>426</v>
      </c>
      <c r="CJ24" s="865" t="s">
        <v>426</v>
      </c>
      <c r="CK24" s="865" t="s">
        <v>426</v>
      </c>
      <c r="CL24" s="865" t="s">
        <v>426</v>
      </c>
      <c r="CM24" s="865" t="s">
        <v>426</v>
      </c>
      <c r="CN24" s="865" t="s">
        <v>426</v>
      </c>
      <c r="CO24" s="865" t="s">
        <v>426</v>
      </c>
      <c r="CP24" s="865" t="s">
        <v>426</v>
      </c>
      <c r="CQ24" s="865" t="s">
        <v>426</v>
      </c>
      <c r="CR24" s="865" t="s">
        <v>426</v>
      </c>
      <c r="CS24" s="341" t="s">
        <v>920</v>
      </c>
      <c r="CT24" s="341" t="s">
        <v>920</v>
      </c>
      <c r="CU24" s="341" t="s">
        <v>920</v>
      </c>
      <c r="CV24" s="341" t="s">
        <v>920</v>
      </c>
      <c r="CW24" s="341" t="s">
        <v>920</v>
      </c>
      <c r="CX24" s="341" t="s">
        <v>920</v>
      </c>
      <c r="CY24" s="341" t="s">
        <v>920</v>
      </c>
      <c r="CZ24" s="341" t="s">
        <v>920</v>
      </c>
      <c r="DA24" s="341" t="s">
        <v>920</v>
      </c>
      <c r="DB24" s="341" t="s">
        <v>920</v>
      </c>
      <c r="DC24" s="341" t="s">
        <v>920</v>
      </c>
      <c r="DD24" s="341" t="s">
        <v>920</v>
      </c>
      <c r="DE24" s="341" t="s">
        <v>920</v>
      </c>
      <c r="DF24" s="341" t="s">
        <v>920</v>
      </c>
      <c r="DG24" s="341" t="s">
        <v>920</v>
      </c>
      <c r="DH24" s="341" t="s">
        <v>920</v>
      </c>
      <c r="DI24" s="341" t="s">
        <v>920</v>
      </c>
      <c r="DJ24" s="341" t="s">
        <v>920</v>
      </c>
      <c r="DK24" s="341" t="s">
        <v>920</v>
      </c>
      <c r="DL24" s="341" t="s">
        <v>920</v>
      </c>
      <c r="DM24" s="341" t="s">
        <v>920</v>
      </c>
      <c r="DN24" s="341" t="s">
        <v>920</v>
      </c>
      <c r="DO24" s="341" t="s">
        <v>920</v>
      </c>
      <c r="DP24" s="341" t="s">
        <v>920</v>
      </c>
      <c r="DQ24" s="341" t="s">
        <v>920</v>
      </c>
      <c r="DR24" s="341" t="s">
        <v>920</v>
      </c>
      <c r="DS24" s="341" t="s">
        <v>920</v>
      </c>
      <c r="DT24" s="341" t="s">
        <v>920</v>
      </c>
      <c r="DU24" s="486"/>
      <c r="DV24" s="314"/>
      <c r="DW24" s="314"/>
      <c r="DX24" s="314"/>
      <c r="DY24" s="314"/>
      <c r="DZ24" s="314"/>
      <c r="EA24" s="314"/>
      <c r="EB24" s="314" t="s">
        <v>424</v>
      </c>
      <c r="EC24" s="314" t="s">
        <v>424</v>
      </c>
      <c r="ED24" s="314" t="s">
        <v>424</v>
      </c>
      <c r="EE24" s="314" t="s">
        <v>424</v>
      </c>
      <c r="EF24" s="314" t="s">
        <v>424</v>
      </c>
      <c r="EG24" s="314" t="s">
        <v>424</v>
      </c>
      <c r="EH24" s="314" t="s">
        <v>424</v>
      </c>
      <c r="EI24" s="314" t="s">
        <v>424</v>
      </c>
      <c r="EJ24" s="314" t="s">
        <v>424</v>
      </c>
      <c r="EK24" s="314" t="s">
        <v>424</v>
      </c>
      <c r="EL24" s="314" t="s">
        <v>424</v>
      </c>
      <c r="EM24" s="314" t="s">
        <v>424</v>
      </c>
      <c r="EN24" s="314" t="s">
        <v>424</v>
      </c>
      <c r="EO24" s="314" t="s">
        <v>424</v>
      </c>
      <c r="EP24" s="314" t="s">
        <v>424</v>
      </c>
      <c r="EQ24" s="314" t="s">
        <v>424</v>
      </c>
      <c r="ER24" s="314" t="s">
        <v>424</v>
      </c>
      <c r="ES24" s="314" t="s">
        <v>424</v>
      </c>
      <c r="ET24" s="314" t="s">
        <v>424</v>
      </c>
      <c r="EU24" s="314" t="s">
        <v>424</v>
      </c>
      <c r="EV24" s="314" t="s">
        <v>424</v>
      </c>
      <c r="EW24" s="314" t="s">
        <v>424</v>
      </c>
      <c r="EX24" s="314" t="s">
        <v>424</v>
      </c>
      <c r="EY24" s="314" t="s">
        <v>424</v>
      </c>
      <c r="EZ24" s="314" t="s">
        <v>424</v>
      </c>
      <c r="FA24" s="314" t="s">
        <v>424</v>
      </c>
      <c r="FB24" s="314" t="s">
        <v>424</v>
      </c>
      <c r="FC24" s="425"/>
    </row>
    <row r="25" spans="2:159" ht="18.75">
      <c r="B25" s="1000" t="s">
        <v>351</v>
      </c>
      <c r="C25" s="1000"/>
      <c r="D25" s="836"/>
      <c r="E25" s="529" t="s">
        <v>403</v>
      </c>
      <c r="F25" s="338"/>
      <c r="G25" s="529"/>
      <c r="H25" s="530"/>
      <c r="I25" s="530"/>
      <c r="J25" s="530"/>
      <c r="K25" s="530"/>
      <c r="L25" s="530"/>
      <c r="M25" s="530"/>
      <c r="N25" s="530"/>
      <c r="O25" s="530"/>
      <c r="P25" s="530"/>
      <c r="Q25" s="530"/>
      <c r="R25" s="530"/>
      <c r="S25" s="530"/>
      <c r="T25" s="530"/>
      <c r="U25" s="530"/>
      <c r="V25" s="530"/>
      <c r="W25" s="530"/>
      <c r="X25" s="530"/>
      <c r="Y25" s="530"/>
      <c r="Z25" s="530"/>
      <c r="AA25" s="530"/>
      <c r="AB25" s="530"/>
      <c r="AC25" s="530"/>
      <c r="AD25" s="530"/>
      <c r="AE25" s="530"/>
      <c r="AF25" s="530"/>
      <c r="AG25" s="530"/>
      <c r="AH25" s="530"/>
      <c r="AI25" s="530"/>
      <c r="AJ25" s="530"/>
      <c r="AK25" s="530"/>
      <c r="AL25" s="530"/>
      <c r="AM25" s="530"/>
      <c r="AN25" s="530"/>
      <c r="AO25" s="530"/>
      <c r="AP25" s="530"/>
      <c r="AQ25" s="530"/>
      <c r="AR25" s="530"/>
      <c r="AS25" s="530"/>
      <c r="AT25" s="530"/>
      <c r="AU25" s="530"/>
      <c r="AV25" s="530"/>
      <c r="AW25" s="530"/>
      <c r="AX25" s="530"/>
      <c r="AY25" s="530"/>
      <c r="AZ25" s="530"/>
      <c r="BA25" s="530"/>
      <c r="BB25" s="530"/>
      <c r="BC25" s="530"/>
      <c r="BD25" s="530"/>
      <c r="BE25" s="530"/>
      <c r="BF25" s="530"/>
      <c r="BG25" s="530"/>
      <c r="BH25" s="530"/>
      <c r="BI25" s="530"/>
      <c r="BJ25" s="530"/>
      <c r="BK25" s="530"/>
      <c r="BL25" s="530"/>
      <c r="BM25" s="530"/>
      <c r="BN25" s="530"/>
      <c r="BO25" s="530"/>
      <c r="BP25" s="530"/>
      <c r="BQ25" s="530"/>
      <c r="BR25" s="530"/>
      <c r="BS25" s="530"/>
      <c r="BT25" s="530"/>
      <c r="BU25" s="530"/>
      <c r="BV25" s="530"/>
      <c r="BW25" s="530"/>
      <c r="BX25" s="530"/>
      <c r="BY25" s="530"/>
      <c r="BZ25" s="530"/>
      <c r="CA25" s="530"/>
      <c r="CB25" s="530"/>
      <c r="CC25" s="530"/>
      <c r="CD25" s="530"/>
      <c r="CE25" s="530"/>
      <c r="CF25" s="530"/>
      <c r="CG25" s="530"/>
      <c r="CH25" s="530"/>
      <c r="CI25" s="530"/>
      <c r="CJ25" s="530"/>
      <c r="CK25" s="530"/>
      <c r="CL25" s="530"/>
      <c r="CM25" s="530"/>
      <c r="CN25" s="530"/>
      <c r="CO25" s="530"/>
      <c r="CP25" s="530"/>
      <c r="CQ25" s="530"/>
      <c r="CR25" s="530"/>
      <c r="CS25" s="530"/>
      <c r="CT25" s="530"/>
      <c r="CU25" s="530"/>
      <c r="CV25" s="530"/>
      <c r="CW25" s="530"/>
      <c r="CX25" s="530"/>
      <c r="CY25" s="530"/>
      <c r="CZ25" s="530"/>
      <c r="DA25" s="530"/>
      <c r="DB25" s="530"/>
      <c r="DC25" s="530"/>
      <c r="DD25" s="530"/>
      <c r="DE25" s="530"/>
      <c r="DF25" s="530"/>
      <c r="DG25" s="530"/>
      <c r="DH25" s="530"/>
      <c r="DI25" s="530"/>
      <c r="DJ25" s="530"/>
      <c r="DK25" s="530"/>
      <c r="DL25" s="530"/>
      <c r="DM25" s="530"/>
      <c r="DN25" s="530"/>
      <c r="DO25" s="530"/>
      <c r="DP25" s="530"/>
      <c r="DQ25" s="530"/>
      <c r="DR25" s="530"/>
      <c r="DS25" s="530"/>
      <c r="DT25" s="530"/>
      <c r="DU25" s="537"/>
      <c r="DV25" s="537"/>
      <c r="DW25" s="537"/>
      <c r="DX25" s="537"/>
      <c r="DY25" s="537"/>
      <c r="DZ25" s="537"/>
      <c r="EA25" s="537"/>
      <c r="EB25" s="537"/>
      <c r="EC25" s="537"/>
      <c r="ED25" s="537"/>
      <c r="EE25" s="537"/>
      <c r="EF25" s="537"/>
      <c r="EG25" s="537"/>
      <c r="EH25" s="537"/>
      <c r="EI25" s="537"/>
      <c r="EJ25" s="537"/>
      <c r="EK25" s="537"/>
      <c r="EL25" s="537"/>
      <c r="EM25" s="537"/>
      <c r="EN25" s="537"/>
      <c r="EO25" s="537"/>
      <c r="EP25" s="537"/>
      <c r="EQ25" s="537"/>
      <c r="ER25" s="537"/>
      <c r="ES25" s="537"/>
      <c r="ET25" s="537"/>
      <c r="EU25" s="537"/>
      <c r="EV25" s="537"/>
      <c r="EW25" s="537"/>
      <c r="EX25" s="537"/>
      <c r="EY25" s="537"/>
      <c r="EZ25" s="537"/>
      <c r="FA25" s="537"/>
      <c r="FB25" s="537"/>
      <c r="FC25" s="530"/>
    </row>
    <row r="26" spans="2:159">
      <c r="B26" s="1000" t="s">
        <v>351</v>
      </c>
      <c r="C26" s="1000"/>
      <c r="D26" s="836"/>
      <c r="E26" s="423" t="s">
        <v>404</v>
      </c>
      <c r="F26" s="424"/>
      <c r="G26" s="329" t="s">
        <v>402</v>
      </c>
      <c r="H26" s="342"/>
      <c r="I26" s="426">
        <v>71.3</v>
      </c>
      <c r="J26" s="426">
        <v>48.7</v>
      </c>
      <c r="K26" s="426">
        <v>60.96</v>
      </c>
      <c r="L26" s="426">
        <v>41.42</v>
      </c>
      <c r="M26" s="426">
        <v>60.3</v>
      </c>
      <c r="N26" s="426">
        <v>4.4385761589403971</v>
      </c>
      <c r="O26" s="426">
        <v>17.031515151515151</v>
      </c>
      <c r="P26" s="426">
        <v>104.99</v>
      </c>
      <c r="Q26" s="426">
        <v>108.71</v>
      </c>
      <c r="R26" s="426">
        <v>101.18</v>
      </c>
      <c r="S26" s="426">
        <v>105.49</v>
      </c>
      <c r="T26" s="426">
        <v>115.83</v>
      </c>
      <c r="U26" s="426">
        <v>99.17</v>
      </c>
      <c r="V26" s="426">
        <v>66.69</v>
      </c>
      <c r="W26" s="426">
        <v>65.75</v>
      </c>
      <c r="X26" s="426">
        <v>65.52</v>
      </c>
      <c r="Y26" s="426">
        <v>72.02</v>
      </c>
      <c r="Z26" s="426">
        <v>68.87</v>
      </c>
      <c r="AA26" s="426">
        <v>64.760000000000005</v>
      </c>
      <c r="AB26" s="426">
        <v>60.66</v>
      </c>
      <c r="AC26" s="426">
        <v>50.57</v>
      </c>
      <c r="AD26" s="426">
        <v>54.32</v>
      </c>
      <c r="AE26" s="426">
        <v>54.66</v>
      </c>
      <c r="AF26" s="426">
        <v>66.27</v>
      </c>
      <c r="AG26" s="426">
        <v>59.14</v>
      </c>
      <c r="AH26" s="426">
        <v>61.75</v>
      </c>
      <c r="AI26" s="426">
        <v>53.01</v>
      </c>
      <c r="AJ26" s="426">
        <v>47.2</v>
      </c>
      <c r="AK26" s="426">
        <v>51.25</v>
      </c>
      <c r="AL26" s="426">
        <v>51.86</v>
      </c>
      <c r="AM26" s="426">
        <v>54.05</v>
      </c>
      <c r="AN26" s="426">
        <v>55.69</v>
      </c>
      <c r="AO26" s="426">
        <v>52.8</v>
      </c>
      <c r="AP26" s="426">
        <v>52.58</v>
      </c>
      <c r="AQ26" s="426">
        <v>40.61</v>
      </c>
      <c r="AR26" s="426">
        <v>43</v>
      </c>
      <c r="AS26" s="426">
        <v>50.8</v>
      </c>
      <c r="AT26" s="426">
        <v>61.7</v>
      </c>
      <c r="AU26" s="426">
        <v>61.7</v>
      </c>
      <c r="AV26" s="426">
        <v>70.739999999999995</v>
      </c>
      <c r="AW26" s="426">
        <v>80.36</v>
      </c>
      <c r="AX26" s="426">
        <v>68.430000000000007</v>
      </c>
      <c r="AY26" s="426">
        <v>72.86</v>
      </c>
      <c r="AZ26" s="426">
        <v>86.19</v>
      </c>
      <c r="BA26" s="426">
        <v>65.75</v>
      </c>
      <c r="BB26" s="426">
        <v>63.54</v>
      </c>
      <c r="BC26" s="426">
        <v>65.09</v>
      </c>
      <c r="BD26" s="426">
        <v>78.400000000000006</v>
      </c>
      <c r="BE26" s="426">
        <v>64.58</v>
      </c>
      <c r="BF26" s="426">
        <v>86.01</v>
      </c>
      <c r="BG26" s="426">
        <v>73.14</v>
      </c>
      <c r="BH26" s="426">
        <v>28.23</v>
      </c>
      <c r="BI26" s="426">
        <v>64.97</v>
      </c>
      <c r="BJ26" s="426">
        <v>82.3</v>
      </c>
      <c r="BK26" s="426">
        <v>67.7</v>
      </c>
      <c r="BL26" s="426">
        <v>94.11</v>
      </c>
      <c r="BM26" s="426">
        <v>73.97</v>
      </c>
      <c r="BN26" s="426">
        <v>69.930000000000007</v>
      </c>
      <c r="BO26" s="866">
        <v>255</v>
      </c>
      <c r="BP26" s="866">
        <v>748</v>
      </c>
      <c r="BQ26" s="866">
        <v>1788</v>
      </c>
      <c r="BR26" s="866">
        <v>176.1</v>
      </c>
      <c r="BS26" s="866">
        <v>1283.5999999999999</v>
      </c>
      <c r="BT26" s="866">
        <v>4190</v>
      </c>
      <c r="BU26" s="866">
        <v>408.8</v>
      </c>
      <c r="BV26" s="866">
        <v>948.34</v>
      </c>
      <c r="BW26" s="866">
        <v>3173.37</v>
      </c>
      <c r="BX26" s="866">
        <v>870.97</v>
      </c>
      <c r="BY26" s="866">
        <v>2383</v>
      </c>
      <c r="BZ26" s="866">
        <v>3534.73</v>
      </c>
      <c r="CA26" s="866">
        <v>179.9</v>
      </c>
      <c r="CB26" s="866">
        <v>451.72</v>
      </c>
      <c r="CC26" s="866">
        <v>2245.5</v>
      </c>
      <c r="CD26" s="866">
        <v>298.33999999999997</v>
      </c>
      <c r="CE26" s="866">
        <v>940</v>
      </c>
      <c r="CF26" s="866">
        <v>235.87</v>
      </c>
      <c r="CG26" s="866">
        <v>951</v>
      </c>
      <c r="CH26" s="866">
        <v>2641.19</v>
      </c>
      <c r="CI26" s="866">
        <v>469.56</v>
      </c>
      <c r="CJ26" s="866">
        <v>0</v>
      </c>
      <c r="CK26" s="866">
        <v>7307.5</v>
      </c>
      <c r="CL26" s="866">
        <v>719.83</v>
      </c>
      <c r="CM26" s="866">
        <v>3763.21</v>
      </c>
      <c r="CN26" s="866">
        <v>8379.32</v>
      </c>
      <c r="CO26" s="866">
        <v>213.95</v>
      </c>
      <c r="CP26" s="866">
        <v>760.7</v>
      </c>
      <c r="CQ26" s="866">
        <v>1675</v>
      </c>
      <c r="CR26" s="866">
        <v>55.18</v>
      </c>
      <c r="CS26" s="426">
        <v>1121</v>
      </c>
      <c r="CT26" s="426">
        <v>1572</v>
      </c>
      <c r="CU26" s="426">
        <v>2828.2</v>
      </c>
      <c r="CV26" s="426">
        <v>3461.79</v>
      </c>
      <c r="CW26" s="426">
        <v>80.5</v>
      </c>
      <c r="CX26" s="426">
        <v>80.5</v>
      </c>
      <c r="CY26" s="426">
        <v>1121</v>
      </c>
      <c r="CZ26" s="426">
        <v>1462.2800000000002</v>
      </c>
      <c r="DA26" s="426">
        <v>7237.57</v>
      </c>
      <c r="DB26" s="426">
        <v>589.19000000000005</v>
      </c>
      <c r="DC26" s="426">
        <v>80.5</v>
      </c>
      <c r="DD26" s="426">
        <v>80.5</v>
      </c>
      <c r="DE26" s="426">
        <v>568.4</v>
      </c>
      <c r="DF26" s="426">
        <v>934.8</v>
      </c>
      <c r="DG26" s="426">
        <v>1975.8</v>
      </c>
      <c r="DH26" s="426">
        <v>4322</v>
      </c>
      <c r="DI26" s="426">
        <v>636.4</v>
      </c>
      <c r="DJ26" s="426">
        <v>80.5</v>
      </c>
      <c r="DK26" s="426">
        <v>1396</v>
      </c>
      <c r="DL26" s="426">
        <v>2019</v>
      </c>
      <c r="DM26" s="426">
        <v>3596.4</v>
      </c>
      <c r="DN26" s="426">
        <v>2427.84</v>
      </c>
      <c r="DO26" s="426">
        <v>2224</v>
      </c>
      <c r="DP26" s="426">
        <v>6897.64</v>
      </c>
      <c r="DQ26" s="426">
        <v>80.5</v>
      </c>
      <c r="DR26" s="426">
        <v>80.5</v>
      </c>
      <c r="DS26" s="426">
        <v>1459.89</v>
      </c>
      <c r="DT26" s="426">
        <v>18590.400000000001</v>
      </c>
      <c r="DU26" s="486"/>
      <c r="DV26" s="486"/>
      <c r="DW26" s="486"/>
      <c r="DX26" s="486"/>
      <c r="DY26" s="314"/>
      <c r="DZ26" s="486"/>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425"/>
    </row>
    <row r="27" spans="2:159">
      <c r="B27" s="1000" t="s">
        <v>351</v>
      </c>
      <c r="C27" s="1000"/>
      <c r="D27" s="836"/>
      <c r="E27" s="423" t="s">
        <v>405</v>
      </c>
      <c r="F27" s="424"/>
      <c r="G27" s="329" t="s">
        <v>402</v>
      </c>
      <c r="H27" s="329"/>
      <c r="I27" s="426">
        <v>178.16000000000003</v>
      </c>
      <c r="J27" s="426">
        <v>113.25999999999999</v>
      </c>
      <c r="K27" s="426">
        <v>90.039999999999978</v>
      </c>
      <c r="L27" s="426">
        <v>41.56</v>
      </c>
      <c r="M27" s="426">
        <v>54.47</v>
      </c>
      <c r="N27" s="426">
        <v>7.112450331125828</v>
      </c>
      <c r="O27" s="426">
        <v>39.976212121212122</v>
      </c>
      <c r="P27" s="426">
        <v>145.97999999999999</v>
      </c>
      <c r="Q27" s="426">
        <v>136.58000000000001</v>
      </c>
      <c r="R27" s="426">
        <v>127.5</v>
      </c>
      <c r="S27" s="426">
        <v>141.47999999999999</v>
      </c>
      <c r="T27" s="426">
        <v>157.44</v>
      </c>
      <c r="U27" s="426">
        <v>168.32</v>
      </c>
      <c r="V27" s="426">
        <v>87.72</v>
      </c>
      <c r="W27" s="426">
        <v>96.78</v>
      </c>
      <c r="X27" s="426">
        <v>94.3</v>
      </c>
      <c r="Y27" s="426">
        <v>103.22</v>
      </c>
      <c r="Z27" s="426">
        <v>100.88</v>
      </c>
      <c r="AA27" s="426">
        <v>81.64</v>
      </c>
      <c r="AB27" s="426">
        <v>95.6</v>
      </c>
      <c r="AC27" s="426">
        <v>84.88</v>
      </c>
      <c r="AD27" s="426">
        <v>85.72</v>
      </c>
      <c r="AE27" s="426">
        <v>86.42</v>
      </c>
      <c r="AF27" s="426">
        <v>100.96</v>
      </c>
      <c r="AG27" s="426">
        <v>103.34</v>
      </c>
      <c r="AH27" s="426">
        <v>107.2</v>
      </c>
      <c r="AI27" s="426">
        <v>46.75</v>
      </c>
      <c r="AJ27" s="426">
        <v>41.6</v>
      </c>
      <c r="AK27" s="426">
        <v>40.71</v>
      </c>
      <c r="AL27" s="426">
        <v>41.75</v>
      </c>
      <c r="AM27" s="426">
        <v>51.35</v>
      </c>
      <c r="AN27" s="426">
        <v>48.51</v>
      </c>
      <c r="AO27" s="426">
        <v>51.52</v>
      </c>
      <c r="AP27" s="426">
        <v>38.025000000000006</v>
      </c>
      <c r="AQ27" s="426">
        <v>26.655000000000001</v>
      </c>
      <c r="AR27" s="426">
        <v>33.06</v>
      </c>
      <c r="AS27" s="426">
        <v>34.905000000000001</v>
      </c>
      <c r="AT27" s="426">
        <v>50.025000000000006</v>
      </c>
      <c r="AU27" s="426">
        <v>50.025000000000006</v>
      </c>
      <c r="AV27" s="426">
        <v>14.556000000000001</v>
      </c>
      <c r="AW27" s="426">
        <v>15.525</v>
      </c>
      <c r="AX27" s="426">
        <v>20.1875</v>
      </c>
      <c r="AY27" s="426">
        <v>18.350000000000001</v>
      </c>
      <c r="AZ27" s="426">
        <v>18.335999999999999</v>
      </c>
      <c r="BA27" s="426">
        <v>18.994285714285716</v>
      </c>
      <c r="BB27" s="426">
        <v>23.599999999999998</v>
      </c>
      <c r="BC27" s="426">
        <v>24.22666666666667</v>
      </c>
      <c r="BD27" s="426">
        <v>22.5625</v>
      </c>
      <c r="BE27" s="426">
        <v>20.546666666666667</v>
      </c>
      <c r="BF27" s="426">
        <v>23.319999999999997</v>
      </c>
      <c r="BG27" s="426">
        <v>17.68</v>
      </c>
      <c r="BH27" s="426">
        <v>15.053333333333333</v>
      </c>
      <c r="BI27" s="426">
        <v>15.984</v>
      </c>
      <c r="BJ27" s="426">
        <v>18.445714285714285</v>
      </c>
      <c r="BK27" s="426">
        <v>17.856000000000002</v>
      </c>
      <c r="BL27" s="426">
        <v>25.112500000000001</v>
      </c>
      <c r="BM27" s="426">
        <v>15.036</v>
      </c>
      <c r="BN27" s="426">
        <v>12.705</v>
      </c>
      <c r="BO27" s="866">
        <v>127.34</v>
      </c>
      <c r="BP27" s="866">
        <v>1419.32</v>
      </c>
      <c r="BQ27" s="866">
        <v>4393.6000000000004</v>
      </c>
      <c r="BR27" s="866">
        <v>74.510000000000005</v>
      </c>
      <c r="BS27" s="866">
        <v>588.21</v>
      </c>
      <c r="BT27" s="866">
        <v>1457.3</v>
      </c>
      <c r="BU27" s="866">
        <v>308.70999999999998</v>
      </c>
      <c r="BV27" s="866">
        <v>810.12</v>
      </c>
      <c r="BW27" s="866">
        <v>1539.68</v>
      </c>
      <c r="BX27" s="866">
        <v>559.06999999999994</v>
      </c>
      <c r="BY27" s="866">
        <v>1177.73</v>
      </c>
      <c r="BZ27" s="866">
        <v>3344.24</v>
      </c>
      <c r="CA27" s="866">
        <v>121.97999999999999</v>
      </c>
      <c r="CB27" s="866">
        <v>411.56</v>
      </c>
      <c r="CC27" s="866">
        <v>2506.21</v>
      </c>
      <c r="CD27" s="866">
        <v>152.71</v>
      </c>
      <c r="CE27" s="866">
        <v>430.51</v>
      </c>
      <c r="CF27" s="866">
        <v>178.21</v>
      </c>
      <c r="CG27" s="866">
        <v>870.5</v>
      </c>
      <c r="CH27" s="866">
        <v>3419.12</v>
      </c>
      <c r="CI27" s="866">
        <v>233.9</v>
      </c>
      <c r="CJ27" s="866">
        <v>1151.51</v>
      </c>
      <c r="CK27" s="866">
        <v>4989</v>
      </c>
      <c r="CL27" s="866">
        <v>1049.57</v>
      </c>
      <c r="CM27" s="866">
        <v>3704.25</v>
      </c>
      <c r="CN27" s="866">
        <v>7992.65</v>
      </c>
      <c r="CO27" s="866">
        <v>456.91</v>
      </c>
      <c r="CP27" s="866">
        <v>1133.43</v>
      </c>
      <c r="CQ27" s="866">
        <v>4712.76</v>
      </c>
      <c r="CR27" s="866">
        <v>51.63</v>
      </c>
      <c r="CS27" s="426">
        <v>447.8</v>
      </c>
      <c r="CT27" s="426">
        <v>950</v>
      </c>
      <c r="CU27" s="426">
        <v>1348.08</v>
      </c>
      <c r="CV27" s="426">
        <v>4427.46</v>
      </c>
      <c r="CW27" s="426">
        <v>66.25</v>
      </c>
      <c r="CX27" s="426">
        <v>154.85</v>
      </c>
      <c r="CY27" s="426">
        <v>447.8</v>
      </c>
      <c r="CZ27" s="426">
        <v>1370.91</v>
      </c>
      <c r="DA27" s="426">
        <v>7353.4800000000005</v>
      </c>
      <c r="DB27" s="426">
        <v>448.95000000000005</v>
      </c>
      <c r="DC27" s="426">
        <v>66.25</v>
      </c>
      <c r="DD27" s="426">
        <v>154.85</v>
      </c>
      <c r="DE27" s="426">
        <v>509.2</v>
      </c>
      <c r="DF27" s="426">
        <v>1495.6</v>
      </c>
      <c r="DG27" s="426">
        <v>2342.2999999999997</v>
      </c>
      <c r="DH27" s="426">
        <v>2291.8000000000002</v>
      </c>
      <c r="DI27" s="426">
        <v>1851.1899999999998</v>
      </c>
      <c r="DJ27" s="426">
        <v>154.85</v>
      </c>
      <c r="DK27" s="426">
        <v>1174.6000000000001</v>
      </c>
      <c r="DL27" s="426">
        <v>1438.8500000000001</v>
      </c>
      <c r="DM27" s="426">
        <v>2212.4</v>
      </c>
      <c r="DN27" s="426">
        <v>2185.1</v>
      </c>
      <c r="DO27" s="426">
        <v>403.4</v>
      </c>
      <c r="DP27" s="426">
        <v>3101.7400000000002</v>
      </c>
      <c r="DQ27" s="426">
        <v>66.25</v>
      </c>
      <c r="DR27" s="426">
        <v>154.85</v>
      </c>
      <c r="DS27" s="426">
        <v>702.63</v>
      </c>
      <c r="DT27" s="426">
        <v>2588.0199999999995</v>
      </c>
      <c r="DU27" s="486"/>
      <c r="DV27" s="486"/>
      <c r="DW27" s="486"/>
      <c r="DX27" s="486"/>
      <c r="DY27" s="314"/>
      <c r="DZ27" s="486"/>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425"/>
    </row>
    <row r="28" spans="2:159">
      <c r="B28" s="1000" t="s">
        <v>351</v>
      </c>
      <c r="C28" s="1000"/>
      <c r="D28" s="836"/>
      <c r="E28" s="423" t="s">
        <v>406</v>
      </c>
      <c r="F28" s="424"/>
      <c r="G28" s="329" t="s">
        <v>402</v>
      </c>
      <c r="H28" s="329"/>
      <c r="I28" s="426">
        <v>0</v>
      </c>
      <c r="J28" s="426">
        <v>0</v>
      </c>
      <c r="K28" s="426">
        <v>3.38</v>
      </c>
      <c r="L28" s="426">
        <v>0</v>
      </c>
      <c r="M28" s="426">
        <v>60.3</v>
      </c>
      <c r="N28" s="426">
        <v>4.3449337748344368</v>
      </c>
      <c r="O28" s="426">
        <v>17.815454545454543</v>
      </c>
      <c r="P28" s="426">
        <v>40.58</v>
      </c>
      <c r="Q28" s="426">
        <v>32.35</v>
      </c>
      <c r="R28" s="426">
        <v>21.01</v>
      </c>
      <c r="S28" s="426">
        <v>23.94</v>
      </c>
      <c r="T28" s="426">
        <v>26.91</v>
      </c>
      <c r="U28" s="426">
        <v>23.8</v>
      </c>
      <c r="V28" s="426">
        <v>24.76</v>
      </c>
      <c r="W28" s="426">
        <v>13.59</v>
      </c>
      <c r="X28" s="426">
        <v>17</v>
      </c>
      <c r="Y28" s="426">
        <v>20.73</v>
      </c>
      <c r="Z28" s="426">
        <v>16.829999999999998</v>
      </c>
      <c r="AA28" s="426">
        <v>0</v>
      </c>
      <c r="AB28" s="426">
        <v>24.28</v>
      </c>
      <c r="AC28" s="426">
        <v>16.77</v>
      </c>
      <c r="AD28" s="426">
        <v>0</v>
      </c>
      <c r="AE28" s="426">
        <v>0</v>
      </c>
      <c r="AF28" s="426">
        <v>27.66</v>
      </c>
      <c r="AG28" s="426">
        <v>12.24</v>
      </c>
      <c r="AH28" s="426">
        <v>0</v>
      </c>
      <c r="AI28" s="426">
        <v>19.45</v>
      </c>
      <c r="AJ28" s="426">
        <v>0</v>
      </c>
      <c r="AK28" s="426">
        <v>0</v>
      </c>
      <c r="AL28" s="426">
        <v>0</v>
      </c>
      <c r="AM28" s="426">
        <v>18.5</v>
      </c>
      <c r="AN28" s="426">
        <v>0</v>
      </c>
      <c r="AO28" s="426">
        <v>13.97</v>
      </c>
      <c r="AP28" s="426">
        <v>26.29</v>
      </c>
      <c r="AQ28" s="426">
        <v>0</v>
      </c>
      <c r="AR28" s="426">
        <v>0</v>
      </c>
      <c r="AS28" s="426">
        <v>25.4</v>
      </c>
      <c r="AT28" s="426">
        <v>30.85</v>
      </c>
      <c r="AU28" s="426">
        <v>30.85</v>
      </c>
      <c r="AV28" s="426">
        <v>14.148</v>
      </c>
      <c r="AW28" s="426">
        <v>10.045</v>
      </c>
      <c r="AX28" s="426">
        <v>17.107500000000002</v>
      </c>
      <c r="AY28" s="426">
        <v>18.215</v>
      </c>
      <c r="AZ28" s="426">
        <v>17.238</v>
      </c>
      <c r="BA28" s="426">
        <v>0</v>
      </c>
      <c r="BB28" s="426">
        <v>21.18</v>
      </c>
      <c r="BC28" s="426">
        <v>21.696666666666669</v>
      </c>
      <c r="BD28" s="426">
        <v>19.600000000000001</v>
      </c>
      <c r="BE28" s="426">
        <v>21.526666666666667</v>
      </c>
      <c r="BF28" s="426">
        <v>28.67</v>
      </c>
      <c r="BG28" s="426">
        <v>24.38</v>
      </c>
      <c r="BH28" s="426">
        <v>9.41</v>
      </c>
      <c r="BI28" s="426">
        <v>12.994</v>
      </c>
      <c r="BJ28" s="426">
        <v>11.757142857142856</v>
      </c>
      <c r="BK28" s="426">
        <v>13.540000000000001</v>
      </c>
      <c r="BL28" s="426">
        <v>23.5275</v>
      </c>
      <c r="BM28" s="426">
        <v>14.794</v>
      </c>
      <c r="BN28" s="426">
        <v>11.655000000000001</v>
      </c>
      <c r="BO28" s="866">
        <v>110.21</v>
      </c>
      <c r="BP28" s="866">
        <v>662</v>
      </c>
      <c r="BQ28" s="866">
        <v>1716.3</v>
      </c>
      <c r="BR28" s="866">
        <v>0</v>
      </c>
      <c r="BS28" s="866">
        <v>280</v>
      </c>
      <c r="BT28" s="866">
        <v>4190</v>
      </c>
      <c r="BU28" s="866">
        <v>407.7</v>
      </c>
      <c r="BV28" s="866">
        <v>914.14</v>
      </c>
      <c r="BW28" s="866">
        <v>3114.57</v>
      </c>
      <c r="BX28" s="866">
        <v>870.97</v>
      </c>
      <c r="BY28" s="866">
        <v>2383</v>
      </c>
      <c r="BZ28" s="866">
        <v>2862.53</v>
      </c>
      <c r="CA28" s="866">
        <v>0</v>
      </c>
      <c r="CB28" s="866">
        <v>414.66</v>
      </c>
      <c r="CC28" s="866">
        <v>2439.2800000000002</v>
      </c>
      <c r="CD28" s="866">
        <v>291.14</v>
      </c>
      <c r="CE28" s="866">
        <v>446.8</v>
      </c>
      <c r="CF28" s="866">
        <v>227.85</v>
      </c>
      <c r="CG28" s="866">
        <v>1100.8</v>
      </c>
      <c r="CH28" s="866">
        <v>2641.19</v>
      </c>
      <c r="CI28" s="866">
        <v>342.94</v>
      </c>
      <c r="CJ28" s="866">
        <v>3459.87</v>
      </c>
      <c r="CK28" s="866">
        <v>7308.5</v>
      </c>
      <c r="CL28" s="866">
        <v>708.92</v>
      </c>
      <c r="CM28" s="866">
        <v>3230.54</v>
      </c>
      <c r="CN28" s="866">
        <v>8030.72</v>
      </c>
      <c r="CO28" s="866">
        <v>213.95</v>
      </c>
      <c r="CP28" s="866">
        <v>760.7</v>
      </c>
      <c r="CQ28" s="866">
        <v>1664.9</v>
      </c>
      <c r="CR28" s="866">
        <v>0</v>
      </c>
      <c r="CS28" s="426">
        <v>1052</v>
      </c>
      <c r="CT28" s="426">
        <v>1608</v>
      </c>
      <c r="CU28" s="426">
        <v>2866</v>
      </c>
      <c r="CV28" s="426">
        <v>4266.08</v>
      </c>
      <c r="CW28" s="426">
        <v>80.5</v>
      </c>
      <c r="CX28" s="426">
        <v>80.5</v>
      </c>
      <c r="CY28" s="426">
        <v>1052</v>
      </c>
      <c r="CZ28" s="426">
        <v>1462</v>
      </c>
      <c r="DA28" s="426">
        <v>0</v>
      </c>
      <c r="DB28" s="426">
        <v>579.5</v>
      </c>
      <c r="DC28" s="426">
        <v>80.5</v>
      </c>
      <c r="DD28" s="426">
        <v>80.5</v>
      </c>
      <c r="DE28" s="426">
        <v>565.5</v>
      </c>
      <c r="DF28" s="426">
        <v>934.8</v>
      </c>
      <c r="DG28" s="426">
        <v>1871</v>
      </c>
      <c r="DH28" s="426">
        <v>2851.6</v>
      </c>
      <c r="DI28" s="426">
        <v>749.33999999999992</v>
      </c>
      <c r="DJ28" s="426">
        <v>80.5</v>
      </c>
      <c r="DK28" s="426">
        <v>1384</v>
      </c>
      <c r="DL28" s="426">
        <v>1987</v>
      </c>
      <c r="DM28" s="426">
        <v>3492</v>
      </c>
      <c r="DN28" s="426">
        <v>2404</v>
      </c>
      <c r="DO28" s="426">
        <v>2224</v>
      </c>
      <c r="DP28" s="426">
        <v>7230</v>
      </c>
      <c r="DQ28" s="426">
        <v>80.5</v>
      </c>
      <c r="DR28" s="426">
        <v>80.5</v>
      </c>
      <c r="DS28" s="426">
        <v>35</v>
      </c>
      <c r="DT28" s="426">
        <v>18719.400000000001</v>
      </c>
      <c r="DU28" s="486"/>
      <c r="DV28" s="486"/>
      <c r="DW28" s="486"/>
      <c r="DX28" s="486"/>
      <c r="DY28" s="314"/>
      <c r="DZ28" s="486"/>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425"/>
    </row>
    <row r="29" spans="2:159">
      <c r="B29" s="1000" t="s">
        <v>351</v>
      </c>
      <c r="C29" s="1000"/>
      <c r="D29" s="836"/>
      <c r="E29" s="423" t="s">
        <v>407</v>
      </c>
      <c r="F29" s="424"/>
      <c r="G29" s="329" t="s">
        <v>402</v>
      </c>
      <c r="H29" s="329"/>
      <c r="I29" s="426">
        <v>93.68</v>
      </c>
      <c r="J29" s="426">
        <v>70.739999999999995</v>
      </c>
      <c r="K29" s="426">
        <v>85.34</v>
      </c>
      <c r="L29" s="426">
        <v>62.38</v>
      </c>
      <c r="M29" s="426">
        <v>0</v>
      </c>
      <c r="N29" s="426">
        <v>0</v>
      </c>
      <c r="O29" s="426">
        <v>0</v>
      </c>
      <c r="P29" s="426">
        <v>95.57</v>
      </c>
      <c r="Q29" s="426">
        <v>102.32</v>
      </c>
      <c r="R29" s="426">
        <v>107.15</v>
      </c>
      <c r="S29" s="426">
        <v>118.04</v>
      </c>
      <c r="T29" s="426">
        <v>119.61</v>
      </c>
      <c r="U29" s="426">
        <v>131.37</v>
      </c>
      <c r="V29" s="426">
        <v>56.82</v>
      </c>
      <c r="W29" s="426">
        <v>58.62</v>
      </c>
      <c r="X29" s="426">
        <v>68.94</v>
      </c>
      <c r="Y29" s="426">
        <v>64.8</v>
      </c>
      <c r="Z29" s="426">
        <v>78.459999999999994</v>
      </c>
      <c r="AA29" s="426">
        <v>79.709999999999994</v>
      </c>
      <c r="AB29" s="426">
        <v>52.17</v>
      </c>
      <c r="AC29" s="426">
        <v>48.64</v>
      </c>
      <c r="AD29" s="426">
        <v>57.45</v>
      </c>
      <c r="AE29" s="426">
        <v>61.89</v>
      </c>
      <c r="AF29" s="426">
        <v>54.81</v>
      </c>
      <c r="AG29" s="426">
        <v>66.31</v>
      </c>
      <c r="AH29" s="426">
        <v>73.19</v>
      </c>
      <c r="AI29" s="426">
        <v>46.17</v>
      </c>
      <c r="AJ29" s="426">
        <v>50.88</v>
      </c>
      <c r="AK29" s="426">
        <v>55.77</v>
      </c>
      <c r="AL29" s="426">
        <v>60.68</v>
      </c>
      <c r="AM29" s="426">
        <v>50.49</v>
      </c>
      <c r="AN29" s="426">
        <v>59.61</v>
      </c>
      <c r="AO29" s="426">
        <v>60.57</v>
      </c>
      <c r="AP29" s="426">
        <v>0</v>
      </c>
      <c r="AQ29" s="426">
        <v>34.659999999999997</v>
      </c>
      <c r="AR29" s="426">
        <v>33.344999999999999</v>
      </c>
      <c r="AS29" s="426">
        <v>0</v>
      </c>
      <c r="AT29" s="426">
        <v>0</v>
      </c>
      <c r="AU29" s="426">
        <v>0</v>
      </c>
      <c r="AV29" s="426">
        <v>0</v>
      </c>
      <c r="AW29" s="426">
        <v>0</v>
      </c>
      <c r="AX29" s="426">
        <v>0</v>
      </c>
      <c r="AY29" s="426">
        <v>0</v>
      </c>
      <c r="AZ29" s="426">
        <v>0</v>
      </c>
      <c r="BA29" s="426">
        <v>15.114285714285714</v>
      </c>
      <c r="BB29" s="426">
        <v>0</v>
      </c>
      <c r="BC29" s="426">
        <v>0</v>
      </c>
      <c r="BD29" s="426">
        <v>0</v>
      </c>
      <c r="BE29" s="426">
        <v>0</v>
      </c>
      <c r="BF29" s="426">
        <v>0</v>
      </c>
      <c r="BG29" s="426">
        <v>0</v>
      </c>
      <c r="BH29" s="426">
        <v>0</v>
      </c>
      <c r="BI29" s="426">
        <v>0</v>
      </c>
      <c r="BJ29" s="426">
        <v>0</v>
      </c>
      <c r="BK29" s="426">
        <v>0</v>
      </c>
      <c r="BL29" s="426">
        <v>0</v>
      </c>
      <c r="BM29" s="426">
        <v>0</v>
      </c>
      <c r="BN29" s="426">
        <v>0</v>
      </c>
      <c r="BO29" s="866">
        <v>0</v>
      </c>
      <c r="BP29" s="866">
        <v>0</v>
      </c>
      <c r="BQ29" s="866">
        <v>0</v>
      </c>
      <c r="BR29" s="866">
        <v>0</v>
      </c>
      <c r="BS29" s="866">
        <v>0</v>
      </c>
      <c r="BT29" s="866">
        <v>0</v>
      </c>
      <c r="BU29" s="866">
        <v>0</v>
      </c>
      <c r="BV29" s="866">
        <v>0</v>
      </c>
      <c r="BW29" s="866">
        <v>0</v>
      </c>
      <c r="BX29" s="866">
        <v>0</v>
      </c>
      <c r="BY29" s="866">
        <v>0</v>
      </c>
      <c r="BZ29" s="866">
        <v>0</v>
      </c>
      <c r="CA29" s="866">
        <v>0</v>
      </c>
      <c r="CB29" s="866">
        <v>0</v>
      </c>
      <c r="CC29" s="866">
        <v>0</v>
      </c>
      <c r="CD29" s="866">
        <v>0</v>
      </c>
      <c r="CE29" s="866">
        <v>0</v>
      </c>
      <c r="CF29" s="866">
        <v>0</v>
      </c>
      <c r="CG29" s="866">
        <v>0</v>
      </c>
      <c r="CH29" s="866">
        <v>0</v>
      </c>
      <c r="CI29" s="866">
        <v>0</v>
      </c>
      <c r="CJ29" s="866">
        <v>0</v>
      </c>
      <c r="CK29" s="866">
        <v>0</v>
      </c>
      <c r="CL29" s="866">
        <v>0</v>
      </c>
      <c r="CM29" s="866">
        <v>0</v>
      </c>
      <c r="CN29" s="866">
        <v>0</v>
      </c>
      <c r="CO29" s="866">
        <v>0</v>
      </c>
      <c r="CP29" s="866">
        <v>0</v>
      </c>
      <c r="CQ29" s="866">
        <v>0</v>
      </c>
      <c r="CR29" s="866">
        <v>101.64</v>
      </c>
      <c r="CS29" s="426">
        <v>0</v>
      </c>
      <c r="CT29" s="426">
        <v>0</v>
      </c>
      <c r="CU29" s="426">
        <v>0</v>
      </c>
      <c r="CV29" s="426">
        <v>0</v>
      </c>
      <c r="CW29" s="426">
        <v>0</v>
      </c>
      <c r="CX29" s="426">
        <v>0</v>
      </c>
      <c r="CY29" s="426">
        <v>0</v>
      </c>
      <c r="CZ29" s="426">
        <v>0</v>
      </c>
      <c r="DA29" s="426">
        <v>0</v>
      </c>
      <c r="DB29" s="426">
        <v>0</v>
      </c>
      <c r="DC29" s="426">
        <v>0</v>
      </c>
      <c r="DD29" s="426">
        <v>0</v>
      </c>
      <c r="DE29" s="426">
        <v>0</v>
      </c>
      <c r="DF29" s="426">
        <v>0</v>
      </c>
      <c r="DG29" s="426">
        <v>0</v>
      </c>
      <c r="DH29" s="426">
        <v>0</v>
      </c>
      <c r="DI29" s="426">
        <v>0</v>
      </c>
      <c r="DJ29" s="426">
        <v>0</v>
      </c>
      <c r="DK29" s="426">
        <v>0</v>
      </c>
      <c r="DL29" s="426">
        <v>0</v>
      </c>
      <c r="DM29" s="426">
        <v>0</v>
      </c>
      <c r="DN29" s="426">
        <v>0</v>
      </c>
      <c r="DO29" s="426">
        <v>0</v>
      </c>
      <c r="DP29" s="426">
        <v>0</v>
      </c>
      <c r="DQ29" s="426">
        <v>0</v>
      </c>
      <c r="DR29" s="426">
        <v>0</v>
      </c>
      <c r="DS29" s="426">
        <v>1516.99</v>
      </c>
      <c r="DT29" s="426">
        <v>0</v>
      </c>
      <c r="DU29" s="486"/>
      <c r="DV29" s="486"/>
      <c r="DW29" s="486"/>
      <c r="DX29" s="486"/>
      <c r="DY29" s="314"/>
      <c r="DZ29" s="486"/>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425"/>
    </row>
    <row r="30" spans="2:159">
      <c r="B30" s="1000" t="s">
        <v>351</v>
      </c>
      <c r="C30" s="1000"/>
      <c r="D30" s="836"/>
      <c r="E30" s="423" t="s">
        <v>408</v>
      </c>
      <c r="F30" s="424"/>
      <c r="G30" s="329" t="s">
        <v>402</v>
      </c>
      <c r="H30" s="329"/>
      <c r="I30" s="426">
        <v>55.990000000000009</v>
      </c>
      <c r="J30" s="426">
        <v>28.45</v>
      </c>
      <c r="K30" s="426">
        <v>22.89</v>
      </c>
      <c r="L30" s="426">
        <v>16.36</v>
      </c>
      <c r="M30" s="426">
        <v>17.420000000000002</v>
      </c>
      <c r="N30" s="426">
        <v>4.3329635761589396</v>
      </c>
      <c r="O30" s="426">
        <v>23.74606060606061</v>
      </c>
      <c r="P30" s="426">
        <v>34.54</v>
      </c>
      <c r="Q30" s="426">
        <v>40.42</v>
      </c>
      <c r="R30" s="426">
        <v>33.200000000000003</v>
      </c>
      <c r="S30" s="426">
        <v>39.840000000000003</v>
      </c>
      <c r="T30" s="426">
        <v>46.58</v>
      </c>
      <c r="U30" s="426">
        <v>46.5</v>
      </c>
      <c r="V30" s="426">
        <v>23.520000000000003</v>
      </c>
      <c r="W30" s="426">
        <v>30.759999999999998</v>
      </c>
      <c r="X30" s="426">
        <v>24.709999999999997</v>
      </c>
      <c r="Y30" s="426">
        <v>26.98</v>
      </c>
      <c r="Z30" s="426">
        <v>30.53</v>
      </c>
      <c r="AA30" s="426">
        <v>22.130000000000003</v>
      </c>
      <c r="AB30" s="426">
        <v>24.360000000000003</v>
      </c>
      <c r="AC30" s="426">
        <v>20.98</v>
      </c>
      <c r="AD30" s="426">
        <v>27.04</v>
      </c>
      <c r="AE30" s="426">
        <v>19.760000000000002</v>
      </c>
      <c r="AF30" s="426">
        <v>23.87</v>
      </c>
      <c r="AG30" s="426">
        <v>27.560000000000002</v>
      </c>
      <c r="AH30" s="426">
        <v>28.16</v>
      </c>
      <c r="AI30" s="426">
        <v>21.18</v>
      </c>
      <c r="AJ30" s="426">
        <v>21.26</v>
      </c>
      <c r="AK30" s="426">
        <v>24.64</v>
      </c>
      <c r="AL30" s="426">
        <v>18.420000000000002</v>
      </c>
      <c r="AM30" s="426">
        <v>22.92</v>
      </c>
      <c r="AN30" s="426">
        <v>20.78</v>
      </c>
      <c r="AO30" s="426">
        <v>18.77</v>
      </c>
      <c r="AP30" s="426">
        <v>18.2</v>
      </c>
      <c r="AQ30" s="426">
        <v>17.07</v>
      </c>
      <c r="AR30" s="426">
        <v>12.594999999999999</v>
      </c>
      <c r="AS30" s="426">
        <v>18.079999999999998</v>
      </c>
      <c r="AT30" s="426">
        <v>18.535</v>
      </c>
      <c r="AU30" s="426">
        <v>18.535</v>
      </c>
      <c r="AV30" s="426">
        <v>16.478000000000002</v>
      </c>
      <c r="AW30" s="426">
        <v>17.52</v>
      </c>
      <c r="AX30" s="426">
        <v>10.719999999999999</v>
      </c>
      <c r="AY30" s="426">
        <v>12.477500000000001</v>
      </c>
      <c r="AZ30" s="426">
        <v>17.388000000000002</v>
      </c>
      <c r="BA30" s="426">
        <v>8.6242857142857137</v>
      </c>
      <c r="BB30" s="426">
        <v>11.263333333333332</v>
      </c>
      <c r="BC30" s="426">
        <v>14.083333333333334</v>
      </c>
      <c r="BD30" s="426">
        <v>17.317500000000003</v>
      </c>
      <c r="BE30" s="426">
        <v>10.306666666666667</v>
      </c>
      <c r="BF30" s="426">
        <v>15.66</v>
      </c>
      <c r="BG30" s="426">
        <v>13.066666666666666</v>
      </c>
      <c r="BH30" s="426">
        <v>3.8800000000000003</v>
      </c>
      <c r="BI30" s="426">
        <v>11.02</v>
      </c>
      <c r="BJ30" s="426">
        <v>13.662857142857142</v>
      </c>
      <c r="BK30" s="426">
        <v>10.241999999999999</v>
      </c>
      <c r="BL30" s="426">
        <v>15.725000000000001</v>
      </c>
      <c r="BM30" s="426">
        <v>14.24</v>
      </c>
      <c r="BN30" s="426">
        <v>13.373333333333335</v>
      </c>
      <c r="BO30" s="866">
        <v>46.13</v>
      </c>
      <c r="BP30" s="866">
        <v>739.81</v>
      </c>
      <c r="BQ30" s="866">
        <v>2500.5</v>
      </c>
      <c r="BR30" s="866">
        <v>34.86</v>
      </c>
      <c r="BS30" s="866">
        <v>200.95000000000002</v>
      </c>
      <c r="BT30" s="866">
        <v>419.4</v>
      </c>
      <c r="BU30" s="866">
        <v>74</v>
      </c>
      <c r="BV30" s="866">
        <v>187.78</v>
      </c>
      <c r="BW30" s="866">
        <v>233.4</v>
      </c>
      <c r="BX30" s="866">
        <v>184.82999999999998</v>
      </c>
      <c r="BY30" s="866">
        <v>354.07</v>
      </c>
      <c r="BZ30" s="866">
        <v>1909.0900000000001</v>
      </c>
      <c r="CA30" s="866">
        <v>48.24</v>
      </c>
      <c r="CB30" s="866">
        <v>173.49</v>
      </c>
      <c r="CC30" s="866">
        <v>952.25</v>
      </c>
      <c r="CD30" s="866">
        <v>60.870000000000005</v>
      </c>
      <c r="CE30" s="866">
        <v>200.24</v>
      </c>
      <c r="CF30" s="866">
        <v>69.09</v>
      </c>
      <c r="CG30" s="866">
        <v>313.7</v>
      </c>
      <c r="CH30" s="866">
        <v>1639.31</v>
      </c>
      <c r="CI30" s="866">
        <v>82.899999999999991</v>
      </c>
      <c r="CJ30" s="866">
        <v>412.8</v>
      </c>
      <c r="CK30" s="866">
        <v>1843.6999999999998</v>
      </c>
      <c r="CL30" s="866">
        <v>322.63</v>
      </c>
      <c r="CM30" s="866">
        <v>1142.23</v>
      </c>
      <c r="CN30" s="866">
        <v>2637.65</v>
      </c>
      <c r="CO30" s="866">
        <v>95.710000000000008</v>
      </c>
      <c r="CP30" s="866">
        <v>827.37</v>
      </c>
      <c r="CQ30" s="866">
        <v>1373.1</v>
      </c>
      <c r="CR30" s="866">
        <v>12.940000000000001</v>
      </c>
      <c r="CS30" s="426">
        <v>400.79999999999995</v>
      </c>
      <c r="CT30" s="426">
        <v>175.92</v>
      </c>
      <c r="CU30" s="426">
        <v>421.1</v>
      </c>
      <c r="CV30" s="426">
        <v>788.18000000000006</v>
      </c>
      <c r="CW30" s="426">
        <v>29.9</v>
      </c>
      <c r="CX30" s="426">
        <v>52.3</v>
      </c>
      <c r="CY30" s="426">
        <v>400.79999999999995</v>
      </c>
      <c r="CZ30" s="426">
        <v>529.32000000000005</v>
      </c>
      <c r="DA30" s="426">
        <v>15081.93</v>
      </c>
      <c r="DB30" s="426">
        <v>90.79</v>
      </c>
      <c r="DC30" s="426">
        <v>29.9</v>
      </c>
      <c r="DD30" s="426">
        <v>52.3</v>
      </c>
      <c r="DE30" s="426">
        <v>140.5</v>
      </c>
      <c r="DF30" s="426">
        <v>993.8</v>
      </c>
      <c r="DG30" s="426">
        <v>10229.200000000001</v>
      </c>
      <c r="DH30" s="426">
        <v>8977</v>
      </c>
      <c r="DI30" s="426">
        <v>962.82</v>
      </c>
      <c r="DJ30" s="426">
        <v>52.3</v>
      </c>
      <c r="DK30" s="426">
        <v>423.05999999999995</v>
      </c>
      <c r="DL30" s="426">
        <v>603.12</v>
      </c>
      <c r="DM30" s="426">
        <v>1198</v>
      </c>
      <c r="DN30" s="426">
        <v>4184</v>
      </c>
      <c r="DO30" s="426">
        <v>177.4</v>
      </c>
      <c r="DP30" s="426">
        <v>330.6</v>
      </c>
      <c r="DQ30" s="426">
        <v>29.9</v>
      </c>
      <c r="DR30" s="426">
        <v>52.3</v>
      </c>
      <c r="DS30" s="426">
        <v>137.89999999999998</v>
      </c>
      <c r="DT30" s="426">
        <v>305.60000000000002</v>
      </c>
      <c r="DU30" s="486"/>
      <c r="DV30" s="486"/>
      <c r="DW30" s="486"/>
      <c r="DX30" s="486"/>
      <c r="DY30" s="314"/>
      <c r="DZ30" s="486"/>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425"/>
    </row>
    <row r="31" spans="2:159">
      <c r="B31" s="1000" t="s">
        <v>351</v>
      </c>
      <c r="C31" s="1000"/>
      <c r="D31" s="836"/>
      <c r="E31" s="423" t="s">
        <v>409</v>
      </c>
      <c r="F31" s="424"/>
      <c r="G31" s="329" t="s">
        <v>402</v>
      </c>
      <c r="H31" s="329"/>
      <c r="I31" s="426">
        <v>2.4700000000000002</v>
      </c>
      <c r="J31" s="426">
        <v>2.4</v>
      </c>
      <c r="K31" s="426">
        <v>4.9400000000000004</v>
      </c>
      <c r="L31" s="426">
        <v>2.4700000000000002</v>
      </c>
      <c r="M31" s="426">
        <v>2.4700000000000002</v>
      </c>
      <c r="N31" s="426">
        <v>0</v>
      </c>
      <c r="O31" s="426">
        <v>0.37454545454545451</v>
      </c>
      <c r="P31" s="426">
        <v>9.27</v>
      </c>
      <c r="Q31" s="426">
        <v>8.4600000000000009</v>
      </c>
      <c r="R31" s="426">
        <v>8.8699999999999992</v>
      </c>
      <c r="S31" s="426">
        <v>10.18</v>
      </c>
      <c r="T31" s="426">
        <v>12.92</v>
      </c>
      <c r="U31" s="426">
        <v>10.52</v>
      </c>
      <c r="V31" s="426">
        <v>6.81</v>
      </c>
      <c r="W31" s="426">
        <v>6.46</v>
      </c>
      <c r="X31" s="426">
        <v>7.29</v>
      </c>
      <c r="Y31" s="426">
        <v>8</v>
      </c>
      <c r="Z31" s="426">
        <v>8.8800000000000008</v>
      </c>
      <c r="AA31" s="426">
        <v>8.16</v>
      </c>
      <c r="AB31" s="426">
        <v>7.91</v>
      </c>
      <c r="AC31" s="426">
        <v>6.51</v>
      </c>
      <c r="AD31" s="426">
        <v>5.56</v>
      </c>
      <c r="AE31" s="426">
        <v>5.15</v>
      </c>
      <c r="AF31" s="426">
        <v>7.61</v>
      </c>
      <c r="AG31" s="426">
        <v>6.81</v>
      </c>
      <c r="AH31" s="426">
        <v>5.38</v>
      </c>
      <c r="AI31" s="426">
        <v>7.21</v>
      </c>
      <c r="AJ31" s="426">
        <v>5.84</v>
      </c>
      <c r="AK31" s="426">
        <v>5.48</v>
      </c>
      <c r="AL31" s="426">
        <v>5.26</v>
      </c>
      <c r="AM31" s="426">
        <v>6.09</v>
      </c>
      <c r="AN31" s="426">
        <v>6.16</v>
      </c>
      <c r="AO31" s="426">
        <v>6.18</v>
      </c>
      <c r="AP31" s="426">
        <v>6.59</v>
      </c>
      <c r="AQ31" s="426">
        <v>5.62</v>
      </c>
      <c r="AR31" s="426">
        <v>4.68</v>
      </c>
      <c r="AS31" s="426">
        <v>4.4000000000000004</v>
      </c>
      <c r="AT31" s="426">
        <v>7.8</v>
      </c>
      <c r="AU31" s="426">
        <v>7.8</v>
      </c>
      <c r="AV31" s="426">
        <v>4.55</v>
      </c>
      <c r="AW31" s="426">
        <v>4.8600000000000003</v>
      </c>
      <c r="AX31" s="426">
        <v>4.26</v>
      </c>
      <c r="AY31" s="426">
        <v>4.0999999999999996</v>
      </c>
      <c r="AZ31" s="426">
        <v>4.2699999999999996</v>
      </c>
      <c r="BA31" s="426">
        <v>3.98</v>
      </c>
      <c r="BB31" s="426">
        <v>5.65</v>
      </c>
      <c r="BC31" s="426">
        <v>5.71</v>
      </c>
      <c r="BD31" s="426">
        <v>4.37</v>
      </c>
      <c r="BE31" s="426">
        <v>4.92</v>
      </c>
      <c r="BF31" s="426">
        <v>3.78</v>
      </c>
      <c r="BG31" s="426">
        <v>4.95</v>
      </c>
      <c r="BH31" s="426">
        <v>4.2</v>
      </c>
      <c r="BI31" s="426">
        <v>3.91</v>
      </c>
      <c r="BJ31" s="426">
        <v>3.44</v>
      </c>
      <c r="BK31" s="426">
        <v>2.46</v>
      </c>
      <c r="BL31" s="426">
        <v>4.33</v>
      </c>
      <c r="BM31" s="426">
        <v>3.01</v>
      </c>
      <c r="BN31" s="426">
        <v>3.2</v>
      </c>
      <c r="BO31" s="866">
        <v>0</v>
      </c>
      <c r="BP31" s="866">
        <v>24.2</v>
      </c>
      <c r="BQ31" s="866">
        <v>11.26</v>
      </c>
      <c r="BR31" s="866">
        <v>5</v>
      </c>
      <c r="BS31" s="866">
        <v>4.99</v>
      </c>
      <c r="BT31" s="866">
        <v>0</v>
      </c>
      <c r="BU31" s="866">
        <v>5.85</v>
      </c>
      <c r="BV31" s="866">
        <v>4.4000000000000004</v>
      </c>
      <c r="BW31" s="866">
        <v>23.15</v>
      </c>
      <c r="BX31" s="866">
        <v>2.6</v>
      </c>
      <c r="BY31" s="866">
        <v>10.1</v>
      </c>
      <c r="BZ31" s="866">
        <v>10.27</v>
      </c>
      <c r="CA31" s="866">
        <v>4.4000000000000004</v>
      </c>
      <c r="CB31" s="866">
        <v>15.37</v>
      </c>
      <c r="CC31" s="866">
        <v>0</v>
      </c>
      <c r="CD31" s="866">
        <v>0</v>
      </c>
      <c r="CE31" s="866">
        <v>6.45</v>
      </c>
      <c r="CF31" s="866">
        <v>2.2999999999999998</v>
      </c>
      <c r="CG31" s="866">
        <v>5.83</v>
      </c>
      <c r="CH31" s="866">
        <v>22.57</v>
      </c>
      <c r="CI31" s="866">
        <v>4.7</v>
      </c>
      <c r="CJ31" s="866">
        <v>0</v>
      </c>
      <c r="CK31" s="866">
        <v>0</v>
      </c>
      <c r="CL31" s="866">
        <v>4.75</v>
      </c>
      <c r="CM31" s="866">
        <v>3.57</v>
      </c>
      <c r="CN31" s="866">
        <v>5.09</v>
      </c>
      <c r="CO31" s="866">
        <v>21.73</v>
      </c>
      <c r="CP31" s="866">
        <v>3.58</v>
      </c>
      <c r="CQ31" s="866">
        <v>2.04</v>
      </c>
      <c r="CR31" s="866">
        <v>1.03</v>
      </c>
      <c r="CS31" s="426">
        <v>59.2</v>
      </c>
      <c r="CT31" s="426">
        <v>14.610000000000001</v>
      </c>
      <c r="CU31" s="426">
        <v>24</v>
      </c>
      <c r="CV31" s="426">
        <v>24.29</v>
      </c>
      <c r="CW31" s="426">
        <v>3.75</v>
      </c>
      <c r="CX31" s="426">
        <v>3.75</v>
      </c>
      <c r="CY31" s="426">
        <v>59.2</v>
      </c>
      <c r="CZ31" s="426">
        <v>7.41</v>
      </c>
      <c r="DA31" s="426">
        <v>12.21</v>
      </c>
      <c r="DB31" s="426">
        <v>2.4700000000000002</v>
      </c>
      <c r="DC31" s="426">
        <v>3.75</v>
      </c>
      <c r="DD31" s="426">
        <v>3.75</v>
      </c>
      <c r="DE31" s="426">
        <v>0</v>
      </c>
      <c r="DF31" s="426">
        <v>0</v>
      </c>
      <c r="DG31" s="426">
        <v>0</v>
      </c>
      <c r="DH31" s="426">
        <v>36.6</v>
      </c>
      <c r="DI31" s="426">
        <v>4.79</v>
      </c>
      <c r="DJ31" s="426">
        <v>3.75</v>
      </c>
      <c r="DK31" s="426">
        <v>6.14</v>
      </c>
      <c r="DL31" s="426">
        <v>7.4</v>
      </c>
      <c r="DM31" s="426">
        <v>2.4700000000000002</v>
      </c>
      <c r="DN31" s="426">
        <v>0</v>
      </c>
      <c r="DO31" s="426">
        <v>19.8</v>
      </c>
      <c r="DP31" s="426">
        <v>60.210000000000008</v>
      </c>
      <c r="DQ31" s="426">
        <v>3.75</v>
      </c>
      <c r="DR31" s="426">
        <v>3.75</v>
      </c>
      <c r="DS31" s="426">
        <v>9.89</v>
      </c>
      <c r="DT31" s="426">
        <v>73.22</v>
      </c>
      <c r="DU31" s="486"/>
      <c r="DV31" s="486"/>
      <c r="DW31" s="486"/>
      <c r="DX31" s="486"/>
      <c r="DY31" s="314"/>
      <c r="DZ31" s="486"/>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425"/>
    </row>
    <row r="32" spans="2:159">
      <c r="B32" s="1000" t="s">
        <v>351</v>
      </c>
      <c r="C32" s="1000"/>
      <c r="D32" s="836"/>
      <c r="E32" s="423" t="s">
        <v>232</v>
      </c>
      <c r="F32" s="424"/>
      <c r="G32" s="329" t="s">
        <v>402</v>
      </c>
      <c r="H32" s="329"/>
      <c r="I32" s="427">
        <f>0.7*I26+SUM(I27:I31)</f>
        <v>380.21000000000004</v>
      </c>
      <c r="J32" s="427">
        <f t="shared" ref="J32:CY32" si="4">0.7*J26+SUM(J27:J31)</f>
        <v>248.94</v>
      </c>
      <c r="K32" s="427">
        <f t="shared" si="4"/>
        <v>249.26199999999997</v>
      </c>
      <c r="L32" s="427">
        <f t="shared" si="4"/>
        <v>151.76400000000001</v>
      </c>
      <c r="M32" s="427">
        <f t="shared" si="4"/>
        <v>176.87</v>
      </c>
      <c r="N32" s="427">
        <f t="shared" si="4"/>
        <v>18.897350993377483</v>
      </c>
      <c r="O32" s="427">
        <f t="shared" si="4"/>
        <v>93.834333333333319</v>
      </c>
      <c r="P32" s="427">
        <f t="shared" si="4"/>
        <v>399.43299999999999</v>
      </c>
      <c r="Q32" s="427">
        <f t="shared" si="4"/>
        <v>396.22699999999998</v>
      </c>
      <c r="R32" s="427">
        <f t="shared" si="4"/>
        <v>368.55600000000004</v>
      </c>
      <c r="S32" s="427">
        <f t="shared" si="4"/>
        <v>407.32299999999998</v>
      </c>
      <c r="T32" s="427">
        <f t="shared" si="4"/>
        <v>444.54099999999994</v>
      </c>
      <c r="U32" s="427">
        <f t="shared" si="4"/>
        <v>449.92899999999997</v>
      </c>
      <c r="V32" s="427">
        <f t="shared" si="4"/>
        <v>246.31300000000002</v>
      </c>
      <c r="W32" s="427">
        <f t="shared" si="4"/>
        <v>252.23500000000001</v>
      </c>
      <c r="X32" s="427">
        <f t="shared" si="4"/>
        <v>258.10399999999998</v>
      </c>
      <c r="Y32" s="427">
        <f t="shared" si="4"/>
        <v>274.14400000000001</v>
      </c>
      <c r="Z32" s="427">
        <f t="shared" si="4"/>
        <v>283.78899999999999</v>
      </c>
      <c r="AA32" s="427">
        <f t="shared" si="4"/>
        <v>236.97199999999998</v>
      </c>
      <c r="AB32" s="427">
        <f t="shared" si="4"/>
        <v>246.78200000000001</v>
      </c>
      <c r="AC32" s="427">
        <f t="shared" si="4"/>
        <v>213.17899999999997</v>
      </c>
      <c r="AD32" s="427">
        <f t="shared" si="4"/>
        <v>213.79400000000001</v>
      </c>
      <c r="AE32" s="427">
        <f t="shared" si="4"/>
        <v>211.482</v>
      </c>
      <c r="AF32" s="427">
        <f t="shared" si="4"/>
        <v>261.29900000000004</v>
      </c>
      <c r="AG32" s="427">
        <f t="shared" si="4"/>
        <v>257.65800000000002</v>
      </c>
      <c r="AH32" s="427">
        <f t="shared" si="4"/>
        <v>257.15499999999997</v>
      </c>
      <c r="AI32" s="427">
        <f t="shared" si="4"/>
        <v>177.86700000000002</v>
      </c>
      <c r="AJ32" s="427">
        <f t="shared" si="4"/>
        <v>152.62</v>
      </c>
      <c r="AK32" s="427">
        <f t="shared" si="4"/>
        <v>162.47500000000002</v>
      </c>
      <c r="AL32" s="427">
        <f t="shared" si="4"/>
        <v>162.41200000000001</v>
      </c>
      <c r="AM32" s="427">
        <f t="shared" si="4"/>
        <v>187.185</v>
      </c>
      <c r="AN32" s="427">
        <f t="shared" si="4"/>
        <v>174.04300000000001</v>
      </c>
      <c r="AO32" s="427">
        <f t="shared" si="4"/>
        <v>187.97000000000003</v>
      </c>
      <c r="AP32" s="427">
        <f t="shared" si="4"/>
        <v>125.911</v>
      </c>
      <c r="AQ32" s="427">
        <f t="shared" si="4"/>
        <v>112.43199999999999</v>
      </c>
      <c r="AR32" s="427">
        <f t="shared" si="4"/>
        <v>113.78</v>
      </c>
      <c r="AS32" s="427">
        <f t="shared" si="4"/>
        <v>118.345</v>
      </c>
      <c r="AT32" s="427">
        <f t="shared" si="4"/>
        <v>150.39999999999998</v>
      </c>
      <c r="AU32" s="427">
        <f t="shared" si="4"/>
        <v>150.39999999999998</v>
      </c>
      <c r="AV32" s="427">
        <f t="shared" si="4"/>
        <v>99.25</v>
      </c>
      <c r="AW32" s="427">
        <f t="shared" si="4"/>
        <v>104.202</v>
      </c>
      <c r="AX32" s="427">
        <f t="shared" si="4"/>
        <v>100.176</v>
      </c>
      <c r="AY32" s="427">
        <f t="shared" si="4"/>
        <v>104.14449999999999</v>
      </c>
      <c r="AZ32" s="427">
        <f t="shared" si="4"/>
        <v>117.565</v>
      </c>
      <c r="BA32" s="427">
        <f t="shared" si="4"/>
        <v>92.737857142857138</v>
      </c>
      <c r="BB32" s="427">
        <f t="shared" si="4"/>
        <v>106.17133333333334</v>
      </c>
      <c r="BC32" s="427">
        <f t="shared" si="4"/>
        <v>111.27966666666667</v>
      </c>
      <c r="BD32" s="427">
        <f t="shared" si="4"/>
        <v>118.73</v>
      </c>
      <c r="BE32" s="427">
        <f t="shared" si="4"/>
        <v>102.506</v>
      </c>
      <c r="BF32" s="427">
        <f t="shared" si="4"/>
        <v>131.637</v>
      </c>
      <c r="BG32" s="427">
        <f t="shared" si="4"/>
        <v>111.27466666666666</v>
      </c>
      <c r="BH32" s="427">
        <f t="shared" si="4"/>
        <v>52.304333333333332</v>
      </c>
      <c r="BI32" s="427">
        <f t="shared" si="4"/>
        <v>89.387</v>
      </c>
      <c r="BJ32" s="427">
        <f t="shared" si="4"/>
        <v>104.91571428571427</v>
      </c>
      <c r="BK32" s="427">
        <f t="shared" si="4"/>
        <v>91.488</v>
      </c>
      <c r="BL32" s="427">
        <f t="shared" si="4"/>
        <v>134.572</v>
      </c>
      <c r="BM32" s="427">
        <f t="shared" si="4"/>
        <v>98.858999999999995</v>
      </c>
      <c r="BN32" s="427">
        <f t="shared" si="4"/>
        <v>89.884333333333331</v>
      </c>
      <c r="BO32" s="867">
        <v>462.18</v>
      </c>
      <c r="BP32" s="867">
        <v>3368.9299999999994</v>
      </c>
      <c r="BQ32" s="867">
        <v>9873.260000000002</v>
      </c>
      <c r="BR32" s="867">
        <v>237.64</v>
      </c>
      <c r="BS32" s="867">
        <v>1972.67</v>
      </c>
      <c r="BT32" s="867">
        <v>8999.7000000000007</v>
      </c>
      <c r="BU32" s="867">
        <v>1082.42</v>
      </c>
      <c r="BV32" s="867">
        <v>2580.2780000000002</v>
      </c>
      <c r="BW32" s="867">
        <v>7132.1589999999997</v>
      </c>
      <c r="BX32" s="867">
        <v>2227.1489999999999</v>
      </c>
      <c r="BY32" s="867">
        <v>5593</v>
      </c>
      <c r="BZ32" s="867">
        <v>10600.441000000001</v>
      </c>
      <c r="CA32" s="867">
        <v>300.55</v>
      </c>
      <c r="CB32" s="867">
        <v>1331.2840000000001</v>
      </c>
      <c r="CC32" s="867">
        <v>7469.59</v>
      </c>
      <c r="CD32" s="867">
        <v>713.55799999999999</v>
      </c>
      <c r="CE32" s="867">
        <v>1742</v>
      </c>
      <c r="CF32" s="867">
        <v>642.55899999999997</v>
      </c>
      <c r="CG32" s="867">
        <v>2956.5299999999997</v>
      </c>
      <c r="CH32" s="867">
        <v>9571.0229999999992</v>
      </c>
      <c r="CI32" s="867">
        <v>993.13200000000006</v>
      </c>
      <c r="CJ32" s="867">
        <v>5024.18</v>
      </c>
      <c r="CK32" s="867">
        <v>19256.45</v>
      </c>
      <c r="CL32" s="867">
        <v>2589.7509999999997</v>
      </c>
      <c r="CM32" s="867">
        <v>10714.837</v>
      </c>
      <c r="CN32" s="867">
        <v>24531.633999999998</v>
      </c>
      <c r="CO32" s="867">
        <v>938.06500000000005</v>
      </c>
      <c r="CP32" s="867">
        <v>3257.5699999999997</v>
      </c>
      <c r="CQ32" s="867">
        <v>8925.2999999999993</v>
      </c>
      <c r="CR32" s="867">
        <v>205.86600000000001</v>
      </c>
      <c r="CS32" s="427">
        <f t="shared" si="4"/>
        <v>2744.5</v>
      </c>
      <c r="CT32" s="427">
        <f t="shared" si="4"/>
        <v>3848.9300000000003</v>
      </c>
      <c r="CU32" s="427">
        <f t="shared" si="4"/>
        <v>6638.92</v>
      </c>
      <c r="CV32" s="427">
        <f t="shared" si="4"/>
        <v>11929.263000000003</v>
      </c>
      <c r="CW32" s="427">
        <f t="shared" si="4"/>
        <v>236.75</v>
      </c>
      <c r="CX32" s="427">
        <f t="shared" si="4"/>
        <v>347.75</v>
      </c>
      <c r="CY32" s="427">
        <f t="shared" si="4"/>
        <v>2744.5</v>
      </c>
      <c r="CZ32" s="427">
        <f t="shared" ref="CZ32:EB32" si="5">0.7*CZ26+SUM(CZ27:CZ31)</f>
        <v>4393.2359999999999</v>
      </c>
      <c r="DA32" s="427">
        <f t="shared" si="5"/>
        <v>27513.918999999998</v>
      </c>
      <c r="DB32" s="427">
        <f t="shared" si="5"/>
        <v>1534.143</v>
      </c>
      <c r="DC32" s="427">
        <f t="shared" si="5"/>
        <v>236.75</v>
      </c>
      <c r="DD32" s="427">
        <f t="shared" si="5"/>
        <v>347.75</v>
      </c>
      <c r="DE32" s="427">
        <f t="shared" si="5"/>
        <v>1613.08</v>
      </c>
      <c r="DF32" s="427">
        <f t="shared" si="5"/>
        <v>4078.5599999999995</v>
      </c>
      <c r="DG32" s="427">
        <f t="shared" si="5"/>
        <v>15825.56</v>
      </c>
      <c r="DH32" s="427">
        <f t="shared" si="5"/>
        <v>17182.400000000001</v>
      </c>
      <c r="DI32" s="427">
        <f t="shared" si="5"/>
        <v>4013.62</v>
      </c>
      <c r="DJ32" s="427">
        <f t="shared" si="5"/>
        <v>347.75</v>
      </c>
      <c r="DK32" s="427">
        <f t="shared" si="5"/>
        <v>3965</v>
      </c>
      <c r="DL32" s="427">
        <f t="shared" si="5"/>
        <v>5449.67</v>
      </c>
      <c r="DM32" s="427">
        <f t="shared" si="5"/>
        <v>9422.35</v>
      </c>
      <c r="DN32" s="427">
        <f t="shared" si="5"/>
        <v>10472.588</v>
      </c>
      <c r="DO32" s="427">
        <f t="shared" si="5"/>
        <v>4381.4000000000005</v>
      </c>
      <c r="DP32" s="427">
        <f t="shared" si="5"/>
        <v>15550.897999999999</v>
      </c>
      <c r="DQ32" s="427">
        <f t="shared" si="5"/>
        <v>236.75</v>
      </c>
      <c r="DR32" s="427">
        <f t="shared" si="5"/>
        <v>347.75</v>
      </c>
      <c r="DS32" s="427">
        <f t="shared" si="5"/>
        <v>3424.3329999999996</v>
      </c>
      <c r="DT32" s="427">
        <f t="shared" si="5"/>
        <v>34699.520000000004</v>
      </c>
      <c r="DU32" s="427">
        <f t="shared" si="5"/>
        <v>0</v>
      </c>
      <c r="DV32" s="427">
        <f t="shared" si="5"/>
        <v>0</v>
      </c>
      <c r="DW32" s="427">
        <f t="shared" si="5"/>
        <v>0</v>
      </c>
      <c r="DX32" s="427">
        <f t="shared" si="5"/>
        <v>0</v>
      </c>
      <c r="DY32" s="427">
        <f t="shared" si="5"/>
        <v>0</v>
      </c>
      <c r="DZ32" s="427">
        <f t="shared" si="5"/>
        <v>0</v>
      </c>
      <c r="EA32" s="427">
        <f t="shared" si="5"/>
        <v>0</v>
      </c>
      <c r="EB32" s="427">
        <f t="shared" si="5"/>
        <v>0</v>
      </c>
      <c r="EC32" s="427">
        <f t="shared" ref="EC32:EK32" si="6">0.7*EC26+SUM(EC27:EC31)</f>
        <v>0</v>
      </c>
      <c r="ED32" s="427">
        <f t="shared" si="6"/>
        <v>0</v>
      </c>
      <c r="EE32" s="427">
        <f t="shared" si="6"/>
        <v>0</v>
      </c>
      <c r="EF32" s="427">
        <f t="shared" si="6"/>
        <v>0</v>
      </c>
      <c r="EG32" s="427">
        <f t="shared" si="6"/>
        <v>0</v>
      </c>
      <c r="EH32" s="427">
        <f t="shared" si="6"/>
        <v>0</v>
      </c>
      <c r="EI32" s="427">
        <f t="shared" si="6"/>
        <v>0</v>
      </c>
      <c r="EJ32" s="427">
        <f t="shared" si="6"/>
        <v>0</v>
      </c>
      <c r="EK32" s="427">
        <f t="shared" si="6"/>
        <v>0</v>
      </c>
      <c r="EL32" s="427">
        <f t="shared" ref="EL32:FB32" si="7">0.7*EL26+SUM(EL27:EL31)</f>
        <v>0</v>
      </c>
      <c r="EM32" s="427">
        <f t="shared" si="7"/>
        <v>0</v>
      </c>
      <c r="EN32" s="427">
        <f t="shared" si="7"/>
        <v>0</v>
      </c>
      <c r="EO32" s="427">
        <f t="shared" si="7"/>
        <v>0</v>
      </c>
      <c r="EP32" s="427">
        <f t="shared" si="7"/>
        <v>0</v>
      </c>
      <c r="EQ32" s="427">
        <f t="shared" si="7"/>
        <v>0</v>
      </c>
      <c r="ER32" s="427">
        <f t="shared" si="7"/>
        <v>0</v>
      </c>
      <c r="ES32" s="427">
        <f t="shared" si="7"/>
        <v>0</v>
      </c>
      <c r="ET32" s="427">
        <f t="shared" si="7"/>
        <v>0</v>
      </c>
      <c r="EU32" s="427">
        <f t="shared" ref="EU32:FA32" si="8">0.7*EU26+SUM(EU27:EU31)</f>
        <v>0</v>
      </c>
      <c r="EV32" s="427">
        <f t="shared" si="8"/>
        <v>0</v>
      </c>
      <c r="EW32" s="427">
        <f t="shared" si="8"/>
        <v>0</v>
      </c>
      <c r="EX32" s="427">
        <f t="shared" si="8"/>
        <v>0</v>
      </c>
      <c r="EY32" s="427">
        <f t="shared" si="8"/>
        <v>0</v>
      </c>
      <c r="EZ32" s="427">
        <f t="shared" si="8"/>
        <v>0</v>
      </c>
      <c r="FA32" s="427">
        <f t="shared" si="8"/>
        <v>0</v>
      </c>
      <c r="FB32" s="427">
        <f t="shared" si="7"/>
        <v>0</v>
      </c>
      <c r="FC32" s="425"/>
    </row>
    <row r="33" spans="2:159">
      <c r="B33" s="1000" t="s">
        <v>351</v>
      </c>
      <c r="C33" s="1000"/>
      <c r="D33" s="837"/>
      <c r="E33" s="423" t="s">
        <v>410</v>
      </c>
      <c r="F33" s="424"/>
      <c r="G33" s="329" t="s">
        <v>130</v>
      </c>
      <c r="H33" s="329"/>
      <c r="I33" s="427">
        <f t="shared" ref="I33:O33" si="9">IF(I23=0,0,I32/I23)</f>
        <v>2.1038623284639222</v>
      </c>
      <c r="J33" s="427">
        <f t="shared" si="9"/>
        <v>1.8672367236723673</v>
      </c>
      <c r="K33" s="427">
        <f t="shared" si="9"/>
        <v>2.6393689114781869</v>
      </c>
      <c r="L33" s="427">
        <f t="shared" si="9"/>
        <v>1.3787953120741347</v>
      </c>
      <c r="M33" s="427">
        <f t="shared" si="9"/>
        <v>2.030654420206659</v>
      </c>
      <c r="N33" s="427">
        <f t="shared" si="9"/>
        <v>0.51477602011478052</v>
      </c>
      <c r="O33" s="427">
        <f t="shared" si="9"/>
        <v>0.95870862875011587</v>
      </c>
      <c r="P33" s="427">
        <f t="shared" ref="P33:CS33" si="10">IF(P23=0,0,P32/P23)</f>
        <v>2.3007488047923506</v>
      </c>
      <c r="Q33" s="427">
        <f t="shared" si="10"/>
        <v>2.2618278342276512</v>
      </c>
      <c r="R33" s="427">
        <f t="shared" si="10"/>
        <v>2.2012542555097654</v>
      </c>
      <c r="S33" s="427">
        <f t="shared" si="10"/>
        <v>2.1345928099779896</v>
      </c>
      <c r="T33" s="427">
        <f t="shared" si="10"/>
        <v>2.10483428030303</v>
      </c>
      <c r="U33" s="427">
        <f t="shared" si="10"/>
        <v>2.0044952330036532</v>
      </c>
      <c r="V33" s="427">
        <f t="shared" si="10"/>
        <v>2.01780126157123</v>
      </c>
      <c r="W33" s="427">
        <f t="shared" si="10"/>
        <v>1.8663337032926379</v>
      </c>
      <c r="X33" s="427">
        <f t="shared" si="10"/>
        <v>1.9115982817360389</v>
      </c>
      <c r="Y33" s="427">
        <f t="shared" si="10"/>
        <v>1.9180298047995521</v>
      </c>
      <c r="Z33" s="427">
        <f t="shared" si="10"/>
        <v>1.8491496709454616</v>
      </c>
      <c r="AA33" s="427">
        <f t="shared" si="10"/>
        <v>1.7693720600313594</v>
      </c>
      <c r="AB33" s="427">
        <f t="shared" si="10"/>
        <v>1.9130387596899225</v>
      </c>
      <c r="AC33" s="427">
        <f t="shared" si="10"/>
        <v>2.0421400517290924</v>
      </c>
      <c r="AD33" s="427">
        <f t="shared" si="10"/>
        <v>1.8492690943689993</v>
      </c>
      <c r="AE33" s="427">
        <f t="shared" si="10"/>
        <v>1.8745080659457545</v>
      </c>
      <c r="AF33" s="427">
        <f t="shared" si="10"/>
        <v>2.028876465564097</v>
      </c>
      <c r="AG33" s="427">
        <f t="shared" si="10"/>
        <v>1.8611528459982665</v>
      </c>
      <c r="AH33" s="427">
        <f t="shared" si="10"/>
        <v>1.9346599458320795</v>
      </c>
      <c r="AI33" s="427">
        <f t="shared" si="10"/>
        <v>1.5501743071291618</v>
      </c>
      <c r="AJ33" s="427">
        <f t="shared" si="10"/>
        <v>1.4956879655037241</v>
      </c>
      <c r="AK33" s="427">
        <f t="shared" si="10"/>
        <v>1.427347799349908</v>
      </c>
      <c r="AL33" s="427">
        <f t="shared" si="10"/>
        <v>1.4165896205843873</v>
      </c>
      <c r="AM33" s="427">
        <f t="shared" si="10"/>
        <v>1.5144417475728156</v>
      </c>
      <c r="AN33" s="427">
        <f t="shared" si="10"/>
        <v>1.331112810707457</v>
      </c>
      <c r="AO33" s="427">
        <f t="shared" si="10"/>
        <v>1.5825054723017344</v>
      </c>
      <c r="AP33" s="427">
        <f t="shared" si="10"/>
        <v>1.1974417498811221</v>
      </c>
      <c r="AQ33" s="427">
        <f t="shared" si="10"/>
        <v>1.3842895838463432</v>
      </c>
      <c r="AR33" s="427">
        <f t="shared" si="10"/>
        <v>1.3231771136178627</v>
      </c>
      <c r="AS33" s="427">
        <f t="shared" si="10"/>
        <v>1.1648129921259842</v>
      </c>
      <c r="AT33" s="427">
        <f t="shared" si="10"/>
        <v>1.218800648298217</v>
      </c>
      <c r="AU33" s="427">
        <f t="shared" si="10"/>
        <v>1.218800648298217</v>
      </c>
      <c r="AV33" s="427">
        <f t="shared" si="10"/>
        <v>1.4030251625671475</v>
      </c>
      <c r="AW33" s="427">
        <f t="shared" si="10"/>
        <v>1.2966898954703832</v>
      </c>
      <c r="AX33" s="427">
        <f t="shared" si="10"/>
        <v>1.4639193336256027</v>
      </c>
      <c r="AY33" s="427">
        <f t="shared" si="10"/>
        <v>1.4293782596760911</v>
      </c>
      <c r="AZ33" s="427">
        <f t="shared" si="10"/>
        <v>1.364021348184244</v>
      </c>
      <c r="BA33" s="427">
        <f t="shared" si="10"/>
        <v>1.4104617055947855</v>
      </c>
      <c r="BB33" s="427">
        <f t="shared" si="10"/>
        <v>1.6709369426083307</v>
      </c>
      <c r="BC33" s="427">
        <f t="shared" si="10"/>
        <v>1.7096276949864291</v>
      </c>
      <c r="BD33" s="427">
        <f t="shared" si="10"/>
        <v>1.5144132653061224</v>
      </c>
      <c r="BE33" s="427">
        <f t="shared" si="10"/>
        <v>1.5872716011148964</v>
      </c>
      <c r="BF33" s="427">
        <f t="shared" si="10"/>
        <v>1.5304848273456575</v>
      </c>
      <c r="BG33" s="427">
        <f t="shared" si="10"/>
        <v>1.5213927627381276</v>
      </c>
      <c r="BH33" s="427">
        <f t="shared" si="10"/>
        <v>1.8527925374896681</v>
      </c>
      <c r="BI33" s="427">
        <f t="shared" si="10"/>
        <v>1.375819609050331</v>
      </c>
      <c r="BJ33" s="427">
        <f t="shared" si="10"/>
        <v>1.2747960423537579</v>
      </c>
      <c r="BK33" s="427">
        <f t="shared" si="10"/>
        <v>1.3513737075332348</v>
      </c>
      <c r="BL33" s="427">
        <f t="shared" si="10"/>
        <v>1.4299436829242376</v>
      </c>
      <c r="BM33" s="427">
        <f t="shared" si="10"/>
        <v>1.3364742463160739</v>
      </c>
      <c r="BN33" s="427">
        <f t="shared" si="10"/>
        <v>1.2853472520139184</v>
      </c>
      <c r="BO33" s="867">
        <v>1.5519811954331766</v>
      </c>
      <c r="BP33" s="867">
        <v>1.2290879241152861</v>
      </c>
      <c r="BQ33" s="867">
        <v>1.0441264805414554</v>
      </c>
      <c r="BR33" s="867">
        <v>1.3493072904837609</v>
      </c>
      <c r="BS33" s="867">
        <v>1.5368261140542228</v>
      </c>
      <c r="BT33" s="867">
        <v>1.291761159753122</v>
      </c>
      <c r="BU33" s="867">
        <v>2.6419819380034175</v>
      </c>
      <c r="BV33" s="867">
        <v>2.1835305068968438</v>
      </c>
      <c r="BW33" s="867">
        <v>2.1375528981598033</v>
      </c>
      <c r="BX33" s="867">
        <v>2.4237384235327406</v>
      </c>
      <c r="BY33" s="867">
        <v>1.6146073903002309</v>
      </c>
      <c r="BZ33" s="867">
        <v>1.2291078903124819</v>
      </c>
      <c r="CA33" s="867">
        <v>1.67065036131184</v>
      </c>
      <c r="CB33" s="867">
        <v>1.8692558270148836</v>
      </c>
      <c r="CC33" s="867">
        <v>1.7207309937478981</v>
      </c>
      <c r="CD33" s="867">
        <v>2.3917610779647385</v>
      </c>
      <c r="CE33" s="867">
        <v>1.8531914893617021</v>
      </c>
      <c r="CF33" s="867">
        <v>1.9754634611246042</v>
      </c>
      <c r="CG33" s="867">
        <v>1.3759622097081956</v>
      </c>
      <c r="CH33" s="867">
        <v>1.1849945213790027</v>
      </c>
      <c r="CI33" s="867">
        <v>2.115026833631485</v>
      </c>
      <c r="CJ33" s="867">
        <v>1.4983463310618375</v>
      </c>
      <c r="CK33" s="867">
        <v>0.97960310112222371</v>
      </c>
      <c r="CL33" s="867">
        <v>1.2951863447227334</v>
      </c>
      <c r="CM33" s="867">
        <v>0.98354675199741504</v>
      </c>
      <c r="CN33" s="867">
        <v>1.0129270278662315</v>
      </c>
      <c r="CO33" s="867">
        <v>1.6154038229722749</v>
      </c>
      <c r="CP33" s="867">
        <v>1.181559007765659</v>
      </c>
      <c r="CQ33" s="867">
        <v>0.96020526723470168</v>
      </c>
      <c r="CR33" s="867">
        <v>2.5611594924110479</v>
      </c>
      <c r="CS33" s="427">
        <f t="shared" si="10"/>
        <v>1.5121378747975187</v>
      </c>
      <c r="CT33" s="427">
        <f t="shared" ref="CT33:DT33" si="11">IF(CT23=0,0,CT32/CT23)</f>
        <v>1.6084658074653562</v>
      </c>
      <c r="CU33" s="427">
        <f t="shared" si="11"/>
        <v>1.3182922954725973</v>
      </c>
      <c r="CV33" s="427">
        <f t="shared" si="11"/>
        <v>1.1033426039569256</v>
      </c>
      <c r="CW33" s="427">
        <f t="shared" si="11"/>
        <v>2.8627569528415959</v>
      </c>
      <c r="CX33" s="427">
        <f t="shared" si="11"/>
        <v>2.1996963754823207</v>
      </c>
      <c r="CY33" s="427">
        <f t="shared" si="11"/>
        <v>1.5121378747975187</v>
      </c>
      <c r="CZ33" s="427">
        <f t="shared" si="11"/>
        <v>0.77008385803031787</v>
      </c>
      <c r="DA33" s="427">
        <f t="shared" si="11"/>
        <v>0.78147847391693592</v>
      </c>
      <c r="DB33" s="427">
        <f t="shared" si="11"/>
        <v>1.74835095956603</v>
      </c>
      <c r="DC33" s="427">
        <f t="shared" si="11"/>
        <v>2.8627569528415959</v>
      </c>
      <c r="DD33" s="427">
        <f t="shared" si="11"/>
        <v>2.1996963754823207</v>
      </c>
      <c r="DE33" s="427">
        <f t="shared" si="11"/>
        <v>0.95990383585446837</v>
      </c>
      <c r="DF33" s="427">
        <f t="shared" si="11"/>
        <v>0.93054072553045852</v>
      </c>
      <c r="DG33" s="427">
        <f t="shared" si="11"/>
        <v>0.64249222134890571</v>
      </c>
      <c r="DH33" s="427">
        <f t="shared" si="11"/>
        <v>0.70314977740110729</v>
      </c>
      <c r="DI33" s="427">
        <f t="shared" si="11"/>
        <v>1.0583185012327123</v>
      </c>
      <c r="DJ33" s="427">
        <f t="shared" si="11"/>
        <v>2.1996963754823207</v>
      </c>
      <c r="DK33" s="427">
        <f t="shared" si="11"/>
        <v>1.6800847457627119</v>
      </c>
      <c r="DL33" s="427">
        <f t="shared" si="11"/>
        <v>1.421776676232716</v>
      </c>
      <c r="DM33" s="427">
        <f t="shared" si="11"/>
        <v>1.1070010338831713</v>
      </c>
      <c r="DN33" s="427">
        <f t="shared" si="11"/>
        <v>0.66581397418780597</v>
      </c>
      <c r="DO33" s="427">
        <f t="shared" si="11"/>
        <v>1.3890465245303956</v>
      </c>
      <c r="DP33" s="427">
        <f t="shared" si="11"/>
        <v>1.7844280635885246</v>
      </c>
      <c r="DQ33" s="427">
        <f t="shared" si="11"/>
        <v>2.8627569528415959</v>
      </c>
      <c r="DR33" s="427">
        <f t="shared" si="11"/>
        <v>2.1996963754823207</v>
      </c>
      <c r="DS33" s="427">
        <f t="shared" si="11"/>
        <v>2.2046386907367825</v>
      </c>
      <c r="DT33" s="427">
        <f t="shared" si="11"/>
        <v>1.5071453577109146</v>
      </c>
      <c r="DU33" s="427">
        <f t="shared" ref="DU33:EB33" si="12">IF(DU23=0,0,DU32/DU23)</f>
        <v>0</v>
      </c>
      <c r="DV33" s="427">
        <f t="shared" si="12"/>
        <v>0</v>
      </c>
      <c r="DW33" s="427">
        <f t="shared" si="12"/>
        <v>0</v>
      </c>
      <c r="DX33" s="427">
        <f t="shared" si="12"/>
        <v>0</v>
      </c>
      <c r="DY33" s="427">
        <f t="shared" si="12"/>
        <v>0</v>
      </c>
      <c r="DZ33" s="427">
        <f t="shared" si="12"/>
        <v>0</v>
      </c>
      <c r="EA33" s="427">
        <f t="shared" si="12"/>
        <v>0</v>
      </c>
      <c r="EB33" s="427">
        <f t="shared" si="12"/>
        <v>0</v>
      </c>
      <c r="EC33" s="427">
        <f t="shared" ref="EC33:EK33" si="13">IF(EC23=0,0,EC32/EC23)</f>
        <v>0</v>
      </c>
      <c r="ED33" s="427">
        <f t="shared" si="13"/>
        <v>0</v>
      </c>
      <c r="EE33" s="427">
        <f t="shared" si="13"/>
        <v>0</v>
      </c>
      <c r="EF33" s="427">
        <f t="shared" si="13"/>
        <v>0</v>
      </c>
      <c r="EG33" s="427">
        <f t="shared" si="13"/>
        <v>0</v>
      </c>
      <c r="EH33" s="427">
        <f t="shared" si="13"/>
        <v>0</v>
      </c>
      <c r="EI33" s="427">
        <f t="shared" si="13"/>
        <v>0</v>
      </c>
      <c r="EJ33" s="427">
        <f t="shared" si="13"/>
        <v>0</v>
      </c>
      <c r="EK33" s="427">
        <f t="shared" si="13"/>
        <v>0</v>
      </c>
      <c r="EL33" s="427">
        <f t="shared" ref="EL33:FB33" si="14">IF(EL23=0,0,EL32/EL23)</f>
        <v>0</v>
      </c>
      <c r="EM33" s="427">
        <f t="shared" si="14"/>
        <v>0</v>
      </c>
      <c r="EN33" s="427">
        <f t="shared" si="14"/>
        <v>0</v>
      </c>
      <c r="EO33" s="427">
        <f t="shared" si="14"/>
        <v>0</v>
      </c>
      <c r="EP33" s="427">
        <f t="shared" si="14"/>
        <v>0</v>
      </c>
      <c r="EQ33" s="427">
        <f t="shared" si="14"/>
        <v>0</v>
      </c>
      <c r="ER33" s="427">
        <f t="shared" si="14"/>
        <v>0</v>
      </c>
      <c r="ES33" s="427">
        <f t="shared" si="14"/>
        <v>0</v>
      </c>
      <c r="ET33" s="427">
        <f t="shared" si="14"/>
        <v>0</v>
      </c>
      <c r="EU33" s="427">
        <f t="shared" ref="EU33:FA33" si="15">IF(EU23=0,0,EU32/EU23)</f>
        <v>0</v>
      </c>
      <c r="EV33" s="427">
        <f t="shared" si="15"/>
        <v>0</v>
      </c>
      <c r="EW33" s="427">
        <f t="shared" si="15"/>
        <v>0</v>
      </c>
      <c r="EX33" s="427">
        <f t="shared" si="15"/>
        <v>0</v>
      </c>
      <c r="EY33" s="427">
        <f t="shared" si="15"/>
        <v>0</v>
      </c>
      <c r="EZ33" s="427">
        <f t="shared" si="15"/>
        <v>0</v>
      </c>
      <c r="FA33" s="427">
        <f t="shared" si="15"/>
        <v>0</v>
      </c>
      <c r="FB33" s="427">
        <f t="shared" si="14"/>
        <v>0</v>
      </c>
      <c r="FC33" s="425"/>
    </row>
    <row r="34" spans="2:159">
      <c r="B34" s="1000" t="s">
        <v>351</v>
      </c>
      <c r="C34" s="1000"/>
      <c r="D34" s="837"/>
      <c r="E34" s="423" t="s">
        <v>1191</v>
      </c>
      <c r="F34" s="424"/>
      <c r="G34" s="329" t="s">
        <v>130</v>
      </c>
      <c r="H34" s="329"/>
      <c r="I34" s="427">
        <f>IF(I23=0,0,I30/I23)</f>
        <v>0.30981629039397968</v>
      </c>
      <c r="J34" s="427">
        <f t="shared" ref="J34:CY34" si="16">IF(J23=0,0,J30/J23)</f>
        <v>0.2133963396339634</v>
      </c>
      <c r="K34" s="427">
        <f t="shared" si="16"/>
        <v>0.2423761118170267</v>
      </c>
      <c r="L34" s="427">
        <f t="shared" si="16"/>
        <v>0.14863268828927048</v>
      </c>
      <c r="M34" s="427">
        <f t="shared" si="16"/>
        <v>0.20000000000000004</v>
      </c>
      <c r="N34" s="427">
        <f t="shared" si="16"/>
        <v>0.11803272034366508</v>
      </c>
      <c r="O34" s="427">
        <f t="shared" si="16"/>
        <v>0.24261432242484288</v>
      </c>
      <c r="P34" s="427">
        <f t="shared" si="16"/>
        <v>0.19895167329070904</v>
      </c>
      <c r="Q34" s="427">
        <f t="shared" si="16"/>
        <v>0.23073410206644593</v>
      </c>
      <c r="R34" s="427">
        <f t="shared" si="16"/>
        <v>0.19829182344860541</v>
      </c>
      <c r="S34" s="427">
        <f t="shared" si="16"/>
        <v>0.20878314642071064</v>
      </c>
      <c r="T34" s="427">
        <f t="shared" si="16"/>
        <v>0.22054924242424243</v>
      </c>
      <c r="U34" s="427">
        <f t="shared" si="16"/>
        <v>0.20716385993049985</v>
      </c>
      <c r="V34" s="427">
        <f t="shared" si="16"/>
        <v>0.19267633325141317</v>
      </c>
      <c r="W34" s="427">
        <f t="shared" si="16"/>
        <v>0.22759896411394745</v>
      </c>
      <c r="X34" s="427">
        <f t="shared" si="16"/>
        <v>0.18300992445563616</v>
      </c>
      <c r="Y34" s="427">
        <f t="shared" si="16"/>
        <v>0.1887637304974463</v>
      </c>
      <c r="Z34" s="427">
        <f t="shared" si="16"/>
        <v>0.19893138724180623</v>
      </c>
      <c r="AA34" s="427">
        <f t="shared" si="16"/>
        <v>0.16523557082057794</v>
      </c>
      <c r="AB34" s="427">
        <f t="shared" si="16"/>
        <v>0.18883720930232561</v>
      </c>
      <c r="AC34" s="427">
        <f t="shared" si="16"/>
        <v>0.20097710508669414</v>
      </c>
      <c r="AD34" s="427">
        <f t="shared" si="16"/>
        <v>0.23388980192024911</v>
      </c>
      <c r="AE34" s="427">
        <f t="shared" si="16"/>
        <v>0.17514625066477577</v>
      </c>
      <c r="AF34" s="427">
        <f t="shared" si="16"/>
        <v>0.18534047674508891</v>
      </c>
      <c r="AG34" s="427">
        <f t="shared" si="16"/>
        <v>0.19907541173071369</v>
      </c>
      <c r="AH34" s="427">
        <f t="shared" si="16"/>
        <v>0.21185675594342462</v>
      </c>
      <c r="AI34" s="427">
        <f t="shared" si="16"/>
        <v>0.18459124978211611</v>
      </c>
      <c r="AJ34" s="427">
        <f t="shared" si="16"/>
        <v>0.20834966679733438</v>
      </c>
      <c r="AK34" s="427">
        <f t="shared" si="16"/>
        <v>0.21646314679785647</v>
      </c>
      <c r="AL34" s="427">
        <f t="shared" si="16"/>
        <v>0.16066288704753598</v>
      </c>
      <c r="AM34" s="427">
        <f t="shared" si="16"/>
        <v>0.18543689320388351</v>
      </c>
      <c r="AN34" s="427">
        <f t="shared" si="16"/>
        <v>0.15892925430210325</v>
      </c>
      <c r="AO34" s="427">
        <f t="shared" si="16"/>
        <v>0.1580232362350564</v>
      </c>
      <c r="AP34" s="427">
        <f t="shared" si="16"/>
        <v>0.17308606752258676</v>
      </c>
      <c r="AQ34" s="427">
        <f t="shared" si="16"/>
        <v>0.2101699088894361</v>
      </c>
      <c r="AR34" s="427">
        <f t="shared" si="16"/>
        <v>0.14647051982788695</v>
      </c>
      <c r="AS34" s="427">
        <f t="shared" si="16"/>
        <v>0.17795275590551179</v>
      </c>
      <c r="AT34" s="427">
        <f t="shared" si="16"/>
        <v>0.15020259319286872</v>
      </c>
      <c r="AU34" s="427">
        <f t="shared" si="16"/>
        <v>0.15020259319286872</v>
      </c>
      <c r="AV34" s="427">
        <f t="shared" si="16"/>
        <v>0.23293751767034213</v>
      </c>
      <c r="AW34" s="427">
        <f t="shared" si="16"/>
        <v>0.21801891488302638</v>
      </c>
      <c r="AX34" s="427">
        <f t="shared" si="16"/>
        <v>0.15665643723513076</v>
      </c>
      <c r="AY34" s="427">
        <f t="shared" si="16"/>
        <v>0.17125308811419163</v>
      </c>
      <c r="AZ34" s="427">
        <f t="shared" si="16"/>
        <v>0.20174034110685696</v>
      </c>
      <c r="BA34" s="427">
        <f t="shared" si="16"/>
        <v>0.13116784356328082</v>
      </c>
      <c r="BB34" s="427">
        <f t="shared" si="16"/>
        <v>0.17726366593222115</v>
      </c>
      <c r="BC34" s="427">
        <f t="shared" si="16"/>
        <v>0.21636708147692937</v>
      </c>
      <c r="BD34" s="427">
        <f t="shared" si="16"/>
        <v>0.22088647959183674</v>
      </c>
      <c r="BE34" s="427">
        <f t="shared" si="16"/>
        <v>0.15959533395272013</v>
      </c>
      <c r="BF34" s="427">
        <f t="shared" si="16"/>
        <v>0.18207185211021973</v>
      </c>
      <c r="BG34" s="427">
        <f t="shared" si="16"/>
        <v>0.17865281195880048</v>
      </c>
      <c r="BH34" s="427">
        <f t="shared" si="16"/>
        <v>0.13744243712362736</v>
      </c>
      <c r="BI34" s="427">
        <f t="shared" si="16"/>
        <v>0.16961674619054948</v>
      </c>
      <c r="BJ34" s="427">
        <f t="shared" si="16"/>
        <v>0.16601284499218885</v>
      </c>
      <c r="BK34" s="427">
        <f t="shared" si="16"/>
        <v>0.15128508124076809</v>
      </c>
      <c r="BL34" s="427">
        <f t="shared" si="16"/>
        <v>0.16709170120072259</v>
      </c>
      <c r="BM34" s="427">
        <f t="shared" si="16"/>
        <v>0.1925104772204948</v>
      </c>
      <c r="BN34" s="427">
        <f t="shared" si="16"/>
        <v>0.19123885790552458</v>
      </c>
      <c r="BO34" s="867">
        <v>0.15490261920752182</v>
      </c>
      <c r="BP34" s="867">
        <v>0.26990514410798977</v>
      </c>
      <c r="BQ34" s="867">
        <v>0.26443527918781728</v>
      </c>
      <c r="BR34" s="867">
        <v>0.19793322734499205</v>
      </c>
      <c r="BS34" s="867">
        <v>0.15655188532253042</v>
      </c>
      <c r="BT34" s="867">
        <v>6.0198076647050375E-2</v>
      </c>
      <c r="BU34" s="867">
        <v>0.18061996582865511</v>
      </c>
      <c r="BV34" s="867">
        <v>0.1589066598967589</v>
      </c>
      <c r="BW34" s="867">
        <v>6.9951447581370257E-2</v>
      </c>
      <c r="BX34" s="867">
        <v>0.2011448595588155</v>
      </c>
      <c r="BY34" s="867">
        <v>0.10221420323325635</v>
      </c>
      <c r="BZ34" s="867">
        <v>0.22135660038263089</v>
      </c>
      <c r="CA34" s="867">
        <v>0.26814897165091717</v>
      </c>
      <c r="CB34" s="867">
        <v>0.24359730412805392</v>
      </c>
      <c r="CC34" s="867">
        <v>0.21936493017641343</v>
      </c>
      <c r="CD34" s="867">
        <v>0.20402896024669842</v>
      </c>
      <c r="CE34" s="867">
        <v>0.21302127659574469</v>
      </c>
      <c r="CF34" s="867">
        <v>0.21240815322655027</v>
      </c>
      <c r="CG34" s="867">
        <v>0.14599525294364035</v>
      </c>
      <c r="CH34" s="867">
        <v>0.20296402681738548</v>
      </c>
      <c r="CI34" s="867">
        <v>0.17654825794360676</v>
      </c>
      <c r="CJ34" s="867">
        <v>0.1231081222134411</v>
      </c>
      <c r="CK34" s="867">
        <v>9.3791650981309815E-2</v>
      </c>
      <c r="CL34" s="867">
        <v>0.16135372489397456</v>
      </c>
      <c r="CM34" s="867">
        <v>0.10484868846199037</v>
      </c>
      <c r="CN34" s="867">
        <v>0.10891027377350264</v>
      </c>
      <c r="CO34" s="867">
        <v>0.1648183227139659</v>
      </c>
      <c r="CP34" s="867">
        <v>0.30009684404481662</v>
      </c>
      <c r="CQ34" s="867">
        <v>0.14772140459592045</v>
      </c>
      <c r="CR34" s="867">
        <v>0.16098531973127647</v>
      </c>
      <c r="CS34" s="427">
        <f t="shared" si="16"/>
        <v>0.22082887965707612</v>
      </c>
      <c r="CT34" s="427">
        <f t="shared" si="16"/>
        <v>7.3516874780602773E-2</v>
      </c>
      <c r="CU34" s="427">
        <f t="shared" si="16"/>
        <v>8.3617950754567127E-2</v>
      </c>
      <c r="CV34" s="427">
        <f t="shared" si="16"/>
        <v>7.2899103120349473E-2</v>
      </c>
      <c r="CW34" s="427">
        <f t="shared" si="16"/>
        <v>0.36154776299879077</v>
      </c>
      <c r="CX34" s="427">
        <f t="shared" si="16"/>
        <v>0.330824214055285</v>
      </c>
      <c r="CY34" s="427">
        <f t="shared" si="16"/>
        <v>0.22082887965707612</v>
      </c>
      <c r="CZ34" s="427">
        <f t="shared" ref="CZ34:EB34" si="17">IF(CZ23=0,0,CZ30/CZ23)</f>
        <v>9.2783722006422584E-2</v>
      </c>
      <c r="DA34" s="427">
        <f t="shared" si="17"/>
        <v>0.42837240453175918</v>
      </c>
      <c r="DB34" s="427">
        <f t="shared" si="17"/>
        <v>0.10346674568081324</v>
      </c>
      <c r="DC34" s="427">
        <f t="shared" si="17"/>
        <v>0.36154776299879077</v>
      </c>
      <c r="DD34" s="427">
        <f t="shared" si="17"/>
        <v>0.330824214055285</v>
      </c>
      <c r="DE34" s="427">
        <f t="shared" si="17"/>
        <v>8.3608059697939843E-2</v>
      </c>
      <c r="DF34" s="427">
        <f t="shared" si="17"/>
        <v>0.22673967602099018</v>
      </c>
      <c r="DG34" s="427">
        <f t="shared" si="17"/>
        <v>0.41528902804211842</v>
      </c>
      <c r="DH34" s="427">
        <f t="shared" si="17"/>
        <v>0.36736285686107528</v>
      </c>
      <c r="DI34" s="427">
        <f t="shared" si="17"/>
        <v>0.25387809990902976</v>
      </c>
      <c r="DJ34" s="427">
        <f t="shared" si="17"/>
        <v>0.330824214055285</v>
      </c>
      <c r="DK34" s="427">
        <f t="shared" si="17"/>
        <v>0.17926271186440676</v>
      </c>
      <c r="DL34" s="427">
        <f t="shared" si="17"/>
        <v>0.15734933472475868</v>
      </c>
      <c r="DM34" s="427">
        <f t="shared" si="17"/>
        <v>0.14074909535222518</v>
      </c>
      <c r="DN34" s="427">
        <f t="shared" si="17"/>
        <v>0.2660054676076038</v>
      </c>
      <c r="DO34" s="427">
        <f t="shared" si="17"/>
        <v>5.6241578822223984E-2</v>
      </c>
      <c r="DP34" s="427">
        <f t="shared" si="17"/>
        <v>3.7935553163705803E-2</v>
      </c>
      <c r="DQ34" s="427">
        <f t="shared" si="17"/>
        <v>0.36154776299879077</v>
      </c>
      <c r="DR34" s="427">
        <f t="shared" si="17"/>
        <v>0.330824214055285</v>
      </c>
      <c r="DS34" s="427">
        <f t="shared" si="17"/>
        <v>8.8782158584635978E-2</v>
      </c>
      <c r="DT34" s="427">
        <f t="shared" si="17"/>
        <v>1.3273486818159314E-2</v>
      </c>
      <c r="DU34" s="427">
        <f t="shared" si="17"/>
        <v>0</v>
      </c>
      <c r="DV34" s="427">
        <f t="shared" si="17"/>
        <v>0</v>
      </c>
      <c r="DW34" s="427">
        <f t="shared" si="17"/>
        <v>0</v>
      </c>
      <c r="DX34" s="427">
        <f t="shared" si="17"/>
        <v>0</v>
      </c>
      <c r="DY34" s="427">
        <f t="shared" si="17"/>
        <v>0</v>
      </c>
      <c r="DZ34" s="427">
        <f t="shared" si="17"/>
        <v>0</v>
      </c>
      <c r="EA34" s="427">
        <f t="shared" si="17"/>
        <v>0</v>
      </c>
      <c r="EB34" s="427">
        <f t="shared" si="17"/>
        <v>0</v>
      </c>
      <c r="EC34" s="427">
        <f t="shared" ref="EC34:EK34" si="18">IF(EC23=0,0,EC30/EC23)</f>
        <v>0</v>
      </c>
      <c r="ED34" s="427">
        <f t="shared" si="18"/>
        <v>0</v>
      </c>
      <c r="EE34" s="427">
        <f t="shared" si="18"/>
        <v>0</v>
      </c>
      <c r="EF34" s="427">
        <f t="shared" si="18"/>
        <v>0</v>
      </c>
      <c r="EG34" s="427">
        <f t="shared" si="18"/>
        <v>0</v>
      </c>
      <c r="EH34" s="427">
        <f t="shared" si="18"/>
        <v>0</v>
      </c>
      <c r="EI34" s="427">
        <f t="shared" si="18"/>
        <v>0</v>
      </c>
      <c r="EJ34" s="427">
        <f t="shared" si="18"/>
        <v>0</v>
      </c>
      <c r="EK34" s="427">
        <f t="shared" si="18"/>
        <v>0</v>
      </c>
      <c r="EL34" s="427">
        <f t="shared" ref="EL34:FB34" si="19">IF(EL23=0,0,EL30/EL23)</f>
        <v>0</v>
      </c>
      <c r="EM34" s="427">
        <f t="shared" si="19"/>
        <v>0</v>
      </c>
      <c r="EN34" s="427">
        <f t="shared" si="19"/>
        <v>0</v>
      </c>
      <c r="EO34" s="427">
        <f t="shared" si="19"/>
        <v>0</v>
      </c>
      <c r="EP34" s="427">
        <f t="shared" si="19"/>
        <v>0</v>
      </c>
      <c r="EQ34" s="427">
        <f t="shared" si="19"/>
        <v>0</v>
      </c>
      <c r="ER34" s="427">
        <f t="shared" si="19"/>
        <v>0</v>
      </c>
      <c r="ES34" s="427">
        <f t="shared" si="19"/>
        <v>0</v>
      </c>
      <c r="ET34" s="427">
        <f t="shared" si="19"/>
        <v>0</v>
      </c>
      <c r="EU34" s="427">
        <f t="shared" ref="EU34:FA34" si="20">IF(EU23=0,0,EU30/EU23)</f>
        <v>0</v>
      </c>
      <c r="EV34" s="427">
        <f t="shared" si="20"/>
        <v>0</v>
      </c>
      <c r="EW34" s="427">
        <f t="shared" si="20"/>
        <v>0</v>
      </c>
      <c r="EX34" s="427">
        <f t="shared" si="20"/>
        <v>0</v>
      </c>
      <c r="EY34" s="427">
        <f t="shared" si="20"/>
        <v>0</v>
      </c>
      <c r="EZ34" s="427">
        <f t="shared" si="20"/>
        <v>0</v>
      </c>
      <c r="FA34" s="427">
        <f t="shared" si="20"/>
        <v>0</v>
      </c>
      <c r="FB34" s="427">
        <f t="shared" si="19"/>
        <v>0</v>
      </c>
      <c r="FC34" s="425"/>
    </row>
    <row r="35" spans="2:159" ht="38.25">
      <c r="B35" s="1000" t="s">
        <v>351</v>
      </c>
      <c r="C35" s="1000"/>
      <c r="D35" s="837"/>
      <c r="E35" s="447" t="s">
        <v>411</v>
      </c>
      <c r="F35" s="447"/>
      <c r="G35" s="447"/>
      <c r="H35" s="448"/>
      <c r="I35" s="911" t="str">
        <f>HYPERLINK("https://www.rvo.nl/sites/default/files/2017/02/Referentiegebouwen%20BENG.pdf","BENG referentie woningen")</f>
        <v>BENG referentie woningen</v>
      </c>
      <c r="J35" s="911" t="str">
        <f t="shared" ref="J35:O35" si="21">HYPERLINK("https://www.rvo.nl/sites/default/files/2017/02/Referentiegebouwen%20BENG.pdf","BENG referentie woningen")</f>
        <v>BENG referentie woningen</v>
      </c>
      <c r="K35" s="911" t="str">
        <f t="shared" si="21"/>
        <v>BENG referentie woningen</v>
      </c>
      <c r="L35" s="911" t="str">
        <f t="shared" si="21"/>
        <v>BENG referentie woningen</v>
      </c>
      <c r="M35" s="911" t="str">
        <f t="shared" si="21"/>
        <v>BENG referentie woningen</v>
      </c>
      <c r="N35" s="911" t="str">
        <f t="shared" si="21"/>
        <v>BENG referentie woningen</v>
      </c>
      <c r="O35" s="911" t="str">
        <f t="shared" si="21"/>
        <v>BENG referentie woningen</v>
      </c>
      <c r="P35" s="911" t="str">
        <f>HYPERLINK("https://www.rvo.nl/onderwerpen/wetten-en-regels-gebouwen/voorbeeldwoningen-bestaande-bouw","Voorbeeld- woningen bestaand 2022")</f>
        <v>Voorbeeld- woningen bestaand 2022</v>
      </c>
      <c r="Q35" s="911" t="str">
        <f t="shared" ref="Q35:BN35" si="22">HYPERLINK("https://www.rvo.nl/onderwerpen/wetten-en-regels-gebouwen/voorbeeldwoningen-bestaande-bouw","Voorbeeld- woningen bestaand 2022")</f>
        <v>Voorbeeld- woningen bestaand 2022</v>
      </c>
      <c r="R35" s="911" t="str">
        <f t="shared" si="22"/>
        <v>Voorbeeld- woningen bestaand 2022</v>
      </c>
      <c r="S35" s="911" t="str">
        <f t="shared" si="22"/>
        <v>Voorbeeld- woningen bestaand 2022</v>
      </c>
      <c r="T35" s="911" t="str">
        <f t="shared" si="22"/>
        <v>Voorbeeld- woningen bestaand 2022</v>
      </c>
      <c r="U35" s="911" t="str">
        <f t="shared" si="22"/>
        <v>Voorbeeld- woningen bestaand 2022</v>
      </c>
      <c r="V35" s="911" t="str">
        <f t="shared" si="22"/>
        <v>Voorbeeld- woningen bestaand 2022</v>
      </c>
      <c r="W35" s="911" t="str">
        <f t="shared" si="22"/>
        <v>Voorbeeld- woningen bestaand 2022</v>
      </c>
      <c r="X35" s="911" t="str">
        <f t="shared" si="22"/>
        <v>Voorbeeld- woningen bestaand 2022</v>
      </c>
      <c r="Y35" s="911" t="str">
        <f t="shared" si="22"/>
        <v>Voorbeeld- woningen bestaand 2022</v>
      </c>
      <c r="Z35" s="911" t="str">
        <f t="shared" si="22"/>
        <v>Voorbeeld- woningen bestaand 2022</v>
      </c>
      <c r="AA35" s="911" t="str">
        <f t="shared" si="22"/>
        <v>Voorbeeld- woningen bestaand 2022</v>
      </c>
      <c r="AB35" s="911" t="str">
        <f t="shared" si="22"/>
        <v>Voorbeeld- woningen bestaand 2022</v>
      </c>
      <c r="AC35" s="911" t="str">
        <f t="shared" si="22"/>
        <v>Voorbeeld- woningen bestaand 2022</v>
      </c>
      <c r="AD35" s="911" t="str">
        <f t="shared" si="22"/>
        <v>Voorbeeld- woningen bestaand 2022</v>
      </c>
      <c r="AE35" s="911" t="str">
        <f t="shared" si="22"/>
        <v>Voorbeeld- woningen bestaand 2022</v>
      </c>
      <c r="AF35" s="911" t="str">
        <f t="shared" si="22"/>
        <v>Voorbeeld- woningen bestaand 2022</v>
      </c>
      <c r="AG35" s="911" t="str">
        <f t="shared" si="22"/>
        <v>Voorbeeld- woningen bestaand 2022</v>
      </c>
      <c r="AH35" s="911" t="str">
        <f t="shared" si="22"/>
        <v>Voorbeeld- woningen bestaand 2022</v>
      </c>
      <c r="AI35" s="911" t="str">
        <f t="shared" si="22"/>
        <v>Voorbeeld- woningen bestaand 2022</v>
      </c>
      <c r="AJ35" s="911" t="str">
        <f t="shared" si="22"/>
        <v>Voorbeeld- woningen bestaand 2022</v>
      </c>
      <c r="AK35" s="911" t="str">
        <f t="shared" si="22"/>
        <v>Voorbeeld- woningen bestaand 2022</v>
      </c>
      <c r="AL35" s="911" t="str">
        <f t="shared" si="22"/>
        <v>Voorbeeld- woningen bestaand 2022</v>
      </c>
      <c r="AM35" s="911" t="str">
        <f t="shared" si="22"/>
        <v>Voorbeeld- woningen bestaand 2022</v>
      </c>
      <c r="AN35" s="911" t="str">
        <f t="shared" si="22"/>
        <v>Voorbeeld- woningen bestaand 2022</v>
      </c>
      <c r="AO35" s="911" t="str">
        <f t="shared" si="22"/>
        <v>Voorbeeld- woningen bestaand 2022</v>
      </c>
      <c r="AP35" s="911" t="str">
        <f t="shared" si="22"/>
        <v>Voorbeeld- woningen bestaand 2022</v>
      </c>
      <c r="AQ35" s="911" t="str">
        <f t="shared" si="22"/>
        <v>Voorbeeld- woningen bestaand 2022</v>
      </c>
      <c r="AR35" s="911" t="str">
        <f t="shared" si="22"/>
        <v>Voorbeeld- woningen bestaand 2022</v>
      </c>
      <c r="AS35" s="911" t="str">
        <f t="shared" si="22"/>
        <v>Voorbeeld- woningen bestaand 2022</v>
      </c>
      <c r="AT35" s="911" t="str">
        <f t="shared" si="22"/>
        <v>Voorbeeld- woningen bestaand 2022</v>
      </c>
      <c r="AU35" s="911" t="str">
        <f t="shared" si="22"/>
        <v>Voorbeeld- woningen bestaand 2022</v>
      </c>
      <c r="AV35" s="911" t="str">
        <f t="shared" si="22"/>
        <v>Voorbeeld- woningen bestaand 2022</v>
      </c>
      <c r="AW35" s="911" t="str">
        <f t="shared" si="22"/>
        <v>Voorbeeld- woningen bestaand 2022</v>
      </c>
      <c r="AX35" s="911" t="str">
        <f t="shared" si="22"/>
        <v>Voorbeeld- woningen bestaand 2022</v>
      </c>
      <c r="AY35" s="911" t="str">
        <f t="shared" si="22"/>
        <v>Voorbeeld- woningen bestaand 2022</v>
      </c>
      <c r="AZ35" s="911" t="str">
        <f t="shared" si="22"/>
        <v>Voorbeeld- woningen bestaand 2022</v>
      </c>
      <c r="BA35" s="911" t="str">
        <f t="shared" si="22"/>
        <v>Voorbeeld- woningen bestaand 2022</v>
      </c>
      <c r="BB35" s="911" t="str">
        <f t="shared" si="22"/>
        <v>Voorbeeld- woningen bestaand 2022</v>
      </c>
      <c r="BC35" s="911" t="str">
        <f t="shared" si="22"/>
        <v>Voorbeeld- woningen bestaand 2022</v>
      </c>
      <c r="BD35" s="911" t="str">
        <f t="shared" si="22"/>
        <v>Voorbeeld- woningen bestaand 2022</v>
      </c>
      <c r="BE35" s="911" t="str">
        <f t="shared" si="22"/>
        <v>Voorbeeld- woningen bestaand 2022</v>
      </c>
      <c r="BF35" s="911" t="str">
        <f t="shared" si="22"/>
        <v>Voorbeeld- woningen bestaand 2022</v>
      </c>
      <c r="BG35" s="911" t="str">
        <f t="shared" si="22"/>
        <v>Voorbeeld- woningen bestaand 2022</v>
      </c>
      <c r="BH35" s="911" t="str">
        <f t="shared" si="22"/>
        <v>Voorbeeld- woningen bestaand 2022</v>
      </c>
      <c r="BI35" s="911" t="str">
        <f t="shared" si="22"/>
        <v>Voorbeeld- woningen bestaand 2022</v>
      </c>
      <c r="BJ35" s="911" t="str">
        <f t="shared" si="22"/>
        <v>Voorbeeld- woningen bestaand 2022</v>
      </c>
      <c r="BK35" s="911" t="str">
        <f t="shared" si="22"/>
        <v>Voorbeeld- woningen bestaand 2022</v>
      </c>
      <c r="BL35" s="911" t="str">
        <f t="shared" si="22"/>
        <v>Voorbeeld- woningen bestaand 2022</v>
      </c>
      <c r="BM35" s="911" t="str">
        <f t="shared" si="22"/>
        <v>Voorbeeld- woningen bestaand 2022</v>
      </c>
      <c r="BN35" s="911" t="str">
        <f t="shared" si="22"/>
        <v>Voorbeeld- woningen bestaand 2022</v>
      </c>
      <c r="BO35" s="1228" t="s">
        <v>1110</v>
      </c>
      <c r="BP35" s="1228" t="s">
        <v>1110</v>
      </c>
      <c r="BQ35" s="1228" t="s">
        <v>1110</v>
      </c>
      <c r="BR35" s="1228" t="s">
        <v>1110</v>
      </c>
      <c r="BS35" s="1228" t="s">
        <v>1110</v>
      </c>
      <c r="BT35" s="1228" t="s">
        <v>1110</v>
      </c>
      <c r="BU35" s="1228" t="s">
        <v>1110</v>
      </c>
      <c r="BV35" s="1228" t="s">
        <v>1110</v>
      </c>
      <c r="BW35" s="1228" t="s">
        <v>1110</v>
      </c>
      <c r="BX35" s="1228" t="s">
        <v>1110</v>
      </c>
      <c r="BY35" s="1228" t="s">
        <v>1110</v>
      </c>
      <c r="BZ35" s="1228" t="s">
        <v>1110</v>
      </c>
      <c r="CA35" s="1228" t="s">
        <v>1110</v>
      </c>
      <c r="CB35" s="1228" t="s">
        <v>1110</v>
      </c>
      <c r="CC35" s="1228" t="s">
        <v>1110</v>
      </c>
      <c r="CD35" s="1228" t="s">
        <v>1110</v>
      </c>
      <c r="CE35" s="1228" t="s">
        <v>1110</v>
      </c>
      <c r="CF35" s="1228" t="s">
        <v>1110</v>
      </c>
      <c r="CG35" s="1228" t="s">
        <v>1110</v>
      </c>
      <c r="CH35" s="1228" t="s">
        <v>1110</v>
      </c>
      <c r="CI35" s="1228" t="s">
        <v>1110</v>
      </c>
      <c r="CJ35" s="1228" t="s">
        <v>1110</v>
      </c>
      <c r="CK35" s="1228" t="s">
        <v>1110</v>
      </c>
      <c r="CL35" s="1228" t="s">
        <v>1110</v>
      </c>
      <c r="CM35" s="1228" t="s">
        <v>1110</v>
      </c>
      <c r="CN35" s="1228" t="s">
        <v>1110</v>
      </c>
      <c r="CO35" s="1228" t="s">
        <v>1110</v>
      </c>
      <c r="CP35" s="1228" t="s">
        <v>1110</v>
      </c>
      <c r="CQ35" s="1228" t="s">
        <v>1110</v>
      </c>
      <c r="CR35" s="1228" t="s">
        <v>1110</v>
      </c>
      <c r="CS35" s="1236" t="s">
        <v>1171</v>
      </c>
      <c r="CT35" s="1236" t="s">
        <v>1171</v>
      </c>
      <c r="CU35" s="1236" t="s">
        <v>1171</v>
      </c>
      <c r="CV35" s="1236" t="s">
        <v>1171</v>
      </c>
      <c r="CW35" s="1236" t="s">
        <v>1171</v>
      </c>
      <c r="CX35" s="1236" t="s">
        <v>1171</v>
      </c>
      <c r="CY35" s="1236" t="s">
        <v>1171</v>
      </c>
      <c r="CZ35" s="1236" t="s">
        <v>1171</v>
      </c>
      <c r="DA35" s="1236" t="s">
        <v>1171</v>
      </c>
      <c r="DB35" s="1236" t="s">
        <v>1171</v>
      </c>
      <c r="DC35" s="1236" t="s">
        <v>1171</v>
      </c>
      <c r="DD35" s="1236" t="s">
        <v>1171</v>
      </c>
      <c r="DE35" s="1236" t="s">
        <v>1171</v>
      </c>
      <c r="DF35" s="1236" t="s">
        <v>1171</v>
      </c>
      <c r="DG35" s="1236" t="s">
        <v>1171</v>
      </c>
      <c r="DH35" s="1236" t="s">
        <v>1171</v>
      </c>
      <c r="DI35" s="1236" t="s">
        <v>1171</v>
      </c>
      <c r="DJ35" s="1236" t="s">
        <v>1171</v>
      </c>
      <c r="DK35" s="1236" t="s">
        <v>1171</v>
      </c>
      <c r="DL35" s="1236" t="s">
        <v>1171</v>
      </c>
      <c r="DM35" s="1236" t="s">
        <v>1171</v>
      </c>
      <c r="DN35" s="1236" t="s">
        <v>1171</v>
      </c>
      <c r="DO35" s="1236" t="s">
        <v>1171</v>
      </c>
      <c r="DP35" s="1236" t="s">
        <v>1171</v>
      </c>
      <c r="DQ35" s="1236" t="s">
        <v>1171</v>
      </c>
      <c r="DR35" s="1236" t="s">
        <v>1171</v>
      </c>
      <c r="DS35" s="1236" t="s">
        <v>1171</v>
      </c>
      <c r="DT35" s="1236" t="s">
        <v>1171</v>
      </c>
      <c r="DU35" s="449"/>
      <c r="DV35" s="449"/>
      <c r="DW35" s="449"/>
      <c r="DX35" s="449"/>
      <c r="DY35" s="449"/>
      <c r="DZ35" s="449"/>
      <c r="EA35" s="449"/>
      <c r="EB35" s="449"/>
      <c r="EC35" s="449"/>
      <c r="ED35" s="449"/>
      <c r="EE35" s="449"/>
      <c r="EF35" s="449"/>
      <c r="EG35" s="449"/>
      <c r="EH35" s="449"/>
      <c r="EI35" s="449"/>
      <c r="EJ35" s="449"/>
      <c r="EK35" s="449"/>
      <c r="EL35" s="449"/>
      <c r="EM35" s="449"/>
      <c r="EN35" s="449"/>
      <c r="EO35" s="449"/>
      <c r="EP35" s="449"/>
      <c r="EQ35" s="449"/>
      <c r="ER35" s="449"/>
      <c r="ES35" s="449"/>
      <c r="ET35" s="449"/>
      <c r="EU35" s="449"/>
      <c r="EV35" s="449"/>
      <c r="EW35" s="449"/>
      <c r="EX35" s="449"/>
      <c r="EY35" s="449"/>
      <c r="EZ35" s="449"/>
      <c r="FA35" s="449"/>
      <c r="FB35" s="449"/>
      <c r="FC35" s="449"/>
    </row>
    <row r="36" spans="2:159">
      <c r="B36" s="1000" t="s">
        <v>351</v>
      </c>
      <c r="C36" s="1000"/>
      <c r="D36" s="837"/>
      <c r="E36" s="5"/>
      <c r="F36" s="5"/>
      <c r="G36" s="5"/>
      <c r="H36" s="15"/>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row>
    <row r="37" spans="2:159" hidden="1">
      <c r="B37" s="1000" t="s">
        <v>412</v>
      </c>
      <c r="C37" s="1000"/>
      <c r="D37" s="837"/>
      <c r="E37" s="5"/>
      <c r="F37" s="5"/>
      <c r="G37" s="5"/>
      <c r="H37" s="15"/>
      <c r="I37" s="74"/>
      <c r="J37" s="15"/>
      <c r="K37" s="15"/>
      <c r="L37" s="15"/>
      <c r="M37" s="15"/>
      <c r="N37" s="15"/>
      <c r="O37" s="15"/>
      <c r="P37" s="15"/>
      <c r="Q37" s="15"/>
      <c r="R37" s="15"/>
      <c r="S37" s="15"/>
      <c r="T37" s="15"/>
      <c r="U37" s="15"/>
      <c r="V37" s="15"/>
      <c r="W37" s="15"/>
      <c r="X37" s="15"/>
      <c r="Y37" s="19"/>
      <c r="Z37" s="5"/>
      <c r="AA37" s="5"/>
      <c r="AB37" s="5"/>
      <c r="AC37" s="5"/>
      <c r="AD37" s="5"/>
      <c r="AE37" s="5"/>
      <c r="AF37" s="5"/>
      <c r="AG37" s="5"/>
      <c r="AH37" s="5"/>
      <c r="AI37" s="5"/>
      <c r="AJ37" s="5"/>
      <c r="AK37" s="5"/>
      <c r="AL37" s="5"/>
      <c r="AM37" s="5"/>
      <c r="AN37" s="5"/>
      <c r="AO37" s="5"/>
      <c r="AP37" s="5"/>
      <c r="AQ37" s="5"/>
      <c r="AR37" s="5"/>
      <c r="AS37" s="371"/>
    </row>
    <row r="38" spans="2:159" ht="21" hidden="1">
      <c r="B38" s="1000" t="s">
        <v>412</v>
      </c>
      <c r="C38" s="1000"/>
      <c r="D38" s="1151" t="s">
        <v>45</v>
      </c>
      <c r="E38" s="199" t="s">
        <v>412</v>
      </c>
      <c r="F38" s="199"/>
      <c r="G38" s="199"/>
      <c r="H38" s="199"/>
      <c r="I38" s="199"/>
      <c r="J38" s="199"/>
      <c r="K38" s="199"/>
      <c r="L38" s="199"/>
      <c r="M38" s="199"/>
      <c r="N38" s="199"/>
      <c r="O38" s="199"/>
      <c r="P38" s="199"/>
      <c r="Q38" s="199"/>
      <c r="R38" s="199"/>
      <c r="S38" s="199"/>
      <c r="T38" s="199"/>
      <c r="U38" s="199"/>
      <c r="V38" s="199"/>
      <c r="W38" s="199"/>
      <c r="X38" s="15"/>
      <c r="Y38" s="15"/>
      <c r="Z38" s="5"/>
      <c r="AA38" s="5"/>
      <c r="AB38" s="857" t="s">
        <v>413</v>
      </c>
      <c r="AH38" s="5"/>
      <c r="AI38" s="5"/>
      <c r="AJ38" s="5"/>
      <c r="AK38" s="5"/>
      <c r="AL38" s="5"/>
      <c r="AM38" s="5"/>
      <c r="AN38" s="5"/>
      <c r="AO38" s="5"/>
      <c r="AP38" s="5"/>
      <c r="AQ38" s="5"/>
      <c r="AR38" s="5"/>
      <c r="AS38" s="371"/>
    </row>
    <row r="39" spans="2:159" hidden="1">
      <c r="B39" s="1000" t="s">
        <v>412</v>
      </c>
      <c r="C39" s="1000"/>
      <c r="D39" s="837"/>
      <c r="E39" s="434" t="s">
        <v>414</v>
      </c>
      <c r="F39" s="434"/>
      <c r="G39" s="434" t="s">
        <v>353</v>
      </c>
      <c r="H39" s="435"/>
      <c r="I39" s="436">
        <f t="shared" ref="I39:V39" ca="1" si="23">OFFSET(I39,0,-1)+1</f>
        <v>1</v>
      </c>
      <c r="J39" s="436">
        <f t="shared" ca="1" si="23"/>
        <v>2</v>
      </c>
      <c r="K39" s="436">
        <f t="shared" ca="1" si="23"/>
        <v>3</v>
      </c>
      <c r="L39" s="436">
        <f t="shared" ca="1" si="23"/>
        <v>4</v>
      </c>
      <c r="M39" s="436">
        <f t="shared" ca="1" si="23"/>
        <v>5</v>
      </c>
      <c r="N39" s="436">
        <f t="shared" ca="1" si="23"/>
        <v>6</v>
      </c>
      <c r="O39" s="436">
        <f t="shared" ca="1" si="23"/>
        <v>7</v>
      </c>
      <c r="P39" s="436">
        <f t="shared" ca="1" si="23"/>
        <v>8</v>
      </c>
      <c r="Q39" s="436">
        <f t="shared" ca="1" si="23"/>
        <v>9</v>
      </c>
      <c r="R39" s="436">
        <f t="shared" ca="1" si="23"/>
        <v>10</v>
      </c>
      <c r="S39" s="436">
        <f t="shared" ca="1" si="23"/>
        <v>11</v>
      </c>
      <c r="T39" s="436">
        <f t="shared" ca="1" si="23"/>
        <v>12</v>
      </c>
      <c r="U39" s="436">
        <f t="shared" ca="1" si="23"/>
        <v>13</v>
      </c>
      <c r="V39" s="436">
        <f t="shared" ca="1" si="23"/>
        <v>14</v>
      </c>
      <c r="W39" s="436"/>
      <c r="X39" s="15"/>
      <c r="Y39" s="15"/>
      <c r="Z39" s="5"/>
      <c r="AA39" s="5"/>
      <c r="AH39" s="5"/>
      <c r="AI39" s="5"/>
      <c r="AJ39" s="5"/>
      <c r="AK39" s="5"/>
      <c r="AL39" s="5"/>
      <c r="AM39" s="5"/>
      <c r="AN39" s="5"/>
      <c r="AO39" s="5"/>
      <c r="AP39" s="5"/>
      <c r="AQ39" s="5"/>
      <c r="AR39" s="5"/>
      <c r="AS39" s="21"/>
    </row>
    <row r="40" spans="2:159" ht="18.75" hidden="1">
      <c r="B40" s="1000" t="s">
        <v>412</v>
      </c>
      <c r="C40" s="1000"/>
      <c r="D40" s="836"/>
      <c r="E40" s="337" t="s">
        <v>415</v>
      </c>
      <c r="F40" s="338"/>
      <c r="G40" s="337"/>
      <c r="H40" s="437"/>
      <c r="I40" s="437"/>
      <c r="J40" s="437"/>
      <c r="K40" s="437"/>
      <c r="L40" s="437"/>
      <c r="M40" s="437"/>
      <c r="N40" s="437"/>
      <c r="O40" s="437"/>
      <c r="P40" s="596"/>
      <c r="Q40" s="596"/>
      <c r="R40" s="596" t="s">
        <v>416</v>
      </c>
      <c r="S40" s="596" t="s">
        <v>416</v>
      </c>
      <c r="T40" s="596" t="s">
        <v>416</v>
      </c>
      <c r="U40" s="596" t="s">
        <v>416</v>
      </c>
      <c r="V40" s="596" t="s">
        <v>416</v>
      </c>
      <c r="W40" s="437"/>
      <c r="X40" s="15"/>
      <c r="Y40" s="15"/>
      <c r="Z40" s="5"/>
      <c r="AA40" s="5"/>
      <c r="AB40" s="844"/>
      <c r="AC40" s="845"/>
      <c r="AD40" s="846" t="s">
        <v>417</v>
      </c>
      <c r="AE40" s="846" t="s">
        <v>418</v>
      </c>
      <c r="AF40" s="846" t="s">
        <v>419</v>
      </c>
      <c r="AG40" s="846" t="s">
        <v>420</v>
      </c>
      <c r="AH40" s="846" t="s">
        <v>421</v>
      </c>
      <c r="AI40" s="846" t="s">
        <v>422</v>
      </c>
      <c r="AJ40" s="5"/>
      <c r="AK40" s="5"/>
      <c r="AL40" s="5"/>
      <c r="AM40" s="5"/>
      <c r="AN40" s="5"/>
      <c r="AO40" s="5"/>
      <c r="AP40" s="21"/>
      <c r="AQ40" s="21"/>
      <c r="AR40" s="21"/>
      <c r="AS40" s="21"/>
    </row>
    <row r="41" spans="2:159" ht="25.5" hidden="1">
      <c r="B41" s="1000" t="s">
        <v>412</v>
      </c>
      <c r="C41" s="1000"/>
      <c r="D41" s="837"/>
      <c r="E41" s="329" t="s">
        <v>423</v>
      </c>
      <c r="F41" s="330"/>
      <c r="G41" s="329" t="s">
        <v>65</v>
      </c>
      <c r="H41" s="342"/>
      <c r="I41" s="422" t="s">
        <v>961</v>
      </c>
      <c r="J41" s="422" t="s">
        <v>879</v>
      </c>
      <c r="K41" s="422" t="s">
        <v>960</v>
      </c>
      <c r="L41" s="422" t="s">
        <v>952</v>
      </c>
      <c r="M41" s="422" t="s">
        <v>920</v>
      </c>
      <c r="N41" s="422" t="s">
        <v>426</v>
      </c>
      <c r="O41" s="422" t="s">
        <v>427</v>
      </c>
      <c r="P41" s="422" t="s">
        <v>428</v>
      </c>
      <c r="Q41" s="422" t="s">
        <v>429</v>
      </c>
      <c r="R41" s="484"/>
      <c r="S41" s="484"/>
      <c r="T41" s="484"/>
      <c r="U41" s="484"/>
      <c r="V41" s="484"/>
      <c r="W41" s="429"/>
      <c r="X41" s="15"/>
      <c r="Y41" s="15"/>
      <c r="Z41" s="5"/>
      <c r="AA41" s="5"/>
      <c r="AB41" s="847"/>
      <c r="AC41" s="845"/>
      <c r="AD41" s="848" t="s">
        <v>127</v>
      </c>
      <c r="AE41" s="848" t="s">
        <v>430</v>
      </c>
      <c r="AF41" s="848" t="s">
        <v>430</v>
      </c>
      <c r="AG41" s="848" t="s">
        <v>430</v>
      </c>
      <c r="AH41" s="848" t="s">
        <v>152</v>
      </c>
      <c r="AI41" s="848" t="s">
        <v>431</v>
      </c>
      <c r="AJ41" s="5"/>
      <c r="AK41" s="5"/>
      <c r="AL41" s="5"/>
      <c r="AM41" s="5"/>
      <c r="AN41" s="5"/>
      <c r="AO41" s="5"/>
      <c r="AP41" s="5"/>
      <c r="AQ41" s="5"/>
      <c r="AR41" s="5"/>
      <c r="AS41" s="21"/>
    </row>
    <row r="42" spans="2:159" hidden="1">
      <c r="B42" s="1000" t="s">
        <v>412</v>
      </c>
      <c r="C42" s="1000"/>
      <c r="D42" s="838"/>
      <c r="E42" s="423" t="s">
        <v>432</v>
      </c>
      <c r="F42" s="424"/>
      <c r="G42" s="329" t="s">
        <v>430</v>
      </c>
      <c r="H42" s="329"/>
      <c r="I42" s="426">
        <v>3.5</v>
      </c>
      <c r="J42" s="426">
        <v>3.7</v>
      </c>
      <c r="K42" s="426">
        <v>3.5</v>
      </c>
      <c r="L42" s="426">
        <v>3.5</v>
      </c>
      <c r="M42" s="426">
        <v>3.5</v>
      </c>
      <c r="N42" s="426">
        <v>2.5</v>
      </c>
      <c r="O42" s="426">
        <v>1.3</v>
      </c>
      <c r="P42" s="426">
        <v>0.86</v>
      </c>
      <c r="Q42" s="426">
        <v>0.19</v>
      </c>
      <c r="R42" s="430"/>
      <c r="S42" s="430"/>
      <c r="T42" s="430"/>
      <c r="U42" s="430"/>
      <c r="V42" s="430"/>
      <c r="W42" s="431"/>
      <c r="X42" s="15"/>
      <c r="Y42" s="15"/>
      <c r="Z42" s="5"/>
      <c r="AA42" s="5"/>
      <c r="AB42" s="849" t="s">
        <v>433</v>
      </c>
      <c r="AC42" s="845"/>
      <c r="AD42" s="845"/>
      <c r="AE42" s="845"/>
      <c r="AF42" s="845"/>
      <c r="AG42" s="845"/>
      <c r="AH42" s="845"/>
      <c r="AI42" s="845"/>
      <c r="AJ42" s="5"/>
      <c r="AK42" s="5"/>
      <c r="AL42" s="5"/>
      <c r="AM42" s="5"/>
      <c r="AN42" s="5"/>
      <c r="AO42" s="5"/>
      <c r="AP42" s="5"/>
      <c r="AQ42" s="5"/>
      <c r="AR42" s="5"/>
      <c r="AS42" s="21"/>
    </row>
    <row r="43" spans="2:159" hidden="1">
      <c r="B43" s="1000" t="s">
        <v>412</v>
      </c>
      <c r="C43" s="1000"/>
      <c r="D43" s="837"/>
      <c r="E43" s="423" t="s">
        <v>434</v>
      </c>
      <c r="F43" s="424"/>
      <c r="G43" s="329" t="s">
        <v>430</v>
      </c>
      <c r="H43" s="329"/>
      <c r="I43" s="426">
        <v>6</v>
      </c>
      <c r="J43" s="426">
        <v>4.7</v>
      </c>
      <c r="K43" s="426">
        <v>1.7</v>
      </c>
      <c r="L43" s="426">
        <v>4.5</v>
      </c>
      <c r="M43" s="426">
        <v>3.5</v>
      </c>
      <c r="N43" s="426">
        <v>2.5</v>
      </c>
      <c r="O43" s="426">
        <v>1.3</v>
      </c>
      <c r="P43" s="426">
        <v>0.86</v>
      </c>
      <c r="Q43" s="426">
        <v>0.22</v>
      </c>
      <c r="R43" s="430"/>
      <c r="S43" s="430"/>
      <c r="T43" s="430"/>
      <c r="U43" s="430"/>
      <c r="V43" s="430"/>
      <c r="W43" s="431"/>
      <c r="X43" s="15"/>
      <c r="Y43" s="15"/>
      <c r="Z43" s="5"/>
      <c r="AA43" s="5"/>
      <c r="AB43" s="847" t="s">
        <v>435</v>
      </c>
      <c r="AC43" s="845"/>
      <c r="AD43" s="855">
        <v>10</v>
      </c>
      <c r="AE43" s="855">
        <v>3.5</v>
      </c>
      <c r="AF43" s="856">
        <v>0.17</v>
      </c>
      <c r="AG43" s="850">
        <f>AE43+AF43</f>
        <v>3.67</v>
      </c>
      <c r="AH43" s="852">
        <f>1/(AE43+AF43)</f>
        <v>0.27247956403269757</v>
      </c>
      <c r="AI43" s="853">
        <f>AD43*AH43</f>
        <v>2.7247956403269757</v>
      </c>
      <c r="AJ43" s="5"/>
      <c r="AK43" s="5"/>
      <c r="AL43" s="5"/>
      <c r="AM43" s="5"/>
      <c r="AN43" s="5"/>
      <c r="AO43" s="5"/>
      <c r="AP43" s="5"/>
      <c r="AQ43" s="5"/>
      <c r="AR43" s="5"/>
      <c r="AS43" s="21"/>
    </row>
    <row r="44" spans="2:159" hidden="1">
      <c r="B44" s="1000" t="s">
        <v>412</v>
      </c>
      <c r="C44" s="1000"/>
      <c r="D44" s="837"/>
      <c r="E44" s="423" t="s">
        <v>436</v>
      </c>
      <c r="F44" s="424"/>
      <c r="G44" s="329" t="s">
        <v>430</v>
      </c>
      <c r="H44" s="329"/>
      <c r="I44" s="426">
        <v>8</v>
      </c>
      <c r="J44" s="426">
        <v>6.3</v>
      </c>
      <c r="K44" s="426">
        <v>3.5</v>
      </c>
      <c r="L44" s="426">
        <v>6</v>
      </c>
      <c r="M44" s="426">
        <v>3.5</v>
      </c>
      <c r="N44" s="426">
        <v>2.5</v>
      </c>
      <c r="O44" s="426">
        <v>1.3</v>
      </c>
      <c r="P44" s="426">
        <v>0.86</v>
      </c>
      <c r="Q44" s="426">
        <v>0.22</v>
      </c>
      <c r="R44" s="430"/>
      <c r="S44" s="430"/>
      <c r="T44" s="430"/>
      <c r="U44" s="430"/>
      <c r="V44" s="430"/>
      <c r="W44" s="431"/>
      <c r="X44" s="19"/>
      <c r="Y44" s="19"/>
      <c r="Z44" s="5"/>
      <c r="AA44" s="5"/>
      <c r="AB44" s="847" t="s">
        <v>437</v>
      </c>
      <c r="AD44" s="855">
        <v>15</v>
      </c>
      <c r="AE44" s="855">
        <v>0.5</v>
      </c>
      <c r="AF44" s="851">
        <f>$AF$43</f>
        <v>0.17</v>
      </c>
      <c r="AG44" s="850">
        <f>AE44+AF44</f>
        <v>0.67</v>
      </c>
      <c r="AH44" s="852">
        <f>1/(AE44+AF44)</f>
        <v>1.4925373134328357</v>
      </c>
      <c r="AI44" s="853">
        <f>AD44*AH44</f>
        <v>22.388059701492537</v>
      </c>
      <c r="AJ44" s="5"/>
      <c r="AK44" s="5"/>
      <c r="AL44" s="5"/>
      <c r="AM44" s="5"/>
      <c r="AN44" s="5"/>
      <c r="AO44" s="5"/>
      <c r="AP44" s="5"/>
      <c r="AQ44" s="5"/>
      <c r="AR44" s="5"/>
      <c r="AS44" s="21"/>
    </row>
    <row r="45" spans="2:159" hidden="1">
      <c r="B45" s="1000" t="s">
        <v>412</v>
      </c>
      <c r="C45" s="1000"/>
      <c r="D45" s="837"/>
      <c r="E45" s="423" t="s">
        <v>438</v>
      </c>
      <c r="F45" s="424"/>
      <c r="G45" s="329" t="s">
        <v>430</v>
      </c>
      <c r="H45" s="329"/>
      <c r="I45" s="426">
        <v>8</v>
      </c>
      <c r="J45" s="426">
        <v>6.3</v>
      </c>
      <c r="K45" s="426">
        <v>3.5</v>
      </c>
      <c r="L45" s="426">
        <v>6</v>
      </c>
      <c r="M45" s="426">
        <v>3.5</v>
      </c>
      <c r="N45" s="426">
        <v>2.5</v>
      </c>
      <c r="O45" s="426">
        <v>1.3</v>
      </c>
      <c r="P45" s="426">
        <v>0.86</v>
      </c>
      <c r="Q45" s="426">
        <v>0.22</v>
      </c>
      <c r="R45" s="430"/>
      <c r="S45" s="430"/>
      <c r="T45" s="430"/>
      <c r="U45" s="430"/>
      <c r="V45" s="430"/>
      <c r="W45" s="431"/>
      <c r="X45" s="19"/>
      <c r="Y45" s="19"/>
      <c r="Z45" s="5"/>
      <c r="AA45" s="5"/>
      <c r="AB45" s="847" t="s">
        <v>439</v>
      </c>
      <c r="AC45" s="845"/>
      <c r="AD45" s="855">
        <v>20</v>
      </c>
      <c r="AE45" s="855">
        <v>0.22</v>
      </c>
      <c r="AF45" s="851">
        <f>$AF$43</f>
        <v>0.17</v>
      </c>
      <c r="AG45" s="850">
        <f>AE45+AF45</f>
        <v>0.39</v>
      </c>
      <c r="AH45" s="852">
        <f>1/(AE45+AF45)</f>
        <v>2.5641025641025639</v>
      </c>
      <c r="AI45" s="853">
        <f>AD45*AH45</f>
        <v>51.282051282051277</v>
      </c>
      <c r="AJ45" s="5"/>
      <c r="AK45" s="5"/>
      <c r="AL45" s="5"/>
      <c r="AM45" s="5"/>
      <c r="AN45" s="5"/>
      <c r="AO45" s="5"/>
      <c r="AP45" s="5"/>
      <c r="AQ45" s="5"/>
      <c r="AR45" s="5"/>
      <c r="AS45" s="21"/>
    </row>
    <row r="46" spans="2:159" hidden="1">
      <c r="B46" s="1000" t="s">
        <v>412</v>
      </c>
      <c r="C46" s="1000"/>
      <c r="D46" s="837"/>
      <c r="E46" s="423" t="s">
        <v>440</v>
      </c>
      <c r="F46" s="432">
        <v>0.26</v>
      </c>
      <c r="G46" s="329" t="s">
        <v>152</v>
      </c>
      <c r="H46" s="329"/>
      <c r="I46" s="427">
        <f>1/(I42+$F46)</f>
        <v>0.26595744680851063</v>
      </c>
      <c r="J46" s="427">
        <f>1/(J42+$F46)</f>
        <v>0.25252525252525254</v>
      </c>
      <c r="K46" s="427">
        <f>1/(K42+$F46)</f>
        <v>0.26595744680851063</v>
      </c>
      <c r="L46" s="427">
        <f t="shared" ref="L46:V46" si="24">1/(L42+$F46)</f>
        <v>0.26595744680851063</v>
      </c>
      <c r="M46" s="427">
        <f t="shared" si="24"/>
        <v>0.26595744680851063</v>
      </c>
      <c r="N46" s="427">
        <f t="shared" si="24"/>
        <v>0.3623188405797102</v>
      </c>
      <c r="O46" s="427">
        <f t="shared" si="24"/>
        <v>0.64102564102564097</v>
      </c>
      <c r="P46" s="427">
        <f t="shared" si="24"/>
        <v>0.89285714285714279</v>
      </c>
      <c r="Q46" s="427">
        <f t="shared" si="24"/>
        <v>2.2222222222222223</v>
      </c>
      <c r="R46" s="427">
        <f t="shared" si="24"/>
        <v>3.8461538461538458</v>
      </c>
      <c r="S46" s="427">
        <f t="shared" si="24"/>
        <v>3.8461538461538458</v>
      </c>
      <c r="T46" s="427">
        <f t="shared" si="24"/>
        <v>3.8461538461538458</v>
      </c>
      <c r="U46" s="427">
        <f t="shared" si="24"/>
        <v>3.8461538461538458</v>
      </c>
      <c r="V46" s="427">
        <f t="shared" si="24"/>
        <v>3.8461538461538458</v>
      </c>
      <c r="W46" s="431"/>
      <c r="X46" s="19"/>
      <c r="Y46" s="19"/>
      <c r="Z46" s="5"/>
      <c r="AA46" s="5"/>
      <c r="AB46" s="845"/>
      <c r="AC46" s="845"/>
      <c r="AD46" s="845"/>
      <c r="AE46" s="845"/>
      <c r="AF46" s="845"/>
      <c r="AG46" s="845"/>
      <c r="AH46" s="845"/>
      <c r="AI46" s="845"/>
      <c r="AJ46" s="5"/>
      <c r="AK46" s="5"/>
      <c r="AL46" s="5"/>
      <c r="AM46" s="5"/>
      <c r="AN46" s="5"/>
      <c r="AO46" s="5"/>
      <c r="AP46" s="5"/>
      <c r="AQ46" s="5"/>
      <c r="AR46" s="5"/>
      <c r="AS46" s="21"/>
    </row>
    <row r="47" spans="2:159" hidden="1">
      <c r="B47" s="1000" t="s">
        <v>412</v>
      </c>
      <c r="C47" s="1000"/>
      <c r="D47" s="837"/>
      <c r="E47" s="423" t="s">
        <v>441</v>
      </c>
      <c r="F47" s="433">
        <v>0.5</v>
      </c>
      <c r="G47" s="329" t="s">
        <v>152</v>
      </c>
      <c r="H47" s="329"/>
      <c r="I47" s="427">
        <f>I46*MAX($F47,1/(1+I46))</f>
        <v>0.21008403361344535</v>
      </c>
      <c r="J47" s="427">
        <f>J46*MAX($F47,1/(1+J46))</f>
        <v>0.20161290322580647</v>
      </c>
      <c r="K47" s="427">
        <f>K46*MAX($F47,1/(1+K46))</f>
        <v>0.21008403361344535</v>
      </c>
      <c r="L47" s="427">
        <f t="shared" ref="L47:V47" si="25">L46*MAX($F47,1/(1+L46))</f>
        <v>0.21008403361344535</v>
      </c>
      <c r="M47" s="427">
        <f t="shared" si="25"/>
        <v>0.21008403361344535</v>
      </c>
      <c r="N47" s="427">
        <f t="shared" si="25"/>
        <v>0.26595744680851069</v>
      </c>
      <c r="O47" s="427">
        <f t="shared" si="25"/>
        <v>0.39062499999999994</v>
      </c>
      <c r="P47" s="427">
        <f t="shared" si="25"/>
        <v>0.47169811320754712</v>
      </c>
      <c r="Q47" s="427">
        <f t="shared" si="25"/>
        <v>1.1111111111111112</v>
      </c>
      <c r="R47" s="427">
        <f t="shared" si="25"/>
        <v>1.9230769230769229</v>
      </c>
      <c r="S47" s="427">
        <f t="shared" si="25"/>
        <v>1.9230769230769229</v>
      </c>
      <c r="T47" s="427">
        <f t="shared" si="25"/>
        <v>1.9230769230769229</v>
      </c>
      <c r="U47" s="427">
        <f t="shared" si="25"/>
        <v>1.9230769230769229</v>
      </c>
      <c r="V47" s="427">
        <f t="shared" si="25"/>
        <v>1.9230769230769229</v>
      </c>
      <c r="W47" s="431"/>
      <c r="X47" s="19"/>
      <c r="Y47" s="19"/>
      <c r="Z47" s="5"/>
      <c r="AA47" s="5"/>
      <c r="AB47" s="849" t="s">
        <v>442</v>
      </c>
      <c r="AC47" s="845"/>
      <c r="AD47" s="845"/>
      <c r="AE47" s="845"/>
      <c r="AF47" s="845"/>
      <c r="AG47" s="845"/>
      <c r="AH47" s="845"/>
      <c r="AI47" s="845"/>
      <c r="AJ47" s="5"/>
      <c r="AK47" s="5"/>
      <c r="AL47" s="5"/>
      <c r="AM47" s="5"/>
      <c r="AN47" s="5"/>
      <c r="AO47" s="5"/>
      <c r="AP47" s="5"/>
      <c r="AQ47" s="5"/>
      <c r="AR47" s="5"/>
      <c r="AS47" s="21"/>
    </row>
    <row r="48" spans="2:159" hidden="1">
      <c r="B48" s="1000" t="s">
        <v>412</v>
      </c>
      <c r="C48" s="1000"/>
      <c r="D48" s="837"/>
      <c r="E48" s="423" t="s">
        <v>443</v>
      </c>
      <c r="F48" s="432">
        <v>0.17</v>
      </c>
      <c r="G48" s="329" t="s">
        <v>152</v>
      </c>
      <c r="H48" s="329"/>
      <c r="I48" s="427">
        <f>1/($F48+I43)</f>
        <v>0.16207455429497569</v>
      </c>
      <c r="J48" s="427">
        <f>1/($F48+J43)</f>
        <v>0.20533880903490759</v>
      </c>
      <c r="K48" s="427">
        <f>1/($F48+K43)</f>
        <v>0.53475935828877008</v>
      </c>
      <c r="L48" s="427">
        <f t="shared" ref="L48:V48" si="26">1/($F48+L43)</f>
        <v>0.21413276231263384</v>
      </c>
      <c r="M48" s="427">
        <f t="shared" si="26"/>
        <v>0.27247956403269757</v>
      </c>
      <c r="N48" s="427">
        <f t="shared" si="26"/>
        <v>0.37453183520599254</v>
      </c>
      <c r="O48" s="427">
        <f t="shared" si="26"/>
        <v>0.68027210884353739</v>
      </c>
      <c r="P48" s="427">
        <f t="shared" si="26"/>
        <v>0.970873786407767</v>
      </c>
      <c r="Q48" s="427">
        <f t="shared" si="26"/>
        <v>2.5641025641025639</v>
      </c>
      <c r="R48" s="427">
        <f t="shared" si="26"/>
        <v>5.8823529411764701</v>
      </c>
      <c r="S48" s="427">
        <f t="shared" si="26"/>
        <v>5.8823529411764701</v>
      </c>
      <c r="T48" s="427">
        <f t="shared" si="26"/>
        <v>5.8823529411764701</v>
      </c>
      <c r="U48" s="427">
        <f t="shared" si="26"/>
        <v>5.8823529411764701</v>
      </c>
      <c r="V48" s="427">
        <f t="shared" si="26"/>
        <v>5.8823529411764701</v>
      </c>
      <c r="W48" s="431"/>
      <c r="X48" s="19"/>
      <c r="Y48" s="19"/>
      <c r="Z48" s="5"/>
      <c r="AA48" s="5"/>
      <c r="AB48" s="847" t="s">
        <v>444</v>
      </c>
      <c r="AC48" s="845"/>
      <c r="AD48" s="850"/>
      <c r="AE48" s="850"/>
      <c r="AF48" s="851"/>
      <c r="AG48" s="850"/>
      <c r="AH48" s="852"/>
      <c r="AI48" s="853">
        <f>SUM(AI43:AI45)</f>
        <v>76.394906623870781</v>
      </c>
      <c r="AJ48" s="5"/>
      <c r="AK48" s="5"/>
      <c r="AL48" s="5"/>
      <c r="AM48" s="5"/>
      <c r="AN48" s="5"/>
      <c r="AO48" s="5"/>
      <c r="AP48" s="5"/>
      <c r="AQ48" s="5"/>
      <c r="AR48" s="5"/>
      <c r="AS48" s="21"/>
    </row>
    <row r="49" spans="2:99" hidden="1">
      <c r="B49" s="1000" t="s">
        <v>412</v>
      </c>
      <c r="C49" s="1000"/>
      <c r="D49" s="837"/>
      <c r="E49" s="423" t="s">
        <v>445</v>
      </c>
      <c r="F49" s="432">
        <v>0.17</v>
      </c>
      <c r="G49" s="329" t="s">
        <v>152</v>
      </c>
      <c r="H49" s="329"/>
      <c r="I49" s="427">
        <f t="shared" ref="I49:V50" si="27">1/($F49+I44)</f>
        <v>0.12239902080783353</v>
      </c>
      <c r="J49" s="427">
        <f>1/($F49+J44)</f>
        <v>0.15455950540958269</v>
      </c>
      <c r="K49" s="427">
        <f>1/($F49+K44)</f>
        <v>0.27247956403269757</v>
      </c>
      <c r="L49" s="427">
        <f t="shared" si="27"/>
        <v>0.16207455429497569</v>
      </c>
      <c r="M49" s="427">
        <f t="shared" si="27"/>
        <v>0.27247956403269757</v>
      </c>
      <c r="N49" s="427">
        <f t="shared" si="27"/>
        <v>0.37453183520599254</v>
      </c>
      <c r="O49" s="427">
        <f t="shared" si="27"/>
        <v>0.68027210884353739</v>
      </c>
      <c r="P49" s="427">
        <f t="shared" si="27"/>
        <v>0.970873786407767</v>
      </c>
      <c r="Q49" s="427">
        <f t="shared" si="27"/>
        <v>2.5641025641025639</v>
      </c>
      <c r="R49" s="427">
        <f t="shared" si="27"/>
        <v>5.8823529411764701</v>
      </c>
      <c r="S49" s="427">
        <f t="shared" si="27"/>
        <v>5.8823529411764701</v>
      </c>
      <c r="T49" s="427">
        <f t="shared" si="27"/>
        <v>5.8823529411764701</v>
      </c>
      <c r="U49" s="427">
        <f t="shared" si="27"/>
        <v>5.8823529411764701</v>
      </c>
      <c r="V49" s="427">
        <f t="shared" si="27"/>
        <v>5.8823529411764701</v>
      </c>
      <c r="W49" s="431"/>
      <c r="X49" s="19"/>
      <c r="Y49" s="19"/>
      <c r="Z49" s="5"/>
      <c r="AA49" s="5"/>
      <c r="AB49" s="847" t="s">
        <v>446</v>
      </c>
      <c r="AC49" s="850"/>
      <c r="AD49" s="850">
        <f>SUM(AD43:AD45)</f>
        <v>45</v>
      </c>
      <c r="AE49" s="850"/>
      <c r="AF49" s="851"/>
      <c r="AG49" s="850"/>
      <c r="AH49" s="852"/>
      <c r="AI49" s="853"/>
      <c r="AJ49" s="5"/>
      <c r="AK49" s="5"/>
      <c r="AL49" s="5"/>
      <c r="AM49" s="5"/>
      <c r="AN49" s="5"/>
      <c r="AO49" s="5"/>
      <c r="AP49" s="5"/>
      <c r="AQ49" s="5"/>
      <c r="AR49" s="5"/>
      <c r="AS49" s="21"/>
      <c r="CU49" s="657"/>
    </row>
    <row r="50" spans="2:99" hidden="1">
      <c r="B50" s="1000" t="s">
        <v>412</v>
      </c>
      <c r="C50" s="1000"/>
      <c r="D50" s="837"/>
      <c r="E50" s="423" t="s">
        <v>447</v>
      </c>
      <c r="F50" s="432">
        <v>0.17</v>
      </c>
      <c r="G50" s="329" t="s">
        <v>152</v>
      </c>
      <c r="H50" s="329"/>
      <c r="I50" s="427">
        <f t="shared" si="27"/>
        <v>0.12239902080783353</v>
      </c>
      <c r="J50" s="427">
        <f>1/($F50+J45)</f>
        <v>0.15455950540958269</v>
      </c>
      <c r="K50" s="427">
        <f>1/($F50+K45)</f>
        <v>0.27247956403269757</v>
      </c>
      <c r="L50" s="427">
        <f t="shared" si="27"/>
        <v>0.16207455429497569</v>
      </c>
      <c r="M50" s="427">
        <f t="shared" si="27"/>
        <v>0.27247956403269757</v>
      </c>
      <c r="N50" s="427">
        <f t="shared" si="27"/>
        <v>0.37453183520599254</v>
      </c>
      <c r="O50" s="427">
        <f t="shared" si="27"/>
        <v>0.68027210884353739</v>
      </c>
      <c r="P50" s="427">
        <f t="shared" si="27"/>
        <v>0.970873786407767</v>
      </c>
      <c r="Q50" s="427">
        <f t="shared" si="27"/>
        <v>2.5641025641025639</v>
      </c>
      <c r="R50" s="427">
        <f t="shared" si="27"/>
        <v>5.8823529411764701</v>
      </c>
      <c r="S50" s="427">
        <f t="shared" si="27"/>
        <v>5.8823529411764701</v>
      </c>
      <c r="T50" s="427">
        <f t="shared" si="27"/>
        <v>5.8823529411764701</v>
      </c>
      <c r="U50" s="427">
        <f t="shared" si="27"/>
        <v>5.8823529411764701</v>
      </c>
      <c r="V50" s="427">
        <f t="shared" si="27"/>
        <v>5.8823529411764701</v>
      </c>
      <c r="W50" s="431"/>
      <c r="X50" s="19"/>
      <c r="Y50" s="19"/>
      <c r="Z50" s="5"/>
      <c r="AA50" s="5"/>
      <c r="AB50" s="854" t="s">
        <v>448</v>
      </c>
      <c r="AC50" s="854"/>
      <c r="AD50" s="850"/>
      <c r="AE50" s="850"/>
      <c r="AF50" s="851"/>
      <c r="AG50" s="850"/>
      <c r="AH50" s="852">
        <f>AI48/AD49</f>
        <v>1.6976645916415729</v>
      </c>
      <c r="AI50" s="853"/>
      <c r="AJ50" s="5"/>
      <c r="AK50" s="5"/>
      <c r="AL50" s="5"/>
      <c r="AM50" s="5"/>
      <c r="AN50" s="5"/>
      <c r="AO50" s="5"/>
      <c r="AP50" s="5"/>
      <c r="AQ50" s="5"/>
      <c r="AR50" s="5"/>
      <c r="AS50" s="21"/>
    </row>
    <row r="51" spans="2:99" hidden="1">
      <c r="B51" s="1000" t="s">
        <v>412</v>
      </c>
      <c r="C51" s="1000"/>
      <c r="D51" s="837"/>
      <c r="E51" s="423" t="s">
        <v>449</v>
      </c>
      <c r="F51" s="424"/>
      <c r="G51" s="329" t="s">
        <v>152</v>
      </c>
      <c r="H51" s="329"/>
      <c r="I51" s="426">
        <v>1</v>
      </c>
      <c r="J51" s="426">
        <v>1.4</v>
      </c>
      <c r="K51" s="426">
        <v>1.4</v>
      </c>
      <c r="L51" s="426">
        <v>1.8</v>
      </c>
      <c r="M51" s="426">
        <v>1.8</v>
      </c>
      <c r="N51" s="426">
        <v>2.8</v>
      </c>
      <c r="O51" s="426">
        <v>2.8</v>
      </c>
      <c r="P51" s="426">
        <v>4.2</v>
      </c>
      <c r="Q51" s="426">
        <v>5.2</v>
      </c>
      <c r="R51" s="430"/>
      <c r="S51" s="430"/>
      <c r="T51" s="430"/>
      <c r="U51" s="430"/>
      <c r="V51" s="430"/>
      <c r="W51" s="431"/>
      <c r="X51" s="19"/>
      <c r="Y51" s="19"/>
      <c r="Z51" s="5"/>
      <c r="AA51" s="5"/>
      <c r="AB51" s="854" t="s">
        <v>450</v>
      </c>
      <c r="AC51" s="854"/>
      <c r="AD51" s="850"/>
      <c r="AE51" s="850"/>
      <c r="AF51" s="851"/>
      <c r="AG51" s="850">
        <f>1/AH50</f>
        <v>0.58904450556575516</v>
      </c>
      <c r="AH51" s="852"/>
      <c r="AI51" s="853"/>
      <c r="AJ51" s="5"/>
      <c r="AK51" s="5"/>
      <c r="AL51" s="5"/>
      <c r="AM51" s="5"/>
      <c r="AN51" s="5"/>
      <c r="AO51" s="5"/>
      <c r="AP51" s="5"/>
      <c r="AQ51" s="5"/>
      <c r="AR51" s="5"/>
      <c r="AS51" s="21"/>
    </row>
    <row r="52" spans="2:99" hidden="1">
      <c r="B52" s="1000" t="s">
        <v>412</v>
      </c>
      <c r="C52" s="1000"/>
      <c r="D52" s="837"/>
      <c r="E52" s="423" t="s">
        <v>451</v>
      </c>
      <c r="F52" s="424"/>
      <c r="G52" s="329" t="s">
        <v>152</v>
      </c>
      <c r="H52" s="329"/>
      <c r="I52" s="426">
        <v>1.4</v>
      </c>
      <c r="J52" s="426">
        <v>2</v>
      </c>
      <c r="K52" s="426">
        <v>1.4</v>
      </c>
      <c r="L52" s="426">
        <v>2</v>
      </c>
      <c r="M52" s="426">
        <v>3.5</v>
      </c>
      <c r="N52" s="426">
        <v>3.5</v>
      </c>
      <c r="O52" s="426">
        <v>3.5</v>
      </c>
      <c r="P52" s="426">
        <v>3.5</v>
      </c>
      <c r="Q52" s="426">
        <v>3.5</v>
      </c>
      <c r="R52" s="430"/>
      <c r="S52" s="430"/>
      <c r="T52" s="430"/>
      <c r="U52" s="430"/>
      <c r="V52" s="430"/>
      <c r="W52" s="431"/>
      <c r="X52" s="19"/>
      <c r="Y52" s="19"/>
      <c r="Z52" s="5"/>
      <c r="AA52" s="5"/>
      <c r="AB52" s="854" t="s">
        <v>452</v>
      </c>
      <c r="AC52" s="854"/>
      <c r="AD52" s="850"/>
      <c r="AE52" s="850">
        <f>AG51-$AF$43</f>
        <v>0.41904450556575512</v>
      </c>
      <c r="AF52" s="851"/>
      <c r="AG52" s="850"/>
      <c r="AH52" s="852"/>
      <c r="AI52" s="853"/>
      <c r="AJ52" s="5"/>
      <c r="AK52" s="5"/>
      <c r="AL52" s="5"/>
      <c r="AM52" s="5"/>
      <c r="AN52" s="5"/>
      <c r="AO52" s="5"/>
      <c r="AP52" s="5"/>
      <c r="AQ52" s="5"/>
      <c r="AR52" s="5"/>
      <c r="AS52" s="21"/>
    </row>
    <row r="53" spans="2:99" hidden="1">
      <c r="B53" s="1000" t="s">
        <v>412</v>
      </c>
      <c r="C53" s="1000"/>
      <c r="D53" s="837"/>
      <c r="E53" s="5"/>
      <c r="F53" s="5"/>
      <c r="G53" s="5"/>
      <c r="H53" s="15"/>
      <c r="I53" s="5"/>
      <c r="J53" s="5"/>
      <c r="K53" s="5"/>
      <c r="L53" s="5"/>
      <c r="M53" s="5"/>
      <c r="N53" s="5"/>
      <c r="O53" s="20"/>
      <c r="P53" s="20"/>
      <c r="Q53" s="15"/>
      <c r="R53" s="15"/>
      <c r="S53" s="15"/>
      <c r="T53" s="15"/>
      <c r="U53" s="15"/>
      <c r="V53" s="15"/>
      <c r="W53" s="15"/>
      <c r="X53" s="15"/>
      <c r="Y53" s="19"/>
      <c r="Z53" s="5"/>
      <c r="AA53" s="5"/>
      <c r="AB53" s="5"/>
      <c r="AC53" s="5"/>
      <c r="AD53" s="5"/>
      <c r="AE53" s="5"/>
      <c r="AF53" s="5"/>
      <c r="AG53" s="5"/>
      <c r="AH53" s="5"/>
      <c r="AI53" s="5"/>
      <c r="AJ53" s="5"/>
      <c r="AK53" s="5"/>
      <c r="AL53" s="5"/>
      <c r="AM53" s="5"/>
      <c r="AN53" s="5"/>
      <c r="AO53" s="5"/>
      <c r="AP53" s="5"/>
      <c r="AQ53" s="5"/>
      <c r="AR53" s="5"/>
      <c r="AS53" s="21"/>
    </row>
    <row r="54" spans="2:99" hidden="1">
      <c r="B54" s="1000" t="s">
        <v>453</v>
      </c>
      <c r="C54" s="1000"/>
      <c r="D54" s="836"/>
      <c r="E54" s="5"/>
      <c r="F54" s="5"/>
      <c r="G54" s="5"/>
      <c r="H54" s="15"/>
      <c r="I54" s="15"/>
      <c r="J54" s="15"/>
      <c r="K54" s="15"/>
      <c r="L54" s="15"/>
      <c r="M54" s="15"/>
      <c r="N54" s="15"/>
      <c r="O54" s="15"/>
      <c r="P54" s="15"/>
      <c r="Q54" s="15"/>
      <c r="R54" s="15"/>
      <c r="S54" s="15"/>
      <c r="T54" s="15"/>
      <c r="U54" s="15"/>
      <c r="V54" s="15"/>
      <c r="W54" s="15"/>
      <c r="X54" s="15"/>
      <c r="Y54" s="19"/>
      <c r="Z54" s="5"/>
      <c r="AA54" s="5"/>
      <c r="AB54" s="5"/>
      <c r="AC54" s="5"/>
      <c r="AD54" s="5"/>
      <c r="AE54" s="5"/>
      <c r="AF54" s="5"/>
      <c r="AG54" s="5"/>
      <c r="AH54" s="5"/>
      <c r="AI54" s="5"/>
      <c r="AJ54" s="5"/>
      <c r="AK54" s="5"/>
      <c r="AL54" s="5"/>
      <c r="AM54" s="5"/>
      <c r="AN54" s="5"/>
      <c r="AO54" s="5"/>
      <c r="AP54" s="5"/>
      <c r="AQ54" s="5"/>
      <c r="AR54" s="5"/>
      <c r="AS54" s="21"/>
    </row>
    <row r="55" spans="2:99" ht="21" hidden="1">
      <c r="B55" s="1000" t="s">
        <v>453</v>
      </c>
      <c r="C55" s="1000"/>
      <c r="D55" s="1151" t="s">
        <v>45</v>
      </c>
      <c r="E55" s="199" t="s">
        <v>453</v>
      </c>
      <c r="F55" s="199"/>
      <c r="G55" s="199"/>
      <c r="H55" s="199"/>
      <c r="I55" s="199"/>
      <c r="J55" s="199"/>
      <c r="K55" s="199"/>
      <c r="L55" s="199"/>
      <c r="M55" s="199"/>
      <c r="N55" s="199"/>
      <c r="O55" s="199"/>
      <c r="P55" s="199"/>
      <c r="Q55" s="199"/>
      <c r="R55" s="199"/>
      <c r="S55" s="5"/>
      <c r="T55" s="5"/>
      <c r="U55" s="5"/>
      <c r="V55" s="5"/>
      <c r="W55" s="921"/>
      <c r="X55" s="5"/>
      <c r="Y55"/>
      <c r="Z55" s="5"/>
      <c r="AA55" s="19"/>
      <c r="AB55" s="5"/>
      <c r="AC55" s="5"/>
      <c r="AD55" s="5"/>
      <c r="AE55" s="5"/>
      <c r="AF55" s="5"/>
      <c r="AG55" s="5"/>
      <c r="AH55" s="5"/>
      <c r="AI55" s="5"/>
      <c r="AJ55" s="5"/>
      <c r="AK55" s="5"/>
      <c r="AL55" s="5"/>
      <c r="AM55" s="5"/>
      <c r="AN55" s="5"/>
      <c r="AO55" s="5"/>
      <c r="AP55" s="5"/>
      <c r="AQ55" s="5"/>
      <c r="AR55" s="5"/>
      <c r="AS55" s="5"/>
      <c r="AT55" s="5"/>
      <c r="AU55" s="5"/>
      <c r="AV55" s="371"/>
    </row>
    <row r="56" spans="2:99" hidden="1">
      <c r="B56" s="1000" t="s">
        <v>453</v>
      </c>
      <c r="C56" s="1000"/>
      <c r="D56" s="836"/>
      <c r="E56" s="320" t="s">
        <v>414</v>
      </c>
      <c r="F56" s="320"/>
      <c r="G56" s="320" t="s">
        <v>353</v>
      </c>
      <c r="H56" s="321"/>
      <c r="I56" s="321">
        <f t="shared" ref="I56:Q56" ca="1" si="28">OFFSET(I56,0,-1)+1</f>
        <v>1</v>
      </c>
      <c r="J56" s="321">
        <f t="shared" ca="1" si="28"/>
        <v>2</v>
      </c>
      <c r="K56" s="321">
        <f t="shared" ca="1" si="28"/>
        <v>3</v>
      </c>
      <c r="L56" s="321">
        <f t="shared" ca="1" si="28"/>
        <v>4</v>
      </c>
      <c r="M56" s="321">
        <f t="shared" ca="1" si="28"/>
        <v>5</v>
      </c>
      <c r="N56" s="321">
        <f t="shared" ca="1" si="28"/>
        <v>6</v>
      </c>
      <c r="O56" s="321">
        <f t="shared" ca="1" si="28"/>
        <v>7</v>
      </c>
      <c r="P56" s="321">
        <f t="shared" ca="1" si="28"/>
        <v>8</v>
      </c>
      <c r="Q56" s="321">
        <f t="shared" ca="1" si="28"/>
        <v>9</v>
      </c>
      <c r="R56" s="321"/>
      <c r="S56" s="918"/>
      <c r="T56" s="918"/>
      <c r="U56" s="5"/>
      <c r="W56" s="36"/>
      <c r="Y56"/>
      <c r="Z56" s="5"/>
      <c r="AA56" s="19"/>
      <c r="AB56" s="5"/>
      <c r="AC56" s="5"/>
      <c r="AD56" s="5"/>
      <c r="AE56" s="5"/>
      <c r="AF56" s="5"/>
      <c r="AG56" s="5"/>
      <c r="AH56" s="5"/>
      <c r="AI56" s="5"/>
      <c r="AJ56" s="5"/>
      <c r="AK56" s="5"/>
      <c r="AL56" s="5"/>
      <c r="AM56" s="5"/>
      <c r="AN56" s="5"/>
      <c r="AO56" s="5"/>
      <c r="AP56" s="5"/>
      <c r="AQ56" s="5"/>
      <c r="AR56" s="5"/>
      <c r="AS56" s="5"/>
      <c r="AT56" s="5"/>
      <c r="AU56" s="5"/>
      <c r="AV56" s="21"/>
    </row>
    <row r="57" spans="2:99" ht="18.75" hidden="1">
      <c r="B57" s="1000" t="s">
        <v>453</v>
      </c>
      <c r="C57" s="1000"/>
      <c r="D57" s="836"/>
      <c r="E57" s="337" t="s">
        <v>1025</v>
      </c>
      <c r="F57" s="338"/>
      <c r="G57" s="339"/>
      <c r="H57" s="340"/>
      <c r="I57" s="919"/>
      <c r="J57" s="340"/>
      <c r="K57" s="340"/>
      <c r="L57" s="340"/>
      <c r="M57" s="340"/>
      <c r="N57" s="340"/>
      <c r="O57" s="340"/>
      <c r="P57" s="340"/>
      <c r="Q57" s="340"/>
      <c r="R57" s="340"/>
      <c r="S57" s="918"/>
      <c r="T57" s="5"/>
      <c r="U57" s="5"/>
      <c r="W57" s="36"/>
      <c r="X57" s="974"/>
      <c r="Y57"/>
      <c r="Z57" s="5"/>
      <c r="AA57" s="19"/>
      <c r="AB57" s="5"/>
      <c r="AC57" s="5"/>
      <c r="AD57" s="5"/>
      <c r="AE57" s="5"/>
      <c r="AF57" s="5"/>
      <c r="AG57" s="5"/>
      <c r="AH57" s="5"/>
      <c r="AI57" s="5"/>
      <c r="AJ57" s="5"/>
      <c r="AK57" s="5"/>
      <c r="AL57" s="5"/>
      <c r="AM57" s="5"/>
      <c r="AN57" s="5"/>
      <c r="AO57" s="5"/>
      <c r="AP57" s="5"/>
      <c r="AQ57" s="5"/>
      <c r="AR57" s="5"/>
      <c r="AS57" s="5"/>
      <c r="AT57" s="5"/>
      <c r="AU57" s="5"/>
      <c r="AV57" s="21"/>
    </row>
    <row r="58" spans="2:99" ht="38.25" hidden="1">
      <c r="B58" s="1000" t="s">
        <v>453</v>
      </c>
      <c r="C58" s="1000"/>
      <c r="D58" s="836"/>
      <c r="E58" s="329" t="s">
        <v>907</v>
      </c>
      <c r="F58" s="330"/>
      <c r="G58" s="329" t="s">
        <v>65</v>
      </c>
      <c r="H58" s="342"/>
      <c r="I58" s="450" t="s">
        <v>1292</v>
      </c>
      <c r="J58" s="450" t="s">
        <v>1293</v>
      </c>
      <c r="K58" s="450" t="s">
        <v>1294</v>
      </c>
      <c r="L58" s="450" t="s">
        <v>1295</v>
      </c>
      <c r="M58" s="450" t="s">
        <v>1296</v>
      </c>
      <c r="N58" s="450" t="s">
        <v>1297</v>
      </c>
      <c r="O58" s="450" t="s">
        <v>1298</v>
      </c>
      <c r="P58" s="450" t="s">
        <v>1299</v>
      </c>
      <c r="Q58" s="450" t="s">
        <v>1300</v>
      </c>
      <c r="R58" s="342"/>
      <c r="S58" s="5"/>
      <c r="T58" s="5"/>
      <c r="U58" s="5"/>
      <c r="W58" s="36"/>
      <c r="X58" s="974"/>
      <c r="Y58"/>
      <c r="Z58" s="5"/>
      <c r="AA58" s="19"/>
      <c r="AB58" s="5"/>
      <c r="AC58" s="5"/>
      <c r="AD58" s="5"/>
      <c r="AE58" s="5"/>
      <c r="AF58" s="5"/>
      <c r="AG58" s="5"/>
      <c r="AH58" s="5"/>
      <c r="AI58" s="5"/>
      <c r="AJ58" s="5"/>
      <c r="AK58" s="5"/>
      <c r="AL58" s="5"/>
      <c r="AM58" s="5"/>
      <c r="AN58" s="5"/>
      <c r="AO58" s="5"/>
      <c r="AP58" s="5"/>
      <c r="AQ58" s="5"/>
      <c r="AR58" s="5"/>
      <c r="AS58" s="5"/>
      <c r="AT58" s="5"/>
      <c r="AU58" s="5"/>
      <c r="AV58" s="21"/>
    </row>
    <row r="59" spans="2:99" ht="35.25" hidden="1" customHeight="1">
      <c r="B59" s="1000" t="s">
        <v>453</v>
      </c>
      <c r="C59" s="1000"/>
      <c r="D59" s="1151" t="s">
        <v>45</v>
      </c>
      <c r="E59" s="1285" t="s">
        <v>1183</v>
      </c>
      <c r="F59" s="1285"/>
      <c r="G59" s="329" t="s">
        <v>65</v>
      </c>
      <c r="H59" s="342"/>
      <c r="I59" s="422" t="s">
        <v>1032</v>
      </c>
      <c r="J59" s="422" t="s">
        <v>1123</v>
      </c>
      <c r="K59" s="422" t="s">
        <v>457</v>
      </c>
      <c r="L59" s="422" t="s">
        <v>1124</v>
      </c>
      <c r="M59" s="422" t="s">
        <v>1033</v>
      </c>
      <c r="N59" s="422" t="s">
        <v>1125</v>
      </c>
      <c r="O59" s="422" t="s">
        <v>459</v>
      </c>
      <c r="P59" s="422" t="s">
        <v>1121</v>
      </c>
      <c r="Q59" s="422" t="s">
        <v>1122</v>
      </c>
      <c r="R59" s="342"/>
      <c r="S59" s="5"/>
      <c r="T59" s="5"/>
      <c r="U59" s="5"/>
      <c r="W59" s="36"/>
      <c r="Y59"/>
      <c r="Z59" s="5"/>
      <c r="AA59" s="19"/>
      <c r="AB59" s="5"/>
      <c r="AC59" s="5"/>
      <c r="AD59" s="5"/>
      <c r="AE59" s="5"/>
      <c r="AF59" s="5"/>
      <c r="AG59" s="5"/>
      <c r="AH59" s="5"/>
      <c r="AI59" s="5"/>
      <c r="AJ59" s="5"/>
      <c r="AK59" s="5"/>
      <c r="AL59" s="5"/>
      <c r="AM59" s="5"/>
      <c r="AN59" s="5"/>
      <c r="AO59" s="5"/>
      <c r="AP59" s="5"/>
      <c r="AQ59" s="5"/>
      <c r="AR59" s="5"/>
      <c r="AS59" s="5"/>
      <c r="AT59" s="5"/>
      <c r="AU59" s="5"/>
      <c r="AV59" s="21"/>
    </row>
    <row r="60" spans="2:99" ht="25.5" hidden="1">
      <c r="B60" s="1000" t="s">
        <v>453</v>
      </c>
      <c r="C60" s="1000"/>
      <c r="D60" s="1151" t="s">
        <v>45</v>
      </c>
      <c r="E60" s="1284" t="s">
        <v>1184</v>
      </c>
      <c r="F60" s="1284"/>
      <c r="G60" s="329" t="s">
        <v>65</v>
      </c>
      <c r="H60" s="342"/>
      <c r="I60" s="422"/>
      <c r="J60" s="422" t="s">
        <v>1176</v>
      </c>
      <c r="K60" s="422" t="s">
        <v>1177</v>
      </c>
      <c r="L60" s="422" t="s">
        <v>1182</v>
      </c>
      <c r="M60" s="422" t="s">
        <v>1178</v>
      </c>
      <c r="N60" s="422" t="s">
        <v>1181</v>
      </c>
      <c r="O60" s="422"/>
      <c r="P60" s="422" t="s">
        <v>1179</v>
      </c>
      <c r="Q60" s="422" t="s">
        <v>1180</v>
      </c>
      <c r="R60" s="342"/>
      <c r="S60" s="972"/>
      <c r="T60" s="972"/>
      <c r="U60" s="972"/>
      <c r="Y60"/>
      <c r="Z60" s="972"/>
      <c r="AA60" s="975"/>
      <c r="AB60" s="972"/>
      <c r="AC60" s="972"/>
      <c r="AD60" s="972"/>
      <c r="AE60" s="972"/>
      <c r="AF60" s="972"/>
      <c r="AG60" s="972"/>
      <c r="AH60" s="972"/>
      <c r="AI60" s="972"/>
      <c r="AJ60" s="972"/>
      <c r="AK60" s="972"/>
      <c r="AL60" s="972"/>
      <c r="AM60" s="972"/>
      <c r="AN60" s="972"/>
      <c r="AO60" s="972"/>
      <c r="AP60" s="972"/>
      <c r="AQ60" s="972"/>
      <c r="AR60" s="972"/>
      <c r="AS60" s="972"/>
      <c r="AT60" s="972"/>
      <c r="AU60" s="972"/>
      <c r="AV60" s="973"/>
    </row>
    <row r="61" spans="2:99" hidden="1">
      <c r="B61" s="1000" t="s">
        <v>453</v>
      </c>
      <c r="C61" s="1000"/>
      <c r="D61" s="836"/>
      <c r="E61" s="991" t="s">
        <v>1192</v>
      </c>
      <c r="F61" s="5"/>
      <c r="G61" s="5"/>
      <c r="H61" s="15"/>
      <c r="I61" s="15"/>
      <c r="J61" s="15"/>
      <c r="K61" s="15"/>
      <c r="L61" s="15"/>
      <c r="M61" s="15"/>
      <c r="N61" s="15"/>
      <c r="O61" s="53"/>
      <c r="P61" s="15"/>
      <c r="Q61" s="15"/>
      <c r="R61" s="15"/>
      <c r="S61" s="15"/>
      <c r="T61" s="15"/>
      <c r="U61" s="15"/>
      <c r="V61" s="15"/>
      <c r="W61" s="36"/>
      <c r="X61" s="19"/>
      <c r="Y61" s="19"/>
      <c r="Z61" s="5"/>
      <c r="AA61" s="5"/>
      <c r="AB61" s="5"/>
      <c r="AC61" s="5"/>
      <c r="AD61" s="5"/>
      <c r="AE61" s="5"/>
      <c r="AF61" s="5"/>
      <c r="AG61" s="5"/>
      <c r="AH61" s="5"/>
      <c r="AI61" s="5"/>
      <c r="AJ61" s="5"/>
      <c r="AK61" s="5"/>
      <c r="AL61" s="5"/>
      <c r="AM61" s="5"/>
      <c r="AN61" s="5"/>
      <c r="AO61" s="5"/>
      <c r="AP61" s="5"/>
      <c r="AQ61" s="5"/>
      <c r="AR61" s="5"/>
      <c r="AS61" s="21"/>
    </row>
    <row r="62" spans="2:99" hidden="1">
      <c r="B62" s="1000" t="s">
        <v>461</v>
      </c>
      <c r="C62" s="1000"/>
      <c r="D62" s="836"/>
      <c r="E62" s="5"/>
      <c r="F62" s="5"/>
      <c r="G62" s="5"/>
      <c r="H62" s="15"/>
      <c r="I62" s="15"/>
      <c r="J62" s="15"/>
      <c r="K62" s="15"/>
      <c r="L62" s="15"/>
      <c r="M62" s="15"/>
      <c r="N62" s="15"/>
      <c r="O62" s="15"/>
      <c r="P62" s="15"/>
      <c r="Q62" s="15"/>
      <c r="R62" s="15"/>
      <c r="S62" s="15"/>
      <c r="T62" s="15"/>
      <c r="U62" s="15"/>
      <c r="V62" s="15"/>
      <c r="W62" s="36"/>
      <c r="X62" s="19"/>
      <c r="Y62" s="19"/>
      <c r="Z62" s="5"/>
      <c r="AA62" s="5"/>
      <c r="AB62" s="5"/>
      <c r="AC62" s="5"/>
      <c r="AD62" s="5"/>
      <c r="AE62" s="5"/>
      <c r="AF62" s="5"/>
      <c r="AG62" s="5"/>
      <c r="AH62" s="5"/>
      <c r="AI62" s="5"/>
      <c r="AJ62" s="5"/>
      <c r="AK62" s="5"/>
      <c r="AL62" s="5"/>
      <c r="AM62" s="5"/>
      <c r="AN62" s="5"/>
      <c r="AO62" s="5"/>
      <c r="AP62" s="5"/>
      <c r="AQ62" s="5"/>
      <c r="AR62" s="5"/>
      <c r="AS62" s="21"/>
    </row>
    <row r="63" spans="2:99" ht="21" hidden="1">
      <c r="B63" s="1000" t="s">
        <v>461</v>
      </c>
      <c r="C63" s="1000"/>
      <c r="D63" s="1151" t="s">
        <v>45</v>
      </c>
      <c r="E63" s="199" t="s">
        <v>461</v>
      </c>
      <c r="F63" s="199"/>
      <c r="G63" s="199"/>
      <c r="H63" s="199"/>
      <c r="I63" s="199"/>
      <c r="J63" s="199"/>
      <c r="K63" s="199"/>
      <c r="L63" s="199"/>
      <c r="M63" s="199"/>
      <c r="N63" s="199"/>
      <c r="O63" s="199"/>
      <c r="P63" s="199"/>
      <c r="Q63" s="199"/>
      <c r="R63" s="199"/>
      <c r="S63" s="199"/>
      <c r="T63" s="199"/>
      <c r="U63" s="199"/>
      <c r="V63" s="5"/>
      <c r="W63" s="36"/>
      <c r="Y63" s="19"/>
      <c r="Z63" s="5"/>
      <c r="AA63" s="5"/>
      <c r="AB63" s="5"/>
      <c r="AC63" s="5"/>
      <c r="AD63" s="5"/>
      <c r="AE63" s="5"/>
      <c r="AF63" s="5"/>
      <c r="AG63" s="5"/>
      <c r="AH63" s="5"/>
      <c r="AI63" s="5"/>
      <c r="AJ63" s="5"/>
      <c r="AK63" s="5"/>
      <c r="AL63" s="5"/>
      <c r="AM63" s="5"/>
      <c r="AN63" s="5"/>
      <c r="AO63" s="5"/>
      <c r="AP63" s="5"/>
      <c r="AQ63" s="5"/>
      <c r="AR63" s="5"/>
      <c r="AS63" s="371"/>
    </row>
    <row r="64" spans="2:99" hidden="1">
      <c r="B64" s="1000" t="s">
        <v>461</v>
      </c>
      <c r="C64" s="1000"/>
      <c r="D64" s="836"/>
      <c r="E64" s="320" t="s">
        <v>414</v>
      </c>
      <c r="F64" s="320"/>
      <c r="G64" s="320" t="s">
        <v>353</v>
      </c>
      <c r="H64" s="321"/>
      <c r="I64" s="321">
        <f t="shared" ref="I64:T64" ca="1" si="29">OFFSET(I64,0,-1)+1</f>
        <v>1</v>
      </c>
      <c r="J64" s="321">
        <f t="shared" ca="1" si="29"/>
        <v>2</v>
      </c>
      <c r="K64" s="321">
        <f t="shared" ca="1" si="29"/>
        <v>3</v>
      </c>
      <c r="L64" s="321">
        <f t="shared" ca="1" si="29"/>
        <v>4</v>
      </c>
      <c r="M64" s="321">
        <f t="shared" ca="1" si="29"/>
        <v>5</v>
      </c>
      <c r="N64" s="321">
        <f t="shared" ca="1" si="29"/>
        <v>6</v>
      </c>
      <c r="O64" s="321">
        <f t="shared" ca="1" si="29"/>
        <v>7</v>
      </c>
      <c r="P64" s="321">
        <f t="shared" ca="1" si="29"/>
        <v>8</v>
      </c>
      <c r="Q64" s="321">
        <f t="shared" ca="1" si="29"/>
        <v>9</v>
      </c>
      <c r="R64" s="321">
        <f t="shared" ca="1" si="29"/>
        <v>10</v>
      </c>
      <c r="S64" s="321">
        <f t="shared" ca="1" si="29"/>
        <v>11</v>
      </c>
      <c r="T64" s="321">
        <f t="shared" ca="1" si="29"/>
        <v>12</v>
      </c>
      <c r="U64" s="321"/>
      <c r="V64" s="15"/>
      <c r="W64" s="66"/>
      <c r="X64" s="19"/>
      <c r="Y64" s="19"/>
      <c r="Z64" s="5"/>
      <c r="AA64" s="5"/>
      <c r="AB64" s="5"/>
      <c r="AC64" s="5"/>
      <c r="AD64" s="5"/>
      <c r="AE64" s="5"/>
      <c r="AF64" s="5"/>
      <c r="AG64" s="5"/>
      <c r="AH64" s="5"/>
      <c r="AI64" s="5"/>
      <c r="AJ64" s="5"/>
      <c r="AK64" s="5"/>
      <c r="AL64" s="5"/>
      <c r="AM64" s="5"/>
      <c r="AN64" s="5"/>
      <c r="AO64" s="5"/>
      <c r="AP64" s="5"/>
      <c r="AQ64" s="5"/>
      <c r="AR64" s="5"/>
      <c r="AS64" s="21"/>
    </row>
    <row r="65" spans="1:58" ht="18.75" hidden="1">
      <c r="B65" s="1000" t="s">
        <v>461</v>
      </c>
      <c r="C65" s="1000"/>
      <c r="D65" s="836"/>
      <c r="E65" s="337" t="s">
        <v>454</v>
      </c>
      <c r="F65" s="338"/>
      <c r="G65" s="339"/>
      <c r="H65" s="339"/>
      <c r="I65" s="339"/>
      <c r="J65" s="339"/>
      <c r="K65" s="339"/>
      <c r="L65" s="339"/>
      <c r="M65" s="339"/>
      <c r="N65" s="339"/>
      <c r="O65" s="339"/>
      <c r="P65" s="339"/>
      <c r="Q65" s="339"/>
      <c r="R65" s="339"/>
      <c r="S65" s="339"/>
      <c r="T65" s="339"/>
      <c r="U65" s="339"/>
      <c r="V65" s="19"/>
      <c r="W65" s="66"/>
      <c r="X65" s="976"/>
      <c r="Y65" s="19"/>
      <c r="Z65" s="5"/>
      <c r="AA65" s="5"/>
      <c r="AB65" s="5"/>
      <c r="AC65" s="5"/>
      <c r="AD65" s="5"/>
      <c r="AE65" s="5"/>
      <c r="AF65" s="5"/>
      <c r="AG65" s="5"/>
      <c r="AH65" s="5"/>
      <c r="AI65" s="5"/>
      <c r="AJ65" s="5"/>
      <c r="AK65" s="5"/>
      <c r="AL65" s="5"/>
      <c r="AM65" s="5"/>
      <c r="AN65" s="5"/>
      <c r="AO65" s="5"/>
      <c r="AP65" s="5"/>
      <c r="AQ65" s="5"/>
      <c r="AR65" s="5"/>
    </row>
    <row r="66" spans="1:58" hidden="1">
      <c r="B66" s="1000" t="s">
        <v>461</v>
      </c>
      <c r="C66" s="1000"/>
      <c r="D66" s="836"/>
      <c r="E66" s="329" t="s">
        <v>115</v>
      </c>
      <c r="F66" s="330"/>
      <c r="G66" s="329" t="s">
        <v>65</v>
      </c>
      <c r="H66" s="342"/>
      <c r="I66" s="472" t="str">
        <f>I$319</f>
        <v>kantoor</v>
      </c>
      <c r="J66" s="472" t="str">
        <f t="shared" ref="J66:T66" si="30">J$319</f>
        <v>bijeenkomst</v>
      </c>
      <c r="K66" s="472" t="str">
        <f t="shared" si="30"/>
        <v>kinderopvang</v>
      </c>
      <c r="L66" s="472" t="str">
        <f t="shared" si="30"/>
        <v>onderwijs</v>
      </c>
      <c r="M66" s="472" t="str">
        <f t="shared" si="30"/>
        <v>zorg overig</v>
      </c>
      <c r="N66" s="472" t="str">
        <f t="shared" si="30"/>
        <v>zorg met bed</v>
      </c>
      <c r="O66" s="472" t="str">
        <f t="shared" si="30"/>
        <v>winkel</v>
      </c>
      <c r="P66" s="472" t="str">
        <f t="shared" si="30"/>
        <v>sport</v>
      </c>
      <c r="Q66" s="472" t="str">
        <f t="shared" si="30"/>
        <v>logies</v>
      </c>
      <c r="R66" s="472" t="str">
        <f t="shared" si="30"/>
        <v>cel</v>
      </c>
      <c r="S66" s="472" t="str">
        <f t="shared" si="30"/>
        <v>woning</v>
      </c>
      <c r="T66" s="472" t="str">
        <f t="shared" si="30"/>
        <v>woongebouw</v>
      </c>
      <c r="U66" s="342"/>
      <c r="V66" s="19"/>
      <c r="W66" s="66"/>
      <c r="X66" s="976"/>
      <c r="Y66" s="19"/>
      <c r="Z66" s="5"/>
      <c r="AA66" s="5"/>
      <c r="AB66" s="5"/>
      <c r="AC66" s="5"/>
      <c r="AD66" s="5"/>
      <c r="AE66" s="5"/>
      <c r="AF66" s="5"/>
      <c r="AG66" s="5"/>
      <c r="AH66" s="5"/>
      <c r="AI66" s="5"/>
      <c r="AJ66" s="5"/>
      <c r="AK66" s="5"/>
      <c r="AL66" s="5"/>
      <c r="AM66" s="5"/>
      <c r="AN66" s="5"/>
      <c r="AO66" s="5"/>
      <c r="AP66" s="5"/>
      <c r="AQ66" s="5"/>
      <c r="AR66" s="5"/>
      <c r="AS66" s="21"/>
    </row>
    <row r="67" spans="1:58" s="2" customFormat="1" hidden="1">
      <c r="A67" s="1010"/>
      <c r="B67" s="1000" t="s">
        <v>461</v>
      </c>
      <c r="C67" s="1000"/>
      <c r="D67" s="839"/>
      <c r="E67" s="203" t="s">
        <v>462</v>
      </c>
      <c r="F67" s="475"/>
      <c r="G67" s="203" t="s">
        <v>154</v>
      </c>
      <c r="H67" s="476"/>
      <c r="I67" s="477">
        <v>7.9</v>
      </c>
      <c r="J67" s="477">
        <v>6.3</v>
      </c>
      <c r="K67" s="477">
        <v>19.899999999999999</v>
      </c>
      <c r="L67" s="477">
        <v>26</v>
      </c>
      <c r="M67" s="477">
        <v>8</v>
      </c>
      <c r="N67" s="477">
        <v>38.9</v>
      </c>
      <c r="O67" s="477">
        <v>3</v>
      </c>
      <c r="P67" s="477">
        <v>3.3</v>
      </c>
      <c r="Q67" s="477">
        <v>8</v>
      </c>
      <c r="R67" s="477">
        <v>15.3</v>
      </c>
      <c r="S67" s="477">
        <v>7.3</v>
      </c>
      <c r="T67" s="477">
        <v>7.3</v>
      </c>
      <c r="U67" s="476"/>
      <c r="V67" s="8"/>
      <c r="W67" s="4"/>
      <c r="X67" s="977"/>
      <c r="Y67" s="8"/>
      <c r="Z67" s="4"/>
      <c r="AA67" s="4"/>
      <c r="AB67" s="4"/>
      <c r="AC67" s="4"/>
      <c r="AD67" s="4"/>
      <c r="AE67" s="4"/>
      <c r="AF67" s="4"/>
      <c r="AG67" s="4"/>
      <c r="AH67" s="4"/>
      <c r="AI67" s="4"/>
      <c r="AJ67" s="4"/>
      <c r="AK67" s="4"/>
      <c r="AL67" s="4"/>
      <c r="AM67" s="4"/>
      <c r="AN67" s="4"/>
      <c r="AO67" s="4"/>
      <c r="AP67" s="4"/>
      <c r="AQ67" s="4"/>
      <c r="AR67" s="4"/>
      <c r="AS67" s="21"/>
    </row>
    <row r="68" spans="1:58" s="2" customFormat="1" hidden="1">
      <c r="A68" s="1010"/>
      <c r="B68" s="1000" t="s">
        <v>461</v>
      </c>
      <c r="C68" s="1000"/>
      <c r="D68" s="839"/>
      <c r="E68" s="203" t="s">
        <v>463</v>
      </c>
      <c r="F68" s="475"/>
      <c r="G68" s="203" t="s">
        <v>154</v>
      </c>
      <c r="H68" s="476"/>
      <c r="I68" s="477">
        <v>4.5</v>
      </c>
      <c r="J68" s="477">
        <v>3.5</v>
      </c>
      <c r="K68" s="477">
        <v>11.1</v>
      </c>
      <c r="L68" s="477">
        <v>14.5</v>
      </c>
      <c r="M68" s="477">
        <v>4.5999999999999996</v>
      </c>
      <c r="N68" s="477">
        <v>21.1</v>
      </c>
      <c r="O68" s="477">
        <v>1.8</v>
      </c>
      <c r="P68" s="477">
        <v>2.2999999999999998</v>
      </c>
      <c r="Q68" s="477">
        <v>4.7</v>
      </c>
      <c r="R68" s="477">
        <v>8.6</v>
      </c>
      <c r="S68" s="477">
        <v>3.8</v>
      </c>
      <c r="T68" s="477">
        <v>3.8</v>
      </c>
      <c r="U68" s="476"/>
      <c r="V68" s="8"/>
      <c r="W68" s="4"/>
      <c r="X68" s="8"/>
      <c r="Y68" s="8"/>
      <c r="Z68" s="4"/>
      <c r="AA68" s="4"/>
      <c r="AB68" s="4"/>
      <c r="AC68" s="4"/>
      <c r="AD68" s="4"/>
      <c r="AE68" s="4"/>
      <c r="AF68" s="4"/>
      <c r="AG68" s="4"/>
      <c r="AH68" s="4"/>
      <c r="AI68" s="4"/>
      <c r="AJ68" s="4"/>
      <c r="AK68" s="4"/>
      <c r="AL68" s="4"/>
      <c r="AM68" s="4"/>
      <c r="AN68" s="4"/>
      <c r="AO68" s="4"/>
      <c r="AP68" s="4"/>
      <c r="AQ68" s="4"/>
      <c r="AR68" s="4"/>
      <c r="AS68" s="21"/>
    </row>
    <row r="69" spans="1:58" s="2" customFormat="1" hidden="1">
      <c r="A69" s="1010"/>
      <c r="B69" s="1000" t="s">
        <v>461</v>
      </c>
      <c r="C69" s="1000"/>
      <c r="D69" s="839"/>
      <c r="E69" s="203" t="s">
        <v>464</v>
      </c>
      <c r="F69" s="475"/>
      <c r="G69" s="203" t="s">
        <v>154</v>
      </c>
      <c r="H69" s="476"/>
      <c r="I69" s="477">
        <v>2.2999999999999998</v>
      </c>
      <c r="J69" s="477">
        <v>1.7</v>
      </c>
      <c r="K69" s="477">
        <v>5.5</v>
      </c>
      <c r="L69" s="477">
        <v>7.3</v>
      </c>
      <c r="M69" s="477">
        <v>2.2000000000000002</v>
      </c>
      <c r="N69" s="477">
        <v>10.9</v>
      </c>
      <c r="O69" s="477">
        <v>0.9</v>
      </c>
      <c r="P69" s="477">
        <v>1.2</v>
      </c>
      <c r="Q69" s="477">
        <v>2.2999999999999998</v>
      </c>
      <c r="R69" s="477">
        <v>4.3</v>
      </c>
      <c r="S69" s="477">
        <v>1.9</v>
      </c>
      <c r="T69" s="477">
        <v>1.9</v>
      </c>
      <c r="U69" s="476"/>
      <c r="V69" s="8"/>
      <c r="W69" s="4"/>
      <c r="X69" s="8"/>
      <c r="Y69" s="8"/>
      <c r="Z69" s="4"/>
      <c r="AA69" s="4"/>
      <c r="AB69" s="4"/>
      <c r="AC69" s="4"/>
      <c r="AD69" s="4"/>
      <c r="AE69" s="4"/>
      <c r="AF69" s="4"/>
      <c r="AG69" s="4"/>
      <c r="AH69" s="4"/>
      <c r="AI69" s="4"/>
      <c r="AJ69" s="4"/>
      <c r="AK69" s="4"/>
      <c r="AL69" s="4"/>
      <c r="AM69" s="4"/>
      <c r="AN69" s="4"/>
      <c r="AO69" s="4"/>
      <c r="AP69" s="4"/>
      <c r="AQ69" s="4"/>
      <c r="AR69" s="4"/>
      <c r="AS69" s="21"/>
    </row>
    <row r="70" spans="1:58" s="2" customFormat="1" hidden="1">
      <c r="A70" s="1010"/>
      <c r="B70" s="1000" t="s">
        <v>461</v>
      </c>
      <c r="C70" s="1000"/>
      <c r="D70" s="839"/>
      <c r="E70" s="203" t="s">
        <v>138</v>
      </c>
      <c r="F70" s="475"/>
      <c r="G70" s="203" t="s">
        <v>154</v>
      </c>
      <c r="H70" s="476"/>
      <c r="I70" s="512">
        <f>0.5*I69</f>
        <v>1.1499999999999999</v>
      </c>
      <c r="J70" s="512">
        <f t="shared" ref="J70:T70" si="31">0.5*J69</f>
        <v>0.85</v>
      </c>
      <c r="K70" s="512">
        <f t="shared" si="31"/>
        <v>2.75</v>
      </c>
      <c r="L70" s="512">
        <f t="shared" si="31"/>
        <v>3.65</v>
      </c>
      <c r="M70" s="512">
        <f t="shared" si="31"/>
        <v>1.1000000000000001</v>
      </c>
      <c r="N70" s="512">
        <f t="shared" si="31"/>
        <v>5.45</v>
      </c>
      <c r="O70" s="512">
        <f t="shared" si="31"/>
        <v>0.45</v>
      </c>
      <c r="P70" s="512">
        <f t="shared" si="31"/>
        <v>0.6</v>
      </c>
      <c r="Q70" s="512">
        <f t="shared" si="31"/>
        <v>1.1499999999999999</v>
      </c>
      <c r="R70" s="512">
        <f t="shared" si="31"/>
        <v>2.15</v>
      </c>
      <c r="S70" s="512">
        <f t="shared" si="31"/>
        <v>0.95</v>
      </c>
      <c r="T70" s="512">
        <f t="shared" si="31"/>
        <v>0.95</v>
      </c>
      <c r="U70" s="476"/>
      <c r="V70" s="8"/>
      <c r="W70" s="4"/>
      <c r="X70" s="8"/>
      <c r="Y70" s="8"/>
      <c r="Z70" s="4"/>
      <c r="AA70" s="4"/>
      <c r="AB70" s="4"/>
      <c r="AC70" s="4"/>
      <c r="AD70" s="4"/>
      <c r="AE70" s="4"/>
      <c r="AF70" s="4"/>
      <c r="AG70" s="4"/>
      <c r="AH70" s="4"/>
      <c r="AI70" s="4"/>
      <c r="AJ70" s="4"/>
      <c r="AK70" s="4"/>
      <c r="AL70" s="4"/>
      <c r="AM70" s="4"/>
      <c r="AN70" s="4"/>
      <c r="AO70" s="4"/>
      <c r="AP70" s="4"/>
      <c r="AQ70" s="4"/>
      <c r="AR70" s="4"/>
      <c r="AS70" s="21"/>
    </row>
    <row r="71" spans="1:58" ht="18.75" hidden="1">
      <c r="B71" s="1000" t="s">
        <v>461</v>
      </c>
      <c r="C71" s="1000"/>
      <c r="D71" s="836"/>
      <c r="E71" s="337" t="s">
        <v>465</v>
      </c>
      <c r="F71" s="338"/>
      <c r="G71" s="339"/>
      <c r="H71" s="339"/>
      <c r="I71" s="339"/>
      <c r="J71" s="339"/>
      <c r="K71" s="339"/>
      <c r="L71" s="339"/>
      <c r="M71" s="339"/>
      <c r="N71" s="339"/>
      <c r="O71" s="339"/>
      <c r="P71" s="339"/>
      <c r="Q71" s="339"/>
      <c r="R71" s="339"/>
      <c r="S71" s="339"/>
      <c r="T71" s="339"/>
      <c r="U71" s="339"/>
      <c r="V71" s="19"/>
      <c r="W71" s="978"/>
      <c r="X71" s="15"/>
      <c r="Y71" s="19"/>
      <c r="Z71" s="5"/>
      <c r="AA71" s="5"/>
      <c r="AB71" s="5"/>
      <c r="AC71" s="5"/>
      <c r="AD71" s="5"/>
      <c r="AE71" s="5"/>
      <c r="AF71" s="5"/>
      <c r="AG71" s="5"/>
      <c r="AH71" s="5"/>
      <c r="AI71" s="5"/>
      <c r="AJ71" s="5"/>
      <c r="AK71" s="5"/>
      <c r="AL71" s="5"/>
      <c r="AM71" s="5"/>
      <c r="AN71" s="5"/>
      <c r="AO71" s="5"/>
      <c r="AP71" s="5"/>
      <c r="AQ71" s="5"/>
      <c r="AR71" s="5"/>
      <c r="AS71" s="21"/>
    </row>
    <row r="72" spans="1:58" hidden="1">
      <c r="B72" s="1000" t="s">
        <v>461</v>
      </c>
      <c r="C72" s="1000"/>
      <c r="D72" s="836"/>
      <c r="E72" s="329" t="s">
        <v>115</v>
      </c>
      <c r="F72" s="330"/>
      <c r="G72" s="329" t="s">
        <v>65</v>
      </c>
      <c r="H72" s="342"/>
      <c r="I72" s="472" t="str">
        <f>I$319</f>
        <v>kantoor</v>
      </c>
      <c r="J72" s="472" t="str">
        <f t="shared" ref="J72:T72" si="32">J$319</f>
        <v>bijeenkomst</v>
      </c>
      <c r="K72" s="472" t="str">
        <f t="shared" si="32"/>
        <v>kinderopvang</v>
      </c>
      <c r="L72" s="472" t="str">
        <f t="shared" si="32"/>
        <v>onderwijs</v>
      </c>
      <c r="M72" s="472" t="str">
        <f t="shared" si="32"/>
        <v>zorg overig</v>
      </c>
      <c r="N72" s="472" t="str">
        <f t="shared" si="32"/>
        <v>zorg met bed</v>
      </c>
      <c r="O72" s="472" t="str">
        <f t="shared" si="32"/>
        <v>winkel</v>
      </c>
      <c r="P72" s="472" t="str">
        <f t="shared" si="32"/>
        <v>sport</v>
      </c>
      <c r="Q72" s="472" t="str">
        <f t="shared" si="32"/>
        <v>logies</v>
      </c>
      <c r="R72" s="472" t="str">
        <f t="shared" si="32"/>
        <v>cel</v>
      </c>
      <c r="S72" s="472" t="str">
        <f t="shared" si="32"/>
        <v>woning</v>
      </c>
      <c r="T72" s="472" t="str">
        <f t="shared" si="32"/>
        <v>woongebouw</v>
      </c>
      <c r="U72" s="342"/>
      <c r="V72" s="19"/>
      <c r="W72" s="66"/>
      <c r="X72" s="979"/>
      <c r="Y72" s="19"/>
      <c r="Z72" s="5"/>
      <c r="AA72" s="5"/>
      <c r="AB72" s="5"/>
      <c r="AC72" s="5"/>
      <c r="AD72" s="5"/>
      <c r="AE72" s="5"/>
      <c r="AF72" s="5"/>
      <c r="AG72" s="5"/>
      <c r="AH72" s="5"/>
      <c r="AI72" s="5"/>
      <c r="AJ72" s="5"/>
      <c r="AK72" s="5"/>
      <c r="AL72" s="5"/>
      <c r="AM72" s="5"/>
      <c r="AN72" s="5"/>
      <c r="AO72" s="5"/>
      <c r="AP72" s="5"/>
      <c r="AQ72" s="5"/>
      <c r="AR72" s="5"/>
      <c r="AS72" s="21"/>
    </row>
    <row r="73" spans="1:58" s="2" customFormat="1" hidden="1">
      <c r="A73" s="1010"/>
      <c r="B73" s="1000" t="s">
        <v>461</v>
      </c>
      <c r="C73" s="1000"/>
      <c r="D73" s="839"/>
      <c r="E73" s="203" t="str">
        <f>E67</f>
        <v>wisselstroom</v>
      </c>
      <c r="F73" s="475"/>
      <c r="G73" s="203" t="s">
        <v>154</v>
      </c>
      <c r="H73" s="476"/>
      <c r="I73" s="477">
        <v>15.2</v>
      </c>
      <c r="J73" s="477">
        <v>11</v>
      </c>
      <c r="K73" s="477">
        <v>30.7</v>
      </c>
      <c r="L73" s="477">
        <v>40.299999999999997</v>
      </c>
      <c r="M73" s="477">
        <v>14.1</v>
      </c>
      <c r="N73" s="477">
        <v>60</v>
      </c>
      <c r="O73" s="477">
        <v>10.199999999999999</v>
      </c>
      <c r="P73" s="477">
        <v>10.3</v>
      </c>
      <c r="Q73" s="477">
        <v>15.1</v>
      </c>
      <c r="R73" s="477">
        <v>40.5</v>
      </c>
      <c r="S73" s="477">
        <v>15.3</v>
      </c>
      <c r="T73" s="477">
        <v>15.3</v>
      </c>
      <c r="U73" s="476"/>
      <c r="V73" s="8"/>
      <c r="W73" s="4"/>
      <c r="X73" s="9"/>
      <c r="Y73" s="8"/>
      <c r="Z73" s="4"/>
      <c r="AA73" s="4"/>
      <c r="AB73" s="4"/>
      <c r="AC73" s="4"/>
      <c r="AD73" s="4"/>
      <c r="AE73" s="4"/>
      <c r="AF73" s="4"/>
      <c r="AG73" s="4"/>
      <c r="AH73" s="4"/>
      <c r="AI73" s="4"/>
      <c r="AJ73" s="4"/>
      <c r="AK73" s="4"/>
      <c r="AL73" s="4"/>
      <c r="AM73" s="4"/>
      <c r="AN73" s="4"/>
      <c r="AO73" s="4"/>
      <c r="AP73" s="4"/>
      <c r="AQ73" s="4"/>
      <c r="AR73" s="4"/>
      <c r="AS73" s="21"/>
    </row>
    <row r="74" spans="1:58" s="2" customFormat="1" hidden="1">
      <c r="A74" s="1010"/>
      <c r="B74" s="1000" t="s">
        <v>461</v>
      </c>
      <c r="C74" s="1000"/>
      <c r="D74" s="839"/>
      <c r="E74" s="203" t="str">
        <f>E68</f>
        <v>gelijkstroom (vóór 2007)</v>
      </c>
      <c r="F74" s="475"/>
      <c r="G74" s="203" t="s">
        <v>154</v>
      </c>
      <c r="H74" s="476"/>
      <c r="I74" s="477">
        <v>8.5</v>
      </c>
      <c r="J74" s="477">
        <v>5.9</v>
      </c>
      <c r="K74" s="477">
        <v>17.3</v>
      </c>
      <c r="L74" s="477">
        <v>22.6</v>
      </c>
      <c r="M74" s="477">
        <v>7.9</v>
      </c>
      <c r="N74" s="477">
        <v>34.299999999999997</v>
      </c>
      <c r="O74" s="477">
        <v>4</v>
      </c>
      <c r="P74" s="477">
        <v>5</v>
      </c>
      <c r="Q74" s="477">
        <v>8.6999999999999993</v>
      </c>
      <c r="R74" s="477">
        <v>20.7</v>
      </c>
      <c r="S74" s="477">
        <v>8.6</v>
      </c>
      <c r="T74" s="477">
        <v>8.6</v>
      </c>
      <c r="U74" s="476"/>
      <c r="V74" s="8"/>
      <c r="W74" s="4"/>
      <c r="X74" s="8"/>
      <c r="Y74" s="8"/>
      <c r="Z74" s="4"/>
      <c r="AA74" s="4"/>
      <c r="AB74" s="4"/>
      <c r="AC74" s="4"/>
      <c r="AD74" s="4"/>
      <c r="AE74" s="4"/>
      <c r="AF74" s="4"/>
      <c r="AG74" s="4"/>
      <c r="AH74" s="4"/>
      <c r="AI74" s="4"/>
      <c r="AJ74" s="4"/>
      <c r="AK74" s="4"/>
      <c r="AL74" s="4"/>
      <c r="AM74" s="4"/>
      <c r="AN74" s="4"/>
      <c r="AO74" s="4"/>
      <c r="AP74" s="4"/>
      <c r="AQ74" s="4"/>
      <c r="AR74" s="4"/>
      <c r="AS74" s="21"/>
    </row>
    <row r="75" spans="1:58" s="2" customFormat="1" hidden="1">
      <c r="A75" s="1010"/>
      <c r="B75" s="1000" t="s">
        <v>461</v>
      </c>
      <c r="C75" s="1000"/>
      <c r="D75" s="839"/>
      <c r="E75" s="203" t="str">
        <f>E69</f>
        <v>gelijkstroom (vanaf 2007)</v>
      </c>
      <c r="F75" s="475"/>
      <c r="G75" s="203" t="s">
        <v>154</v>
      </c>
      <c r="H75" s="476"/>
      <c r="I75" s="477">
        <v>4</v>
      </c>
      <c r="J75" s="477">
        <v>3.1</v>
      </c>
      <c r="K75" s="477">
        <v>8.6999999999999993</v>
      </c>
      <c r="L75" s="477">
        <v>11.3</v>
      </c>
      <c r="M75" s="477">
        <v>3.8</v>
      </c>
      <c r="N75" s="477">
        <v>17.7</v>
      </c>
      <c r="O75" s="477">
        <v>1.7</v>
      </c>
      <c r="P75" s="477">
        <v>3</v>
      </c>
      <c r="Q75" s="477">
        <v>4.0999999999999996</v>
      </c>
      <c r="R75" s="477">
        <v>7</v>
      </c>
      <c r="S75" s="477">
        <v>4.3</v>
      </c>
      <c r="T75" s="477">
        <v>4.3</v>
      </c>
      <c r="U75" s="476"/>
      <c r="V75" s="8"/>
      <c r="W75" s="4"/>
      <c r="X75" s="8"/>
      <c r="Y75" s="8"/>
      <c r="Z75" s="4"/>
      <c r="AA75" s="4"/>
      <c r="AB75" s="4"/>
      <c r="AC75" s="4"/>
      <c r="AD75" s="4"/>
      <c r="AE75" s="4"/>
      <c r="AF75" s="4"/>
      <c r="AG75" s="4"/>
      <c r="AH75" s="4"/>
      <c r="AI75" s="4"/>
      <c r="AJ75" s="4"/>
      <c r="AK75" s="4"/>
      <c r="AL75" s="4"/>
      <c r="AM75" s="4"/>
      <c r="AN75" s="4"/>
      <c r="AO75" s="4"/>
      <c r="AP75" s="4"/>
      <c r="AQ75" s="4"/>
      <c r="AR75" s="4"/>
      <c r="AS75" s="21"/>
    </row>
    <row r="76" spans="1:58" s="2" customFormat="1" hidden="1">
      <c r="A76" s="1010"/>
      <c r="B76" s="1000" t="s">
        <v>461</v>
      </c>
      <c r="C76" s="1000"/>
      <c r="D76" s="839"/>
      <c r="E76" s="203" t="str">
        <f>E70</f>
        <v>zeer energiezuinig</v>
      </c>
      <c r="F76" s="475"/>
      <c r="G76" s="203" t="s">
        <v>154</v>
      </c>
      <c r="H76" s="476"/>
      <c r="I76" s="512">
        <f t="shared" ref="I76:T76" si="33">0.5*I75</f>
        <v>2</v>
      </c>
      <c r="J76" s="512">
        <f t="shared" si="33"/>
        <v>1.55</v>
      </c>
      <c r="K76" s="512">
        <f t="shared" si="33"/>
        <v>4.3499999999999996</v>
      </c>
      <c r="L76" s="512">
        <f t="shared" si="33"/>
        <v>5.65</v>
      </c>
      <c r="M76" s="512">
        <f t="shared" si="33"/>
        <v>1.9</v>
      </c>
      <c r="N76" s="512">
        <f t="shared" si="33"/>
        <v>8.85</v>
      </c>
      <c r="O76" s="512">
        <f t="shared" si="33"/>
        <v>0.85</v>
      </c>
      <c r="P76" s="512">
        <f t="shared" si="33"/>
        <v>1.5</v>
      </c>
      <c r="Q76" s="512">
        <f t="shared" si="33"/>
        <v>2.0499999999999998</v>
      </c>
      <c r="R76" s="512">
        <f t="shared" si="33"/>
        <v>3.5</v>
      </c>
      <c r="S76" s="512">
        <f t="shared" si="33"/>
        <v>2.15</v>
      </c>
      <c r="T76" s="512">
        <f t="shared" si="33"/>
        <v>2.15</v>
      </c>
      <c r="U76" s="476"/>
      <c r="V76" s="8"/>
      <c r="W76" s="4"/>
      <c r="X76" s="9"/>
      <c r="Y76" s="8"/>
      <c r="Z76" s="4"/>
      <c r="AA76" s="4"/>
      <c r="AB76" s="4"/>
      <c r="AC76" s="4"/>
      <c r="AD76" s="4"/>
      <c r="AE76" s="4"/>
      <c r="AF76" s="4"/>
      <c r="AG76" s="4"/>
      <c r="AH76" s="4"/>
      <c r="AI76" s="4"/>
      <c r="AJ76" s="4"/>
      <c r="AK76" s="4"/>
      <c r="AL76" s="4"/>
      <c r="AM76" s="4"/>
      <c r="AN76" s="4"/>
      <c r="AO76" s="4"/>
      <c r="AP76" s="4"/>
      <c r="AQ76" s="4"/>
      <c r="AR76" s="4"/>
      <c r="AS76" s="21"/>
    </row>
    <row r="77" spans="1:58" hidden="1">
      <c r="B77" s="1000" t="s">
        <v>461</v>
      </c>
      <c r="C77" s="1000"/>
      <c r="D77" s="836"/>
      <c r="E77" s="325" t="s">
        <v>1193</v>
      </c>
      <c r="F77" s="325"/>
      <c r="G77" s="325"/>
      <c r="H77" s="325"/>
      <c r="I77" s="471"/>
      <c r="J77" s="471"/>
      <c r="K77" s="471"/>
      <c r="L77" s="471"/>
      <c r="M77" s="471"/>
      <c r="N77" s="471"/>
      <c r="O77" s="471"/>
      <c r="P77" s="471"/>
      <c r="Q77" s="471"/>
      <c r="R77" s="471"/>
      <c r="S77" s="471"/>
      <c r="T77" s="471"/>
      <c r="U77" s="471"/>
      <c r="V77" s="14"/>
      <c r="W77" s="10"/>
      <c r="X77" s="980"/>
      <c r="Y77" s="506"/>
      <c r="Z77" s="9"/>
      <c r="AA77" s="4"/>
      <c r="AB77" s="17"/>
      <c r="AC77" s="17"/>
      <c r="AD77" s="17"/>
      <c r="AE77" s="17"/>
      <c r="AF77" s="17"/>
      <c r="AG77" s="17"/>
      <c r="AH77" s="17"/>
      <c r="AI77" s="17"/>
      <c r="AJ77" s="17"/>
      <c r="AK77" s="17"/>
      <c r="AL77" s="17"/>
      <c r="AM77" s="17"/>
      <c r="AN77" s="17"/>
      <c r="AO77" s="17"/>
      <c r="AP77" s="17"/>
      <c r="AQ77" s="17"/>
      <c r="AR77" s="17"/>
      <c r="AS77" s="21"/>
    </row>
    <row r="78" spans="1:58" hidden="1">
      <c r="B78" s="1000" t="s">
        <v>461</v>
      </c>
      <c r="C78" s="1000"/>
      <c r="D78" s="836"/>
      <c r="E78" s="5"/>
      <c r="F78" s="5"/>
      <c r="G78" s="5"/>
      <c r="H78" s="15"/>
      <c r="I78" s="15"/>
      <c r="J78" s="15"/>
      <c r="K78" s="5"/>
      <c r="L78" s="15"/>
      <c r="M78" s="15"/>
      <c r="N78" s="15"/>
      <c r="O78" s="15"/>
      <c r="P78" s="15"/>
      <c r="Q78" s="15"/>
      <c r="R78" s="15"/>
      <c r="S78" s="15"/>
      <c r="T78" s="15"/>
      <c r="U78" s="15"/>
      <c r="V78" s="15"/>
      <c r="W78" s="66"/>
      <c r="X78" s="15"/>
      <c r="Y78" s="19"/>
      <c r="Z78" s="5"/>
      <c r="AA78" s="5"/>
      <c r="AB78" s="5"/>
      <c r="AC78" s="5"/>
      <c r="AD78" s="5"/>
      <c r="AE78" s="5"/>
      <c r="AF78" s="5"/>
      <c r="AG78" s="5"/>
      <c r="AH78" s="5"/>
      <c r="AI78" s="5"/>
      <c r="AJ78" s="5"/>
      <c r="AK78" s="5"/>
      <c r="AL78" s="5"/>
      <c r="AM78" s="5"/>
      <c r="AN78" s="5"/>
      <c r="AO78" s="5"/>
      <c r="AP78" s="5"/>
      <c r="AQ78" s="5"/>
      <c r="AR78" s="5"/>
      <c r="AS78" s="21"/>
    </row>
    <row r="79" spans="1:58">
      <c r="B79" s="1000" t="s">
        <v>466</v>
      </c>
      <c r="C79" s="1000"/>
      <c r="D79" s="836"/>
      <c r="E79" s="5"/>
      <c r="F79" s="5"/>
      <c r="G79" s="5"/>
      <c r="H79" s="15"/>
      <c r="I79" s="20"/>
      <c r="J79" s="20"/>
      <c r="K79" s="20"/>
      <c r="L79" s="20"/>
      <c r="M79" s="20"/>
      <c r="N79" s="20"/>
      <c r="O79" s="20"/>
      <c r="P79" s="20"/>
      <c r="Q79" s="15"/>
      <c r="R79" s="15"/>
      <c r="S79" s="15"/>
      <c r="T79" s="15"/>
      <c r="U79" s="15"/>
      <c r="V79" s="15"/>
      <c r="W79" s="15"/>
      <c r="X79" s="15"/>
      <c r="Y79" s="19"/>
      <c r="Z79" s="5"/>
      <c r="AA79" s="5"/>
      <c r="AB79" s="5"/>
      <c r="AC79" s="5"/>
      <c r="AD79" s="5"/>
      <c r="AE79" s="5"/>
      <c r="AF79" s="5"/>
      <c r="AG79" s="5"/>
      <c r="AH79" s="5"/>
      <c r="AI79" s="5"/>
      <c r="AJ79" s="5"/>
      <c r="AK79" s="5"/>
      <c r="AL79" s="5"/>
      <c r="AM79" s="1194"/>
      <c r="AN79" s="1194"/>
      <c r="AO79" s="1194"/>
      <c r="AP79" s="1194"/>
      <c r="AQ79" s="1194"/>
      <c r="AR79" s="5"/>
      <c r="AS79" s="1195"/>
    </row>
    <row r="80" spans="1:58" ht="21">
      <c r="B80" s="1000" t="s">
        <v>466</v>
      </c>
      <c r="C80" s="1000"/>
      <c r="D80" s="1151" t="s">
        <v>45</v>
      </c>
      <c r="E80" s="199" t="s">
        <v>467</v>
      </c>
      <c r="F80" s="199"/>
      <c r="G80" s="199"/>
      <c r="H80" s="199"/>
      <c r="I80" s="199"/>
      <c r="J80" s="199"/>
      <c r="K80" s="199"/>
      <c r="L80" s="199"/>
      <c r="M80" s="199"/>
      <c r="N80" s="199"/>
      <c r="O80" s="199"/>
      <c r="P80" s="199"/>
      <c r="Q80" s="199"/>
      <c r="R80" s="199"/>
      <c r="S80" s="199"/>
      <c r="T80" s="199"/>
      <c r="U80" s="199"/>
      <c r="V80" s="199"/>
      <c r="W80" s="199"/>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s="199"/>
      <c r="BF80" s="21"/>
    </row>
    <row r="81" spans="1:59">
      <c r="B81" s="1000" t="s">
        <v>466</v>
      </c>
      <c r="C81" s="1000"/>
      <c r="D81" s="837"/>
      <c r="E81" s="434" t="s">
        <v>414</v>
      </c>
      <c r="F81" s="434"/>
      <c r="G81" s="434" t="s">
        <v>353</v>
      </c>
      <c r="H81" s="435"/>
      <c r="I81" s="436">
        <f t="shared" ref="I81:BD81" ca="1" si="34">OFFSET(I81,0,-1)+1</f>
        <v>1</v>
      </c>
      <c r="J81" s="436">
        <f t="shared" ca="1" si="34"/>
        <v>2</v>
      </c>
      <c r="K81" s="436">
        <f t="shared" ca="1" si="34"/>
        <v>3</v>
      </c>
      <c r="L81" s="436">
        <f t="shared" ca="1" si="34"/>
        <v>4</v>
      </c>
      <c r="M81" s="436">
        <f t="shared" ca="1" si="34"/>
        <v>5</v>
      </c>
      <c r="N81" s="436">
        <f t="shared" ca="1" si="34"/>
        <v>6</v>
      </c>
      <c r="O81" s="436">
        <f t="shared" ca="1" si="34"/>
        <v>7</v>
      </c>
      <c r="P81" s="436">
        <f t="shared" ca="1" si="34"/>
        <v>8</v>
      </c>
      <c r="Q81" s="436">
        <f t="shared" ca="1" si="34"/>
        <v>9</v>
      </c>
      <c r="R81" s="436">
        <f t="shared" ca="1" si="34"/>
        <v>10</v>
      </c>
      <c r="S81" s="436">
        <f t="shared" ca="1" si="34"/>
        <v>11</v>
      </c>
      <c r="T81" s="436">
        <f t="shared" ca="1" si="34"/>
        <v>12</v>
      </c>
      <c r="U81" s="436">
        <f t="shared" ca="1" si="34"/>
        <v>13</v>
      </c>
      <c r="V81" s="436">
        <f t="shared" ca="1" si="34"/>
        <v>14</v>
      </c>
      <c r="W81" s="436">
        <f t="shared" ca="1" si="34"/>
        <v>15</v>
      </c>
      <c r="X81" s="436">
        <f t="shared" ca="1" si="34"/>
        <v>16</v>
      </c>
      <c r="Y81" s="436">
        <f t="shared" ca="1" si="34"/>
        <v>17</v>
      </c>
      <c r="Z81" s="436">
        <f t="shared" ca="1" si="34"/>
        <v>18</v>
      </c>
      <c r="AA81" s="436">
        <f t="shared" ca="1" si="34"/>
        <v>19</v>
      </c>
      <c r="AB81" s="436">
        <f t="shared" ca="1" si="34"/>
        <v>20</v>
      </c>
      <c r="AC81" s="436">
        <f t="shared" ca="1" si="34"/>
        <v>21</v>
      </c>
      <c r="AD81" s="436">
        <f t="shared" ca="1" si="34"/>
        <v>22</v>
      </c>
      <c r="AE81" s="436">
        <f t="shared" ca="1" si="34"/>
        <v>23</v>
      </c>
      <c r="AF81" s="436">
        <f t="shared" ca="1" si="34"/>
        <v>24</v>
      </c>
      <c r="AG81" s="436">
        <f t="shared" ca="1" si="34"/>
        <v>25</v>
      </c>
      <c r="AH81" s="436">
        <f t="shared" ca="1" si="34"/>
        <v>26</v>
      </c>
      <c r="AI81" s="436">
        <f t="shared" ca="1" si="34"/>
        <v>27</v>
      </c>
      <c r="AJ81" s="436">
        <f t="shared" ca="1" si="34"/>
        <v>28</v>
      </c>
      <c r="AK81" s="436">
        <f t="shared" ca="1" si="34"/>
        <v>29</v>
      </c>
      <c r="AL81" s="436">
        <f t="shared" ca="1" si="34"/>
        <v>30</v>
      </c>
      <c r="AM81" s="436">
        <f t="shared" ca="1" si="34"/>
        <v>31</v>
      </c>
      <c r="AN81" s="436">
        <f t="shared" ca="1" si="34"/>
        <v>32</v>
      </c>
      <c r="AO81" s="436">
        <f t="shared" ca="1" si="34"/>
        <v>33</v>
      </c>
      <c r="AP81" s="436">
        <f t="shared" ca="1" si="34"/>
        <v>34</v>
      </c>
      <c r="AQ81" s="436">
        <f t="shared" ca="1" si="34"/>
        <v>35</v>
      </c>
      <c r="AR81" s="436">
        <f t="shared" ca="1" si="34"/>
        <v>36</v>
      </c>
      <c r="AS81" s="436">
        <f t="shared" ca="1" si="34"/>
        <v>37</v>
      </c>
      <c r="AT81" s="436">
        <f t="shared" ca="1" si="34"/>
        <v>38</v>
      </c>
      <c r="AU81" s="436">
        <f t="shared" ca="1" si="34"/>
        <v>39</v>
      </c>
      <c r="AV81" s="436">
        <f t="shared" ca="1" si="34"/>
        <v>40</v>
      </c>
      <c r="AW81" s="436">
        <f t="shared" ca="1" si="34"/>
        <v>41</v>
      </c>
      <c r="AX81" s="436">
        <f t="shared" ca="1" si="34"/>
        <v>42</v>
      </c>
      <c r="AY81" s="436">
        <f t="shared" ca="1" si="34"/>
        <v>43</v>
      </c>
      <c r="AZ81" s="436">
        <f t="shared" ca="1" si="34"/>
        <v>44</v>
      </c>
      <c r="BA81" s="436">
        <f t="shared" ca="1" si="34"/>
        <v>45</v>
      </c>
      <c r="BB81" s="436">
        <f t="shared" ca="1" si="34"/>
        <v>46</v>
      </c>
      <c r="BC81" s="436">
        <f t="shared" ca="1" si="34"/>
        <v>47</v>
      </c>
      <c r="BD81" s="436">
        <f t="shared" ca="1" si="34"/>
        <v>48</v>
      </c>
      <c r="BE81" s="435"/>
      <c r="BF81" s="229"/>
    </row>
    <row r="82" spans="1:59" ht="18.75">
      <c r="B82" s="1000" t="s">
        <v>466</v>
      </c>
      <c r="C82" s="1000"/>
      <c r="D82" s="836"/>
      <c r="E82" s="337" t="s">
        <v>468</v>
      </c>
      <c r="F82" s="338"/>
      <c r="G82" s="337"/>
      <c r="H82" s="437"/>
      <c r="I82" s="437"/>
      <c r="J82" s="437"/>
      <c r="K82" s="437"/>
      <c r="L82" s="437"/>
      <c r="M82" s="437"/>
      <c r="N82" s="437"/>
      <c r="O82" s="437"/>
      <c r="P82" s="437"/>
      <c r="Q82" s="437"/>
      <c r="R82" s="437"/>
      <c r="S82" s="437"/>
      <c r="T82" s="437"/>
      <c r="U82" s="437"/>
      <c r="V82" s="437"/>
      <c r="W82" s="437"/>
      <c r="X82" s="437"/>
      <c r="Y82" s="437"/>
      <c r="Z82" s="437"/>
      <c r="AA82" s="438"/>
      <c r="AB82" s="437"/>
      <c r="AC82" s="437"/>
      <c r="AD82" s="437"/>
      <c r="AE82" s="437"/>
      <c r="AF82" s="437"/>
      <c r="AG82" s="437"/>
      <c r="AH82" s="437"/>
      <c r="AI82" s="437"/>
      <c r="AJ82" s="437"/>
      <c r="AK82" s="437"/>
      <c r="AL82" s="437"/>
      <c r="AM82" s="437"/>
      <c r="AN82" s="437"/>
      <c r="AO82" s="437"/>
      <c r="AP82" s="596" t="s">
        <v>469</v>
      </c>
      <c r="AQ82" s="596" t="s">
        <v>469</v>
      </c>
      <c r="AR82" s="596" t="s">
        <v>469</v>
      </c>
      <c r="AS82" s="596" t="s">
        <v>469</v>
      </c>
      <c r="AT82" s="596" t="s">
        <v>469</v>
      </c>
      <c r="AU82" s="596" t="s">
        <v>469</v>
      </c>
      <c r="AV82" s="596" t="s">
        <v>469</v>
      </c>
      <c r="AW82" s="596" t="s">
        <v>469</v>
      </c>
      <c r="AX82" s="596" t="s">
        <v>469</v>
      </c>
      <c r="AY82" s="596" t="s">
        <v>469</v>
      </c>
      <c r="AZ82" s="596" t="s">
        <v>469</v>
      </c>
      <c r="BA82" s="596" t="s">
        <v>469</v>
      </c>
      <c r="BB82" s="596" t="s">
        <v>469</v>
      </c>
      <c r="BC82" s="596" t="s">
        <v>469</v>
      </c>
      <c r="BD82" s="596" t="s">
        <v>469</v>
      </c>
      <c r="BE82" s="439"/>
      <c r="BF82" s="21"/>
    </row>
    <row r="83" spans="1:59" ht="51">
      <c r="B83" s="1000" t="s">
        <v>466</v>
      </c>
      <c r="C83" s="1000"/>
      <c r="D83" s="836"/>
      <c r="E83" s="329" t="s">
        <v>470</v>
      </c>
      <c r="F83" s="330"/>
      <c r="G83" s="440"/>
      <c r="H83" s="342"/>
      <c r="I83" s="422" t="s">
        <v>471</v>
      </c>
      <c r="J83" s="422" t="s">
        <v>168</v>
      </c>
      <c r="K83" s="422" t="s">
        <v>472</v>
      </c>
      <c r="L83" s="422" t="s">
        <v>473</v>
      </c>
      <c r="M83" s="422" t="s">
        <v>474</v>
      </c>
      <c r="N83" s="422" t="s">
        <v>475</v>
      </c>
      <c r="O83" s="422" t="s">
        <v>954</v>
      </c>
      <c r="P83" s="422" t="s">
        <v>476</v>
      </c>
      <c r="Q83" s="422" t="s">
        <v>477</v>
      </c>
      <c r="R83" s="422" t="s">
        <v>478</v>
      </c>
      <c r="S83" s="422" t="s">
        <v>479</v>
      </c>
      <c r="T83" s="422" t="s">
        <v>480</v>
      </c>
      <c r="U83" s="422" t="s">
        <v>481</v>
      </c>
      <c r="V83" s="422" t="s">
        <v>915</v>
      </c>
      <c r="W83" s="422" t="s">
        <v>482</v>
      </c>
      <c r="X83" s="422" t="s">
        <v>483</v>
      </c>
      <c r="Y83" s="422" t="s">
        <v>484</v>
      </c>
      <c r="Z83" s="422" t="s">
        <v>485</v>
      </c>
      <c r="AA83" s="422" t="s">
        <v>486</v>
      </c>
      <c r="AB83" s="422" t="s">
        <v>487</v>
      </c>
      <c r="AC83" s="422" t="s">
        <v>488</v>
      </c>
      <c r="AD83" s="422" t="s">
        <v>489</v>
      </c>
      <c r="AE83" s="422" t="s">
        <v>490</v>
      </c>
      <c r="AF83" s="422" t="s">
        <v>491</v>
      </c>
      <c r="AG83" s="422" t="s">
        <v>492</v>
      </c>
      <c r="AH83" s="422" t="s">
        <v>493</v>
      </c>
      <c r="AI83" s="422" t="s">
        <v>165</v>
      </c>
      <c r="AJ83" s="408" t="s">
        <v>1209</v>
      </c>
      <c r="AK83" s="408" t="s">
        <v>1210</v>
      </c>
      <c r="AL83" s="408" t="s">
        <v>1211</v>
      </c>
      <c r="AM83" s="408" t="s">
        <v>1215</v>
      </c>
      <c r="AN83" s="422" t="s">
        <v>494</v>
      </c>
      <c r="AO83" s="422" t="s">
        <v>495</v>
      </c>
      <c r="AP83" s="1230" t="s">
        <v>496</v>
      </c>
      <c r="AQ83" s="1230" t="s">
        <v>497</v>
      </c>
      <c r="AR83" s="490"/>
      <c r="AS83" s="489"/>
      <c r="AT83" s="489"/>
      <c r="AU83" s="489"/>
      <c r="AV83" s="490"/>
      <c r="AW83" s="490"/>
      <c r="AX83" s="490"/>
      <c r="AY83" s="490"/>
      <c r="AZ83" s="490"/>
      <c r="BA83" s="490"/>
      <c r="BB83" s="490"/>
      <c r="BC83" s="490"/>
      <c r="BD83" s="490"/>
      <c r="BE83" s="342"/>
      <c r="BF83" s="21"/>
    </row>
    <row r="84" spans="1:59" s="671" customFormat="1" ht="45" customHeight="1">
      <c r="A84" s="1011"/>
      <c r="B84" s="1001" t="s">
        <v>466</v>
      </c>
      <c r="C84" s="1001"/>
      <c r="D84" s="840"/>
      <c r="E84" s="330" t="s">
        <v>498</v>
      </c>
      <c r="F84" s="330"/>
      <c r="G84" s="668"/>
      <c r="H84" s="474"/>
      <c r="I84" s="669"/>
      <c r="J84" s="669"/>
      <c r="K84" s="669" t="s">
        <v>45</v>
      </c>
      <c r="L84" s="669" t="s">
        <v>45</v>
      </c>
      <c r="M84" s="669" t="s">
        <v>45</v>
      </c>
      <c r="N84" s="669" t="s">
        <v>45</v>
      </c>
      <c r="O84" s="441"/>
      <c r="P84" s="669" t="s">
        <v>45</v>
      </c>
      <c r="Q84" s="441"/>
      <c r="R84" s="669" t="s">
        <v>45</v>
      </c>
      <c r="S84" s="441"/>
      <c r="T84" s="669" t="s">
        <v>45</v>
      </c>
      <c r="U84" s="669"/>
      <c r="V84" s="669"/>
      <c r="W84" s="669"/>
      <c r="X84" s="669"/>
      <c r="Y84" s="669"/>
      <c r="Z84" s="669"/>
      <c r="AA84" s="669" t="s">
        <v>45</v>
      </c>
      <c r="AB84" s="669" t="s">
        <v>45</v>
      </c>
      <c r="AC84" s="669"/>
      <c r="AD84" s="669"/>
      <c r="AE84" s="669"/>
      <c r="AF84" s="669"/>
      <c r="AG84" s="669"/>
      <c r="AH84" s="669"/>
      <c r="AI84" s="669"/>
      <c r="AJ84" s="669"/>
      <c r="AK84" s="669"/>
      <c r="AL84" s="669"/>
      <c r="AM84" s="669"/>
      <c r="AN84" s="669"/>
      <c r="AO84" s="669"/>
      <c r="AP84" s="1230" t="s">
        <v>499</v>
      </c>
      <c r="AQ84" s="1230" t="s">
        <v>499</v>
      </c>
      <c r="AR84" s="490"/>
      <c r="AS84" s="490"/>
      <c r="AT84" s="490"/>
      <c r="AU84" s="490"/>
      <c r="AV84" s="490"/>
      <c r="AW84" s="490"/>
      <c r="AX84" s="490"/>
      <c r="AY84" s="490"/>
      <c r="AZ84" s="490"/>
      <c r="BA84" s="490"/>
      <c r="BB84" s="490"/>
      <c r="BC84" s="490"/>
      <c r="BD84" s="490"/>
      <c r="BE84" s="474"/>
      <c r="BF84" s="670"/>
    </row>
    <row r="85" spans="1:59">
      <c r="B85" s="1000" t="s">
        <v>466</v>
      </c>
      <c r="C85" s="1000"/>
      <c r="D85" s="837" t="s">
        <v>45</v>
      </c>
      <c r="E85" s="329" t="s">
        <v>500</v>
      </c>
      <c r="F85" s="330"/>
      <c r="G85" s="329"/>
      <c r="H85" s="342"/>
      <c r="I85" s="422" t="s">
        <v>501</v>
      </c>
      <c r="J85" s="422" t="s">
        <v>501</v>
      </c>
      <c r="K85" s="422" t="str">
        <f>gebouw</f>
        <v>gebouw</v>
      </c>
      <c r="L85" s="422" t="str">
        <f>gebouw</f>
        <v>gebouw</v>
      </c>
      <c r="M85" s="422" t="str">
        <f>gebouw</f>
        <v>gebouw</v>
      </c>
      <c r="N85" s="422" t="str">
        <f>gebouw</f>
        <v>gebouw</v>
      </c>
      <c r="O85" s="422" t="str">
        <f>gebouw</f>
        <v>gebouw</v>
      </c>
      <c r="P85" s="422" t="s">
        <v>501</v>
      </c>
      <c r="Q85" s="422" t="s">
        <v>501</v>
      </c>
      <c r="R85" s="422" t="str">
        <f>gebied</f>
        <v>gebied</v>
      </c>
      <c r="S85" s="422" t="str">
        <f>gebied</f>
        <v>gebied</v>
      </c>
      <c r="T85" s="422" t="s">
        <v>501</v>
      </c>
      <c r="U85" s="422" t="s">
        <v>593</v>
      </c>
      <c r="V85" s="422" t="str">
        <f t="shared" ref="V85:AC85" si="35">gebied</f>
        <v>gebied</v>
      </c>
      <c r="W85" s="422" t="str">
        <f t="shared" si="35"/>
        <v>gebied</v>
      </c>
      <c r="X85" s="422" t="str">
        <f t="shared" si="35"/>
        <v>gebied</v>
      </c>
      <c r="Y85" s="422" t="str">
        <f t="shared" si="35"/>
        <v>gebied</v>
      </c>
      <c r="Z85" s="422" t="str">
        <f t="shared" si="35"/>
        <v>gebied</v>
      </c>
      <c r="AA85" s="422" t="str">
        <f t="shared" si="35"/>
        <v>gebied</v>
      </c>
      <c r="AB85" s="422" t="str">
        <f t="shared" si="35"/>
        <v>gebied</v>
      </c>
      <c r="AC85" s="422" t="str">
        <f t="shared" si="35"/>
        <v>gebied</v>
      </c>
      <c r="AD85" s="422" t="str">
        <f>centraal</f>
        <v>centraal</v>
      </c>
      <c r="AE85" s="422" t="str">
        <f>centraal</f>
        <v>centraal</v>
      </c>
      <c r="AF85" s="422" t="s">
        <v>593</v>
      </c>
      <c r="AG85" s="422" t="str">
        <f>gebouw</f>
        <v>gebouw</v>
      </c>
      <c r="AH85" s="422" t="str">
        <f>gebouw</f>
        <v>gebouw</v>
      </c>
      <c r="AI85" s="422" t="s">
        <v>501</v>
      </c>
      <c r="AJ85" s="422" t="s">
        <v>502</v>
      </c>
      <c r="AK85" s="422" t="s">
        <v>502</v>
      </c>
      <c r="AL85" s="422" t="s">
        <v>502</v>
      </c>
      <c r="AM85" s="422" t="s">
        <v>502</v>
      </c>
      <c r="AN85" s="422" t="s">
        <v>502</v>
      </c>
      <c r="AO85" s="422" t="s">
        <v>502</v>
      </c>
      <c r="AP85" s="487" t="s">
        <v>502</v>
      </c>
      <c r="AQ85" s="487" t="s">
        <v>502</v>
      </c>
      <c r="AR85" s="487"/>
      <c r="AS85" s="487"/>
      <c r="AT85" s="487"/>
      <c r="AU85" s="487"/>
      <c r="AV85" s="487"/>
      <c r="AW85" s="487"/>
      <c r="AX85" s="487"/>
      <c r="AY85" s="487"/>
      <c r="AZ85" s="487"/>
      <c r="BA85" s="487"/>
      <c r="BB85" s="487"/>
      <c r="BC85" s="487"/>
      <c r="BD85" s="487"/>
      <c r="BE85" s="342"/>
      <c r="BF85" s="670"/>
    </row>
    <row r="86" spans="1:59">
      <c r="B86" s="1000" t="s">
        <v>466</v>
      </c>
      <c r="C86" s="1000"/>
      <c r="D86" s="837" t="s">
        <v>45</v>
      </c>
      <c r="E86" s="329" t="s">
        <v>1104</v>
      </c>
      <c r="F86" s="330"/>
      <c r="G86" s="329" t="s">
        <v>65</v>
      </c>
      <c r="H86" s="342"/>
      <c r="I86" s="343">
        <v>0</v>
      </c>
      <c r="J86" s="343">
        <v>0</v>
      </c>
      <c r="K86" s="343">
        <v>0</v>
      </c>
      <c r="L86" s="343">
        <v>0</v>
      </c>
      <c r="M86" s="343">
        <v>0</v>
      </c>
      <c r="N86" s="343">
        <v>0</v>
      </c>
      <c r="O86" s="343">
        <v>0</v>
      </c>
      <c r="P86" s="343">
        <v>0</v>
      </c>
      <c r="Q86" s="343">
        <v>0</v>
      </c>
      <c r="R86" s="343">
        <v>0</v>
      </c>
      <c r="S86" s="343">
        <v>0</v>
      </c>
      <c r="T86" s="343">
        <v>0</v>
      </c>
      <c r="U86" s="343">
        <v>0</v>
      </c>
      <c r="V86" s="343">
        <v>0</v>
      </c>
      <c r="W86" s="343">
        <v>0</v>
      </c>
      <c r="X86" s="343">
        <v>0</v>
      </c>
      <c r="Y86" s="343">
        <v>0</v>
      </c>
      <c r="Z86" s="343">
        <v>0</v>
      </c>
      <c r="AA86" s="343">
        <v>0</v>
      </c>
      <c r="AB86" s="343">
        <v>0</v>
      </c>
      <c r="AC86" s="343">
        <v>0</v>
      </c>
      <c r="AD86" s="343">
        <v>0</v>
      </c>
      <c r="AE86" s="343">
        <v>0</v>
      </c>
      <c r="AF86" s="343">
        <v>0</v>
      </c>
      <c r="AG86" s="343">
        <v>0</v>
      </c>
      <c r="AH86" s="343">
        <v>0</v>
      </c>
      <c r="AI86" s="343">
        <v>0</v>
      </c>
      <c r="AJ86" s="343">
        <v>0</v>
      </c>
      <c r="AK86" s="343">
        <v>0</v>
      </c>
      <c r="AL86" s="343">
        <v>0</v>
      </c>
      <c r="AM86" s="343">
        <v>0</v>
      </c>
      <c r="AN86" s="343">
        <v>0</v>
      </c>
      <c r="AO86" s="343">
        <v>0</v>
      </c>
      <c r="AP86" s="495">
        <v>1</v>
      </c>
      <c r="AQ86" s="495">
        <v>1</v>
      </c>
      <c r="AR86" s="495"/>
      <c r="AS86" s="495"/>
      <c r="AT86" s="495"/>
      <c r="AU86" s="495"/>
      <c r="AV86" s="495"/>
      <c r="AW86" s="495"/>
      <c r="AX86" s="495"/>
      <c r="AY86" s="495"/>
      <c r="AZ86" s="495"/>
      <c r="BA86" s="495"/>
      <c r="BB86" s="495"/>
      <c r="BC86" s="495"/>
      <c r="BD86" s="495"/>
      <c r="BE86" s="342"/>
      <c r="BF86" s="21"/>
    </row>
    <row r="87" spans="1:59">
      <c r="B87" s="1000" t="s">
        <v>466</v>
      </c>
      <c r="C87" s="1000"/>
      <c r="D87" s="837" t="s">
        <v>45</v>
      </c>
      <c r="E87" s="329" t="s">
        <v>503</v>
      </c>
      <c r="F87" s="330"/>
      <c r="G87" s="329" t="s">
        <v>65</v>
      </c>
      <c r="H87" s="342"/>
      <c r="I87" s="343">
        <v>0</v>
      </c>
      <c r="J87" s="343">
        <v>0</v>
      </c>
      <c r="K87" s="343">
        <v>1</v>
      </c>
      <c r="L87" s="343">
        <v>1</v>
      </c>
      <c r="M87" s="343">
        <v>1</v>
      </c>
      <c r="N87" s="343">
        <v>1</v>
      </c>
      <c r="O87" s="343">
        <v>1</v>
      </c>
      <c r="P87" s="343">
        <v>1</v>
      </c>
      <c r="Q87" s="343">
        <v>1</v>
      </c>
      <c r="R87" s="343">
        <v>1</v>
      </c>
      <c r="S87" s="343">
        <v>1</v>
      </c>
      <c r="T87" s="343">
        <v>0</v>
      </c>
      <c r="U87" s="343">
        <v>1</v>
      </c>
      <c r="V87" s="343">
        <v>1</v>
      </c>
      <c r="W87" s="343">
        <v>0</v>
      </c>
      <c r="X87" s="343">
        <v>0</v>
      </c>
      <c r="Y87" s="343">
        <v>0</v>
      </c>
      <c r="Z87" s="343">
        <v>0</v>
      </c>
      <c r="AA87" s="343">
        <v>0</v>
      </c>
      <c r="AB87" s="343">
        <v>0</v>
      </c>
      <c r="AC87" s="343">
        <v>0</v>
      </c>
      <c r="AD87" s="343">
        <v>0</v>
      </c>
      <c r="AE87" s="343">
        <v>0</v>
      </c>
      <c r="AF87" s="343">
        <v>0</v>
      </c>
      <c r="AG87" s="343">
        <v>0</v>
      </c>
      <c r="AH87" s="343">
        <v>0</v>
      </c>
      <c r="AI87" s="343">
        <v>0</v>
      </c>
      <c r="AJ87" s="343">
        <v>0</v>
      </c>
      <c r="AK87" s="343">
        <v>0</v>
      </c>
      <c r="AL87" s="343">
        <v>0</v>
      </c>
      <c r="AM87" s="343">
        <v>0</v>
      </c>
      <c r="AN87" s="343">
        <v>0</v>
      </c>
      <c r="AO87" s="343">
        <v>0</v>
      </c>
      <c r="AP87" s="495">
        <v>0</v>
      </c>
      <c r="AQ87" s="495">
        <v>0</v>
      </c>
      <c r="AR87" s="495"/>
      <c r="AS87" s="495"/>
      <c r="AT87" s="495"/>
      <c r="AU87" s="495"/>
      <c r="AV87" s="495"/>
      <c r="AW87" s="495"/>
      <c r="AX87" s="495"/>
      <c r="AY87" s="495"/>
      <c r="AZ87" s="495"/>
      <c r="BA87" s="495"/>
      <c r="BB87" s="495"/>
      <c r="BC87" s="495"/>
      <c r="BD87" s="495"/>
      <c r="BE87" s="342"/>
      <c r="BF87" s="21"/>
    </row>
    <row r="88" spans="1:59">
      <c r="B88" s="1000" t="s">
        <v>466</v>
      </c>
      <c r="C88" s="1000"/>
      <c r="D88" s="836"/>
      <c r="E88" s="329" t="s">
        <v>504</v>
      </c>
      <c r="F88" s="330"/>
      <c r="G88" s="329" t="s">
        <v>65</v>
      </c>
      <c r="H88" s="342"/>
      <c r="I88" s="343">
        <v>0</v>
      </c>
      <c r="J88" s="343">
        <v>0</v>
      </c>
      <c r="K88" s="343">
        <v>1</v>
      </c>
      <c r="L88" s="343">
        <v>1</v>
      </c>
      <c r="M88" s="343">
        <v>1</v>
      </c>
      <c r="N88" s="343">
        <v>1</v>
      </c>
      <c r="O88" s="343">
        <v>1</v>
      </c>
      <c r="P88" s="343">
        <v>0</v>
      </c>
      <c r="Q88" s="343">
        <v>1</v>
      </c>
      <c r="R88" s="343">
        <v>1</v>
      </c>
      <c r="S88" s="343">
        <v>1</v>
      </c>
      <c r="T88" s="343">
        <v>0</v>
      </c>
      <c r="U88" s="343">
        <v>0</v>
      </c>
      <c r="V88" s="343">
        <v>1</v>
      </c>
      <c r="W88" s="343">
        <v>0</v>
      </c>
      <c r="X88" s="343">
        <v>0</v>
      </c>
      <c r="Y88" s="343">
        <v>0</v>
      </c>
      <c r="Z88" s="343">
        <v>0</v>
      </c>
      <c r="AA88" s="343">
        <v>0</v>
      </c>
      <c r="AB88" s="343">
        <v>0</v>
      </c>
      <c r="AC88" s="343">
        <v>0</v>
      </c>
      <c r="AD88" s="343">
        <v>0</v>
      </c>
      <c r="AE88" s="343">
        <v>0</v>
      </c>
      <c r="AF88" s="343">
        <v>0</v>
      </c>
      <c r="AG88" s="343">
        <v>0</v>
      </c>
      <c r="AH88" s="343">
        <v>0</v>
      </c>
      <c r="AI88" s="343">
        <v>0</v>
      </c>
      <c r="AJ88" s="343">
        <v>0</v>
      </c>
      <c r="AK88" s="343">
        <v>0</v>
      </c>
      <c r="AL88" s="343">
        <v>0</v>
      </c>
      <c r="AM88" s="343">
        <v>0</v>
      </c>
      <c r="AN88" s="343">
        <v>0</v>
      </c>
      <c r="AO88" s="343">
        <v>0</v>
      </c>
      <c r="AP88" s="495">
        <v>0</v>
      </c>
      <c r="AQ88" s="495">
        <v>0</v>
      </c>
      <c r="AR88" s="495"/>
      <c r="AS88" s="495"/>
      <c r="AT88" s="495"/>
      <c r="AU88" s="495"/>
      <c r="AV88" s="495"/>
      <c r="AW88" s="495"/>
      <c r="AX88" s="495"/>
      <c r="AY88" s="495"/>
      <c r="AZ88" s="495"/>
      <c r="BA88" s="495"/>
      <c r="BB88" s="495"/>
      <c r="BC88" s="495"/>
      <c r="BD88" s="495"/>
      <c r="BE88" s="342"/>
      <c r="BF88" s="21"/>
    </row>
    <row r="89" spans="1:59" ht="18.75">
      <c r="B89" s="1000" t="s">
        <v>466</v>
      </c>
      <c r="C89" s="1000"/>
      <c r="D89" s="836"/>
      <c r="E89" s="337" t="s">
        <v>505</v>
      </c>
      <c r="F89" s="338"/>
      <c r="G89" s="339"/>
      <c r="H89" s="437"/>
      <c r="I89" s="437"/>
      <c r="J89" s="437"/>
      <c r="K89" s="437"/>
      <c r="L89" s="437"/>
      <c r="M89" s="437"/>
      <c r="N89" s="437"/>
      <c r="O89" s="437"/>
      <c r="P89" s="437"/>
      <c r="Q89" s="437"/>
      <c r="R89" s="437"/>
      <c r="S89" s="437"/>
      <c r="T89" s="437"/>
      <c r="U89" s="437"/>
      <c r="V89" s="437"/>
      <c r="W89" s="437"/>
      <c r="X89" s="437"/>
      <c r="Y89" s="437"/>
      <c r="Z89" s="437"/>
      <c r="AA89" s="442"/>
      <c r="AB89" s="437"/>
      <c r="AC89" s="437"/>
      <c r="AD89" s="437"/>
      <c r="AE89" s="437"/>
      <c r="AF89" s="437"/>
      <c r="AG89" s="437"/>
      <c r="AH89" s="437"/>
      <c r="AI89" s="437"/>
      <c r="AJ89" s="437"/>
      <c r="AK89" s="437"/>
      <c r="AL89" s="437"/>
      <c r="AM89" s="437"/>
      <c r="AN89" s="437"/>
      <c r="AO89" s="437"/>
      <c r="AP89" s="437"/>
      <c r="AQ89" s="437"/>
      <c r="AR89" s="437"/>
      <c r="AS89" s="437"/>
      <c r="AT89" s="437"/>
      <c r="AU89" s="437"/>
      <c r="AV89" s="437"/>
      <c r="AW89" s="437"/>
      <c r="AX89" s="437"/>
      <c r="AY89" s="437"/>
      <c r="AZ89" s="437"/>
      <c r="BA89" s="437"/>
      <c r="BB89" s="437"/>
      <c r="BC89" s="437"/>
      <c r="BD89" s="437"/>
      <c r="BE89" s="443"/>
      <c r="BF89" s="21"/>
    </row>
    <row r="90" spans="1:59">
      <c r="B90" s="1000" t="s">
        <v>466</v>
      </c>
      <c r="C90" s="1000"/>
      <c r="D90" s="837" t="s">
        <v>45</v>
      </c>
      <c r="E90" s="329" t="s">
        <v>506</v>
      </c>
      <c r="F90" s="330"/>
      <c r="G90" s="329" t="s">
        <v>65</v>
      </c>
      <c r="H90" s="342"/>
      <c r="I90" s="341">
        <v>0.95</v>
      </c>
      <c r="J90" s="341">
        <v>1</v>
      </c>
      <c r="K90" s="341">
        <v>1</v>
      </c>
      <c r="L90" s="341">
        <v>1</v>
      </c>
      <c r="M90" s="341">
        <v>1</v>
      </c>
      <c r="N90" s="341">
        <v>1</v>
      </c>
      <c r="O90" s="341">
        <v>1</v>
      </c>
      <c r="P90" s="341">
        <v>1</v>
      </c>
      <c r="Q90" s="341">
        <v>1</v>
      </c>
      <c r="R90" s="341">
        <v>1</v>
      </c>
      <c r="S90" s="341">
        <v>1</v>
      </c>
      <c r="T90" s="341">
        <v>1</v>
      </c>
      <c r="U90" s="341">
        <v>0.95</v>
      </c>
      <c r="V90" s="341">
        <v>0.95</v>
      </c>
      <c r="W90" s="341">
        <v>0.95</v>
      </c>
      <c r="X90" s="341">
        <v>0.95</v>
      </c>
      <c r="Y90" s="341">
        <v>0.95</v>
      </c>
      <c r="Z90" s="341">
        <v>0.95</v>
      </c>
      <c r="AA90" s="341">
        <v>0.95</v>
      </c>
      <c r="AB90" s="341">
        <v>0.95</v>
      </c>
      <c r="AC90" s="341">
        <v>0.95</v>
      </c>
      <c r="AD90" s="341">
        <v>0.95</v>
      </c>
      <c r="AE90" s="341">
        <v>0.95</v>
      </c>
      <c r="AF90" s="341">
        <v>0.95</v>
      </c>
      <c r="AG90" s="341">
        <v>0.9</v>
      </c>
      <c r="AH90" s="341">
        <v>0.9</v>
      </c>
      <c r="AI90" s="341">
        <v>0.95</v>
      </c>
      <c r="AJ90" s="341">
        <v>0.95</v>
      </c>
      <c r="AK90" s="341">
        <v>0.95</v>
      </c>
      <c r="AL90" s="341">
        <v>0.95</v>
      </c>
      <c r="AM90" s="341">
        <v>0.95</v>
      </c>
      <c r="AN90" s="341">
        <v>0.95</v>
      </c>
      <c r="AO90" s="341">
        <v>0.95</v>
      </c>
      <c r="AP90" s="496" t="s">
        <v>1116</v>
      </c>
      <c r="AQ90" s="496" t="s">
        <v>1116</v>
      </c>
      <c r="AR90" s="496">
        <v>0.95</v>
      </c>
      <c r="AS90" s="496"/>
      <c r="AT90" s="496"/>
      <c r="AU90" s="496"/>
      <c r="AV90" s="496"/>
      <c r="AW90" s="496"/>
      <c r="AX90" s="496"/>
      <c r="AY90" s="496"/>
      <c r="AZ90" s="496"/>
      <c r="BA90" s="496"/>
      <c r="BB90" s="496"/>
      <c r="BC90" s="496"/>
      <c r="BD90" s="496"/>
      <c r="BE90" s="342"/>
      <c r="BF90" s="21"/>
    </row>
    <row r="91" spans="1:59" ht="18.75">
      <c r="B91" s="1000" t="s">
        <v>466</v>
      </c>
      <c r="C91" s="1000"/>
      <c r="D91" s="836"/>
      <c r="E91" s="337" t="s">
        <v>507</v>
      </c>
      <c r="F91" s="338"/>
      <c r="G91" s="339"/>
      <c r="H91" s="437"/>
      <c r="I91" s="437"/>
      <c r="J91" s="437"/>
      <c r="K91" s="437"/>
      <c r="L91" s="437"/>
      <c r="M91" s="437"/>
      <c r="N91" s="437"/>
      <c r="O91" s="437"/>
      <c r="P91" s="437"/>
      <c r="Q91" s="437"/>
      <c r="R91" s="437"/>
      <c r="S91" s="437"/>
      <c r="T91" s="437"/>
      <c r="U91" s="437"/>
      <c r="V91" s="437"/>
      <c r="W91" s="437"/>
      <c r="X91" s="437"/>
      <c r="Y91" s="437"/>
      <c r="Z91" s="437"/>
      <c r="AA91" s="442"/>
      <c r="AB91" s="437"/>
      <c r="AC91" s="437"/>
      <c r="AD91" s="437"/>
      <c r="AE91" s="437"/>
      <c r="AF91" s="437"/>
      <c r="AG91" s="437"/>
      <c r="AH91" s="437"/>
      <c r="AI91" s="437"/>
      <c r="AJ91" s="437"/>
      <c r="AK91" s="437"/>
      <c r="AL91" s="437"/>
      <c r="AM91" s="437"/>
      <c r="AN91" s="437"/>
      <c r="AO91" s="437"/>
      <c r="AP91" s="437"/>
      <c r="AQ91" s="437"/>
      <c r="AR91" s="437"/>
      <c r="AS91" s="437"/>
      <c r="AT91" s="437"/>
      <c r="AU91" s="437"/>
      <c r="AV91" s="437"/>
      <c r="AW91" s="437"/>
      <c r="AX91" s="437"/>
      <c r="AY91" s="437"/>
      <c r="AZ91" s="437"/>
      <c r="BA91" s="437"/>
      <c r="BB91" s="437"/>
      <c r="BC91" s="437"/>
      <c r="BD91" s="437"/>
      <c r="BE91" s="443"/>
      <c r="BF91" s="21"/>
    </row>
    <row r="92" spans="1:59">
      <c r="B92" s="1000" t="s">
        <v>466</v>
      </c>
      <c r="C92" s="1000"/>
      <c r="D92" s="836"/>
      <c r="E92" s="329" t="s">
        <v>508</v>
      </c>
      <c r="F92" s="330"/>
      <c r="G92" s="329" t="s">
        <v>509</v>
      </c>
      <c r="H92" s="342"/>
      <c r="I92" s="422">
        <v>0</v>
      </c>
      <c r="J92" s="422">
        <v>0</v>
      </c>
      <c r="K92" s="422">
        <v>0</v>
      </c>
      <c r="L92" s="422">
        <v>0</v>
      </c>
      <c r="M92" s="422">
        <v>0</v>
      </c>
      <c r="N92" s="422">
        <v>0</v>
      </c>
      <c r="O92" s="422">
        <v>0</v>
      </c>
      <c r="P92" s="422">
        <v>0</v>
      </c>
      <c r="Q92" s="422">
        <v>0</v>
      </c>
      <c r="R92" s="422">
        <f>3/3.6</f>
        <v>0.83333333333333326</v>
      </c>
      <c r="S92" s="422">
        <f>3/3.6</f>
        <v>0.83333333333333326</v>
      </c>
      <c r="T92" s="422">
        <v>0</v>
      </c>
      <c r="U92" s="422">
        <f>10/3.6</f>
        <v>2.7777777777777777</v>
      </c>
      <c r="V92" s="422">
        <v>0</v>
      </c>
      <c r="W92" s="422">
        <f>8/3.6</f>
        <v>2.2222222222222223</v>
      </c>
      <c r="X92" s="422">
        <f t="shared" ref="X92:AC92" si="36">8/3.6</f>
        <v>2.2222222222222223</v>
      </c>
      <c r="Y92" s="422">
        <f t="shared" si="36"/>
        <v>2.2222222222222223</v>
      </c>
      <c r="Z92" s="422">
        <f t="shared" si="36"/>
        <v>2.2222222222222223</v>
      </c>
      <c r="AA92" s="422">
        <f t="shared" si="36"/>
        <v>2.2222222222222223</v>
      </c>
      <c r="AB92" s="422">
        <f t="shared" si="36"/>
        <v>2.2222222222222223</v>
      </c>
      <c r="AC92" s="422">
        <f t="shared" si="36"/>
        <v>2.2222222222222223</v>
      </c>
      <c r="AD92" s="422">
        <f>10/3.6</f>
        <v>2.7777777777777777</v>
      </c>
      <c r="AE92" s="422">
        <f>10/3.6</f>
        <v>2.7777777777777777</v>
      </c>
      <c r="AF92" s="422">
        <f>10/3.6</f>
        <v>2.7777777777777777</v>
      </c>
      <c r="AG92" s="422">
        <v>0</v>
      </c>
      <c r="AH92" s="422">
        <v>0</v>
      </c>
      <c r="AI92" s="422">
        <v>0</v>
      </c>
      <c r="AJ92" s="422">
        <v>0</v>
      </c>
      <c r="AK92" s="422">
        <v>0</v>
      </c>
      <c r="AL92" s="422">
        <v>0</v>
      </c>
      <c r="AM92" s="422">
        <v>0</v>
      </c>
      <c r="AN92" s="422">
        <f>10/3.6</f>
        <v>2.7777777777777777</v>
      </c>
      <c r="AO92" s="422">
        <f>10/3.6</f>
        <v>2.7777777777777777</v>
      </c>
      <c r="AP92" s="497">
        <v>0</v>
      </c>
      <c r="AQ92" s="497">
        <v>0</v>
      </c>
      <c r="AR92" s="497"/>
      <c r="AS92" s="497"/>
      <c r="AT92" s="497"/>
      <c r="AU92" s="497"/>
      <c r="AV92" s="497"/>
      <c r="AW92" s="497"/>
      <c r="AX92" s="497"/>
      <c r="AY92" s="497"/>
      <c r="AZ92" s="497"/>
      <c r="BA92" s="497"/>
      <c r="BB92" s="497"/>
      <c r="BC92" s="497"/>
      <c r="BD92" s="497"/>
      <c r="BE92" s="342"/>
      <c r="BF92" s="21"/>
    </row>
    <row r="93" spans="1:59">
      <c r="B93" s="1000" t="s">
        <v>466</v>
      </c>
      <c r="C93" s="1000"/>
      <c r="D93" s="836"/>
      <c r="E93" s="329" t="s">
        <v>510</v>
      </c>
      <c r="F93" s="330"/>
      <c r="G93" s="329" t="s">
        <v>509</v>
      </c>
      <c r="H93" s="342"/>
      <c r="I93" s="422">
        <v>0</v>
      </c>
      <c r="J93" s="422">
        <v>0</v>
      </c>
      <c r="K93" s="422">
        <v>0</v>
      </c>
      <c r="L93" s="422">
        <v>0</v>
      </c>
      <c r="M93" s="422">
        <v>0</v>
      </c>
      <c r="N93" s="422">
        <v>0</v>
      </c>
      <c r="O93" s="422">
        <v>0</v>
      </c>
      <c r="P93" s="422">
        <v>0</v>
      </c>
      <c r="Q93" s="422">
        <v>0</v>
      </c>
      <c r="R93" s="422">
        <f>3/3.6</f>
        <v>0.83333333333333326</v>
      </c>
      <c r="S93" s="422">
        <f>3/3.6</f>
        <v>0.83333333333333326</v>
      </c>
      <c r="T93" s="422">
        <v>0</v>
      </c>
      <c r="U93" s="422">
        <f>6/3.6</f>
        <v>1.6666666666666665</v>
      </c>
      <c r="V93" s="422">
        <v>0</v>
      </c>
      <c r="W93" s="422">
        <f>4/3.6</f>
        <v>1.1111111111111112</v>
      </c>
      <c r="X93" s="422">
        <f t="shared" ref="X93:AC93" si="37">4/3.6</f>
        <v>1.1111111111111112</v>
      </c>
      <c r="Y93" s="422">
        <f t="shared" si="37"/>
        <v>1.1111111111111112</v>
      </c>
      <c r="Z93" s="422">
        <f t="shared" si="37"/>
        <v>1.1111111111111112</v>
      </c>
      <c r="AA93" s="422">
        <f t="shared" si="37"/>
        <v>1.1111111111111112</v>
      </c>
      <c r="AB93" s="422">
        <f t="shared" si="37"/>
        <v>1.1111111111111112</v>
      </c>
      <c r="AC93" s="422">
        <f t="shared" si="37"/>
        <v>1.1111111111111112</v>
      </c>
      <c r="AD93" s="422">
        <f>6/3.6</f>
        <v>1.6666666666666665</v>
      </c>
      <c r="AE93" s="422">
        <f>6/3.6</f>
        <v>1.6666666666666665</v>
      </c>
      <c r="AF93" s="422">
        <f>6/3.6</f>
        <v>1.6666666666666665</v>
      </c>
      <c r="AG93" s="422">
        <v>0</v>
      </c>
      <c r="AH93" s="422">
        <v>0</v>
      </c>
      <c r="AI93" s="422">
        <v>0</v>
      </c>
      <c r="AJ93" s="422">
        <v>0</v>
      </c>
      <c r="AK93" s="422">
        <v>0</v>
      </c>
      <c r="AL93" s="422">
        <v>0</v>
      </c>
      <c r="AM93" s="422">
        <v>0</v>
      </c>
      <c r="AN93" s="422">
        <f>6/3.6</f>
        <v>1.6666666666666665</v>
      </c>
      <c r="AO93" s="422">
        <f>6/3.6</f>
        <v>1.6666666666666665</v>
      </c>
      <c r="AP93" s="497">
        <v>0</v>
      </c>
      <c r="AQ93" s="497">
        <v>0</v>
      </c>
      <c r="AR93" s="497"/>
      <c r="AS93" s="497"/>
      <c r="AT93" s="497"/>
      <c r="AU93" s="497"/>
      <c r="AV93" s="497"/>
      <c r="AW93" s="497"/>
      <c r="AX93" s="497"/>
      <c r="AY93" s="497"/>
      <c r="AZ93" s="497"/>
      <c r="BA93" s="497"/>
      <c r="BB93" s="497"/>
      <c r="BC93" s="497"/>
      <c r="BD93" s="497"/>
      <c r="BE93" s="342"/>
      <c r="BF93" s="21"/>
    </row>
    <row r="94" spans="1:59">
      <c r="B94" s="1000" t="s">
        <v>466</v>
      </c>
      <c r="C94" s="1000"/>
      <c r="D94" s="836"/>
      <c r="E94" s="329" t="s">
        <v>511</v>
      </c>
      <c r="F94" s="330"/>
      <c r="G94" s="329" t="s">
        <v>512</v>
      </c>
      <c r="H94" s="342"/>
      <c r="I94" s="422">
        <v>0</v>
      </c>
      <c r="J94" s="422">
        <v>0</v>
      </c>
      <c r="K94" s="422">
        <v>0</v>
      </c>
      <c r="L94" s="422">
        <v>0</v>
      </c>
      <c r="M94" s="422">
        <v>0</v>
      </c>
      <c r="N94" s="422">
        <v>0</v>
      </c>
      <c r="O94" s="422">
        <v>0</v>
      </c>
      <c r="P94" s="422">
        <v>0</v>
      </c>
      <c r="Q94" s="422">
        <v>0</v>
      </c>
      <c r="R94" s="422">
        <f>15/3.6</f>
        <v>4.166666666666667</v>
      </c>
      <c r="S94" s="422">
        <f>15/3.6</f>
        <v>4.166666666666667</v>
      </c>
      <c r="T94" s="422">
        <v>0</v>
      </c>
      <c r="U94" s="422">
        <f>60/3.6</f>
        <v>16.666666666666668</v>
      </c>
      <c r="V94" s="422">
        <v>0</v>
      </c>
      <c r="W94" s="422">
        <f>50/3.6</f>
        <v>13.888888888888889</v>
      </c>
      <c r="X94" s="422">
        <f t="shared" ref="X94:AC94" si="38">50/3.6</f>
        <v>13.888888888888889</v>
      </c>
      <c r="Y94" s="422">
        <f t="shared" si="38"/>
        <v>13.888888888888889</v>
      </c>
      <c r="Z94" s="422">
        <f t="shared" si="38"/>
        <v>13.888888888888889</v>
      </c>
      <c r="AA94" s="422">
        <f t="shared" si="38"/>
        <v>13.888888888888889</v>
      </c>
      <c r="AB94" s="422">
        <f t="shared" si="38"/>
        <v>13.888888888888889</v>
      </c>
      <c r="AC94" s="422">
        <f t="shared" si="38"/>
        <v>13.888888888888889</v>
      </c>
      <c r="AD94" s="422">
        <f>60/3.6</f>
        <v>16.666666666666668</v>
      </c>
      <c r="AE94" s="422">
        <f>60/3.6</f>
        <v>16.666666666666668</v>
      </c>
      <c r="AF94" s="422">
        <f>60/3.6</f>
        <v>16.666666666666668</v>
      </c>
      <c r="AG94" s="422">
        <v>0</v>
      </c>
      <c r="AH94" s="422">
        <v>0</v>
      </c>
      <c r="AI94" s="422">
        <v>0</v>
      </c>
      <c r="AJ94" s="422">
        <v>0</v>
      </c>
      <c r="AK94" s="422">
        <v>0</v>
      </c>
      <c r="AL94" s="422">
        <v>0</v>
      </c>
      <c r="AM94" s="422">
        <v>0</v>
      </c>
      <c r="AN94" s="422">
        <f>60/3.6</f>
        <v>16.666666666666668</v>
      </c>
      <c r="AO94" s="422">
        <f>60/3.6</f>
        <v>16.666666666666668</v>
      </c>
      <c r="AP94" s="497">
        <v>0</v>
      </c>
      <c r="AQ94" s="497">
        <v>0</v>
      </c>
      <c r="AR94" s="497"/>
      <c r="AS94" s="497"/>
      <c r="AT94" s="497"/>
      <c r="AU94" s="497"/>
      <c r="AV94" s="497"/>
      <c r="AW94" s="497"/>
      <c r="AX94" s="497"/>
      <c r="AY94" s="497"/>
      <c r="AZ94" s="497"/>
      <c r="BA94" s="497"/>
      <c r="BB94" s="497"/>
      <c r="BC94" s="497"/>
      <c r="BD94" s="497"/>
      <c r="BE94" s="342"/>
      <c r="BF94" s="21"/>
    </row>
    <row r="95" spans="1:59" ht="18.75">
      <c r="B95" s="1000" t="s">
        <v>466</v>
      </c>
      <c r="C95" s="1000"/>
      <c r="D95" s="836"/>
      <c r="E95" s="337" t="s">
        <v>513</v>
      </c>
      <c r="F95" s="700"/>
      <c r="G95" s="339"/>
      <c r="H95" s="437"/>
      <c r="I95" s="437"/>
      <c r="J95" s="437"/>
      <c r="K95" s="437"/>
      <c r="L95" s="437"/>
      <c r="M95" s="437"/>
      <c r="N95" s="437"/>
      <c r="O95" s="437"/>
      <c r="P95" s="437"/>
      <c r="Q95" s="437"/>
      <c r="R95" s="437"/>
      <c r="S95" s="437"/>
      <c r="T95" s="437"/>
      <c r="U95" s="437"/>
      <c r="V95" s="437"/>
      <c r="W95" s="437"/>
      <c r="X95" s="437"/>
      <c r="Y95" s="437"/>
      <c r="Z95" s="437"/>
      <c r="AA95" s="442"/>
      <c r="AB95" s="437"/>
      <c r="AC95" s="437"/>
      <c r="AD95" s="437"/>
      <c r="AE95" s="437"/>
      <c r="AF95" s="437"/>
      <c r="AG95" s="437"/>
      <c r="AH95" s="437"/>
      <c r="AI95" s="437"/>
      <c r="AJ95" s="437"/>
      <c r="AK95" s="437"/>
      <c r="AL95" s="437"/>
      <c r="AM95" s="437"/>
      <c r="AN95" s="437"/>
      <c r="AO95" s="437"/>
      <c r="AP95" s="437"/>
      <c r="AQ95" s="437"/>
      <c r="AR95" s="437"/>
      <c r="AS95" s="437"/>
      <c r="AT95" s="437"/>
      <c r="AU95" s="437"/>
      <c r="AV95" s="437"/>
      <c r="AW95" s="437"/>
      <c r="AX95" s="437"/>
      <c r="AY95" s="437"/>
      <c r="AZ95" s="437"/>
      <c r="BA95" s="437"/>
      <c r="BB95" s="437"/>
      <c r="BC95" s="437"/>
      <c r="BD95" s="437"/>
      <c r="BE95" s="443"/>
      <c r="BF95" s="21"/>
    </row>
    <row r="96" spans="1:59" ht="51">
      <c r="B96" s="1000" t="s">
        <v>466</v>
      </c>
      <c r="C96" s="1000"/>
      <c r="D96" s="836"/>
      <c r="E96" s="329" t="s">
        <v>514</v>
      </c>
      <c r="F96" s="330"/>
      <c r="G96" s="329" t="s">
        <v>65</v>
      </c>
      <c r="H96" s="342"/>
      <c r="I96" s="422" t="s">
        <v>515</v>
      </c>
      <c r="J96" s="422" t="s">
        <v>515</v>
      </c>
      <c r="K96" s="422" t="s">
        <v>145</v>
      </c>
      <c r="L96" s="422" t="s">
        <v>145</v>
      </c>
      <c r="M96" s="422" t="s">
        <v>145</v>
      </c>
      <c r="N96" s="422" t="s">
        <v>145</v>
      </c>
      <c r="O96" s="422" t="s">
        <v>145</v>
      </c>
      <c r="P96" s="422" t="s">
        <v>145</v>
      </c>
      <c r="Q96" s="422" t="s">
        <v>145</v>
      </c>
      <c r="R96" s="422" t="s">
        <v>145</v>
      </c>
      <c r="S96" s="422" t="s">
        <v>145</v>
      </c>
      <c r="T96" s="422" t="s">
        <v>145</v>
      </c>
      <c r="U96" s="422" t="s">
        <v>145</v>
      </c>
      <c r="V96" s="422" t="s">
        <v>145</v>
      </c>
      <c r="W96" s="422" t="s">
        <v>515</v>
      </c>
      <c r="X96" s="422" t="s">
        <v>515</v>
      </c>
      <c r="Y96" s="422" t="s">
        <v>516</v>
      </c>
      <c r="Z96" s="422" t="s">
        <v>517</v>
      </c>
      <c r="AA96" s="422" t="s">
        <v>517</v>
      </c>
      <c r="AB96" s="422" t="s">
        <v>517</v>
      </c>
      <c r="AC96" s="422" t="s">
        <v>517</v>
      </c>
      <c r="AD96" s="422" t="s">
        <v>518</v>
      </c>
      <c r="AE96" s="422" t="s">
        <v>519</v>
      </c>
      <c r="AF96" s="422" t="s">
        <v>520</v>
      </c>
      <c r="AG96" s="422" t="s">
        <v>515</v>
      </c>
      <c r="AH96" s="422" t="s">
        <v>515</v>
      </c>
      <c r="AI96" s="422" t="s">
        <v>515</v>
      </c>
      <c r="AJ96" s="422" t="s">
        <v>1209</v>
      </c>
      <c r="AK96" s="422" t="s">
        <v>1210</v>
      </c>
      <c r="AL96" s="422" t="s">
        <v>1213</v>
      </c>
      <c r="AM96" s="422" t="s">
        <v>1214</v>
      </c>
      <c r="AN96" s="422" t="s">
        <v>521</v>
      </c>
      <c r="AO96" s="422" t="s">
        <v>522</v>
      </c>
      <c r="AP96" s="487" t="s">
        <v>523</v>
      </c>
      <c r="AQ96" s="487" t="s">
        <v>600</v>
      </c>
      <c r="AR96" s="487"/>
      <c r="AS96" s="487"/>
      <c r="AT96" s="487"/>
      <c r="AU96" s="487"/>
      <c r="AV96" s="487"/>
      <c r="AW96" s="487"/>
      <c r="AX96" s="487"/>
      <c r="AY96" s="487"/>
      <c r="AZ96" s="487"/>
      <c r="BA96" s="487"/>
      <c r="BB96" s="487"/>
      <c r="BC96" s="487"/>
      <c r="BD96" s="487"/>
      <c r="BE96" s="342"/>
      <c r="BF96" s="21"/>
      <c r="BG96" s="21"/>
    </row>
    <row r="97" spans="2:58">
      <c r="B97" s="1000" t="s">
        <v>466</v>
      </c>
      <c r="C97" s="1000"/>
      <c r="D97" s="836"/>
      <c r="E97" s="329" t="s">
        <v>525</v>
      </c>
      <c r="F97" s="330"/>
      <c r="G97" s="329" t="s">
        <v>65</v>
      </c>
      <c r="H97" s="342"/>
      <c r="I97" s="444" t="str">
        <f t="shared" ref="I97:AO97" si="39">IF(OR(referentie_verwarming="",I96=""),"",IF(OR(I85&lt;&gt;gebouw),GJ,HLOOKUP(I96,ENERGIEDRAGERS,ROWS($E$259:$E$265),FALSE)))</f>
        <v>kWh</v>
      </c>
      <c r="J97" s="444" t="str">
        <f t="shared" si="39"/>
        <v>kWh</v>
      </c>
      <c r="K97" s="444" t="str">
        <f t="shared" si="39"/>
        <v>kWh</v>
      </c>
      <c r="L97" s="444" t="str">
        <f t="shared" si="39"/>
        <v>kWh</v>
      </c>
      <c r="M97" s="444" t="str">
        <f t="shared" si="39"/>
        <v>kWh</v>
      </c>
      <c r="N97" s="444" t="str">
        <f t="shared" si="39"/>
        <v>kWh</v>
      </c>
      <c r="O97" s="444" t="str">
        <f t="shared" si="39"/>
        <v>kWh</v>
      </c>
      <c r="P97" s="444" t="str">
        <f t="shared" si="39"/>
        <v>kWh</v>
      </c>
      <c r="Q97" s="444" t="str">
        <f t="shared" si="39"/>
        <v>kWh</v>
      </c>
      <c r="R97" s="444" t="str">
        <f t="shared" si="39"/>
        <v>GJ</v>
      </c>
      <c r="S97" s="444" t="str">
        <f t="shared" si="39"/>
        <v>GJ</v>
      </c>
      <c r="T97" s="444" t="str">
        <f t="shared" si="39"/>
        <v>kWh</v>
      </c>
      <c r="U97" s="444" t="str">
        <f t="shared" si="39"/>
        <v>GJ</v>
      </c>
      <c r="V97" s="444" t="str">
        <f t="shared" si="39"/>
        <v>GJ</v>
      </c>
      <c r="W97" s="444" t="str">
        <f t="shared" si="39"/>
        <v>GJ</v>
      </c>
      <c r="X97" s="444" t="str">
        <f t="shared" si="39"/>
        <v>GJ</v>
      </c>
      <c r="Y97" s="444" t="str">
        <f t="shared" si="39"/>
        <v>GJ</v>
      </c>
      <c r="Z97" s="444" t="str">
        <f t="shared" si="39"/>
        <v>GJ</v>
      </c>
      <c r="AA97" s="444" t="str">
        <f t="shared" si="39"/>
        <v>GJ</v>
      </c>
      <c r="AB97" s="444" t="str">
        <f t="shared" si="39"/>
        <v>GJ</v>
      </c>
      <c r="AC97" s="444" t="str">
        <f t="shared" si="39"/>
        <v>GJ</v>
      </c>
      <c r="AD97" s="444" t="str">
        <f t="shared" si="39"/>
        <v>GJ</v>
      </c>
      <c r="AE97" s="444" t="str">
        <f t="shared" si="39"/>
        <v>GJ</v>
      </c>
      <c r="AF97" s="444" t="str">
        <f t="shared" si="39"/>
        <v>GJ</v>
      </c>
      <c r="AG97" s="444" t="str">
        <f t="shared" si="39"/>
        <v>kWh</v>
      </c>
      <c r="AH97" s="444" t="str">
        <f t="shared" si="39"/>
        <v>kWh</v>
      </c>
      <c r="AI97" s="444" t="str">
        <f t="shared" si="39"/>
        <v>kWh</v>
      </c>
      <c r="AJ97" s="444" t="str">
        <f t="shared" si="39"/>
        <v>GJ</v>
      </c>
      <c r="AK97" s="444" t="str">
        <f t="shared" si="39"/>
        <v>GJ</v>
      </c>
      <c r="AL97" s="444" t="str">
        <f t="shared" si="39"/>
        <v>GJ</v>
      </c>
      <c r="AM97" s="444" t="str">
        <f t="shared" si="39"/>
        <v>GJ</v>
      </c>
      <c r="AN97" s="444" t="str">
        <f t="shared" si="39"/>
        <v>GJ</v>
      </c>
      <c r="AO97" s="444" t="str">
        <f t="shared" si="39"/>
        <v>GJ</v>
      </c>
      <c r="AP97" s="492" t="s">
        <v>680</v>
      </c>
      <c r="AQ97" s="492" t="s">
        <v>680</v>
      </c>
      <c r="AR97" s="492" t="str">
        <f t="shared" ref="AR97:BD97" si="40">IF(OR(referentie_verwarming="",AR96=""),"",IF(OR(AR85&lt;&gt;gebouw),GJ,HLOOKUP(AR96,ENERGIEDRAGERS,ROWS($E$259:$E$265),FALSE)))</f>
        <v/>
      </c>
      <c r="AS97" s="444" t="str">
        <f t="shared" ref="AS97" si="41">IF(OR(referentie_verwarming="",AS96=""),"",IF(OR(AS85&lt;&gt;gebouw),GJ,HLOOKUP(AS96,ENERGIEDRAGERS,ROWS($E$259:$E$265),FALSE)))</f>
        <v/>
      </c>
      <c r="AT97" s="444" t="str">
        <f t="shared" si="40"/>
        <v/>
      </c>
      <c r="AU97" s="492" t="str">
        <f t="shared" si="40"/>
        <v/>
      </c>
      <c r="AV97" s="492" t="str">
        <f t="shared" si="40"/>
        <v/>
      </c>
      <c r="AW97" s="492" t="str">
        <f t="shared" si="40"/>
        <v/>
      </c>
      <c r="AX97" s="492" t="str">
        <f t="shared" si="40"/>
        <v/>
      </c>
      <c r="AY97" s="492" t="str">
        <f t="shared" si="40"/>
        <v/>
      </c>
      <c r="AZ97" s="492" t="str">
        <f t="shared" si="40"/>
        <v/>
      </c>
      <c r="BA97" s="492" t="str">
        <f t="shared" si="40"/>
        <v/>
      </c>
      <c r="BB97" s="492" t="str">
        <f t="shared" si="40"/>
        <v/>
      </c>
      <c r="BC97" s="492" t="str">
        <f t="shared" si="40"/>
        <v/>
      </c>
      <c r="BD97" s="492" t="str">
        <f t="shared" si="40"/>
        <v/>
      </c>
      <c r="BE97" s="342"/>
      <c r="BF97" s="21"/>
    </row>
    <row r="98" spans="2:58">
      <c r="B98" s="1000" t="s">
        <v>466</v>
      </c>
      <c r="C98" s="1000"/>
      <c r="D98" s="837" t="s">
        <v>45</v>
      </c>
      <c r="E98" s="602" t="s">
        <v>526</v>
      </c>
      <c r="F98" s="603"/>
      <c r="G98" s="329" t="s">
        <v>139</v>
      </c>
      <c r="H98" s="342"/>
      <c r="I98" s="344">
        <v>1</v>
      </c>
      <c r="J98" s="344">
        <v>1</v>
      </c>
      <c r="K98" s="344">
        <v>0.9</v>
      </c>
      <c r="L98" s="344">
        <v>0.9</v>
      </c>
      <c r="M98" s="344">
        <v>1</v>
      </c>
      <c r="N98" s="344">
        <v>1</v>
      </c>
      <c r="O98" s="344">
        <v>0.6</v>
      </c>
      <c r="P98" s="344">
        <v>0.9</v>
      </c>
      <c r="Q98" s="344">
        <v>0.9</v>
      </c>
      <c r="R98" s="344">
        <v>0.8</v>
      </c>
      <c r="S98" s="344">
        <v>0.8</v>
      </c>
      <c r="T98" s="344">
        <v>1</v>
      </c>
      <c r="U98" s="344">
        <v>1</v>
      </c>
      <c r="V98" s="344">
        <v>1</v>
      </c>
      <c r="W98" s="344">
        <v>0.8</v>
      </c>
      <c r="X98" s="344">
        <v>0.8</v>
      </c>
      <c r="Y98" s="344">
        <v>0.8</v>
      </c>
      <c r="Z98" s="344">
        <v>0.8</v>
      </c>
      <c r="AA98" s="344">
        <v>0.8</v>
      </c>
      <c r="AB98" s="344">
        <v>0.8</v>
      </c>
      <c r="AC98" s="344">
        <v>0.8</v>
      </c>
      <c r="AD98" s="344">
        <v>0.8</v>
      </c>
      <c r="AE98" s="344">
        <v>0.8</v>
      </c>
      <c r="AF98" s="344">
        <v>1</v>
      </c>
      <c r="AG98" s="344">
        <v>1</v>
      </c>
      <c r="AH98" s="344">
        <v>1</v>
      </c>
      <c r="AI98" s="344">
        <v>1</v>
      </c>
      <c r="AJ98" s="344">
        <v>1</v>
      </c>
      <c r="AK98" s="344">
        <v>1</v>
      </c>
      <c r="AL98" s="344">
        <v>1</v>
      </c>
      <c r="AM98" s="344">
        <v>1</v>
      </c>
      <c r="AN98" s="344">
        <v>0.8</v>
      </c>
      <c r="AO98" s="344">
        <v>0.8</v>
      </c>
      <c r="AP98" s="504">
        <v>1</v>
      </c>
      <c r="AQ98" s="504">
        <v>1</v>
      </c>
      <c r="AR98" s="504"/>
      <c r="AS98" s="504"/>
      <c r="AT98" s="504"/>
      <c r="AU98" s="504"/>
      <c r="AV98" s="504"/>
      <c r="AW98" s="504"/>
      <c r="AX98" s="504"/>
      <c r="AY98" s="504"/>
      <c r="AZ98" s="504"/>
      <c r="BA98" s="504"/>
      <c r="BB98" s="504"/>
      <c r="BC98" s="504"/>
      <c r="BD98" s="504"/>
      <c r="BE98" s="342"/>
      <c r="BF98" s="229"/>
    </row>
    <row r="99" spans="2:58">
      <c r="B99" s="1000" t="s">
        <v>466</v>
      </c>
      <c r="C99" s="1000"/>
      <c r="D99" s="837" t="s">
        <v>45</v>
      </c>
      <c r="E99" s="602" t="s">
        <v>527</v>
      </c>
      <c r="F99" s="703"/>
      <c r="G99" s="329" t="s">
        <v>65</v>
      </c>
      <c r="H99" s="342"/>
      <c r="I99" s="445">
        <v>0.8</v>
      </c>
      <c r="J99" s="445">
        <v>0.97499999999999998</v>
      </c>
      <c r="K99" s="445">
        <v>5.2</v>
      </c>
      <c r="L99" s="445">
        <v>4.55</v>
      </c>
      <c r="M99" s="445">
        <v>5.2</v>
      </c>
      <c r="N99" s="445">
        <v>4.55</v>
      </c>
      <c r="O99" s="445">
        <v>3.8</v>
      </c>
      <c r="P99" s="445">
        <v>3.5</v>
      </c>
      <c r="Q99" s="445">
        <v>6</v>
      </c>
      <c r="R99" s="445">
        <v>5.2</v>
      </c>
      <c r="S99" s="445">
        <v>5.2</v>
      </c>
      <c r="T99" s="445">
        <v>1</v>
      </c>
      <c r="U99" s="445">
        <f>20*(120-60-3)/40</f>
        <v>28.5</v>
      </c>
      <c r="V99" s="445">
        <v>15</v>
      </c>
      <c r="W99" s="445">
        <v>0.5</v>
      </c>
      <c r="X99" s="445">
        <v>0.44</v>
      </c>
      <c r="Y99" s="445">
        <v>0.4</v>
      </c>
      <c r="Z99" s="445">
        <v>0.26</v>
      </c>
      <c r="AA99" s="445">
        <v>0.36</v>
      </c>
      <c r="AB99" s="445">
        <v>0.48</v>
      </c>
      <c r="AC99" s="445">
        <v>0.72499999999999998</v>
      </c>
      <c r="AD99" s="445">
        <v>1</v>
      </c>
      <c r="AE99" s="445">
        <v>1</v>
      </c>
      <c r="AF99" s="445">
        <f>1/0.07</f>
        <v>14.285714285714285</v>
      </c>
      <c r="AG99" s="445">
        <v>0.75</v>
      </c>
      <c r="AH99" s="445">
        <v>0.8</v>
      </c>
      <c r="AI99" s="445">
        <v>0.9</v>
      </c>
      <c r="AJ99" s="445">
        <v>1</v>
      </c>
      <c r="AK99" s="445">
        <v>1</v>
      </c>
      <c r="AL99" s="445">
        <v>1</v>
      </c>
      <c r="AM99" s="445">
        <v>1</v>
      </c>
      <c r="AN99" s="445">
        <v>1</v>
      </c>
      <c r="AO99" s="445">
        <v>1</v>
      </c>
      <c r="AP99" s="487">
        <v>1</v>
      </c>
      <c r="AQ99" s="487">
        <v>1</v>
      </c>
      <c r="AR99" s="487"/>
      <c r="AS99" s="487"/>
      <c r="AT99" s="487"/>
      <c r="AU99" s="487"/>
      <c r="AV99" s="487"/>
      <c r="AW99" s="487"/>
      <c r="AX99" s="487" t="s">
        <v>528</v>
      </c>
      <c r="AY99" s="487" t="s">
        <v>528</v>
      </c>
      <c r="AZ99" s="487" t="s">
        <v>528</v>
      </c>
      <c r="BA99" s="487"/>
      <c r="BB99" s="487" t="s">
        <v>528</v>
      </c>
      <c r="BC99" s="487" t="s">
        <v>528</v>
      </c>
      <c r="BD99" s="487" t="s">
        <v>528</v>
      </c>
      <c r="BE99" s="342"/>
      <c r="BF99" s="229"/>
    </row>
    <row r="100" spans="2:58">
      <c r="B100" s="1000" t="s">
        <v>466</v>
      </c>
      <c r="C100" s="1000"/>
      <c r="D100" s="836"/>
      <c r="E100" s="329" t="s">
        <v>529</v>
      </c>
      <c r="F100" s="330"/>
      <c r="G100" s="329" t="s">
        <v>65</v>
      </c>
      <c r="H100" s="342"/>
      <c r="I100" s="446">
        <v>0</v>
      </c>
      <c r="J100" s="446">
        <v>0</v>
      </c>
      <c r="K100" s="446">
        <v>28</v>
      </c>
      <c r="L100" s="446">
        <v>0</v>
      </c>
      <c r="M100" s="446">
        <v>28</v>
      </c>
      <c r="N100" s="446">
        <v>0</v>
      </c>
      <c r="O100" s="446">
        <v>0</v>
      </c>
      <c r="P100" s="446">
        <v>0</v>
      </c>
      <c r="Q100" s="446">
        <v>15</v>
      </c>
      <c r="R100" s="446">
        <v>28</v>
      </c>
      <c r="S100" s="446">
        <v>28</v>
      </c>
      <c r="T100" s="446">
        <v>0</v>
      </c>
      <c r="U100" s="446">
        <v>0</v>
      </c>
      <c r="V100" s="446">
        <v>0</v>
      </c>
      <c r="W100" s="446">
        <v>0</v>
      </c>
      <c r="X100" s="446">
        <v>0</v>
      </c>
      <c r="Y100" s="446">
        <v>0</v>
      </c>
      <c r="Z100" s="446">
        <v>0</v>
      </c>
      <c r="AA100" s="446">
        <v>0</v>
      </c>
      <c r="AB100" s="446">
        <v>0</v>
      </c>
      <c r="AC100" s="446">
        <v>0</v>
      </c>
      <c r="AD100" s="446">
        <v>0</v>
      </c>
      <c r="AE100" s="446">
        <v>0</v>
      </c>
      <c r="AF100" s="446">
        <v>0</v>
      </c>
      <c r="AG100" s="446">
        <v>0</v>
      </c>
      <c r="AH100" s="446">
        <v>0</v>
      </c>
      <c r="AI100" s="446">
        <v>0</v>
      </c>
      <c r="AJ100" s="446">
        <v>0</v>
      </c>
      <c r="AK100" s="446">
        <v>0</v>
      </c>
      <c r="AL100" s="446">
        <v>0</v>
      </c>
      <c r="AM100" s="446">
        <v>0</v>
      </c>
      <c r="AN100" s="446">
        <v>0</v>
      </c>
      <c r="AO100" s="446">
        <v>0</v>
      </c>
      <c r="AP100" s="495">
        <v>0</v>
      </c>
      <c r="AQ100" s="495">
        <v>0</v>
      </c>
      <c r="AR100" s="495"/>
      <c r="AS100" s="495"/>
      <c r="AT100" s="495"/>
      <c r="AU100" s="495"/>
      <c r="AV100" s="495"/>
      <c r="AW100" s="495"/>
      <c r="AX100" s="495"/>
      <c r="AY100" s="495"/>
      <c r="AZ100" s="495"/>
      <c r="BA100" s="495"/>
      <c r="BB100" s="495"/>
      <c r="BC100" s="495"/>
      <c r="BD100" s="495"/>
      <c r="BE100" s="342"/>
      <c r="BF100" s="229"/>
    </row>
    <row r="101" spans="2:58">
      <c r="B101" s="1000" t="s">
        <v>466</v>
      </c>
      <c r="C101" s="1000"/>
      <c r="D101" s="837" t="s">
        <v>45</v>
      </c>
      <c r="E101" s="329" t="s">
        <v>530</v>
      </c>
      <c r="F101" s="330"/>
      <c r="G101" s="329" t="s">
        <v>65</v>
      </c>
      <c r="H101" s="342"/>
      <c r="I101" s="445">
        <v>0</v>
      </c>
      <c r="J101" s="445">
        <v>0</v>
      </c>
      <c r="K101" s="445">
        <v>0</v>
      </c>
      <c r="L101" s="445">
        <v>0</v>
      </c>
      <c r="M101" s="445">
        <v>0</v>
      </c>
      <c r="N101" s="445">
        <v>0</v>
      </c>
      <c r="O101" s="445">
        <v>0</v>
      </c>
      <c r="P101" s="445">
        <v>0</v>
      </c>
      <c r="Q101" s="445">
        <v>0</v>
      </c>
      <c r="R101" s="445">
        <v>0</v>
      </c>
      <c r="S101" s="445">
        <v>0</v>
      </c>
      <c r="T101" s="445">
        <v>0</v>
      </c>
      <c r="U101" s="445">
        <v>0</v>
      </c>
      <c r="V101" s="445">
        <v>0</v>
      </c>
      <c r="W101" s="445">
        <v>0.32</v>
      </c>
      <c r="X101" s="445">
        <v>0.35</v>
      </c>
      <c r="Y101" s="445">
        <v>0.42</v>
      </c>
      <c r="Z101" s="445">
        <v>0.26</v>
      </c>
      <c r="AA101" s="445">
        <v>0.23</v>
      </c>
      <c r="AB101" s="445">
        <v>0.28499999999999998</v>
      </c>
      <c r="AC101" s="445">
        <v>0</v>
      </c>
      <c r="AD101" s="445">
        <v>0</v>
      </c>
      <c r="AE101" s="445">
        <v>0</v>
      </c>
      <c r="AF101" s="445">
        <v>0</v>
      </c>
      <c r="AG101" s="445">
        <v>0</v>
      </c>
      <c r="AH101" s="445">
        <v>0</v>
      </c>
      <c r="AI101" s="445">
        <v>0</v>
      </c>
      <c r="AJ101" s="445">
        <v>0</v>
      </c>
      <c r="AK101" s="445">
        <v>0</v>
      </c>
      <c r="AL101" s="445">
        <v>0</v>
      </c>
      <c r="AM101" s="445">
        <v>0</v>
      </c>
      <c r="AN101" s="445">
        <v>0</v>
      </c>
      <c r="AO101" s="445">
        <v>0</v>
      </c>
      <c r="AP101" s="487">
        <v>0</v>
      </c>
      <c r="AQ101" s="487">
        <v>0</v>
      </c>
      <c r="AR101" s="487"/>
      <c r="AS101" s="487"/>
      <c r="AT101" s="487"/>
      <c r="AU101" s="487"/>
      <c r="AV101" s="487"/>
      <c r="AW101" s="487"/>
      <c r="AX101" s="487"/>
      <c r="AY101" s="487"/>
      <c r="AZ101" s="487"/>
      <c r="BA101" s="487"/>
      <c r="BB101" s="487"/>
      <c r="BC101" s="487"/>
      <c r="BD101" s="487"/>
      <c r="BE101" s="342"/>
      <c r="BF101" s="229"/>
    </row>
    <row r="102" spans="2:58">
      <c r="B102" s="1000" t="s">
        <v>466</v>
      </c>
      <c r="C102" s="1000"/>
      <c r="D102" s="837" t="s">
        <v>45</v>
      </c>
      <c r="E102" s="329" t="s">
        <v>531</v>
      </c>
      <c r="F102" s="330"/>
      <c r="G102" s="329" t="s">
        <v>532</v>
      </c>
      <c r="H102" s="342"/>
      <c r="I102" s="341">
        <v>0</v>
      </c>
      <c r="J102" s="341">
        <v>0</v>
      </c>
      <c r="K102" s="341">
        <v>0</v>
      </c>
      <c r="L102" s="341">
        <v>0</v>
      </c>
      <c r="M102" s="341">
        <v>0</v>
      </c>
      <c r="N102" s="341">
        <v>0</v>
      </c>
      <c r="O102" s="341">
        <v>0</v>
      </c>
      <c r="P102" s="341">
        <v>0</v>
      </c>
      <c r="Q102" s="341">
        <v>0</v>
      </c>
      <c r="R102" s="341">
        <v>0</v>
      </c>
      <c r="S102" s="341">
        <v>0</v>
      </c>
      <c r="T102" s="341">
        <v>0</v>
      </c>
      <c r="U102" s="341">
        <v>0</v>
      </c>
      <c r="V102" s="341">
        <v>0</v>
      </c>
      <c r="W102" s="341">
        <v>0</v>
      </c>
      <c r="X102" s="341">
        <v>0</v>
      </c>
      <c r="Y102" s="341">
        <v>0</v>
      </c>
      <c r="Z102" s="341">
        <v>0</v>
      </c>
      <c r="AA102" s="341">
        <v>0</v>
      </c>
      <c r="AB102" s="341">
        <v>0</v>
      </c>
      <c r="AC102" s="341">
        <v>0</v>
      </c>
      <c r="AD102" s="341">
        <v>0.18</v>
      </c>
      <c r="AE102" s="341">
        <v>0.18</v>
      </c>
      <c r="AF102" s="341">
        <v>0</v>
      </c>
      <c r="AG102" s="341">
        <v>0</v>
      </c>
      <c r="AH102" s="341">
        <v>0</v>
      </c>
      <c r="AI102" s="341">
        <v>0</v>
      </c>
      <c r="AJ102" s="341">
        <v>0</v>
      </c>
      <c r="AK102" s="341">
        <v>0</v>
      </c>
      <c r="AL102" s="341">
        <v>0</v>
      </c>
      <c r="AM102" s="341">
        <v>0</v>
      </c>
      <c r="AN102" s="341">
        <v>0.18</v>
      </c>
      <c r="AO102" s="341">
        <v>0.18</v>
      </c>
      <c r="AP102" s="496">
        <v>0</v>
      </c>
      <c r="AQ102" s="496">
        <v>0</v>
      </c>
      <c r="AR102" s="496"/>
      <c r="AS102" s="496"/>
      <c r="AT102" s="496"/>
      <c r="AU102" s="496"/>
      <c r="AV102" s="496"/>
      <c r="AW102" s="496"/>
      <c r="AX102" s="496"/>
      <c r="AY102" s="496"/>
      <c r="AZ102" s="496"/>
      <c r="BA102" s="496"/>
      <c r="BB102" s="496"/>
      <c r="BC102" s="496"/>
      <c r="BD102" s="496"/>
      <c r="BE102" s="342"/>
      <c r="BF102" s="229"/>
    </row>
    <row r="103" spans="2:58" ht="18.75">
      <c r="B103" s="1000" t="s">
        <v>466</v>
      </c>
      <c r="C103" s="1000"/>
      <c r="D103" s="836"/>
      <c r="E103" s="337" t="s">
        <v>533</v>
      </c>
      <c r="F103" s="338"/>
      <c r="G103" s="339"/>
      <c r="H103" s="437"/>
      <c r="I103" s="437"/>
      <c r="J103" s="437"/>
      <c r="K103" s="437"/>
      <c r="L103" s="437"/>
      <c r="M103" s="437"/>
      <c r="N103" s="437"/>
      <c r="O103" s="437"/>
      <c r="P103" s="437"/>
      <c r="Q103" s="437"/>
      <c r="R103" s="437"/>
      <c r="S103" s="437"/>
      <c r="T103" s="437"/>
      <c r="U103" s="437"/>
      <c r="V103" s="437"/>
      <c r="W103" s="437"/>
      <c r="X103" s="437"/>
      <c r="Y103" s="437"/>
      <c r="Z103" s="437"/>
      <c r="AA103" s="442"/>
      <c r="AB103" s="437"/>
      <c r="AC103" s="437"/>
      <c r="AD103" s="437"/>
      <c r="AE103" s="437"/>
      <c r="AF103" s="437"/>
      <c r="AG103" s="437"/>
      <c r="AH103" s="437"/>
      <c r="AI103" s="437"/>
      <c r="AJ103" s="437"/>
      <c r="AK103" s="437"/>
      <c r="AL103" s="437"/>
      <c r="AM103" s="437"/>
      <c r="AN103" s="437"/>
      <c r="AO103" s="437"/>
      <c r="AP103" s="437">
        <v>0</v>
      </c>
      <c r="AQ103" s="437"/>
      <c r="AR103" s="437"/>
      <c r="AS103" s="437"/>
      <c r="AT103" s="437"/>
      <c r="AU103" s="437"/>
      <c r="AV103" s="437"/>
      <c r="AW103" s="437"/>
      <c r="AX103" s="437"/>
      <c r="AY103" s="437"/>
      <c r="AZ103" s="437"/>
      <c r="BA103" s="437"/>
      <c r="BB103" s="437"/>
      <c r="BC103" s="437"/>
      <c r="BD103" s="437"/>
      <c r="BE103" s="443"/>
      <c r="BF103" s="21"/>
    </row>
    <row r="104" spans="2:58" ht="25.5">
      <c r="B104" s="1000" t="s">
        <v>466</v>
      </c>
      <c r="C104" s="1000"/>
      <c r="D104" s="837"/>
      <c r="E104" s="329" t="s">
        <v>534</v>
      </c>
      <c r="F104" s="330"/>
      <c r="G104" s="329" t="s">
        <v>65</v>
      </c>
      <c r="H104" s="342"/>
      <c r="I104" s="422" t="s">
        <v>166</v>
      </c>
      <c r="J104" s="422" t="s">
        <v>166</v>
      </c>
      <c r="K104" s="422" t="s">
        <v>535</v>
      </c>
      <c r="L104" s="422" t="s">
        <v>535</v>
      </c>
      <c r="M104" s="422" t="s">
        <v>166</v>
      </c>
      <c r="N104" s="422" t="s">
        <v>166</v>
      </c>
      <c r="O104" s="422" t="s">
        <v>917</v>
      </c>
      <c r="P104" s="422" t="s">
        <v>535</v>
      </c>
      <c r="Q104" s="422" t="s">
        <v>535</v>
      </c>
      <c r="R104" s="422" t="s">
        <v>536</v>
      </c>
      <c r="S104" s="422" t="s">
        <v>535</v>
      </c>
      <c r="T104" s="422" t="s">
        <v>166</v>
      </c>
      <c r="U104" s="422" t="s">
        <v>166</v>
      </c>
      <c r="V104" s="422" t="s">
        <v>166</v>
      </c>
      <c r="W104" s="422" t="s">
        <v>536</v>
      </c>
      <c r="X104" s="422" t="s">
        <v>536</v>
      </c>
      <c r="Y104" s="422" t="s">
        <v>536</v>
      </c>
      <c r="Z104" s="422" t="s">
        <v>536</v>
      </c>
      <c r="AA104" s="422" t="s">
        <v>536</v>
      </c>
      <c r="AB104" s="422" t="s">
        <v>536</v>
      </c>
      <c r="AC104" s="422" t="s">
        <v>536</v>
      </c>
      <c r="AD104" s="422" t="s">
        <v>536</v>
      </c>
      <c r="AE104" s="422" t="s">
        <v>536</v>
      </c>
      <c r="AF104" s="422" t="s">
        <v>166</v>
      </c>
      <c r="AG104" s="422" t="s">
        <v>166</v>
      </c>
      <c r="AH104" s="422" t="s">
        <v>166</v>
      </c>
      <c r="AI104" s="422" t="s">
        <v>166</v>
      </c>
      <c r="AJ104" s="422" t="s">
        <v>166</v>
      </c>
      <c r="AK104" s="422" t="s">
        <v>166</v>
      </c>
      <c r="AL104" s="422" t="s">
        <v>166</v>
      </c>
      <c r="AM104" s="422" t="s">
        <v>166</v>
      </c>
      <c r="AN104" s="422" t="s">
        <v>536</v>
      </c>
      <c r="AO104" s="422" t="s">
        <v>536</v>
      </c>
      <c r="AP104" s="487" t="s">
        <v>166</v>
      </c>
      <c r="AQ104" s="487" t="s">
        <v>166</v>
      </c>
      <c r="AR104" s="487"/>
      <c r="AS104" s="487"/>
      <c r="AT104" s="487"/>
      <c r="AU104" s="487"/>
      <c r="AV104" s="487"/>
      <c r="AW104" s="487"/>
      <c r="AX104" s="487"/>
      <c r="AY104" s="487"/>
      <c r="AZ104" s="487"/>
      <c r="BA104" s="487"/>
      <c r="BB104" s="487"/>
      <c r="BC104" s="487"/>
      <c r="BD104" s="487"/>
      <c r="BE104" s="342"/>
      <c r="BF104" s="21"/>
    </row>
    <row r="105" spans="2:58">
      <c r="B105" s="1000" t="s">
        <v>466</v>
      </c>
      <c r="C105" s="1000"/>
      <c r="D105" s="836"/>
      <c r="E105" s="329" t="s">
        <v>514</v>
      </c>
      <c r="F105" s="330"/>
      <c r="G105" s="329" t="s">
        <v>65</v>
      </c>
      <c r="H105" s="342"/>
      <c r="I105" s="422" t="s">
        <v>515</v>
      </c>
      <c r="J105" s="422" t="s">
        <v>537</v>
      </c>
      <c r="K105" s="422" t="s">
        <v>145</v>
      </c>
      <c r="L105" s="422" t="str">
        <f>elektriciteit</f>
        <v>elektriciteit</v>
      </c>
      <c r="M105" s="422" t="s">
        <v>515</v>
      </c>
      <c r="N105" s="422" t="s">
        <v>515</v>
      </c>
      <c r="O105" s="422" t="s">
        <v>515</v>
      </c>
      <c r="P105" s="422" t="s">
        <v>145</v>
      </c>
      <c r="Q105" s="422" t="str">
        <f>elektriciteit</f>
        <v>elektriciteit</v>
      </c>
      <c r="R105" s="422" t="s">
        <v>515</v>
      </c>
      <c r="S105" s="422" t="str">
        <f>elektriciteit</f>
        <v>elektriciteit</v>
      </c>
      <c r="T105" s="422" t="s">
        <v>537</v>
      </c>
      <c r="U105" s="422" t="s">
        <v>515</v>
      </c>
      <c r="V105" s="422" t="s">
        <v>515</v>
      </c>
      <c r="W105" s="422" t="s">
        <v>515</v>
      </c>
      <c r="X105" s="422" t="s">
        <v>515</v>
      </c>
      <c r="Y105" s="422" t="s">
        <v>515</v>
      </c>
      <c r="Z105" s="422" t="s">
        <v>515</v>
      </c>
      <c r="AA105" s="422" t="s">
        <v>515</v>
      </c>
      <c r="AB105" s="422" t="s">
        <v>515</v>
      </c>
      <c r="AC105" s="422" t="s">
        <v>515</v>
      </c>
      <c r="AD105" s="422" t="s">
        <v>515</v>
      </c>
      <c r="AE105" s="422" t="s">
        <v>515</v>
      </c>
      <c r="AF105" s="422" t="s">
        <v>515</v>
      </c>
      <c r="AG105" s="422" t="s">
        <v>537</v>
      </c>
      <c r="AH105" s="422" t="s">
        <v>537</v>
      </c>
      <c r="AI105" s="422" t="s">
        <v>537</v>
      </c>
      <c r="AJ105" s="422" t="s">
        <v>537</v>
      </c>
      <c r="AK105" s="422" t="s">
        <v>537</v>
      </c>
      <c r="AL105" s="422" t="s">
        <v>537</v>
      </c>
      <c r="AM105" s="422" t="s">
        <v>537</v>
      </c>
      <c r="AN105" s="422" t="s">
        <v>515</v>
      </c>
      <c r="AO105" s="422" t="s">
        <v>515</v>
      </c>
      <c r="AP105" s="487" t="s">
        <v>166</v>
      </c>
      <c r="AQ105" s="487"/>
      <c r="AR105" s="487"/>
      <c r="AS105" s="487" t="s">
        <v>515</v>
      </c>
      <c r="AT105" s="487" t="s">
        <v>515</v>
      </c>
      <c r="AU105" s="487"/>
      <c r="AV105" s="487"/>
      <c r="AW105" s="487"/>
      <c r="AX105" s="487"/>
      <c r="AY105" s="487"/>
      <c r="AZ105" s="487"/>
      <c r="BA105" s="487"/>
      <c r="BB105" s="487"/>
      <c r="BC105" s="487"/>
      <c r="BD105" s="487"/>
      <c r="BE105" s="342"/>
      <c r="BF105" s="21"/>
    </row>
    <row r="106" spans="2:58">
      <c r="B106" s="1000" t="s">
        <v>466</v>
      </c>
      <c r="C106" s="1000"/>
      <c r="D106" s="837"/>
      <c r="E106" s="329" t="s">
        <v>525</v>
      </c>
      <c r="F106" s="330"/>
      <c r="G106" s="329" t="s">
        <v>65</v>
      </c>
      <c r="H106" s="342"/>
      <c r="I106" s="444" t="str">
        <f t="shared" ref="I106:BD106" si="42">IF(OR(I83="",I98=1,I105=""),"",IF(OR(I85&lt;&gt;gebouw),GJ,HLOOKUP(I105,ENERGIEDRAGERS,ROWS($E$259:$E$265),FALSE)))</f>
        <v/>
      </c>
      <c r="J106" s="444" t="str">
        <f t="shared" si="42"/>
        <v/>
      </c>
      <c r="K106" s="444" t="str">
        <f t="shared" si="42"/>
        <v>kWh</v>
      </c>
      <c r="L106" s="444" t="str">
        <f t="shared" si="42"/>
        <v>kWh</v>
      </c>
      <c r="M106" s="444" t="str">
        <f t="shared" si="42"/>
        <v/>
      </c>
      <c r="N106" s="444" t="str">
        <f t="shared" si="42"/>
        <v/>
      </c>
      <c r="O106" s="444" t="str">
        <f t="shared" si="42"/>
        <v>kWh</v>
      </c>
      <c r="P106" s="444" t="str">
        <f t="shared" si="42"/>
        <v>kWh</v>
      </c>
      <c r="Q106" s="444" t="str">
        <f t="shared" si="42"/>
        <v>kWh</v>
      </c>
      <c r="R106" s="444" t="str">
        <f t="shared" si="42"/>
        <v>GJ</v>
      </c>
      <c r="S106" s="444" t="str">
        <f t="shared" si="42"/>
        <v>GJ</v>
      </c>
      <c r="T106" s="444" t="str">
        <f t="shared" si="42"/>
        <v/>
      </c>
      <c r="U106" s="444" t="str">
        <f t="shared" si="42"/>
        <v/>
      </c>
      <c r="V106" s="444" t="str">
        <f t="shared" si="42"/>
        <v/>
      </c>
      <c r="W106" s="444" t="str">
        <f t="shared" si="42"/>
        <v>GJ</v>
      </c>
      <c r="X106" s="444" t="str">
        <f t="shared" si="42"/>
        <v>GJ</v>
      </c>
      <c r="Y106" s="444" t="str">
        <f t="shared" si="42"/>
        <v>GJ</v>
      </c>
      <c r="Z106" s="444" t="str">
        <f t="shared" si="42"/>
        <v>GJ</v>
      </c>
      <c r="AA106" s="444" t="str">
        <f t="shared" si="42"/>
        <v>GJ</v>
      </c>
      <c r="AB106" s="444" t="str">
        <f t="shared" si="42"/>
        <v>GJ</v>
      </c>
      <c r="AC106" s="444" t="str">
        <f t="shared" si="42"/>
        <v>GJ</v>
      </c>
      <c r="AD106" s="444" t="str">
        <f t="shared" si="42"/>
        <v>GJ</v>
      </c>
      <c r="AE106" s="444" t="str">
        <f t="shared" si="42"/>
        <v>GJ</v>
      </c>
      <c r="AF106" s="444" t="str">
        <f t="shared" si="42"/>
        <v/>
      </c>
      <c r="AG106" s="444" t="str">
        <f t="shared" si="42"/>
        <v/>
      </c>
      <c r="AH106" s="444" t="str">
        <f t="shared" si="42"/>
        <v/>
      </c>
      <c r="AI106" s="444" t="str">
        <f t="shared" si="42"/>
        <v/>
      </c>
      <c r="AJ106" s="444" t="str">
        <f t="shared" si="42"/>
        <v/>
      </c>
      <c r="AK106" s="444" t="str">
        <f t="shared" si="42"/>
        <v/>
      </c>
      <c r="AL106" s="444" t="str">
        <f t="shared" si="42"/>
        <v/>
      </c>
      <c r="AM106" s="444" t="str">
        <f t="shared" si="42"/>
        <v/>
      </c>
      <c r="AN106" s="444" t="str">
        <f t="shared" si="42"/>
        <v>GJ</v>
      </c>
      <c r="AO106" s="444" t="str">
        <f t="shared" si="42"/>
        <v>GJ</v>
      </c>
      <c r="AP106" s="444" t="str">
        <f t="shared" si="42"/>
        <v/>
      </c>
      <c r="AQ106" s="444" t="str">
        <f t="shared" si="42"/>
        <v/>
      </c>
      <c r="AR106" s="444" t="str">
        <f t="shared" si="42"/>
        <v/>
      </c>
      <c r="AS106" s="444" t="str">
        <f t="shared" ref="AS106" si="43">IF(OR(AS83="",AS98=1,AS105=""),"",IF(OR(AS85&lt;&gt;gebouw),GJ,HLOOKUP(AS105,ENERGIEDRAGERS,ROWS($E$259:$E$265),FALSE)))</f>
        <v/>
      </c>
      <c r="AT106" s="444" t="str">
        <f t="shared" si="42"/>
        <v/>
      </c>
      <c r="AU106" s="444" t="str">
        <f t="shared" si="42"/>
        <v/>
      </c>
      <c r="AV106" s="444" t="str">
        <f t="shared" si="42"/>
        <v/>
      </c>
      <c r="AW106" s="492" t="str">
        <f t="shared" si="42"/>
        <v/>
      </c>
      <c r="AX106" s="492" t="str">
        <f t="shared" si="42"/>
        <v/>
      </c>
      <c r="AY106" s="492" t="str">
        <f t="shared" si="42"/>
        <v/>
      </c>
      <c r="AZ106" s="492" t="str">
        <f t="shared" si="42"/>
        <v/>
      </c>
      <c r="BA106" s="492" t="str">
        <f t="shared" si="42"/>
        <v/>
      </c>
      <c r="BB106" s="492" t="str">
        <f t="shared" si="42"/>
        <v/>
      </c>
      <c r="BC106" s="492" t="str">
        <f t="shared" si="42"/>
        <v/>
      </c>
      <c r="BD106" s="492" t="str">
        <f t="shared" si="42"/>
        <v/>
      </c>
      <c r="BE106" s="342"/>
      <c r="BF106" s="21"/>
    </row>
    <row r="107" spans="2:58">
      <c r="B107" s="1000" t="s">
        <v>466</v>
      </c>
      <c r="C107" s="1000"/>
      <c r="D107" s="837"/>
      <c r="E107" s="329" t="s">
        <v>538</v>
      </c>
      <c r="F107" s="330"/>
      <c r="G107" s="329" t="s">
        <v>65</v>
      </c>
      <c r="H107" s="342"/>
      <c r="I107" s="445">
        <v>0.95</v>
      </c>
      <c r="J107" s="445">
        <v>0.95</v>
      </c>
      <c r="K107" s="445">
        <v>1</v>
      </c>
      <c r="L107" s="445">
        <v>1</v>
      </c>
      <c r="M107" s="445">
        <v>1</v>
      </c>
      <c r="N107" s="445">
        <v>1</v>
      </c>
      <c r="O107" s="445">
        <v>0.95</v>
      </c>
      <c r="P107" s="445">
        <v>1</v>
      </c>
      <c r="Q107" s="445">
        <v>1</v>
      </c>
      <c r="R107" s="445">
        <v>0.8</v>
      </c>
      <c r="S107" s="445">
        <v>1</v>
      </c>
      <c r="T107" s="445">
        <v>1</v>
      </c>
      <c r="U107" s="445">
        <v>0.9</v>
      </c>
      <c r="V107" s="445">
        <v>0.8</v>
      </c>
      <c r="W107" s="445">
        <v>0.8</v>
      </c>
      <c r="X107" s="445">
        <v>0.8</v>
      </c>
      <c r="Y107" s="445">
        <v>0.8</v>
      </c>
      <c r="Z107" s="445">
        <v>0.8</v>
      </c>
      <c r="AA107" s="445">
        <v>0.8</v>
      </c>
      <c r="AB107" s="445">
        <v>0.8</v>
      </c>
      <c r="AC107" s="445">
        <v>0.8</v>
      </c>
      <c r="AD107" s="445">
        <v>0.8</v>
      </c>
      <c r="AE107" s="445">
        <v>0.8</v>
      </c>
      <c r="AF107" s="445">
        <v>0.9</v>
      </c>
      <c r="AG107" s="445">
        <v>1</v>
      </c>
      <c r="AH107" s="445">
        <v>1</v>
      </c>
      <c r="AI107" s="445">
        <v>1</v>
      </c>
      <c r="AJ107" s="445">
        <v>1</v>
      </c>
      <c r="AK107" s="445">
        <v>1</v>
      </c>
      <c r="AL107" s="445">
        <v>1</v>
      </c>
      <c r="AM107" s="445">
        <v>1</v>
      </c>
      <c r="AN107" s="445">
        <v>0.9</v>
      </c>
      <c r="AO107" s="445">
        <v>0.9</v>
      </c>
      <c r="AP107" s="487"/>
      <c r="AQ107" s="487"/>
      <c r="AR107" s="487"/>
      <c r="AS107" s="487"/>
      <c r="AT107" s="487"/>
      <c r="AU107" s="487"/>
      <c r="AV107" s="487"/>
      <c r="AW107" s="487"/>
      <c r="AX107" s="487"/>
      <c r="AY107" s="487"/>
      <c r="AZ107" s="487"/>
      <c r="BA107" s="487"/>
      <c r="BB107" s="487"/>
      <c r="BC107" s="487"/>
      <c r="BD107" s="487"/>
      <c r="BE107" s="342"/>
      <c r="BF107" s="21"/>
    </row>
    <row r="108" spans="2:58" ht="18.75">
      <c r="B108" s="1000" t="s">
        <v>466</v>
      </c>
      <c r="C108" s="1000"/>
      <c r="D108" s="836"/>
      <c r="E108" s="337" t="s">
        <v>539</v>
      </c>
      <c r="F108" s="338"/>
      <c r="G108" s="339"/>
      <c r="H108" s="437"/>
      <c r="I108" s="437"/>
      <c r="J108" s="437"/>
      <c r="K108" s="437"/>
      <c r="L108" s="437"/>
      <c r="M108" s="437"/>
      <c r="N108" s="437"/>
      <c r="O108" s="437"/>
      <c r="P108" s="437"/>
      <c r="Q108" s="437"/>
      <c r="R108" s="437"/>
      <c r="S108" s="437"/>
      <c r="T108" s="437"/>
      <c r="U108" s="437"/>
      <c r="V108" s="437"/>
      <c r="W108" s="437"/>
      <c r="X108" s="437"/>
      <c r="Y108" s="437"/>
      <c r="Z108" s="437"/>
      <c r="AA108" s="442"/>
      <c r="AB108" s="437"/>
      <c r="AC108" s="437"/>
      <c r="AD108" s="437"/>
      <c r="AE108" s="437"/>
      <c r="AF108" s="437"/>
      <c r="AG108" s="437"/>
      <c r="AH108" s="437"/>
      <c r="AI108" s="437"/>
      <c r="AJ108" s="437"/>
      <c r="AK108" s="437"/>
      <c r="AL108" s="437"/>
      <c r="AM108" s="437"/>
      <c r="AN108" s="437"/>
      <c r="AO108" s="437"/>
      <c r="AP108" s="437"/>
      <c r="AQ108" s="437"/>
      <c r="AR108" s="437"/>
      <c r="AS108" s="437"/>
      <c r="AT108" s="437"/>
      <c r="AU108" s="437"/>
      <c r="AV108" s="437"/>
      <c r="AW108" s="437"/>
      <c r="AX108" s="437"/>
      <c r="AY108" s="437"/>
      <c r="AZ108" s="437"/>
      <c r="BA108" s="437"/>
      <c r="BB108" s="437"/>
      <c r="BC108" s="437"/>
      <c r="BD108" s="437"/>
      <c r="BE108" s="443"/>
      <c r="BF108" s="21"/>
    </row>
    <row r="109" spans="2:58">
      <c r="B109" s="1000" t="s">
        <v>466</v>
      </c>
      <c r="C109" s="1000"/>
      <c r="D109" s="836"/>
      <c r="E109" s="329" t="s">
        <v>540</v>
      </c>
      <c r="F109" s="330" t="s">
        <v>541</v>
      </c>
      <c r="G109" s="329" t="s">
        <v>542</v>
      </c>
      <c r="H109" s="342"/>
      <c r="I109" s="422">
        <v>87.6</v>
      </c>
      <c r="J109" s="422">
        <v>13</v>
      </c>
      <c r="K109" s="422">
        <v>0</v>
      </c>
      <c r="L109" s="422">
        <v>0</v>
      </c>
      <c r="M109" s="422">
        <v>0</v>
      </c>
      <c r="N109" s="422">
        <v>0</v>
      </c>
      <c r="O109" s="422">
        <v>13</v>
      </c>
      <c r="P109" s="422">
        <v>0</v>
      </c>
      <c r="Q109" s="422">
        <v>0</v>
      </c>
      <c r="R109" s="422">
        <v>0</v>
      </c>
      <c r="S109" s="422">
        <v>0</v>
      </c>
      <c r="T109" s="422">
        <v>0</v>
      </c>
      <c r="U109" s="422">
        <v>0</v>
      </c>
      <c r="V109" s="422">
        <v>0</v>
      </c>
      <c r="W109" s="422">
        <v>0</v>
      </c>
      <c r="X109" s="422">
        <v>0</v>
      </c>
      <c r="Y109" s="422">
        <v>0</v>
      </c>
      <c r="Z109" s="422">
        <v>0</v>
      </c>
      <c r="AA109" s="422">
        <v>0</v>
      </c>
      <c r="AB109" s="422">
        <v>0</v>
      </c>
      <c r="AC109" s="422">
        <v>0</v>
      </c>
      <c r="AD109" s="422">
        <v>0</v>
      </c>
      <c r="AE109" s="422">
        <v>0</v>
      </c>
      <c r="AF109" s="422">
        <v>0</v>
      </c>
      <c r="AG109" s="422">
        <v>87.6</v>
      </c>
      <c r="AH109" s="422">
        <v>87.6</v>
      </c>
      <c r="AI109" s="422">
        <v>0</v>
      </c>
      <c r="AJ109" s="422">
        <v>0</v>
      </c>
      <c r="AK109" s="422">
        <v>0</v>
      </c>
      <c r="AL109" s="422">
        <v>0</v>
      </c>
      <c r="AM109" s="422">
        <v>0</v>
      </c>
      <c r="AN109" s="422">
        <v>0</v>
      </c>
      <c r="AO109" s="422">
        <v>0</v>
      </c>
      <c r="AP109" s="497">
        <v>0</v>
      </c>
      <c r="AQ109" s="497">
        <v>0</v>
      </c>
      <c r="AR109" s="497"/>
      <c r="AS109" s="497"/>
      <c r="AT109" s="497"/>
      <c r="AU109" s="497"/>
      <c r="AV109" s="497"/>
      <c r="AW109" s="497"/>
      <c r="AX109" s="497"/>
      <c r="AY109" s="497"/>
      <c r="AZ109" s="497"/>
      <c r="BA109" s="497"/>
      <c r="BB109" s="497"/>
      <c r="BC109" s="497"/>
      <c r="BD109" s="497"/>
      <c r="BE109" s="342"/>
      <c r="BF109" s="21"/>
    </row>
    <row r="110" spans="2:58">
      <c r="B110" s="1000" t="s">
        <v>466</v>
      </c>
      <c r="C110" s="1000"/>
      <c r="D110" s="836"/>
      <c r="E110" s="329" t="s">
        <v>543</v>
      </c>
      <c r="F110" s="330" t="s">
        <v>541</v>
      </c>
      <c r="G110" s="329" t="s">
        <v>544</v>
      </c>
      <c r="H110" s="342"/>
      <c r="I110" s="445">
        <v>0.13200000000000001</v>
      </c>
      <c r="J110" s="445">
        <v>0.13200000000000001</v>
      </c>
      <c r="K110" s="445">
        <v>0</v>
      </c>
      <c r="L110" s="445">
        <v>0</v>
      </c>
      <c r="M110" s="445">
        <v>0</v>
      </c>
      <c r="N110" s="445">
        <v>0</v>
      </c>
      <c r="O110" s="445">
        <v>0.13200000000000001</v>
      </c>
      <c r="P110" s="445">
        <v>0</v>
      </c>
      <c r="Q110" s="445">
        <v>0</v>
      </c>
      <c r="R110" s="445">
        <v>0</v>
      </c>
      <c r="S110" s="445">
        <v>0</v>
      </c>
      <c r="T110" s="445">
        <v>0</v>
      </c>
      <c r="U110" s="445">
        <v>0</v>
      </c>
      <c r="V110" s="445">
        <v>0</v>
      </c>
      <c r="W110" s="445">
        <v>0</v>
      </c>
      <c r="X110" s="445">
        <v>0</v>
      </c>
      <c r="Y110" s="445">
        <v>0</v>
      </c>
      <c r="Z110" s="445">
        <v>0</v>
      </c>
      <c r="AA110" s="445">
        <v>0</v>
      </c>
      <c r="AB110" s="445">
        <v>0</v>
      </c>
      <c r="AC110" s="445">
        <v>0</v>
      </c>
      <c r="AD110" s="445">
        <v>0</v>
      </c>
      <c r="AE110" s="445">
        <v>0</v>
      </c>
      <c r="AF110" s="445">
        <v>0</v>
      </c>
      <c r="AG110" s="445">
        <v>0.13200000000000001</v>
      </c>
      <c r="AH110" s="445">
        <v>0.13200000000000001</v>
      </c>
      <c r="AI110" s="445">
        <v>0</v>
      </c>
      <c r="AJ110" s="445">
        <v>0</v>
      </c>
      <c r="AK110" s="445">
        <v>0</v>
      </c>
      <c r="AL110" s="445">
        <v>0</v>
      </c>
      <c r="AM110" s="445">
        <v>0</v>
      </c>
      <c r="AN110" s="445">
        <v>0</v>
      </c>
      <c r="AO110" s="445">
        <v>0</v>
      </c>
      <c r="AP110" s="487">
        <v>0</v>
      </c>
      <c r="AQ110" s="487">
        <v>0</v>
      </c>
      <c r="AR110" s="487"/>
      <c r="AS110" s="487"/>
      <c r="AT110" s="487"/>
      <c r="AU110" s="487"/>
      <c r="AV110" s="487"/>
      <c r="AW110" s="487"/>
      <c r="AX110" s="487"/>
      <c r="AY110" s="487"/>
      <c r="AZ110" s="487"/>
      <c r="BA110" s="487"/>
      <c r="BB110" s="487"/>
      <c r="BC110" s="487"/>
      <c r="BD110" s="487"/>
      <c r="BE110" s="342"/>
      <c r="BF110" s="21"/>
    </row>
    <row r="111" spans="2:58">
      <c r="B111" s="1000" t="s">
        <v>466</v>
      </c>
      <c r="C111" s="1000"/>
      <c r="D111" s="836"/>
      <c r="E111" s="329" t="s">
        <v>545</v>
      </c>
      <c r="F111" s="330" t="s">
        <v>541</v>
      </c>
      <c r="G111" s="329" t="s">
        <v>542</v>
      </c>
      <c r="H111" s="342"/>
      <c r="I111" s="445">
        <f>1.44/3.6</f>
        <v>0.39999999999999997</v>
      </c>
      <c r="J111" s="445">
        <f>1.44/3.6</f>
        <v>0.39999999999999997</v>
      </c>
      <c r="K111" s="445">
        <v>0</v>
      </c>
      <c r="L111" s="445">
        <v>0</v>
      </c>
      <c r="M111" s="445">
        <v>0</v>
      </c>
      <c r="N111" s="445">
        <v>0</v>
      </c>
      <c r="O111" s="445">
        <f>1.44/3.6</f>
        <v>0.39999999999999997</v>
      </c>
      <c r="P111" s="445">
        <v>0</v>
      </c>
      <c r="Q111" s="445">
        <v>0</v>
      </c>
      <c r="R111" s="445">
        <v>0</v>
      </c>
      <c r="S111" s="445">
        <v>0</v>
      </c>
      <c r="T111" s="445">
        <v>0</v>
      </c>
      <c r="U111" s="445">
        <v>0</v>
      </c>
      <c r="V111" s="445">
        <v>0</v>
      </c>
      <c r="W111" s="445">
        <v>0</v>
      </c>
      <c r="X111" s="445">
        <v>0</v>
      </c>
      <c r="Y111" s="445">
        <v>0</v>
      </c>
      <c r="Z111" s="445">
        <v>0.4</v>
      </c>
      <c r="AA111" s="445">
        <v>0</v>
      </c>
      <c r="AB111" s="445">
        <v>0</v>
      </c>
      <c r="AC111" s="445">
        <v>0</v>
      </c>
      <c r="AD111" s="445">
        <v>0</v>
      </c>
      <c r="AE111" s="445">
        <v>0</v>
      </c>
      <c r="AF111" s="445">
        <v>0</v>
      </c>
      <c r="AG111" s="445">
        <f>1.44/3.6</f>
        <v>0.39999999999999997</v>
      </c>
      <c r="AH111" s="445">
        <f>1.44/3.6</f>
        <v>0.39999999999999997</v>
      </c>
      <c r="AI111" s="445">
        <v>0</v>
      </c>
      <c r="AJ111" s="445">
        <v>0.4</v>
      </c>
      <c r="AK111" s="445">
        <v>0.4</v>
      </c>
      <c r="AL111" s="445">
        <v>0.4</v>
      </c>
      <c r="AM111" s="445">
        <v>0.4</v>
      </c>
      <c r="AN111" s="445">
        <v>0</v>
      </c>
      <c r="AO111" s="445">
        <v>0</v>
      </c>
      <c r="AP111" s="487">
        <v>0</v>
      </c>
      <c r="AQ111" s="487">
        <v>0</v>
      </c>
      <c r="AR111" s="487"/>
      <c r="AS111" s="487"/>
      <c r="AT111" s="487"/>
      <c r="AU111" s="487"/>
      <c r="AV111" s="487"/>
      <c r="AW111" s="487"/>
      <c r="AX111" s="487"/>
      <c r="AY111" s="487"/>
      <c r="AZ111" s="487"/>
      <c r="BA111" s="487"/>
      <c r="BB111" s="487"/>
      <c r="BC111" s="487"/>
      <c r="BD111" s="487"/>
      <c r="BE111" s="342"/>
      <c r="BF111" s="21"/>
    </row>
    <row r="112" spans="2:58">
      <c r="B112" s="1000" t="s">
        <v>466</v>
      </c>
      <c r="C112" s="1000"/>
      <c r="D112" s="836"/>
      <c r="E112" s="329" t="s">
        <v>546</v>
      </c>
      <c r="F112" s="330" t="s">
        <v>541</v>
      </c>
      <c r="G112" s="329" t="s">
        <v>544</v>
      </c>
      <c r="H112" s="342"/>
      <c r="I112" s="446">
        <v>24</v>
      </c>
      <c r="J112" s="446">
        <v>24</v>
      </c>
      <c r="K112" s="446">
        <v>0</v>
      </c>
      <c r="L112" s="446">
        <v>0</v>
      </c>
      <c r="M112" s="446">
        <v>0</v>
      </c>
      <c r="N112" s="446">
        <v>0</v>
      </c>
      <c r="O112" s="446">
        <v>24</v>
      </c>
      <c r="P112" s="446">
        <v>0</v>
      </c>
      <c r="Q112" s="446">
        <v>0</v>
      </c>
      <c r="R112" s="446">
        <v>0</v>
      </c>
      <c r="S112" s="446">
        <v>0</v>
      </c>
      <c r="T112" s="446">
        <v>0</v>
      </c>
      <c r="U112" s="446">
        <v>0</v>
      </c>
      <c r="V112" s="446">
        <v>0</v>
      </c>
      <c r="W112" s="446">
        <v>0</v>
      </c>
      <c r="X112" s="446">
        <v>0</v>
      </c>
      <c r="Y112" s="446">
        <v>0</v>
      </c>
      <c r="Z112" s="446">
        <v>24</v>
      </c>
      <c r="AA112" s="446">
        <v>0</v>
      </c>
      <c r="AB112" s="446">
        <v>0</v>
      </c>
      <c r="AC112" s="446">
        <v>0</v>
      </c>
      <c r="AD112" s="446">
        <v>0</v>
      </c>
      <c r="AE112" s="446">
        <v>0</v>
      </c>
      <c r="AF112" s="446">
        <v>0</v>
      </c>
      <c r="AG112" s="446">
        <v>24</v>
      </c>
      <c r="AH112" s="446">
        <v>24</v>
      </c>
      <c r="AI112" s="446">
        <v>0</v>
      </c>
      <c r="AJ112" s="446">
        <v>24</v>
      </c>
      <c r="AK112" s="446">
        <v>24</v>
      </c>
      <c r="AL112" s="446">
        <v>24</v>
      </c>
      <c r="AM112" s="446">
        <v>24</v>
      </c>
      <c r="AN112" s="446">
        <v>0</v>
      </c>
      <c r="AO112" s="446">
        <v>0</v>
      </c>
      <c r="AP112" s="495">
        <v>0</v>
      </c>
      <c r="AQ112" s="495">
        <v>0</v>
      </c>
      <c r="AR112" s="495"/>
      <c r="AS112" s="495"/>
      <c r="AT112" s="495"/>
      <c r="AU112" s="495"/>
      <c r="AV112" s="495"/>
      <c r="AW112" s="495"/>
      <c r="AX112" s="495"/>
      <c r="AY112" s="495"/>
      <c r="AZ112" s="495"/>
      <c r="BA112" s="495"/>
      <c r="BB112" s="495"/>
      <c r="BC112" s="495"/>
      <c r="BD112" s="495"/>
      <c r="BE112" s="342"/>
      <c r="BF112" s="21"/>
    </row>
    <row r="113" spans="2:58">
      <c r="B113" s="1000" t="s">
        <v>466</v>
      </c>
      <c r="C113" s="1000"/>
      <c r="D113" s="836"/>
      <c r="E113" s="329" t="s">
        <v>547</v>
      </c>
      <c r="F113" s="330" t="s">
        <v>548</v>
      </c>
      <c r="G113" s="329" t="s">
        <v>549</v>
      </c>
      <c r="H113" s="342"/>
      <c r="I113" s="446">
        <v>0</v>
      </c>
      <c r="J113" s="446">
        <v>0</v>
      </c>
      <c r="K113" s="446">
        <v>0</v>
      </c>
      <c r="L113" s="446">
        <v>0</v>
      </c>
      <c r="M113" s="446">
        <v>0</v>
      </c>
      <c r="N113" s="446">
        <v>0</v>
      </c>
      <c r="O113" s="446">
        <v>0</v>
      </c>
      <c r="P113" s="446">
        <v>0</v>
      </c>
      <c r="Q113" s="446">
        <v>0</v>
      </c>
      <c r="R113" s="446">
        <v>0</v>
      </c>
      <c r="S113" s="446">
        <v>0</v>
      </c>
      <c r="T113" s="446">
        <v>60</v>
      </c>
      <c r="U113" s="446">
        <v>0</v>
      </c>
      <c r="V113" s="446">
        <v>0</v>
      </c>
      <c r="W113" s="446">
        <v>0</v>
      </c>
      <c r="X113" s="446">
        <v>0</v>
      </c>
      <c r="Y113" s="446">
        <v>0</v>
      </c>
      <c r="Z113" s="446">
        <v>0</v>
      </c>
      <c r="AA113" s="446">
        <v>0</v>
      </c>
      <c r="AB113" s="446">
        <v>0</v>
      </c>
      <c r="AC113" s="446">
        <v>0</v>
      </c>
      <c r="AD113" s="446">
        <v>0</v>
      </c>
      <c r="AE113" s="446">
        <v>0</v>
      </c>
      <c r="AF113" s="446">
        <v>0</v>
      </c>
      <c r="AG113" s="446">
        <v>0</v>
      </c>
      <c r="AH113" s="446">
        <v>0</v>
      </c>
      <c r="AI113" s="446">
        <v>0</v>
      </c>
      <c r="AJ113" s="446">
        <v>0</v>
      </c>
      <c r="AK113" s="446">
        <v>0</v>
      </c>
      <c r="AL113" s="446">
        <v>0</v>
      </c>
      <c r="AM113" s="446">
        <v>0</v>
      </c>
      <c r="AN113" s="446">
        <v>0</v>
      </c>
      <c r="AO113" s="446">
        <v>0</v>
      </c>
      <c r="AP113" s="495">
        <v>0</v>
      </c>
      <c r="AQ113" s="495">
        <v>0</v>
      </c>
      <c r="AR113" s="495"/>
      <c r="AS113" s="495"/>
      <c r="AT113" s="495"/>
      <c r="AU113" s="495"/>
      <c r="AV113" s="495"/>
      <c r="AW113" s="495"/>
      <c r="AX113" s="495"/>
      <c r="AY113" s="495"/>
      <c r="AZ113" s="495"/>
      <c r="BA113" s="495"/>
      <c r="BB113" s="495"/>
      <c r="BC113" s="495"/>
      <c r="BD113" s="495"/>
      <c r="BE113" s="342"/>
      <c r="BF113" s="21"/>
    </row>
    <row r="114" spans="2:58">
      <c r="B114" s="1000" t="s">
        <v>466</v>
      </c>
      <c r="C114" s="1000"/>
      <c r="D114" s="836"/>
      <c r="E114" s="329" t="s">
        <v>550</v>
      </c>
      <c r="F114" s="330" t="s">
        <v>548</v>
      </c>
      <c r="G114" s="329" t="s">
        <v>551</v>
      </c>
      <c r="H114" s="342"/>
      <c r="I114" s="422">
        <v>0</v>
      </c>
      <c r="J114" s="422">
        <v>0</v>
      </c>
      <c r="K114" s="422">
        <v>0</v>
      </c>
      <c r="L114" s="422">
        <v>0</v>
      </c>
      <c r="M114" s="422">
        <v>0</v>
      </c>
      <c r="N114" s="422">
        <v>0</v>
      </c>
      <c r="O114" s="422">
        <v>0</v>
      </c>
      <c r="P114" s="422">
        <v>0</v>
      </c>
      <c r="Q114" s="422">
        <v>0</v>
      </c>
      <c r="R114" s="422">
        <v>0</v>
      </c>
      <c r="S114" s="422">
        <v>0</v>
      </c>
      <c r="T114" s="422">
        <v>0</v>
      </c>
      <c r="U114" s="422">
        <v>0</v>
      </c>
      <c r="V114" s="422">
        <v>0</v>
      </c>
      <c r="W114" s="422">
        <v>0</v>
      </c>
      <c r="X114" s="422">
        <v>0</v>
      </c>
      <c r="Y114" s="422">
        <v>0</v>
      </c>
      <c r="Z114" s="422">
        <v>0</v>
      </c>
      <c r="AA114" s="422">
        <v>0</v>
      </c>
      <c r="AB114" s="422">
        <v>0</v>
      </c>
      <c r="AC114" s="422">
        <v>10</v>
      </c>
      <c r="AD114" s="422">
        <v>0</v>
      </c>
      <c r="AE114" s="422">
        <v>0</v>
      </c>
      <c r="AF114" s="422">
        <v>0</v>
      </c>
      <c r="AG114" s="422">
        <v>0</v>
      </c>
      <c r="AH114" s="422">
        <v>0</v>
      </c>
      <c r="AI114" s="422">
        <v>0</v>
      </c>
      <c r="AJ114" s="422">
        <v>0</v>
      </c>
      <c r="AK114" s="422">
        <v>0</v>
      </c>
      <c r="AL114" s="422">
        <v>0</v>
      </c>
      <c r="AM114" s="422">
        <v>0</v>
      </c>
      <c r="AN114" s="422">
        <v>0</v>
      </c>
      <c r="AO114" s="422">
        <v>0</v>
      </c>
      <c r="AP114" s="497">
        <v>0</v>
      </c>
      <c r="AQ114" s="497">
        <v>0</v>
      </c>
      <c r="AR114" s="497"/>
      <c r="AS114" s="497"/>
      <c r="AT114" s="497"/>
      <c r="AU114" s="497"/>
      <c r="AV114" s="497"/>
      <c r="AW114" s="497"/>
      <c r="AX114" s="497"/>
      <c r="AY114" s="497"/>
      <c r="AZ114" s="497"/>
      <c r="BA114" s="497"/>
      <c r="BB114" s="497"/>
      <c r="BC114" s="497"/>
      <c r="BD114" s="497"/>
      <c r="BE114" s="342"/>
      <c r="BF114" s="21"/>
    </row>
    <row r="115" spans="2:58">
      <c r="B115" s="1000" t="s">
        <v>466</v>
      </c>
      <c r="C115" s="1000"/>
      <c r="D115" s="836"/>
      <c r="E115" s="329" t="s">
        <v>552</v>
      </c>
      <c r="F115" s="330" t="s">
        <v>548</v>
      </c>
      <c r="G115" s="329" t="s">
        <v>553</v>
      </c>
      <c r="H115" s="342"/>
      <c r="I115" s="446">
        <v>2000</v>
      </c>
      <c r="J115" s="446">
        <v>2000</v>
      </c>
      <c r="K115" s="446">
        <v>2000</v>
      </c>
      <c r="L115" s="446">
        <v>2000</v>
      </c>
      <c r="M115" s="446">
        <v>2000</v>
      </c>
      <c r="N115" s="446">
        <v>2000</v>
      </c>
      <c r="O115" s="446">
        <v>2000</v>
      </c>
      <c r="P115" s="446">
        <v>2000</v>
      </c>
      <c r="Q115" s="446">
        <v>2000</v>
      </c>
      <c r="R115" s="446">
        <v>2000</v>
      </c>
      <c r="S115" s="446">
        <v>2000</v>
      </c>
      <c r="T115" s="446">
        <v>2000</v>
      </c>
      <c r="U115" s="446">
        <v>2000</v>
      </c>
      <c r="V115" s="446">
        <v>2000</v>
      </c>
      <c r="W115" s="446">
        <v>2000</v>
      </c>
      <c r="X115" s="446">
        <v>2000</v>
      </c>
      <c r="Y115" s="446">
        <v>2000</v>
      </c>
      <c r="Z115" s="446">
        <v>2000</v>
      </c>
      <c r="AA115" s="446">
        <v>2000</v>
      </c>
      <c r="AB115" s="446">
        <v>2000</v>
      </c>
      <c r="AC115" s="446">
        <v>2000</v>
      </c>
      <c r="AD115" s="446">
        <v>2000</v>
      </c>
      <c r="AE115" s="446">
        <v>2000</v>
      </c>
      <c r="AF115" s="446">
        <v>2000</v>
      </c>
      <c r="AG115" s="446">
        <v>2000</v>
      </c>
      <c r="AH115" s="446">
        <v>2000</v>
      </c>
      <c r="AI115" s="446">
        <v>2000</v>
      </c>
      <c r="AJ115" s="446">
        <v>2000</v>
      </c>
      <c r="AK115" s="446">
        <v>2000</v>
      </c>
      <c r="AL115" s="446">
        <v>2000</v>
      </c>
      <c r="AM115" s="446">
        <v>2000</v>
      </c>
      <c r="AN115" s="446">
        <v>2000</v>
      </c>
      <c r="AO115" s="446">
        <v>2000</v>
      </c>
      <c r="AP115" s="495">
        <v>0</v>
      </c>
      <c r="AQ115" s="495">
        <v>0</v>
      </c>
      <c r="AR115" s="495"/>
      <c r="AS115" s="495"/>
      <c r="AT115" s="495"/>
      <c r="AU115" s="495"/>
      <c r="AV115" s="495"/>
      <c r="AW115" s="495"/>
      <c r="AX115" s="495"/>
      <c r="AY115" s="495"/>
      <c r="AZ115" s="495"/>
      <c r="BA115" s="495"/>
      <c r="BB115" s="495"/>
      <c r="BC115" s="495"/>
      <c r="BD115" s="495"/>
      <c r="BE115" s="342"/>
      <c r="BF115" s="21"/>
    </row>
    <row r="116" spans="2:58" ht="18.75">
      <c r="B116" s="1000" t="s">
        <v>466</v>
      </c>
      <c r="C116" s="1000"/>
      <c r="D116" s="836"/>
      <c r="E116" s="337" t="s">
        <v>554</v>
      </c>
      <c r="F116" s="338"/>
      <c r="G116" s="339"/>
      <c r="H116" s="437"/>
      <c r="I116" s="437"/>
      <c r="J116" s="437"/>
      <c r="K116" s="437"/>
      <c r="L116" s="437"/>
      <c r="M116" s="437"/>
      <c r="N116" s="437"/>
      <c r="O116" s="437"/>
      <c r="P116" s="437"/>
      <c r="Q116" s="437"/>
      <c r="R116" s="437"/>
      <c r="S116" s="437"/>
      <c r="T116" s="437"/>
      <c r="U116" s="437"/>
      <c r="V116" s="437"/>
      <c r="W116" s="437"/>
      <c r="X116" s="437"/>
      <c r="Y116" s="437"/>
      <c r="Z116" s="437"/>
      <c r="AA116" s="442"/>
      <c r="AB116" s="437"/>
      <c r="AC116" s="437"/>
      <c r="AD116" s="437"/>
      <c r="AE116" s="437"/>
      <c r="AF116" s="437"/>
      <c r="AG116" s="437"/>
      <c r="AH116" s="437"/>
      <c r="AI116" s="437"/>
      <c r="AJ116" s="437"/>
      <c r="AK116" s="437"/>
      <c r="AL116" s="437"/>
      <c r="AM116" s="437"/>
      <c r="AN116" s="437"/>
      <c r="AO116" s="437"/>
      <c r="AP116" s="437"/>
      <c r="AQ116" s="437"/>
      <c r="AR116" s="437"/>
      <c r="AS116" s="437"/>
      <c r="AT116" s="437"/>
      <c r="AU116" s="437"/>
      <c r="AV116" s="437"/>
      <c r="AW116" s="437"/>
      <c r="AX116" s="437"/>
      <c r="AY116" s="437"/>
      <c r="AZ116" s="437"/>
      <c r="BA116" s="437"/>
      <c r="BB116" s="437"/>
      <c r="BC116" s="437"/>
      <c r="BD116" s="437"/>
      <c r="BE116" s="443"/>
      <c r="BF116" s="21"/>
    </row>
    <row r="117" spans="2:58">
      <c r="B117" s="1000" t="s">
        <v>466</v>
      </c>
      <c r="C117" s="1000"/>
      <c r="D117" s="836"/>
      <c r="E117" s="329" t="s">
        <v>555</v>
      </c>
      <c r="F117" s="330"/>
      <c r="G117" s="329" t="s">
        <v>532</v>
      </c>
      <c r="H117" s="342"/>
      <c r="I117" s="498">
        <v>0</v>
      </c>
      <c r="J117" s="498">
        <v>0</v>
      </c>
      <c r="K117" s="498">
        <v>1.8E-3</v>
      </c>
      <c r="L117" s="498">
        <v>0</v>
      </c>
      <c r="M117" s="498">
        <v>1.8E-3</v>
      </c>
      <c r="N117" s="498">
        <v>0</v>
      </c>
      <c r="O117" s="498">
        <v>0</v>
      </c>
      <c r="P117" s="498">
        <v>0</v>
      </c>
      <c r="Q117" s="498">
        <v>0</v>
      </c>
      <c r="R117" s="498">
        <v>1.8E-3</v>
      </c>
      <c r="S117" s="498">
        <v>1.8E-3</v>
      </c>
      <c r="T117" s="498">
        <v>0</v>
      </c>
      <c r="U117" s="498">
        <v>7.1999999999999998E-3</v>
      </c>
      <c r="V117" s="498">
        <v>0</v>
      </c>
      <c r="W117" s="498">
        <v>7.1999999999999998E-3</v>
      </c>
      <c r="X117" s="498">
        <v>7.1999999999999998E-3</v>
      </c>
      <c r="Y117" s="498">
        <v>7.1999999999999998E-3</v>
      </c>
      <c r="Z117" s="498">
        <v>7.1999999999999998E-3</v>
      </c>
      <c r="AA117" s="498">
        <v>7.1999999999999998E-3</v>
      </c>
      <c r="AB117" s="498">
        <v>7.1999999999999998E-3</v>
      </c>
      <c r="AC117" s="498">
        <v>0</v>
      </c>
      <c r="AD117" s="498">
        <v>7.1999999999999998E-3</v>
      </c>
      <c r="AE117" s="498">
        <v>7.1999999999999998E-3</v>
      </c>
      <c r="AF117" s="498">
        <v>7.1999999999999998E-3</v>
      </c>
      <c r="AG117" s="498">
        <v>0</v>
      </c>
      <c r="AH117" s="498">
        <v>0</v>
      </c>
      <c r="AI117" s="498">
        <v>1.8E-3</v>
      </c>
      <c r="AJ117" s="498">
        <v>0</v>
      </c>
      <c r="AK117" s="498">
        <v>0</v>
      </c>
      <c r="AL117" s="498">
        <v>0</v>
      </c>
      <c r="AM117" s="498">
        <v>0</v>
      </c>
      <c r="AN117" s="498">
        <v>7.1999999999999998E-3</v>
      </c>
      <c r="AO117" s="498">
        <v>7.1999999999999998E-3</v>
      </c>
      <c r="AP117" s="494">
        <v>0</v>
      </c>
      <c r="AQ117" s="494">
        <v>0</v>
      </c>
      <c r="AR117" s="494"/>
      <c r="AS117" s="494"/>
      <c r="AT117" s="494"/>
      <c r="AU117" s="494"/>
      <c r="AV117" s="494"/>
      <c r="AW117" s="494"/>
      <c r="AX117" s="494"/>
      <c r="AY117" s="494"/>
      <c r="AZ117" s="494"/>
      <c r="BA117" s="494"/>
      <c r="BB117" s="494"/>
      <c r="BC117" s="494"/>
      <c r="BD117" s="494"/>
      <c r="BE117" s="342"/>
      <c r="BF117" s="21"/>
    </row>
    <row r="118" spans="2:58">
      <c r="B118" s="1000" t="s">
        <v>466</v>
      </c>
      <c r="C118" s="1000"/>
      <c r="D118" s="836"/>
      <c r="E118" s="329" t="s">
        <v>556</v>
      </c>
      <c r="F118" s="330"/>
      <c r="G118" s="329" t="s">
        <v>532</v>
      </c>
      <c r="H118" s="342"/>
      <c r="I118" s="499">
        <v>0</v>
      </c>
      <c r="J118" s="499">
        <v>0</v>
      </c>
      <c r="K118" s="499">
        <v>4.4999999999999998E-2</v>
      </c>
      <c r="L118" s="499">
        <v>0</v>
      </c>
      <c r="M118" s="499">
        <v>4.4999999999999998E-2</v>
      </c>
      <c r="N118" s="499">
        <v>0</v>
      </c>
      <c r="O118" s="499">
        <v>0</v>
      </c>
      <c r="P118" s="499">
        <v>0</v>
      </c>
      <c r="Q118" s="499">
        <v>0</v>
      </c>
      <c r="R118" s="499">
        <v>4.4999999999999998E-2</v>
      </c>
      <c r="S118" s="499">
        <v>4.4999999999999998E-2</v>
      </c>
      <c r="T118" s="499">
        <v>0</v>
      </c>
      <c r="U118" s="499">
        <v>0</v>
      </c>
      <c r="V118" s="499">
        <v>0</v>
      </c>
      <c r="W118" s="499">
        <v>0</v>
      </c>
      <c r="X118" s="499">
        <v>0</v>
      </c>
      <c r="Y118" s="499">
        <v>0</v>
      </c>
      <c r="Z118" s="499">
        <v>0</v>
      </c>
      <c r="AA118" s="499">
        <v>0</v>
      </c>
      <c r="AB118" s="499">
        <v>0</v>
      </c>
      <c r="AC118" s="499">
        <v>0</v>
      </c>
      <c r="AD118" s="499">
        <v>0</v>
      </c>
      <c r="AE118" s="499">
        <v>0</v>
      </c>
      <c r="AF118" s="499">
        <v>0</v>
      </c>
      <c r="AG118" s="499">
        <v>0</v>
      </c>
      <c r="AH118" s="499">
        <v>0</v>
      </c>
      <c r="AI118" s="499">
        <v>0</v>
      </c>
      <c r="AJ118" s="499">
        <v>0</v>
      </c>
      <c r="AK118" s="499">
        <v>0</v>
      </c>
      <c r="AL118" s="499">
        <v>0</v>
      </c>
      <c r="AM118" s="499">
        <v>0</v>
      </c>
      <c r="AN118" s="499">
        <v>0</v>
      </c>
      <c r="AO118" s="499">
        <v>0</v>
      </c>
      <c r="AP118" s="487">
        <v>0</v>
      </c>
      <c r="AQ118" s="487">
        <v>0</v>
      </c>
      <c r="AR118" s="487"/>
      <c r="AS118" s="487"/>
      <c r="AT118" s="487"/>
      <c r="AU118" s="487"/>
      <c r="AV118" s="487"/>
      <c r="AW118" s="487"/>
      <c r="AX118" s="487"/>
      <c r="AY118" s="487"/>
      <c r="AZ118" s="487"/>
      <c r="BA118" s="487"/>
      <c r="BB118" s="487"/>
      <c r="BC118" s="487"/>
      <c r="BD118" s="487"/>
      <c r="BE118" s="342"/>
      <c r="BF118" s="21"/>
    </row>
    <row r="119" spans="2:58" ht="25.5">
      <c r="B119" s="1000" t="s">
        <v>466</v>
      </c>
      <c r="C119" s="1000"/>
      <c r="D119" s="836"/>
      <c r="E119" s="447" t="s">
        <v>557</v>
      </c>
      <c r="F119" s="447"/>
      <c r="G119" s="447" t="s">
        <v>65</v>
      </c>
      <c r="H119" s="448"/>
      <c r="I119" s="449" t="s">
        <v>558</v>
      </c>
      <c r="J119" s="449" t="s">
        <v>558</v>
      </c>
      <c r="K119" s="449" t="s">
        <v>559</v>
      </c>
      <c r="L119" s="449" t="s">
        <v>559</v>
      </c>
      <c r="M119" s="449" t="s">
        <v>559</v>
      </c>
      <c r="N119" s="449" t="s">
        <v>559</v>
      </c>
      <c r="O119" s="449" t="s">
        <v>955</v>
      </c>
      <c r="P119" s="449" t="s">
        <v>559</v>
      </c>
      <c r="Q119" s="449" t="s">
        <v>559</v>
      </c>
      <c r="R119" s="449" t="s">
        <v>559</v>
      </c>
      <c r="S119" s="449" t="s">
        <v>559</v>
      </c>
      <c r="T119" s="449" t="s">
        <v>559</v>
      </c>
      <c r="U119" s="449" t="s">
        <v>1098</v>
      </c>
      <c r="V119" s="449" t="s">
        <v>916</v>
      </c>
      <c r="W119" s="449" t="s">
        <v>560</v>
      </c>
      <c r="X119" s="449" t="s">
        <v>560</v>
      </c>
      <c r="Y119" s="449" t="s">
        <v>561</v>
      </c>
      <c r="Z119" s="449" t="s">
        <v>561</v>
      </c>
      <c r="AA119" s="449" t="s">
        <v>561</v>
      </c>
      <c r="AB119" s="449" t="s">
        <v>561</v>
      </c>
      <c r="AC119" s="449" t="s">
        <v>562</v>
      </c>
      <c r="AD119" s="449" t="s">
        <v>1099</v>
      </c>
      <c r="AE119" s="449" t="s">
        <v>1099</v>
      </c>
      <c r="AF119" s="449" t="s">
        <v>1100</v>
      </c>
      <c r="AG119" s="449" t="s">
        <v>558</v>
      </c>
      <c r="AH119" s="449" t="s">
        <v>558</v>
      </c>
      <c r="AI119" s="449" t="s">
        <v>558</v>
      </c>
      <c r="AJ119" s="449" t="s">
        <v>563</v>
      </c>
      <c r="AK119" s="449" t="s">
        <v>563</v>
      </c>
      <c r="AL119" s="449" t="s">
        <v>563</v>
      </c>
      <c r="AM119" s="449" t="s">
        <v>563</v>
      </c>
      <c r="AN119" s="449" t="s">
        <v>1099</v>
      </c>
      <c r="AO119" s="449" t="s">
        <v>1099</v>
      </c>
      <c r="AP119" s="1231" t="s">
        <v>564</v>
      </c>
      <c r="AQ119" s="1231" t="s">
        <v>564</v>
      </c>
      <c r="AR119" s="491"/>
      <c r="AS119" s="491"/>
      <c r="AT119" s="491"/>
      <c r="AU119" s="491"/>
      <c r="AV119" s="491"/>
      <c r="AW119" s="491"/>
      <c r="AX119" s="491"/>
      <c r="AY119" s="491"/>
      <c r="AZ119" s="491"/>
      <c r="BA119" s="491"/>
      <c r="BB119" s="491"/>
      <c r="BC119" s="491"/>
      <c r="BD119" s="491"/>
      <c r="BE119" s="461"/>
      <c r="BF119" s="21"/>
    </row>
    <row r="120" spans="2:58" hidden="1">
      <c r="B120" s="1000" t="s">
        <v>565</v>
      </c>
      <c r="C120" s="1000"/>
      <c r="D120" s="836"/>
      <c r="E120" s="5"/>
      <c r="F120" s="5"/>
      <c r="G120" s="5"/>
      <c r="H120" s="15"/>
      <c r="I120" s="15"/>
      <c r="J120" s="15"/>
      <c r="K120" s="15"/>
      <c r="L120" s="15"/>
      <c r="M120" s="15"/>
      <c r="N120" s="15"/>
      <c r="O120" s="15"/>
      <c r="P120" s="15"/>
      <c r="Q120" s="15"/>
      <c r="R120" s="15"/>
      <c r="S120" s="15"/>
      <c r="T120" s="15"/>
      <c r="U120" s="15"/>
      <c r="V120" s="15"/>
      <c r="X120" s="15"/>
      <c r="Y120" s="19"/>
      <c r="Z120" s="15"/>
      <c r="AA120" s="15"/>
      <c r="AB120" s="5"/>
      <c r="AC120" s="5"/>
      <c r="AD120" s="5"/>
      <c r="AE120" s="5"/>
      <c r="AF120" s="5"/>
      <c r="AG120" s="5"/>
      <c r="AH120" s="5"/>
      <c r="AI120" s="5"/>
      <c r="AJ120" s="5"/>
      <c r="AK120" s="5"/>
      <c r="AL120" s="5"/>
      <c r="AM120" s="5"/>
      <c r="AN120" s="5"/>
      <c r="AO120" s="5"/>
      <c r="AP120" s="5"/>
      <c r="AQ120" s="5"/>
      <c r="AR120" s="5"/>
      <c r="AS120" s="21"/>
    </row>
    <row r="121" spans="2:58" ht="21" hidden="1">
      <c r="B121" s="1000" t="s">
        <v>565</v>
      </c>
      <c r="C121" s="1000"/>
      <c r="D121" s="1136" t="s">
        <v>45</v>
      </c>
      <c r="E121" s="199" t="s">
        <v>566</v>
      </c>
      <c r="F121" s="199"/>
      <c r="G121" s="199"/>
      <c r="H121" s="199"/>
      <c r="I121" s="199"/>
      <c r="J121" s="199"/>
      <c r="K121" s="52"/>
      <c r="L121" s="52"/>
      <c r="M121" s="52"/>
      <c r="N121" s="52"/>
      <c r="O121" s="52"/>
      <c r="P121" s="52"/>
      <c r="Q121" s="52"/>
      <c r="R121" s="52"/>
      <c r="S121" s="52"/>
      <c r="T121" s="52"/>
      <c r="U121" s="52"/>
      <c r="V121" s="52"/>
      <c r="X121" s="52"/>
      <c r="Y121" s="19"/>
      <c r="Z121" s="5"/>
      <c r="AA121" s="5"/>
      <c r="AB121" s="5"/>
      <c r="AC121" s="5"/>
      <c r="AD121" s="5"/>
      <c r="AE121" s="5"/>
      <c r="AF121" s="5"/>
      <c r="AG121" s="5"/>
      <c r="AH121" s="5"/>
      <c r="AI121" s="5"/>
      <c r="AJ121" s="5"/>
      <c r="AK121" s="5"/>
      <c r="AL121" s="5"/>
      <c r="AM121" s="5"/>
      <c r="AN121" s="5"/>
      <c r="AO121" s="5"/>
      <c r="AP121" s="5"/>
      <c r="AQ121" s="5"/>
      <c r="AR121" s="5"/>
      <c r="AS121" s="371"/>
    </row>
    <row r="122" spans="2:58" hidden="1">
      <c r="B122" s="1000" t="s">
        <v>565</v>
      </c>
      <c r="C122" s="1000"/>
      <c r="D122" s="837"/>
      <c r="E122" s="320" t="s">
        <v>414</v>
      </c>
      <c r="F122" s="320"/>
      <c r="G122" s="320" t="s">
        <v>353</v>
      </c>
      <c r="H122" s="321"/>
      <c r="I122" s="321">
        <f ca="1">OFFSET(I122,0,-1)+1</f>
        <v>1</v>
      </c>
      <c r="J122" s="321"/>
      <c r="K122" s="52"/>
      <c r="L122" s="52"/>
      <c r="M122" s="5"/>
      <c r="N122" s="5"/>
      <c r="O122" s="5"/>
      <c r="P122" s="5"/>
      <c r="Q122" s="5"/>
      <c r="R122" s="5"/>
      <c r="S122" s="5"/>
      <c r="T122" s="5"/>
      <c r="U122" s="5"/>
      <c r="V122" s="5"/>
      <c r="X122" s="5"/>
      <c r="Y122" s="19"/>
      <c r="Z122" s="5"/>
      <c r="AA122" s="5"/>
      <c r="AB122" s="5"/>
      <c r="AC122" s="5"/>
      <c r="AD122" s="5"/>
      <c r="AE122" s="5"/>
      <c r="AF122" s="5"/>
      <c r="AG122" s="5"/>
      <c r="AH122" s="5"/>
      <c r="AI122" s="5"/>
      <c r="AJ122" s="5"/>
      <c r="AK122" s="5"/>
      <c r="AL122" s="5"/>
      <c r="AM122" s="5"/>
      <c r="AN122" s="5"/>
      <c r="AO122" s="5"/>
      <c r="AP122" s="5"/>
      <c r="AQ122" s="5"/>
      <c r="AR122" s="5"/>
      <c r="AS122" s="21"/>
    </row>
    <row r="123" spans="2:58" ht="18.75" hidden="1">
      <c r="B123" s="1000" t="s">
        <v>565</v>
      </c>
      <c r="C123" s="1000"/>
      <c r="D123" s="837"/>
      <c r="E123" s="428" t="s">
        <v>414</v>
      </c>
      <c r="F123" s="338"/>
      <c r="G123" s="19"/>
      <c r="H123" s="19"/>
      <c r="I123" s="19"/>
      <c r="J123" s="19"/>
      <c r="K123" s="19"/>
      <c r="L123" s="19"/>
      <c r="M123" s="19"/>
      <c r="N123" s="19"/>
      <c r="O123" s="19"/>
      <c r="P123" s="19"/>
      <c r="Q123" s="19"/>
      <c r="R123" s="19"/>
      <c r="S123" s="19"/>
      <c r="T123" s="19"/>
      <c r="U123" s="19"/>
      <c r="V123" s="19"/>
      <c r="W123" s="19"/>
      <c r="X123" s="19"/>
      <c r="Y123" s="19"/>
      <c r="Z123" s="5"/>
      <c r="AA123" s="5"/>
      <c r="AB123" s="5"/>
      <c r="AC123" s="5"/>
      <c r="AD123" s="5"/>
      <c r="AE123" s="5"/>
      <c r="AF123" s="5"/>
      <c r="AG123" s="5"/>
      <c r="AH123" s="5"/>
      <c r="AI123" s="5"/>
      <c r="AJ123" s="5"/>
      <c r="AK123" s="5"/>
      <c r="AL123" s="5"/>
      <c r="AM123" s="5"/>
      <c r="AN123" s="5"/>
      <c r="AO123" s="5"/>
      <c r="AP123" s="5"/>
      <c r="AQ123" s="5"/>
      <c r="AR123" s="5"/>
      <c r="AS123" s="21"/>
    </row>
    <row r="124" spans="2:58" hidden="1">
      <c r="B124" s="1000" t="s">
        <v>565</v>
      </c>
      <c r="C124" s="1000"/>
      <c r="D124" s="836"/>
      <c r="E124" s="329" t="s">
        <v>567</v>
      </c>
      <c r="F124" s="330"/>
      <c r="G124" s="329" t="s">
        <v>65</v>
      </c>
      <c r="H124" s="342"/>
      <c r="I124" s="450">
        <v>0.20425399999999999</v>
      </c>
      <c r="J124" s="342"/>
      <c r="K124" s="19"/>
      <c r="L124" s="15"/>
      <c r="M124" s="15"/>
      <c r="N124" s="15"/>
      <c r="O124" s="5"/>
      <c r="P124" s="5"/>
      <c r="Q124" s="5"/>
      <c r="R124" s="5"/>
      <c r="S124" s="5"/>
      <c r="T124" s="5"/>
      <c r="U124" s="5"/>
      <c r="V124" s="5"/>
      <c r="X124" s="5"/>
      <c r="Y124" s="19"/>
      <c r="Z124" s="5"/>
      <c r="AA124" s="5"/>
      <c r="AB124" s="5"/>
      <c r="AC124" s="5"/>
      <c r="AD124" s="5"/>
      <c r="AE124" s="5"/>
      <c r="AF124" s="5"/>
      <c r="AG124" s="5"/>
      <c r="AH124" s="5"/>
      <c r="AI124" s="5"/>
      <c r="AJ124" s="5"/>
      <c r="AK124" s="5"/>
      <c r="AL124" s="5"/>
      <c r="AM124" s="5"/>
      <c r="AN124" s="5"/>
      <c r="AO124" s="5"/>
      <c r="AP124" s="5"/>
      <c r="AQ124" s="5"/>
      <c r="AR124" s="5"/>
      <c r="AS124" s="21"/>
    </row>
    <row r="125" spans="2:58" hidden="1">
      <c r="B125" s="1000" t="s">
        <v>565</v>
      </c>
      <c r="C125" s="1000"/>
      <c r="D125" s="836"/>
      <c r="E125" s="329" t="s">
        <v>568</v>
      </c>
      <c r="F125" s="330"/>
      <c r="G125" s="329" t="s">
        <v>553</v>
      </c>
      <c r="H125" s="342"/>
      <c r="I125" s="450">
        <v>744</v>
      </c>
      <c r="J125" s="342"/>
      <c r="K125" s="19"/>
      <c r="L125" s="15"/>
      <c r="M125" s="15"/>
      <c r="N125" s="15"/>
      <c r="O125" s="5"/>
      <c r="P125" s="5"/>
      <c r="Q125" s="5"/>
      <c r="R125" s="5"/>
      <c r="S125" s="5"/>
      <c r="T125" s="5"/>
      <c r="U125" s="5"/>
      <c r="V125" s="5"/>
      <c r="X125" s="5"/>
      <c r="Y125" s="19"/>
      <c r="Z125" s="5"/>
      <c r="AA125" s="5"/>
      <c r="AB125" s="5"/>
      <c r="AC125" s="5"/>
      <c r="AD125" s="5"/>
      <c r="AE125" s="5"/>
      <c r="AF125" s="5"/>
      <c r="AG125" s="5"/>
      <c r="AH125" s="5"/>
      <c r="AI125" s="5"/>
      <c r="AJ125" s="5"/>
      <c r="AK125" s="5"/>
      <c r="AL125" s="5"/>
      <c r="AM125" s="5"/>
      <c r="AN125" s="5"/>
      <c r="AO125" s="5"/>
      <c r="AP125" s="5"/>
      <c r="AQ125" s="5"/>
      <c r="AR125" s="5"/>
      <c r="AS125" s="21"/>
    </row>
    <row r="126" spans="2:58" hidden="1">
      <c r="B126" s="1000" t="s">
        <v>565</v>
      </c>
      <c r="C126" s="1000"/>
      <c r="D126" s="836"/>
      <c r="E126" s="329" t="s">
        <v>569</v>
      </c>
      <c r="F126" s="330"/>
      <c r="G126" s="329" t="s">
        <v>570</v>
      </c>
      <c r="H126" s="342"/>
      <c r="I126" s="450">
        <v>21</v>
      </c>
      <c r="J126" s="342"/>
      <c r="K126" s="19"/>
      <c r="L126" s="15"/>
      <c r="M126" s="15"/>
      <c r="N126" s="15"/>
      <c r="O126" s="5"/>
      <c r="P126" s="5"/>
      <c r="Q126" s="5"/>
      <c r="R126" s="5"/>
      <c r="S126" s="5"/>
      <c r="T126" s="5"/>
      <c r="U126" s="5"/>
      <c r="V126" s="5"/>
      <c r="X126" s="5"/>
      <c r="Y126" s="19"/>
      <c r="Z126" s="5"/>
      <c r="AA126" s="5"/>
      <c r="AB126" s="5"/>
      <c r="AC126" s="5"/>
      <c r="AD126" s="5"/>
      <c r="AE126" s="5"/>
      <c r="AF126" s="5"/>
      <c r="AG126" s="5"/>
      <c r="AH126" s="5"/>
      <c r="AI126" s="5"/>
      <c r="AJ126" s="5"/>
      <c r="AK126" s="5"/>
      <c r="AL126" s="5"/>
      <c r="AM126" s="5"/>
      <c r="AN126" s="5"/>
      <c r="AO126" s="5"/>
      <c r="AP126" s="5"/>
      <c r="AQ126" s="5"/>
      <c r="AR126" s="5"/>
      <c r="AS126" s="21"/>
    </row>
    <row r="127" spans="2:58" hidden="1">
      <c r="B127" s="1000" t="s">
        <v>565</v>
      </c>
      <c r="C127" s="1000"/>
      <c r="D127" s="836"/>
      <c r="E127" s="329" t="s">
        <v>571</v>
      </c>
      <c r="F127" s="330"/>
      <c r="G127" s="329" t="s">
        <v>570</v>
      </c>
      <c r="H127" s="342"/>
      <c r="I127" s="450">
        <v>2.61</v>
      </c>
      <c r="J127" s="342"/>
      <c r="K127" s="19"/>
      <c r="L127" s="15"/>
      <c r="M127" s="15"/>
      <c r="N127" s="15"/>
      <c r="O127" s="5"/>
      <c r="P127" s="5"/>
      <c r="Q127" s="5"/>
      <c r="R127" s="5"/>
      <c r="S127" s="5"/>
      <c r="T127" s="5"/>
      <c r="U127" s="5"/>
      <c r="V127" s="5"/>
      <c r="X127" s="5"/>
      <c r="Y127" s="19"/>
      <c r="Z127" s="5"/>
      <c r="AA127" s="5"/>
      <c r="AB127" s="5"/>
      <c r="AC127" s="5"/>
      <c r="AD127" s="5"/>
      <c r="AE127" s="5"/>
      <c r="AF127" s="5"/>
      <c r="AG127" s="5"/>
      <c r="AH127" s="5"/>
      <c r="AI127" s="5"/>
      <c r="AJ127" s="5"/>
      <c r="AK127" s="5"/>
      <c r="AL127" s="5"/>
      <c r="AM127" s="5"/>
      <c r="AN127" s="5"/>
      <c r="AO127" s="5"/>
      <c r="AP127" s="5"/>
      <c r="AQ127" s="5"/>
      <c r="AR127" s="5"/>
      <c r="AS127" s="21"/>
    </row>
    <row r="128" spans="2:58" hidden="1">
      <c r="B128" s="1000" t="s">
        <v>565</v>
      </c>
      <c r="C128" s="1000"/>
      <c r="D128" s="836"/>
      <c r="E128" s="329" t="s">
        <v>572</v>
      </c>
      <c r="F128" s="330"/>
      <c r="G128" s="329" t="s">
        <v>570</v>
      </c>
      <c r="H128" s="342"/>
      <c r="I128" s="450">
        <v>-10</v>
      </c>
      <c r="J128" s="342"/>
      <c r="K128" s="19"/>
      <c r="L128" s="15"/>
      <c r="M128" s="15"/>
      <c r="N128" s="15"/>
      <c r="O128" s="5"/>
      <c r="P128" s="5"/>
      <c r="Q128" s="5"/>
      <c r="R128" s="5"/>
      <c r="S128" s="5"/>
      <c r="T128" s="5"/>
      <c r="U128" s="5"/>
      <c r="V128" s="5"/>
      <c r="X128" s="5"/>
      <c r="Y128" s="19"/>
      <c r="Z128" s="5"/>
      <c r="AA128" s="5"/>
      <c r="AB128" s="5"/>
      <c r="AC128" s="5"/>
      <c r="AD128" s="5"/>
      <c r="AE128" s="5"/>
      <c r="AF128" s="5"/>
      <c r="AG128" s="5"/>
      <c r="AH128" s="5"/>
      <c r="AI128" s="5"/>
      <c r="AJ128" s="5"/>
      <c r="AK128" s="5"/>
      <c r="AL128" s="5"/>
      <c r="AM128" s="5"/>
      <c r="AN128" s="5"/>
      <c r="AO128" s="5"/>
      <c r="AP128" s="5"/>
      <c r="AQ128" s="5"/>
      <c r="AR128" s="5"/>
      <c r="AS128" s="21"/>
    </row>
    <row r="129" spans="1:57" hidden="1">
      <c r="B129" s="1000" t="s">
        <v>565</v>
      </c>
      <c r="C129" s="1000"/>
      <c r="D129" s="836"/>
      <c r="E129" s="329" t="s">
        <v>573</v>
      </c>
      <c r="F129" s="330"/>
      <c r="G129" s="329" t="s">
        <v>141</v>
      </c>
      <c r="H129" s="342"/>
      <c r="I129" s="450">
        <v>5</v>
      </c>
      <c r="J129" s="342"/>
      <c r="K129" s="19"/>
      <c r="L129" s="15"/>
      <c r="M129" s="15"/>
      <c r="N129" s="15"/>
      <c r="O129" s="5"/>
      <c r="P129" s="5"/>
      <c r="Q129" s="5"/>
      <c r="R129" s="5"/>
      <c r="S129" s="5"/>
      <c r="T129" s="5"/>
      <c r="U129" s="5"/>
      <c r="V129" s="5"/>
      <c r="X129" s="5"/>
      <c r="Y129" s="19"/>
      <c r="Z129" s="5"/>
      <c r="AA129" s="5"/>
      <c r="AB129" s="5"/>
      <c r="AC129" s="5"/>
      <c r="AD129" s="5"/>
      <c r="AE129" s="5"/>
      <c r="AF129" s="5"/>
      <c r="AG129" s="5"/>
      <c r="AH129" s="5"/>
      <c r="AI129" s="5"/>
      <c r="AJ129" s="5"/>
      <c r="AK129" s="5"/>
      <c r="AL129" s="5"/>
      <c r="AM129" s="5"/>
      <c r="AN129" s="5"/>
      <c r="AO129" s="5"/>
      <c r="AP129" s="5"/>
      <c r="AQ129" s="5"/>
      <c r="AR129" s="5"/>
      <c r="AS129" s="21"/>
    </row>
    <row r="130" spans="1:57" s="2" customFormat="1" hidden="1">
      <c r="A130" s="1010"/>
      <c r="B130" s="1000" t="s">
        <v>565</v>
      </c>
      <c r="C130" s="1000"/>
      <c r="D130" s="839"/>
      <c r="E130" s="325" t="s">
        <v>574</v>
      </c>
      <c r="F130" s="326"/>
      <c r="G130" s="325"/>
      <c r="H130" s="451"/>
      <c r="I130" s="452"/>
      <c r="J130" s="453"/>
      <c r="K130" s="19"/>
      <c r="L130" s="15"/>
      <c r="M130" s="15"/>
      <c r="N130" s="15"/>
      <c r="O130" s="5"/>
      <c r="P130" s="5"/>
      <c r="Q130" s="5"/>
      <c r="R130" s="5"/>
      <c r="S130" s="5"/>
      <c r="T130" s="5"/>
      <c r="U130" s="5"/>
      <c r="V130" s="5"/>
      <c r="W130"/>
      <c r="X130" s="5"/>
      <c r="Y130" s="9"/>
      <c r="Z130" s="8"/>
      <c r="AA130" s="9"/>
      <c r="AB130" s="9"/>
      <c r="AC130" s="9"/>
      <c r="AD130" s="4"/>
      <c r="AE130" s="4"/>
      <c r="AF130" s="4"/>
      <c r="AG130" s="4"/>
      <c r="AH130" s="4"/>
      <c r="AI130" s="4"/>
      <c r="AJ130" s="4"/>
      <c r="AK130" s="4"/>
      <c r="AL130" s="4"/>
      <c r="AM130" s="4"/>
      <c r="AN130" s="4"/>
      <c r="AO130" s="4"/>
      <c r="AP130" s="4"/>
      <c r="AQ130" s="4"/>
      <c r="AR130" s="4"/>
      <c r="AS130" s="21"/>
      <c r="AT130" s="312"/>
    </row>
    <row r="131" spans="1:57" s="2" customFormat="1" hidden="1">
      <c r="A131" s="1010"/>
      <c r="B131" s="1000" t="s">
        <v>565</v>
      </c>
      <c r="C131" s="1000"/>
      <c r="D131" s="839"/>
      <c r="E131" s="387" t="s">
        <v>575</v>
      </c>
      <c r="F131" s="390"/>
      <c r="G131" s="387"/>
      <c r="H131" s="393"/>
      <c r="I131" s="404"/>
      <c r="J131" s="388"/>
      <c r="K131" s="19"/>
      <c r="L131" s="15"/>
      <c r="M131" s="15"/>
      <c r="N131" s="15"/>
      <c r="O131" s="5"/>
      <c r="P131" s="5"/>
      <c r="Q131" s="5"/>
      <c r="R131" s="5"/>
      <c r="S131" s="5"/>
      <c r="T131" s="5"/>
      <c r="U131" s="5"/>
      <c r="V131" s="5"/>
      <c r="W131"/>
      <c r="X131" s="5"/>
      <c r="Y131" s="9"/>
      <c r="Z131" s="8"/>
      <c r="AA131" s="9"/>
      <c r="AB131" s="9"/>
      <c r="AC131" s="9"/>
      <c r="AD131" s="4"/>
      <c r="AE131" s="4"/>
      <c r="AF131" s="4"/>
      <c r="AG131" s="4"/>
      <c r="AH131" s="4"/>
      <c r="AI131" s="4"/>
      <c r="AJ131" s="4"/>
      <c r="AK131" s="4"/>
      <c r="AL131" s="4"/>
      <c r="AM131" s="4"/>
      <c r="AN131" s="4"/>
      <c r="AO131" s="4"/>
      <c r="AP131" s="4"/>
      <c r="AQ131" s="4"/>
      <c r="AR131" s="4"/>
      <c r="AS131" s="21"/>
      <c r="AT131" s="312"/>
    </row>
    <row r="132" spans="1:57" s="2" customFormat="1" hidden="1">
      <c r="A132" s="1010"/>
      <c r="B132" s="1000" t="s">
        <v>565</v>
      </c>
      <c r="C132" s="1000"/>
      <c r="D132" s="839"/>
      <c r="E132" s="387" t="s">
        <v>576</v>
      </c>
      <c r="F132" s="390"/>
      <c r="G132" s="387"/>
      <c r="H132" s="393"/>
      <c r="I132" s="404"/>
      <c r="J132" s="388"/>
      <c r="K132" s="19"/>
      <c r="L132" s="15"/>
      <c r="M132" s="15"/>
      <c r="N132" s="15"/>
      <c r="O132" s="5"/>
      <c r="P132" s="5"/>
      <c r="Q132" s="5"/>
      <c r="R132" s="5"/>
      <c r="S132" s="5"/>
      <c r="T132" s="5"/>
      <c r="U132" s="5"/>
      <c r="V132" s="5"/>
      <c r="W132"/>
      <c r="X132" s="5"/>
      <c r="Y132" s="9"/>
      <c r="Z132" s="8"/>
      <c r="AA132" s="9"/>
      <c r="AB132" s="9"/>
      <c r="AC132" s="9"/>
      <c r="AD132" s="4"/>
      <c r="AE132" s="4"/>
      <c r="AF132" s="4"/>
      <c r="AG132" s="4"/>
      <c r="AH132" s="4"/>
      <c r="AI132" s="4"/>
      <c r="AJ132" s="4"/>
      <c r="AK132" s="4"/>
      <c r="AL132" s="4"/>
      <c r="AM132" s="4"/>
      <c r="AN132" s="4"/>
      <c r="AO132" s="4"/>
      <c r="AP132" s="4"/>
      <c r="AQ132" s="4"/>
      <c r="AR132" s="4"/>
      <c r="AS132" s="21"/>
      <c r="AT132" s="312"/>
    </row>
    <row r="133" spans="1:57" s="2" customFormat="1" hidden="1">
      <c r="A133" s="1010"/>
      <c r="B133" s="1000" t="s">
        <v>565</v>
      </c>
      <c r="C133" s="1000"/>
      <c r="D133" s="839"/>
      <c r="E133" s="346" t="s">
        <v>577</v>
      </c>
      <c r="F133" s="403"/>
      <c r="G133" s="346"/>
      <c r="H133" s="394"/>
      <c r="I133" s="411"/>
      <c r="J133" s="412"/>
      <c r="K133" s="19"/>
      <c r="L133" s="15"/>
      <c r="M133" s="15"/>
      <c r="N133" s="15"/>
      <c r="O133" s="5"/>
      <c r="P133" s="5"/>
      <c r="Q133" s="5"/>
      <c r="R133" s="5"/>
      <c r="S133" s="5"/>
      <c r="T133" s="5"/>
      <c r="U133" s="5"/>
      <c r="V133" s="5"/>
      <c r="W133"/>
      <c r="X133" s="5"/>
      <c r="Y133" s="9"/>
      <c r="Z133" s="8"/>
      <c r="AA133" s="9"/>
      <c r="AB133" s="9"/>
      <c r="AC133" s="9"/>
      <c r="AD133" s="4"/>
      <c r="AE133" s="4"/>
      <c r="AF133" s="4"/>
      <c r="AG133" s="4"/>
      <c r="AH133" s="4"/>
      <c r="AI133" s="4"/>
      <c r="AJ133" s="4"/>
      <c r="AK133" s="4"/>
      <c r="AL133" s="4"/>
      <c r="AM133" s="4"/>
      <c r="AN133" s="4"/>
      <c r="AO133" s="4"/>
      <c r="AP133" s="4"/>
      <c r="AQ133" s="4"/>
      <c r="AR133" s="4"/>
      <c r="AS133" s="21"/>
      <c r="AT133" s="312"/>
    </row>
    <row r="134" spans="1:57" hidden="1">
      <c r="B134" s="1000" t="s">
        <v>565</v>
      </c>
      <c r="C134" s="1000"/>
      <c r="D134" s="836"/>
      <c r="E134" s="5"/>
      <c r="F134" s="5"/>
      <c r="G134" s="5"/>
      <c r="H134" s="15"/>
      <c r="I134" s="22"/>
      <c r="J134" s="15"/>
      <c r="K134" s="15"/>
      <c r="L134" s="15"/>
      <c r="M134" s="15"/>
      <c r="N134" s="15"/>
      <c r="O134" s="15"/>
      <c r="P134" s="15"/>
      <c r="Q134" s="15"/>
      <c r="R134" s="15"/>
      <c r="S134" s="15"/>
      <c r="T134" s="15"/>
      <c r="U134" s="15"/>
      <c r="V134" s="15"/>
      <c r="W134" s="15"/>
      <c r="X134" s="15"/>
      <c r="Y134" s="19"/>
      <c r="Z134" s="15"/>
      <c r="AA134" s="15"/>
      <c r="AB134" s="15"/>
      <c r="AC134" s="5"/>
      <c r="AD134" s="5"/>
      <c r="AE134" s="5"/>
      <c r="AF134" s="5"/>
      <c r="AG134" s="5"/>
      <c r="AH134" s="5"/>
      <c r="AI134" s="5"/>
      <c r="AJ134" s="5"/>
      <c r="AK134" s="5"/>
      <c r="AL134" s="5"/>
      <c r="AM134" s="5"/>
      <c r="AN134" s="5"/>
      <c r="AO134" s="5"/>
      <c r="AP134" s="5"/>
      <c r="AQ134" s="5"/>
      <c r="AR134" s="5"/>
      <c r="AS134" s="21"/>
    </row>
    <row r="135" spans="1:57">
      <c r="B135" s="1000" t="s">
        <v>578</v>
      </c>
      <c r="C135" s="1000"/>
      <c r="D135" s="836"/>
      <c r="E135" s="5"/>
      <c r="F135" s="5"/>
      <c r="G135" s="5"/>
      <c r="H135" s="15"/>
      <c r="I135" s="15"/>
      <c r="J135" s="15"/>
      <c r="K135" s="15"/>
      <c r="L135" s="15"/>
      <c r="M135" s="15"/>
      <c r="N135" s="15"/>
      <c r="O135" s="15"/>
      <c r="P135" s="53"/>
      <c r="Q135" s="15"/>
      <c r="R135" s="15"/>
      <c r="S135" s="15"/>
      <c r="T135" s="15"/>
      <c r="U135" s="15"/>
      <c r="V135" s="15"/>
      <c r="W135" s="15"/>
      <c r="X135" s="15"/>
      <c r="Y135" s="19"/>
      <c r="Z135" s="15"/>
      <c r="AA135" s="15"/>
      <c r="AB135" s="1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row>
    <row r="136" spans="1:57" ht="21">
      <c r="B136" s="1000" t="s">
        <v>578</v>
      </c>
      <c r="C136" s="1000"/>
      <c r="D136" s="1151" t="s">
        <v>45</v>
      </c>
      <c r="E136" s="199" t="s">
        <v>579</v>
      </c>
      <c r="F136" s="199"/>
      <c r="G136" s="199"/>
      <c r="H136" s="199"/>
      <c r="I136" s="454"/>
      <c r="J136" s="454"/>
      <c r="K136" s="454"/>
      <c r="L136" s="454"/>
      <c r="M136" s="454"/>
      <c r="N136" s="454"/>
      <c r="O136" s="454"/>
      <c r="P136" s="454"/>
      <c r="Q136" s="454"/>
      <c r="R136" s="454"/>
      <c r="S136" s="454"/>
      <c r="T136" s="454"/>
      <c r="U136" s="454"/>
      <c r="V136" s="454"/>
      <c r="W136" s="454"/>
      <c r="X136" s="454"/>
      <c r="Y136" s="454"/>
      <c r="Z136" s="454"/>
      <c r="AA136" s="454"/>
      <c r="AB136" s="454"/>
      <c r="AC136" s="454"/>
      <c r="AD136" s="454"/>
      <c r="AE136" s="454"/>
      <c r="AF136" s="454"/>
      <c r="AG136" s="454"/>
      <c r="AH136" s="454"/>
      <c r="AI136" s="454"/>
      <c r="AJ136" s="454"/>
      <c r="AK136" s="454"/>
      <c r="AL136" s="454"/>
      <c r="AM136" s="454"/>
      <c r="AN136" s="454"/>
      <c r="AO136" s="454"/>
      <c r="AP136" s="454"/>
      <c r="AQ136" s="454"/>
      <c r="AR136" s="454"/>
      <c r="AS136" s="454"/>
      <c r="AT136" s="454"/>
      <c r="AU136" s="454"/>
      <c r="AV136" s="454"/>
      <c r="AW136" s="454"/>
      <c r="AX136" s="454"/>
      <c r="AY136" s="454"/>
      <c r="AZ136" s="454"/>
      <c r="BA136" s="454"/>
      <c r="BB136" s="454"/>
      <c r="BC136" s="21"/>
      <c r="BD136" s="5"/>
      <c r="BE136" s="5"/>
    </row>
    <row r="137" spans="1:57">
      <c r="B137" s="1000" t="s">
        <v>578</v>
      </c>
      <c r="C137" s="1000"/>
      <c r="D137" s="837"/>
      <c r="E137" s="320" t="s">
        <v>414</v>
      </c>
      <c r="F137" s="320"/>
      <c r="G137" s="320" t="s">
        <v>353</v>
      </c>
      <c r="H137" s="321"/>
      <c r="I137" s="321">
        <f t="shared" ref="I137:BA137" ca="1" si="44">OFFSET(I137,0,-1)+1</f>
        <v>1</v>
      </c>
      <c r="J137" s="321">
        <f t="shared" ca="1" si="44"/>
        <v>2</v>
      </c>
      <c r="K137" s="321">
        <f t="shared" ca="1" si="44"/>
        <v>3</v>
      </c>
      <c r="L137" s="321">
        <f t="shared" ca="1" si="44"/>
        <v>4</v>
      </c>
      <c r="M137" s="321">
        <f t="shared" ca="1" si="44"/>
        <v>5</v>
      </c>
      <c r="N137" s="321">
        <f t="shared" ca="1" si="44"/>
        <v>6</v>
      </c>
      <c r="O137" s="321">
        <f t="shared" ca="1" si="44"/>
        <v>7</v>
      </c>
      <c r="P137" s="321">
        <f t="shared" ca="1" si="44"/>
        <v>8</v>
      </c>
      <c r="Q137" s="321">
        <f t="shared" ca="1" si="44"/>
        <v>9</v>
      </c>
      <c r="R137" s="321">
        <f t="shared" ca="1" si="44"/>
        <v>10</v>
      </c>
      <c r="S137" s="321">
        <f t="shared" ca="1" si="44"/>
        <v>11</v>
      </c>
      <c r="T137" s="321">
        <f t="shared" ca="1" si="44"/>
        <v>12</v>
      </c>
      <c r="U137" s="321">
        <f t="shared" ca="1" si="44"/>
        <v>13</v>
      </c>
      <c r="V137" s="321">
        <f t="shared" ca="1" si="44"/>
        <v>14</v>
      </c>
      <c r="W137" s="321">
        <f t="shared" ca="1" si="44"/>
        <v>15</v>
      </c>
      <c r="X137" s="321">
        <f t="shared" ca="1" si="44"/>
        <v>16</v>
      </c>
      <c r="Y137" s="321">
        <f t="shared" ca="1" si="44"/>
        <v>17</v>
      </c>
      <c r="Z137" s="321">
        <f t="shared" ca="1" si="44"/>
        <v>18</v>
      </c>
      <c r="AA137" s="321">
        <f t="shared" ca="1" si="44"/>
        <v>19</v>
      </c>
      <c r="AB137" s="321">
        <f t="shared" ca="1" si="44"/>
        <v>20</v>
      </c>
      <c r="AC137" s="321">
        <f t="shared" ca="1" si="44"/>
        <v>21</v>
      </c>
      <c r="AD137" s="321">
        <f t="shared" ca="1" si="44"/>
        <v>22</v>
      </c>
      <c r="AE137" s="321">
        <f t="shared" ca="1" si="44"/>
        <v>23</v>
      </c>
      <c r="AF137" s="321">
        <f t="shared" ca="1" si="44"/>
        <v>24</v>
      </c>
      <c r="AG137" s="321">
        <f t="shared" ca="1" si="44"/>
        <v>25</v>
      </c>
      <c r="AH137" s="321">
        <f t="shared" ca="1" si="44"/>
        <v>26</v>
      </c>
      <c r="AI137" s="321">
        <f t="shared" ca="1" si="44"/>
        <v>27</v>
      </c>
      <c r="AJ137" s="321">
        <f t="shared" ca="1" si="44"/>
        <v>28</v>
      </c>
      <c r="AK137" s="321">
        <f t="shared" ca="1" si="44"/>
        <v>29</v>
      </c>
      <c r="AL137" s="321">
        <f t="shared" ca="1" si="44"/>
        <v>30</v>
      </c>
      <c r="AM137" s="321">
        <f t="shared" ca="1" si="44"/>
        <v>31</v>
      </c>
      <c r="AN137" s="321">
        <f t="shared" ca="1" si="44"/>
        <v>32</v>
      </c>
      <c r="AO137" s="321">
        <f t="shared" ca="1" si="44"/>
        <v>33</v>
      </c>
      <c r="AP137" s="321">
        <f t="shared" ca="1" si="44"/>
        <v>34</v>
      </c>
      <c r="AQ137" s="321">
        <f t="shared" ca="1" si="44"/>
        <v>35</v>
      </c>
      <c r="AR137" s="321">
        <f t="shared" ca="1" si="44"/>
        <v>36</v>
      </c>
      <c r="AS137" s="321">
        <f t="shared" ca="1" si="44"/>
        <v>37</v>
      </c>
      <c r="AT137" s="321">
        <f t="shared" ca="1" si="44"/>
        <v>38</v>
      </c>
      <c r="AU137" s="321">
        <f t="shared" ca="1" si="44"/>
        <v>39</v>
      </c>
      <c r="AV137" s="321">
        <f t="shared" ca="1" si="44"/>
        <v>40</v>
      </c>
      <c r="AW137" s="321">
        <f t="shared" ca="1" si="44"/>
        <v>41</v>
      </c>
      <c r="AX137" s="321">
        <f t="shared" ca="1" si="44"/>
        <v>42</v>
      </c>
      <c r="AY137" s="321">
        <f t="shared" ca="1" si="44"/>
        <v>43</v>
      </c>
      <c r="AZ137" s="321">
        <f t="shared" ca="1" si="44"/>
        <v>44</v>
      </c>
      <c r="BA137" s="321">
        <f t="shared" ca="1" si="44"/>
        <v>45</v>
      </c>
      <c r="BB137" s="321"/>
      <c r="BC137" s="21"/>
      <c r="BD137" s="5"/>
      <c r="BE137" s="5"/>
    </row>
    <row r="138" spans="1:57" s="2" customFormat="1" ht="18.75">
      <c r="A138" s="1010"/>
      <c r="B138" s="1000" t="s">
        <v>578</v>
      </c>
      <c r="C138" s="1000"/>
      <c r="D138" s="839"/>
      <c r="E138" s="337" t="s">
        <v>468</v>
      </c>
      <c r="F138" s="338"/>
      <c r="G138" s="337"/>
      <c r="H138" s="439"/>
      <c r="I138" s="455"/>
      <c r="J138" s="455"/>
      <c r="K138" s="455"/>
      <c r="L138" s="455"/>
      <c r="M138" s="455"/>
      <c r="N138" s="455"/>
      <c r="O138" s="455"/>
      <c r="P138" s="455"/>
      <c r="Q138" s="455"/>
      <c r="R138" s="455"/>
      <c r="S138" s="455"/>
      <c r="T138" s="455"/>
      <c r="U138" s="455"/>
      <c r="V138" s="455"/>
      <c r="W138" s="455"/>
      <c r="X138" s="455"/>
      <c r="Y138" s="455"/>
      <c r="Z138" s="455"/>
      <c r="AA138" s="456"/>
      <c r="AB138" s="455"/>
      <c r="AC138" s="455"/>
      <c r="AD138" s="455"/>
      <c r="AE138" s="455"/>
      <c r="AF138" s="455"/>
      <c r="AG138" s="455"/>
      <c r="AH138" s="455"/>
      <c r="AI138" s="455"/>
      <c r="AJ138" s="455"/>
      <c r="AK138" s="455"/>
      <c r="AL138" s="455"/>
      <c r="AM138" s="455"/>
      <c r="AN138" s="455"/>
      <c r="AO138" s="455"/>
      <c r="AP138" s="596"/>
      <c r="AQ138" s="596"/>
      <c r="AR138" s="596"/>
      <c r="AS138" s="596" t="s">
        <v>469</v>
      </c>
      <c r="AT138" s="596" t="s">
        <v>469</v>
      </c>
      <c r="AU138" s="596" t="s">
        <v>469</v>
      </c>
      <c r="AV138" s="596" t="s">
        <v>469</v>
      </c>
      <c r="AW138" s="596" t="s">
        <v>469</v>
      </c>
      <c r="AX138" s="596" t="s">
        <v>469</v>
      </c>
      <c r="AY138" s="596" t="s">
        <v>469</v>
      </c>
      <c r="AZ138" s="596" t="s">
        <v>469</v>
      </c>
      <c r="BA138" s="596" t="s">
        <v>469</v>
      </c>
      <c r="BB138" s="439"/>
      <c r="BC138" s="21"/>
      <c r="BD138" s="4"/>
      <c r="BE138" s="4"/>
    </row>
    <row r="139" spans="1:57" ht="51">
      <c r="B139" s="1000" t="s">
        <v>578</v>
      </c>
      <c r="C139" s="1000"/>
      <c r="D139" s="836"/>
      <c r="E139" s="329" t="s">
        <v>470</v>
      </c>
      <c r="F139" s="330"/>
      <c r="G139" s="329" t="s">
        <v>65</v>
      </c>
      <c r="H139" s="342"/>
      <c r="I139" s="422" t="s">
        <v>167</v>
      </c>
      <c r="J139" s="422" t="s">
        <v>580</v>
      </c>
      <c r="K139" s="422" t="s">
        <v>472</v>
      </c>
      <c r="L139" s="422" t="s">
        <v>473</v>
      </c>
      <c r="M139" s="422" t="s">
        <v>474</v>
      </c>
      <c r="N139" s="422" t="s">
        <v>475</v>
      </c>
      <c r="O139" s="422" t="s">
        <v>954</v>
      </c>
      <c r="P139" s="422" t="s">
        <v>476</v>
      </c>
      <c r="Q139" s="422" t="s">
        <v>581</v>
      </c>
      <c r="R139" s="422" t="s">
        <v>479</v>
      </c>
      <c r="S139" s="422" t="s">
        <v>915</v>
      </c>
      <c r="T139" s="422" t="s">
        <v>582</v>
      </c>
      <c r="U139" s="422" t="s">
        <v>481</v>
      </c>
      <c r="V139" s="422" t="s">
        <v>482</v>
      </c>
      <c r="W139" s="422" t="s">
        <v>483</v>
      </c>
      <c r="X139" s="422" t="s">
        <v>484</v>
      </c>
      <c r="Y139" s="422" t="s">
        <v>485</v>
      </c>
      <c r="Z139" s="422" t="s">
        <v>486</v>
      </c>
      <c r="AA139" s="422" t="s">
        <v>487</v>
      </c>
      <c r="AB139" s="422" t="s">
        <v>488</v>
      </c>
      <c r="AC139" s="422" t="s">
        <v>489</v>
      </c>
      <c r="AD139" s="422" t="s">
        <v>490</v>
      </c>
      <c r="AE139" s="422" t="s">
        <v>491</v>
      </c>
      <c r="AF139" s="422" t="s">
        <v>583</v>
      </c>
      <c r="AG139" s="422" t="s">
        <v>584</v>
      </c>
      <c r="AH139" s="422" t="s">
        <v>585</v>
      </c>
      <c r="AI139" s="422" t="s">
        <v>586</v>
      </c>
      <c r="AJ139" s="408" t="s">
        <v>1209</v>
      </c>
      <c r="AK139" s="408" t="s">
        <v>1210</v>
      </c>
      <c r="AL139" s="408" t="s">
        <v>1211</v>
      </c>
      <c r="AM139" s="408" t="s">
        <v>1215</v>
      </c>
      <c r="AN139" s="422" t="s">
        <v>494</v>
      </c>
      <c r="AO139" s="422" t="s">
        <v>495</v>
      </c>
      <c r="AP139" s="422" t="s">
        <v>587</v>
      </c>
      <c r="AQ139" s="422" t="s">
        <v>588</v>
      </c>
      <c r="AR139" s="422" t="s">
        <v>589</v>
      </c>
      <c r="AS139" s="1232" t="s">
        <v>496</v>
      </c>
      <c r="AT139" s="1232" t="s">
        <v>497</v>
      </c>
      <c r="AU139" s="1233" t="s">
        <v>590</v>
      </c>
      <c r="AV139" s="1233" t="s">
        <v>591</v>
      </c>
      <c r="AW139" s="1233" t="s">
        <v>1276</v>
      </c>
      <c r="AX139" s="493"/>
      <c r="AY139" s="493"/>
      <c r="AZ139" s="493"/>
      <c r="BA139" s="493"/>
      <c r="BB139" s="457"/>
      <c r="BC139" s="21"/>
      <c r="BD139" s="5"/>
      <c r="BE139" s="5"/>
    </row>
    <row r="140" spans="1:57" ht="38.25">
      <c r="B140" s="1000" t="s">
        <v>578</v>
      </c>
      <c r="C140" s="1000"/>
      <c r="D140" s="836"/>
      <c r="E140" s="329" t="s">
        <v>498</v>
      </c>
      <c r="F140" s="330"/>
      <c r="G140" s="440"/>
      <c r="H140" s="342"/>
      <c r="I140" s="441"/>
      <c r="J140" s="441"/>
      <c r="K140" s="441" t="s">
        <v>45</v>
      </c>
      <c r="L140" s="441" t="s">
        <v>45</v>
      </c>
      <c r="M140" s="441" t="s">
        <v>45</v>
      </c>
      <c r="N140" s="441" t="s">
        <v>45</v>
      </c>
      <c r="O140" s="441"/>
      <c r="P140" s="441" t="s">
        <v>45</v>
      </c>
      <c r="Q140" s="441"/>
      <c r="R140" s="441"/>
      <c r="S140" s="441"/>
      <c r="T140" s="441"/>
      <c r="U140" s="441"/>
      <c r="V140" s="441"/>
      <c r="W140" s="441"/>
      <c r="X140" s="441"/>
      <c r="Y140" s="441"/>
      <c r="Z140" s="441" t="s">
        <v>45</v>
      </c>
      <c r="AA140" s="441" t="s">
        <v>45</v>
      </c>
      <c r="AB140" s="441"/>
      <c r="AC140" s="441"/>
      <c r="AD140" s="441"/>
      <c r="AE140" s="441"/>
      <c r="AF140" s="441"/>
      <c r="AG140" s="441"/>
      <c r="AH140" s="441"/>
      <c r="AI140" s="441"/>
      <c r="AJ140" s="441"/>
      <c r="AK140" s="441"/>
      <c r="AL140" s="441"/>
      <c r="AM140" s="441"/>
      <c r="AN140" s="441"/>
      <c r="AO140" s="441"/>
      <c r="AP140" s="441"/>
      <c r="AQ140" s="441"/>
      <c r="AR140" s="441"/>
      <c r="AS140" s="1230" t="s">
        <v>499</v>
      </c>
      <c r="AT140" s="1230" t="s">
        <v>499</v>
      </c>
      <c r="AU140" s="1230" t="s">
        <v>592</v>
      </c>
      <c r="AV140" s="490"/>
      <c r="AW140" s="1230" t="s">
        <v>45</v>
      </c>
      <c r="AX140" s="490"/>
      <c r="AY140" s="490"/>
      <c r="AZ140" s="490"/>
      <c r="BA140" s="490"/>
      <c r="BB140" s="342"/>
      <c r="BC140" s="21"/>
    </row>
    <row r="141" spans="1:57">
      <c r="B141" s="1000" t="s">
        <v>578</v>
      </c>
      <c r="C141" s="1000"/>
      <c r="D141" s="837" t="s">
        <v>45</v>
      </c>
      <c r="E141" s="329" t="s">
        <v>500</v>
      </c>
      <c r="F141" s="330"/>
      <c r="G141" s="329"/>
      <c r="H141" s="342"/>
      <c r="I141" s="422" t="str">
        <f t="shared" ref="I141:T141" si="45">gebouw</f>
        <v>gebouw</v>
      </c>
      <c r="J141" s="422" t="str">
        <f>gebouw</f>
        <v>gebouw</v>
      </c>
      <c r="K141" s="422" t="str">
        <f t="shared" si="45"/>
        <v>gebouw</v>
      </c>
      <c r="L141" s="422" t="str">
        <f t="shared" si="45"/>
        <v>gebouw</v>
      </c>
      <c r="M141" s="422" t="str">
        <f t="shared" si="45"/>
        <v>gebouw</v>
      </c>
      <c r="N141" s="422" t="str">
        <f t="shared" si="45"/>
        <v>gebouw</v>
      </c>
      <c r="O141" s="422" t="str">
        <f t="shared" si="45"/>
        <v>gebouw</v>
      </c>
      <c r="P141" s="422" t="str">
        <f t="shared" si="45"/>
        <v>gebouw</v>
      </c>
      <c r="Q141" s="422" t="str">
        <f t="shared" si="45"/>
        <v>gebouw</v>
      </c>
      <c r="R141" s="422" t="s">
        <v>593</v>
      </c>
      <c r="S141" s="422" t="str">
        <f t="shared" si="45"/>
        <v>gebouw</v>
      </c>
      <c r="T141" s="422" t="str">
        <f t="shared" si="45"/>
        <v>gebouw</v>
      </c>
      <c r="U141" s="422" t="s">
        <v>593</v>
      </c>
      <c r="V141" s="422" t="str">
        <f t="shared" ref="V141:AB141" si="46">gebied</f>
        <v>gebied</v>
      </c>
      <c r="W141" s="422" t="str">
        <f t="shared" si="46"/>
        <v>gebied</v>
      </c>
      <c r="X141" s="422" t="str">
        <f t="shared" si="46"/>
        <v>gebied</v>
      </c>
      <c r="Y141" s="422" t="str">
        <f t="shared" si="46"/>
        <v>gebied</v>
      </c>
      <c r="Z141" s="422" t="str">
        <f t="shared" si="46"/>
        <v>gebied</v>
      </c>
      <c r="AA141" s="422" t="str">
        <f t="shared" si="46"/>
        <v>gebied</v>
      </c>
      <c r="AB141" s="422" t="str">
        <f t="shared" si="46"/>
        <v>gebied</v>
      </c>
      <c r="AC141" s="422" t="str">
        <f>centraal</f>
        <v>centraal</v>
      </c>
      <c r="AD141" s="422" t="str">
        <f>centraal</f>
        <v>centraal</v>
      </c>
      <c r="AE141" s="422" t="s">
        <v>593</v>
      </c>
      <c r="AF141" s="422" t="str">
        <f>gebouw</f>
        <v>gebouw</v>
      </c>
      <c r="AG141" s="422" t="str">
        <f>gebouw</f>
        <v>gebouw</v>
      </c>
      <c r="AH141" s="422" t="s">
        <v>593</v>
      </c>
      <c r="AI141" s="422" t="s">
        <v>501</v>
      </c>
      <c r="AJ141" s="422" t="s">
        <v>502</v>
      </c>
      <c r="AK141" s="422" t="s">
        <v>502</v>
      </c>
      <c r="AL141" s="422" t="s">
        <v>502</v>
      </c>
      <c r="AM141" s="422" t="s">
        <v>502</v>
      </c>
      <c r="AN141" s="422" t="s">
        <v>502</v>
      </c>
      <c r="AO141" s="422" t="s">
        <v>502</v>
      </c>
      <c r="AP141" s="422" t="s">
        <v>593</v>
      </c>
      <c r="AQ141" s="422" t="s">
        <v>593</v>
      </c>
      <c r="AR141" s="422" t="s">
        <v>501</v>
      </c>
      <c r="AS141" s="487" t="s">
        <v>502</v>
      </c>
      <c r="AT141" s="487" t="s">
        <v>502</v>
      </c>
      <c r="AU141" s="487" t="s">
        <v>501</v>
      </c>
      <c r="AV141" s="487" t="s">
        <v>501</v>
      </c>
      <c r="AW141" s="487" t="str">
        <f t="shared" ref="AW141" si="47">gebouw</f>
        <v>gebouw</v>
      </c>
      <c r="AX141" s="487"/>
      <c r="AY141" s="487"/>
      <c r="AZ141" s="487"/>
      <c r="BA141" s="487"/>
      <c r="BB141" s="457"/>
      <c r="BC141" s="21"/>
    </row>
    <row r="142" spans="1:57">
      <c r="B142" s="1000" t="s">
        <v>578</v>
      </c>
      <c r="C142" s="1000"/>
      <c r="D142" s="837" t="s">
        <v>45</v>
      </c>
      <c r="E142" s="329" t="s">
        <v>1104</v>
      </c>
      <c r="F142" s="330"/>
      <c r="G142" s="329" t="s">
        <v>65</v>
      </c>
      <c r="H142" s="342"/>
      <c r="I142" s="343">
        <v>0</v>
      </c>
      <c r="J142" s="343">
        <v>0</v>
      </c>
      <c r="K142" s="343">
        <v>0</v>
      </c>
      <c r="L142" s="343">
        <v>0</v>
      </c>
      <c r="M142" s="343">
        <v>0</v>
      </c>
      <c r="N142" s="343">
        <v>0</v>
      </c>
      <c r="O142" s="343">
        <v>0</v>
      </c>
      <c r="P142" s="343">
        <v>0</v>
      </c>
      <c r="Q142" s="343">
        <v>0</v>
      </c>
      <c r="R142" s="343">
        <v>0</v>
      </c>
      <c r="S142" s="343">
        <v>0</v>
      </c>
      <c r="T142" s="343">
        <v>0</v>
      </c>
      <c r="U142" s="343">
        <v>0</v>
      </c>
      <c r="V142" s="343">
        <v>0</v>
      </c>
      <c r="W142" s="343">
        <v>0</v>
      </c>
      <c r="X142" s="343">
        <v>0</v>
      </c>
      <c r="Y142" s="343">
        <v>0</v>
      </c>
      <c r="Z142" s="343">
        <v>0</v>
      </c>
      <c r="AA142" s="343">
        <v>0</v>
      </c>
      <c r="AB142" s="343">
        <v>0</v>
      </c>
      <c r="AC142" s="343">
        <v>0</v>
      </c>
      <c r="AD142" s="343">
        <v>0</v>
      </c>
      <c r="AE142" s="343">
        <v>0</v>
      </c>
      <c r="AF142" s="343">
        <v>0</v>
      </c>
      <c r="AG142" s="343">
        <v>0</v>
      </c>
      <c r="AH142" s="343">
        <v>0</v>
      </c>
      <c r="AI142" s="343">
        <v>0</v>
      </c>
      <c r="AJ142" s="343">
        <v>0</v>
      </c>
      <c r="AK142" s="343">
        <v>0</v>
      </c>
      <c r="AL142" s="343">
        <v>0</v>
      </c>
      <c r="AM142" s="343">
        <v>0</v>
      </c>
      <c r="AN142" s="343">
        <v>0</v>
      </c>
      <c r="AO142" s="343">
        <v>0</v>
      </c>
      <c r="AP142" s="343">
        <v>0</v>
      </c>
      <c r="AQ142" s="343">
        <v>0</v>
      </c>
      <c r="AR142" s="343">
        <v>0</v>
      </c>
      <c r="AS142" s="495">
        <v>1</v>
      </c>
      <c r="AT142" s="495">
        <v>1</v>
      </c>
      <c r="AU142" s="495">
        <v>0</v>
      </c>
      <c r="AV142" s="495">
        <v>0</v>
      </c>
      <c r="AW142" s="495">
        <v>0</v>
      </c>
      <c r="AX142" s="495"/>
      <c r="AY142" s="495"/>
      <c r="AZ142" s="495"/>
      <c r="BA142" s="495"/>
      <c r="BB142" s="342"/>
      <c r="BC142" s="21"/>
    </row>
    <row r="143" spans="1:57">
      <c r="B143" s="1000" t="s">
        <v>578</v>
      </c>
      <c r="C143" s="1000"/>
      <c r="D143" s="836"/>
      <c r="E143" s="329" t="s">
        <v>503</v>
      </c>
      <c r="F143" s="330"/>
      <c r="G143" s="329" t="s">
        <v>65</v>
      </c>
      <c r="H143" s="342"/>
      <c r="I143" s="343">
        <v>0</v>
      </c>
      <c r="J143" s="343">
        <v>0</v>
      </c>
      <c r="K143" s="343">
        <v>1</v>
      </c>
      <c r="L143" s="343">
        <v>1</v>
      </c>
      <c r="M143" s="343">
        <v>1</v>
      </c>
      <c r="N143" s="343">
        <v>1</v>
      </c>
      <c r="O143" s="343">
        <v>1</v>
      </c>
      <c r="P143" s="343">
        <v>1</v>
      </c>
      <c r="Q143" s="343">
        <v>1</v>
      </c>
      <c r="R143" s="343">
        <v>1</v>
      </c>
      <c r="S143" s="343">
        <v>1</v>
      </c>
      <c r="T143" s="343">
        <v>0</v>
      </c>
      <c r="U143" s="343">
        <v>0</v>
      </c>
      <c r="V143" s="343">
        <v>0</v>
      </c>
      <c r="W143" s="343">
        <v>0</v>
      </c>
      <c r="X143" s="343">
        <v>0</v>
      </c>
      <c r="Y143" s="343">
        <v>0</v>
      </c>
      <c r="Z143" s="343">
        <v>0</v>
      </c>
      <c r="AA143" s="343">
        <v>0</v>
      </c>
      <c r="AB143" s="343">
        <v>0</v>
      </c>
      <c r="AC143" s="343">
        <v>0</v>
      </c>
      <c r="AD143" s="343">
        <v>0</v>
      </c>
      <c r="AE143" s="343">
        <v>0</v>
      </c>
      <c r="AF143" s="343">
        <v>0</v>
      </c>
      <c r="AG143" s="343">
        <v>0</v>
      </c>
      <c r="AH143" s="343">
        <v>0</v>
      </c>
      <c r="AI143" s="343">
        <v>0</v>
      </c>
      <c r="AJ143" s="343">
        <v>0</v>
      </c>
      <c r="AK143" s="343">
        <v>0</v>
      </c>
      <c r="AL143" s="343">
        <v>0</v>
      </c>
      <c r="AM143" s="343">
        <v>0</v>
      </c>
      <c r="AN143" s="343">
        <v>0</v>
      </c>
      <c r="AO143" s="343">
        <v>0</v>
      </c>
      <c r="AP143" s="343">
        <v>0</v>
      </c>
      <c r="AQ143" s="343">
        <v>0</v>
      </c>
      <c r="AR143" s="343">
        <v>0</v>
      </c>
      <c r="AS143" s="495">
        <v>0</v>
      </c>
      <c r="AT143" s="495">
        <v>0</v>
      </c>
      <c r="AU143" s="495">
        <v>0</v>
      </c>
      <c r="AV143" s="495">
        <v>0</v>
      </c>
      <c r="AW143" s="495">
        <v>1</v>
      </c>
      <c r="AX143" s="495"/>
      <c r="AY143" s="495"/>
      <c r="AZ143" s="495"/>
      <c r="BA143" s="495"/>
      <c r="BB143" s="457"/>
      <c r="BC143" s="21"/>
    </row>
    <row r="144" spans="1:57">
      <c r="B144" s="1000" t="s">
        <v>578</v>
      </c>
      <c r="C144" s="1000"/>
      <c r="D144" s="836"/>
      <c r="E144" s="329" t="s">
        <v>504</v>
      </c>
      <c r="F144" s="330"/>
      <c r="G144" s="329" t="s">
        <v>65</v>
      </c>
      <c r="H144" s="342"/>
      <c r="I144" s="343">
        <v>0</v>
      </c>
      <c r="J144" s="343">
        <v>0</v>
      </c>
      <c r="K144" s="343">
        <v>1</v>
      </c>
      <c r="L144" s="343">
        <v>1</v>
      </c>
      <c r="M144" s="343">
        <v>1</v>
      </c>
      <c r="N144" s="343">
        <v>0</v>
      </c>
      <c r="O144" s="343">
        <v>1</v>
      </c>
      <c r="P144" s="343">
        <v>0</v>
      </c>
      <c r="Q144" s="343">
        <v>1</v>
      </c>
      <c r="R144" s="343">
        <v>1</v>
      </c>
      <c r="S144" s="343">
        <v>1</v>
      </c>
      <c r="T144" s="343">
        <v>0</v>
      </c>
      <c r="U144" s="343">
        <v>0</v>
      </c>
      <c r="V144" s="343">
        <v>0</v>
      </c>
      <c r="W144" s="343">
        <v>0</v>
      </c>
      <c r="X144" s="343">
        <v>0</v>
      </c>
      <c r="Y144" s="343">
        <v>0</v>
      </c>
      <c r="Z144" s="343">
        <v>0</v>
      </c>
      <c r="AA144" s="343">
        <v>0</v>
      </c>
      <c r="AB144" s="343">
        <v>0</v>
      </c>
      <c r="AC144" s="343">
        <v>0</v>
      </c>
      <c r="AD144" s="343">
        <v>0</v>
      </c>
      <c r="AE144" s="343">
        <v>0</v>
      </c>
      <c r="AF144" s="343">
        <v>0</v>
      </c>
      <c r="AG144" s="343">
        <v>0</v>
      </c>
      <c r="AH144" s="343">
        <v>0</v>
      </c>
      <c r="AI144" s="343">
        <v>0</v>
      </c>
      <c r="AJ144" s="343">
        <v>0</v>
      </c>
      <c r="AK144" s="343">
        <v>0</v>
      </c>
      <c r="AL144" s="343">
        <v>0</v>
      </c>
      <c r="AM144" s="343">
        <v>0</v>
      </c>
      <c r="AN144" s="343">
        <v>0</v>
      </c>
      <c r="AO144" s="343">
        <v>0</v>
      </c>
      <c r="AP144" s="343">
        <v>0</v>
      </c>
      <c r="AQ144" s="343">
        <v>0</v>
      </c>
      <c r="AR144" s="343">
        <v>0</v>
      </c>
      <c r="AS144" s="495">
        <v>0</v>
      </c>
      <c r="AT144" s="495">
        <v>0</v>
      </c>
      <c r="AU144" s="495">
        <v>0</v>
      </c>
      <c r="AV144" s="495">
        <v>0</v>
      </c>
      <c r="AW144" s="495">
        <v>0</v>
      </c>
      <c r="AX144" s="495"/>
      <c r="AY144" s="495"/>
      <c r="AZ144" s="495"/>
      <c r="BA144" s="495"/>
      <c r="BB144" s="457"/>
      <c r="BC144" s="21"/>
    </row>
    <row r="145" spans="2:55" ht="18.75">
      <c r="B145" s="1000" t="s">
        <v>578</v>
      </c>
      <c r="C145" s="1000"/>
      <c r="D145" s="836"/>
      <c r="E145" s="337" t="s">
        <v>594</v>
      </c>
      <c r="F145" s="338"/>
      <c r="G145" s="339"/>
      <c r="H145" s="437"/>
      <c r="I145" s="437"/>
      <c r="J145" s="437"/>
      <c r="K145" s="437"/>
      <c r="L145" s="437"/>
      <c r="M145" s="437"/>
      <c r="N145" s="437"/>
      <c r="O145" s="437"/>
      <c r="P145" s="437"/>
      <c r="Q145" s="437"/>
      <c r="R145" s="437"/>
      <c r="S145" s="437"/>
      <c r="T145" s="437"/>
      <c r="U145" s="437"/>
      <c r="V145" s="437"/>
      <c r="W145" s="437"/>
      <c r="X145" s="437"/>
      <c r="Y145" s="437"/>
      <c r="Z145" s="437"/>
      <c r="AA145" s="438"/>
      <c r="AB145" s="437"/>
      <c r="AC145" s="437"/>
      <c r="AD145" s="437"/>
      <c r="AE145" s="437"/>
      <c r="AF145" s="437"/>
      <c r="AG145" s="437"/>
      <c r="AH145" s="437"/>
      <c r="AI145" s="437"/>
      <c r="AJ145" s="437"/>
      <c r="AK145" s="437"/>
      <c r="AL145" s="437"/>
      <c r="AM145" s="437"/>
      <c r="AN145" s="437"/>
      <c r="AO145" s="437"/>
      <c r="AP145" s="437"/>
      <c r="AQ145" s="437"/>
      <c r="AR145" s="437"/>
      <c r="AS145" s="437"/>
      <c r="AT145" s="437"/>
      <c r="AU145" s="437"/>
      <c r="AV145" s="437"/>
      <c r="AW145" s="437"/>
      <c r="AX145" s="437"/>
      <c r="AY145" s="437"/>
      <c r="AZ145" s="437"/>
      <c r="BA145" s="437"/>
      <c r="BB145" s="443"/>
      <c r="BC145" s="21"/>
    </row>
    <row r="146" spans="2:55">
      <c r="B146" s="1000" t="s">
        <v>578</v>
      </c>
      <c r="C146" s="1000"/>
      <c r="D146" s="836"/>
      <c r="E146" s="329" t="s">
        <v>595</v>
      </c>
      <c r="F146" s="330"/>
      <c r="G146" s="329" t="s">
        <v>65</v>
      </c>
      <c r="H146" s="342"/>
      <c r="I146" s="341">
        <v>0.85</v>
      </c>
      <c r="J146" s="341">
        <v>1</v>
      </c>
      <c r="K146" s="341">
        <v>0.85</v>
      </c>
      <c r="L146" s="341">
        <v>0.85</v>
      </c>
      <c r="M146" s="341">
        <v>0.85</v>
      </c>
      <c r="N146" s="341">
        <v>0.85</v>
      </c>
      <c r="O146" s="341">
        <v>0.85</v>
      </c>
      <c r="P146" s="341">
        <v>0.85</v>
      </c>
      <c r="Q146" s="341">
        <v>0.85</v>
      </c>
      <c r="R146" s="341">
        <v>0.85</v>
      </c>
      <c r="S146" s="341">
        <v>0.85</v>
      </c>
      <c r="T146" s="341">
        <v>1</v>
      </c>
      <c r="U146" s="341">
        <v>0.85</v>
      </c>
      <c r="V146" s="341">
        <v>0.85</v>
      </c>
      <c r="W146" s="341">
        <v>0.85</v>
      </c>
      <c r="X146" s="341">
        <v>0.85</v>
      </c>
      <c r="Y146" s="341">
        <v>0.85</v>
      </c>
      <c r="Z146" s="341">
        <v>0.85</v>
      </c>
      <c r="AA146" s="341">
        <v>0.85</v>
      </c>
      <c r="AB146" s="341">
        <v>0.85</v>
      </c>
      <c r="AC146" s="341">
        <v>0.85</v>
      </c>
      <c r="AD146" s="341">
        <v>0.85</v>
      </c>
      <c r="AE146" s="341">
        <v>0.85</v>
      </c>
      <c r="AF146" s="341">
        <v>0.85</v>
      </c>
      <c r="AG146" s="341">
        <v>0.85</v>
      </c>
      <c r="AH146" s="341">
        <v>0.85</v>
      </c>
      <c r="AI146" s="341">
        <v>0.85</v>
      </c>
      <c r="AJ146" s="341">
        <v>0.85</v>
      </c>
      <c r="AK146" s="341">
        <v>0.85</v>
      </c>
      <c r="AL146" s="341">
        <v>0.85</v>
      </c>
      <c r="AM146" s="341">
        <v>0.85</v>
      </c>
      <c r="AN146" s="341">
        <v>0.85</v>
      </c>
      <c r="AO146" s="341">
        <v>0.85</v>
      </c>
      <c r="AP146" s="341">
        <v>0.5</v>
      </c>
      <c r="AQ146" s="341">
        <v>0.7</v>
      </c>
      <c r="AR146" s="341">
        <v>1</v>
      </c>
      <c r="AS146" s="496">
        <v>1</v>
      </c>
      <c r="AT146" s="496">
        <v>1</v>
      </c>
      <c r="AU146" s="496">
        <v>1</v>
      </c>
      <c r="AV146" s="496">
        <v>1</v>
      </c>
      <c r="AW146" s="496">
        <v>0.85</v>
      </c>
      <c r="AX146" s="496"/>
      <c r="AY146" s="496"/>
      <c r="AZ146" s="496"/>
      <c r="BA146" s="496"/>
      <c r="BB146" s="458"/>
      <c r="BC146" s="21"/>
    </row>
    <row r="147" spans="2:55" ht="18.75">
      <c r="B147" s="1000" t="s">
        <v>578</v>
      </c>
      <c r="C147" s="1000"/>
      <c r="D147" s="836"/>
      <c r="E147" s="337" t="s">
        <v>596</v>
      </c>
      <c r="F147" s="338"/>
      <c r="G147" s="339"/>
      <c r="H147" s="437"/>
      <c r="I147" s="437"/>
      <c r="J147" s="437"/>
      <c r="K147" s="437"/>
      <c r="L147" s="437"/>
      <c r="M147" s="437"/>
      <c r="N147" s="437"/>
      <c r="O147" s="437"/>
      <c r="P147" s="437"/>
      <c r="Q147" s="437"/>
      <c r="R147" s="437"/>
      <c r="S147" s="437"/>
      <c r="T147" s="437"/>
      <c r="U147" s="437"/>
      <c r="V147" s="437"/>
      <c r="W147" s="437"/>
      <c r="X147" s="437"/>
      <c r="Y147" s="437"/>
      <c r="Z147" s="437"/>
      <c r="AA147" s="438"/>
      <c r="AB147" s="437"/>
      <c r="AC147" s="437"/>
      <c r="AD147" s="437"/>
      <c r="AE147" s="437"/>
      <c r="AF147" s="437"/>
      <c r="AG147" s="437"/>
      <c r="AH147" s="437"/>
      <c r="AI147" s="437"/>
      <c r="AJ147" s="437"/>
      <c r="AK147" s="437"/>
      <c r="AL147" s="437"/>
      <c r="AM147" s="437"/>
      <c r="AN147" s="437"/>
      <c r="AO147" s="437"/>
      <c r="AP147" s="437"/>
      <c r="AQ147" s="437"/>
      <c r="AR147" s="437"/>
      <c r="AS147" s="437"/>
      <c r="AT147" s="437"/>
      <c r="AU147" s="437"/>
      <c r="AV147" s="437"/>
      <c r="AW147" s="437"/>
      <c r="AX147" s="437"/>
      <c r="AY147" s="437"/>
      <c r="AZ147" s="437"/>
      <c r="BA147" s="437"/>
      <c r="BB147" s="443"/>
      <c r="BC147" s="21"/>
    </row>
    <row r="148" spans="2:55">
      <c r="B148" s="1000" t="s">
        <v>578</v>
      </c>
      <c r="C148" s="1000"/>
      <c r="D148" s="836"/>
      <c r="E148" s="329" t="s">
        <v>597</v>
      </c>
      <c r="F148" s="330"/>
      <c r="G148" s="329" t="s">
        <v>509</v>
      </c>
      <c r="H148" s="342"/>
      <c r="I148" s="422">
        <v>0</v>
      </c>
      <c r="J148" s="422">
        <v>0</v>
      </c>
      <c r="K148" s="422">
        <v>0</v>
      </c>
      <c r="L148" s="422">
        <v>0</v>
      </c>
      <c r="M148" s="422">
        <v>0</v>
      </c>
      <c r="N148" s="422">
        <v>0</v>
      </c>
      <c r="O148" s="422">
        <v>0</v>
      </c>
      <c r="P148" s="422">
        <v>0</v>
      </c>
      <c r="Q148" s="422">
        <v>0</v>
      </c>
      <c r="R148" s="422">
        <v>0</v>
      </c>
      <c r="S148" s="422">
        <v>0</v>
      </c>
      <c r="T148" s="422">
        <v>0</v>
      </c>
      <c r="U148" s="422">
        <v>0</v>
      </c>
      <c r="V148" s="422">
        <v>0</v>
      </c>
      <c r="W148" s="422">
        <v>0</v>
      </c>
      <c r="X148" s="422">
        <v>0</v>
      </c>
      <c r="Y148" s="422">
        <v>0</v>
      </c>
      <c r="Z148" s="422">
        <v>0</v>
      </c>
      <c r="AA148" s="422">
        <v>0</v>
      </c>
      <c r="AB148" s="422">
        <v>0</v>
      </c>
      <c r="AC148" s="422">
        <v>0</v>
      </c>
      <c r="AD148" s="422">
        <v>0</v>
      </c>
      <c r="AE148" s="422">
        <v>0</v>
      </c>
      <c r="AF148" s="422">
        <v>0</v>
      </c>
      <c r="AG148" s="422">
        <v>0</v>
      </c>
      <c r="AH148" s="422">
        <f>3/3.6</f>
        <v>0.83333333333333326</v>
      </c>
      <c r="AI148" s="422">
        <v>0</v>
      </c>
      <c r="AJ148" s="422">
        <v>0</v>
      </c>
      <c r="AK148" s="422">
        <v>0</v>
      </c>
      <c r="AL148" s="422">
        <v>0</v>
      </c>
      <c r="AM148" s="422">
        <v>0</v>
      </c>
      <c r="AN148" s="422">
        <v>0</v>
      </c>
      <c r="AO148" s="422">
        <v>0</v>
      </c>
      <c r="AP148" s="422">
        <v>0</v>
      </c>
      <c r="AQ148" s="422">
        <v>0</v>
      </c>
      <c r="AR148" s="422">
        <v>0</v>
      </c>
      <c r="AS148" s="497">
        <v>0</v>
      </c>
      <c r="AT148" s="497">
        <v>0</v>
      </c>
      <c r="AU148" s="497">
        <v>0</v>
      </c>
      <c r="AV148" s="497">
        <v>0</v>
      </c>
      <c r="AW148" s="497">
        <v>0</v>
      </c>
      <c r="AX148" s="497"/>
      <c r="AY148" s="497"/>
      <c r="AZ148" s="497"/>
      <c r="BA148" s="497"/>
      <c r="BB148" s="457"/>
      <c r="BC148" s="21"/>
    </row>
    <row r="149" spans="2:55">
      <c r="B149" s="1000" t="s">
        <v>578</v>
      </c>
      <c r="C149" s="1000"/>
      <c r="D149" s="836"/>
      <c r="E149" s="329" t="s">
        <v>598</v>
      </c>
      <c r="F149" s="330"/>
      <c r="G149" s="329" t="s">
        <v>509</v>
      </c>
      <c r="H149" s="342"/>
      <c r="I149" s="422">
        <v>0</v>
      </c>
      <c r="J149" s="422">
        <v>0</v>
      </c>
      <c r="K149" s="422">
        <v>0</v>
      </c>
      <c r="L149" s="422">
        <v>0</v>
      </c>
      <c r="M149" s="422">
        <v>0</v>
      </c>
      <c r="N149" s="422">
        <v>0</v>
      </c>
      <c r="O149" s="422">
        <v>0</v>
      </c>
      <c r="P149" s="422">
        <v>0</v>
      </c>
      <c r="Q149" s="422">
        <v>0</v>
      </c>
      <c r="R149" s="422">
        <v>0</v>
      </c>
      <c r="S149" s="422">
        <v>0</v>
      </c>
      <c r="T149" s="422">
        <v>0</v>
      </c>
      <c r="U149" s="422">
        <v>0</v>
      </c>
      <c r="V149" s="422">
        <v>0</v>
      </c>
      <c r="W149" s="422">
        <v>0</v>
      </c>
      <c r="X149" s="422">
        <v>0</v>
      </c>
      <c r="Y149" s="422">
        <v>0</v>
      </c>
      <c r="Z149" s="422">
        <v>0</v>
      </c>
      <c r="AA149" s="422">
        <v>0</v>
      </c>
      <c r="AB149" s="422">
        <v>0</v>
      </c>
      <c r="AC149" s="422">
        <v>0</v>
      </c>
      <c r="AD149" s="422">
        <v>0</v>
      </c>
      <c r="AE149" s="422">
        <v>0</v>
      </c>
      <c r="AF149" s="422">
        <v>0</v>
      </c>
      <c r="AG149" s="422">
        <v>0</v>
      </c>
      <c r="AH149" s="422">
        <f>1/3.6</f>
        <v>0.27777777777777779</v>
      </c>
      <c r="AI149" s="422">
        <v>0</v>
      </c>
      <c r="AJ149" s="422">
        <v>0</v>
      </c>
      <c r="AK149" s="422">
        <v>0</v>
      </c>
      <c r="AL149" s="422">
        <v>0</v>
      </c>
      <c r="AM149" s="422">
        <v>0</v>
      </c>
      <c r="AN149" s="422">
        <v>0</v>
      </c>
      <c r="AO149" s="422">
        <v>0</v>
      </c>
      <c r="AP149" s="422">
        <v>0</v>
      </c>
      <c r="AQ149" s="422">
        <v>0</v>
      </c>
      <c r="AR149" s="422">
        <v>0</v>
      </c>
      <c r="AS149" s="497">
        <v>0</v>
      </c>
      <c r="AT149" s="497">
        <v>0</v>
      </c>
      <c r="AU149" s="497">
        <v>0</v>
      </c>
      <c r="AV149" s="497">
        <v>0</v>
      </c>
      <c r="AW149" s="497">
        <v>0</v>
      </c>
      <c r="AX149" s="497"/>
      <c r="AY149" s="497"/>
      <c r="AZ149" s="497"/>
      <c r="BA149" s="497"/>
      <c r="BB149" s="457"/>
      <c r="BC149" s="21"/>
    </row>
    <row r="150" spans="2:55">
      <c r="B150" s="1000" t="s">
        <v>578</v>
      </c>
      <c r="C150" s="1000"/>
      <c r="D150" s="836"/>
      <c r="E150" s="329" t="s">
        <v>599</v>
      </c>
      <c r="F150" s="330"/>
      <c r="G150" s="329" t="s">
        <v>512</v>
      </c>
      <c r="H150" s="342"/>
      <c r="I150" s="422">
        <v>0</v>
      </c>
      <c r="J150" s="422">
        <v>0</v>
      </c>
      <c r="K150" s="422">
        <v>0</v>
      </c>
      <c r="L150" s="422">
        <v>0</v>
      </c>
      <c r="M150" s="422">
        <v>0</v>
      </c>
      <c r="N150" s="422">
        <v>0</v>
      </c>
      <c r="O150" s="422">
        <v>0</v>
      </c>
      <c r="P150" s="422">
        <v>0</v>
      </c>
      <c r="Q150" s="422">
        <v>0</v>
      </c>
      <c r="R150" s="422">
        <v>0</v>
      </c>
      <c r="S150" s="422">
        <v>0</v>
      </c>
      <c r="T150" s="422">
        <v>0</v>
      </c>
      <c r="U150" s="422">
        <v>0</v>
      </c>
      <c r="V150" s="422">
        <v>0</v>
      </c>
      <c r="W150" s="422">
        <v>0</v>
      </c>
      <c r="X150" s="422">
        <v>0</v>
      </c>
      <c r="Y150" s="422">
        <v>0</v>
      </c>
      <c r="Z150" s="422">
        <v>0</v>
      </c>
      <c r="AA150" s="422">
        <v>0</v>
      </c>
      <c r="AB150" s="422">
        <v>0</v>
      </c>
      <c r="AC150" s="422">
        <v>0</v>
      </c>
      <c r="AD150" s="422">
        <v>0</v>
      </c>
      <c r="AE150" s="422">
        <v>0</v>
      </c>
      <c r="AF150" s="422">
        <v>0</v>
      </c>
      <c r="AG150" s="422">
        <v>0</v>
      </c>
      <c r="AH150" s="422">
        <f>35/3.6</f>
        <v>9.7222222222222214</v>
      </c>
      <c r="AI150" s="422">
        <v>0</v>
      </c>
      <c r="AJ150" s="422">
        <v>0</v>
      </c>
      <c r="AK150" s="422">
        <v>0</v>
      </c>
      <c r="AL150" s="422">
        <v>0</v>
      </c>
      <c r="AM150" s="422">
        <v>0</v>
      </c>
      <c r="AN150" s="422">
        <v>0</v>
      </c>
      <c r="AO150" s="422">
        <v>0</v>
      </c>
      <c r="AP150" s="422">
        <v>0</v>
      </c>
      <c r="AQ150" s="422">
        <v>0</v>
      </c>
      <c r="AR150" s="422">
        <v>0</v>
      </c>
      <c r="AS150" s="497">
        <v>0</v>
      </c>
      <c r="AT150" s="497">
        <v>0</v>
      </c>
      <c r="AU150" s="497">
        <v>0</v>
      </c>
      <c r="AV150" s="497">
        <v>0</v>
      </c>
      <c r="AW150" s="497">
        <v>0</v>
      </c>
      <c r="AX150" s="497"/>
      <c r="AY150" s="497"/>
      <c r="AZ150" s="497"/>
      <c r="BA150" s="497"/>
      <c r="BB150" s="457"/>
      <c r="BC150" s="21"/>
    </row>
    <row r="151" spans="2:55" ht="18.75">
      <c r="B151" s="1000" t="s">
        <v>578</v>
      </c>
      <c r="C151" s="1000"/>
      <c r="D151" s="836"/>
      <c r="E151" s="337" t="s">
        <v>513</v>
      </c>
      <c r="F151" s="338"/>
      <c r="G151" s="339"/>
      <c r="H151" s="437"/>
      <c r="I151" s="437"/>
      <c r="J151" s="437"/>
      <c r="K151" s="437"/>
      <c r="L151" s="437"/>
      <c r="M151" s="437"/>
      <c r="N151" s="437"/>
      <c r="O151" s="437"/>
      <c r="P151" s="437"/>
      <c r="Q151" s="437"/>
      <c r="R151" s="437"/>
      <c r="S151" s="437"/>
      <c r="T151" s="437"/>
      <c r="U151" s="437"/>
      <c r="V151" s="437"/>
      <c r="W151" s="437"/>
      <c r="X151" s="437"/>
      <c r="Y151" s="437"/>
      <c r="Z151" s="437"/>
      <c r="AA151" s="438"/>
      <c r="AB151" s="437"/>
      <c r="AC151" s="437"/>
      <c r="AD151" s="437"/>
      <c r="AE151" s="437"/>
      <c r="AF151" s="437"/>
      <c r="AG151" s="437"/>
      <c r="AH151" s="437"/>
      <c r="AI151" s="437"/>
      <c r="AJ151" s="437"/>
      <c r="AK151" s="437"/>
      <c r="AL151" s="437"/>
      <c r="AM151" s="437"/>
      <c r="AN151" s="437"/>
      <c r="AO151" s="437"/>
      <c r="AP151" s="437"/>
      <c r="AQ151" s="437"/>
      <c r="AR151" s="437"/>
      <c r="AS151" s="437"/>
      <c r="AT151" s="437"/>
      <c r="AU151" s="437"/>
      <c r="AV151" s="437"/>
      <c r="AW151" s="437"/>
      <c r="AX151" s="437"/>
      <c r="AY151" s="437"/>
      <c r="AZ151" s="437"/>
      <c r="BA151" s="437"/>
      <c r="BB151" s="443"/>
      <c r="BC151" s="21"/>
    </row>
    <row r="152" spans="2:55" ht="51">
      <c r="B152" s="1000" t="s">
        <v>578</v>
      </c>
      <c r="C152" s="1000"/>
      <c r="D152" s="836"/>
      <c r="E152" s="329" t="s">
        <v>514</v>
      </c>
      <c r="F152" s="330"/>
      <c r="G152" s="329" t="s">
        <v>65</v>
      </c>
      <c r="H152" s="342"/>
      <c r="I152" s="422" t="s">
        <v>515</v>
      </c>
      <c r="J152" s="422" t="s">
        <v>515</v>
      </c>
      <c r="K152" s="422" t="s">
        <v>145</v>
      </c>
      <c r="L152" s="422" t="s">
        <v>145</v>
      </c>
      <c r="M152" s="422" t="s">
        <v>145</v>
      </c>
      <c r="N152" s="422" t="s">
        <v>145</v>
      </c>
      <c r="O152" s="422" t="s">
        <v>145</v>
      </c>
      <c r="P152" s="422" t="s">
        <v>145</v>
      </c>
      <c r="Q152" s="422" t="s">
        <v>145</v>
      </c>
      <c r="R152" s="422" t="s">
        <v>145</v>
      </c>
      <c r="S152" s="422" t="s">
        <v>145</v>
      </c>
      <c r="T152" s="422" t="s">
        <v>145</v>
      </c>
      <c r="U152" s="422" t="s">
        <v>145</v>
      </c>
      <c r="V152" s="422" t="s">
        <v>515</v>
      </c>
      <c r="W152" s="422" t="s">
        <v>515</v>
      </c>
      <c r="X152" s="422" t="s">
        <v>516</v>
      </c>
      <c r="Y152" s="422" t="s">
        <v>517</v>
      </c>
      <c r="Z152" s="422" t="s">
        <v>517</v>
      </c>
      <c r="AA152" s="422" t="s">
        <v>517</v>
      </c>
      <c r="AB152" s="422" t="s">
        <v>517</v>
      </c>
      <c r="AC152" s="422" t="s">
        <v>518</v>
      </c>
      <c r="AD152" s="422" t="s">
        <v>519</v>
      </c>
      <c r="AE152" s="422" t="s">
        <v>520</v>
      </c>
      <c r="AF152" s="422" t="s">
        <v>515</v>
      </c>
      <c r="AG152" s="422" t="s">
        <v>515</v>
      </c>
      <c r="AH152" s="422" t="s">
        <v>515</v>
      </c>
      <c r="AI152" s="422" t="s">
        <v>145</v>
      </c>
      <c r="AJ152" s="422" t="s">
        <v>1209</v>
      </c>
      <c r="AK152" s="422" t="s">
        <v>1210</v>
      </c>
      <c r="AL152" s="422" t="s">
        <v>1213</v>
      </c>
      <c r="AM152" s="422" t="s">
        <v>1214</v>
      </c>
      <c r="AN152" s="422" t="s">
        <v>521</v>
      </c>
      <c r="AO152" s="422" t="s">
        <v>522</v>
      </c>
      <c r="AP152" s="422" t="s">
        <v>515</v>
      </c>
      <c r="AQ152" s="422" t="s">
        <v>515</v>
      </c>
      <c r="AR152" s="422" t="s">
        <v>600</v>
      </c>
      <c r="AS152" s="487" t="s">
        <v>523</v>
      </c>
      <c r="AT152" s="487" t="s">
        <v>600</v>
      </c>
      <c r="AU152" s="487" t="s">
        <v>600</v>
      </c>
      <c r="AV152" s="487" t="s">
        <v>515</v>
      </c>
      <c r="AW152" s="487" t="s">
        <v>145</v>
      </c>
      <c r="AX152" s="487"/>
      <c r="AY152" s="487"/>
      <c r="AZ152" s="487"/>
      <c r="BA152" s="487"/>
      <c r="BB152" s="457"/>
      <c r="BC152" s="21"/>
    </row>
    <row r="153" spans="2:55">
      <c r="B153" s="1000" t="s">
        <v>578</v>
      </c>
      <c r="C153" s="1000"/>
      <c r="D153" s="836"/>
      <c r="E153" s="329" t="s">
        <v>525</v>
      </c>
      <c r="F153" s="330"/>
      <c r="G153" s="329" t="s">
        <v>65</v>
      </c>
      <c r="H153" s="342"/>
      <c r="I153" s="444" t="str">
        <f t="shared" ref="I153:BA153" si="48">IF(OR(referentie_warmtapwater="",I152=""),"",IF(OR(I141&lt;&gt;gebouw),GJ,HLOOKUP(I152,ENERGIEDRAGERS,ROWS($E$259:$E$265),FALSE)))</f>
        <v>kWh</v>
      </c>
      <c r="J153" s="444" t="str">
        <f t="shared" si="48"/>
        <v>kWh</v>
      </c>
      <c r="K153" s="444" t="str">
        <f t="shared" si="48"/>
        <v>kWh</v>
      </c>
      <c r="L153" s="444" t="str">
        <f t="shared" si="48"/>
        <v>kWh</v>
      </c>
      <c r="M153" s="444" t="str">
        <f t="shared" si="48"/>
        <v>kWh</v>
      </c>
      <c r="N153" s="444" t="str">
        <f t="shared" si="48"/>
        <v>kWh</v>
      </c>
      <c r="O153" s="444" t="str">
        <f t="shared" si="48"/>
        <v>kWh</v>
      </c>
      <c r="P153" s="444" t="str">
        <f t="shared" si="48"/>
        <v>kWh</v>
      </c>
      <c r="Q153" s="444" t="str">
        <f t="shared" si="48"/>
        <v>kWh</v>
      </c>
      <c r="R153" s="444" t="str">
        <f t="shared" si="48"/>
        <v>GJ</v>
      </c>
      <c r="S153" s="444" t="str">
        <f t="shared" si="48"/>
        <v>kWh</v>
      </c>
      <c r="T153" s="444" t="str">
        <f t="shared" si="48"/>
        <v>kWh</v>
      </c>
      <c r="U153" s="444" t="str">
        <f t="shared" si="48"/>
        <v>GJ</v>
      </c>
      <c r="V153" s="444" t="str">
        <f t="shared" si="48"/>
        <v>GJ</v>
      </c>
      <c r="W153" s="444" t="str">
        <f t="shared" si="48"/>
        <v>GJ</v>
      </c>
      <c r="X153" s="444" t="str">
        <f t="shared" si="48"/>
        <v>GJ</v>
      </c>
      <c r="Y153" s="444" t="str">
        <f t="shared" si="48"/>
        <v>GJ</v>
      </c>
      <c r="Z153" s="444" t="str">
        <f t="shared" si="48"/>
        <v>GJ</v>
      </c>
      <c r="AA153" s="444" t="str">
        <f t="shared" si="48"/>
        <v>GJ</v>
      </c>
      <c r="AB153" s="444" t="str">
        <f t="shared" si="48"/>
        <v>GJ</v>
      </c>
      <c r="AC153" s="444" t="str">
        <f t="shared" si="48"/>
        <v>GJ</v>
      </c>
      <c r="AD153" s="444" t="str">
        <f t="shared" si="48"/>
        <v>GJ</v>
      </c>
      <c r="AE153" s="444" t="str">
        <f t="shared" si="48"/>
        <v>GJ</v>
      </c>
      <c r="AF153" s="444" t="str">
        <f t="shared" si="48"/>
        <v>kWh</v>
      </c>
      <c r="AG153" s="444" t="str">
        <f t="shared" si="48"/>
        <v>kWh</v>
      </c>
      <c r="AH153" s="444" t="str">
        <f t="shared" si="48"/>
        <v>GJ</v>
      </c>
      <c r="AI153" s="444" t="str">
        <f t="shared" si="48"/>
        <v>kWh</v>
      </c>
      <c r="AJ153" s="444" t="str">
        <f t="shared" si="48"/>
        <v>GJ</v>
      </c>
      <c r="AK153" s="444" t="str">
        <f t="shared" si="48"/>
        <v>GJ</v>
      </c>
      <c r="AL153" s="444" t="str">
        <f t="shared" si="48"/>
        <v>GJ</v>
      </c>
      <c r="AM153" s="444" t="str">
        <f t="shared" si="48"/>
        <v>GJ</v>
      </c>
      <c r="AN153" s="444" t="str">
        <f t="shared" si="48"/>
        <v>GJ</v>
      </c>
      <c r="AO153" s="444" t="str">
        <f t="shared" si="48"/>
        <v>GJ</v>
      </c>
      <c r="AP153" s="444" t="str">
        <f t="shared" si="48"/>
        <v>GJ</v>
      </c>
      <c r="AQ153" s="444" t="str">
        <f t="shared" si="48"/>
        <v>GJ</v>
      </c>
      <c r="AR153" s="444" t="str">
        <f t="shared" si="48"/>
        <v>GJ</v>
      </c>
      <c r="AS153" s="444" t="str">
        <f t="shared" si="48"/>
        <v>GJ</v>
      </c>
      <c r="AT153" s="444" t="str">
        <f t="shared" si="48"/>
        <v>GJ</v>
      </c>
      <c r="AU153" s="444" t="str">
        <f t="shared" si="48"/>
        <v>GJ</v>
      </c>
      <c r="AV153" s="444" t="str">
        <f t="shared" si="48"/>
        <v>kWh</v>
      </c>
      <c r="AW153" s="444" t="str">
        <f t="shared" si="48"/>
        <v>kWh</v>
      </c>
      <c r="AX153" s="444" t="str">
        <f t="shared" si="48"/>
        <v/>
      </c>
      <c r="AY153" s="444" t="str">
        <f t="shared" si="48"/>
        <v/>
      </c>
      <c r="AZ153" s="444" t="str">
        <f t="shared" si="48"/>
        <v/>
      </c>
      <c r="BA153" s="444" t="str">
        <f t="shared" si="48"/>
        <v/>
      </c>
      <c r="BB153" s="457"/>
      <c r="BC153" s="21"/>
    </row>
    <row r="154" spans="2:55">
      <c r="B154" s="1000" t="s">
        <v>578</v>
      </c>
      <c r="C154" s="1000"/>
      <c r="D154" s="837" t="s">
        <v>45</v>
      </c>
      <c r="E154" s="602" t="s">
        <v>526</v>
      </c>
      <c r="F154" s="703"/>
      <c r="G154" s="329" t="s">
        <v>139</v>
      </c>
      <c r="H154" s="342"/>
      <c r="I154" s="344">
        <v>1</v>
      </c>
      <c r="J154" s="344">
        <v>1</v>
      </c>
      <c r="K154" s="344">
        <v>0.9</v>
      </c>
      <c r="L154" s="344">
        <v>0.9</v>
      </c>
      <c r="M154" s="344">
        <v>0.9</v>
      </c>
      <c r="N154" s="344">
        <v>0.9</v>
      </c>
      <c r="O154" s="344">
        <v>0</v>
      </c>
      <c r="P154" s="344">
        <v>0.9</v>
      </c>
      <c r="Q154" s="344">
        <v>0.9</v>
      </c>
      <c r="R154" s="344">
        <v>0.8</v>
      </c>
      <c r="S154" s="344">
        <v>0.9</v>
      </c>
      <c r="T154" s="344">
        <v>1</v>
      </c>
      <c r="U154" s="344">
        <v>1</v>
      </c>
      <c r="V154" s="344">
        <v>0.8</v>
      </c>
      <c r="W154" s="344">
        <v>0.8</v>
      </c>
      <c r="X154" s="344">
        <v>0.8</v>
      </c>
      <c r="Y154" s="344">
        <v>0.8</v>
      </c>
      <c r="Z154" s="344">
        <v>0.8</v>
      </c>
      <c r="AA154" s="344">
        <v>0.8</v>
      </c>
      <c r="AB154" s="344">
        <v>0.8</v>
      </c>
      <c r="AC154" s="344">
        <v>0.8</v>
      </c>
      <c r="AD154" s="344">
        <v>0.8</v>
      </c>
      <c r="AE154" s="344">
        <v>1</v>
      </c>
      <c r="AF154" s="344">
        <v>1</v>
      </c>
      <c r="AG154" s="344">
        <v>1</v>
      </c>
      <c r="AH154" s="344">
        <v>1</v>
      </c>
      <c r="AI154" s="344">
        <v>1</v>
      </c>
      <c r="AJ154" s="344">
        <v>1</v>
      </c>
      <c r="AK154" s="344">
        <v>1</v>
      </c>
      <c r="AL154" s="344">
        <v>1</v>
      </c>
      <c r="AM154" s="344">
        <v>1</v>
      </c>
      <c r="AN154" s="344">
        <v>0.8</v>
      </c>
      <c r="AO154" s="344">
        <v>0.8</v>
      </c>
      <c r="AP154" s="344">
        <v>1</v>
      </c>
      <c r="AQ154" s="344">
        <v>1</v>
      </c>
      <c r="AR154" s="804">
        <f>(AR163-1)/AR163</f>
        <v>0.7142857142857143</v>
      </c>
      <c r="AS154" s="747">
        <v>1</v>
      </c>
      <c r="AT154" s="747">
        <v>1</v>
      </c>
      <c r="AU154" s="747">
        <f>(AU163-1)/AU163</f>
        <v>0.75</v>
      </c>
      <c r="AV154" s="747">
        <v>0.5</v>
      </c>
      <c r="AW154" s="747">
        <v>1</v>
      </c>
      <c r="AX154" s="747" t="s">
        <v>528</v>
      </c>
      <c r="AY154" s="747" t="s">
        <v>528</v>
      </c>
      <c r="AZ154" s="747" t="s">
        <v>528</v>
      </c>
      <c r="BA154" s="747" t="s">
        <v>528</v>
      </c>
      <c r="BB154" s="749"/>
      <c r="BC154" s="229"/>
    </row>
    <row r="155" spans="2:55">
      <c r="B155" s="1000" t="s">
        <v>578</v>
      </c>
      <c r="C155" s="1000"/>
      <c r="D155" s="837" t="s">
        <v>45</v>
      </c>
      <c r="E155" s="602" t="s">
        <v>527</v>
      </c>
      <c r="F155" s="703"/>
      <c r="G155" s="329" t="s">
        <v>65</v>
      </c>
      <c r="H155" s="342"/>
      <c r="I155" s="445">
        <v>0.8</v>
      </c>
      <c r="J155" s="445">
        <v>0.5</v>
      </c>
      <c r="K155" s="445">
        <v>2.4</v>
      </c>
      <c r="L155" s="445">
        <v>2.4</v>
      </c>
      <c r="M155" s="445">
        <v>2.4</v>
      </c>
      <c r="N155" s="445">
        <v>2.4</v>
      </c>
      <c r="O155" s="445">
        <v>2.4</v>
      </c>
      <c r="P155" s="445">
        <v>2.4</v>
      </c>
      <c r="Q155" s="445">
        <v>4</v>
      </c>
      <c r="R155" s="445">
        <v>2.4</v>
      </c>
      <c r="S155" s="445">
        <v>15</v>
      </c>
      <c r="T155" s="445">
        <v>1</v>
      </c>
      <c r="U155" s="445">
        <f>20*(120-60-3)/40</f>
        <v>28.5</v>
      </c>
      <c r="V155" s="445">
        <v>0.5</v>
      </c>
      <c r="W155" s="445">
        <v>0.44</v>
      </c>
      <c r="X155" s="445">
        <v>0.4</v>
      </c>
      <c r="Y155" s="445">
        <v>0.26</v>
      </c>
      <c r="Z155" s="445">
        <v>0.36</v>
      </c>
      <c r="AA155" s="445">
        <v>0.48</v>
      </c>
      <c r="AB155" s="445">
        <v>0.9</v>
      </c>
      <c r="AC155" s="445">
        <v>1</v>
      </c>
      <c r="AD155" s="445">
        <v>1</v>
      </c>
      <c r="AE155" s="445">
        <f>1/0.07</f>
        <v>14.285714285714285</v>
      </c>
      <c r="AF155" s="445">
        <v>0.55000000000000004</v>
      </c>
      <c r="AG155" s="445">
        <v>0.66</v>
      </c>
      <c r="AH155" s="445">
        <v>0.78</v>
      </c>
      <c r="AI155" s="445">
        <v>2.2000000000000002</v>
      </c>
      <c r="AJ155" s="445">
        <v>1</v>
      </c>
      <c r="AK155" s="445">
        <v>1</v>
      </c>
      <c r="AL155" s="445">
        <v>1</v>
      </c>
      <c r="AM155" s="445">
        <v>1</v>
      </c>
      <c r="AN155" s="445">
        <v>1</v>
      </c>
      <c r="AO155" s="445">
        <v>1</v>
      </c>
      <c r="AP155" s="445">
        <v>0.8</v>
      </c>
      <c r="AQ155" s="445">
        <v>0.9</v>
      </c>
      <c r="AR155" s="445">
        <v>1</v>
      </c>
      <c r="AS155" s="748">
        <v>1</v>
      </c>
      <c r="AT155" s="748">
        <v>1</v>
      </c>
      <c r="AU155" s="748">
        <v>1</v>
      </c>
      <c r="AV155" s="748">
        <v>0.6</v>
      </c>
      <c r="AW155" s="748">
        <v>1.7604234880137166</v>
      </c>
      <c r="AX155" s="748" t="s">
        <v>528</v>
      </c>
      <c r="AY155" s="748" t="s">
        <v>528</v>
      </c>
      <c r="AZ155" s="748" t="s">
        <v>528</v>
      </c>
      <c r="BA155" s="748" t="s">
        <v>528</v>
      </c>
      <c r="BB155" s="749"/>
      <c r="BC155" s="21"/>
    </row>
    <row r="156" spans="2:55">
      <c r="B156" s="1000" t="s">
        <v>578</v>
      </c>
      <c r="C156" s="1000"/>
      <c r="D156" s="836"/>
      <c r="E156" s="329" t="s">
        <v>529</v>
      </c>
      <c r="F156" s="330"/>
      <c r="G156" s="329" t="s">
        <v>65</v>
      </c>
      <c r="H156" s="342"/>
      <c r="I156" s="446">
        <v>0</v>
      </c>
      <c r="J156" s="446">
        <v>0</v>
      </c>
      <c r="K156" s="446">
        <v>28</v>
      </c>
      <c r="L156" s="446">
        <v>0</v>
      </c>
      <c r="M156" s="446">
        <v>28</v>
      </c>
      <c r="N156" s="446">
        <v>0</v>
      </c>
      <c r="O156" s="446">
        <v>0</v>
      </c>
      <c r="P156" s="446">
        <v>0</v>
      </c>
      <c r="Q156" s="446">
        <v>15</v>
      </c>
      <c r="R156" s="446">
        <v>15</v>
      </c>
      <c r="S156" s="446">
        <v>28</v>
      </c>
      <c r="T156" s="446">
        <v>0</v>
      </c>
      <c r="U156" s="446">
        <v>0</v>
      </c>
      <c r="V156" s="446">
        <v>0</v>
      </c>
      <c r="W156" s="446">
        <v>0</v>
      </c>
      <c r="X156" s="446">
        <v>0</v>
      </c>
      <c r="Y156" s="446">
        <v>0</v>
      </c>
      <c r="Z156" s="446">
        <v>0</v>
      </c>
      <c r="AA156" s="446">
        <v>0</v>
      </c>
      <c r="AB156" s="446">
        <v>0</v>
      </c>
      <c r="AC156" s="446">
        <v>0</v>
      </c>
      <c r="AD156" s="446">
        <v>0</v>
      </c>
      <c r="AE156" s="446">
        <v>0</v>
      </c>
      <c r="AF156" s="446">
        <v>0</v>
      </c>
      <c r="AG156" s="446">
        <v>0</v>
      </c>
      <c r="AH156" s="446">
        <v>0</v>
      </c>
      <c r="AI156" s="446">
        <v>0</v>
      </c>
      <c r="AJ156" s="446">
        <v>0</v>
      </c>
      <c r="AK156" s="446">
        <v>0</v>
      </c>
      <c r="AL156" s="446">
        <v>0</v>
      </c>
      <c r="AM156" s="446">
        <v>0</v>
      </c>
      <c r="AN156" s="446">
        <v>0</v>
      </c>
      <c r="AO156" s="446">
        <v>0</v>
      </c>
      <c r="AP156" s="446">
        <v>0</v>
      </c>
      <c r="AQ156" s="446">
        <v>0</v>
      </c>
      <c r="AR156" s="446">
        <v>0</v>
      </c>
      <c r="AS156" s="495">
        <v>0</v>
      </c>
      <c r="AT156" s="495">
        <v>0</v>
      </c>
      <c r="AU156" s="495">
        <v>0</v>
      </c>
      <c r="AV156" s="495">
        <v>0</v>
      </c>
      <c r="AW156" s="495">
        <v>0</v>
      </c>
      <c r="AX156" s="495"/>
      <c r="AY156" s="495"/>
      <c r="AZ156" s="495"/>
      <c r="BA156" s="495"/>
      <c r="BB156" s="457"/>
      <c r="BC156" s="21"/>
    </row>
    <row r="157" spans="2:55">
      <c r="B157" s="1000" t="s">
        <v>578</v>
      </c>
      <c r="C157" s="1000"/>
      <c r="D157" s="837" t="s">
        <v>45</v>
      </c>
      <c r="E157" s="329" t="s">
        <v>530</v>
      </c>
      <c r="F157" s="330"/>
      <c r="G157" s="329" t="s">
        <v>65</v>
      </c>
      <c r="H157" s="342"/>
      <c r="I157" s="445">
        <v>0</v>
      </c>
      <c r="J157" s="445">
        <v>0</v>
      </c>
      <c r="K157" s="445">
        <v>0</v>
      </c>
      <c r="L157" s="445">
        <v>0</v>
      </c>
      <c r="M157" s="445">
        <v>0</v>
      </c>
      <c r="N157" s="445">
        <v>0</v>
      </c>
      <c r="O157" s="445">
        <v>0</v>
      </c>
      <c r="P157" s="445">
        <v>0</v>
      </c>
      <c r="Q157" s="445">
        <v>0</v>
      </c>
      <c r="R157" s="445">
        <v>0</v>
      </c>
      <c r="S157" s="445">
        <v>0</v>
      </c>
      <c r="T157" s="445">
        <v>0</v>
      </c>
      <c r="U157" s="445">
        <v>0</v>
      </c>
      <c r="V157" s="445">
        <v>0.32</v>
      </c>
      <c r="W157" s="445">
        <v>0.35</v>
      </c>
      <c r="X157" s="445">
        <v>0.42</v>
      </c>
      <c r="Y157" s="445">
        <v>0.26</v>
      </c>
      <c r="Z157" s="445">
        <v>0.23</v>
      </c>
      <c r="AA157" s="445">
        <v>0.28499999999999998</v>
      </c>
      <c r="AB157" s="445">
        <v>0</v>
      </c>
      <c r="AC157" s="445">
        <v>0</v>
      </c>
      <c r="AD157" s="445">
        <v>0</v>
      </c>
      <c r="AE157" s="445">
        <v>0</v>
      </c>
      <c r="AF157" s="445">
        <v>0</v>
      </c>
      <c r="AG157" s="445">
        <v>0</v>
      </c>
      <c r="AH157" s="445">
        <v>0</v>
      </c>
      <c r="AI157" s="445">
        <v>0</v>
      </c>
      <c r="AJ157" s="445">
        <v>0</v>
      </c>
      <c r="AK157" s="445">
        <v>0</v>
      </c>
      <c r="AL157" s="445">
        <v>0</v>
      </c>
      <c r="AM157" s="445">
        <v>0</v>
      </c>
      <c r="AN157" s="445">
        <v>0</v>
      </c>
      <c r="AO157" s="445">
        <v>0</v>
      </c>
      <c r="AP157" s="445">
        <v>0</v>
      </c>
      <c r="AQ157" s="445">
        <v>0</v>
      </c>
      <c r="AR157" s="445">
        <v>0</v>
      </c>
      <c r="AS157" s="487">
        <v>0</v>
      </c>
      <c r="AT157" s="487">
        <v>0</v>
      </c>
      <c r="AU157" s="487">
        <v>0</v>
      </c>
      <c r="AV157" s="487">
        <v>0</v>
      </c>
      <c r="AW157" s="487">
        <v>0</v>
      </c>
      <c r="AX157" s="487"/>
      <c r="AY157" s="487"/>
      <c r="AZ157" s="487"/>
      <c r="BA157" s="487"/>
      <c r="BB157" s="457"/>
      <c r="BC157" s="21"/>
    </row>
    <row r="158" spans="2:55">
      <c r="B158" s="1000" t="s">
        <v>578</v>
      </c>
      <c r="C158" s="1000"/>
      <c r="D158" s="837" t="s">
        <v>45</v>
      </c>
      <c r="E158" s="329" t="s">
        <v>531</v>
      </c>
      <c r="F158" s="330"/>
      <c r="G158" s="329" t="s">
        <v>532</v>
      </c>
      <c r="H158" s="342"/>
      <c r="I158" s="341">
        <v>0</v>
      </c>
      <c r="J158" s="341">
        <v>0</v>
      </c>
      <c r="K158" s="341">
        <v>0</v>
      </c>
      <c r="L158" s="341">
        <v>0</v>
      </c>
      <c r="M158" s="341">
        <v>0</v>
      </c>
      <c r="N158" s="341">
        <v>0</v>
      </c>
      <c r="O158" s="341">
        <v>0</v>
      </c>
      <c r="P158" s="341">
        <v>0</v>
      </c>
      <c r="Q158" s="341">
        <v>0</v>
      </c>
      <c r="R158" s="341">
        <v>0</v>
      </c>
      <c r="S158" s="341">
        <v>0</v>
      </c>
      <c r="T158" s="341">
        <v>0</v>
      </c>
      <c r="U158" s="341">
        <v>0</v>
      </c>
      <c r="V158" s="341">
        <v>0</v>
      </c>
      <c r="W158" s="341">
        <v>0</v>
      </c>
      <c r="X158" s="341">
        <v>0</v>
      </c>
      <c r="Y158" s="341">
        <v>0</v>
      </c>
      <c r="Z158" s="341">
        <v>0</v>
      </c>
      <c r="AA158" s="341">
        <v>0</v>
      </c>
      <c r="AB158" s="341">
        <v>0</v>
      </c>
      <c r="AC158" s="341">
        <v>0.18</v>
      </c>
      <c r="AD158" s="341">
        <v>0.18</v>
      </c>
      <c r="AE158" s="341">
        <v>0</v>
      </c>
      <c r="AF158" s="341">
        <v>0</v>
      </c>
      <c r="AG158" s="341">
        <v>0</v>
      </c>
      <c r="AH158" s="341">
        <v>0</v>
      </c>
      <c r="AI158" s="341">
        <v>0</v>
      </c>
      <c r="AJ158" s="341">
        <v>0</v>
      </c>
      <c r="AK158" s="341">
        <v>0</v>
      </c>
      <c r="AL158" s="341">
        <v>0</v>
      </c>
      <c r="AM158" s="341">
        <v>0</v>
      </c>
      <c r="AN158" s="341">
        <v>0.18</v>
      </c>
      <c r="AO158" s="341">
        <v>0.18</v>
      </c>
      <c r="AP158" s="341">
        <v>0</v>
      </c>
      <c r="AQ158" s="341">
        <v>0</v>
      </c>
      <c r="AR158" s="341">
        <v>0</v>
      </c>
      <c r="AS158" s="496">
        <v>0</v>
      </c>
      <c r="AT158" s="496">
        <v>0</v>
      </c>
      <c r="AU158" s="496">
        <v>0</v>
      </c>
      <c r="AV158" s="496">
        <v>0</v>
      </c>
      <c r="AW158" s="496">
        <v>0</v>
      </c>
      <c r="AX158" s="496"/>
      <c r="AY158" s="496"/>
      <c r="AZ158" s="496"/>
      <c r="BA158" s="496"/>
      <c r="BB158" s="457"/>
      <c r="BC158" s="21"/>
    </row>
    <row r="159" spans="2:55" ht="18.75">
      <c r="B159" s="1000" t="s">
        <v>578</v>
      </c>
      <c r="C159" s="1000"/>
      <c r="D159" s="836"/>
      <c r="E159" s="337" t="s">
        <v>533</v>
      </c>
      <c r="F159" s="338"/>
      <c r="G159" s="339"/>
      <c r="H159" s="437"/>
      <c r="I159" s="437"/>
      <c r="J159" s="437"/>
      <c r="K159" s="437"/>
      <c r="L159" s="437"/>
      <c r="M159" s="437"/>
      <c r="N159" s="437"/>
      <c r="O159" s="437"/>
      <c r="P159" s="437"/>
      <c r="Q159" s="437"/>
      <c r="R159" s="437"/>
      <c r="S159" s="437"/>
      <c r="T159" s="437"/>
      <c r="U159" s="437"/>
      <c r="V159" s="437"/>
      <c r="W159" s="437"/>
      <c r="X159" s="437"/>
      <c r="Y159" s="437"/>
      <c r="Z159" s="437"/>
      <c r="AA159" s="438"/>
      <c r="AB159" s="437"/>
      <c r="AC159" s="437"/>
      <c r="AD159" s="437"/>
      <c r="AE159" s="437"/>
      <c r="AF159" s="437"/>
      <c r="AG159" s="437"/>
      <c r="AH159" s="437"/>
      <c r="AI159" s="437"/>
      <c r="AJ159" s="437"/>
      <c r="AK159" s="437"/>
      <c r="AL159" s="437"/>
      <c r="AM159" s="437"/>
      <c r="AN159" s="437"/>
      <c r="AO159" s="437"/>
      <c r="AP159" s="437"/>
      <c r="AQ159" s="437"/>
      <c r="AR159" s="437"/>
      <c r="AS159" s="437"/>
      <c r="AT159" s="437"/>
      <c r="AU159" s="437"/>
      <c r="AV159" s="437"/>
      <c r="AW159" s="437"/>
      <c r="AX159" s="437"/>
      <c r="AY159" s="437"/>
      <c r="AZ159" s="437"/>
      <c r="BA159" s="437"/>
      <c r="BB159" s="443"/>
    </row>
    <row r="160" spans="2:55" ht="25.5">
      <c r="B160" s="1000" t="s">
        <v>578</v>
      </c>
      <c r="C160" s="1000"/>
      <c r="D160" s="836"/>
      <c r="E160" s="329" t="s">
        <v>534</v>
      </c>
      <c r="F160" s="330"/>
      <c r="G160" s="329" t="s">
        <v>65</v>
      </c>
      <c r="H160" s="342"/>
      <c r="I160" s="422" t="s">
        <v>166</v>
      </c>
      <c r="J160" s="422" t="s">
        <v>166</v>
      </c>
      <c r="K160" s="422" t="s">
        <v>535</v>
      </c>
      <c r="L160" s="422" t="s">
        <v>535</v>
      </c>
      <c r="M160" s="422" t="s">
        <v>166</v>
      </c>
      <c r="N160" s="422" t="s">
        <v>168</v>
      </c>
      <c r="O160" s="422" t="s">
        <v>168</v>
      </c>
      <c r="P160" s="422" t="s">
        <v>535</v>
      </c>
      <c r="Q160" s="422" t="s">
        <v>535</v>
      </c>
      <c r="R160" s="422" t="s">
        <v>535</v>
      </c>
      <c r="S160" s="422" t="s">
        <v>535</v>
      </c>
      <c r="T160" s="422" t="s">
        <v>166</v>
      </c>
      <c r="U160" s="422" t="s">
        <v>166</v>
      </c>
      <c r="V160" s="422" t="s">
        <v>536</v>
      </c>
      <c r="W160" s="422" t="s">
        <v>536</v>
      </c>
      <c r="X160" s="422" t="s">
        <v>536</v>
      </c>
      <c r="Y160" s="422" t="s">
        <v>536</v>
      </c>
      <c r="Z160" s="422" t="s">
        <v>536</v>
      </c>
      <c r="AA160" s="422" t="s">
        <v>536</v>
      </c>
      <c r="AB160" s="422" t="s">
        <v>536</v>
      </c>
      <c r="AC160" s="422" t="s">
        <v>536</v>
      </c>
      <c r="AD160" s="422" t="s">
        <v>536</v>
      </c>
      <c r="AE160" s="422" t="s">
        <v>166</v>
      </c>
      <c r="AF160" s="422" t="s">
        <v>166</v>
      </c>
      <c r="AG160" s="422" t="s">
        <v>166</v>
      </c>
      <c r="AH160" s="422" t="s">
        <v>166</v>
      </c>
      <c r="AI160" s="422" t="s">
        <v>166</v>
      </c>
      <c r="AJ160" s="422" t="s">
        <v>166</v>
      </c>
      <c r="AK160" s="422" t="s">
        <v>166</v>
      </c>
      <c r="AL160" s="422" t="s">
        <v>166</v>
      </c>
      <c r="AM160" s="422" t="s">
        <v>166</v>
      </c>
      <c r="AN160" s="422" t="s">
        <v>536</v>
      </c>
      <c r="AO160" s="422" t="s">
        <v>536</v>
      </c>
      <c r="AP160" s="422" t="s">
        <v>166</v>
      </c>
      <c r="AQ160" s="422" t="s">
        <v>166</v>
      </c>
      <c r="AR160" s="422" t="s">
        <v>601</v>
      </c>
      <c r="AS160" s="487" t="s">
        <v>166</v>
      </c>
      <c r="AT160" s="487" t="s">
        <v>166</v>
      </c>
      <c r="AU160" s="487" t="s">
        <v>601</v>
      </c>
      <c r="AV160" s="487" t="s">
        <v>602</v>
      </c>
      <c r="AW160" s="487" t="s">
        <v>166</v>
      </c>
      <c r="AX160" s="487"/>
      <c r="AY160" s="487"/>
      <c r="AZ160" s="487"/>
      <c r="BA160" s="487"/>
      <c r="BB160" s="457"/>
      <c r="BC160" s="21"/>
    </row>
    <row r="161" spans="2:55">
      <c r="B161" s="1000" t="s">
        <v>578</v>
      </c>
      <c r="C161" s="1000"/>
      <c r="D161" s="836"/>
      <c r="E161" s="329" t="s">
        <v>514</v>
      </c>
      <c r="F161" s="330"/>
      <c r="G161" s="329" t="s">
        <v>65</v>
      </c>
      <c r="H161" s="342"/>
      <c r="I161" s="422" t="s">
        <v>515</v>
      </c>
      <c r="J161" s="422" t="s">
        <v>537</v>
      </c>
      <c r="K161" s="422" t="s">
        <v>145</v>
      </c>
      <c r="L161" s="422" t="s">
        <v>145</v>
      </c>
      <c r="M161" s="422" t="s">
        <v>515</v>
      </c>
      <c r="N161" s="422" t="s">
        <v>515</v>
      </c>
      <c r="O161" s="422" t="s">
        <v>515</v>
      </c>
      <c r="P161" s="422" t="s">
        <v>145</v>
      </c>
      <c r="Q161" s="422" t="s">
        <v>145</v>
      </c>
      <c r="R161" s="422" t="s">
        <v>145</v>
      </c>
      <c r="S161" s="422" t="s">
        <v>145</v>
      </c>
      <c r="T161" s="422" t="s">
        <v>515</v>
      </c>
      <c r="U161" s="422" t="s">
        <v>515</v>
      </c>
      <c r="V161" s="422" t="s">
        <v>515</v>
      </c>
      <c r="W161" s="422" t="s">
        <v>515</v>
      </c>
      <c r="X161" s="422" t="s">
        <v>515</v>
      </c>
      <c r="Y161" s="422" t="s">
        <v>515</v>
      </c>
      <c r="Z161" s="422" t="s">
        <v>515</v>
      </c>
      <c r="AA161" s="422" t="s">
        <v>515</v>
      </c>
      <c r="AB161" s="422" t="s">
        <v>515</v>
      </c>
      <c r="AC161" s="422" t="s">
        <v>515</v>
      </c>
      <c r="AD161" s="422" t="s">
        <v>515</v>
      </c>
      <c r="AE161" s="422" t="s">
        <v>515</v>
      </c>
      <c r="AF161" s="422" t="s">
        <v>515</v>
      </c>
      <c r="AG161" s="422" t="s">
        <v>515</v>
      </c>
      <c r="AH161" s="422" t="s">
        <v>515</v>
      </c>
      <c r="AI161" s="422" t="s">
        <v>515</v>
      </c>
      <c r="AJ161" s="422" t="s">
        <v>537</v>
      </c>
      <c r="AK161" s="422" t="s">
        <v>537</v>
      </c>
      <c r="AL161" s="422" t="s">
        <v>537</v>
      </c>
      <c r="AM161" s="422" t="s">
        <v>537</v>
      </c>
      <c r="AN161" s="422" t="s">
        <v>515</v>
      </c>
      <c r="AO161" s="422" t="s">
        <v>515</v>
      </c>
      <c r="AP161" s="422" t="s">
        <v>515</v>
      </c>
      <c r="AQ161" s="422" t="s">
        <v>515</v>
      </c>
      <c r="AR161" s="422" t="s">
        <v>145</v>
      </c>
      <c r="AS161" s="487"/>
      <c r="AT161" s="487"/>
      <c r="AU161" s="487" t="s">
        <v>145</v>
      </c>
      <c r="AV161" s="487" t="s">
        <v>145</v>
      </c>
      <c r="AW161" s="487" t="s">
        <v>145</v>
      </c>
      <c r="AX161" s="487"/>
      <c r="AY161" s="487"/>
      <c r="AZ161" s="487"/>
      <c r="BA161" s="487"/>
      <c r="BB161" s="457"/>
      <c r="BC161" s="21"/>
    </row>
    <row r="162" spans="2:55">
      <c r="B162" s="1000" t="s">
        <v>578</v>
      </c>
      <c r="C162" s="1000"/>
      <c r="D162" s="836"/>
      <c r="E162" s="329" t="s">
        <v>525</v>
      </c>
      <c r="F162" s="330"/>
      <c r="G162" s="329" t="s">
        <v>65</v>
      </c>
      <c r="H162" s="342"/>
      <c r="I162" s="444" t="str">
        <f t="shared" ref="I162:AQ162" si="49">IF(OR(I139="",I154=1,I161=""),"",IF(OR(I141&lt;&gt;gebouw),GJ,HLOOKUP(I161,ENERGIEDRAGERS,ROWS($E$259:$E$265),FALSE)))</f>
        <v/>
      </c>
      <c r="J162" s="444" t="str">
        <f t="shared" si="49"/>
        <v/>
      </c>
      <c r="K162" s="444" t="str">
        <f t="shared" si="49"/>
        <v>kWh</v>
      </c>
      <c r="L162" s="444" t="str">
        <f t="shared" si="49"/>
        <v>kWh</v>
      </c>
      <c r="M162" s="444" t="str">
        <f t="shared" si="49"/>
        <v>kWh</v>
      </c>
      <c r="N162" s="444" t="str">
        <f t="shared" si="49"/>
        <v>kWh</v>
      </c>
      <c r="O162" s="444" t="str">
        <f t="shared" si="49"/>
        <v>kWh</v>
      </c>
      <c r="P162" s="444" t="str">
        <f t="shared" si="49"/>
        <v>kWh</v>
      </c>
      <c r="Q162" s="444" t="str">
        <f t="shared" si="49"/>
        <v>kWh</v>
      </c>
      <c r="R162" s="444" t="str">
        <f t="shared" si="49"/>
        <v>GJ</v>
      </c>
      <c r="S162" s="444" t="str">
        <f t="shared" si="49"/>
        <v>kWh</v>
      </c>
      <c r="T162" s="444" t="str">
        <f t="shared" si="49"/>
        <v/>
      </c>
      <c r="U162" s="444" t="str">
        <f t="shared" si="49"/>
        <v/>
      </c>
      <c r="V162" s="444" t="str">
        <f t="shared" si="49"/>
        <v>GJ</v>
      </c>
      <c r="W162" s="444" t="str">
        <f t="shared" si="49"/>
        <v>GJ</v>
      </c>
      <c r="X162" s="444" t="str">
        <f t="shared" si="49"/>
        <v>GJ</v>
      </c>
      <c r="Y162" s="444" t="str">
        <f t="shared" si="49"/>
        <v>GJ</v>
      </c>
      <c r="Z162" s="444" t="str">
        <f t="shared" si="49"/>
        <v>GJ</v>
      </c>
      <c r="AA162" s="444" t="str">
        <f t="shared" si="49"/>
        <v>GJ</v>
      </c>
      <c r="AB162" s="444" t="str">
        <f t="shared" si="49"/>
        <v>GJ</v>
      </c>
      <c r="AC162" s="444" t="str">
        <f t="shared" si="49"/>
        <v>GJ</v>
      </c>
      <c r="AD162" s="444" t="str">
        <f t="shared" si="49"/>
        <v>GJ</v>
      </c>
      <c r="AE162" s="444" t="str">
        <f t="shared" si="49"/>
        <v/>
      </c>
      <c r="AF162" s="444" t="str">
        <f t="shared" si="49"/>
        <v/>
      </c>
      <c r="AG162" s="444" t="str">
        <f t="shared" si="49"/>
        <v/>
      </c>
      <c r="AH162" s="444" t="str">
        <f t="shared" si="49"/>
        <v/>
      </c>
      <c r="AI162" s="444" t="str">
        <f t="shared" si="49"/>
        <v/>
      </c>
      <c r="AJ162" s="444" t="str">
        <f t="shared" si="49"/>
        <v/>
      </c>
      <c r="AK162" s="444" t="str">
        <f t="shared" si="49"/>
        <v/>
      </c>
      <c r="AL162" s="444" t="str">
        <f t="shared" si="49"/>
        <v/>
      </c>
      <c r="AM162" s="444" t="str">
        <f t="shared" si="49"/>
        <v/>
      </c>
      <c r="AN162" s="444" t="str">
        <f t="shared" si="49"/>
        <v>GJ</v>
      </c>
      <c r="AO162" s="444" t="str">
        <f t="shared" si="49"/>
        <v>GJ</v>
      </c>
      <c r="AP162" s="444" t="str">
        <f t="shared" si="49"/>
        <v/>
      </c>
      <c r="AQ162" s="444" t="str">
        <f t="shared" si="49"/>
        <v/>
      </c>
      <c r="AR162" s="444" t="s">
        <v>145</v>
      </c>
      <c r="AS162" s="444" t="str">
        <f>IF(OR(AS139="",AS154=1,AS161=""),"",IF(OR(AS141&lt;&gt;gebouw),GJ,HLOOKUP(AS161,ENERGIEDRAGERS,ROWS($E$259:$E$265),FALSE)))</f>
        <v/>
      </c>
      <c r="AT162" s="444" t="str">
        <f>IF(OR(AT139="",AT154=1,AT161=""),"",IF(OR(AT141&lt;&gt;gebouw),GJ,HLOOKUP(AT161,ENERGIEDRAGERS,ROWS($E$259:$E$265),FALSE)))</f>
        <v/>
      </c>
      <c r="AU162" s="444" t="s">
        <v>145</v>
      </c>
      <c r="AV162" s="444" t="str">
        <f t="shared" ref="AV162:BA162" si="50">IF(OR(AV139="",AV154=1,AV161=""),"",IF(OR(AV141&lt;&gt;gebouw),GJ,HLOOKUP(AV161,ENERGIEDRAGERS,ROWS($E$259:$E$265),FALSE)))</f>
        <v>kWh</v>
      </c>
      <c r="AW162" s="444" t="str">
        <f t="shared" si="50"/>
        <v/>
      </c>
      <c r="AX162" s="444" t="str">
        <f t="shared" si="50"/>
        <v/>
      </c>
      <c r="AY162" s="444" t="str">
        <f t="shared" si="50"/>
        <v/>
      </c>
      <c r="AZ162" s="444" t="str">
        <f t="shared" si="50"/>
        <v/>
      </c>
      <c r="BA162" s="444" t="str">
        <f t="shared" si="50"/>
        <v/>
      </c>
      <c r="BB162" s="457"/>
      <c r="BC162" s="21"/>
    </row>
    <row r="163" spans="2:55">
      <c r="B163" s="1000" t="s">
        <v>578</v>
      </c>
      <c r="C163" s="1000"/>
      <c r="D163" s="836"/>
      <c r="E163" s="329" t="s">
        <v>538</v>
      </c>
      <c r="F163" s="330"/>
      <c r="G163" s="329" t="s">
        <v>65</v>
      </c>
      <c r="H163" s="342"/>
      <c r="I163" s="445">
        <v>0.7</v>
      </c>
      <c r="J163" s="445">
        <v>1</v>
      </c>
      <c r="K163" s="445">
        <v>1</v>
      </c>
      <c r="L163" s="445">
        <v>1</v>
      </c>
      <c r="M163" s="445">
        <v>0.7</v>
      </c>
      <c r="N163" s="445">
        <v>0.7</v>
      </c>
      <c r="O163" s="445">
        <v>0.8</v>
      </c>
      <c r="P163" s="445">
        <v>1</v>
      </c>
      <c r="Q163" s="445">
        <v>1</v>
      </c>
      <c r="R163" s="445">
        <v>1</v>
      </c>
      <c r="S163" s="445">
        <v>1</v>
      </c>
      <c r="T163" s="445">
        <v>0.7</v>
      </c>
      <c r="U163" s="445">
        <v>0.8</v>
      </c>
      <c r="V163" s="445">
        <v>0.8</v>
      </c>
      <c r="W163" s="445">
        <v>0.8</v>
      </c>
      <c r="X163" s="445">
        <v>0.8</v>
      </c>
      <c r="Y163" s="445">
        <v>0.8</v>
      </c>
      <c r="Z163" s="445">
        <v>0.8</v>
      </c>
      <c r="AA163" s="445">
        <v>0.8</v>
      </c>
      <c r="AB163" s="445">
        <v>0.8</v>
      </c>
      <c r="AC163" s="445">
        <v>0.8</v>
      </c>
      <c r="AD163" s="445">
        <v>0.8</v>
      </c>
      <c r="AE163" s="445">
        <v>0.8</v>
      </c>
      <c r="AF163" s="445">
        <v>0.55000000000000004</v>
      </c>
      <c r="AG163" s="445">
        <v>0.66</v>
      </c>
      <c r="AH163" s="445">
        <v>0.94</v>
      </c>
      <c r="AI163" s="445">
        <v>0.7</v>
      </c>
      <c r="AJ163" s="445">
        <v>1</v>
      </c>
      <c r="AK163" s="445">
        <v>1</v>
      </c>
      <c r="AL163" s="445">
        <v>1</v>
      </c>
      <c r="AM163" s="445">
        <v>1</v>
      </c>
      <c r="AN163" s="445">
        <v>0.8</v>
      </c>
      <c r="AO163" s="445">
        <v>0.8</v>
      </c>
      <c r="AP163" s="445">
        <v>0.7</v>
      </c>
      <c r="AQ163" s="445">
        <v>0.7</v>
      </c>
      <c r="AR163" s="445">
        <v>3.5</v>
      </c>
      <c r="AS163" s="487"/>
      <c r="AT163" s="487"/>
      <c r="AU163" s="487">
        <v>4</v>
      </c>
      <c r="AV163" s="487">
        <v>1</v>
      </c>
      <c r="AW163" s="487">
        <v>1</v>
      </c>
      <c r="AX163" s="487"/>
      <c r="AY163" s="487"/>
      <c r="AZ163" s="487"/>
      <c r="BA163" s="487"/>
      <c r="BB163" s="457"/>
      <c r="BC163" s="21"/>
    </row>
    <row r="164" spans="2:55" ht="18.75">
      <c r="B164" s="1000" t="s">
        <v>578</v>
      </c>
      <c r="C164" s="1000"/>
      <c r="D164" s="836"/>
      <c r="E164" s="337" t="s">
        <v>554</v>
      </c>
      <c r="F164" s="338"/>
      <c r="G164" s="339"/>
      <c r="H164" s="437"/>
      <c r="I164" s="437"/>
      <c r="J164" s="437"/>
      <c r="K164" s="437"/>
      <c r="L164" s="437"/>
      <c r="M164" s="437"/>
      <c r="N164" s="437"/>
      <c r="O164" s="437"/>
      <c r="P164" s="437"/>
      <c r="Q164" s="437"/>
      <c r="R164" s="437"/>
      <c r="S164" s="437"/>
      <c r="T164" s="437"/>
      <c r="U164" s="437"/>
      <c r="V164" s="437"/>
      <c r="W164" s="437"/>
      <c r="X164" s="437"/>
      <c r="Y164" s="437"/>
      <c r="Z164" s="437"/>
      <c r="AA164" s="438"/>
      <c r="AB164" s="437"/>
      <c r="AC164" s="437"/>
      <c r="AD164" s="437"/>
      <c r="AE164" s="437"/>
      <c r="AF164" s="437"/>
      <c r="AG164" s="437"/>
      <c r="AH164" s="437"/>
      <c r="AI164" s="437"/>
      <c r="AJ164" s="437"/>
      <c r="AK164" s="437"/>
      <c r="AL164" s="437"/>
      <c r="AM164" s="437"/>
      <c r="AN164" s="437"/>
      <c r="AO164" s="437"/>
      <c r="AP164" s="437"/>
      <c r="AQ164" s="437"/>
      <c r="AR164" s="437"/>
      <c r="AS164" s="437"/>
      <c r="AT164" s="437"/>
      <c r="AU164" s="437"/>
      <c r="AV164" s="437"/>
      <c r="AW164" s="437"/>
      <c r="AX164" s="437"/>
      <c r="AY164" s="437"/>
      <c r="AZ164" s="437"/>
      <c r="BA164" s="437"/>
      <c r="BB164" s="443"/>
      <c r="BC164" s="21"/>
    </row>
    <row r="165" spans="2:55">
      <c r="B165" s="1000" t="s">
        <v>578</v>
      </c>
      <c r="C165" s="1000"/>
      <c r="D165" s="836"/>
      <c r="E165" s="329" t="s">
        <v>555</v>
      </c>
      <c r="F165" s="330"/>
      <c r="G165" s="329" t="s">
        <v>532</v>
      </c>
      <c r="H165" s="342"/>
      <c r="I165" s="498">
        <v>0</v>
      </c>
      <c r="J165" s="498">
        <v>0</v>
      </c>
      <c r="K165" s="498">
        <v>7.1999999999999998E-3</v>
      </c>
      <c r="L165" s="498">
        <v>0</v>
      </c>
      <c r="M165" s="498">
        <v>7.1999999999999998E-3</v>
      </c>
      <c r="N165" s="498">
        <v>0</v>
      </c>
      <c r="O165" s="498">
        <v>0</v>
      </c>
      <c r="P165" s="498">
        <v>0</v>
      </c>
      <c r="Q165" s="498">
        <v>4.0000000000000001E-3</v>
      </c>
      <c r="R165" s="498">
        <v>7.1999999999999998E-3</v>
      </c>
      <c r="S165" s="498">
        <v>7.1999999999999998E-3</v>
      </c>
      <c r="T165" s="498">
        <v>0</v>
      </c>
      <c r="U165" s="498">
        <v>7.1999999999999998E-3</v>
      </c>
      <c r="V165" s="498">
        <v>7.1999999999999998E-3</v>
      </c>
      <c r="W165" s="498">
        <v>7.1999999999999998E-3</v>
      </c>
      <c r="X165" s="498">
        <v>7.1999999999999998E-3</v>
      </c>
      <c r="Y165" s="498">
        <v>7.1999999999999998E-3</v>
      </c>
      <c r="Z165" s="498">
        <v>7.1999999999999998E-3</v>
      </c>
      <c r="AA165" s="498">
        <v>7.1999999999999998E-3</v>
      </c>
      <c r="AB165" s="498">
        <v>7.1999999999999998E-3</v>
      </c>
      <c r="AC165" s="498">
        <v>7.1999999999999998E-3</v>
      </c>
      <c r="AD165" s="498">
        <v>7.1999999999999998E-3</v>
      </c>
      <c r="AE165" s="498">
        <v>7.1999999999999998E-3</v>
      </c>
      <c r="AF165" s="498">
        <v>0</v>
      </c>
      <c r="AG165" s="498">
        <v>0</v>
      </c>
      <c r="AH165" s="498">
        <v>7.1999999999999998E-3</v>
      </c>
      <c r="AI165" s="498">
        <v>0</v>
      </c>
      <c r="AJ165" s="498">
        <v>0</v>
      </c>
      <c r="AK165" s="498">
        <v>0</v>
      </c>
      <c r="AL165" s="498">
        <v>0</v>
      </c>
      <c r="AM165" s="498">
        <v>0</v>
      </c>
      <c r="AN165" s="498">
        <v>7.1999999999999998E-3</v>
      </c>
      <c r="AO165" s="498">
        <v>7.1999999999999998E-3</v>
      </c>
      <c r="AP165" s="498">
        <v>7.1999999999999998E-3</v>
      </c>
      <c r="AQ165" s="498">
        <v>7.1999999999999998E-3</v>
      </c>
      <c r="AR165" s="498">
        <v>0</v>
      </c>
      <c r="AS165" s="494">
        <v>0</v>
      </c>
      <c r="AT165" s="494">
        <v>0</v>
      </c>
      <c r="AU165" s="494">
        <v>0</v>
      </c>
      <c r="AV165" s="494">
        <v>0</v>
      </c>
      <c r="AW165" s="494">
        <v>0</v>
      </c>
      <c r="AX165" s="494"/>
      <c r="AY165" s="494"/>
      <c r="AZ165" s="494"/>
      <c r="BA165" s="494"/>
      <c r="BB165" s="457"/>
      <c r="BC165" s="21"/>
    </row>
    <row r="166" spans="2:55">
      <c r="B166" s="1000" t="s">
        <v>578</v>
      </c>
      <c r="C166" s="1000"/>
      <c r="D166" s="837"/>
      <c r="E166" s="329" t="s">
        <v>556</v>
      </c>
      <c r="F166" s="330"/>
      <c r="G166" s="329" t="s">
        <v>532</v>
      </c>
      <c r="H166" s="342"/>
      <c r="I166" s="499">
        <v>0</v>
      </c>
      <c r="J166" s="499">
        <v>0</v>
      </c>
      <c r="K166" s="499">
        <v>4.4999999999999998E-2</v>
      </c>
      <c r="L166" s="499">
        <v>4.4999999999999998E-2</v>
      </c>
      <c r="M166" s="499">
        <v>4.4999999999999998E-2</v>
      </c>
      <c r="N166" s="499">
        <v>0</v>
      </c>
      <c r="O166" s="499">
        <v>0</v>
      </c>
      <c r="P166" s="499">
        <v>0</v>
      </c>
      <c r="Q166" s="499">
        <v>4.4999999999999998E-2</v>
      </c>
      <c r="R166" s="499">
        <v>4.4999999999999998E-2</v>
      </c>
      <c r="S166" s="499">
        <v>4.4999999999999998E-2</v>
      </c>
      <c r="T166" s="499">
        <v>0</v>
      </c>
      <c r="U166" s="499">
        <v>0</v>
      </c>
      <c r="V166" s="499">
        <v>0</v>
      </c>
      <c r="W166" s="499">
        <v>0</v>
      </c>
      <c r="X166" s="499">
        <v>0</v>
      </c>
      <c r="Y166" s="499">
        <v>0</v>
      </c>
      <c r="Z166" s="499">
        <v>0</v>
      </c>
      <c r="AA166" s="499">
        <v>0</v>
      </c>
      <c r="AB166" s="499">
        <v>0</v>
      </c>
      <c r="AC166" s="499">
        <v>0</v>
      </c>
      <c r="AD166" s="499">
        <v>0</v>
      </c>
      <c r="AE166" s="499">
        <v>0</v>
      </c>
      <c r="AF166" s="499">
        <v>0</v>
      </c>
      <c r="AG166" s="499">
        <v>0</v>
      </c>
      <c r="AH166" s="499">
        <v>0</v>
      </c>
      <c r="AI166" s="499">
        <v>0</v>
      </c>
      <c r="AJ166" s="499">
        <v>0</v>
      </c>
      <c r="AK166" s="499">
        <v>0</v>
      </c>
      <c r="AL166" s="499">
        <v>0</v>
      </c>
      <c r="AM166" s="499">
        <v>0</v>
      </c>
      <c r="AN166" s="499">
        <v>0</v>
      </c>
      <c r="AO166" s="499">
        <v>0</v>
      </c>
      <c r="AP166" s="499">
        <v>0</v>
      </c>
      <c r="AQ166" s="499">
        <v>0</v>
      </c>
      <c r="AR166" s="499">
        <v>0</v>
      </c>
      <c r="AS166" s="487">
        <v>0</v>
      </c>
      <c r="AT166" s="487">
        <v>0</v>
      </c>
      <c r="AU166" s="487">
        <v>0</v>
      </c>
      <c r="AV166" s="487">
        <v>0</v>
      </c>
      <c r="AW166" s="487">
        <v>0</v>
      </c>
      <c r="AX166" s="487"/>
      <c r="AY166" s="487"/>
      <c r="AZ166" s="487"/>
      <c r="BA166" s="487"/>
      <c r="BB166" s="457"/>
      <c r="BC166" s="21"/>
    </row>
    <row r="167" spans="2:55" ht="38.25">
      <c r="B167" s="1000" t="s">
        <v>578</v>
      </c>
      <c r="C167" s="1000"/>
      <c r="D167" s="837"/>
      <c r="E167" s="459" t="s">
        <v>603</v>
      </c>
      <c r="F167" s="460"/>
      <c r="G167" s="459" t="s">
        <v>65</v>
      </c>
      <c r="H167" s="461"/>
      <c r="I167" s="449" t="s">
        <v>604</v>
      </c>
      <c r="J167" s="449" t="s">
        <v>605</v>
      </c>
      <c r="K167" s="449" t="s">
        <v>605</v>
      </c>
      <c r="L167" s="449" t="s">
        <v>605</v>
      </c>
      <c r="M167" s="449" t="s">
        <v>605</v>
      </c>
      <c r="N167" s="449" t="s">
        <v>605</v>
      </c>
      <c r="O167" s="449" t="s">
        <v>955</v>
      </c>
      <c r="P167" s="449" t="s">
        <v>605</v>
      </c>
      <c r="Q167" s="449" t="s">
        <v>605</v>
      </c>
      <c r="R167" s="449" t="s">
        <v>605</v>
      </c>
      <c r="S167" s="449" t="s">
        <v>605</v>
      </c>
      <c r="T167" s="449" t="s">
        <v>606</v>
      </c>
      <c r="U167" s="449" t="s">
        <v>1098</v>
      </c>
      <c r="V167" s="449" t="s">
        <v>560</v>
      </c>
      <c r="W167" s="449" t="s">
        <v>560</v>
      </c>
      <c r="X167" s="449" t="s">
        <v>561</v>
      </c>
      <c r="Y167" s="449" t="s">
        <v>561</v>
      </c>
      <c r="Z167" s="449" t="s">
        <v>561</v>
      </c>
      <c r="AA167" s="449" t="s">
        <v>561</v>
      </c>
      <c r="AB167" s="449" t="s">
        <v>607</v>
      </c>
      <c r="AC167" s="449" t="s">
        <v>1099</v>
      </c>
      <c r="AD167" s="449" t="s">
        <v>1099</v>
      </c>
      <c r="AE167" s="449" t="s">
        <v>1100</v>
      </c>
      <c r="AF167" s="449" t="s">
        <v>604</v>
      </c>
      <c r="AG167" s="449" t="s">
        <v>604</v>
      </c>
      <c r="AH167" s="449" t="s">
        <v>608</v>
      </c>
      <c r="AI167" s="449" t="s">
        <v>605</v>
      </c>
      <c r="AJ167" s="1235" t="s">
        <v>1212</v>
      </c>
      <c r="AK167" s="1235" t="s">
        <v>1212</v>
      </c>
      <c r="AL167" s="1235" t="s">
        <v>1212</v>
      </c>
      <c r="AM167" s="1235" t="s">
        <v>1212</v>
      </c>
      <c r="AN167" s="449" t="s">
        <v>1099</v>
      </c>
      <c r="AO167" s="449" t="s">
        <v>1099</v>
      </c>
      <c r="AP167" s="449"/>
      <c r="AQ167" s="449"/>
      <c r="AR167" s="449"/>
      <c r="AS167" s="1231" t="s">
        <v>564</v>
      </c>
      <c r="AT167" s="1231" t="s">
        <v>564</v>
      </c>
      <c r="AU167" s="1231" t="s">
        <v>564</v>
      </c>
      <c r="AV167" s="1231" t="s">
        <v>564</v>
      </c>
      <c r="AW167" s="1231" t="s">
        <v>1277</v>
      </c>
      <c r="AX167" s="491"/>
      <c r="AY167" s="491"/>
      <c r="AZ167" s="491"/>
      <c r="BA167" s="491"/>
      <c r="BB167" s="461"/>
      <c r="BC167" s="21"/>
    </row>
    <row r="168" spans="2:55">
      <c r="B168" s="1000" t="s">
        <v>578</v>
      </c>
      <c r="C168" s="1000"/>
      <c r="D168" s="836"/>
      <c r="E168" s="5"/>
      <c r="F168" s="5"/>
      <c r="G168" s="5"/>
      <c r="H168" s="15"/>
      <c r="I168" s="15"/>
      <c r="J168" s="15"/>
      <c r="K168" s="15"/>
      <c r="L168" s="15"/>
      <c r="M168" s="15"/>
      <c r="N168" s="15"/>
      <c r="O168" s="15"/>
      <c r="P168" s="15"/>
      <c r="Q168" s="15"/>
      <c r="R168" s="15"/>
      <c r="S168" s="15"/>
      <c r="T168" s="15"/>
      <c r="U168" s="15"/>
      <c r="V168" s="15"/>
      <c r="W168" s="15"/>
      <c r="X168" s="15"/>
      <c r="Y168" s="19"/>
      <c r="Z168" s="5"/>
      <c r="AA168" s="5"/>
      <c r="AB168" s="5"/>
      <c r="AC168" s="5"/>
      <c r="AD168" s="5"/>
      <c r="AE168" s="5"/>
      <c r="AF168" s="5"/>
      <c r="AG168" s="5"/>
      <c r="AH168" s="5"/>
      <c r="AI168" s="5"/>
      <c r="AJ168" s="5"/>
      <c r="AK168" s="5"/>
      <c r="AL168" s="5"/>
      <c r="AM168" s="5"/>
      <c r="AN168" s="5"/>
      <c r="AO168" s="5"/>
      <c r="AP168" s="5"/>
      <c r="AQ168" s="5"/>
      <c r="AR168" s="5"/>
      <c r="AS168" s="21"/>
    </row>
    <row r="169" spans="2:55" hidden="1">
      <c r="B169" s="1000" t="s">
        <v>1135</v>
      </c>
      <c r="C169" s="1000"/>
      <c r="E169" s="5"/>
      <c r="F169" s="5"/>
      <c r="G169" s="5"/>
      <c r="H169" s="15"/>
      <c r="I169" s="15"/>
      <c r="J169" s="15"/>
      <c r="K169" s="15"/>
      <c r="L169" s="15"/>
      <c r="M169" s="15"/>
      <c r="N169" s="15"/>
      <c r="O169" s="15"/>
      <c r="P169" s="15"/>
      <c r="Q169" s="15"/>
      <c r="R169" s="15"/>
      <c r="S169" s="15"/>
      <c r="T169" s="15"/>
      <c r="U169" s="15"/>
      <c r="V169" s="15"/>
      <c r="X169" s="15"/>
      <c r="Y169" s="19"/>
      <c r="Z169" s="15"/>
      <c r="AA169" s="15"/>
      <c r="AB169" s="5"/>
      <c r="AC169" s="5"/>
      <c r="AD169" s="5"/>
      <c r="AE169" s="5"/>
      <c r="AF169" s="5"/>
      <c r="AG169" s="5"/>
      <c r="AH169" s="5"/>
      <c r="AI169" s="5"/>
      <c r="AJ169" s="5"/>
      <c r="AK169" s="5"/>
      <c r="AL169" s="5"/>
      <c r="AM169" s="5"/>
      <c r="AN169" s="5"/>
      <c r="AO169" s="5"/>
      <c r="AP169" s="5"/>
      <c r="AQ169" s="5"/>
      <c r="AR169" s="5"/>
      <c r="AS169" s="21"/>
    </row>
    <row r="170" spans="2:55" ht="21" hidden="1">
      <c r="B170" s="1000" t="s">
        <v>1135</v>
      </c>
      <c r="C170" s="1000"/>
      <c r="D170" s="1151" t="s">
        <v>45</v>
      </c>
      <c r="E170" s="199" t="s">
        <v>1135</v>
      </c>
      <c r="F170" s="199"/>
      <c r="G170" s="199"/>
      <c r="H170" s="199"/>
      <c r="I170" s="199"/>
      <c r="J170" s="199"/>
      <c r="K170" s="199"/>
      <c r="L170" s="199"/>
      <c r="M170" s="199"/>
      <c r="N170" s="199"/>
      <c r="O170" s="199"/>
      <c r="P170" s="199"/>
      <c r="Q170" s="199"/>
      <c r="R170" s="199"/>
      <c r="S170" s="199"/>
      <c r="T170" s="199"/>
      <c r="U170" s="199"/>
      <c r="V170" s="52"/>
      <c r="X170" s="52"/>
      <c r="Y170" s="19"/>
      <c r="Z170" s="5"/>
      <c r="AA170" s="5"/>
      <c r="AB170" s="5"/>
      <c r="AC170" s="5"/>
      <c r="AD170" s="5"/>
      <c r="AE170" s="5"/>
      <c r="AF170" s="5"/>
      <c r="AG170" s="5"/>
      <c r="AH170" s="5"/>
      <c r="AI170" s="5"/>
      <c r="AJ170" s="5"/>
      <c r="AK170" s="5"/>
      <c r="AL170" s="5"/>
      <c r="AM170" s="5"/>
      <c r="AN170" s="5"/>
      <c r="AO170" s="5"/>
      <c r="AP170" s="5"/>
      <c r="AQ170" s="5"/>
      <c r="AR170" s="5"/>
      <c r="AS170" s="371"/>
    </row>
    <row r="171" spans="2:55" hidden="1">
      <c r="B171" s="1000" t="s">
        <v>1135</v>
      </c>
      <c r="C171" s="1000"/>
      <c r="D171" s="725"/>
      <c r="E171" s="320" t="s">
        <v>414</v>
      </c>
      <c r="F171" s="320"/>
      <c r="G171" s="320" t="s">
        <v>353</v>
      </c>
      <c r="H171" s="321"/>
      <c r="I171" s="321">
        <f t="shared" ref="I171:T171" ca="1" si="51">OFFSET(I171,0,-1)+1</f>
        <v>1</v>
      </c>
      <c r="J171" s="321">
        <f t="shared" ca="1" si="51"/>
        <v>2</v>
      </c>
      <c r="K171" s="321">
        <f t="shared" ca="1" si="51"/>
        <v>3</v>
      </c>
      <c r="L171" s="321">
        <f t="shared" ca="1" si="51"/>
        <v>4</v>
      </c>
      <c r="M171" s="321">
        <f t="shared" ca="1" si="51"/>
        <v>5</v>
      </c>
      <c r="N171" s="321">
        <f t="shared" ca="1" si="51"/>
        <v>6</v>
      </c>
      <c r="O171" s="321">
        <f t="shared" ca="1" si="51"/>
        <v>7</v>
      </c>
      <c r="P171" s="321">
        <f t="shared" ca="1" si="51"/>
        <v>8</v>
      </c>
      <c r="Q171" s="321">
        <f t="shared" ca="1" si="51"/>
        <v>9</v>
      </c>
      <c r="R171" s="321">
        <f t="shared" ca="1" si="51"/>
        <v>10</v>
      </c>
      <c r="S171" s="321">
        <f t="shared" ca="1" si="51"/>
        <v>11</v>
      </c>
      <c r="T171" s="321">
        <f t="shared" ca="1" si="51"/>
        <v>12</v>
      </c>
      <c r="U171" s="321"/>
      <c r="V171" s="52"/>
      <c r="W171" s="52"/>
      <c r="X171" s="5"/>
      <c r="Y171" s="19"/>
      <c r="Z171" s="5"/>
      <c r="AA171" s="5"/>
      <c r="AB171" s="5"/>
      <c r="AC171" s="5"/>
      <c r="AD171" s="5"/>
      <c r="AE171" s="5"/>
      <c r="AF171" s="5"/>
      <c r="AG171" s="5"/>
      <c r="AH171" s="5"/>
      <c r="AI171" s="5"/>
      <c r="AJ171" s="5"/>
      <c r="AK171" s="5"/>
      <c r="AL171" s="5"/>
      <c r="AM171" s="5"/>
      <c r="AN171" s="5"/>
      <c r="AO171" s="5"/>
      <c r="AP171" s="5"/>
      <c r="AQ171" s="5"/>
      <c r="AR171" s="5"/>
      <c r="AS171" s="21"/>
    </row>
    <row r="172" spans="2:55" hidden="1">
      <c r="B172" s="1000" t="s">
        <v>1135</v>
      </c>
      <c r="C172" s="1000"/>
      <c r="E172" s="329" t="s">
        <v>115</v>
      </c>
      <c r="F172" s="330"/>
      <c r="G172" s="329" t="s">
        <v>65</v>
      </c>
      <c r="H172" s="342"/>
      <c r="I172" s="450" t="str">
        <f>I$319</f>
        <v>kantoor</v>
      </c>
      <c r="J172" s="450" t="str">
        <f t="shared" ref="J172:T172" si="52">J$319</f>
        <v>bijeenkomst</v>
      </c>
      <c r="K172" s="450" t="str">
        <f t="shared" si="52"/>
        <v>kinderopvang</v>
      </c>
      <c r="L172" s="450" t="str">
        <f t="shared" si="52"/>
        <v>onderwijs</v>
      </c>
      <c r="M172" s="450" t="str">
        <f t="shared" si="52"/>
        <v>zorg overig</v>
      </c>
      <c r="N172" s="450" t="str">
        <f t="shared" si="52"/>
        <v>zorg met bed</v>
      </c>
      <c r="O172" s="450" t="str">
        <f t="shared" si="52"/>
        <v>winkel</v>
      </c>
      <c r="P172" s="450" t="str">
        <f t="shared" si="52"/>
        <v>sport</v>
      </c>
      <c r="Q172" s="450" t="str">
        <f t="shared" si="52"/>
        <v>logies</v>
      </c>
      <c r="R172" s="450" t="str">
        <f t="shared" si="52"/>
        <v>cel</v>
      </c>
      <c r="S172" s="450" t="str">
        <f t="shared" si="52"/>
        <v>woning</v>
      </c>
      <c r="T172" s="450" t="str">
        <f t="shared" si="52"/>
        <v>woongebouw</v>
      </c>
      <c r="U172" s="342"/>
      <c r="V172" s="19"/>
      <c r="W172" s="15"/>
      <c r="X172" s="15"/>
      <c r="Y172" s="19"/>
      <c r="Z172" s="5"/>
      <c r="AA172" s="5"/>
      <c r="AB172" s="5"/>
      <c r="AC172" s="5"/>
      <c r="AD172" s="5"/>
      <c r="AE172" s="5"/>
      <c r="AF172" s="5"/>
      <c r="AG172" s="5"/>
      <c r="AH172" s="5"/>
      <c r="AI172" s="5"/>
      <c r="AJ172" s="5"/>
      <c r="AK172" s="5"/>
      <c r="AL172" s="5"/>
      <c r="AM172" s="5"/>
      <c r="AN172" s="5"/>
      <c r="AO172" s="5"/>
      <c r="AP172" s="5"/>
      <c r="AQ172" s="5"/>
      <c r="AR172" s="5"/>
      <c r="AS172" s="21"/>
    </row>
    <row r="173" spans="2:55" hidden="1">
      <c r="B173" s="1000" t="s">
        <v>1135</v>
      </c>
      <c r="C173" s="1000"/>
      <c r="E173" s="329" t="s">
        <v>1136</v>
      </c>
      <c r="F173" s="330"/>
      <c r="G173" s="329" t="s">
        <v>139</v>
      </c>
      <c r="H173" s="342"/>
      <c r="I173" s="344">
        <v>0</v>
      </c>
      <c r="J173" s="344">
        <v>0</v>
      </c>
      <c r="K173" s="344">
        <v>0</v>
      </c>
      <c r="L173" s="344">
        <v>0</v>
      </c>
      <c r="M173" s="344">
        <v>0.4</v>
      </c>
      <c r="N173" s="344">
        <v>0.4</v>
      </c>
      <c r="O173" s="344">
        <v>0</v>
      </c>
      <c r="P173" s="344">
        <v>0.8</v>
      </c>
      <c r="Q173" s="344">
        <v>0.6</v>
      </c>
      <c r="R173" s="344">
        <v>0.4</v>
      </c>
      <c r="S173" s="344">
        <v>0.8</v>
      </c>
      <c r="T173" s="344">
        <v>0.8</v>
      </c>
      <c r="U173" s="342"/>
      <c r="V173" s="19"/>
      <c r="W173" s="15"/>
      <c r="X173" s="15"/>
      <c r="Y173" s="19"/>
      <c r="Z173" s="5"/>
      <c r="AA173" s="5"/>
      <c r="AB173" s="5"/>
      <c r="AC173" s="5"/>
      <c r="AD173" s="5"/>
      <c r="AE173" s="5"/>
      <c r="AF173" s="5"/>
      <c r="AG173" s="5"/>
      <c r="AH173" s="5"/>
      <c r="AI173" s="5"/>
      <c r="AJ173" s="5"/>
      <c r="AK173" s="5"/>
      <c r="AL173" s="5"/>
      <c r="AM173" s="5"/>
      <c r="AN173" s="5"/>
      <c r="AO173" s="5"/>
      <c r="AP173" s="5"/>
      <c r="AQ173" s="5"/>
      <c r="AR173" s="5"/>
      <c r="AS173" s="21"/>
    </row>
    <row r="174" spans="2:55" hidden="1">
      <c r="B174" s="1000" t="s">
        <v>1135</v>
      </c>
      <c r="C174" s="1000"/>
      <c r="E174" s="5"/>
      <c r="F174" s="5"/>
      <c r="G174" s="5"/>
      <c r="H174" s="15"/>
      <c r="I174" s="15"/>
      <c r="J174" s="15"/>
      <c r="K174" s="15"/>
      <c r="L174" s="15"/>
      <c r="M174" s="15"/>
      <c r="N174" s="15"/>
      <c r="O174" s="15"/>
      <c r="P174" s="15"/>
      <c r="Q174" s="15"/>
      <c r="R174" s="15"/>
      <c r="S174" s="15"/>
      <c r="T174" s="15"/>
      <c r="U174" s="15"/>
      <c r="V174" s="15"/>
      <c r="X174" s="15"/>
      <c r="Y174" s="19"/>
      <c r="Z174" s="15"/>
      <c r="AA174" s="5"/>
      <c r="AB174" s="5"/>
      <c r="AC174" s="5"/>
      <c r="AD174" s="5"/>
      <c r="AE174" s="5"/>
      <c r="AF174" s="5"/>
      <c r="AG174" s="5"/>
      <c r="AH174" s="5"/>
      <c r="AI174" s="5"/>
      <c r="AJ174" s="5"/>
      <c r="AK174" s="5"/>
      <c r="AL174" s="5"/>
      <c r="AM174" s="5"/>
      <c r="AN174" s="5"/>
      <c r="AO174" s="5"/>
      <c r="AP174" s="5"/>
      <c r="AQ174" s="5"/>
      <c r="AR174" s="5"/>
      <c r="AS174" s="21"/>
    </row>
    <row r="175" spans="2:55" hidden="1">
      <c r="B175" s="1000" t="s">
        <v>1127</v>
      </c>
      <c r="C175" s="1000"/>
      <c r="D175" s="836"/>
      <c r="E175" s="5"/>
      <c r="F175" s="5"/>
      <c r="G175" s="5"/>
      <c r="H175" s="15"/>
      <c r="I175" s="15"/>
      <c r="J175" s="15"/>
      <c r="K175" s="15"/>
      <c r="L175" s="15"/>
      <c r="M175" s="15"/>
      <c r="N175" s="15"/>
      <c r="O175" s="15"/>
      <c r="P175" s="15"/>
      <c r="Q175" s="15"/>
      <c r="R175" s="15"/>
      <c r="S175" s="15"/>
      <c r="T175" s="15"/>
      <c r="U175" s="15"/>
      <c r="V175" s="15"/>
      <c r="W175" s="15"/>
      <c r="X175" s="15"/>
      <c r="Y175" s="19"/>
      <c r="Z175" s="5"/>
      <c r="AA175" s="5"/>
      <c r="AB175" s="5"/>
      <c r="AC175" s="5"/>
      <c r="AD175" s="5"/>
      <c r="AE175" s="5"/>
      <c r="AF175" s="5"/>
      <c r="AG175" s="5"/>
      <c r="AH175" s="5"/>
      <c r="AI175" s="5"/>
      <c r="AJ175" s="5"/>
      <c r="AK175" s="5"/>
      <c r="AL175" s="5"/>
      <c r="AM175" s="5"/>
      <c r="AN175" s="5"/>
      <c r="AO175" s="5"/>
      <c r="AP175" s="5"/>
      <c r="AQ175" s="5"/>
      <c r="AR175" s="5"/>
      <c r="AS175" s="21"/>
    </row>
    <row r="176" spans="2:55" ht="21" hidden="1">
      <c r="B176" s="1000" t="s">
        <v>1127</v>
      </c>
      <c r="C176" s="1000"/>
      <c r="D176" s="1151" t="s">
        <v>45</v>
      </c>
      <c r="E176" s="175" t="s">
        <v>1126</v>
      </c>
      <c r="F176" s="175"/>
      <c r="G176" s="175"/>
      <c r="H176" s="175"/>
      <c r="I176" s="175"/>
      <c r="J176" s="175"/>
      <c r="K176" s="175"/>
      <c r="L176" s="175"/>
      <c r="M176" s="175"/>
      <c r="N176" s="175"/>
      <c r="O176" s="52"/>
      <c r="P176" s="52"/>
      <c r="Q176" s="51"/>
      <c r="R176" s="52"/>
      <c r="S176" s="52"/>
      <c r="T176" s="52"/>
      <c r="U176" s="52"/>
      <c r="V176" s="52"/>
      <c r="W176" s="52"/>
      <c r="X176" s="5"/>
      <c r="Y176" s="19"/>
      <c r="Z176" s="5"/>
      <c r="AA176" s="5"/>
      <c r="AB176" s="5"/>
      <c r="AC176" s="5"/>
      <c r="AD176" s="5"/>
      <c r="AE176" s="5"/>
      <c r="AF176" s="5"/>
      <c r="AG176" s="5"/>
      <c r="AH176" s="5"/>
      <c r="AI176" s="5"/>
      <c r="AJ176" s="5"/>
      <c r="AK176" s="5"/>
      <c r="AL176" s="5"/>
      <c r="AM176" s="5"/>
      <c r="AN176" s="5"/>
      <c r="AO176" s="5"/>
      <c r="AP176" s="5"/>
      <c r="AQ176" s="5"/>
      <c r="AR176" s="5"/>
      <c r="AS176" s="21"/>
    </row>
    <row r="177" spans="1:54" hidden="1">
      <c r="B177" s="1000" t="s">
        <v>1127</v>
      </c>
      <c r="C177" s="1000"/>
      <c r="D177" s="837"/>
      <c r="E177" s="246" t="s">
        <v>414</v>
      </c>
      <c r="F177" s="246"/>
      <c r="G177" s="246" t="s">
        <v>353</v>
      </c>
      <c r="H177" s="247"/>
      <c r="I177" s="247">
        <f ca="1">OFFSET(I177,0,-1)+1</f>
        <v>1</v>
      </c>
      <c r="J177" s="247">
        <f ca="1">OFFSET(J177,0,-1)+1</f>
        <v>2</v>
      </c>
      <c r="K177" s="247">
        <f ca="1">OFFSET(K177,0,-1)+1</f>
        <v>3</v>
      </c>
      <c r="L177" s="247">
        <f ca="1">OFFSET(L177,0,-1)+1</f>
        <v>4</v>
      </c>
      <c r="M177" s="247">
        <f ca="1">OFFSET(M177,0,-1)+1</f>
        <v>5</v>
      </c>
      <c r="N177" s="247"/>
      <c r="O177" s="5"/>
      <c r="P177" s="15"/>
      <c r="Q177" s="51"/>
      <c r="R177" s="5"/>
      <c r="S177" s="5"/>
      <c r="T177" s="5"/>
      <c r="U177" s="5"/>
      <c r="V177" s="5"/>
      <c r="W177" s="5"/>
      <c r="X177" s="5"/>
      <c r="Y177" s="19"/>
      <c r="Z177" s="5"/>
      <c r="AA177" s="5"/>
      <c r="AB177" s="5"/>
      <c r="AC177" s="5"/>
      <c r="AD177" s="5"/>
      <c r="AE177" s="5"/>
      <c r="AF177" s="5"/>
      <c r="AG177" s="5"/>
      <c r="AH177" s="5"/>
      <c r="AI177" s="5"/>
      <c r="AJ177" s="5"/>
      <c r="AK177" s="5"/>
      <c r="AL177" s="5"/>
      <c r="AM177" s="5"/>
      <c r="AN177" s="5"/>
      <c r="AO177" s="5"/>
      <c r="AP177" s="5"/>
      <c r="AQ177" s="5"/>
      <c r="AR177" s="5"/>
      <c r="AS177" s="21"/>
    </row>
    <row r="178" spans="1:54" s="2" customFormat="1" ht="18.75" hidden="1">
      <c r="A178" s="1010"/>
      <c r="B178" s="1000" t="s">
        <v>1127</v>
      </c>
      <c r="C178" s="1000"/>
      <c r="D178" s="841"/>
      <c r="E178" s="316" t="s">
        <v>1128</v>
      </c>
      <c r="F178" s="317"/>
      <c r="G178" s="316"/>
      <c r="H178" s="318"/>
      <c r="I178" s="319"/>
      <c r="J178" s="319"/>
      <c r="K178" s="319"/>
      <c r="L178" s="319"/>
      <c r="M178" s="319"/>
      <c r="N178" s="318"/>
      <c r="O178" s="9"/>
      <c r="P178" s="4"/>
      <c r="Q178" s="4"/>
      <c r="R178" s="4"/>
      <c r="S178" s="4"/>
      <c r="T178" s="4"/>
      <c r="U178" s="4"/>
      <c r="V178" s="4"/>
      <c r="W178" s="4"/>
      <c r="X178" s="4"/>
      <c r="Y178" s="8"/>
      <c r="Z178" s="4"/>
      <c r="AA178" s="4"/>
      <c r="AB178" s="4"/>
      <c r="AC178" s="4"/>
      <c r="AD178" s="4"/>
      <c r="AE178" s="4"/>
      <c r="AF178" s="4"/>
      <c r="AG178" s="4"/>
      <c r="AH178" s="4"/>
      <c r="AI178" s="4"/>
      <c r="AJ178" s="4"/>
      <c r="AK178" s="4"/>
      <c r="AL178" s="4"/>
      <c r="AM178" s="4"/>
      <c r="AN178" s="4"/>
      <c r="AO178" s="4"/>
      <c r="AP178" s="4"/>
      <c r="AQ178" s="4"/>
      <c r="AR178" s="4"/>
      <c r="AS178" s="21"/>
    </row>
    <row r="179" spans="1:54" ht="38.25" hidden="1">
      <c r="B179" s="1000" t="s">
        <v>1127</v>
      </c>
      <c r="C179" s="1000"/>
      <c r="D179" s="836"/>
      <c r="E179" s="294" t="s">
        <v>1129</v>
      </c>
      <c r="F179" s="264"/>
      <c r="G179" s="294" t="s">
        <v>65</v>
      </c>
      <c r="H179" s="407"/>
      <c r="I179" s="450" t="s">
        <v>166</v>
      </c>
      <c r="J179" s="450" t="s">
        <v>1130</v>
      </c>
      <c r="K179" s="450" t="s">
        <v>1131</v>
      </c>
      <c r="L179" s="500"/>
      <c r="M179" s="500"/>
      <c r="N179" s="407"/>
      <c r="O179" s="15"/>
      <c r="P179" s="5"/>
      <c r="Q179" s="5"/>
      <c r="R179" s="5"/>
      <c r="S179" s="5"/>
      <c r="T179" s="5"/>
      <c r="U179" s="5"/>
      <c r="V179" s="5"/>
      <c r="W179" s="5"/>
      <c r="X179" s="5"/>
      <c r="Y179" s="19"/>
      <c r="Z179" s="5"/>
      <c r="AA179" s="5"/>
      <c r="AB179" s="5"/>
      <c r="AC179" s="5"/>
      <c r="AD179" s="5"/>
      <c r="AE179" s="5"/>
      <c r="AF179" s="5"/>
      <c r="AG179" s="5"/>
      <c r="AH179" s="5"/>
      <c r="AI179" s="5"/>
      <c r="AJ179" s="5"/>
      <c r="AK179" s="5"/>
      <c r="AL179" s="5"/>
      <c r="AM179" s="5"/>
      <c r="AN179" s="5"/>
      <c r="AO179" s="5"/>
      <c r="AP179" s="5"/>
      <c r="AQ179" s="5"/>
      <c r="AR179" s="5"/>
      <c r="AS179" s="21"/>
    </row>
    <row r="180" spans="1:54" hidden="1">
      <c r="B180" s="1000" t="s">
        <v>1127</v>
      </c>
      <c r="C180" s="1000"/>
      <c r="D180" s="836"/>
      <c r="E180" s="294" t="s">
        <v>1303</v>
      </c>
      <c r="F180" s="264"/>
      <c r="G180" s="294" t="s">
        <v>1134</v>
      </c>
      <c r="H180" s="407"/>
      <c r="I180" s="315">
        <v>0</v>
      </c>
      <c r="J180" s="315">
        <v>0.4</v>
      </c>
      <c r="K180" s="315">
        <v>0.2</v>
      </c>
      <c r="L180" s="925"/>
      <c r="M180" s="925"/>
      <c r="N180" s="407"/>
      <c r="O180" s="15"/>
      <c r="P180" s="5"/>
      <c r="Q180" s="5"/>
      <c r="R180" s="5"/>
      <c r="S180" s="5"/>
      <c r="T180" s="5"/>
      <c r="U180" s="5"/>
      <c r="V180" s="5"/>
      <c r="W180" s="5"/>
      <c r="X180" s="5"/>
      <c r="Y180" s="19"/>
      <c r="Z180" s="5"/>
      <c r="AA180" s="5"/>
      <c r="AB180" s="5"/>
      <c r="AC180" s="5"/>
      <c r="AD180" s="5"/>
      <c r="AE180" s="5"/>
      <c r="AF180" s="5"/>
      <c r="AG180" s="5"/>
      <c r="AH180" s="5"/>
      <c r="AI180" s="5"/>
      <c r="AJ180" s="5"/>
      <c r="AK180" s="5"/>
      <c r="AL180" s="5"/>
      <c r="AM180" s="5"/>
      <c r="AN180" s="5"/>
      <c r="AO180" s="5"/>
      <c r="AP180" s="5"/>
      <c r="AQ180" s="5"/>
      <c r="AR180" s="5"/>
      <c r="AS180" s="21"/>
    </row>
    <row r="181" spans="1:54" hidden="1">
      <c r="B181" s="1000" t="s">
        <v>1127</v>
      </c>
      <c r="C181" s="1000"/>
      <c r="D181" s="836"/>
      <c r="E181" s="294" t="s">
        <v>1132</v>
      </c>
      <c r="F181" s="264"/>
      <c r="G181" s="294" t="s">
        <v>1133</v>
      </c>
      <c r="H181" s="407"/>
      <c r="I181" s="315">
        <v>1</v>
      </c>
      <c r="J181" s="315">
        <v>0.85</v>
      </c>
      <c r="K181" s="315">
        <v>0.85</v>
      </c>
      <c r="L181" s="925"/>
      <c r="M181" s="925"/>
      <c r="N181" s="407"/>
      <c r="O181" s="15"/>
      <c r="P181" s="5"/>
      <c r="Q181" s="5"/>
      <c r="R181" s="5"/>
      <c r="S181" s="5"/>
      <c r="T181" s="5"/>
      <c r="U181" s="5"/>
      <c r="V181" s="5"/>
      <c r="W181" s="5"/>
      <c r="X181" s="5"/>
      <c r="Y181" s="19"/>
      <c r="Z181" s="5"/>
      <c r="AA181" s="5"/>
      <c r="AB181" s="5"/>
      <c r="AC181" s="5"/>
      <c r="AD181" s="5"/>
      <c r="AE181" s="5"/>
      <c r="AF181" s="5"/>
      <c r="AG181" s="5"/>
      <c r="AH181" s="5"/>
      <c r="AI181" s="5"/>
      <c r="AJ181" s="5"/>
      <c r="AK181" s="5"/>
      <c r="AL181" s="5"/>
      <c r="AM181" s="5"/>
      <c r="AN181" s="5"/>
      <c r="AO181" s="5"/>
      <c r="AP181" s="5"/>
      <c r="AQ181" s="5"/>
      <c r="AR181" s="5"/>
      <c r="AS181" s="21"/>
    </row>
    <row r="182" spans="1:54" s="2" customFormat="1" ht="18.75" hidden="1">
      <c r="A182" s="1010"/>
      <c r="B182" s="1000" t="s">
        <v>1127</v>
      </c>
      <c r="C182" s="1000"/>
      <c r="D182" s="841"/>
      <c r="E182" s="316" t="s">
        <v>1306</v>
      </c>
      <c r="F182" s="317"/>
      <c r="G182" s="316"/>
      <c r="H182" s="318"/>
      <c r="I182" s="319"/>
      <c r="J182" s="1121"/>
      <c r="K182" s="1121"/>
      <c r="L182" s="1121"/>
      <c r="M182" s="1121"/>
      <c r="N182" s="1122"/>
      <c r="O182" s="9"/>
      <c r="P182" s="4"/>
      <c r="Q182" s="4"/>
      <c r="R182" s="4"/>
      <c r="S182" s="4"/>
      <c r="T182" s="4"/>
      <c r="U182" s="4"/>
      <c r="V182" s="4"/>
      <c r="W182" s="4"/>
      <c r="X182" s="4"/>
      <c r="Y182" s="8"/>
      <c r="Z182" s="4"/>
      <c r="AA182" s="4"/>
      <c r="AB182" s="4"/>
      <c r="AC182" s="4"/>
      <c r="AD182" s="4"/>
      <c r="AE182" s="4"/>
      <c r="AF182" s="4"/>
      <c r="AG182" s="4"/>
      <c r="AH182" s="4"/>
      <c r="AI182" s="4"/>
      <c r="AJ182" s="4"/>
      <c r="AK182" s="4"/>
      <c r="AL182" s="4"/>
      <c r="AM182" s="4"/>
      <c r="AN182" s="4"/>
      <c r="AO182" s="4"/>
      <c r="AP182" s="4"/>
      <c r="AQ182" s="4"/>
      <c r="AR182" s="4"/>
      <c r="AS182" s="21"/>
    </row>
    <row r="183" spans="1:54" hidden="1">
      <c r="B183" s="1000" t="s">
        <v>1127</v>
      </c>
      <c r="C183" s="1000"/>
      <c r="D183" s="836"/>
      <c r="E183" s="294" t="s">
        <v>1307</v>
      </c>
      <c r="F183" s="264"/>
      <c r="G183" s="294" t="s">
        <v>65</v>
      </c>
      <c r="H183" s="407"/>
      <c r="I183" s="450">
        <v>0.95</v>
      </c>
      <c r="J183" s="15"/>
      <c r="K183" s="15"/>
      <c r="L183" s="5"/>
      <c r="M183" s="5"/>
      <c r="N183" s="5"/>
      <c r="O183" s="5"/>
      <c r="P183" s="5"/>
      <c r="Q183" s="5"/>
      <c r="R183" s="5"/>
      <c r="S183" s="5"/>
      <c r="T183" s="5"/>
      <c r="U183" s="19"/>
      <c r="V183" s="5"/>
      <c r="W183" s="5"/>
      <c r="X183" s="5"/>
      <c r="Y183" s="5"/>
      <c r="Z183" s="5"/>
      <c r="AA183" s="5"/>
      <c r="AB183" s="5"/>
      <c r="AC183" s="5"/>
      <c r="AD183" s="5"/>
      <c r="AE183" s="5"/>
      <c r="AF183" s="5"/>
      <c r="AG183" s="5"/>
      <c r="AH183" s="5"/>
      <c r="AI183" s="5"/>
      <c r="AJ183" s="5"/>
      <c r="AK183" s="5"/>
      <c r="AL183" s="5"/>
      <c r="AM183" s="5"/>
      <c r="AN183" s="5"/>
      <c r="AO183" s="21"/>
      <c r="AS183"/>
    </row>
    <row r="184" spans="1:54" hidden="1">
      <c r="B184" s="1000" t="s">
        <v>1127</v>
      </c>
      <c r="C184" s="1000"/>
      <c r="D184" s="836"/>
      <c r="E184" s="294" t="s">
        <v>1308</v>
      </c>
      <c r="F184" s="264"/>
      <c r="G184" s="294" t="s">
        <v>65</v>
      </c>
      <c r="H184" s="407"/>
      <c r="I184" s="450">
        <v>0.83</v>
      </c>
      <c r="J184" s="15"/>
      <c r="K184" s="15"/>
      <c r="L184" s="5"/>
      <c r="M184" s="5"/>
      <c r="N184" s="5"/>
      <c r="O184" s="5"/>
      <c r="P184" s="5"/>
      <c r="Q184" s="5"/>
      <c r="R184" s="5"/>
      <c r="S184" s="5"/>
      <c r="T184" s="5"/>
      <c r="U184" s="19"/>
      <c r="V184" s="5"/>
      <c r="W184" s="5"/>
      <c r="X184" s="5"/>
      <c r="Y184" s="5"/>
      <c r="Z184" s="5"/>
      <c r="AA184" s="5"/>
      <c r="AB184" s="5"/>
      <c r="AC184" s="5"/>
      <c r="AD184" s="5"/>
      <c r="AE184" s="5"/>
      <c r="AF184" s="5"/>
      <c r="AG184" s="5"/>
      <c r="AH184" s="5"/>
      <c r="AI184" s="5"/>
      <c r="AJ184" s="5"/>
      <c r="AK184" s="5"/>
      <c r="AL184" s="5"/>
      <c r="AM184" s="5"/>
      <c r="AN184" s="5"/>
      <c r="AO184" s="21"/>
      <c r="AS184"/>
    </row>
    <row r="185" spans="1:54" hidden="1">
      <c r="B185" s="1000" t="s">
        <v>1127</v>
      </c>
      <c r="C185" s="1000"/>
      <c r="D185" s="836"/>
      <c r="E185" s="5"/>
      <c r="F185" s="5"/>
      <c r="G185" s="5"/>
      <c r="H185" s="15"/>
      <c r="I185" s="15"/>
      <c r="J185" s="15"/>
      <c r="K185" s="15"/>
      <c r="L185" s="15"/>
      <c r="M185" s="15"/>
      <c r="N185" s="15"/>
      <c r="O185" s="15"/>
      <c r="P185" s="15"/>
      <c r="Q185" s="15"/>
      <c r="R185" s="15"/>
      <c r="S185" s="15"/>
      <c r="T185" s="15"/>
      <c r="U185" s="15"/>
      <c r="V185" s="15"/>
      <c r="W185" s="15"/>
      <c r="X185" s="15"/>
      <c r="Y185" s="19"/>
      <c r="Z185" s="5"/>
      <c r="AA185" s="5"/>
      <c r="AB185" s="5"/>
      <c r="AC185" s="5"/>
      <c r="AD185" s="5"/>
      <c r="AE185" s="5"/>
      <c r="AF185" s="5"/>
      <c r="AG185" s="5"/>
      <c r="AH185" s="5"/>
      <c r="AI185" s="5"/>
      <c r="AJ185" s="5"/>
      <c r="AK185" s="5"/>
      <c r="AL185" s="5"/>
      <c r="AM185" s="5"/>
      <c r="AN185" s="5"/>
      <c r="AO185" s="5"/>
      <c r="AP185" s="5"/>
      <c r="AQ185" s="5"/>
      <c r="AR185" s="5"/>
      <c r="AS185" s="21"/>
    </row>
    <row r="186" spans="1:54" ht="15.75">
      <c r="B186" s="1000" t="s">
        <v>609</v>
      </c>
      <c r="C186" s="1000"/>
      <c r="D186" s="836"/>
      <c r="E186" s="5"/>
      <c r="F186" s="5"/>
      <c r="G186" s="5"/>
      <c r="H186" s="15"/>
      <c r="I186" s="15"/>
      <c r="J186" s="15"/>
      <c r="K186" s="15"/>
      <c r="L186" s="15"/>
      <c r="M186" s="15"/>
      <c r="N186" s="15"/>
      <c r="O186" s="15"/>
      <c r="P186" s="15"/>
      <c r="Q186" s="15"/>
      <c r="R186" s="1185"/>
      <c r="S186" s="15"/>
      <c r="T186" s="15"/>
      <c r="U186" s="15"/>
      <c r="V186" s="15"/>
      <c r="W186" s="15"/>
      <c r="X186" s="15"/>
      <c r="Y186" s="19"/>
      <c r="Z186" s="5"/>
      <c r="AA186" s="5"/>
      <c r="AB186" s="5"/>
      <c r="AC186" s="5"/>
      <c r="AD186" s="5"/>
      <c r="AE186" s="5"/>
      <c r="AF186" s="5"/>
      <c r="AG186" s="5"/>
      <c r="AH186" s="5"/>
      <c r="AI186" s="5"/>
      <c r="AJ186" s="5"/>
      <c r="AK186" s="5"/>
      <c r="AL186" s="5"/>
      <c r="AM186" s="5"/>
      <c r="AN186" s="5"/>
      <c r="AO186" s="5"/>
      <c r="AP186" s="5"/>
      <c r="AQ186" s="5"/>
      <c r="AR186" s="5"/>
      <c r="AS186" s="21"/>
    </row>
    <row r="187" spans="1:54" ht="21">
      <c r="B187" s="1000" t="s">
        <v>609</v>
      </c>
      <c r="C187" s="1000"/>
      <c r="D187" s="1151" t="s">
        <v>45</v>
      </c>
      <c r="E187" s="199" t="s">
        <v>610</v>
      </c>
      <c r="F187" s="199"/>
      <c r="G187" s="199"/>
      <c r="H187" s="199"/>
      <c r="I187" s="454"/>
      <c r="J187" s="454"/>
      <c r="K187" s="454"/>
      <c r="L187" s="454"/>
      <c r="M187" s="454"/>
      <c r="N187" s="454"/>
      <c r="O187" s="454"/>
      <c r="P187" s="454"/>
      <c r="Q187" s="454"/>
      <c r="R187" s="454"/>
      <c r="S187" s="454"/>
      <c r="T187" s="454"/>
      <c r="U187" s="454"/>
      <c r="V187" s="454"/>
      <c r="W187" s="454"/>
      <c r="X187" s="454"/>
      <c r="Y187" s="454"/>
      <c r="Z187" s="454"/>
      <c r="AA187" s="454"/>
      <c r="AB187" s="454"/>
      <c r="AC187" s="454"/>
      <c r="AD187" s="5"/>
      <c r="AE187" s="5"/>
      <c r="AF187" s="5"/>
      <c r="AG187" s="5"/>
      <c r="AH187" s="5"/>
      <c r="AI187" s="5"/>
      <c r="AJ187" s="5"/>
      <c r="AK187" s="5"/>
      <c r="AL187" s="5"/>
      <c r="AM187" s="5"/>
      <c r="AN187" s="5"/>
      <c r="AO187" s="5"/>
      <c r="AP187" s="5"/>
      <c r="AQ187" s="5"/>
      <c r="AR187" s="5"/>
      <c r="AS187" s="21"/>
      <c r="AV187" s="5"/>
      <c r="AW187" s="21"/>
    </row>
    <row r="188" spans="1:54">
      <c r="B188" s="1000" t="s">
        <v>609</v>
      </c>
      <c r="C188" s="1000"/>
      <c r="D188" s="837"/>
      <c r="E188" s="320" t="s">
        <v>414</v>
      </c>
      <c r="F188" s="320"/>
      <c r="G188" s="320" t="s">
        <v>353</v>
      </c>
      <c r="H188" s="321"/>
      <c r="I188" s="321">
        <f t="shared" ref="I188:AB188" ca="1" si="53">OFFSET(I188,0,-1)+1</f>
        <v>1</v>
      </c>
      <c r="J188" s="321">
        <f t="shared" ca="1" si="53"/>
        <v>2</v>
      </c>
      <c r="K188" s="321">
        <f t="shared" ca="1" si="53"/>
        <v>3</v>
      </c>
      <c r="L188" s="321">
        <f t="shared" ca="1" si="53"/>
        <v>4</v>
      </c>
      <c r="M188" s="321">
        <f t="shared" ca="1" si="53"/>
        <v>5</v>
      </c>
      <c r="N188" s="321">
        <f t="shared" ca="1" si="53"/>
        <v>6</v>
      </c>
      <c r="O188" s="321">
        <f t="shared" ca="1" si="53"/>
        <v>7</v>
      </c>
      <c r="P188" s="321">
        <f t="shared" ca="1" si="53"/>
        <v>8</v>
      </c>
      <c r="Q188" s="321">
        <f t="shared" ca="1" si="53"/>
        <v>9</v>
      </c>
      <c r="R188" s="321">
        <f t="shared" ca="1" si="53"/>
        <v>10</v>
      </c>
      <c r="S188" s="321">
        <f t="shared" ca="1" si="53"/>
        <v>11</v>
      </c>
      <c r="T188" s="321">
        <f t="shared" ca="1" si="53"/>
        <v>12</v>
      </c>
      <c r="U188" s="321">
        <f t="shared" ca="1" si="53"/>
        <v>13</v>
      </c>
      <c r="V188" s="321">
        <f t="shared" ca="1" si="53"/>
        <v>14</v>
      </c>
      <c r="W188" s="321">
        <f t="shared" ca="1" si="53"/>
        <v>15</v>
      </c>
      <c r="X188" s="321">
        <f t="shared" ca="1" si="53"/>
        <v>16</v>
      </c>
      <c r="Y188" s="321">
        <f t="shared" ca="1" si="53"/>
        <v>17</v>
      </c>
      <c r="Z188" s="321">
        <f t="shared" ca="1" si="53"/>
        <v>18</v>
      </c>
      <c r="AA188" s="321">
        <f t="shared" ca="1" si="53"/>
        <v>19</v>
      </c>
      <c r="AB188" s="321">
        <f t="shared" ca="1" si="53"/>
        <v>20</v>
      </c>
      <c r="AC188" s="321"/>
      <c r="AD188" s="5"/>
      <c r="AE188" s="5"/>
      <c r="AF188" s="5"/>
      <c r="AG188" s="5"/>
      <c r="AH188" s="5"/>
      <c r="AI188" s="5"/>
      <c r="AJ188" s="5"/>
      <c r="AK188" s="5"/>
      <c r="AL188" s="5"/>
      <c r="AM188" s="5"/>
      <c r="AN188" s="5"/>
      <c r="AO188" s="5"/>
      <c r="AP188" s="5"/>
      <c r="AQ188" s="5"/>
      <c r="AR188" s="5"/>
      <c r="AS188" s="21"/>
      <c r="AV188" s="5"/>
      <c r="AW188" s="21"/>
    </row>
    <row r="189" spans="1:54" s="2" customFormat="1" ht="18.75">
      <c r="A189" s="1010"/>
      <c r="B189" s="1000" t="s">
        <v>609</v>
      </c>
      <c r="C189" s="1000"/>
      <c r="D189" s="839"/>
      <c r="E189" s="337" t="s">
        <v>468</v>
      </c>
      <c r="F189" s="338"/>
      <c r="G189" s="337"/>
      <c r="H189" s="439"/>
      <c r="I189" s="455"/>
      <c r="J189" s="455"/>
      <c r="K189" s="455"/>
      <c r="L189" s="455"/>
      <c r="M189" s="455"/>
      <c r="N189" s="455"/>
      <c r="O189" s="455"/>
      <c r="P189" s="455"/>
      <c r="Q189" s="455"/>
      <c r="R189" s="455"/>
      <c r="S189" s="455"/>
      <c r="T189" s="596" t="s">
        <v>469</v>
      </c>
      <c r="U189" s="596" t="s">
        <v>469</v>
      </c>
      <c r="V189" s="596" t="s">
        <v>469</v>
      </c>
      <c r="W189" s="596" t="s">
        <v>469</v>
      </c>
      <c r="X189" s="596" t="s">
        <v>469</v>
      </c>
      <c r="Y189" s="596" t="s">
        <v>469</v>
      </c>
      <c r="Z189" s="596" t="s">
        <v>469</v>
      </c>
      <c r="AA189" s="596" t="s">
        <v>469</v>
      </c>
      <c r="AB189" s="596" t="s">
        <v>469</v>
      </c>
      <c r="AC189" s="456"/>
      <c r="AD189" s="5"/>
      <c r="AE189" s="5"/>
      <c r="AF189" s="5"/>
      <c r="AG189" s="5"/>
      <c r="AH189" s="5"/>
      <c r="AI189" s="5"/>
      <c r="AJ189" s="5"/>
      <c r="AK189" s="5"/>
      <c r="AL189" s="5"/>
      <c r="AM189" s="5"/>
      <c r="AN189" s="5"/>
      <c r="AO189" s="5"/>
      <c r="AP189" s="5"/>
      <c r="AQ189" s="5"/>
      <c r="AR189" s="5"/>
      <c r="AS189" s="21"/>
      <c r="AT189"/>
      <c r="AU189"/>
      <c r="AV189" s="5"/>
      <c r="AW189" s="21"/>
      <c r="AX189"/>
      <c r="AY189"/>
      <c r="AZ189"/>
      <c r="BA189"/>
      <c r="BB189"/>
    </row>
    <row r="190" spans="1:54" ht="51">
      <c r="B190" s="1000" t="s">
        <v>609</v>
      </c>
      <c r="C190" s="1000"/>
      <c r="D190" s="836"/>
      <c r="E190" s="329" t="s">
        <v>470</v>
      </c>
      <c r="F190" s="330"/>
      <c r="G190" s="329" t="s">
        <v>65</v>
      </c>
      <c r="H190" s="342"/>
      <c r="I190" s="422" t="s">
        <v>611</v>
      </c>
      <c r="J190" s="450" t="s">
        <v>166</v>
      </c>
      <c r="K190" s="450" t="s">
        <v>612</v>
      </c>
      <c r="L190" s="450" t="s">
        <v>613</v>
      </c>
      <c r="M190" s="450" t="s">
        <v>614</v>
      </c>
      <c r="N190" s="450" t="s">
        <v>615</v>
      </c>
      <c r="O190" s="450" t="s">
        <v>616</v>
      </c>
      <c r="P190" s="450" t="s">
        <v>617</v>
      </c>
      <c r="Q190" s="450" t="s">
        <v>618</v>
      </c>
      <c r="R190" s="450" t="s">
        <v>619</v>
      </c>
      <c r="S190" s="450" t="s">
        <v>620</v>
      </c>
      <c r="T190" s="500"/>
      <c r="U190" s="501"/>
      <c r="V190" s="501"/>
      <c r="W190" s="501"/>
      <c r="X190" s="501"/>
      <c r="Y190" s="501"/>
      <c r="Z190" s="501"/>
      <c r="AA190" s="501"/>
      <c r="AB190" s="501"/>
      <c r="AC190" s="457"/>
      <c r="AD190" s="15"/>
      <c r="AE190" s="15"/>
      <c r="AF190" s="15"/>
      <c r="AG190" s="15"/>
      <c r="AH190" s="15"/>
      <c r="AI190" s="5"/>
      <c r="AJ190" s="5"/>
      <c r="AK190" s="5"/>
      <c r="AL190" s="5"/>
      <c r="AM190" s="5"/>
      <c r="AN190" s="5"/>
      <c r="AO190" s="5"/>
      <c r="AP190" s="5"/>
      <c r="AQ190" s="5"/>
      <c r="AR190" s="5"/>
      <c r="AS190" s="21"/>
      <c r="AV190" s="5"/>
      <c r="AW190" s="21"/>
    </row>
    <row r="191" spans="1:54">
      <c r="B191" s="1000" t="s">
        <v>609</v>
      </c>
      <c r="C191" s="1000"/>
      <c r="D191" s="836"/>
      <c r="E191" s="329" t="s">
        <v>498</v>
      </c>
      <c r="F191" s="330"/>
      <c r="G191" s="440"/>
      <c r="H191" s="342"/>
      <c r="I191" s="441"/>
      <c r="J191" s="441"/>
      <c r="K191" s="441"/>
      <c r="L191" s="441"/>
      <c r="M191" s="441"/>
      <c r="N191" s="441"/>
      <c r="O191" s="441"/>
      <c r="P191" s="441"/>
      <c r="Q191" s="441"/>
      <c r="R191" s="441"/>
      <c r="S191" s="441"/>
      <c r="T191" s="502"/>
      <c r="U191" s="503"/>
      <c r="V191" s="503"/>
      <c r="W191" s="503"/>
      <c r="X191" s="503"/>
      <c r="Y191" s="503"/>
      <c r="Z191" s="503"/>
      <c r="AA191" s="503"/>
      <c r="AB191" s="503"/>
      <c r="AC191" s="342"/>
      <c r="AD191" s="15"/>
      <c r="AE191" s="15"/>
      <c r="AF191" s="15"/>
      <c r="AG191" s="15"/>
      <c r="AH191" s="15"/>
      <c r="AI191" s="5"/>
      <c r="AJ191" s="5"/>
      <c r="AK191" s="5"/>
      <c r="AL191" s="5"/>
      <c r="AM191" s="5"/>
      <c r="AN191" s="5"/>
      <c r="AO191" s="5"/>
      <c r="AP191" s="5"/>
      <c r="AQ191" s="5"/>
      <c r="AR191" s="5"/>
      <c r="AS191" s="21"/>
      <c r="AV191" s="5"/>
      <c r="AW191" s="21"/>
    </row>
    <row r="192" spans="1:54" s="2" customFormat="1">
      <c r="A192" s="1010"/>
      <c r="B192" s="1000" t="s">
        <v>609</v>
      </c>
      <c r="C192" s="990"/>
      <c r="D192" s="837" t="s">
        <v>45</v>
      </c>
      <c r="E192" s="203" t="s">
        <v>500</v>
      </c>
      <c r="F192" s="475"/>
      <c r="G192" s="203"/>
      <c r="H192" s="476"/>
      <c r="I192" s="515" t="s">
        <v>501</v>
      </c>
      <c r="J192" s="515" t="s">
        <v>501</v>
      </c>
      <c r="K192" s="515" t="s">
        <v>501</v>
      </c>
      <c r="L192" s="515" t="s">
        <v>501</v>
      </c>
      <c r="M192" s="515" t="s">
        <v>501</v>
      </c>
      <c r="N192" s="515" t="s">
        <v>501</v>
      </c>
      <c r="O192" s="515" t="s">
        <v>501</v>
      </c>
      <c r="P192" s="515" t="s">
        <v>501</v>
      </c>
      <c r="Q192" s="515" t="s">
        <v>501</v>
      </c>
      <c r="R192" s="515" t="s">
        <v>501</v>
      </c>
      <c r="S192" s="515" t="s">
        <v>501</v>
      </c>
      <c r="T192" s="505"/>
      <c r="U192" s="505"/>
      <c r="V192" s="505"/>
      <c r="W192" s="505"/>
      <c r="X192" s="505"/>
      <c r="Y192" s="505"/>
      <c r="Z192" s="505"/>
      <c r="AA192" s="505"/>
      <c r="AB192" s="505"/>
      <c r="AC192" s="476"/>
      <c r="AD192" s="15"/>
      <c r="AE192" s="9"/>
      <c r="AF192" s="9"/>
      <c r="AG192" s="9"/>
      <c r="AH192" s="9"/>
      <c r="AI192" s="4"/>
      <c r="AJ192" s="4"/>
      <c r="AK192" s="4"/>
      <c r="AL192" s="4"/>
      <c r="AM192" s="4"/>
      <c r="AN192" s="4"/>
      <c r="AO192" s="4"/>
      <c r="AP192" s="4"/>
      <c r="AQ192" s="4"/>
      <c r="AR192" s="4"/>
      <c r="AS192" s="21"/>
      <c r="AT192" s="4"/>
      <c r="AU192" s="4"/>
      <c r="AV192" s="4"/>
      <c r="AW192" s="506"/>
    </row>
    <row r="193" spans="1:49" s="2" customFormat="1">
      <c r="A193" s="1010"/>
      <c r="B193" s="1000" t="s">
        <v>609</v>
      </c>
      <c r="C193" s="990"/>
      <c r="D193" s="839"/>
      <c r="E193" s="203" t="s">
        <v>503</v>
      </c>
      <c r="F193" s="475"/>
      <c r="G193" s="203" t="s">
        <v>65</v>
      </c>
      <c r="H193" s="476"/>
      <c r="I193" s="515">
        <v>0</v>
      </c>
      <c r="J193" s="515">
        <v>0</v>
      </c>
      <c r="K193" s="515">
        <v>0</v>
      </c>
      <c r="L193" s="515">
        <v>0</v>
      </c>
      <c r="M193" s="515">
        <v>0</v>
      </c>
      <c r="N193" s="515">
        <v>0</v>
      </c>
      <c r="O193" s="515">
        <v>0</v>
      </c>
      <c r="P193" s="515">
        <v>1</v>
      </c>
      <c r="Q193" s="515">
        <v>0</v>
      </c>
      <c r="R193" s="515">
        <v>0</v>
      </c>
      <c r="S193" s="515">
        <v>0</v>
      </c>
      <c r="T193" s="516"/>
      <c r="U193" s="516"/>
      <c r="V193" s="516"/>
      <c r="W193" s="516"/>
      <c r="X193" s="516"/>
      <c r="Y193" s="516"/>
      <c r="Z193" s="516"/>
      <c r="AA193" s="516"/>
      <c r="AB193" s="516"/>
      <c r="AC193" s="476"/>
      <c r="AD193" s="15"/>
      <c r="AE193" s="9"/>
      <c r="AF193" s="9"/>
      <c r="AG193" s="9"/>
      <c r="AH193" s="9"/>
      <c r="AI193" s="4"/>
      <c r="AJ193" s="4"/>
      <c r="AK193" s="4"/>
      <c r="AL193" s="4"/>
      <c r="AM193" s="4"/>
      <c r="AN193" s="4"/>
      <c r="AO193" s="4"/>
      <c r="AP193" s="4"/>
      <c r="AQ193" s="4"/>
      <c r="AR193" s="4"/>
      <c r="AS193" s="506"/>
      <c r="AT193" s="4"/>
      <c r="AU193" s="4"/>
      <c r="AV193" s="4"/>
      <c r="AW193" s="506"/>
    </row>
    <row r="194" spans="1:49" s="2" customFormat="1">
      <c r="A194" s="1010"/>
      <c r="B194" s="1000" t="s">
        <v>609</v>
      </c>
      <c r="C194" s="990"/>
      <c r="D194" s="839"/>
      <c r="E194" s="203" t="s">
        <v>504</v>
      </c>
      <c r="F194" s="475"/>
      <c r="G194" s="203" t="s">
        <v>65</v>
      </c>
      <c r="H194" s="476"/>
      <c r="I194" s="515">
        <v>0</v>
      </c>
      <c r="J194" s="515">
        <v>0</v>
      </c>
      <c r="K194" s="515">
        <v>0</v>
      </c>
      <c r="L194" s="515">
        <v>0</v>
      </c>
      <c r="M194" s="515">
        <v>1</v>
      </c>
      <c r="N194" s="515">
        <v>1</v>
      </c>
      <c r="O194" s="515">
        <v>1</v>
      </c>
      <c r="P194" s="515">
        <v>0</v>
      </c>
      <c r="Q194" s="515">
        <v>0</v>
      </c>
      <c r="R194" s="515">
        <v>0</v>
      </c>
      <c r="S194" s="515">
        <v>0</v>
      </c>
      <c r="T194" s="516"/>
      <c r="U194" s="516"/>
      <c r="V194" s="516"/>
      <c r="W194" s="516"/>
      <c r="X194" s="516"/>
      <c r="Y194" s="516"/>
      <c r="Z194" s="516"/>
      <c r="AA194" s="516"/>
      <c r="AB194" s="516"/>
      <c r="AC194" s="476"/>
      <c r="AD194" s="15"/>
      <c r="AE194" s="9"/>
      <c r="AF194" s="9"/>
      <c r="AG194" s="9"/>
      <c r="AH194" s="9"/>
      <c r="AI194" s="4"/>
      <c r="AJ194" s="4"/>
      <c r="AK194" s="4"/>
      <c r="AL194" s="4"/>
      <c r="AM194" s="4"/>
      <c r="AN194" s="4"/>
      <c r="AO194" s="4"/>
      <c r="AP194" s="4"/>
      <c r="AQ194" s="4"/>
      <c r="AR194" s="4"/>
      <c r="AS194" s="506"/>
      <c r="AT194" s="4"/>
      <c r="AU194" s="4"/>
      <c r="AV194" s="4"/>
      <c r="AW194" s="506"/>
    </row>
    <row r="195" spans="1:49" s="2" customFormat="1">
      <c r="A195" s="1010"/>
      <c r="B195" s="1000" t="s">
        <v>609</v>
      </c>
      <c r="C195" s="990"/>
      <c r="D195" s="839"/>
      <c r="E195" s="203" t="s">
        <v>621</v>
      </c>
      <c r="F195" s="475"/>
      <c r="G195" s="203" t="s">
        <v>65</v>
      </c>
      <c r="H195" s="476"/>
      <c r="I195" s="515">
        <v>0</v>
      </c>
      <c r="J195" s="515">
        <v>0</v>
      </c>
      <c r="K195" s="515">
        <v>0</v>
      </c>
      <c r="L195" s="515">
        <v>0</v>
      </c>
      <c r="M195" s="515">
        <v>0</v>
      </c>
      <c r="N195" s="515">
        <v>0</v>
      </c>
      <c r="O195" s="515">
        <v>1</v>
      </c>
      <c r="P195" s="515">
        <v>0</v>
      </c>
      <c r="Q195" s="515">
        <v>0</v>
      </c>
      <c r="R195" s="515">
        <v>0</v>
      </c>
      <c r="S195" s="515">
        <v>0</v>
      </c>
      <c r="T195" s="516"/>
      <c r="U195" s="516"/>
      <c r="V195" s="516"/>
      <c r="W195" s="516"/>
      <c r="X195" s="516"/>
      <c r="Y195" s="516"/>
      <c r="Z195" s="516"/>
      <c r="AA195" s="516"/>
      <c r="AB195" s="516"/>
      <c r="AC195" s="476"/>
      <c r="AD195" s="15"/>
      <c r="AE195" s="9"/>
      <c r="AF195" s="9"/>
      <c r="AG195" s="9"/>
      <c r="AH195" s="9"/>
      <c r="AI195" s="4"/>
      <c r="AJ195" s="4"/>
      <c r="AK195" s="4"/>
      <c r="AL195" s="4"/>
      <c r="AM195" s="4"/>
      <c r="AN195" s="4"/>
      <c r="AO195" s="4"/>
      <c r="AP195" s="4"/>
      <c r="AQ195" s="4"/>
      <c r="AR195" s="4"/>
      <c r="AS195" s="506"/>
      <c r="AT195" s="4"/>
      <c r="AU195" s="4"/>
      <c r="AV195" s="4"/>
      <c r="AW195" s="506"/>
    </row>
    <row r="196" spans="1:49" s="2" customFormat="1" ht="18.75">
      <c r="A196" s="1010"/>
      <c r="B196" s="1000" t="s">
        <v>609</v>
      </c>
      <c r="C196" s="1000"/>
      <c r="D196" s="839"/>
      <c r="E196" s="337" t="s">
        <v>513</v>
      </c>
      <c r="F196" s="338"/>
      <c r="G196" s="337"/>
      <c r="H196" s="439"/>
      <c r="I196" s="455"/>
      <c r="J196" s="455"/>
      <c r="K196" s="455"/>
      <c r="L196" s="455"/>
      <c r="M196" s="455"/>
      <c r="N196" s="455"/>
      <c r="O196" s="455"/>
      <c r="P196" s="455"/>
      <c r="Q196" s="455"/>
      <c r="R196" s="455"/>
      <c r="S196" s="455"/>
      <c r="T196" s="455"/>
      <c r="U196" s="455"/>
      <c r="V196" s="455"/>
      <c r="W196" s="455"/>
      <c r="X196" s="455"/>
      <c r="Y196" s="455"/>
      <c r="Z196" s="455"/>
      <c r="AA196" s="455"/>
      <c r="AB196" s="455"/>
      <c r="AC196" s="439"/>
      <c r="AD196" s="15"/>
      <c r="AE196" s="9"/>
      <c r="AF196" s="9"/>
      <c r="AG196" s="9"/>
      <c r="AH196" s="9"/>
      <c r="AI196" s="4"/>
      <c r="AJ196" s="4"/>
      <c r="AK196" s="4"/>
      <c r="AL196" s="4"/>
      <c r="AM196" s="4"/>
      <c r="AN196" s="4"/>
      <c r="AO196" s="4"/>
      <c r="AP196" s="4"/>
      <c r="AQ196" s="4"/>
      <c r="AR196" s="4"/>
      <c r="AS196" s="21"/>
      <c r="AT196" s="4"/>
      <c r="AU196" s="4"/>
      <c r="AV196" s="4"/>
      <c r="AW196" s="21"/>
    </row>
    <row r="197" spans="1:49" s="36" customFormat="1" ht="51">
      <c r="A197" s="1005"/>
      <c r="B197" s="1000" t="s">
        <v>609</v>
      </c>
      <c r="C197" s="1000"/>
      <c r="D197" s="836"/>
      <c r="E197" s="462" t="s">
        <v>514</v>
      </c>
      <c r="F197" s="330"/>
      <c r="G197" s="462" t="s">
        <v>65</v>
      </c>
      <c r="H197" s="342"/>
      <c r="I197" s="422" t="s">
        <v>145</v>
      </c>
      <c r="J197" s="422" t="s">
        <v>537</v>
      </c>
      <c r="K197" s="422" t="s">
        <v>145</v>
      </c>
      <c r="L197" s="422" t="s">
        <v>145</v>
      </c>
      <c r="M197" s="422" t="s">
        <v>145</v>
      </c>
      <c r="N197" s="422" t="s">
        <v>145</v>
      </c>
      <c r="O197" s="422" t="s">
        <v>145</v>
      </c>
      <c r="P197" s="422" t="s">
        <v>145</v>
      </c>
      <c r="Q197" s="422" t="s">
        <v>515</v>
      </c>
      <c r="R197" s="422" t="s">
        <v>1209</v>
      </c>
      <c r="S197" s="422" t="s">
        <v>515</v>
      </c>
      <c r="T197" s="488"/>
      <c r="U197" s="488"/>
      <c r="V197" s="488"/>
      <c r="W197" s="488"/>
      <c r="X197" s="488"/>
      <c r="Y197" s="488"/>
      <c r="Z197" s="488"/>
      <c r="AA197" s="488"/>
      <c r="AB197" s="488"/>
      <c r="AC197" s="342"/>
      <c r="AD197" s="15"/>
      <c r="AE197" s="15"/>
      <c r="AF197" s="15"/>
      <c r="AG197" s="15"/>
      <c r="AH197" s="15"/>
      <c r="AI197" s="66"/>
      <c r="AJ197" s="66"/>
      <c r="AK197" s="66"/>
      <c r="AL197" s="66"/>
      <c r="AM197" s="66"/>
      <c r="AN197" s="66"/>
      <c r="AO197" s="66"/>
      <c r="AP197" s="66"/>
      <c r="AQ197" s="66"/>
      <c r="AR197" s="66"/>
      <c r="AS197" s="21"/>
      <c r="AT197" s="66"/>
      <c r="AU197" s="66"/>
      <c r="AV197" s="66"/>
      <c r="AW197" s="21"/>
    </row>
    <row r="198" spans="1:49" s="2" customFormat="1">
      <c r="A198" s="1010"/>
      <c r="B198" s="1000" t="s">
        <v>609</v>
      </c>
      <c r="C198" s="990"/>
      <c r="D198" s="839"/>
      <c r="E198" s="203" t="s">
        <v>525</v>
      </c>
      <c r="F198" s="475"/>
      <c r="G198" s="203" t="s">
        <v>65</v>
      </c>
      <c r="H198" s="476"/>
      <c r="I198" s="512" t="str">
        <f t="shared" ref="I198:AB198" si="54">IF(I197="","",HLOOKUP(I197,ENERGIEDRAGERS,ROWS($E$259:$E$265),FALSE))</f>
        <v>kWh</v>
      </c>
      <c r="J198" s="512" t="str">
        <f t="shared" si="54"/>
        <v>nvt</v>
      </c>
      <c r="K198" s="512" t="str">
        <f t="shared" si="54"/>
        <v>kWh</v>
      </c>
      <c r="L198" s="512" t="str">
        <f t="shared" si="54"/>
        <v>kWh</v>
      </c>
      <c r="M198" s="512" t="str">
        <f t="shared" si="54"/>
        <v>kWh</v>
      </c>
      <c r="N198" s="512" t="str">
        <f t="shared" si="54"/>
        <v>kWh</v>
      </c>
      <c r="O198" s="512" t="str">
        <f t="shared" si="54"/>
        <v>kWh</v>
      </c>
      <c r="P198" s="512" t="str">
        <f t="shared" si="54"/>
        <v>kWh</v>
      </c>
      <c r="Q198" s="512" t="str">
        <f t="shared" si="54"/>
        <v>kWh</v>
      </c>
      <c r="R198" s="512" t="str">
        <f t="shared" si="54"/>
        <v>kWh</v>
      </c>
      <c r="S198" s="512" t="str">
        <f t="shared" si="54"/>
        <v>kWh</v>
      </c>
      <c r="T198" s="512" t="str">
        <f t="shared" si="54"/>
        <v/>
      </c>
      <c r="U198" s="512" t="str">
        <f t="shared" si="54"/>
        <v/>
      </c>
      <c r="V198" s="512" t="str">
        <f t="shared" si="54"/>
        <v/>
      </c>
      <c r="W198" s="512" t="str">
        <f t="shared" si="54"/>
        <v/>
      </c>
      <c r="X198" s="512" t="str">
        <f t="shared" si="54"/>
        <v/>
      </c>
      <c r="Y198" s="512" t="str">
        <f t="shared" si="54"/>
        <v/>
      </c>
      <c r="Z198" s="512" t="str">
        <f t="shared" si="54"/>
        <v/>
      </c>
      <c r="AA198" s="512" t="str">
        <f t="shared" si="54"/>
        <v/>
      </c>
      <c r="AB198" s="512" t="str">
        <f t="shared" si="54"/>
        <v/>
      </c>
      <c r="AC198" s="476"/>
      <c r="AD198" s="15"/>
      <c r="AE198" s="9"/>
      <c r="AF198" s="9"/>
      <c r="AG198" s="9"/>
      <c r="AH198" s="9"/>
      <c r="AI198" s="4"/>
      <c r="AJ198" s="4"/>
      <c r="AK198" s="4"/>
      <c r="AL198" s="4"/>
      <c r="AM198" s="4"/>
      <c r="AN198" s="4"/>
      <c r="AO198" s="4"/>
      <c r="AP198" s="4"/>
      <c r="AQ198" s="4"/>
      <c r="AR198" s="4"/>
      <c r="AS198" s="506"/>
      <c r="AT198" s="4"/>
      <c r="AU198" s="4"/>
      <c r="AV198" s="4"/>
      <c r="AW198" s="506"/>
    </row>
    <row r="199" spans="1:49" s="2" customFormat="1">
      <c r="A199" s="1010"/>
      <c r="B199" s="1000" t="s">
        <v>609</v>
      </c>
      <c r="C199" s="990"/>
      <c r="D199" s="839"/>
      <c r="E199" s="203" t="s">
        <v>526</v>
      </c>
      <c r="F199" s="475"/>
      <c r="G199" s="203" t="s">
        <v>139</v>
      </c>
      <c r="H199" s="476"/>
      <c r="I199" s="513">
        <v>1</v>
      </c>
      <c r="J199" s="513">
        <v>1</v>
      </c>
      <c r="K199" s="513">
        <v>1</v>
      </c>
      <c r="L199" s="513">
        <v>1</v>
      </c>
      <c r="M199" s="513">
        <v>1</v>
      </c>
      <c r="N199" s="513">
        <v>1</v>
      </c>
      <c r="O199" s="513">
        <v>1</v>
      </c>
      <c r="P199" s="513">
        <v>1</v>
      </c>
      <c r="Q199" s="513">
        <v>1</v>
      </c>
      <c r="R199" s="513">
        <v>1</v>
      </c>
      <c r="S199" s="513">
        <v>1</v>
      </c>
      <c r="T199" s="514"/>
      <c r="U199" s="514"/>
      <c r="V199" s="514"/>
      <c r="W199" s="514"/>
      <c r="X199" s="514"/>
      <c r="Y199" s="514"/>
      <c r="Z199" s="514"/>
      <c r="AA199" s="514"/>
      <c r="AB199" s="514"/>
      <c r="AC199" s="476"/>
      <c r="AD199" s="15"/>
      <c r="AE199" s="9"/>
      <c r="AF199" s="9"/>
      <c r="AG199" s="9"/>
      <c r="AH199" s="9"/>
      <c r="AI199" s="4"/>
      <c r="AJ199" s="4"/>
      <c r="AK199" s="4"/>
      <c r="AL199" s="4"/>
      <c r="AM199" s="4"/>
      <c r="AN199" s="4"/>
      <c r="AO199" s="4"/>
      <c r="AP199" s="4"/>
      <c r="AQ199" s="4"/>
      <c r="AR199" s="4"/>
      <c r="AS199" s="506"/>
      <c r="AT199" s="4"/>
      <c r="AU199" s="4"/>
      <c r="AV199" s="4"/>
      <c r="AW199" s="506"/>
    </row>
    <row r="200" spans="1:49" s="2" customFormat="1">
      <c r="A200" s="1010"/>
      <c r="B200" s="1000" t="s">
        <v>609</v>
      </c>
      <c r="C200" s="990"/>
      <c r="D200" s="839"/>
      <c r="E200" s="203" t="s">
        <v>622</v>
      </c>
      <c r="F200" s="475"/>
      <c r="G200" s="203" t="s">
        <v>65</v>
      </c>
      <c r="H200" s="476"/>
      <c r="I200" s="508">
        <v>25</v>
      </c>
      <c r="J200" s="508">
        <v>0</v>
      </c>
      <c r="K200" s="508">
        <v>4</v>
      </c>
      <c r="L200" s="508">
        <v>5</v>
      </c>
      <c r="M200" s="508">
        <v>6</v>
      </c>
      <c r="N200" s="508">
        <v>8</v>
      </c>
      <c r="O200" s="508">
        <v>10</v>
      </c>
      <c r="P200" s="508">
        <v>4</v>
      </c>
      <c r="Q200" s="508">
        <v>0.8</v>
      </c>
      <c r="R200" s="508">
        <v>0.8</v>
      </c>
      <c r="S200" s="508">
        <v>0.5</v>
      </c>
      <c r="T200" s="505"/>
      <c r="U200" s="505"/>
      <c r="V200" s="505"/>
      <c r="W200" s="505"/>
      <c r="X200" s="505"/>
      <c r="Y200" s="505"/>
      <c r="Z200" s="505"/>
      <c r="AA200" s="505"/>
      <c r="AB200" s="505"/>
      <c r="AC200" s="476"/>
      <c r="AD200" s="15"/>
      <c r="AE200" s="9"/>
      <c r="AF200" s="9"/>
      <c r="AG200" s="9"/>
      <c r="AH200" s="9"/>
      <c r="AI200" s="4"/>
      <c r="AJ200" s="4"/>
      <c r="AK200" s="4"/>
      <c r="AL200" s="4"/>
      <c r="AM200" s="4"/>
      <c r="AN200" s="4"/>
      <c r="AO200" s="4"/>
      <c r="AP200" s="4"/>
      <c r="AQ200" s="4"/>
      <c r="AR200" s="4"/>
      <c r="AS200" s="506"/>
      <c r="AT200" s="4"/>
      <c r="AU200" s="4"/>
      <c r="AV200" s="4"/>
      <c r="AW200" s="506"/>
    </row>
    <row r="201" spans="1:49" s="2" customFormat="1">
      <c r="A201" s="1010"/>
      <c r="B201" s="1000" t="s">
        <v>609</v>
      </c>
      <c r="C201" s="990"/>
      <c r="D201" s="839"/>
      <c r="E201" s="203" t="s">
        <v>623</v>
      </c>
      <c r="F201" s="475"/>
      <c r="G201" s="203" t="s">
        <v>65</v>
      </c>
      <c r="H201" s="476"/>
      <c r="I201" s="508">
        <v>0</v>
      </c>
      <c r="J201" s="508">
        <v>0</v>
      </c>
      <c r="K201" s="508">
        <v>0</v>
      </c>
      <c r="L201" s="508">
        <v>0</v>
      </c>
      <c r="M201" s="508">
        <v>0</v>
      </c>
      <c r="N201" s="508">
        <v>0</v>
      </c>
      <c r="O201" s="508">
        <v>0</v>
      </c>
      <c r="P201" s="508">
        <v>0</v>
      </c>
      <c r="Q201" s="508">
        <v>0</v>
      </c>
      <c r="R201" s="508">
        <v>0</v>
      </c>
      <c r="S201" s="508">
        <v>0.32</v>
      </c>
      <c r="T201" s="505"/>
      <c r="U201" s="505"/>
      <c r="V201" s="505"/>
      <c r="W201" s="505"/>
      <c r="X201" s="505"/>
      <c r="Y201" s="505"/>
      <c r="Z201" s="505"/>
      <c r="AA201" s="505"/>
      <c r="AB201" s="505"/>
      <c r="AC201" s="476"/>
      <c r="AD201" s="15"/>
      <c r="AE201" s="9"/>
      <c r="AF201" s="9"/>
      <c r="AG201" s="9"/>
      <c r="AH201" s="9"/>
      <c r="AI201" s="4"/>
      <c r="AJ201" s="4"/>
      <c r="AK201" s="4"/>
      <c r="AL201" s="4"/>
      <c r="AM201" s="4"/>
      <c r="AN201" s="4"/>
      <c r="AO201" s="4"/>
      <c r="AP201" s="4"/>
      <c r="AQ201" s="4"/>
      <c r="AR201" s="4"/>
      <c r="AS201" s="506"/>
      <c r="AT201" s="4"/>
      <c r="AU201" s="4"/>
      <c r="AV201" s="4"/>
      <c r="AW201" s="506"/>
    </row>
    <row r="202" spans="1:49" s="2" customFormat="1" ht="18.75">
      <c r="A202" s="1010"/>
      <c r="B202" s="1000" t="s">
        <v>609</v>
      </c>
      <c r="C202" s="1000"/>
      <c r="D202" s="839"/>
      <c r="E202" s="337" t="s">
        <v>533</v>
      </c>
      <c r="F202" s="338"/>
      <c r="G202" s="337"/>
      <c r="H202" s="439"/>
      <c r="I202" s="455"/>
      <c r="J202" s="455"/>
      <c r="K202" s="455"/>
      <c r="L202" s="455"/>
      <c r="M202" s="455"/>
      <c r="N202" s="455"/>
      <c r="O202" s="455"/>
      <c r="P202" s="455"/>
      <c r="Q202" s="455"/>
      <c r="R202" s="455"/>
      <c r="S202" s="455"/>
      <c r="T202" s="455"/>
      <c r="U202" s="455"/>
      <c r="V202" s="455"/>
      <c r="W202" s="455"/>
      <c r="X202" s="455"/>
      <c r="Y202" s="455"/>
      <c r="Z202" s="455"/>
      <c r="AA202" s="455"/>
      <c r="AB202" s="455"/>
      <c r="AC202" s="439"/>
      <c r="AD202" s="15"/>
      <c r="AE202" s="9"/>
      <c r="AF202" s="9"/>
      <c r="AG202" s="9"/>
      <c r="AH202" s="9"/>
      <c r="AI202" s="4"/>
      <c r="AJ202" s="4"/>
      <c r="AK202" s="4"/>
      <c r="AL202" s="4"/>
      <c r="AM202" s="4"/>
      <c r="AN202" s="4"/>
      <c r="AO202" s="4"/>
      <c r="AP202" s="4"/>
      <c r="AQ202" s="4"/>
      <c r="AR202" s="4"/>
      <c r="AS202" s="21"/>
      <c r="AT202" s="4"/>
      <c r="AU202" s="4"/>
      <c r="AV202" s="4"/>
      <c r="AW202" s="21"/>
    </row>
    <row r="203" spans="1:49">
      <c r="B203" s="1000" t="s">
        <v>609</v>
      </c>
      <c r="C203" s="1000"/>
      <c r="D203" s="836"/>
      <c r="E203" s="329" t="s">
        <v>470</v>
      </c>
      <c r="F203" s="330"/>
      <c r="G203" s="329" t="s">
        <v>65</v>
      </c>
      <c r="H203" s="342"/>
      <c r="I203" s="450" t="s">
        <v>166</v>
      </c>
      <c r="J203" s="450" t="s">
        <v>166</v>
      </c>
      <c r="K203" s="450" t="s">
        <v>166</v>
      </c>
      <c r="L203" s="450" t="s">
        <v>166</v>
      </c>
      <c r="M203" s="450" t="s">
        <v>166</v>
      </c>
      <c r="N203" s="450" t="s">
        <v>166</v>
      </c>
      <c r="O203" s="450" t="s">
        <v>166</v>
      </c>
      <c r="P203" s="450" t="s">
        <v>166</v>
      </c>
      <c r="Q203" s="450" t="s">
        <v>166</v>
      </c>
      <c r="R203" s="450" t="s">
        <v>166</v>
      </c>
      <c r="S203" s="450" t="s">
        <v>166</v>
      </c>
      <c r="T203" s="488"/>
      <c r="U203" s="488"/>
      <c r="V203" s="488"/>
      <c r="W203" s="488"/>
      <c r="X203" s="488"/>
      <c r="Y203" s="488"/>
      <c r="Z203" s="488"/>
      <c r="AA203" s="488"/>
      <c r="AB203" s="488"/>
      <c r="AC203" s="342"/>
      <c r="AD203" s="15"/>
      <c r="AE203" s="15"/>
      <c r="AF203" s="15"/>
      <c r="AG203" s="15"/>
      <c r="AH203" s="15"/>
      <c r="AI203" s="5"/>
      <c r="AJ203" s="5"/>
      <c r="AK203" s="5"/>
      <c r="AL203" s="5"/>
      <c r="AM203" s="5"/>
      <c r="AN203" s="5"/>
      <c r="AO203" s="5"/>
      <c r="AP203" s="5"/>
      <c r="AQ203" s="5"/>
      <c r="AR203" s="5"/>
      <c r="AS203" s="21"/>
      <c r="AT203" s="5"/>
      <c r="AU203" s="5"/>
      <c r="AV203" s="5"/>
      <c r="AW203" s="21"/>
    </row>
    <row r="204" spans="1:49" s="2" customFormat="1">
      <c r="A204" s="1010"/>
      <c r="B204" s="1000" t="s">
        <v>609</v>
      </c>
      <c r="C204" s="990"/>
      <c r="D204" s="839"/>
      <c r="E204" s="203" t="s">
        <v>514</v>
      </c>
      <c r="F204" s="475"/>
      <c r="G204" s="203" t="s">
        <v>65</v>
      </c>
      <c r="H204" s="476"/>
      <c r="I204" s="477" t="s">
        <v>537</v>
      </c>
      <c r="J204" s="477" t="s">
        <v>537</v>
      </c>
      <c r="K204" s="477" t="s">
        <v>537</v>
      </c>
      <c r="L204" s="477" t="s">
        <v>537</v>
      </c>
      <c r="M204" s="477" t="s">
        <v>537</v>
      </c>
      <c r="N204" s="477" t="s">
        <v>537</v>
      </c>
      <c r="O204" s="477" t="s">
        <v>537</v>
      </c>
      <c r="P204" s="477" t="s">
        <v>537</v>
      </c>
      <c r="Q204" s="477" t="s">
        <v>537</v>
      </c>
      <c r="R204" s="477" t="s">
        <v>537</v>
      </c>
      <c r="S204" s="477" t="s">
        <v>537</v>
      </c>
      <c r="T204" s="505"/>
      <c r="U204" s="505"/>
      <c r="V204" s="505" t="s">
        <v>537</v>
      </c>
      <c r="W204" s="505" t="s">
        <v>537</v>
      </c>
      <c r="X204" s="505" t="s">
        <v>537</v>
      </c>
      <c r="Y204" s="505" t="s">
        <v>537</v>
      </c>
      <c r="Z204" s="505" t="s">
        <v>537</v>
      </c>
      <c r="AA204" s="505" t="s">
        <v>537</v>
      </c>
      <c r="AB204" s="505" t="s">
        <v>537</v>
      </c>
      <c r="AC204" s="476"/>
      <c r="AD204" s="15"/>
      <c r="AE204" s="9"/>
      <c r="AF204" s="9"/>
      <c r="AG204" s="9"/>
      <c r="AH204" s="9"/>
      <c r="AI204" s="4"/>
      <c r="AJ204" s="4"/>
      <c r="AK204" s="4"/>
      <c r="AL204" s="4"/>
      <c r="AM204" s="4"/>
      <c r="AN204" s="4"/>
      <c r="AO204" s="4"/>
      <c r="AP204" s="4"/>
      <c r="AQ204" s="4"/>
      <c r="AR204" s="4"/>
      <c r="AS204" s="506"/>
      <c r="AT204" s="4"/>
      <c r="AU204" s="4"/>
      <c r="AV204" s="4"/>
      <c r="AW204" s="506"/>
    </row>
    <row r="205" spans="1:49" s="2" customFormat="1">
      <c r="A205" s="1010"/>
      <c r="B205" s="1000" t="s">
        <v>609</v>
      </c>
      <c r="C205" s="990"/>
      <c r="D205" s="839"/>
      <c r="E205" s="203" t="s">
        <v>525</v>
      </c>
      <c r="F205" s="475"/>
      <c r="G205" s="203" t="s">
        <v>65</v>
      </c>
      <c r="H205" s="476"/>
      <c r="I205" s="512" t="str">
        <f t="shared" ref="I205:AB205" si="55">IF(OR(I190="",I204="",I199=1),"",HLOOKUP(I204,ENERGIEDRAGERS,ROWS($E$259:$E$265),FALSE))</f>
        <v/>
      </c>
      <c r="J205" s="512" t="str">
        <f t="shared" si="55"/>
        <v/>
      </c>
      <c r="K205" s="512" t="str">
        <f t="shared" si="55"/>
        <v/>
      </c>
      <c r="L205" s="512" t="str">
        <f t="shared" si="55"/>
        <v/>
      </c>
      <c r="M205" s="512" t="str">
        <f t="shared" si="55"/>
        <v/>
      </c>
      <c r="N205" s="512" t="str">
        <f t="shared" si="55"/>
        <v/>
      </c>
      <c r="O205" s="512" t="str">
        <f t="shared" si="55"/>
        <v/>
      </c>
      <c r="P205" s="512" t="str">
        <f t="shared" si="55"/>
        <v/>
      </c>
      <c r="Q205" s="512" t="str">
        <f t="shared" si="55"/>
        <v/>
      </c>
      <c r="R205" s="512" t="str">
        <f t="shared" si="55"/>
        <v/>
      </c>
      <c r="S205" s="512" t="str">
        <f t="shared" si="55"/>
        <v/>
      </c>
      <c r="T205" s="507" t="str">
        <f t="shared" si="55"/>
        <v/>
      </c>
      <c r="U205" s="507" t="str">
        <f t="shared" si="55"/>
        <v/>
      </c>
      <c r="V205" s="507" t="str">
        <f t="shared" si="55"/>
        <v/>
      </c>
      <c r="W205" s="507" t="str">
        <f t="shared" si="55"/>
        <v/>
      </c>
      <c r="X205" s="507" t="str">
        <f t="shared" si="55"/>
        <v/>
      </c>
      <c r="Y205" s="507" t="str">
        <f t="shared" si="55"/>
        <v/>
      </c>
      <c r="Z205" s="507" t="str">
        <f t="shared" si="55"/>
        <v/>
      </c>
      <c r="AA205" s="507" t="str">
        <f t="shared" si="55"/>
        <v/>
      </c>
      <c r="AB205" s="507" t="str">
        <f t="shared" si="55"/>
        <v/>
      </c>
      <c r="AC205" s="476"/>
      <c r="AD205" s="15"/>
      <c r="AE205" s="9"/>
      <c r="AF205" s="9"/>
      <c r="AG205" s="9"/>
      <c r="AH205" s="9"/>
      <c r="AI205" s="4"/>
      <c r="AJ205" s="4"/>
      <c r="AK205" s="4"/>
      <c r="AL205" s="4"/>
      <c r="AM205" s="4"/>
      <c r="AN205" s="4"/>
      <c r="AO205" s="4"/>
      <c r="AP205" s="4"/>
      <c r="AQ205" s="4"/>
      <c r="AR205" s="4"/>
      <c r="AS205" s="506"/>
      <c r="AT205" s="4"/>
      <c r="AU205" s="4"/>
      <c r="AV205" s="4"/>
      <c r="AW205" s="506"/>
    </row>
    <row r="206" spans="1:49" s="2" customFormat="1">
      <c r="A206" s="1010"/>
      <c r="B206" s="1000" t="s">
        <v>609</v>
      </c>
      <c r="C206" s="990"/>
      <c r="D206" s="841"/>
      <c r="E206" s="203" t="s">
        <v>624</v>
      </c>
      <c r="F206" s="475"/>
      <c r="G206" s="203" t="s">
        <v>65</v>
      </c>
      <c r="H206" s="476"/>
      <c r="I206" s="508">
        <v>0</v>
      </c>
      <c r="J206" s="508">
        <v>0</v>
      </c>
      <c r="K206" s="508">
        <v>0</v>
      </c>
      <c r="L206" s="508">
        <v>0</v>
      </c>
      <c r="M206" s="508">
        <v>0</v>
      </c>
      <c r="N206" s="508">
        <v>0</v>
      </c>
      <c r="O206" s="508">
        <v>0</v>
      </c>
      <c r="P206" s="508">
        <v>0</v>
      </c>
      <c r="Q206" s="508">
        <v>0</v>
      </c>
      <c r="R206" s="508">
        <v>0</v>
      </c>
      <c r="S206" s="508">
        <v>0</v>
      </c>
      <c r="T206" s="505"/>
      <c r="U206" s="505"/>
      <c r="V206" s="505">
        <v>0</v>
      </c>
      <c r="W206" s="505">
        <v>0</v>
      </c>
      <c r="X206" s="505">
        <v>0</v>
      </c>
      <c r="Y206" s="505">
        <v>0</v>
      </c>
      <c r="Z206" s="505">
        <v>0</v>
      </c>
      <c r="AA206" s="505">
        <v>0</v>
      </c>
      <c r="AB206" s="505">
        <v>0</v>
      </c>
      <c r="AC206" s="476"/>
      <c r="AD206" s="15"/>
      <c r="AE206" s="9"/>
      <c r="AF206" s="9"/>
      <c r="AG206" s="9"/>
      <c r="AH206" s="9"/>
      <c r="AI206" s="4"/>
      <c r="AJ206" s="4"/>
      <c r="AK206" s="4"/>
      <c r="AL206" s="4"/>
      <c r="AM206" s="4"/>
      <c r="AN206" s="4"/>
      <c r="AO206" s="4"/>
      <c r="AP206" s="4"/>
      <c r="AQ206" s="4"/>
      <c r="AR206" s="4"/>
      <c r="AS206" s="506"/>
      <c r="AT206" s="4"/>
      <c r="AU206" s="4"/>
      <c r="AV206" s="4"/>
      <c r="AW206" s="506"/>
    </row>
    <row r="207" spans="1:49" s="2" customFormat="1" ht="18.75">
      <c r="A207" s="1010"/>
      <c r="B207" s="1000" t="s">
        <v>609</v>
      </c>
      <c r="C207" s="990"/>
      <c r="D207" s="839"/>
      <c r="E207" s="337" t="s">
        <v>554</v>
      </c>
      <c r="F207" s="338"/>
      <c r="G207" s="337"/>
      <c r="H207" s="439"/>
      <c r="I207" s="455"/>
      <c r="J207" s="455"/>
      <c r="K207" s="455"/>
      <c r="L207" s="455"/>
      <c r="M207" s="455"/>
      <c r="N207" s="455"/>
      <c r="O207" s="455"/>
      <c r="P207" s="455"/>
      <c r="Q207" s="455"/>
      <c r="R207" s="455"/>
      <c r="S207" s="455"/>
      <c r="T207" s="455"/>
      <c r="U207" s="455"/>
      <c r="V207" s="455"/>
      <c r="W207" s="455"/>
      <c r="X207" s="455"/>
      <c r="Y207" s="455"/>
      <c r="Z207" s="455"/>
      <c r="AA207" s="455"/>
      <c r="AB207" s="455"/>
      <c r="AC207" s="439"/>
      <c r="AD207" s="15"/>
      <c r="AE207" s="9"/>
      <c r="AF207" s="9"/>
      <c r="AG207" s="9"/>
      <c r="AH207" s="9"/>
      <c r="AI207" s="4"/>
      <c r="AJ207" s="4"/>
      <c r="AK207" s="4"/>
      <c r="AL207" s="4"/>
      <c r="AM207" s="4"/>
      <c r="AN207" s="4"/>
      <c r="AO207" s="4"/>
      <c r="AP207" s="4"/>
      <c r="AQ207" s="4"/>
      <c r="AR207" s="4"/>
      <c r="AS207" s="506"/>
      <c r="AT207" s="4"/>
      <c r="AU207" s="4"/>
      <c r="AV207" s="4"/>
      <c r="AW207" s="506"/>
    </row>
    <row r="208" spans="1:49" s="2" customFormat="1">
      <c r="A208" s="1010"/>
      <c r="B208" s="1000" t="s">
        <v>609</v>
      </c>
      <c r="C208" s="990"/>
      <c r="D208" s="839"/>
      <c r="E208" s="203" t="s">
        <v>625</v>
      </c>
      <c r="F208" s="475"/>
      <c r="G208" s="203" t="s">
        <v>626</v>
      </c>
      <c r="H208" s="476"/>
      <c r="I208" s="509">
        <v>0</v>
      </c>
      <c r="J208" s="509">
        <v>0</v>
      </c>
      <c r="K208" s="509">
        <v>0</v>
      </c>
      <c r="L208" s="509">
        <v>0</v>
      </c>
      <c r="M208" s="509">
        <v>0</v>
      </c>
      <c r="N208" s="509">
        <v>0</v>
      </c>
      <c r="O208" s="509">
        <v>0</v>
      </c>
      <c r="P208" s="509">
        <v>0</v>
      </c>
      <c r="Q208" s="509">
        <v>0</v>
      </c>
      <c r="R208" s="509">
        <v>0</v>
      </c>
      <c r="S208" s="509">
        <v>0</v>
      </c>
      <c r="T208" s="510"/>
      <c r="U208" s="510"/>
      <c r="V208" s="510"/>
      <c r="W208" s="510"/>
      <c r="X208" s="510"/>
      <c r="Y208" s="510"/>
      <c r="Z208" s="510"/>
      <c r="AA208" s="510"/>
      <c r="AB208" s="510"/>
      <c r="AC208" s="476"/>
      <c r="AD208" s="15"/>
      <c r="AE208" s="9"/>
      <c r="AF208" s="9"/>
      <c r="AG208" s="9"/>
      <c r="AH208" s="9"/>
      <c r="AI208" s="4"/>
      <c r="AJ208" s="4"/>
      <c r="AK208" s="4"/>
      <c r="AL208" s="4"/>
      <c r="AM208" s="4"/>
      <c r="AN208" s="4"/>
      <c r="AO208" s="4"/>
      <c r="AP208" s="4"/>
      <c r="AQ208" s="4"/>
      <c r="AR208" s="4"/>
      <c r="AS208" s="506"/>
      <c r="AT208" s="4"/>
      <c r="AU208" s="4"/>
      <c r="AV208" s="4"/>
      <c r="AW208" s="506"/>
    </row>
    <row r="209" spans="1:49" s="2" customFormat="1">
      <c r="A209" s="1010"/>
      <c r="B209" s="1000" t="s">
        <v>609</v>
      </c>
      <c r="C209" s="990"/>
      <c r="D209" s="839"/>
      <c r="E209" s="203" t="s">
        <v>556</v>
      </c>
      <c r="F209" s="475"/>
      <c r="G209" s="203" t="s">
        <v>626</v>
      </c>
      <c r="H209" s="476"/>
      <c r="I209" s="511">
        <v>0</v>
      </c>
      <c r="J209" s="511">
        <v>0</v>
      </c>
      <c r="K209" s="511">
        <v>0</v>
      </c>
      <c r="L209" s="511">
        <v>0</v>
      </c>
      <c r="M209" s="511">
        <v>4.4999999999999998E-2</v>
      </c>
      <c r="N209" s="511">
        <v>4.4999999999999998E-2</v>
      </c>
      <c r="O209" s="511">
        <v>4.4999999999999998E-2</v>
      </c>
      <c r="P209" s="511">
        <v>0</v>
      </c>
      <c r="Q209" s="511">
        <v>0</v>
      </c>
      <c r="R209" s="511">
        <v>0</v>
      </c>
      <c r="S209" s="511">
        <v>0</v>
      </c>
      <c r="T209" s="505"/>
      <c r="U209" s="505"/>
      <c r="V209" s="505"/>
      <c r="W209" s="505"/>
      <c r="X209" s="505"/>
      <c r="Y209" s="505"/>
      <c r="Z209" s="505"/>
      <c r="AA209" s="505"/>
      <c r="AB209" s="505"/>
      <c r="AC209" s="476"/>
      <c r="AD209" s="15"/>
      <c r="AE209" s="9"/>
      <c r="AF209" s="9"/>
      <c r="AG209" s="9"/>
      <c r="AH209" s="9"/>
      <c r="AI209" s="4"/>
      <c r="AJ209" s="4"/>
      <c r="AK209" s="4"/>
      <c r="AL209" s="4"/>
      <c r="AM209" s="4"/>
      <c r="AN209" s="4"/>
      <c r="AO209" s="4"/>
      <c r="AP209" s="4"/>
      <c r="AQ209" s="4"/>
      <c r="AR209" s="4"/>
      <c r="AS209" s="506"/>
      <c r="AT209" s="4"/>
      <c r="AU209" s="4"/>
      <c r="AV209" s="4"/>
      <c r="AW209" s="506"/>
    </row>
    <row r="210" spans="1:49" ht="25.5">
      <c r="B210" s="1000" t="s">
        <v>609</v>
      </c>
      <c r="C210" s="1000"/>
      <c r="D210" s="836"/>
      <c r="E210" s="459" t="s">
        <v>557</v>
      </c>
      <c r="F210" s="460"/>
      <c r="G210" s="459" t="s">
        <v>65</v>
      </c>
      <c r="H210" s="461"/>
      <c r="I210" s="449" t="s">
        <v>627</v>
      </c>
      <c r="J210" s="449" t="s">
        <v>65</v>
      </c>
      <c r="K210" s="449" t="s">
        <v>1102</v>
      </c>
      <c r="L210" s="449" t="s">
        <v>1102</v>
      </c>
      <c r="M210" s="449" t="s">
        <v>1102</v>
      </c>
      <c r="N210" s="449" t="s">
        <v>1102</v>
      </c>
      <c r="O210" s="449" t="s">
        <v>629</v>
      </c>
      <c r="P210" s="449" t="s">
        <v>628</v>
      </c>
      <c r="Q210" s="449" t="s">
        <v>1103</v>
      </c>
      <c r="R210" s="449" t="s">
        <v>1103</v>
      </c>
      <c r="S210" s="449" t="s">
        <v>1103</v>
      </c>
      <c r="T210" s="632"/>
      <c r="U210" s="632"/>
      <c r="V210" s="632"/>
      <c r="W210" s="632"/>
      <c r="X210" s="632"/>
      <c r="Y210" s="632"/>
      <c r="Z210" s="632"/>
      <c r="AA210" s="632"/>
      <c r="AB210" s="632"/>
      <c r="AC210" s="461"/>
      <c r="AD210" s="15"/>
      <c r="AE210" s="15"/>
      <c r="AF210" s="5"/>
      <c r="AG210" s="5"/>
      <c r="AH210" s="5"/>
      <c r="AI210" s="5"/>
      <c r="AJ210" s="5"/>
      <c r="AK210" s="5"/>
      <c r="AL210" s="5"/>
      <c r="AM210" s="5"/>
      <c r="AN210" s="5"/>
      <c r="AO210" s="5"/>
      <c r="AP210" s="5"/>
      <c r="AQ210" s="5"/>
      <c r="AR210" s="5"/>
      <c r="AS210" s="21"/>
      <c r="AT210" s="5"/>
      <c r="AU210" s="5"/>
      <c r="AV210" s="5"/>
      <c r="AW210" s="21"/>
    </row>
    <row r="211" spans="1:49">
      <c r="B211" s="1000" t="s">
        <v>609</v>
      </c>
      <c r="C211" s="1000"/>
      <c r="D211" s="836"/>
      <c r="E211" s="5"/>
      <c r="F211" s="5"/>
      <c r="G211" s="5"/>
      <c r="H211" s="15"/>
      <c r="I211" s="15"/>
      <c r="J211" s="15"/>
      <c r="K211" s="15"/>
      <c r="L211" s="15"/>
      <c r="M211" s="15"/>
      <c r="N211" s="15"/>
      <c r="O211" s="15"/>
      <c r="P211" s="15"/>
      <c r="Q211" s="15"/>
      <c r="R211" s="15"/>
      <c r="S211" s="15"/>
      <c r="T211" s="15"/>
      <c r="U211" s="15"/>
      <c r="V211" s="15"/>
      <c r="X211" s="15"/>
      <c r="Y211" s="19"/>
      <c r="Z211" s="15"/>
      <c r="AA211" s="5"/>
      <c r="AB211" s="5"/>
      <c r="AC211" s="5"/>
      <c r="AD211" s="5"/>
      <c r="AE211" s="5"/>
      <c r="AF211" s="5"/>
      <c r="AG211" s="5"/>
      <c r="AH211" s="5"/>
      <c r="AI211" s="5"/>
      <c r="AJ211" s="5"/>
      <c r="AK211" s="5"/>
      <c r="AL211" s="5"/>
      <c r="AM211" s="5"/>
      <c r="AN211" s="5"/>
      <c r="AO211" s="5"/>
      <c r="AP211" s="5"/>
      <c r="AQ211" s="5"/>
      <c r="AR211" s="5"/>
      <c r="AS211" s="21"/>
    </row>
    <row r="212" spans="1:49" hidden="1">
      <c r="B212" s="1000" t="s">
        <v>630</v>
      </c>
      <c r="C212" s="1000"/>
      <c r="D212" s="836"/>
      <c r="E212" s="5"/>
      <c r="F212" s="5"/>
      <c r="G212" s="5"/>
      <c r="H212" s="15"/>
      <c r="I212" s="15"/>
      <c r="J212" s="15"/>
      <c r="K212" s="15"/>
      <c r="L212" s="15"/>
      <c r="M212" s="15"/>
      <c r="N212" s="15"/>
      <c r="O212" s="15"/>
      <c r="P212" s="15"/>
      <c r="Q212" s="15"/>
      <c r="R212" s="15"/>
      <c r="S212" s="15"/>
      <c r="T212" s="15"/>
      <c r="U212" s="15"/>
      <c r="V212" s="15"/>
      <c r="X212" s="15"/>
      <c r="Y212" s="19"/>
      <c r="Z212" s="15"/>
      <c r="AA212" s="15"/>
      <c r="AB212" s="5"/>
      <c r="AC212" s="5"/>
      <c r="AD212" s="5"/>
      <c r="AE212" s="5"/>
      <c r="AF212" s="5"/>
      <c r="AG212" s="5"/>
      <c r="AH212" s="5"/>
      <c r="AI212" s="5"/>
      <c r="AJ212" s="5"/>
      <c r="AK212" s="5"/>
      <c r="AL212" s="5"/>
      <c r="AM212" s="5"/>
      <c r="AN212" s="5"/>
      <c r="AO212" s="5"/>
      <c r="AP212" s="5"/>
      <c r="AQ212" s="5"/>
      <c r="AR212" s="5"/>
      <c r="AS212" s="21"/>
    </row>
    <row r="213" spans="1:49" ht="21" hidden="1">
      <c r="B213" s="1000" t="s">
        <v>630</v>
      </c>
      <c r="C213" s="1000"/>
      <c r="D213" s="1135"/>
      <c r="E213" s="175" t="s">
        <v>631</v>
      </c>
      <c r="F213" s="175"/>
      <c r="G213" s="175"/>
      <c r="H213" s="175"/>
      <c r="I213" s="175"/>
      <c r="J213" s="175"/>
      <c r="K213" s="52"/>
      <c r="L213" s="52"/>
      <c r="M213" s="52"/>
      <c r="N213" s="52"/>
      <c r="O213" s="52"/>
      <c r="P213" s="52"/>
      <c r="Q213" s="52"/>
      <c r="R213" s="52"/>
      <c r="S213" s="52"/>
      <c r="T213" s="52"/>
      <c r="U213" s="52"/>
      <c r="V213" s="52"/>
      <c r="X213" s="52"/>
      <c r="Y213" s="19"/>
      <c r="Z213" s="5"/>
      <c r="AA213" s="5"/>
      <c r="AB213" s="5"/>
      <c r="AC213" s="5"/>
      <c r="AD213" s="5"/>
      <c r="AE213" s="5"/>
      <c r="AF213" s="5"/>
      <c r="AG213" s="5"/>
      <c r="AH213" s="5"/>
      <c r="AI213" s="5"/>
      <c r="AJ213" s="5"/>
      <c r="AK213" s="5"/>
      <c r="AL213" s="5"/>
      <c r="AM213" s="5"/>
      <c r="AN213" s="5"/>
      <c r="AO213" s="5"/>
      <c r="AP213" s="5"/>
      <c r="AQ213" s="5"/>
      <c r="AR213" s="5"/>
      <c r="AS213" s="371"/>
    </row>
    <row r="214" spans="1:49" hidden="1">
      <c r="B214" s="1000" t="s">
        <v>630</v>
      </c>
      <c r="C214" s="1000"/>
      <c r="D214" s="837"/>
      <c r="E214" s="246" t="s">
        <v>414</v>
      </c>
      <c r="F214" s="246"/>
      <c r="G214" s="246" t="s">
        <v>353</v>
      </c>
      <c r="H214" s="247"/>
      <c r="I214" s="247">
        <f ca="1">OFFSET(I214,0,-1)+1</f>
        <v>1</v>
      </c>
      <c r="J214" s="247"/>
      <c r="K214" s="52"/>
      <c r="L214" s="52"/>
      <c r="M214" s="5"/>
      <c r="N214" s="5"/>
      <c r="O214" s="5"/>
      <c r="P214" s="5"/>
      <c r="Q214" s="5"/>
      <c r="R214" s="5"/>
      <c r="S214" s="5"/>
      <c r="T214" s="5"/>
      <c r="U214" s="5"/>
      <c r="V214" s="5"/>
      <c r="X214" s="5"/>
      <c r="Y214" s="19"/>
      <c r="Z214" s="5"/>
      <c r="AA214" s="5"/>
      <c r="AB214" s="5"/>
      <c r="AC214" s="5"/>
      <c r="AD214" s="5"/>
      <c r="AE214" s="5"/>
      <c r="AF214" s="5"/>
      <c r="AG214" s="5"/>
      <c r="AH214" s="5"/>
      <c r="AI214" s="5"/>
      <c r="AJ214" s="5"/>
      <c r="AK214" s="5"/>
      <c r="AL214" s="5"/>
      <c r="AM214" s="5"/>
      <c r="AN214" s="5"/>
      <c r="AO214" s="5"/>
      <c r="AP214" s="5"/>
      <c r="AQ214" s="5"/>
      <c r="AR214" s="5"/>
      <c r="AS214" s="21"/>
    </row>
    <row r="215" spans="1:49" s="2" customFormat="1" ht="18.75" hidden="1">
      <c r="A215" s="1010"/>
      <c r="B215" s="1000" t="s">
        <v>630</v>
      </c>
      <c r="C215" s="1000"/>
      <c r="D215" s="841"/>
      <c r="E215" s="316" t="s">
        <v>632</v>
      </c>
      <c r="F215" s="317"/>
      <c r="G215" s="316"/>
      <c r="H215" s="318"/>
      <c r="I215" s="319"/>
      <c r="J215" s="318"/>
      <c r="K215" s="9"/>
      <c r="L215" s="9"/>
      <c r="M215" s="9"/>
      <c r="N215" s="9"/>
      <c r="O215" s="9"/>
      <c r="P215" s="4"/>
      <c r="Q215" s="4"/>
      <c r="R215" s="4"/>
      <c r="S215" s="4"/>
      <c r="T215" s="4"/>
      <c r="U215" s="4"/>
      <c r="V215" s="4"/>
      <c r="W215" s="4"/>
      <c r="X215" s="4"/>
      <c r="Y215" s="8"/>
      <c r="Z215" s="4"/>
      <c r="AA215" s="4"/>
      <c r="AB215" s="4"/>
      <c r="AC215" s="4"/>
      <c r="AD215" s="4"/>
      <c r="AE215" s="4"/>
      <c r="AF215" s="4"/>
      <c r="AG215" s="4"/>
      <c r="AH215" s="4"/>
      <c r="AI215" s="4"/>
      <c r="AJ215" s="4"/>
      <c r="AK215" s="4"/>
      <c r="AL215" s="4"/>
      <c r="AM215" s="4"/>
      <c r="AN215" s="4"/>
      <c r="AO215" s="4"/>
      <c r="AP215" s="4"/>
      <c r="AQ215" s="4"/>
      <c r="AR215" s="4"/>
      <c r="AS215" s="21"/>
    </row>
    <row r="216" spans="1:49" hidden="1">
      <c r="B216" s="1000" t="s">
        <v>630</v>
      </c>
      <c r="C216" s="1000"/>
      <c r="D216" s="836"/>
      <c r="E216" s="294" t="s">
        <v>633</v>
      </c>
      <c r="F216" s="264"/>
      <c r="G216" s="294" t="s">
        <v>634</v>
      </c>
      <c r="H216" s="407"/>
      <c r="I216" s="408">
        <v>1E-3</v>
      </c>
      <c r="J216" s="407"/>
      <c r="K216" s="19"/>
      <c r="L216" s="15"/>
      <c r="M216" s="15"/>
      <c r="N216" s="15"/>
      <c r="O216" s="5"/>
      <c r="P216" s="5"/>
      <c r="Q216" s="5"/>
      <c r="R216" s="5"/>
      <c r="S216" s="5"/>
      <c r="T216" s="5"/>
      <c r="U216" s="5"/>
      <c r="V216" s="5"/>
      <c r="X216" s="5"/>
      <c r="Y216" s="19"/>
      <c r="Z216" s="5"/>
      <c r="AA216" s="5"/>
      <c r="AB216" s="5"/>
      <c r="AC216" s="5"/>
      <c r="AD216" s="5"/>
      <c r="AE216" s="5"/>
      <c r="AF216" s="5"/>
      <c r="AG216" s="5"/>
      <c r="AH216" s="5"/>
      <c r="AI216" s="5"/>
      <c r="AJ216" s="5"/>
      <c r="AK216" s="5"/>
      <c r="AL216" s="5"/>
      <c r="AM216" s="5"/>
      <c r="AN216" s="5"/>
      <c r="AO216" s="5"/>
      <c r="AP216" s="5"/>
      <c r="AQ216" s="5"/>
      <c r="AR216" s="5"/>
      <c r="AS216" s="21"/>
    </row>
    <row r="217" spans="1:49" s="2" customFormat="1" hidden="1">
      <c r="A217" s="1010"/>
      <c r="B217" s="1000" t="s">
        <v>630</v>
      </c>
      <c r="C217" s="1000"/>
      <c r="D217" s="839"/>
      <c r="E217" s="392" t="s">
        <v>635</v>
      </c>
      <c r="F217" s="402"/>
      <c r="G217" s="392"/>
      <c r="H217" s="391"/>
      <c r="I217" s="389"/>
      <c r="J217" s="401"/>
      <c r="K217" s="19"/>
      <c r="L217" s="15"/>
      <c r="M217" s="15"/>
      <c r="N217" s="15"/>
      <c r="O217" s="5"/>
      <c r="P217" s="5"/>
      <c r="Q217" s="5"/>
      <c r="R217" s="5"/>
      <c r="S217" s="5"/>
      <c r="T217" s="5"/>
      <c r="U217" s="5"/>
      <c r="V217" s="5"/>
      <c r="W217"/>
      <c r="X217" s="5"/>
      <c r="Y217" s="9"/>
      <c r="Z217" s="8"/>
      <c r="AA217" s="9"/>
      <c r="AB217" s="9"/>
      <c r="AC217" s="9"/>
      <c r="AD217" s="4"/>
      <c r="AE217" s="4"/>
      <c r="AF217" s="4"/>
      <c r="AG217" s="4"/>
      <c r="AH217" s="4"/>
      <c r="AI217" s="4"/>
      <c r="AJ217" s="4"/>
      <c r="AK217" s="4"/>
      <c r="AL217" s="4"/>
      <c r="AM217" s="4"/>
      <c r="AN217" s="4"/>
      <c r="AO217" s="4"/>
      <c r="AP217" s="4"/>
      <c r="AQ217" s="4"/>
      <c r="AR217" s="4"/>
      <c r="AS217" s="21"/>
      <c r="AT217" s="312"/>
    </row>
    <row r="218" spans="1:49" hidden="1">
      <c r="B218" s="1000" t="s">
        <v>630</v>
      </c>
      <c r="C218" s="1000"/>
      <c r="D218" s="836"/>
      <c r="E218" s="5"/>
      <c r="F218" s="5"/>
      <c r="G218" s="5"/>
      <c r="H218" s="15"/>
      <c r="I218" s="15"/>
      <c r="J218" s="15"/>
      <c r="K218" s="15"/>
      <c r="L218" s="15"/>
      <c r="M218" s="15"/>
      <c r="N218" s="15"/>
      <c r="O218" s="15"/>
      <c r="P218" s="15"/>
      <c r="Q218" s="15"/>
      <c r="R218" s="15"/>
      <c r="S218" s="15"/>
      <c r="T218" s="15"/>
      <c r="U218" s="15"/>
      <c r="V218" s="15"/>
      <c r="W218" s="15"/>
      <c r="X218" s="15"/>
      <c r="Y218" s="19"/>
      <c r="Z218" s="5"/>
      <c r="AA218" s="5"/>
      <c r="AB218" s="5"/>
      <c r="AC218" s="5"/>
      <c r="AD218" s="5"/>
      <c r="AE218" s="5"/>
      <c r="AF218" s="5"/>
      <c r="AG218" s="5"/>
      <c r="AH218" s="5"/>
      <c r="AI218" s="5"/>
      <c r="AJ218" s="5"/>
      <c r="AK218" s="5"/>
      <c r="AL218" s="5"/>
      <c r="AM218" s="5"/>
      <c r="AN218" s="5"/>
      <c r="AO218" s="5"/>
      <c r="AP218" s="5"/>
      <c r="AQ218" s="5"/>
      <c r="AR218" s="5"/>
      <c r="AS218" s="21"/>
    </row>
    <row r="219" spans="1:49" hidden="1">
      <c r="B219" s="1000" t="s">
        <v>173</v>
      </c>
      <c r="C219" s="1000"/>
      <c r="D219" s="836"/>
      <c r="E219" s="5"/>
      <c r="F219" s="5"/>
      <c r="G219" s="5"/>
      <c r="H219" s="15"/>
      <c r="I219" s="15"/>
      <c r="J219" s="15"/>
      <c r="K219" s="15"/>
      <c r="L219" s="15"/>
      <c r="M219" s="15"/>
      <c r="N219" s="15"/>
      <c r="O219" s="15"/>
      <c r="P219" s="15"/>
      <c r="Q219" s="15"/>
      <c r="R219" s="15"/>
      <c r="S219" s="15"/>
      <c r="T219" s="15"/>
      <c r="U219" s="15"/>
      <c r="V219" s="15"/>
      <c r="W219" s="15"/>
      <c r="X219" s="15"/>
      <c r="Y219" s="19"/>
      <c r="Z219" s="5"/>
      <c r="AA219" s="5"/>
      <c r="AB219" s="5"/>
      <c r="AC219" s="5"/>
      <c r="AD219" s="5"/>
      <c r="AE219" s="5"/>
      <c r="AF219" s="5"/>
      <c r="AG219" s="5"/>
      <c r="AH219" s="5"/>
      <c r="AI219" s="5"/>
      <c r="AJ219" s="5"/>
      <c r="AK219" s="5"/>
      <c r="AL219" s="5"/>
      <c r="AM219" s="5"/>
      <c r="AN219" s="5"/>
      <c r="AO219" s="5"/>
      <c r="AP219" s="5"/>
      <c r="AQ219" s="5"/>
      <c r="AR219" s="5"/>
      <c r="AS219" s="21"/>
    </row>
    <row r="220" spans="1:49" ht="21" hidden="1">
      <c r="B220" s="1000" t="s">
        <v>173</v>
      </c>
      <c r="C220" s="1000"/>
      <c r="D220" s="1135"/>
      <c r="E220" s="175" t="s">
        <v>173</v>
      </c>
      <c r="F220" s="175"/>
      <c r="G220" s="175"/>
      <c r="H220" s="175"/>
      <c r="I220" s="175"/>
      <c r="J220" s="175"/>
      <c r="K220" s="52"/>
      <c r="L220" s="52"/>
      <c r="M220" s="52"/>
      <c r="N220" s="52"/>
      <c r="O220" s="52"/>
      <c r="P220" s="52"/>
      <c r="Q220" s="52"/>
      <c r="R220" s="52"/>
      <c r="S220" s="52"/>
      <c r="T220" s="52"/>
      <c r="U220" s="52"/>
      <c r="V220" s="52"/>
      <c r="W220" s="52"/>
      <c r="X220" s="5"/>
      <c r="Y220" s="19"/>
      <c r="Z220" s="5"/>
      <c r="AA220" s="5"/>
      <c r="AB220" s="5"/>
      <c r="AC220" s="5"/>
      <c r="AD220" s="5"/>
      <c r="AE220" s="5"/>
      <c r="AF220" s="5"/>
      <c r="AG220" s="5"/>
      <c r="AH220" s="5"/>
      <c r="AI220" s="5"/>
      <c r="AJ220" s="5"/>
      <c r="AK220" s="5"/>
      <c r="AL220" s="5"/>
      <c r="AM220" s="5"/>
      <c r="AN220" s="5"/>
      <c r="AO220" s="5"/>
      <c r="AP220" s="5"/>
      <c r="AQ220" s="5"/>
      <c r="AR220" s="5"/>
      <c r="AS220" s="21"/>
    </row>
    <row r="221" spans="1:49" hidden="1">
      <c r="B221" s="1000" t="s">
        <v>173</v>
      </c>
      <c r="C221" s="1000"/>
      <c r="D221" s="837"/>
      <c r="E221" s="246" t="s">
        <v>414</v>
      </c>
      <c r="F221" s="246"/>
      <c r="G221" s="246" t="s">
        <v>353</v>
      </c>
      <c r="H221" s="247"/>
      <c r="I221" s="247">
        <f ca="1">OFFSET(I221,0,-1)+1</f>
        <v>1</v>
      </c>
      <c r="J221" s="247"/>
      <c r="K221" s="5"/>
      <c r="L221" s="5"/>
      <c r="M221" s="5"/>
      <c r="N221" s="5"/>
      <c r="O221" s="5"/>
      <c r="P221" s="5"/>
      <c r="Q221" s="5"/>
      <c r="R221" s="5"/>
      <c r="S221" s="5"/>
      <c r="T221" s="5"/>
      <c r="U221" s="5"/>
      <c r="V221" s="5"/>
      <c r="W221" s="5"/>
      <c r="X221" s="5"/>
      <c r="Y221" s="19"/>
      <c r="Z221" s="5"/>
      <c r="AA221" s="5"/>
      <c r="AB221" s="5"/>
      <c r="AC221" s="5"/>
      <c r="AD221" s="5"/>
      <c r="AE221" s="5"/>
      <c r="AF221" s="5"/>
      <c r="AG221" s="5"/>
      <c r="AH221" s="5"/>
      <c r="AI221" s="5"/>
      <c r="AJ221" s="5"/>
      <c r="AK221" s="5"/>
      <c r="AL221" s="5"/>
      <c r="AM221" s="5"/>
      <c r="AN221" s="5"/>
      <c r="AO221" s="5"/>
      <c r="AP221" s="5"/>
      <c r="AQ221" s="5"/>
      <c r="AR221" s="5"/>
      <c r="AS221" s="21"/>
    </row>
    <row r="222" spans="1:49" s="2" customFormat="1" ht="18.75" hidden="1">
      <c r="A222" s="1010"/>
      <c r="B222" s="1000" t="s">
        <v>173</v>
      </c>
      <c r="C222" s="1000"/>
      <c r="D222" s="841"/>
      <c r="E222" s="316" t="s">
        <v>636</v>
      </c>
      <c r="F222" s="317"/>
      <c r="G222" s="316"/>
      <c r="H222" s="318"/>
      <c r="I222" s="319"/>
      <c r="J222" s="318"/>
      <c r="K222" s="9"/>
      <c r="L222" s="9"/>
      <c r="M222" s="9"/>
      <c r="N222" s="9"/>
      <c r="O222" s="9"/>
      <c r="P222" s="4"/>
      <c r="Q222" s="4"/>
      <c r="R222" s="4"/>
      <c r="S222" s="4"/>
      <c r="T222" s="4"/>
      <c r="U222" s="4"/>
      <c r="V222" s="4"/>
      <c r="W222" s="4"/>
      <c r="X222" s="4"/>
      <c r="Y222" s="8"/>
      <c r="Z222" s="4"/>
      <c r="AA222" s="4"/>
      <c r="AB222" s="4"/>
      <c r="AC222" s="4"/>
      <c r="AD222" s="4"/>
      <c r="AE222" s="4"/>
      <c r="AF222" s="4"/>
      <c r="AG222" s="4"/>
      <c r="AH222" s="4"/>
      <c r="AI222" s="4"/>
      <c r="AJ222" s="4"/>
      <c r="AK222" s="4"/>
      <c r="AL222" s="4"/>
      <c r="AM222" s="4"/>
      <c r="AN222" s="4"/>
      <c r="AO222" s="4"/>
      <c r="AP222" s="4"/>
      <c r="AQ222" s="4"/>
      <c r="AR222" s="4"/>
      <c r="AS222" s="21"/>
    </row>
    <row r="223" spans="1:49" hidden="1">
      <c r="B223" s="1000" t="s">
        <v>173</v>
      </c>
      <c r="C223" s="1000"/>
      <c r="D223" s="836"/>
      <c r="E223" s="294" t="s">
        <v>94</v>
      </c>
      <c r="F223" s="264"/>
      <c r="G223" s="294" t="s">
        <v>139</v>
      </c>
      <c r="H223" s="407"/>
      <c r="I223" s="315">
        <v>0.5</v>
      </c>
      <c r="J223" s="407"/>
      <c r="K223" s="19"/>
      <c r="L223" s="15"/>
      <c r="M223" s="15"/>
      <c r="N223" s="15"/>
      <c r="O223" s="15"/>
      <c r="P223" s="5"/>
      <c r="Q223" s="5"/>
      <c r="R223" s="5"/>
      <c r="S223" s="5"/>
      <c r="T223" s="5"/>
      <c r="U223" s="5"/>
      <c r="V223" s="5"/>
      <c r="W223" s="5"/>
      <c r="X223" s="5"/>
      <c r="Y223" s="19"/>
      <c r="Z223" s="5"/>
      <c r="AA223" s="5"/>
      <c r="AB223" s="5"/>
      <c r="AC223" s="5"/>
      <c r="AD223" s="5"/>
      <c r="AE223" s="5"/>
      <c r="AF223" s="5"/>
      <c r="AG223" s="5"/>
      <c r="AH223" s="5"/>
      <c r="AI223" s="5"/>
      <c r="AJ223" s="5"/>
      <c r="AK223" s="5"/>
      <c r="AL223" s="5"/>
      <c r="AM223" s="5"/>
      <c r="AN223" s="5"/>
      <c r="AO223" s="5"/>
      <c r="AP223" s="5"/>
      <c r="AQ223" s="5"/>
      <c r="AR223" s="5"/>
      <c r="AS223" s="21"/>
    </row>
    <row r="224" spans="1:49" hidden="1">
      <c r="B224" s="1000" t="s">
        <v>173</v>
      </c>
      <c r="C224" s="1000"/>
      <c r="D224" s="836"/>
      <c r="E224" s="294" t="s">
        <v>637</v>
      </c>
      <c r="F224" s="264"/>
      <c r="G224" s="294" t="s">
        <v>139</v>
      </c>
      <c r="H224" s="407"/>
      <c r="I224" s="315">
        <v>0.15</v>
      </c>
      <c r="J224" s="407"/>
      <c r="K224" s="19"/>
      <c r="L224" s="15"/>
      <c r="M224" s="15"/>
      <c r="N224" s="15"/>
      <c r="O224" s="15"/>
      <c r="P224" s="5"/>
      <c r="Q224" s="5"/>
      <c r="R224" s="5"/>
      <c r="S224" s="5"/>
      <c r="T224" s="5"/>
      <c r="U224" s="5"/>
      <c r="V224" s="5"/>
      <c r="W224" s="5"/>
      <c r="X224" s="5"/>
      <c r="Y224" s="19"/>
      <c r="Z224" s="5"/>
      <c r="AA224" s="5"/>
      <c r="AB224" s="5"/>
      <c r="AC224" s="5"/>
      <c r="AD224" s="5"/>
      <c r="AE224" s="5"/>
      <c r="AF224" s="5"/>
      <c r="AG224" s="5"/>
      <c r="AH224" s="5"/>
      <c r="AI224" s="5"/>
      <c r="AJ224" s="5"/>
      <c r="AK224" s="5"/>
      <c r="AL224" s="5"/>
      <c r="AM224" s="5"/>
      <c r="AN224" s="5"/>
      <c r="AO224" s="5"/>
      <c r="AP224" s="5"/>
      <c r="AQ224" s="5"/>
      <c r="AR224" s="5"/>
      <c r="AS224" s="21"/>
    </row>
    <row r="225" spans="1:45" hidden="1">
      <c r="B225" s="1000" t="s">
        <v>173</v>
      </c>
      <c r="C225" s="1000"/>
      <c r="D225" s="836"/>
      <c r="E225" s="5"/>
      <c r="F225" s="5"/>
      <c r="G225" s="5"/>
      <c r="H225" s="15"/>
      <c r="I225" s="15"/>
      <c r="J225" s="15"/>
      <c r="K225" s="15"/>
      <c r="L225" s="15"/>
      <c r="M225" s="15"/>
      <c r="N225" s="15"/>
      <c r="O225" s="15"/>
      <c r="P225" s="15"/>
      <c r="Q225" s="15"/>
      <c r="R225" s="15"/>
      <c r="S225" s="15"/>
      <c r="T225" s="15"/>
      <c r="U225" s="15"/>
      <c r="V225" s="15"/>
      <c r="W225" s="15"/>
      <c r="X225" s="15"/>
      <c r="Y225" s="19"/>
      <c r="Z225" s="15"/>
      <c r="AA225" s="5"/>
      <c r="AB225" s="5"/>
      <c r="AC225" s="5"/>
      <c r="AD225" s="5"/>
      <c r="AE225" s="5"/>
      <c r="AF225" s="5"/>
      <c r="AG225" s="5"/>
      <c r="AH225" s="5"/>
      <c r="AI225" s="5"/>
      <c r="AJ225" s="5"/>
      <c r="AK225" s="5"/>
      <c r="AL225" s="5"/>
      <c r="AM225" s="5"/>
      <c r="AN225" s="5"/>
      <c r="AO225" s="5"/>
      <c r="AP225" s="5"/>
      <c r="AQ225" s="5"/>
      <c r="AR225" s="5"/>
      <c r="AS225" s="21"/>
    </row>
    <row r="226" spans="1:45" hidden="1">
      <c r="B226" s="1000" t="s">
        <v>1282</v>
      </c>
      <c r="C226" s="1000"/>
      <c r="D226" s="836"/>
      <c r="E226" s="5"/>
      <c r="F226" s="5"/>
      <c r="G226" s="5"/>
      <c r="H226" s="15"/>
      <c r="I226" s="15"/>
      <c r="J226" s="15"/>
      <c r="K226" s="15"/>
      <c r="L226" s="15"/>
      <c r="M226" s="15"/>
      <c r="N226" s="15"/>
      <c r="O226" s="15"/>
      <c r="P226" s="15"/>
      <c r="Q226" s="15"/>
      <c r="R226" s="15"/>
      <c r="S226" s="15"/>
      <c r="T226" s="15"/>
      <c r="U226" s="15"/>
      <c r="V226" s="15"/>
      <c r="W226" s="15"/>
      <c r="X226" s="15"/>
      <c r="Y226" s="19"/>
      <c r="Z226" s="5"/>
      <c r="AA226" s="5"/>
      <c r="AB226" s="5"/>
      <c r="AC226" s="5"/>
      <c r="AD226" s="5"/>
      <c r="AE226" s="5"/>
      <c r="AF226" s="5"/>
      <c r="AG226" s="5"/>
      <c r="AH226" s="5"/>
      <c r="AI226" s="5"/>
      <c r="AJ226" s="5"/>
      <c r="AK226" s="5"/>
      <c r="AL226" s="5"/>
      <c r="AM226" s="5"/>
      <c r="AN226" s="5"/>
      <c r="AO226" s="5"/>
      <c r="AP226" s="5"/>
      <c r="AQ226" s="5"/>
      <c r="AR226" s="5"/>
      <c r="AS226" s="21"/>
    </row>
    <row r="227" spans="1:45" ht="21" hidden="1">
      <c r="B227" s="1000" t="s">
        <v>1282</v>
      </c>
      <c r="C227" s="1000"/>
      <c r="D227" s="1151" t="s">
        <v>45</v>
      </c>
      <c r="E227" s="175" t="s">
        <v>1281</v>
      </c>
      <c r="F227" s="175"/>
      <c r="G227" s="175"/>
      <c r="H227" s="175"/>
      <c r="I227" s="175"/>
      <c r="J227" s="175"/>
      <c r="K227" s="52"/>
      <c r="L227" s="52"/>
      <c r="M227" s="52"/>
      <c r="N227" s="52"/>
      <c r="O227" s="52"/>
      <c r="P227" s="52"/>
      <c r="Q227" s="52"/>
      <c r="R227" s="52"/>
      <c r="S227" s="52"/>
      <c r="T227" s="52"/>
      <c r="U227" s="52"/>
      <c r="V227" s="52"/>
      <c r="W227" s="52"/>
      <c r="X227" s="5"/>
      <c r="Y227" s="19"/>
      <c r="Z227" s="5"/>
      <c r="AA227" s="5"/>
      <c r="AB227" s="5"/>
      <c r="AC227" s="5"/>
      <c r="AD227" s="5"/>
      <c r="AE227" s="5"/>
      <c r="AF227" s="5"/>
      <c r="AG227" s="5"/>
      <c r="AH227" s="5"/>
      <c r="AI227" s="5"/>
      <c r="AJ227" s="5"/>
      <c r="AK227" s="5"/>
      <c r="AL227" s="5"/>
      <c r="AM227" s="5"/>
      <c r="AN227" s="5"/>
      <c r="AO227" s="5"/>
      <c r="AP227" s="5"/>
      <c r="AQ227" s="5"/>
      <c r="AR227" s="5"/>
      <c r="AS227" s="21"/>
    </row>
    <row r="228" spans="1:45" hidden="1">
      <c r="B228" s="1000" t="s">
        <v>1282</v>
      </c>
      <c r="C228" s="1000"/>
      <c r="D228" s="837"/>
      <c r="E228" s="246" t="s">
        <v>414</v>
      </c>
      <c r="F228" s="246"/>
      <c r="G228" s="246" t="s">
        <v>353</v>
      </c>
      <c r="H228" s="247"/>
      <c r="I228" s="247">
        <f ca="1">OFFSET(I228,0,-1)+1</f>
        <v>1</v>
      </c>
      <c r="J228" s="247"/>
      <c r="K228" s="5"/>
      <c r="L228" s="5"/>
      <c r="M228" s="5"/>
      <c r="N228" s="5"/>
      <c r="O228" s="5"/>
      <c r="P228" s="5"/>
      <c r="Q228" s="5"/>
      <c r="R228" s="5"/>
      <c r="S228" s="5"/>
      <c r="T228" s="5"/>
      <c r="U228" s="5"/>
      <c r="V228" s="5"/>
      <c r="W228" s="5"/>
      <c r="X228" s="5"/>
      <c r="Y228" s="19"/>
      <c r="Z228" s="5"/>
      <c r="AA228" s="5"/>
      <c r="AB228" s="5"/>
      <c r="AC228" s="5"/>
      <c r="AD228" s="5"/>
      <c r="AE228" s="5"/>
      <c r="AF228" s="5"/>
      <c r="AG228" s="5"/>
      <c r="AH228" s="5"/>
      <c r="AI228" s="5"/>
      <c r="AJ228" s="5"/>
      <c r="AK228" s="5"/>
      <c r="AL228" s="5"/>
      <c r="AM228" s="5"/>
      <c r="AN228" s="5"/>
      <c r="AO228" s="5"/>
      <c r="AP228" s="5"/>
      <c r="AQ228" s="5"/>
      <c r="AR228" s="5"/>
      <c r="AS228" s="21"/>
    </row>
    <row r="229" spans="1:45" s="2" customFormat="1" ht="18.75" hidden="1">
      <c r="A229" s="1010"/>
      <c r="B229" s="1000" t="s">
        <v>1282</v>
      </c>
      <c r="C229" s="1000"/>
      <c r="D229" s="841"/>
      <c r="E229" s="1069" t="s">
        <v>1249</v>
      </c>
      <c r="F229" s="317"/>
      <c r="G229" s="316"/>
      <c r="H229" s="318"/>
      <c r="I229" s="319"/>
      <c r="J229" s="318"/>
      <c r="K229" s="9"/>
      <c r="L229" s="9"/>
      <c r="M229" s="9"/>
      <c r="N229" s="9"/>
      <c r="O229" s="9"/>
      <c r="P229" s="4"/>
      <c r="Q229" s="4"/>
      <c r="R229" s="4"/>
      <c r="S229" s="4"/>
      <c r="T229" s="4"/>
      <c r="U229" s="4"/>
      <c r="V229" s="4"/>
      <c r="W229" s="4"/>
      <c r="X229" s="4"/>
      <c r="Y229" s="8"/>
      <c r="Z229" s="4"/>
      <c r="AA229" s="4"/>
      <c r="AB229" s="4"/>
      <c r="AC229" s="4"/>
      <c r="AD229" s="4"/>
      <c r="AE229" s="4"/>
      <c r="AF229" s="4"/>
      <c r="AG229" s="4"/>
      <c r="AH229" s="4"/>
      <c r="AI229" s="4"/>
      <c r="AJ229" s="4"/>
      <c r="AK229" s="4"/>
      <c r="AL229" s="4"/>
      <c r="AM229" s="4"/>
      <c r="AN229" s="4"/>
      <c r="AO229" s="4"/>
      <c r="AP229" s="4"/>
      <c r="AQ229" s="4"/>
      <c r="AR229" s="4"/>
      <c r="AS229" s="21"/>
    </row>
    <row r="230" spans="1:45" s="671" customFormat="1" ht="27" hidden="1">
      <c r="A230" s="1011"/>
      <c r="B230" s="1000" t="s">
        <v>1282</v>
      </c>
      <c r="C230" s="1001"/>
      <c r="D230" s="639" t="s">
        <v>45</v>
      </c>
      <c r="E230" s="1072" t="s">
        <v>1273</v>
      </c>
      <c r="F230" s="264" t="s">
        <v>1285</v>
      </c>
      <c r="G230" s="264" t="s">
        <v>65</v>
      </c>
      <c r="H230" s="331"/>
      <c r="I230" s="331">
        <v>0.5</v>
      </c>
      <c r="J230" s="331"/>
      <c r="K230" s="1070"/>
      <c r="L230" s="970"/>
      <c r="M230" s="970"/>
      <c r="N230" s="970"/>
      <c r="O230" s="970"/>
      <c r="P230" s="1071"/>
      <c r="Q230" s="1071"/>
      <c r="R230" s="1071"/>
      <c r="S230" s="1071"/>
      <c r="T230" s="1071"/>
      <c r="U230" s="1071"/>
      <c r="V230" s="1071"/>
      <c r="W230" s="1071"/>
      <c r="X230" s="1071"/>
      <c r="Y230" s="1070"/>
      <c r="Z230" s="1071"/>
      <c r="AA230" s="1071"/>
      <c r="AB230" s="1071"/>
      <c r="AC230" s="1071"/>
      <c r="AD230" s="1071"/>
      <c r="AE230" s="1071"/>
      <c r="AF230" s="1071"/>
      <c r="AG230" s="1071"/>
      <c r="AH230" s="1071"/>
      <c r="AI230" s="1071"/>
      <c r="AJ230" s="1071"/>
      <c r="AK230" s="1071"/>
      <c r="AL230" s="1071"/>
      <c r="AM230" s="1071"/>
      <c r="AN230" s="1071"/>
      <c r="AO230" s="1071"/>
      <c r="AP230" s="1071"/>
      <c r="AQ230" s="1071"/>
      <c r="AR230" s="1071"/>
      <c r="AS230" s="670"/>
    </row>
    <row r="231" spans="1:45" s="671" customFormat="1" hidden="1">
      <c r="A231" s="1011"/>
      <c r="B231" s="1000" t="s">
        <v>1282</v>
      </c>
      <c r="C231" s="1001"/>
      <c r="D231" s="639"/>
      <c r="E231" s="1073" t="s">
        <v>1250</v>
      </c>
      <c r="F231" s="264" t="s">
        <v>1286</v>
      </c>
      <c r="G231" s="264" t="s">
        <v>65</v>
      </c>
      <c r="H231" s="331"/>
      <c r="I231" s="408">
        <v>0.85</v>
      </c>
      <c r="J231" s="331"/>
      <c r="K231" s="1070"/>
      <c r="L231" s="970"/>
      <c r="M231" s="970"/>
      <c r="N231" s="970"/>
      <c r="O231" s="970"/>
      <c r="P231" s="1071"/>
      <c r="Q231" s="1071"/>
      <c r="R231" s="1071"/>
      <c r="S231" s="1071"/>
      <c r="T231" s="1071"/>
      <c r="U231" s="1071"/>
      <c r="V231" s="1071"/>
      <c r="W231" s="1071"/>
      <c r="X231" s="1071"/>
      <c r="Y231" s="1070"/>
      <c r="Z231" s="1071"/>
      <c r="AA231" s="1071"/>
      <c r="AB231" s="1071"/>
      <c r="AC231" s="1071"/>
      <c r="AD231" s="1071"/>
      <c r="AE231" s="1071"/>
      <c r="AF231" s="1071"/>
      <c r="AG231" s="1071"/>
      <c r="AH231" s="1071"/>
      <c r="AI231" s="1071"/>
      <c r="AJ231" s="1071"/>
      <c r="AK231" s="1071"/>
      <c r="AL231" s="1071"/>
      <c r="AM231" s="1071"/>
      <c r="AN231" s="1071"/>
      <c r="AO231" s="1071"/>
      <c r="AP231" s="1071"/>
      <c r="AQ231" s="1071"/>
      <c r="AR231" s="1071"/>
      <c r="AS231" s="670"/>
    </row>
    <row r="232" spans="1:45" s="36" customFormat="1" ht="38.25" hidden="1">
      <c r="A232" s="1005"/>
      <c r="B232" s="1000" t="s">
        <v>1282</v>
      </c>
      <c r="C232" s="1000"/>
      <c r="D232" s="639" t="s">
        <v>45</v>
      </c>
      <c r="E232" s="1086" t="s">
        <v>1283</v>
      </c>
      <c r="F232" s="149" t="s">
        <v>1284</v>
      </c>
      <c r="G232" s="149" t="s">
        <v>65</v>
      </c>
      <c r="H232" s="407"/>
      <c r="I232" s="734">
        <v>0.05</v>
      </c>
      <c r="J232" s="407"/>
      <c r="K232" s="19"/>
      <c r="L232" s="15"/>
      <c r="M232" s="15"/>
      <c r="N232" s="15"/>
      <c r="O232" s="15"/>
      <c r="P232" s="66"/>
      <c r="Q232" s="66"/>
      <c r="R232" s="66"/>
      <c r="S232" s="66"/>
      <c r="T232" s="66"/>
      <c r="U232" s="66"/>
      <c r="V232" s="66"/>
      <c r="W232" s="66"/>
      <c r="X232" s="66"/>
      <c r="Y232" s="19"/>
      <c r="Z232" s="66"/>
      <c r="AA232" s="66"/>
      <c r="AB232" s="66"/>
      <c r="AC232" s="66"/>
      <c r="AD232" s="66"/>
      <c r="AE232" s="66"/>
      <c r="AF232" s="66"/>
      <c r="AG232" s="66"/>
      <c r="AH232" s="66"/>
      <c r="AI232" s="66"/>
      <c r="AJ232" s="66"/>
      <c r="AK232" s="66"/>
      <c r="AL232" s="66"/>
      <c r="AM232" s="66"/>
      <c r="AN232" s="66"/>
      <c r="AO232" s="66"/>
      <c r="AP232" s="66"/>
      <c r="AQ232" s="66"/>
      <c r="AR232" s="66"/>
      <c r="AS232" s="21"/>
    </row>
    <row r="233" spans="1:45" hidden="1">
      <c r="B233" s="1000" t="s">
        <v>1282</v>
      </c>
      <c r="C233" s="1000"/>
      <c r="D233" s="836"/>
      <c r="E233" s="5" t="s">
        <v>1336</v>
      </c>
      <c r="F233" s="5"/>
      <c r="G233" s="5"/>
      <c r="H233" s="15"/>
      <c r="I233" s="15"/>
      <c r="J233" s="15"/>
      <c r="K233" s="15"/>
      <c r="L233" s="15"/>
      <c r="M233" s="15"/>
      <c r="N233" s="15"/>
      <c r="O233" s="15"/>
      <c r="P233" s="15"/>
      <c r="Q233" s="15"/>
      <c r="R233" s="15"/>
      <c r="S233" s="15"/>
      <c r="T233" s="15"/>
      <c r="U233" s="15"/>
      <c r="V233" s="15"/>
      <c r="W233" s="15"/>
      <c r="X233" s="15"/>
      <c r="Y233" s="19"/>
      <c r="Z233" s="15"/>
      <c r="AA233" s="5"/>
      <c r="AB233" s="5"/>
      <c r="AC233" s="5"/>
      <c r="AD233" s="5"/>
      <c r="AE233" s="5"/>
      <c r="AF233" s="5"/>
      <c r="AG233" s="5"/>
      <c r="AH233" s="5"/>
      <c r="AI233" s="5"/>
      <c r="AJ233" s="5"/>
      <c r="AK233" s="5"/>
      <c r="AL233" s="5"/>
      <c r="AM233" s="5"/>
      <c r="AN233" s="5"/>
      <c r="AO233" s="5"/>
      <c r="AP233" s="5"/>
      <c r="AQ233" s="5"/>
      <c r="AR233" s="5"/>
      <c r="AS233" s="21"/>
    </row>
    <row r="234" spans="1:45" hidden="1">
      <c r="B234" s="1000" t="s">
        <v>1248</v>
      </c>
      <c r="C234" s="1000"/>
      <c r="D234" s="836"/>
      <c r="E234" s="5"/>
      <c r="F234" s="5"/>
      <c r="G234" s="5"/>
      <c r="H234" s="15"/>
      <c r="I234" s="15"/>
      <c r="J234" s="1100"/>
      <c r="K234" s="15"/>
      <c r="L234" s="15"/>
      <c r="M234" s="15"/>
      <c r="N234" s="15"/>
      <c r="O234" s="15"/>
      <c r="P234" s="15"/>
      <c r="Q234" s="15"/>
      <c r="R234" s="15"/>
      <c r="S234" s="15"/>
      <c r="T234" s="15"/>
      <c r="U234" s="15"/>
      <c r="V234" s="15"/>
      <c r="W234" s="15"/>
      <c r="X234" s="15"/>
      <c r="Y234" s="19"/>
      <c r="Z234" s="5"/>
      <c r="AA234" s="5"/>
      <c r="AB234" s="5"/>
      <c r="AC234" s="5"/>
      <c r="AD234" s="5"/>
      <c r="AE234" s="5"/>
      <c r="AF234" s="5"/>
      <c r="AG234" s="5"/>
      <c r="AH234" s="5"/>
      <c r="AI234" s="5"/>
      <c r="AJ234" s="5"/>
      <c r="AK234" s="5"/>
      <c r="AL234" s="5"/>
      <c r="AM234" s="5"/>
      <c r="AN234" s="5"/>
      <c r="AO234" s="5"/>
      <c r="AP234" s="5"/>
      <c r="AQ234" s="5"/>
      <c r="AR234" s="5"/>
      <c r="AS234" s="21"/>
    </row>
    <row r="235" spans="1:45" ht="21" hidden="1">
      <c r="B235" s="1000" t="s">
        <v>1248</v>
      </c>
      <c r="C235" s="1000"/>
      <c r="D235" s="1151" t="s">
        <v>45</v>
      </c>
      <c r="E235" s="175" t="s">
        <v>1248</v>
      </c>
      <c r="F235" s="175"/>
      <c r="G235" s="175"/>
      <c r="H235" s="175"/>
      <c r="I235" s="175"/>
      <c r="J235" s="175"/>
      <c r="K235" s="175"/>
      <c r="L235" s="175"/>
      <c r="M235" s="175"/>
      <c r="N235" s="175"/>
      <c r="O235" s="175"/>
      <c r="P235" s="175"/>
      <c r="Q235" s="175"/>
      <c r="R235" s="175"/>
      <c r="S235" s="175"/>
      <c r="T235" s="175"/>
      <c r="U235" s="175"/>
      <c r="V235" s="175"/>
      <c r="W235" s="52"/>
      <c r="X235" s="5"/>
      <c r="Y235" s="19"/>
      <c r="Z235" s="5"/>
      <c r="AA235" s="5"/>
      <c r="AB235" s="5"/>
      <c r="AC235" s="5"/>
      <c r="AD235" s="5"/>
      <c r="AE235" s="5"/>
      <c r="AF235" s="5"/>
      <c r="AG235" s="5"/>
      <c r="AH235" s="5"/>
      <c r="AI235" s="5"/>
      <c r="AJ235" s="5"/>
      <c r="AK235" s="5"/>
      <c r="AL235" s="5"/>
      <c r="AM235" s="5"/>
      <c r="AN235" s="5"/>
      <c r="AO235" s="5"/>
      <c r="AP235" s="5"/>
      <c r="AQ235" s="5"/>
      <c r="AR235" s="5"/>
      <c r="AS235" s="21"/>
    </row>
    <row r="236" spans="1:45" hidden="1">
      <c r="B236" s="1000" t="s">
        <v>1248</v>
      </c>
      <c r="C236" s="1000"/>
      <c r="D236" s="837"/>
      <c r="E236" s="246" t="s">
        <v>414</v>
      </c>
      <c r="F236" s="246"/>
      <c r="G236" s="246" t="s">
        <v>353</v>
      </c>
      <c r="H236" s="247"/>
      <c r="I236" s="247" t="s">
        <v>842</v>
      </c>
      <c r="J236" s="247" t="s">
        <v>1255</v>
      </c>
      <c r="K236" s="247" t="s">
        <v>1256</v>
      </c>
      <c r="L236" s="247" t="s">
        <v>1257</v>
      </c>
      <c r="M236" s="247" t="s">
        <v>1258</v>
      </c>
      <c r="N236" s="247" t="s">
        <v>1259</v>
      </c>
      <c r="O236" s="247" t="s">
        <v>1260</v>
      </c>
      <c r="P236" s="247" t="s">
        <v>1261</v>
      </c>
      <c r="Q236" s="247" t="s">
        <v>1262</v>
      </c>
      <c r="R236" s="247" t="s">
        <v>1263</v>
      </c>
      <c r="S236" s="247" t="s">
        <v>1264</v>
      </c>
      <c r="T236" s="247" t="s">
        <v>1265</v>
      </c>
      <c r="U236" s="247" t="s">
        <v>1266</v>
      </c>
      <c r="V236" s="247"/>
      <c r="W236" s="5"/>
      <c r="X236" s="5"/>
      <c r="Y236" s="19"/>
      <c r="Z236" s="5"/>
      <c r="AA236" s="5"/>
      <c r="AB236" s="5"/>
      <c r="AC236" s="5"/>
      <c r="AD236" s="5"/>
      <c r="AE236" s="5"/>
      <c r="AF236" s="5"/>
      <c r="AG236" s="5"/>
      <c r="AH236" s="5"/>
      <c r="AI236" s="5"/>
      <c r="AJ236" s="5"/>
      <c r="AK236" s="5"/>
      <c r="AL236" s="5"/>
      <c r="AM236" s="5"/>
      <c r="AN236" s="5"/>
      <c r="AO236" s="5"/>
      <c r="AP236" s="5"/>
      <c r="AQ236" s="5"/>
      <c r="AR236" s="5"/>
      <c r="AS236" s="21"/>
    </row>
    <row r="237" spans="1:45" s="2" customFormat="1" ht="18.75" hidden="1">
      <c r="A237" s="1010"/>
      <c r="B237" s="1000" t="s">
        <v>1248</v>
      </c>
      <c r="C237" s="1000"/>
      <c r="D237" s="841"/>
      <c r="E237" s="316" t="s">
        <v>1251</v>
      </c>
      <c r="F237" s="317"/>
      <c r="G237" s="316"/>
      <c r="H237" s="318"/>
      <c r="I237" s="319"/>
      <c r="J237" s="319"/>
      <c r="K237" s="319"/>
      <c r="L237" s="319"/>
      <c r="M237" s="319"/>
      <c r="N237" s="319"/>
      <c r="O237" s="319"/>
      <c r="P237" s="319"/>
      <c r="Q237" s="319"/>
      <c r="R237" s="319"/>
      <c r="S237" s="319"/>
      <c r="T237" s="319"/>
      <c r="U237" s="4"/>
      <c r="V237" s="4"/>
      <c r="W237" s="4"/>
      <c r="X237" s="4"/>
      <c r="Y237" s="8"/>
      <c r="Z237" s="4"/>
      <c r="AA237" s="4"/>
      <c r="AB237" s="4"/>
      <c r="AC237" s="4"/>
      <c r="AD237" s="4"/>
      <c r="AE237" s="4"/>
      <c r="AF237" s="4"/>
      <c r="AG237" s="4"/>
      <c r="AH237" s="4"/>
      <c r="AI237" s="4"/>
      <c r="AJ237" s="4"/>
      <c r="AK237" s="4"/>
      <c r="AL237" s="4"/>
      <c r="AM237" s="4"/>
      <c r="AN237" s="4"/>
      <c r="AO237" s="4"/>
      <c r="AP237" s="4"/>
      <c r="AQ237" s="4"/>
      <c r="AR237" s="4"/>
      <c r="AS237" s="21"/>
    </row>
    <row r="238" spans="1:45" hidden="1">
      <c r="B238" s="1000" t="s">
        <v>1248</v>
      </c>
      <c r="C238" s="1000"/>
      <c r="D238" s="836"/>
      <c r="E238" s="294" t="s">
        <v>1252</v>
      </c>
      <c r="F238" s="264"/>
      <c r="G238" s="294" t="s">
        <v>65</v>
      </c>
      <c r="H238" s="407"/>
      <c r="I238" s="1077">
        <f>SUMPRODUCT(J238:U238,$J$242:$U$242)/I$242</f>
        <v>0.31270250458907733</v>
      </c>
      <c r="J238" s="331">
        <v>0.75</v>
      </c>
      <c r="K238" s="331">
        <v>0.75</v>
      </c>
      <c r="L238" s="331">
        <v>0.5</v>
      </c>
      <c r="M238" s="331">
        <v>0.25</v>
      </c>
      <c r="N238" s="331">
        <v>0.25</v>
      </c>
      <c r="O238" s="331">
        <v>0.15</v>
      </c>
      <c r="P238" s="331">
        <v>0.15</v>
      </c>
      <c r="Q238" s="331">
        <v>0.15</v>
      </c>
      <c r="R238" s="331">
        <v>0.25</v>
      </c>
      <c r="S238" s="331">
        <v>0.5</v>
      </c>
      <c r="T238" s="331">
        <v>0.75</v>
      </c>
      <c r="U238" s="331">
        <v>0.75</v>
      </c>
      <c r="V238" s="331"/>
      <c r="W238" s="5"/>
      <c r="X238" s="5"/>
      <c r="Y238" s="19"/>
      <c r="Z238" s="5"/>
      <c r="AA238" s="5"/>
      <c r="AB238" s="5"/>
      <c r="AC238" s="5"/>
      <c r="AD238" s="5"/>
      <c r="AE238" s="5"/>
      <c r="AF238" s="5"/>
      <c r="AG238" s="5"/>
      <c r="AH238" s="5"/>
      <c r="AI238" s="5"/>
      <c r="AJ238" s="5"/>
      <c r="AK238" s="5"/>
      <c r="AL238" s="5"/>
      <c r="AM238" s="5"/>
      <c r="AN238" s="5"/>
      <c r="AO238" s="5"/>
      <c r="AP238" s="5"/>
      <c r="AQ238" s="5"/>
      <c r="AR238" s="5"/>
      <c r="AS238" s="21"/>
    </row>
    <row r="239" spans="1:45" hidden="1">
      <c r="B239" s="1000" t="s">
        <v>1248</v>
      </c>
      <c r="C239" s="1000"/>
      <c r="D239" s="836"/>
      <c r="E239" s="294" t="s">
        <v>1253</v>
      </c>
      <c r="F239" s="264"/>
      <c r="G239" s="294" t="s">
        <v>65</v>
      </c>
      <c r="H239" s="407"/>
      <c r="I239" s="1077">
        <f t="shared" ref="I239:I240" si="56">SUMPRODUCT(J239:U239,$J$242:$U$242)/I$242</f>
        <v>0.21282036277324001</v>
      </c>
      <c r="J239" s="331">
        <v>0.55000000000000004</v>
      </c>
      <c r="K239" s="331">
        <v>0.55000000000000004</v>
      </c>
      <c r="L239" s="331">
        <v>0.35</v>
      </c>
      <c r="M239" s="331">
        <v>0.2</v>
      </c>
      <c r="N239" s="331">
        <v>0.2</v>
      </c>
      <c r="O239" s="331">
        <v>0.15</v>
      </c>
      <c r="P239" s="331">
        <v>0.01</v>
      </c>
      <c r="Q239" s="331">
        <v>0.01</v>
      </c>
      <c r="R239" s="331">
        <v>0.2</v>
      </c>
      <c r="S239" s="331">
        <v>0.35</v>
      </c>
      <c r="T239" s="331">
        <v>0.55000000000000004</v>
      </c>
      <c r="U239" s="331">
        <v>0.55000000000000004</v>
      </c>
      <c r="V239" s="331"/>
      <c r="W239" s="5"/>
      <c r="X239" s="5"/>
      <c r="Y239" s="19"/>
      <c r="Z239" s="5"/>
      <c r="AA239" s="5"/>
      <c r="AB239" s="5"/>
      <c r="AC239" s="5"/>
      <c r="AD239" s="5"/>
      <c r="AE239" s="5"/>
      <c r="AF239" s="5"/>
      <c r="AG239" s="5"/>
      <c r="AH239" s="5"/>
      <c r="AI239" s="5"/>
      <c r="AJ239" s="5"/>
      <c r="AK239" s="5"/>
      <c r="AL239" s="5"/>
      <c r="AM239" s="5"/>
      <c r="AN239" s="5"/>
      <c r="AO239" s="5"/>
      <c r="AP239" s="5"/>
      <c r="AQ239" s="5"/>
      <c r="AR239" s="5"/>
      <c r="AS239" s="21"/>
    </row>
    <row r="240" spans="1:45" hidden="1">
      <c r="B240" s="1000" t="s">
        <v>1248</v>
      </c>
      <c r="C240" s="1000"/>
      <c r="D240" s="836"/>
      <c r="E240" s="294" t="s">
        <v>1254</v>
      </c>
      <c r="F240" s="264"/>
      <c r="G240" s="294" t="s">
        <v>65</v>
      </c>
      <c r="H240" s="407"/>
      <c r="I240" s="1077">
        <f t="shared" si="56"/>
        <v>0.24793060329427996</v>
      </c>
      <c r="J240" s="331">
        <v>0.55000000000000004</v>
      </c>
      <c r="K240" s="331">
        <v>0.55000000000000004</v>
      </c>
      <c r="L240" s="331">
        <v>0.35</v>
      </c>
      <c r="M240" s="331">
        <v>0.2</v>
      </c>
      <c r="N240" s="331">
        <v>0.2</v>
      </c>
      <c r="O240" s="331">
        <v>0.15</v>
      </c>
      <c r="P240" s="331">
        <v>0.15</v>
      </c>
      <c r="Q240" s="331">
        <v>0.15</v>
      </c>
      <c r="R240" s="331">
        <v>0.2</v>
      </c>
      <c r="S240" s="331">
        <v>0.35</v>
      </c>
      <c r="T240" s="331">
        <v>0.55000000000000004</v>
      </c>
      <c r="U240" s="331">
        <v>0.55000000000000004</v>
      </c>
      <c r="V240" s="331"/>
      <c r="W240" s="5"/>
      <c r="X240" s="5"/>
      <c r="Y240" s="19"/>
      <c r="Z240" s="5"/>
      <c r="AA240" s="5"/>
      <c r="AB240" s="5"/>
      <c r="AC240" s="5"/>
      <c r="AD240" s="5"/>
      <c r="AE240" s="5"/>
      <c r="AF240" s="5"/>
      <c r="AG240" s="5"/>
      <c r="AH240" s="5"/>
      <c r="AI240" s="5"/>
      <c r="AJ240" s="5"/>
      <c r="AK240" s="5"/>
      <c r="AL240" s="5"/>
      <c r="AM240" s="5"/>
      <c r="AN240" s="5"/>
      <c r="AO240" s="5"/>
      <c r="AP240" s="5"/>
      <c r="AQ240" s="5"/>
      <c r="AR240" s="5"/>
      <c r="AS240" s="21"/>
    </row>
    <row r="241" spans="1:64" hidden="1">
      <c r="B241" s="1000" t="s">
        <v>1248</v>
      </c>
      <c r="C241" s="1000"/>
      <c r="D241" s="836"/>
      <c r="E241" s="1197"/>
      <c r="F241" s="1198"/>
      <c r="G241" s="294"/>
      <c r="H241" s="407"/>
      <c r="I241" s="331"/>
      <c r="J241" s="331"/>
      <c r="K241" s="331"/>
      <c r="L241" s="331"/>
      <c r="M241" s="331"/>
      <c r="N241" s="331"/>
      <c r="O241" s="331"/>
      <c r="P241" s="331"/>
      <c r="Q241" s="331"/>
      <c r="R241" s="331"/>
      <c r="S241" s="331"/>
      <c r="T241" s="331"/>
      <c r="U241" s="331"/>
      <c r="V241" s="331"/>
      <c r="W241" s="5"/>
      <c r="X241" s="5"/>
      <c r="Y241" s="19"/>
      <c r="Z241" s="5"/>
      <c r="AA241" s="5"/>
      <c r="AB241" s="5"/>
      <c r="AC241" s="5"/>
      <c r="AD241" s="5"/>
      <c r="AE241" s="5"/>
      <c r="AF241" s="5"/>
      <c r="AG241" s="5"/>
      <c r="AH241" s="5"/>
      <c r="AI241" s="5"/>
      <c r="AJ241" s="5"/>
      <c r="AK241" s="5"/>
      <c r="AL241" s="5"/>
      <c r="AM241" s="5"/>
      <c r="AN241" s="5"/>
      <c r="AO241" s="5"/>
      <c r="AP241" s="5"/>
      <c r="AQ241" s="5"/>
      <c r="AR241" s="5"/>
      <c r="AS241" s="21"/>
    </row>
    <row r="242" spans="1:64" hidden="1">
      <c r="B242" s="1000" t="s">
        <v>1248</v>
      </c>
      <c r="C242" s="1000"/>
      <c r="D242" s="639" t="s">
        <v>45</v>
      </c>
      <c r="E242" s="1197" t="s">
        <v>1267</v>
      </c>
      <c r="F242" s="1198" t="s">
        <v>1279</v>
      </c>
      <c r="G242" s="1074" t="s">
        <v>65</v>
      </c>
      <c r="H242" s="1075"/>
      <c r="I242" s="1077">
        <f>SUM(J242:V242)</f>
        <v>1.0000000000000002</v>
      </c>
      <c r="J242" s="1196">
        <v>3.2144074443664197E-2</v>
      </c>
      <c r="K242" s="1196">
        <v>3.9726831832386768E-2</v>
      </c>
      <c r="L242" s="1196">
        <v>7.7973249888096327E-2</v>
      </c>
      <c r="M242" s="1196">
        <v>0.11672888100429958</v>
      </c>
      <c r="N242" s="1196">
        <v>0.13436859633777254</v>
      </c>
      <c r="O242" s="1196">
        <v>0.13009572384225893</v>
      </c>
      <c r="P242" s="1196">
        <v>0.12482085145351582</v>
      </c>
      <c r="Q242" s="1196">
        <v>0.12596658083962664</v>
      </c>
      <c r="R242" s="1196">
        <v>9.4861465301647158E-2</v>
      </c>
      <c r="S242" s="1196">
        <v>6.5179271743192366E-2</v>
      </c>
      <c r="T242" s="1196">
        <v>3.3755898042404309E-2</v>
      </c>
      <c r="U242" s="1196">
        <v>2.4378575271135419E-2</v>
      </c>
      <c r="V242" s="1076"/>
      <c r="W242" s="5"/>
      <c r="X242" s="5"/>
      <c r="Y242" s="19"/>
      <c r="Z242" s="5"/>
      <c r="AA242" s="5"/>
      <c r="AB242" s="5"/>
      <c r="AC242" s="5"/>
      <c r="AD242" s="5"/>
      <c r="AE242" s="5"/>
      <c r="AF242" s="5"/>
      <c r="AG242" s="5"/>
      <c r="AH242" s="5"/>
      <c r="AI242" s="5"/>
      <c r="AJ242" s="5"/>
      <c r="AK242" s="5"/>
      <c r="AL242" s="5"/>
      <c r="AM242" s="5"/>
      <c r="AN242" s="5"/>
      <c r="AO242" s="5"/>
      <c r="AP242" s="5"/>
      <c r="AQ242" s="5"/>
      <c r="AR242" s="5"/>
      <c r="AS242" s="21"/>
    </row>
    <row r="243" spans="1:64" hidden="1">
      <c r="B243" s="1000" t="s">
        <v>1248</v>
      </c>
      <c r="C243" s="1000"/>
      <c r="D243" s="836"/>
      <c r="E243" s="5"/>
      <c r="F243" s="5"/>
      <c r="G243" s="5"/>
      <c r="H243" s="15"/>
      <c r="I243" s="1100"/>
      <c r="J243" s="1100"/>
      <c r="K243" s="1100"/>
      <c r="L243" s="1100"/>
      <c r="M243" s="1100"/>
      <c r="N243" s="1100"/>
      <c r="O243" s="1100"/>
      <c r="P243" s="1100"/>
      <c r="Q243" s="1100"/>
      <c r="R243" s="1100"/>
      <c r="S243" s="1100"/>
      <c r="T243" s="1100"/>
      <c r="U243" s="1100"/>
      <c r="V243" s="15"/>
      <c r="W243" s="15"/>
      <c r="X243" s="15"/>
      <c r="Y243" s="19"/>
      <c r="Z243" s="15"/>
      <c r="AA243" s="5"/>
      <c r="AB243" s="5"/>
      <c r="AC243" s="5"/>
      <c r="AD243" s="5"/>
      <c r="AE243" s="5"/>
      <c r="AF243" s="5"/>
      <c r="AG243" s="5"/>
      <c r="AH243" s="5"/>
      <c r="AI243" s="5"/>
      <c r="AJ243" s="5"/>
      <c r="AK243" s="5"/>
      <c r="AL243" s="5"/>
      <c r="AM243" s="5"/>
      <c r="AN243" s="5"/>
      <c r="AO243" s="5"/>
      <c r="AP243" s="5"/>
      <c r="AQ243" s="5"/>
      <c r="AR243" s="5"/>
      <c r="AS243" s="21"/>
    </row>
    <row r="244" spans="1:64" hidden="1">
      <c r="B244" s="1000" t="s">
        <v>638</v>
      </c>
      <c r="C244" s="1000"/>
      <c r="D244" s="837"/>
      <c r="E244" s="5"/>
      <c r="F244" s="5"/>
      <c r="G244" s="5"/>
      <c r="H244" s="15"/>
      <c r="I244" s="15"/>
      <c r="J244" s="15"/>
      <c r="K244" s="15"/>
      <c r="L244" s="15"/>
      <c r="M244" s="15"/>
      <c r="N244" s="15"/>
      <c r="O244" s="15"/>
      <c r="P244" s="15"/>
      <c r="Q244" s="15"/>
      <c r="R244" s="15"/>
      <c r="S244" s="15"/>
      <c r="T244" s="15"/>
      <c r="U244" s="15"/>
      <c r="V244" s="15"/>
      <c r="W244" s="15"/>
      <c r="X244" s="15"/>
      <c r="Y244" s="19"/>
      <c r="Z244" s="15"/>
      <c r="AA244" s="15"/>
      <c r="AB244" s="15"/>
      <c r="AC244" s="15"/>
      <c r="AD244" s="5"/>
      <c r="AE244" s="5"/>
      <c r="AF244" s="5"/>
      <c r="AG244" s="5"/>
      <c r="AH244" s="5"/>
      <c r="AI244" s="5"/>
      <c r="AJ244" s="5"/>
      <c r="AK244" s="5"/>
      <c r="AL244" s="5"/>
      <c r="AM244" s="5"/>
      <c r="AN244" s="5"/>
      <c r="AO244" s="5"/>
      <c r="AP244" s="5"/>
      <c r="AQ244" s="5"/>
      <c r="AR244" s="5"/>
      <c r="AS244" s="21"/>
    </row>
    <row r="245" spans="1:64" ht="21" hidden="1">
      <c r="B245" s="1000" t="s">
        <v>638</v>
      </c>
      <c r="C245" s="1000"/>
      <c r="D245" s="1151" t="s">
        <v>45</v>
      </c>
      <c r="E245" s="175" t="s">
        <v>638</v>
      </c>
      <c r="F245" s="175"/>
      <c r="G245" s="175"/>
      <c r="H245" s="175"/>
      <c r="I245" s="175"/>
      <c r="J245" s="175"/>
      <c r="K245" s="175"/>
      <c r="L245" s="175"/>
      <c r="M245" s="175"/>
      <c r="N245" s="175"/>
      <c r="O245" s="175"/>
      <c r="P245" s="175"/>
      <c r="Q245" s="175"/>
      <c r="R245" s="175"/>
      <c r="S245" s="52"/>
      <c r="U245" s="51"/>
      <c r="V245" s="248"/>
      <c r="W245" s="52"/>
      <c r="X245" s="52"/>
      <c r="Y245" s="52"/>
      <c r="Z245" s="52"/>
      <c r="AA245" s="52"/>
      <c r="AB245" s="52"/>
      <c r="AC245" s="5"/>
      <c r="AD245" s="5"/>
      <c r="AE245" s="5"/>
      <c r="AF245" s="5"/>
      <c r="AG245" s="5"/>
      <c r="AH245" s="5"/>
      <c r="AI245" s="5"/>
      <c r="AJ245" s="5"/>
      <c r="AK245" s="5"/>
      <c r="AL245" s="5"/>
      <c r="AM245" s="5"/>
      <c r="AN245" s="5"/>
      <c r="AO245" s="371"/>
      <c r="AP245" s="5"/>
      <c r="AQ245" s="5"/>
      <c r="AR245" s="5"/>
      <c r="AS245" s="5"/>
      <c r="AT245" s="5"/>
    </row>
    <row r="246" spans="1:64" ht="15" hidden="1">
      <c r="B246" s="1000" t="s">
        <v>638</v>
      </c>
      <c r="C246" s="1000"/>
      <c r="D246" s="837"/>
      <c r="E246" s="246" t="s">
        <v>414</v>
      </c>
      <c r="F246" s="246"/>
      <c r="G246" s="246" t="s">
        <v>353</v>
      </c>
      <c r="H246" s="247"/>
      <c r="I246" s="247">
        <f t="shared" ref="I246:Q246" ca="1" si="57">OFFSET(I246,0,-1)+1</f>
        <v>1</v>
      </c>
      <c r="J246" s="247">
        <f t="shared" ca="1" si="57"/>
        <v>2</v>
      </c>
      <c r="K246" s="247">
        <f t="shared" ca="1" si="57"/>
        <v>3</v>
      </c>
      <c r="L246" s="247">
        <f t="shared" ca="1" si="57"/>
        <v>4</v>
      </c>
      <c r="M246" s="247">
        <f t="shared" ca="1" si="57"/>
        <v>5</v>
      </c>
      <c r="N246" s="247">
        <f t="shared" ca="1" si="57"/>
        <v>6</v>
      </c>
      <c r="O246" s="247">
        <f t="shared" ca="1" si="57"/>
        <v>7</v>
      </c>
      <c r="P246" s="247">
        <f t="shared" ca="1" si="57"/>
        <v>8</v>
      </c>
      <c r="Q246" s="247">
        <f t="shared" ca="1" si="57"/>
        <v>9</v>
      </c>
      <c r="R246" s="247"/>
      <c r="S246" s="52"/>
      <c r="T246" s="52"/>
      <c r="U246" s="51"/>
      <c r="V246" s="248"/>
      <c r="W246" s="52"/>
      <c r="X246" s="52"/>
      <c r="Y246" s="52"/>
      <c r="Z246" s="52"/>
      <c r="AA246" s="52"/>
      <c r="AB246" s="52"/>
      <c r="AC246" s="5"/>
      <c r="AD246" s="5"/>
      <c r="AE246" s="5"/>
      <c r="AF246" s="5"/>
      <c r="AG246" s="5"/>
      <c r="AH246" s="5"/>
      <c r="AI246" s="5"/>
      <c r="AJ246" s="5"/>
      <c r="AK246" s="5"/>
      <c r="AL246" s="5"/>
      <c r="AM246" s="5"/>
      <c r="AN246" s="5"/>
      <c r="AO246" s="21"/>
      <c r="AP246" s="5"/>
      <c r="AQ246" s="5"/>
      <c r="AR246" s="5"/>
      <c r="AS246" s="5"/>
      <c r="AT246" s="5"/>
    </row>
    <row r="247" spans="1:64" s="2" customFormat="1" ht="18.75" hidden="1">
      <c r="A247" s="1010"/>
      <c r="B247" s="1000" t="s">
        <v>638</v>
      </c>
      <c r="C247" s="1000"/>
      <c r="D247" s="841"/>
      <c r="E247" s="316" t="s">
        <v>639</v>
      </c>
      <c r="F247" s="317"/>
      <c r="G247" s="316"/>
      <c r="H247" s="318"/>
      <c r="I247" s="319"/>
      <c r="J247" s="318"/>
      <c r="K247" s="9"/>
      <c r="L247" s="9"/>
      <c r="M247" s="9"/>
      <c r="N247" s="9"/>
      <c r="O247" s="9"/>
      <c r="P247" s="9"/>
      <c r="Q247" s="4"/>
      <c r="Y247" s="4"/>
      <c r="Z247" s="8"/>
      <c r="AA247" s="4"/>
      <c r="AB247" s="4"/>
      <c r="AC247" s="4"/>
      <c r="AD247" s="4"/>
      <c r="AE247" s="4"/>
      <c r="AF247" s="4"/>
      <c r="AG247" s="4"/>
      <c r="AH247" s="4"/>
      <c r="AI247" s="4"/>
      <c r="AJ247" s="4"/>
      <c r="AK247" s="4"/>
      <c r="AL247" s="4"/>
      <c r="AM247" s="4"/>
      <c r="AN247" s="4"/>
      <c r="AO247" s="4"/>
      <c r="AP247" s="4"/>
      <c r="AQ247" s="4"/>
      <c r="AR247" s="4"/>
      <c r="AS247" s="4"/>
      <c r="AT247" s="21"/>
    </row>
    <row r="248" spans="1:64" ht="51" hidden="1">
      <c r="B248" s="1000" t="s">
        <v>638</v>
      </c>
      <c r="C248" s="1000"/>
      <c r="D248" s="836"/>
      <c r="E248" s="294" t="s">
        <v>640</v>
      </c>
      <c r="F248" s="264"/>
      <c r="G248" s="294" t="s">
        <v>65</v>
      </c>
      <c r="H248" s="407"/>
      <c r="I248" s="470" t="s">
        <v>537</v>
      </c>
      <c r="J248" s="470" t="s">
        <v>641</v>
      </c>
      <c r="K248" s="470" t="s">
        <v>642</v>
      </c>
      <c r="L248" s="470" t="s">
        <v>643</v>
      </c>
      <c r="M248" s="470" t="s">
        <v>644</v>
      </c>
      <c r="N248" s="470" t="s">
        <v>517</v>
      </c>
      <c r="O248" s="470" t="s">
        <v>645</v>
      </c>
      <c r="P248" s="470" t="s">
        <v>646</v>
      </c>
      <c r="Q248" s="470" t="s">
        <v>647</v>
      </c>
      <c r="R248" s="407"/>
      <c r="S248" s="15"/>
      <c r="T248" s="15"/>
      <c r="U248" s="19"/>
      <c r="V248" s="248"/>
      <c r="W248" s="23"/>
      <c r="X248" s="23"/>
      <c r="Y248" s="15"/>
      <c r="Z248" s="15"/>
      <c r="AA248" s="15"/>
      <c r="AB248" s="15"/>
      <c r="AC248" s="15"/>
      <c r="AD248" s="15"/>
      <c r="AE248" s="15"/>
      <c r="AF248" s="15"/>
      <c r="AG248" s="15"/>
      <c r="AH248" s="5"/>
      <c r="AI248" s="5"/>
      <c r="AJ248" s="5"/>
      <c r="AK248" s="5"/>
      <c r="AL248" s="5"/>
      <c r="AM248" s="5"/>
      <c r="AN248" s="5"/>
      <c r="AO248" s="21"/>
      <c r="AP248" s="5"/>
      <c r="AQ248" s="5"/>
      <c r="AR248" s="5"/>
      <c r="AS248" s="5"/>
      <c r="AT248" s="5"/>
    </row>
    <row r="249" spans="1:64" ht="15" hidden="1">
      <c r="B249" s="1000" t="s">
        <v>638</v>
      </c>
      <c r="C249" s="1000"/>
      <c r="D249" s="836"/>
      <c r="E249" s="294" t="s">
        <v>89</v>
      </c>
      <c r="F249" s="264"/>
      <c r="G249" s="294"/>
      <c r="H249" s="407"/>
      <c r="I249" s="464"/>
      <c r="J249" s="464" t="s">
        <v>45</v>
      </c>
      <c r="K249" s="464"/>
      <c r="L249" s="464"/>
      <c r="M249" s="464" t="s">
        <v>45</v>
      </c>
      <c r="N249" s="464" t="s">
        <v>45</v>
      </c>
      <c r="O249" s="464" t="s">
        <v>45</v>
      </c>
      <c r="P249" s="464" t="s">
        <v>45</v>
      </c>
      <c r="Q249" s="464" t="s">
        <v>45</v>
      </c>
      <c r="R249" s="407"/>
      <c r="S249" s="15"/>
      <c r="T249" s="15"/>
      <c r="U249" s="19"/>
      <c r="V249" s="248"/>
      <c r="W249" s="23"/>
      <c r="X249" s="23"/>
      <c r="Y249" s="15"/>
      <c r="Z249" s="15"/>
      <c r="AA249" s="15"/>
      <c r="AB249" s="15"/>
      <c r="AC249" s="15"/>
      <c r="AD249" s="15"/>
      <c r="AE249" s="15"/>
      <c r="AF249" s="15"/>
      <c r="AG249" s="15"/>
      <c r="AH249" s="5"/>
      <c r="AI249" s="5"/>
      <c r="AJ249" s="5"/>
      <c r="AK249" s="5"/>
      <c r="AL249" s="5"/>
      <c r="AM249" s="5"/>
      <c r="AN249" s="5"/>
      <c r="AO249" s="21"/>
      <c r="AP249" s="5"/>
      <c r="AQ249" s="5"/>
      <c r="AR249" s="5"/>
      <c r="AS249" s="5"/>
      <c r="AT249" s="5"/>
    </row>
    <row r="250" spans="1:64" ht="15" hidden="1">
      <c r="B250" s="1000" t="s">
        <v>638</v>
      </c>
      <c r="C250" s="1000"/>
      <c r="D250" s="836"/>
      <c r="E250" s="294" t="s">
        <v>648</v>
      </c>
      <c r="F250" s="264"/>
      <c r="G250" s="294" t="s">
        <v>65</v>
      </c>
      <c r="H250" s="407"/>
      <c r="I250" s="331" t="s">
        <v>649</v>
      </c>
      <c r="J250" s="331" t="s">
        <v>650</v>
      </c>
      <c r="K250" s="331" t="s">
        <v>651</v>
      </c>
      <c r="L250" s="331" t="s">
        <v>652</v>
      </c>
      <c r="M250" s="331" t="s">
        <v>653</v>
      </c>
      <c r="N250" s="331" t="s">
        <v>654</v>
      </c>
      <c r="O250" s="331" t="s">
        <v>655</v>
      </c>
      <c r="P250" s="331" t="s">
        <v>656</v>
      </c>
      <c r="Q250" s="331" t="s">
        <v>657</v>
      </c>
      <c r="R250" s="407"/>
      <c r="S250" s="26"/>
      <c r="T250" s="15"/>
      <c r="U250" s="19"/>
      <c r="V250" s="248"/>
      <c r="W250" s="23"/>
      <c r="X250" s="23"/>
      <c r="Y250" s="15"/>
      <c r="Z250" s="15"/>
      <c r="AA250" s="15"/>
      <c r="AB250" s="15"/>
      <c r="AC250" s="15"/>
      <c r="AD250" s="15"/>
      <c r="AE250" s="15"/>
      <c r="AF250" s="15"/>
      <c r="AG250" s="15"/>
      <c r="AH250" s="5"/>
      <c r="AI250" s="5"/>
      <c r="AJ250" s="5"/>
      <c r="AK250" s="5"/>
      <c r="AL250" s="5"/>
      <c r="AM250" s="5"/>
      <c r="AN250" s="5"/>
      <c r="AO250" s="21"/>
      <c r="AP250" s="5"/>
      <c r="AQ250" s="5"/>
      <c r="AR250" s="5"/>
      <c r="AS250" s="5"/>
      <c r="AT250" s="5"/>
    </row>
    <row r="251" spans="1:64" ht="15" hidden="1">
      <c r="B251" s="1000" t="s">
        <v>638</v>
      </c>
      <c r="C251" s="1000"/>
      <c r="D251" s="836"/>
      <c r="E251" s="294" t="s">
        <v>658</v>
      </c>
      <c r="F251" s="264"/>
      <c r="G251" s="294" t="s">
        <v>65</v>
      </c>
      <c r="H251" s="407"/>
      <c r="I251" s="334">
        <v>0</v>
      </c>
      <c r="J251" s="992">
        <v>1.45</v>
      </c>
      <c r="K251" s="334">
        <v>1</v>
      </c>
      <c r="L251" s="334">
        <v>1</v>
      </c>
      <c r="M251" s="334">
        <v>1</v>
      </c>
      <c r="N251" s="334">
        <v>0.5</v>
      </c>
      <c r="O251" s="334">
        <v>0</v>
      </c>
      <c r="P251" s="334">
        <v>0</v>
      </c>
      <c r="Q251" s="334" t="s">
        <v>659</v>
      </c>
      <c r="R251" s="407"/>
      <c r="S251" s="27"/>
      <c r="T251" s="15"/>
      <c r="U251" s="19"/>
      <c r="V251" s="248"/>
      <c r="W251" s="23"/>
      <c r="X251" s="75"/>
      <c r="Y251" s="15"/>
      <c r="Z251" s="15"/>
      <c r="AA251" s="15"/>
      <c r="AB251" s="15"/>
      <c r="AC251" s="15"/>
      <c r="AD251" s="15"/>
      <c r="AE251" s="15"/>
      <c r="AF251" s="15"/>
      <c r="AG251" s="15"/>
      <c r="AH251" s="5"/>
      <c r="AI251" s="5"/>
      <c r="AJ251" s="5"/>
      <c r="AK251" s="5"/>
      <c r="AL251" s="5"/>
      <c r="AM251" s="5"/>
      <c r="AN251" s="5"/>
      <c r="AO251" s="21"/>
      <c r="AP251" s="5"/>
      <c r="AQ251" s="5"/>
      <c r="AR251" s="5"/>
      <c r="AS251" s="5"/>
      <c r="AT251" s="5"/>
    </row>
    <row r="252" spans="1:64" ht="15" hidden="1">
      <c r="B252" s="1000" t="s">
        <v>638</v>
      </c>
      <c r="C252" s="1000"/>
      <c r="D252" s="836"/>
      <c r="E252" s="294" t="s">
        <v>660</v>
      </c>
      <c r="F252" s="264"/>
      <c r="G252" s="294"/>
      <c r="H252" s="407"/>
      <c r="I252" s="470">
        <v>0</v>
      </c>
      <c r="J252" s="470">
        <v>0</v>
      </c>
      <c r="K252" s="470">
        <v>0</v>
      </c>
      <c r="L252" s="470">
        <v>0</v>
      </c>
      <c r="M252" s="470">
        <v>0</v>
      </c>
      <c r="N252" s="470">
        <v>0</v>
      </c>
      <c r="O252" s="470">
        <v>0</v>
      </c>
      <c r="P252" s="470">
        <v>0</v>
      </c>
      <c r="Q252" s="470">
        <v>1</v>
      </c>
      <c r="R252" s="407"/>
      <c r="S252" s="27"/>
      <c r="T252" s="15"/>
      <c r="U252" s="19"/>
      <c r="V252" s="248"/>
      <c r="W252" s="23"/>
      <c r="X252" s="75"/>
      <c r="Y252" s="15"/>
      <c r="Z252" s="15"/>
      <c r="AA252" s="15"/>
      <c r="AB252" s="15"/>
      <c r="AC252" s="15"/>
      <c r="AD252" s="15"/>
      <c r="AE252" s="15"/>
      <c r="AF252" s="15"/>
      <c r="AG252" s="15"/>
      <c r="AH252" s="5"/>
      <c r="AI252" s="5"/>
      <c r="AJ252" s="5"/>
      <c r="AK252" s="5"/>
      <c r="AL252" s="5"/>
      <c r="AM252" s="5"/>
      <c r="AN252" s="5"/>
      <c r="AO252" s="21"/>
      <c r="AP252" s="5"/>
      <c r="AQ252" s="5"/>
      <c r="AR252" s="5"/>
      <c r="AS252" s="5"/>
      <c r="AT252" s="5"/>
    </row>
    <row r="253" spans="1:64" s="2" customFormat="1" ht="15" hidden="1">
      <c r="A253" s="1010"/>
      <c r="B253" s="1000" t="s">
        <v>638</v>
      </c>
      <c r="C253" s="1000"/>
      <c r="D253" s="839"/>
      <c r="E253" s="392" t="s">
        <v>661</v>
      </c>
      <c r="F253" s="402"/>
      <c r="G253" s="392"/>
      <c r="H253" s="391"/>
      <c r="I253" s="389" t="s">
        <v>662</v>
      </c>
      <c r="J253" s="389" t="s">
        <v>662</v>
      </c>
      <c r="K253" s="389" t="s">
        <v>662</v>
      </c>
      <c r="L253" s="389" t="s">
        <v>662</v>
      </c>
      <c r="M253" s="389" t="s">
        <v>662</v>
      </c>
      <c r="N253" s="389" t="s">
        <v>662</v>
      </c>
      <c r="O253" s="389" t="s">
        <v>662</v>
      </c>
      <c r="P253" s="389" t="s">
        <v>662</v>
      </c>
      <c r="Q253" s="389"/>
      <c r="R253" s="391"/>
      <c r="S253" s="327"/>
      <c r="T253" s="9"/>
      <c r="U253" s="8"/>
      <c r="V253" s="248"/>
      <c r="W253" s="9"/>
      <c r="X253" s="328"/>
      <c r="Y253" s="328"/>
      <c r="Z253" s="328"/>
      <c r="AA253" s="328"/>
      <c r="AB253" s="9"/>
      <c r="AC253" s="9"/>
      <c r="AD253" s="9"/>
      <c r="AE253" s="9"/>
      <c r="AF253" s="9"/>
      <c r="AG253" s="9"/>
      <c r="AH253" s="4"/>
      <c r="AI253" s="4"/>
      <c r="AJ253" s="4"/>
      <c r="AK253" s="4"/>
      <c r="AL253" s="4"/>
      <c r="AM253" s="4"/>
      <c r="AN253" s="4"/>
      <c r="AO253" s="21"/>
      <c r="AP253" s="4"/>
      <c r="AQ253" s="4"/>
      <c r="AR253" s="4"/>
      <c r="AS253" s="4"/>
      <c r="AT253" s="4"/>
    </row>
    <row r="254" spans="1:64" ht="15" hidden="1">
      <c r="B254" s="1000" t="s">
        <v>638</v>
      </c>
      <c r="C254" s="1000"/>
      <c r="D254" s="836"/>
      <c r="E254" s="5"/>
      <c r="F254" s="5"/>
      <c r="G254" s="5"/>
      <c r="H254" s="15"/>
      <c r="I254" s="15"/>
      <c r="J254" s="21"/>
      <c r="K254" s="15"/>
      <c r="L254" s="15"/>
      <c r="M254" s="19"/>
      <c r="N254" s="15"/>
      <c r="O254" s="15"/>
      <c r="P254" s="15"/>
      <c r="Q254" s="15"/>
      <c r="R254" s="15"/>
      <c r="S254" s="15"/>
      <c r="T254" s="15"/>
      <c r="U254" s="248"/>
      <c r="V254" s="15"/>
      <c r="W254" s="15"/>
      <c r="X254" s="15"/>
      <c r="Y254" s="19"/>
      <c r="Z254" s="5"/>
      <c r="AA254" s="5"/>
      <c r="AB254" s="5"/>
      <c r="AC254" s="5"/>
      <c r="AD254" s="5"/>
      <c r="AE254" s="5"/>
      <c r="AF254" s="5"/>
      <c r="AG254" s="5"/>
      <c r="AH254" s="5"/>
      <c r="AI254" s="5"/>
      <c r="AJ254" s="5"/>
      <c r="AK254" s="5"/>
      <c r="AL254" s="5"/>
      <c r="AM254" s="5"/>
      <c r="AN254" s="5"/>
      <c r="AO254" s="5"/>
      <c r="AP254" s="5"/>
      <c r="AQ254" s="5"/>
      <c r="AR254" s="5"/>
      <c r="AS254" s="21"/>
    </row>
    <row r="255" spans="1:64" hidden="1">
      <c r="B255" s="1000" t="s">
        <v>663</v>
      </c>
      <c r="C255" s="1000"/>
      <c r="D255" s="837"/>
      <c r="E255" s="5"/>
      <c r="F255" s="5"/>
      <c r="G255" s="5"/>
      <c r="H255" s="5"/>
      <c r="I255" s="15"/>
      <c r="J255" s="1193"/>
      <c r="K255" s="1193"/>
      <c r="L255" s="1193"/>
      <c r="M255" s="1193"/>
      <c r="N255" s="1193"/>
      <c r="O255" s="1193"/>
      <c r="P255" s="5"/>
      <c r="Q255" s="5"/>
      <c r="R255" s="5"/>
      <c r="S255" s="1193"/>
      <c r="T255" s="1193"/>
      <c r="U255" s="15"/>
      <c r="V255" s="15"/>
      <c r="W255" s="15"/>
      <c r="X255" s="15"/>
      <c r="Y255" s="19"/>
      <c r="Z255" s="15"/>
      <c r="AA255" s="5"/>
      <c r="AB255" s="5"/>
      <c r="AC255" s="5"/>
      <c r="AD255" s="5"/>
      <c r="AE255" s="5"/>
      <c r="AF255" s="5"/>
      <c r="AG255" s="5"/>
      <c r="AH255" s="5"/>
      <c r="AI255" s="5"/>
      <c r="AJ255" s="5"/>
      <c r="AK255" s="5"/>
      <c r="AL255" s="5"/>
      <c r="AM255" s="5"/>
      <c r="AN255" s="5"/>
      <c r="AO255" s="5"/>
      <c r="AP255" s="5"/>
      <c r="AQ255" s="5"/>
      <c r="AR255" s="5"/>
      <c r="AS255" s="21"/>
    </row>
    <row r="256" spans="1:64" ht="21" hidden="1">
      <c r="B256" s="1000" t="s">
        <v>663</v>
      </c>
      <c r="C256" s="1000"/>
      <c r="D256" s="1151" t="s">
        <v>45</v>
      </c>
      <c r="E256" s="175" t="s">
        <v>664</v>
      </c>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c r="AB256" s="175"/>
      <c r="AC256" s="175"/>
      <c r="AD256" s="175"/>
      <c r="AE256" s="175"/>
      <c r="AF256" s="774" t="s">
        <v>1105</v>
      </c>
      <c r="AG256" s="775"/>
      <c r="AH256" s="775"/>
      <c r="AI256" s="775"/>
      <c r="AJ256" s="775"/>
      <c r="AK256" s="775"/>
      <c r="AL256" s="775"/>
      <c r="AM256" s="775"/>
      <c r="AN256" s="775"/>
      <c r="AO256" s="775"/>
      <c r="AP256" s="776"/>
      <c r="AQ256" s="175"/>
      <c r="AR256" s="19"/>
      <c r="AS256" s="5"/>
      <c r="AT256" s="5"/>
      <c r="AU256" s="5"/>
      <c r="AV256" s="5"/>
      <c r="AW256" s="5"/>
      <c r="AX256" s="5"/>
      <c r="AY256" s="5"/>
      <c r="AZ256" s="5"/>
      <c r="BA256" s="5"/>
      <c r="BB256" s="5"/>
      <c r="BC256" s="5"/>
      <c r="BD256" s="5"/>
      <c r="BE256" s="5"/>
      <c r="BF256" s="5"/>
      <c r="BG256" s="5"/>
      <c r="BH256" s="5"/>
      <c r="BI256" s="5"/>
      <c r="BJ256" s="5"/>
      <c r="BK256" s="5"/>
      <c r="BL256" s="21"/>
    </row>
    <row r="257" spans="1:65" hidden="1">
      <c r="B257" s="1000" t="s">
        <v>663</v>
      </c>
      <c r="C257" s="1000"/>
      <c r="D257" s="837"/>
      <c r="E257" s="246" t="s">
        <v>414</v>
      </c>
      <c r="F257" s="246"/>
      <c r="G257" s="246" t="s">
        <v>353</v>
      </c>
      <c r="H257" s="247"/>
      <c r="I257" s="247">
        <f t="shared" ref="I257:AP257" ca="1" si="58">OFFSET(I257,0,-1)+1</f>
        <v>1</v>
      </c>
      <c r="J257" s="247">
        <f t="shared" ca="1" si="58"/>
        <v>2</v>
      </c>
      <c r="K257" s="247">
        <f t="shared" ca="1" si="58"/>
        <v>3</v>
      </c>
      <c r="L257" s="247">
        <f t="shared" ca="1" si="58"/>
        <v>4</v>
      </c>
      <c r="M257" s="247">
        <f t="shared" ca="1" si="58"/>
        <v>5</v>
      </c>
      <c r="N257" s="247">
        <f t="shared" ca="1" si="58"/>
        <v>6</v>
      </c>
      <c r="O257" s="247">
        <f t="shared" ca="1" si="58"/>
        <v>7</v>
      </c>
      <c r="P257" s="247">
        <f t="shared" ca="1" si="58"/>
        <v>8</v>
      </c>
      <c r="Q257" s="247">
        <f t="shared" ca="1" si="58"/>
        <v>9</v>
      </c>
      <c r="R257" s="247">
        <f t="shared" ca="1" si="58"/>
        <v>10</v>
      </c>
      <c r="S257" s="247">
        <f t="shared" ca="1" si="58"/>
        <v>11</v>
      </c>
      <c r="T257" s="247">
        <f t="shared" ca="1" si="58"/>
        <v>12</v>
      </c>
      <c r="U257" s="247">
        <f t="shared" ca="1" si="58"/>
        <v>13</v>
      </c>
      <c r="V257" s="247">
        <f t="shared" ca="1" si="58"/>
        <v>14</v>
      </c>
      <c r="W257" s="247">
        <f t="shared" ca="1" si="58"/>
        <v>15</v>
      </c>
      <c r="X257" s="247">
        <f t="shared" ca="1" si="58"/>
        <v>16</v>
      </c>
      <c r="Y257" s="247">
        <f t="shared" ca="1" si="58"/>
        <v>17</v>
      </c>
      <c r="Z257" s="247">
        <f t="shared" ca="1" si="58"/>
        <v>18</v>
      </c>
      <c r="AA257" s="247">
        <f t="shared" ca="1" si="58"/>
        <v>19</v>
      </c>
      <c r="AB257" s="247">
        <f t="shared" ca="1" si="58"/>
        <v>20</v>
      </c>
      <c r="AC257" s="247">
        <f t="shared" ca="1" si="58"/>
        <v>21</v>
      </c>
      <c r="AD257" s="247">
        <f t="shared" ca="1" si="58"/>
        <v>22</v>
      </c>
      <c r="AE257" s="247">
        <f t="shared" ca="1" si="58"/>
        <v>23</v>
      </c>
      <c r="AF257" s="777">
        <f t="shared" ca="1" si="58"/>
        <v>24</v>
      </c>
      <c r="AG257" s="247">
        <f t="shared" ca="1" si="58"/>
        <v>25</v>
      </c>
      <c r="AH257" s="247">
        <f t="shared" ca="1" si="58"/>
        <v>26</v>
      </c>
      <c r="AI257" s="247">
        <f t="shared" ca="1" si="58"/>
        <v>27</v>
      </c>
      <c r="AJ257" s="247">
        <f t="shared" ca="1" si="58"/>
        <v>28</v>
      </c>
      <c r="AK257" s="247">
        <f t="shared" ca="1" si="58"/>
        <v>29</v>
      </c>
      <c r="AL257" s="247">
        <f t="shared" ca="1" si="58"/>
        <v>30</v>
      </c>
      <c r="AM257" s="247">
        <f t="shared" ca="1" si="58"/>
        <v>31</v>
      </c>
      <c r="AN257" s="247">
        <f t="shared" ca="1" si="58"/>
        <v>32</v>
      </c>
      <c r="AO257" s="247">
        <f t="shared" ca="1" si="58"/>
        <v>33</v>
      </c>
      <c r="AP257" s="778">
        <f t="shared" ca="1" si="58"/>
        <v>34</v>
      </c>
      <c r="AQ257" s="247"/>
      <c r="AR257" s="5"/>
      <c r="AS257" s="19"/>
      <c r="AT257" s="5"/>
      <c r="AU257" s="5"/>
      <c r="AV257" s="5"/>
      <c r="AW257" s="5"/>
      <c r="AX257" s="5"/>
      <c r="AY257" s="5"/>
      <c r="AZ257" s="5"/>
      <c r="BA257" s="5"/>
      <c r="BB257" s="5"/>
      <c r="BC257" s="5"/>
      <c r="BD257" s="5"/>
      <c r="BE257" s="5"/>
      <c r="BF257" s="5"/>
      <c r="BG257" s="5"/>
      <c r="BH257" s="5"/>
      <c r="BI257" s="5"/>
      <c r="BJ257" s="5"/>
      <c r="BK257" s="5"/>
      <c r="BL257" s="21"/>
      <c r="BM257" s="170"/>
    </row>
    <row r="258" spans="1:65" s="2" customFormat="1" ht="18.75" hidden="1">
      <c r="A258" s="1010"/>
      <c r="B258" s="1000" t="s">
        <v>663</v>
      </c>
      <c r="C258" s="1000"/>
      <c r="D258" s="841"/>
      <c r="E258" s="316" t="s">
        <v>665</v>
      </c>
      <c r="F258" s="317"/>
      <c r="G258" s="316"/>
      <c r="H258" s="318"/>
      <c r="I258" s="596" t="s">
        <v>93</v>
      </c>
      <c r="J258" s="596" t="s">
        <v>93</v>
      </c>
      <c r="K258" s="596" t="s">
        <v>93</v>
      </c>
      <c r="L258" s="596" t="s">
        <v>93</v>
      </c>
      <c r="M258" s="596" t="s">
        <v>93</v>
      </c>
      <c r="N258" s="596" t="s">
        <v>93</v>
      </c>
      <c r="O258" s="596" t="s">
        <v>93</v>
      </c>
      <c r="P258" s="596" t="s">
        <v>93</v>
      </c>
      <c r="Q258" s="596" t="s">
        <v>93</v>
      </c>
      <c r="R258" s="596" t="s">
        <v>93</v>
      </c>
      <c r="S258" s="596" t="s">
        <v>93</v>
      </c>
      <c r="T258" s="596" t="s">
        <v>93</v>
      </c>
      <c r="U258" s="596" t="s">
        <v>93</v>
      </c>
      <c r="V258" s="596" t="s">
        <v>93</v>
      </c>
      <c r="W258" s="596" t="s">
        <v>666</v>
      </c>
      <c r="X258" s="596" t="s">
        <v>666</v>
      </c>
      <c r="Y258" s="596" t="s">
        <v>666</v>
      </c>
      <c r="Z258" s="596" t="s">
        <v>666</v>
      </c>
      <c r="AA258" s="596" t="s">
        <v>667</v>
      </c>
      <c r="AB258" s="596" t="s">
        <v>667</v>
      </c>
      <c r="AC258" s="596" t="s">
        <v>667</v>
      </c>
      <c r="AD258" s="596" t="s">
        <v>667</v>
      </c>
      <c r="AE258" s="596" t="s">
        <v>667</v>
      </c>
      <c r="AF258" s="779" t="s">
        <v>668</v>
      </c>
      <c r="AG258" s="596" t="s">
        <v>668</v>
      </c>
      <c r="AH258" s="596" t="s">
        <v>668</v>
      </c>
      <c r="AI258" s="596" t="s">
        <v>668</v>
      </c>
      <c r="AJ258" s="596" t="s">
        <v>668</v>
      </c>
      <c r="AK258" s="596" t="s">
        <v>668</v>
      </c>
      <c r="AL258" s="596" t="s">
        <v>668</v>
      </c>
      <c r="AM258" s="596" t="s">
        <v>668</v>
      </c>
      <c r="AN258" s="596" t="s">
        <v>668</v>
      </c>
      <c r="AO258" s="596" t="s">
        <v>668</v>
      </c>
      <c r="AP258" s="780" t="s">
        <v>668</v>
      </c>
      <c r="AQ258" s="4"/>
      <c r="AR258" s="8"/>
      <c r="AS258" s="4"/>
      <c r="AT258" s="4"/>
      <c r="AU258" s="4"/>
      <c r="AV258" s="4"/>
      <c r="AW258" s="4"/>
      <c r="AX258" s="4"/>
      <c r="AY258" s="4"/>
      <c r="AZ258" s="4"/>
      <c r="BA258" s="4"/>
      <c r="BB258" s="4"/>
      <c r="BC258" s="4"/>
      <c r="BD258" s="4"/>
      <c r="BE258" s="4"/>
      <c r="BF258" s="4"/>
      <c r="BG258" s="4"/>
      <c r="BH258" s="4"/>
      <c r="BI258" s="4"/>
      <c r="BJ258" s="4"/>
      <c r="BK258" s="4"/>
      <c r="BL258" s="21"/>
    </row>
    <row r="259" spans="1:65" ht="63.75" hidden="1">
      <c r="B259" s="1000" t="s">
        <v>663</v>
      </c>
      <c r="C259" s="1000"/>
      <c r="D259" s="836"/>
      <c r="E259" s="294" t="s">
        <v>669</v>
      </c>
      <c r="F259" s="264"/>
      <c r="G259" s="294" t="s">
        <v>65</v>
      </c>
      <c r="H259" s="407"/>
      <c r="I259" s="463" t="s">
        <v>537</v>
      </c>
      <c r="J259" s="408" t="s">
        <v>145</v>
      </c>
      <c r="K259" s="463" t="s">
        <v>515</v>
      </c>
      <c r="L259" s="408" t="s">
        <v>670</v>
      </c>
      <c r="M259" s="408" t="s">
        <v>644</v>
      </c>
      <c r="N259" s="408" t="s">
        <v>517</v>
      </c>
      <c r="O259" s="408" t="s">
        <v>645</v>
      </c>
      <c r="P259" s="408" t="s">
        <v>1209</v>
      </c>
      <c r="Q259" s="408" t="s">
        <v>1210</v>
      </c>
      <c r="R259" s="408" t="s">
        <v>1211</v>
      </c>
      <c r="S259" s="408" t="s">
        <v>1214</v>
      </c>
      <c r="T259" s="408" t="s">
        <v>671</v>
      </c>
      <c r="U259" s="408" t="s">
        <v>672</v>
      </c>
      <c r="V259" s="408" t="s">
        <v>519</v>
      </c>
      <c r="W259" s="408" t="s">
        <v>522</v>
      </c>
      <c r="X259" s="408" t="s">
        <v>518</v>
      </c>
      <c r="Y259" s="408" t="s">
        <v>521</v>
      </c>
      <c r="Z259" s="408" t="s">
        <v>516</v>
      </c>
      <c r="AA259" s="517" t="s">
        <v>523</v>
      </c>
      <c r="AB259" s="517" t="s">
        <v>600</v>
      </c>
      <c r="AC259" s="517" t="s">
        <v>520</v>
      </c>
      <c r="AD259" s="517" t="s">
        <v>1067</v>
      </c>
      <c r="AE259" s="517" t="s">
        <v>1068</v>
      </c>
      <c r="AF259" s="781" t="s">
        <v>524</v>
      </c>
      <c r="AG259" s="517" t="s">
        <v>673</v>
      </c>
      <c r="AH259" s="517" t="s">
        <v>738</v>
      </c>
      <c r="AI259" s="517" t="s">
        <v>739</v>
      </c>
      <c r="AJ259" s="517"/>
      <c r="AK259" s="517" t="s">
        <v>524</v>
      </c>
      <c r="AL259" s="517"/>
      <c r="AM259" s="517"/>
      <c r="AN259" s="517"/>
      <c r="AO259" s="517"/>
      <c r="AP259" s="782"/>
      <c r="AQ259" s="407"/>
      <c r="AR259" s="21"/>
      <c r="AS259" s="19"/>
      <c r="AT259" s="15"/>
      <c r="AU259" s="15"/>
      <c r="AV259" s="15"/>
      <c r="AW259" s="5"/>
      <c r="AX259" s="5"/>
      <c r="AY259" s="5"/>
      <c r="AZ259" s="5"/>
      <c r="BA259" s="5"/>
      <c r="BB259" s="5"/>
      <c r="BC259" s="5"/>
      <c r="BD259" s="5"/>
      <c r="BE259" s="5"/>
      <c r="BF259" s="5"/>
      <c r="BG259" s="5"/>
      <c r="BH259" s="5"/>
      <c r="BI259" s="5"/>
      <c r="BJ259" s="5"/>
      <c r="BK259" s="5"/>
      <c r="BM259" s="170"/>
    </row>
    <row r="260" spans="1:65" s="36" customFormat="1" hidden="1">
      <c r="A260" s="1005"/>
      <c r="B260" s="1000" t="s">
        <v>663</v>
      </c>
      <c r="C260" s="1000"/>
      <c r="D260" s="836"/>
      <c r="E260" s="149" t="s">
        <v>89</v>
      </c>
      <c r="F260" s="264"/>
      <c r="G260" s="149" t="s">
        <v>65</v>
      </c>
      <c r="H260" s="407"/>
      <c r="I260" s="744"/>
      <c r="J260" s="744"/>
      <c r="K260" s="745"/>
      <c r="L260" s="745"/>
      <c r="M260" s="745" t="s">
        <v>45</v>
      </c>
      <c r="N260" s="745" t="s">
        <v>45</v>
      </c>
      <c r="O260" s="745" t="s">
        <v>45</v>
      </c>
      <c r="P260" s="745" t="s">
        <v>45</v>
      </c>
      <c r="Q260" s="745" t="s">
        <v>45</v>
      </c>
      <c r="R260" s="745" t="s">
        <v>45</v>
      </c>
      <c r="S260" s="745" t="s">
        <v>45</v>
      </c>
      <c r="T260" s="745" t="s">
        <v>45</v>
      </c>
      <c r="U260" s="745" t="s">
        <v>45</v>
      </c>
      <c r="V260" s="745" t="s">
        <v>45</v>
      </c>
      <c r="W260" s="745" t="s">
        <v>45</v>
      </c>
      <c r="X260" s="745" t="s">
        <v>45</v>
      </c>
      <c r="Y260" s="745" t="s">
        <v>45</v>
      </c>
      <c r="Z260" s="745"/>
      <c r="AA260" s="745" t="s">
        <v>45</v>
      </c>
      <c r="AB260" s="745" t="s">
        <v>45</v>
      </c>
      <c r="AC260" s="745" t="s">
        <v>45</v>
      </c>
      <c r="AD260" s="745" t="s">
        <v>45</v>
      </c>
      <c r="AE260" s="745" t="s">
        <v>45</v>
      </c>
      <c r="AF260" s="745" t="s">
        <v>45</v>
      </c>
      <c r="AG260" s="745" t="s">
        <v>45</v>
      </c>
      <c r="AH260" s="745" t="s">
        <v>45</v>
      </c>
      <c r="AI260" s="745" t="s">
        <v>45</v>
      </c>
      <c r="AJ260" s="389"/>
      <c r="AK260" s="389"/>
      <c r="AL260" s="389"/>
      <c r="AM260" s="389"/>
      <c r="AN260" s="389"/>
      <c r="AO260" s="389"/>
      <c r="AP260" s="784"/>
      <c r="AQ260" s="407"/>
      <c r="AR260" s="19"/>
      <c r="AS260" s="19"/>
      <c r="AT260" s="15"/>
      <c r="AU260" s="15"/>
      <c r="AV260" s="15"/>
      <c r="AW260" s="66"/>
      <c r="AX260" s="66"/>
      <c r="AY260" s="66"/>
      <c r="AZ260" s="66"/>
      <c r="BA260" s="66"/>
      <c r="BB260" s="66"/>
      <c r="BC260" s="66"/>
      <c r="BD260" s="66"/>
      <c r="BE260" s="66"/>
      <c r="BF260" s="66"/>
      <c r="BG260" s="66"/>
      <c r="BH260" s="66"/>
      <c r="BI260" s="66"/>
      <c r="BJ260" s="66"/>
      <c r="BK260" s="66"/>
      <c r="BL260" s="229"/>
      <c r="BM260" s="746"/>
    </row>
    <row r="261" spans="1:65" s="2" customFormat="1" hidden="1">
      <c r="A261" s="1010"/>
      <c r="B261" s="1000" t="s">
        <v>663</v>
      </c>
      <c r="C261" s="1000"/>
      <c r="D261" s="841"/>
      <c r="E261" s="1186" t="s">
        <v>1369</v>
      </c>
      <c r="F261" s="994"/>
      <c r="G261" s="180" t="s">
        <v>674</v>
      </c>
      <c r="H261" s="332"/>
      <c r="I261" s="333">
        <v>0</v>
      </c>
      <c r="J261" s="333">
        <v>1.45</v>
      </c>
      <c r="K261" s="333">
        <v>1</v>
      </c>
      <c r="L261" s="333">
        <v>1</v>
      </c>
      <c r="M261" s="333">
        <v>0</v>
      </c>
      <c r="N261" s="333">
        <v>0.5</v>
      </c>
      <c r="O261" s="333">
        <v>1</v>
      </c>
      <c r="P261" s="333">
        <v>0.9</v>
      </c>
      <c r="Q261" s="333">
        <v>0.9</v>
      </c>
      <c r="R261" s="333">
        <v>0.9</v>
      </c>
      <c r="S261" s="333">
        <v>0.9</v>
      </c>
      <c r="T261" s="333">
        <f>J261/3</f>
        <v>0.48333333333333334</v>
      </c>
      <c r="U261" s="333">
        <v>0</v>
      </c>
      <c r="V261" s="333">
        <v>0.5</v>
      </c>
      <c r="W261" s="333">
        <v>0.1</v>
      </c>
      <c r="X261" s="333">
        <v>1</v>
      </c>
      <c r="Y261" s="333">
        <v>0.2</v>
      </c>
      <c r="Z261" s="333">
        <v>0</v>
      </c>
      <c r="AA261" s="688" t="s">
        <v>1020</v>
      </c>
      <c r="AB261" s="688" t="s">
        <v>1022</v>
      </c>
      <c r="AC261" s="688">
        <v>0</v>
      </c>
      <c r="AD261" s="688">
        <v>1</v>
      </c>
      <c r="AE261" s="688">
        <v>1</v>
      </c>
      <c r="AF261" s="785">
        <f t="shared" ref="AF261:AP261" si="59">IF(AF$259="","",INDEX(warmtenetten_NL_fp_del,MATCH(AF$259,warmtenetten_NL_namen,0)))</f>
        <v>0.55000000000000004</v>
      </c>
      <c r="AG261" s="687">
        <f t="shared" si="59"/>
        <v>0.12</v>
      </c>
      <c r="AH261" s="687">
        <f t="shared" si="59"/>
        <v>0.44</v>
      </c>
      <c r="AI261" s="687">
        <f t="shared" si="59"/>
        <v>0.56999999999999995</v>
      </c>
      <c r="AJ261" s="687" t="str">
        <f t="shared" si="59"/>
        <v/>
      </c>
      <c r="AK261" s="687">
        <f t="shared" si="59"/>
        <v>0.55000000000000004</v>
      </c>
      <c r="AL261" s="687" t="str">
        <f t="shared" si="59"/>
        <v/>
      </c>
      <c r="AM261" s="687" t="str">
        <f t="shared" si="59"/>
        <v/>
      </c>
      <c r="AN261" s="687" t="str">
        <f t="shared" si="59"/>
        <v/>
      </c>
      <c r="AO261" s="687" t="str">
        <f t="shared" si="59"/>
        <v/>
      </c>
      <c r="AP261" s="786" t="str">
        <f t="shared" si="59"/>
        <v/>
      </c>
      <c r="AQ261" s="332"/>
      <c r="AR261" s="8"/>
      <c r="AT261" s="9"/>
      <c r="AU261" s="9"/>
      <c r="AV261" s="9"/>
      <c r="AW261" s="4"/>
      <c r="AX261" s="4"/>
      <c r="AY261" s="4"/>
      <c r="AZ261" s="4"/>
      <c r="BA261" s="4"/>
      <c r="BB261" s="4"/>
      <c r="BC261" s="4"/>
      <c r="BD261" s="4"/>
      <c r="BE261" s="4"/>
      <c r="BF261" s="4"/>
      <c r="BG261" s="4"/>
      <c r="BH261" s="4"/>
      <c r="BI261" s="4"/>
      <c r="BJ261" s="4"/>
      <c r="BK261" s="4"/>
      <c r="BL261" s="229"/>
      <c r="BM261" s="312"/>
    </row>
    <row r="262" spans="1:65" s="2" customFormat="1" hidden="1">
      <c r="A262" s="1010"/>
      <c r="B262" s="1000" t="s">
        <v>663</v>
      </c>
      <c r="C262" s="1000"/>
      <c r="D262" s="841"/>
      <c r="E262" s="180" t="s">
        <v>1196</v>
      </c>
      <c r="F262" s="994"/>
      <c r="G262" s="180" t="s">
        <v>65</v>
      </c>
      <c r="H262" s="332"/>
      <c r="I262" s="333">
        <v>0</v>
      </c>
      <c r="J262" s="333">
        <v>1.35</v>
      </c>
      <c r="K262" s="333">
        <v>1</v>
      </c>
      <c r="L262" s="333">
        <v>1</v>
      </c>
      <c r="M262" s="333">
        <v>1</v>
      </c>
      <c r="N262" s="333">
        <v>1</v>
      </c>
      <c r="O262" s="333">
        <v>1</v>
      </c>
      <c r="P262" s="333">
        <v>1</v>
      </c>
      <c r="Q262" s="333">
        <v>1</v>
      </c>
      <c r="R262" s="333">
        <v>1</v>
      </c>
      <c r="S262" s="333">
        <v>1</v>
      </c>
      <c r="T262" s="333">
        <v>1</v>
      </c>
      <c r="U262" s="333">
        <v>1</v>
      </c>
      <c r="V262" s="333">
        <v>1</v>
      </c>
      <c r="W262" s="333">
        <v>1</v>
      </c>
      <c r="X262" s="333">
        <v>1</v>
      </c>
      <c r="Y262" s="333">
        <v>1</v>
      </c>
      <c r="Z262" s="333">
        <v>1</v>
      </c>
      <c r="AA262" s="688">
        <v>1</v>
      </c>
      <c r="AB262" s="688">
        <v>1</v>
      </c>
      <c r="AC262" s="688">
        <v>1</v>
      </c>
      <c r="AD262" s="688">
        <v>1</v>
      </c>
      <c r="AE262" s="688">
        <v>1</v>
      </c>
      <c r="AF262" s="785">
        <v>1</v>
      </c>
      <c r="AG262" s="687">
        <v>1</v>
      </c>
      <c r="AH262" s="687">
        <v>1</v>
      </c>
      <c r="AI262" s="687">
        <v>1</v>
      </c>
      <c r="AJ262" s="687"/>
      <c r="AK262" s="687"/>
      <c r="AL262" s="687"/>
      <c r="AM262" s="687"/>
      <c r="AN262" s="687"/>
      <c r="AO262" s="687"/>
      <c r="AP262" s="786"/>
      <c r="AQ262" s="332"/>
      <c r="AR262" s="8"/>
      <c r="AT262" s="9"/>
      <c r="AU262" s="9"/>
      <c r="AV262" s="9"/>
      <c r="AW262" s="4"/>
      <c r="AX262" s="4"/>
      <c r="AY262" s="4"/>
      <c r="AZ262" s="4"/>
      <c r="BA262" s="4"/>
      <c r="BB262" s="4"/>
      <c r="BC262" s="4"/>
      <c r="BD262" s="4"/>
      <c r="BE262" s="4"/>
      <c r="BF262" s="4"/>
      <c r="BG262" s="4"/>
      <c r="BH262" s="4"/>
      <c r="BI262" s="4"/>
      <c r="BJ262" s="4"/>
      <c r="BK262" s="4"/>
      <c r="BL262" s="229"/>
      <c r="BM262" s="312"/>
    </row>
    <row r="263" spans="1:65" s="2" customFormat="1" hidden="1">
      <c r="A263" s="1010"/>
      <c r="B263" s="1000" t="s">
        <v>663</v>
      </c>
      <c r="C263" s="1000"/>
      <c r="D263" s="841"/>
      <c r="E263" s="180" t="s">
        <v>1199</v>
      </c>
      <c r="F263" s="994"/>
      <c r="G263" s="180" t="s">
        <v>65</v>
      </c>
      <c r="H263" s="332"/>
      <c r="I263" s="333">
        <v>0</v>
      </c>
      <c r="J263" s="333">
        <v>1</v>
      </c>
      <c r="K263" s="333">
        <v>1</v>
      </c>
      <c r="L263" s="333">
        <v>1</v>
      </c>
      <c r="M263" s="333">
        <v>1</v>
      </c>
      <c r="N263" s="333">
        <v>1</v>
      </c>
      <c r="O263" s="333">
        <v>1</v>
      </c>
      <c r="P263" s="333">
        <v>0.45</v>
      </c>
      <c r="Q263" s="333">
        <v>0.28999999999999998</v>
      </c>
      <c r="R263" s="333">
        <v>0.14000000000000001</v>
      </c>
      <c r="S263" s="333">
        <v>0.04</v>
      </c>
      <c r="T263" s="333">
        <v>0.04</v>
      </c>
      <c r="U263" s="333">
        <v>1</v>
      </c>
      <c r="V263" s="333">
        <v>1</v>
      </c>
      <c r="W263" s="333">
        <v>1</v>
      </c>
      <c r="X263" s="333">
        <v>1</v>
      </c>
      <c r="Y263" s="333">
        <v>1</v>
      </c>
      <c r="Z263" s="333">
        <v>1</v>
      </c>
      <c r="AA263" s="688">
        <v>0.04</v>
      </c>
      <c r="AB263" s="688">
        <v>0.04</v>
      </c>
      <c r="AC263" s="688">
        <v>1</v>
      </c>
      <c r="AD263" s="688">
        <v>1</v>
      </c>
      <c r="AE263" s="688">
        <v>1</v>
      </c>
      <c r="AF263" s="785">
        <v>0.45</v>
      </c>
      <c r="AG263" s="687">
        <v>0.04</v>
      </c>
      <c r="AH263" s="687">
        <v>0.45</v>
      </c>
      <c r="AI263" s="687">
        <v>0.45</v>
      </c>
      <c r="AJ263" s="687"/>
      <c r="AK263" s="687"/>
      <c r="AL263" s="687"/>
      <c r="AM263" s="687"/>
      <c r="AN263" s="687"/>
      <c r="AO263" s="687"/>
      <c r="AP263" s="786"/>
      <c r="AQ263" s="332"/>
      <c r="AR263" s="8"/>
      <c r="AT263" s="9"/>
      <c r="AU263" s="9"/>
      <c r="AV263" s="9"/>
      <c r="AW263" s="4"/>
      <c r="AX263" s="4"/>
      <c r="AY263" s="4"/>
      <c r="AZ263" s="4"/>
      <c r="BA263" s="4"/>
      <c r="BB263" s="4"/>
      <c r="BC263" s="4"/>
      <c r="BD263" s="4"/>
      <c r="BE263" s="4"/>
      <c r="BF263" s="4"/>
      <c r="BG263" s="4"/>
      <c r="BH263" s="4"/>
      <c r="BI263" s="4"/>
      <c r="BJ263" s="4"/>
      <c r="BK263" s="4"/>
      <c r="BL263" s="229"/>
      <c r="BM263" s="312"/>
    </row>
    <row r="264" spans="1:65" s="2" customFormat="1" hidden="1">
      <c r="A264" s="1010"/>
      <c r="B264" s="1000" t="s">
        <v>663</v>
      </c>
      <c r="C264" s="1000"/>
      <c r="D264" s="839"/>
      <c r="E264" s="180" t="s">
        <v>675</v>
      </c>
      <c r="F264" s="266"/>
      <c r="G264" s="180" t="s">
        <v>676</v>
      </c>
      <c r="H264" s="332"/>
      <c r="I264" s="336">
        <v>0</v>
      </c>
      <c r="J264" s="336">
        <v>0.26800000000000002</v>
      </c>
      <c r="K264" s="336">
        <v>0.218</v>
      </c>
      <c r="L264" s="336">
        <v>0.32600000000000001</v>
      </c>
      <c r="M264" s="336">
        <v>0.104</v>
      </c>
      <c r="N264" s="336">
        <v>0.104</v>
      </c>
      <c r="O264" s="336">
        <v>0.104</v>
      </c>
      <c r="P264" s="336">
        <v>0.09</v>
      </c>
      <c r="Q264" s="336">
        <v>7.1999999999999995E-2</v>
      </c>
      <c r="R264" s="336">
        <v>5.5E-2</v>
      </c>
      <c r="S264" s="336">
        <v>1.2E-2</v>
      </c>
      <c r="T264" s="336">
        <v>2.7E-2</v>
      </c>
      <c r="U264" s="336">
        <v>0</v>
      </c>
      <c r="V264" s="336">
        <v>0.113</v>
      </c>
      <c r="W264" s="336">
        <v>0.05</v>
      </c>
      <c r="X264" s="336">
        <f>0.183</f>
        <v>0.183</v>
      </c>
      <c r="Y264" s="336">
        <v>0.09</v>
      </c>
      <c r="Z264" s="336">
        <v>0</v>
      </c>
      <c r="AA264" s="518" t="s">
        <v>1023</v>
      </c>
      <c r="AB264" s="518" t="s">
        <v>1024</v>
      </c>
      <c r="AC264" s="518">
        <v>0</v>
      </c>
      <c r="AD264" s="518">
        <v>3.3300000000000003E-5</v>
      </c>
      <c r="AE264" s="518">
        <v>3.7500000000000001E-4</v>
      </c>
      <c r="AF264" s="785">
        <f t="shared" ref="AF264:AP264" si="60">IF(AF$259="","",INDEX(warmtenetten_NL_CO2_emissiecoefficient,MATCH(AF$259,warmtenetten_NL_namen,0)))</f>
        <v>0.13</v>
      </c>
      <c r="AG264" s="687">
        <f t="shared" si="60"/>
        <v>0.03</v>
      </c>
      <c r="AH264" s="687">
        <f t="shared" si="60"/>
        <v>0.17</v>
      </c>
      <c r="AI264" s="687">
        <f t="shared" si="60"/>
        <v>0.17</v>
      </c>
      <c r="AJ264" s="687" t="str">
        <f t="shared" si="60"/>
        <v/>
      </c>
      <c r="AK264" s="687">
        <f t="shared" si="60"/>
        <v>0.13</v>
      </c>
      <c r="AL264" s="687" t="str">
        <f t="shared" si="60"/>
        <v/>
      </c>
      <c r="AM264" s="687" t="str">
        <f t="shared" si="60"/>
        <v/>
      </c>
      <c r="AN264" s="687" t="str">
        <f t="shared" si="60"/>
        <v/>
      </c>
      <c r="AO264" s="687" t="str">
        <f t="shared" si="60"/>
        <v/>
      </c>
      <c r="AP264" s="786" t="str">
        <f t="shared" si="60"/>
        <v/>
      </c>
      <c r="AQ264" s="332"/>
      <c r="AR264" s="8"/>
      <c r="AS264" s="8"/>
      <c r="AT264" s="9"/>
      <c r="AU264" s="9"/>
      <c r="AV264" s="9"/>
      <c r="AW264" s="4"/>
      <c r="AX264" s="4"/>
      <c r="AY264" s="4"/>
      <c r="AZ264" s="4"/>
      <c r="BA264" s="4"/>
      <c r="BB264" s="4"/>
      <c r="BC264" s="4"/>
      <c r="BD264" s="4"/>
      <c r="BE264" s="4"/>
      <c r="BF264" s="4"/>
      <c r="BG264" s="4"/>
      <c r="BH264" s="4"/>
      <c r="BI264" s="4"/>
      <c r="BJ264" s="4"/>
      <c r="BK264" s="4"/>
      <c r="BL264" s="21"/>
      <c r="BM264" s="312"/>
    </row>
    <row r="265" spans="1:65" s="2" customFormat="1" hidden="1">
      <c r="A265" s="1010"/>
      <c r="B265" s="1000" t="s">
        <v>663</v>
      </c>
      <c r="C265" s="1000"/>
      <c r="D265" s="839"/>
      <c r="E265" s="180" t="s">
        <v>677</v>
      </c>
      <c r="F265" s="266"/>
      <c r="G265" s="180" t="s">
        <v>65</v>
      </c>
      <c r="H265" s="332"/>
      <c r="I265" s="335" t="s">
        <v>537</v>
      </c>
      <c r="J265" s="335" t="s">
        <v>678</v>
      </c>
      <c r="K265" s="335" t="s">
        <v>678</v>
      </c>
      <c r="L265" s="335" t="s">
        <v>678</v>
      </c>
      <c r="M265" s="335" t="s">
        <v>678</v>
      </c>
      <c r="N265" s="335" t="s">
        <v>678</v>
      </c>
      <c r="O265" s="335" t="s">
        <v>678</v>
      </c>
      <c r="P265" s="335" t="s">
        <v>678</v>
      </c>
      <c r="Q265" s="335" t="s">
        <v>678</v>
      </c>
      <c r="R265" s="335" t="s">
        <v>678</v>
      </c>
      <c r="S265" s="335" t="s">
        <v>678</v>
      </c>
      <c r="T265" s="335" t="s">
        <v>678</v>
      </c>
      <c r="U265" s="335" t="s">
        <v>680</v>
      </c>
      <c r="V265" s="335" t="s">
        <v>680</v>
      </c>
      <c r="W265" s="335" t="s">
        <v>680</v>
      </c>
      <c r="X265" s="335" t="s">
        <v>680</v>
      </c>
      <c r="Y265" s="335" t="s">
        <v>680</v>
      </c>
      <c r="Z265" s="335" t="s">
        <v>680</v>
      </c>
      <c r="AA265" s="518" t="s">
        <v>680</v>
      </c>
      <c r="AB265" s="518" t="s">
        <v>680</v>
      </c>
      <c r="AC265" s="518" t="s">
        <v>680</v>
      </c>
      <c r="AD265" s="518" t="s">
        <v>678</v>
      </c>
      <c r="AE265" s="518" t="s">
        <v>678</v>
      </c>
      <c r="AF265" s="785" t="str">
        <f>IF(AF$259="","","GJ")</f>
        <v>GJ</v>
      </c>
      <c r="AG265" s="687" t="str">
        <f t="shared" ref="AG265:AP265" si="61">IF(AG$259="","","GJ")</f>
        <v>GJ</v>
      </c>
      <c r="AH265" s="687" t="str">
        <f t="shared" si="61"/>
        <v>GJ</v>
      </c>
      <c r="AI265" s="687" t="str">
        <f t="shared" si="61"/>
        <v>GJ</v>
      </c>
      <c r="AJ265" s="687" t="str">
        <f t="shared" si="61"/>
        <v/>
      </c>
      <c r="AK265" s="687" t="str">
        <f t="shared" si="61"/>
        <v>GJ</v>
      </c>
      <c r="AL265" s="687" t="str">
        <f t="shared" si="61"/>
        <v/>
      </c>
      <c r="AM265" s="687" t="str">
        <f t="shared" si="61"/>
        <v/>
      </c>
      <c r="AN265" s="687" t="str">
        <f t="shared" si="61"/>
        <v/>
      </c>
      <c r="AO265" s="687" t="str">
        <f t="shared" si="61"/>
        <v/>
      </c>
      <c r="AP265" s="786" t="str">
        <f t="shared" si="61"/>
        <v/>
      </c>
      <c r="AQ265" s="332"/>
      <c r="AR265" s="8"/>
      <c r="AS265" s="8"/>
      <c r="AT265" s="9"/>
      <c r="AU265" s="9"/>
      <c r="AV265" s="9"/>
      <c r="AW265" s="4"/>
      <c r="AX265" s="4"/>
      <c r="AY265" s="4"/>
      <c r="AZ265" s="4"/>
      <c r="BA265" s="4"/>
      <c r="BB265" s="4"/>
      <c r="BC265" s="4"/>
      <c r="BD265" s="4"/>
      <c r="BE265" s="4"/>
      <c r="BF265" s="4"/>
      <c r="BG265" s="4"/>
      <c r="BH265" s="4"/>
      <c r="BI265" s="4"/>
      <c r="BJ265" s="4"/>
      <c r="BK265" s="4"/>
      <c r="BL265" s="21"/>
      <c r="BM265" s="312"/>
    </row>
    <row r="266" spans="1:65" s="36" customFormat="1" ht="51" hidden="1">
      <c r="A266" s="1005"/>
      <c r="B266" s="1000" t="s">
        <v>663</v>
      </c>
      <c r="C266" s="1000"/>
      <c r="D266" s="836"/>
      <c r="E266" s="466" t="s">
        <v>1247</v>
      </c>
      <c r="F266" s="466"/>
      <c r="G266" s="467"/>
      <c r="H266" s="468"/>
      <c r="I266" s="469"/>
      <c r="J266" s="1065" t="s">
        <v>681</v>
      </c>
      <c r="K266" s="1065" t="s">
        <v>681</v>
      </c>
      <c r="L266" s="1065" t="s">
        <v>681</v>
      </c>
      <c r="M266" s="1065" t="s">
        <v>681</v>
      </c>
      <c r="N266" s="1065" t="s">
        <v>681</v>
      </c>
      <c r="O266" s="1065" t="s">
        <v>681</v>
      </c>
      <c r="P266" s="1065" t="s">
        <v>1212</v>
      </c>
      <c r="Q266" s="1065" t="s">
        <v>1212</v>
      </c>
      <c r="R266" s="1065" t="s">
        <v>1212</v>
      </c>
      <c r="S266" s="1065" t="s">
        <v>1212</v>
      </c>
      <c r="T266" s="1065" t="s">
        <v>681</v>
      </c>
      <c r="U266" s="1065" t="s">
        <v>682</v>
      </c>
      <c r="V266" s="1065" t="s">
        <v>682</v>
      </c>
      <c r="W266" s="1065" t="s">
        <v>682</v>
      </c>
      <c r="X266" s="1065" t="s">
        <v>682</v>
      </c>
      <c r="Y266" s="1065" t="s">
        <v>682</v>
      </c>
      <c r="Z266" s="1065" t="s">
        <v>682</v>
      </c>
      <c r="AA266" s="469" t="s">
        <v>1019</v>
      </c>
      <c r="AB266" s="469" t="s">
        <v>1019</v>
      </c>
      <c r="AC266" s="469" t="s">
        <v>1019</v>
      </c>
      <c r="AD266" s="469" t="s">
        <v>1019</v>
      </c>
      <c r="AE266" s="469" t="s">
        <v>1019</v>
      </c>
      <c r="AF266" s="1066"/>
      <c r="AG266" s="469"/>
      <c r="AH266" s="469"/>
      <c r="AI266" s="469"/>
      <c r="AJ266" s="469"/>
      <c r="AK266" s="469"/>
      <c r="AL266" s="469"/>
      <c r="AM266" s="469"/>
      <c r="AN266" s="469"/>
      <c r="AO266" s="469"/>
      <c r="AP266" s="1067"/>
      <c r="AQ266" s="1068"/>
      <c r="AR266" s="15"/>
      <c r="AS266" s="19"/>
      <c r="AT266" s="15"/>
      <c r="AU266" s="15"/>
      <c r="AV266" s="15"/>
      <c r="AW266" s="66"/>
      <c r="AX266" s="66"/>
      <c r="AY266" s="66"/>
      <c r="AZ266" s="66"/>
      <c r="BA266" s="66"/>
      <c r="BB266" s="66"/>
      <c r="BC266" s="66"/>
      <c r="BD266" s="66"/>
      <c r="BE266" s="66"/>
      <c r="BF266" s="66"/>
      <c r="BG266" s="66"/>
      <c r="BH266" s="66"/>
      <c r="BI266" s="66"/>
      <c r="BJ266" s="66"/>
      <c r="BK266" s="66"/>
      <c r="BL266" s="21"/>
      <c r="BM266" s="746"/>
    </row>
    <row r="267" spans="1:65" s="2" customFormat="1" ht="18.75" hidden="1">
      <c r="A267" s="1010"/>
      <c r="B267" s="1000" t="s">
        <v>663</v>
      </c>
      <c r="C267" s="1000"/>
      <c r="D267" s="839"/>
      <c r="E267" s="316" t="s">
        <v>683</v>
      </c>
      <c r="F267" s="317"/>
      <c r="G267" s="316"/>
      <c r="H267" s="318"/>
      <c r="I267" s="319"/>
      <c r="J267" s="318"/>
      <c r="K267" s="9"/>
      <c r="L267" s="9"/>
      <c r="M267" s="9"/>
      <c r="N267" s="9"/>
      <c r="O267" s="9"/>
      <c r="P267" s="4"/>
      <c r="Q267" s="4"/>
      <c r="R267" s="4"/>
      <c r="S267" s="4"/>
      <c r="T267" s="4"/>
      <c r="U267" s="4"/>
      <c r="V267" s="4"/>
      <c r="W267" s="4"/>
      <c r="X267" s="4"/>
      <c r="Y267" s="4"/>
      <c r="Z267" s="4"/>
      <c r="AA267" s="596" t="s">
        <v>684</v>
      </c>
      <c r="AB267" s="596" t="s">
        <v>684</v>
      </c>
      <c r="AC267" s="596" t="s">
        <v>684</v>
      </c>
      <c r="AD267" s="596" t="s">
        <v>684</v>
      </c>
      <c r="AE267" s="596" t="s">
        <v>684</v>
      </c>
      <c r="AF267" s="779" t="s">
        <v>684</v>
      </c>
      <c r="AG267" s="596" t="s">
        <v>684</v>
      </c>
      <c r="AH267" s="596" t="s">
        <v>684</v>
      </c>
      <c r="AI267" s="596" t="s">
        <v>684</v>
      </c>
      <c r="AJ267" s="596" t="s">
        <v>684</v>
      </c>
      <c r="AK267" s="596" t="s">
        <v>684</v>
      </c>
      <c r="AL267" s="596" t="s">
        <v>684</v>
      </c>
      <c r="AM267" s="596" t="s">
        <v>684</v>
      </c>
      <c r="AN267" s="596" t="s">
        <v>684</v>
      </c>
      <c r="AO267" s="596" t="s">
        <v>684</v>
      </c>
      <c r="AP267" s="780" t="s">
        <v>684</v>
      </c>
      <c r="AQ267" s="4"/>
      <c r="AR267" s="8"/>
      <c r="AS267" s="4"/>
      <c r="AT267" s="4"/>
      <c r="AU267" s="4"/>
      <c r="AV267" s="4"/>
      <c r="AW267" s="4"/>
      <c r="AX267" s="4"/>
      <c r="AY267" s="4"/>
      <c r="AZ267" s="4"/>
      <c r="BA267" s="4"/>
      <c r="BB267" s="4"/>
      <c r="BC267" s="4"/>
      <c r="BD267" s="4"/>
      <c r="BE267" s="4"/>
      <c r="BF267" s="4"/>
      <c r="BG267" s="4"/>
      <c r="BH267" s="4"/>
      <c r="BI267" s="4"/>
      <c r="BJ267" s="4"/>
      <c r="BK267" s="4"/>
      <c r="BL267" s="21"/>
    </row>
    <row r="268" spans="1:65" ht="51" hidden="1">
      <c r="B268" s="1000" t="s">
        <v>663</v>
      </c>
      <c r="C268" s="1000"/>
      <c r="D268" s="839"/>
      <c r="E268" s="294" t="s">
        <v>640</v>
      </c>
      <c r="F268" s="264"/>
      <c r="G268" s="294" t="s">
        <v>65</v>
      </c>
      <c r="H268" s="407"/>
      <c r="I268" s="463" t="s">
        <v>537</v>
      </c>
      <c r="J268" s="408" t="s">
        <v>537</v>
      </c>
      <c r="K268" s="463" t="s">
        <v>537</v>
      </c>
      <c r="L268" s="408" t="s">
        <v>537</v>
      </c>
      <c r="M268" s="408" t="s">
        <v>644</v>
      </c>
      <c r="N268" s="408" t="s">
        <v>517</v>
      </c>
      <c r="O268" s="408" t="s">
        <v>645</v>
      </c>
      <c r="P268" s="408" t="s">
        <v>646</v>
      </c>
      <c r="Q268" s="408" t="s">
        <v>646</v>
      </c>
      <c r="R268" s="408" t="s">
        <v>646</v>
      </c>
      <c r="S268" s="408" t="s">
        <v>646</v>
      </c>
      <c r="T268" s="408" t="s">
        <v>646</v>
      </c>
      <c r="U268" s="408" t="s">
        <v>644</v>
      </c>
      <c r="V268" s="408" t="s">
        <v>647</v>
      </c>
      <c r="W268" s="408" t="s">
        <v>647</v>
      </c>
      <c r="X268" s="408" t="s">
        <v>647</v>
      </c>
      <c r="Y268" s="408" t="s">
        <v>647</v>
      </c>
      <c r="Z268" s="408" t="s">
        <v>685</v>
      </c>
      <c r="AA268" s="517" t="s">
        <v>647</v>
      </c>
      <c r="AB268" s="517" t="s">
        <v>647</v>
      </c>
      <c r="AC268" s="517" t="s">
        <v>647</v>
      </c>
      <c r="AD268" s="517" t="s">
        <v>641</v>
      </c>
      <c r="AE268" s="517" t="s">
        <v>537</v>
      </c>
      <c r="AF268" s="785" t="str">
        <f>IF(AF$259="","","zie kwaliteitsverklaring")</f>
        <v>zie kwaliteitsverklaring</v>
      </c>
      <c r="AG268" s="687" t="str">
        <f t="shared" ref="AG268:AP268" si="62">IF(AG$259="","","zie kwaliteitsverklaring")</f>
        <v>zie kwaliteitsverklaring</v>
      </c>
      <c r="AH268" s="687" t="str">
        <f t="shared" si="62"/>
        <v>zie kwaliteitsverklaring</v>
      </c>
      <c r="AI268" s="687" t="str">
        <f t="shared" si="62"/>
        <v>zie kwaliteitsverklaring</v>
      </c>
      <c r="AJ268" s="687" t="str">
        <f>IF(AJ$259="","","zie kwaliteitsverklaring")</f>
        <v/>
      </c>
      <c r="AK268" s="687" t="str">
        <f t="shared" si="62"/>
        <v>zie kwaliteitsverklaring</v>
      </c>
      <c r="AL268" s="687" t="str">
        <f t="shared" si="62"/>
        <v/>
      </c>
      <c r="AM268" s="687" t="str">
        <f t="shared" si="62"/>
        <v/>
      </c>
      <c r="AN268" s="687" t="str">
        <f t="shared" si="62"/>
        <v/>
      </c>
      <c r="AO268" s="687" t="str">
        <f t="shared" si="62"/>
        <v/>
      </c>
      <c r="AP268" s="786" t="str">
        <f t="shared" si="62"/>
        <v/>
      </c>
      <c r="AQ268" s="407"/>
      <c r="AR268" s="15"/>
      <c r="AS268" s="15"/>
      <c r="AT268" s="15"/>
      <c r="AU268" s="15"/>
      <c r="AV268" s="15"/>
      <c r="AW268" s="15"/>
      <c r="AX268" s="15"/>
      <c r="AY268" s="15"/>
      <c r="AZ268" s="5"/>
      <c r="BA268" s="5"/>
      <c r="BB268" s="5"/>
      <c r="BC268" s="5"/>
      <c r="BD268" s="5"/>
      <c r="BE268" s="5"/>
      <c r="BF268" s="5"/>
      <c r="BG268" s="21"/>
      <c r="BH268" s="5"/>
      <c r="BI268" s="5"/>
      <c r="BJ268" s="5"/>
      <c r="BK268" s="5"/>
      <c r="BL268" s="5"/>
    </row>
    <row r="269" spans="1:65" hidden="1">
      <c r="B269" s="1000" t="s">
        <v>663</v>
      </c>
      <c r="C269" s="1000"/>
      <c r="D269" s="839"/>
      <c r="E269" s="294" t="s">
        <v>648</v>
      </c>
      <c r="F269" s="264"/>
      <c r="G269" s="294" t="s">
        <v>65</v>
      </c>
      <c r="H269" s="407"/>
      <c r="I269" s="687" t="str">
        <f t="shared" ref="I269:AE269" si="63">IFERROR(INDEX(hernieuwbare_energiebron_index,MATCH(I$268,hernieuwbare_energiebron_namen,0)),"")</f>
        <v>nren</v>
      </c>
      <c r="J269" s="687" t="str">
        <f t="shared" si="63"/>
        <v>nren</v>
      </c>
      <c r="K269" s="687" t="str">
        <f t="shared" si="63"/>
        <v>nren</v>
      </c>
      <c r="L269" s="687" t="str">
        <f t="shared" si="63"/>
        <v>nren</v>
      </c>
      <c r="M269" s="687" t="str">
        <f t="shared" si="63"/>
        <v>bmA</v>
      </c>
      <c r="N269" s="687" t="str">
        <f t="shared" si="63"/>
        <v>bmB</v>
      </c>
      <c r="O269" s="687" t="str">
        <f t="shared" si="63"/>
        <v>bmC</v>
      </c>
      <c r="P269" s="687" t="str">
        <f t="shared" si="63"/>
        <v>dxforf</v>
      </c>
      <c r="Q269" s="687" t="str">
        <f t="shared" si="63"/>
        <v>dxforf</v>
      </c>
      <c r="R269" s="687" t="str">
        <f t="shared" si="63"/>
        <v>dxforf</v>
      </c>
      <c r="S269" s="687" t="str">
        <f t="shared" si="63"/>
        <v>dxforf</v>
      </c>
      <c r="T269" s="687" t="str">
        <f t="shared" si="63"/>
        <v>dxforf</v>
      </c>
      <c r="U269" s="687" t="str">
        <f t="shared" si="63"/>
        <v>bmA</v>
      </c>
      <c r="V269" s="687" t="str">
        <f t="shared" si="63"/>
        <v>dxkwal</v>
      </c>
      <c r="W269" s="687" t="str">
        <f t="shared" si="63"/>
        <v>dxkwal</v>
      </c>
      <c r="X269" s="687" t="str">
        <f t="shared" si="63"/>
        <v>dxkwal</v>
      </c>
      <c r="Y269" s="687" t="str">
        <f t="shared" si="63"/>
        <v>dxkwal</v>
      </c>
      <c r="Z269" s="687" t="str">
        <f t="shared" si="63"/>
        <v>bmA</v>
      </c>
      <c r="AA269" s="687" t="str">
        <f t="shared" si="63"/>
        <v>dxkwal</v>
      </c>
      <c r="AB269" s="687" t="str">
        <f t="shared" si="63"/>
        <v>dxkwal</v>
      </c>
      <c r="AC269" s="687" t="str">
        <f t="shared" si="63"/>
        <v>dxkwal</v>
      </c>
      <c r="AD269" s="687" t="str">
        <f t="shared" si="63"/>
        <v>renelect</v>
      </c>
      <c r="AE269" s="687" t="str">
        <f t="shared" si="63"/>
        <v>nren</v>
      </c>
      <c r="AF269" s="785" t="str">
        <f>IF(AF$259="","","dxkwal")</f>
        <v>dxkwal</v>
      </c>
      <c r="AG269" s="687" t="str">
        <f t="shared" ref="AG269:AP269" si="64">IF(AG$259="","","dxkwal")</f>
        <v>dxkwal</v>
      </c>
      <c r="AH269" s="687" t="str">
        <f t="shared" si="64"/>
        <v>dxkwal</v>
      </c>
      <c r="AI269" s="687" t="str">
        <f t="shared" si="64"/>
        <v>dxkwal</v>
      </c>
      <c r="AJ269" s="687" t="str">
        <f t="shared" si="64"/>
        <v/>
      </c>
      <c r="AK269" s="687" t="str">
        <f t="shared" si="64"/>
        <v>dxkwal</v>
      </c>
      <c r="AL269" s="687" t="str">
        <f t="shared" si="64"/>
        <v/>
      </c>
      <c r="AM269" s="687" t="str">
        <f t="shared" si="64"/>
        <v/>
      </c>
      <c r="AN269" s="687" t="str">
        <f t="shared" si="64"/>
        <v/>
      </c>
      <c r="AO269" s="687" t="str">
        <f t="shared" si="64"/>
        <v/>
      </c>
      <c r="AP269" s="786" t="str">
        <f t="shared" si="64"/>
        <v/>
      </c>
      <c r="AQ269" s="407"/>
      <c r="AR269" s="15"/>
      <c r="AS269" s="15"/>
      <c r="AT269" s="15"/>
      <c r="AU269" s="15"/>
      <c r="AV269" s="15"/>
      <c r="AW269" s="15"/>
      <c r="AX269" s="15"/>
      <c r="AY269" s="15"/>
      <c r="AZ269" s="5"/>
      <c r="BA269" s="5"/>
      <c r="BB269" s="5"/>
      <c r="BC269" s="5"/>
      <c r="BD269" s="5"/>
      <c r="BE269" s="5"/>
      <c r="BF269" s="5"/>
      <c r="BG269" s="21"/>
      <c r="BH269" s="5"/>
      <c r="BI269" s="5"/>
      <c r="BJ269" s="5"/>
      <c r="BK269" s="5"/>
      <c r="BL269" s="5"/>
    </row>
    <row r="270" spans="1:65" hidden="1">
      <c r="B270" s="1000" t="s">
        <v>663</v>
      </c>
      <c r="C270" s="1000"/>
      <c r="D270" s="839"/>
      <c r="E270" s="684" t="s">
        <v>638</v>
      </c>
      <c r="F270" s="264" t="s">
        <v>686</v>
      </c>
      <c r="G270" s="294" t="s">
        <v>65</v>
      </c>
      <c r="H270" s="407"/>
      <c r="I270" s="689">
        <f t="shared" ref="I270:AE270" si="65">IFERROR(INDEX(hernieuwbare_energiebron_getalswaarde,MATCH(I$268,hernieuwbare_energiebron_namen,0)),"")</f>
        <v>0</v>
      </c>
      <c r="J270" s="689">
        <f t="shared" si="65"/>
        <v>0</v>
      </c>
      <c r="K270" s="689">
        <f t="shared" si="65"/>
        <v>0</v>
      </c>
      <c r="L270" s="689">
        <f t="shared" si="65"/>
        <v>0</v>
      </c>
      <c r="M270" s="689">
        <f t="shared" si="65"/>
        <v>1</v>
      </c>
      <c r="N270" s="689">
        <f t="shared" si="65"/>
        <v>0.5</v>
      </c>
      <c r="O270" s="689">
        <f t="shared" si="65"/>
        <v>0</v>
      </c>
      <c r="P270" s="689">
        <f t="shared" si="65"/>
        <v>0</v>
      </c>
      <c r="Q270" s="689">
        <f t="shared" si="65"/>
        <v>0</v>
      </c>
      <c r="R270" s="689">
        <f t="shared" si="65"/>
        <v>0</v>
      </c>
      <c r="S270" s="689">
        <f t="shared" si="65"/>
        <v>0</v>
      </c>
      <c r="T270" s="689">
        <f t="shared" si="65"/>
        <v>0</v>
      </c>
      <c r="U270" s="689">
        <f t="shared" si="65"/>
        <v>1</v>
      </c>
      <c r="V270" s="689" t="str">
        <f t="shared" si="65"/>
        <v>fPren;dx</v>
      </c>
      <c r="W270" s="689" t="str">
        <f t="shared" si="65"/>
        <v>fPren;dx</v>
      </c>
      <c r="X270" s="689" t="str">
        <f t="shared" si="65"/>
        <v>fPren;dx</v>
      </c>
      <c r="Y270" s="689" t="str">
        <f t="shared" si="65"/>
        <v>fPren;dx</v>
      </c>
      <c r="Z270" s="689">
        <f t="shared" si="65"/>
        <v>1</v>
      </c>
      <c r="AA270" s="689" t="str">
        <f t="shared" si="65"/>
        <v>fPren;dx</v>
      </c>
      <c r="AB270" s="689" t="str">
        <f t="shared" si="65"/>
        <v>fPren;dx</v>
      </c>
      <c r="AC270" s="689" t="str">
        <f t="shared" si="65"/>
        <v>fPren;dx</v>
      </c>
      <c r="AD270" s="689">
        <f t="shared" si="65"/>
        <v>1.45</v>
      </c>
      <c r="AE270" s="689">
        <f t="shared" si="65"/>
        <v>0</v>
      </c>
      <c r="AF270" s="785" t="str">
        <f>IF(AF$259="","","fPren;dx")</f>
        <v>fPren;dx</v>
      </c>
      <c r="AG270" s="689" t="str">
        <f t="shared" ref="AG270:AP270" si="66">IF(AG$259="","","fPren;dx")</f>
        <v>fPren;dx</v>
      </c>
      <c r="AH270" s="689" t="str">
        <f t="shared" si="66"/>
        <v>fPren;dx</v>
      </c>
      <c r="AI270" s="689" t="str">
        <f t="shared" si="66"/>
        <v>fPren;dx</v>
      </c>
      <c r="AJ270" s="689" t="str">
        <f t="shared" si="66"/>
        <v/>
      </c>
      <c r="AK270" s="689" t="str">
        <f t="shared" si="66"/>
        <v>fPren;dx</v>
      </c>
      <c r="AL270" s="689" t="str">
        <f t="shared" si="66"/>
        <v/>
      </c>
      <c r="AM270" s="689" t="str">
        <f t="shared" si="66"/>
        <v/>
      </c>
      <c r="AN270" s="689" t="str">
        <f t="shared" si="66"/>
        <v/>
      </c>
      <c r="AO270" s="689" t="str">
        <f t="shared" si="66"/>
        <v/>
      </c>
      <c r="AP270" s="787" t="str">
        <f t="shared" si="66"/>
        <v/>
      </c>
      <c r="AQ270" s="407"/>
      <c r="AR270" s="15"/>
      <c r="AS270" s="15"/>
      <c r="AT270" s="15"/>
      <c r="AU270" s="15"/>
      <c r="AV270" s="15"/>
      <c r="AW270" s="15"/>
      <c r="AX270" s="15"/>
      <c r="AY270" s="15"/>
      <c r="AZ270" s="5"/>
      <c r="BA270" s="5"/>
      <c r="BB270" s="5"/>
      <c r="BC270" s="5"/>
      <c r="BD270" s="5"/>
      <c r="BE270" s="5"/>
      <c r="BF270" s="5"/>
      <c r="BG270" s="21"/>
      <c r="BH270" s="5"/>
      <c r="BI270" s="5"/>
      <c r="BJ270" s="5"/>
      <c r="BK270" s="5"/>
      <c r="BL270" s="5"/>
    </row>
    <row r="271" spans="1:65" hidden="1">
      <c r="B271" s="1000" t="s">
        <v>663</v>
      </c>
      <c r="C271" s="1000"/>
      <c r="D271" s="839"/>
      <c r="E271" s="686" t="s">
        <v>687</v>
      </c>
      <c r="F271" s="264" t="s">
        <v>688</v>
      </c>
      <c r="G271" s="294" t="s">
        <v>65</v>
      </c>
      <c r="H271" s="407"/>
      <c r="I271" s="690"/>
      <c r="J271" s="690"/>
      <c r="K271" s="690"/>
      <c r="L271" s="690"/>
      <c r="M271" s="690"/>
      <c r="N271" s="690"/>
      <c r="O271" s="690"/>
      <c r="P271" s="690"/>
      <c r="Q271" s="690"/>
      <c r="R271" s="690"/>
      <c r="S271" s="690"/>
      <c r="T271" s="690"/>
      <c r="U271" s="690"/>
      <c r="V271" s="334">
        <v>0.5</v>
      </c>
      <c r="W271" s="334">
        <v>0.9</v>
      </c>
      <c r="X271" s="334">
        <v>0</v>
      </c>
      <c r="Y271" s="334">
        <v>0.5</v>
      </c>
      <c r="Z271" s="334"/>
      <c r="AA271" s="742" t="s">
        <v>1021</v>
      </c>
      <c r="AB271" s="742" t="s">
        <v>1021</v>
      </c>
      <c r="AC271" s="742">
        <v>1</v>
      </c>
      <c r="AD271" s="742"/>
      <c r="AE271" s="742"/>
      <c r="AF271" s="785" t="str">
        <f>IF(AF$259="","","nvt")</f>
        <v>nvt</v>
      </c>
      <c r="AG271" s="687" t="str">
        <f t="shared" ref="AG271:AP271" si="67">IF(AG$259="","","nvt")</f>
        <v>nvt</v>
      </c>
      <c r="AH271" s="687" t="str">
        <f t="shared" si="67"/>
        <v>nvt</v>
      </c>
      <c r="AI271" s="687" t="str">
        <f t="shared" si="67"/>
        <v>nvt</v>
      </c>
      <c r="AJ271" s="687" t="str">
        <f t="shared" si="67"/>
        <v/>
      </c>
      <c r="AK271" s="687" t="str">
        <f t="shared" si="67"/>
        <v>nvt</v>
      </c>
      <c r="AL271" s="687" t="str">
        <f t="shared" si="67"/>
        <v/>
      </c>
      <c r="AM271" s="687" t="str">
        <f t="shared" si="67"/>
        <v/>
      </c>
      <c r="AN271" s="687" t="str">
        <f t="shared" si="67"/>
        <v/>
      </c>
      <c r="AO271" s="687" t="str">
        <f t="shared" si="67"/>
        <v/>
      </c>
      <c r="AP271" s="786" t="str">
        <f t="shared" si="67"/>
        <v/>
      </c>
      <c r="AQ271" s="407"/>
      <c r="AR271" s="21"/>
      <c r="AS271" s="15"/>
      <c r="AT271" s="15"/>
      <c r="AU271" s="15"/>
      <c r="AV271" s="15"/>
      <c r="AW271" s="15"/>
      <c r="AX271" s="15"/>
      <c r="AY271" s="15"/>
      <c r="AZ271" s="5"/>
      <c r="BA271" s="5"/>
      <c r="BB271" s="5"/>
      <c r="BC271" s="5"/>
      <c r="BD271" s="5"/>
      <c r="BE271" s="5"/>
      <c r="BF271" s="5"/>
      <c r="BG271" s="21"/>
      <c r="BH271" s="5"/>
      <c r="BI271" s="5"/>
      <c r="BJ271" s="5"/>
      <c r="BK271" s="5"/>
      <c r="BL271" s="5"/>
    </row>
    <row r="272" spans="1:65" hidden="1">
      <c r="B272" s="1000" t="s">
        <v>663</v>
      </c>
      <c r="C272" s="1000"/>
      <c r="D272" s="839"/>
      <c r="E272" s="685"/>
      <c r="F272" s="264" t="s">
        <v>689</v>
      </c>
      <c r="G272" s="294" t="s">
        <v>65</v>
      </c>
      <c r="H272" s="407"/>
      <c r="I272" s="689">
        <f t="shared" ref="I272:AE272" si="68">IFERROR(IF(INDEX(hernieuwbare_energiebron_getalswaarde_bij_toestellen,MATCH(I$268,hernieuwbare_energiebron_namen,0))=0,I270,I271),"")</f>
        <v>0</v>
      </c>
      <c r="J272" s="689">
        <f t="shared" si="68"/>
        <v>0</v>
      </c>
      <c r="K272" s="689">
        <f t="shared" si="68"/>
        <v>0</v>
      </c>
      <c r="L272" s="689">
        <f t="shared" si="68"/>
        <v>0</v>
      </c>
      <c r="M272" s="689">
        <f t="shared" si="68"/>
        <v>1</v>
      </c>
      <c r="N272" s="689">
        <f t="shared" si="68"/>
        <v>0.5</v>
      </c>
      <c r="O272" s="689">
        <f t="shared" si="68"/>
        <v>0</v>
      </c>
      <c r="P272" s="689">
        <f t="shared" si="68"/>
        <v>0</v>
      </c>
      <c r="Q272" s="689">
        <f>IFERROR(IF(INDEX(hernieuwbare_energiebron_getalswaarde_bij_toestellen,MATCH(Q$268,hernieuwbare_energiebron_namen,0))=0,Q270,Q271),"")</f>
        <v>0</v>
      </c>
      <c r="R272" s="689">
        <f>IFERROR(IF(INDEX(hernieuwbare_energiebron_getalswaarde_bij_toestellen,MATCH(R$268,hernieuwbare_energiebron_namen,0))=0,R270,R271),"")</f>
        <v>0</v>
      </c>
      <c r="S272" s="689">
        <f>IFERROR(IF(INDEX(hernieuwbare_energiebron_getalswaarde_bij_toestellen,MATCH(S$268,hernieuwbare_energiebron_namen,0))=0,S270,S271),"")</f>
        <v>0</v>
      </c>
      <c r="T272" s="689">
        <f t="shared" si="68"/>
        <v>0</v>
      </c>
      <c r="U272" s="689">
        <f t="shared" si="68"/>
        <v>1</v>
      </c>
      <c r="V272" s="689">
        <f t="shared" si="68"/>
        <v>0.5</v>
      </c>
      <c r="W272" s="689">
        <f t="shared" si="68"/>
        <v>0.9</v>
      </c>
      <c r="X272" s="689">
        <f t="shared" si="68"/>
        <v>0</v>
      </c>
      <c r="Y272" s="689">
        <f t="shared" ref="Y272:AD272" si="69">IFERROR(IF(INDEX(hernieuwbare_energiebron_getalswaarde_bij_toestellen,MATCH(Y$268,hernieuwbare_energiebron_namen,0))=0,Y270,Y271),"")</f>
        <v>0.5</v>
      </c>
      <c r="Z272" s="689">
        <f t="shared" si="69"/>
        <v>1</v>
      </c>
      <c r="AA272" s="689" t="str">
        <f t="shared" si="69"/>
        <v>0,42</v>
      </c>
      <c r="AB272" s="689" t="str">
        <f t="shared" si="69"/>
        <v>0,42</v>
      </c>
      <c r="AC272" s="689">
        <f t="shared" si="69"/>
        <v>1</v>
      </c>
      <c r="AD272" s="689">
        <f t="shared" si="69"/>
        <v>1.45</v>
      </c>
      <c r="AE272" s="689">
        <f t="shared" si="68"/>
        <v>0</v>
      </c>
      <c r="AF272" s="785">
        <f t="shared" ref="AF272:AP272" si="70">IF(AF$259="","",INDEX(warmtenetten_NL_fp_ren,MATCH(AF$259,warmtenetten_NL_namen,0)))</f>
        <v>0.63</v>
      </c>
      <c r="AG272" s="687">
        <f t="shared" si="70"/>
        <v>0.92</v>
      </c>
      <c r="AH272" s="687">
        <f t="shared" si="70"/>
        <v>0.42</v>
      </c>
      <c r="AI272" s="687">
        <f t="shared" si="70"/>
        <v>0.42</v>
      </c>
      <c r="AJ272" s="687" t="str">
        <f t="shared" si="70"/>
        <v/>
      </c>
      <c r="AK272" s="687">
        <f t="shared" si="70"/>
        <v>0.63</v>
      </c>
      <c r="AL272" s="687" t="str">
        <f t="shared" si="70"/>
        <v/>
      </c>
      <c r="AM272" s="687" t="str">
        <f t="shared" si="70"/>
        <v/>
      </c>
      <c r="AN272" s="687" t="str">
        <f t="shared" si="70"/>
        <v/>
      </c>
      <c r="AO272" s="687" t="str">
        <f t="shared" si="70"/>
        <v/>
      </c>
      <c r="AP272" s="786" t="str">
        <f t="shared" si="70"/>
        <v/>
      </c>
      <c r="AQ272" s="407"/>
      <c r="AR272" s="15"/>
      <c r="AS272" s="15"/>
      <c r="AT272" s="15"/>
      <c r="AU272" s="15"/>
      <c r="AV272" s="15"/>
      <c r="AW272" s="15"/>
      <c r="AX272" s="15"/>
      <c r="AY272" s="15"/>
      <c r="AZ272" s="5"/>
      <c r="BA272" s="5"/>
      <c r="BB272" s="5"/>
      <c r="BC272" s="5"/>
      <c r="BD272" s="5"/>
      <c r="BE272" s="5"/>
      <c r="BF272" s="5"/>
      <c r="BG272" s="21"/>
      <c r="BH272" s="5"/>
      <c r="BI272" s="5"/>
      <c r="BJ272" s="5"/>
      <c r="BK272" s="5"/>
      <c r="BL272" s="5"/>
    </row>
    <row r="273" spans="1:131" ht="38.25" hidden="1">
      <c r="B273" s="1000" t="s">
        <v>663</v>
      </c>
      <c r="C273" s="1000"/>
      <c r="D273" s="839"/>
      <c r="E273" s="601" t="s">
        <v>690</v>
      </c>
      <c r="F273" s="264"/>
      <c r="G273" s="294" t="s">
        <v>65</v>
      </c>
      <c r="H273" s="407"/>
      <c r="I273" s="331"/>
      <c r="J273" s="331"/>
      <c r="K273" s="331"/>
      <c r="L273" s="331"/>
      <c r="M273" s="331"/>
      <c r="N273" s="331"/>
      <c r="O273" s="331"/>
      <c r="P273" s="331"/>
      <c r="Q273" s="331"/>
      <c r="R273" s="331"/>
      <c r="S273" s="331"/>
      <c r="T273" s="331"/>
      <c r="U273" s="331"/>
      <c r="V273" s="331" t="s">
        <v>691</v>
      </c>
      <c r="W273" s="331" t="s">
        <v>691</v>
      </c>
      <c r="X273" s="331" t="s">
        <v>691</v>
      </c>
      <c r="Y273" s="331" t="s">
        <v>691</v>
      </c>
      <c r="Z273" s="331"/>
      <c r="AA273" s="743"/>
      <c r="AB273" s="743"/>
      <c r="AC273" s="743"/>
      <c r="AD273" s="743"/>
      <c r="AE273" s="743"/>
      <c r="AF273" s="783"/>
      <c r="AG273" s="389"/>
      <c r="AH273" s="389"/>
      <c r="AI273" s="389"/>
      <c r="AJ273" s="389"/>
      <c r="AK273" s="389"/>
      <c r="AL273" s="389"/>
      <c r="AM273" s="389"/>
      <c r="AN273" s="389"/>
      <c r="AO273" s="389"/>
      <c r="AP273" s="784"/>
      <c r="AQ273" s="407"/>
      <c r="AR273" s="15"/>
      <c r="AS273" s="15"/>
      <c r="AT273" s="15"/>
      <c r="AU273" s="15"/>
      <c r="AV273" s="15"/>
      <c r="AW273" s="15"/>
      <c r="AX273" s="15"/>
      <c r="AY273" s="15"/>
      <c r="AZ273" s="5"/>
      <c r="BA273" s="5"/>
      <c r="BB273" s="5"/>
      <c r="BC273" s="5"/>
      <c r="BD273" s="5"/>
      <c r="BE273" s="5"/>
      <c r="BF273" s="5"/>
      <c r="BG273" s="21"/>
      <c r="BH273" s="5"/>
      <c r="BI273" s="5"/>
      <c r="BJ273" s="5"/>
      <c r="BK273" s="5"/>
      <c r="BL273" s="5"/>
    </row>
    <row r="274" spans="1:131" s="2" customFormat="1" ht="18.75" hidden="1">
      <c r="A274" s="1010"/>
      <c r="B274" s="1000" t="s">
        <v>663</v>
      </c>
      <c r="C274" s="1000"/>
      <c r="D274" s="839"/>
      <c r="E274" s="316" t="s">
        <v>692</v>
      </c>
      <c r="F274" s="317"/>
      <c r="G274" s="316"/>
      <c r="H274" s="318"/>
      <c r="I274" s="319"/>
      <c r="J274" s="318"/>
      <c r="K274" s="9"/>
      <c r="L274" s="9"/>
      <c r="M274" s="9"/>
      <c r="N274" s="9"/>
      <c r="O274" s="9"/>
      <c r="P274" s="4"/>
      <c r="Q274" s="4"/>
      <c r="R274" s="4"/>
      <c r="S274" s="4"/>
      <c r="T274" s="4"/>
      <c r="U274" s="4"/>
      <c r="V274" s="4"/>
      <c r="W274" s="4"/>
      <c r="X274" s="4"/>
      <c r="Y274" s="4"/>
      <c r="Z274" s="4"/>
      <c r="AA274" s="596" t="s">
        <v>684</v>
      </c>
      <c r="AB274" s="596" t="s">
        <v>684</v>
      </c>
      <c r="AC274" s="596" t="s">
        <v>684</v>
      </c>
      <c r="AD274" s="596" t="s">
        <v>684</v>
      </c>
      <c r="AE274" s="596" t="s">
        <v>684</v>
      </c>
      <c r="AF274" s="779" t="s">
        <v>684</v>
      </c>
      <c r="AG274" s="596" t="s">
        <v>684</v>
      </c>
      <c r="AH274" s="596" t="s">
        <v>684</v>
      </c>
      <c r="AI274" s="596" t="s">
        <v>684</v>
      </c>
      <c r="AJ274" s="596" t="s">
        <v>684</v>
      </c>
      <c r="AK274" s="596" t="s">
        <v>684</v>
      </c>
      <c r="AL274" s="596" t="s">
        <v>684</v>
      </c>
      <c r="AM274" s="596" t="s">
        <v>684</v>
      </c>
      <c r="AN274" s="596" t="s">
        <v>684</v>
      </c>
      <c r="AO274" s="596" t="s">
        <v>684</v>
      </c>
      <c r="AP274" s="780" t="s">
        <v>684</v>
      </c>
      <c r="AQ274" s="4"/>
      <c r="AR274" s="8"/>
      <c r="AS274" s="4"/>
      <c r="AT274" s="4"/>
      <c r="AU274" s="4"/>
      <c r="AV274" s="4"/>
      <c r="AW274" s="4"/>
      <c r="AX274" s="4"/>
      <c r="AY274" s="4"/>
      <c r="AZ274" s="4"/>
      <c r="BA274" s="4"/>
      <c r="BB274" s="4"/>
      <c r="BC274" s="4"/>
      <c r="BD274" s="4"/>
      <c r="BE274" s="4"/>
      <c r="BF274" s="4"/>
      <c r="BG274" s="4"/>
      <c r="BH274" s="4"/>
      <c r="BI274" s="4"/>
      <c r="BJ274" s="4"/>
      <c r="BK274" s="4"/>
      <c r="BL274" s="21"/>
    </row>
    <row r="275" spans="1:131" hidden="1">
      <c r="B275" s="1000" t="s">
        <v>663</v>
      </c>
      <c r="C275" s="1000"/>
      <c r="D275" s="839"/>
      <c r="E275" s="264" t="s">
        <v>693</v>
      </c>
      <c r="F275" s="264"/>
      <c r="G275" s="294"/>
      <c r="H275" s="407"/>
      <c r="I275" s="809">
        <v>1</v>
      </c>
      <c r="J275" s="809">
        <v>1</v>
      </c>
      <c r="K275" s="809">
        <v>1</v>
      </c>
      <c r="L275" s="809">
        <v>1</v>
      </c>
      <c r="M275" s="809">
        <v>1</v>
      </c>
      <c r="N275" s="809">
        <v>1</v>
      </c>
      <c r="O275" s="809">
        <v>1</v>
      </c>
      <c r="P275" s="809">
        <v>1</v>
      </c>
      <c r="Q275" s="809">
        <v>1</v>
      </c>
      <c r="R275" s="809">
        <v>1</v>
      </c>
      <c r="S275" s="809">
        <v>1</v>
      </c>
      <c r="T275" s="809">
        <v>0</v>
      </c>
      <c r="U275" s="809">
        <v>1</v>
      </c>
      <c r="V275" s="446">
        <v>1</v>
      </c>
      <c r="W275" s="446">
        <v>1</v>
      </c>
      <c r="X275" s="446">
        <v>1</v>
      </c>
      <c r="Y275" s="446">
        <v>1</v>
      </c>
      <c r="Z275" s="446">
        <v>1</v>
      </c>
      <c r="AA275" s="810">
        <v>1</v>
      </c>
      <c r="AB275" s="810">
        <v>1</v>
      </c>
      <c r="AC275" s="810">
        <v>1</v>
      </c>
      <c r="AD275" s="810">
        <v>1</v>
      </c>
      <c r="AE275" s="811">
        <v>1</v>
      </c>
      <c r="AF275" s="799">
        <f t="shared" ref="AF275:AP275" si="71">IF(AF$259="",0,INDEX(warmtenetten_NL_voor_RV,MATCH(AF$259,warmtenetten_NL_namen,0)))</f>
        <v>1</v>
      </c>
      <c r="AG275" s="800">
        <f t="shared" si="71"/>
        <v>0</v>
      </c>
      <c r="AH275" s="800">
        <f t="shared" si="71"/>
        <v>1</v>
      </c>
      <c r="AI275" s="800">
        <f t="shared" si="71"/>
        <v>1</v>
      </c>
      <c r="AJ275" s="800">
        <f t="shared" si="71"/>
        <v>0</v>
      </c>
      <c r="AK275" s="800">
        <f t="shared" si="71"/>
        <v>1</v>
      </c>
      <c r="AL275" s="800">
        <f t="shared" si="71"/>
        <v>0</v>
      </c>
      <c r="AM275" s="800">
        <f t="shared" si="71"/>
        <v>0</v>
      </c>
      <c r="AN275" s="800">
        <f t="shared" si="71"/>
        <v>0</v>
      </c>
      <c r="AO275" s="800">
        <f t="shared" si="71"/>
        <v>0</v>
      </c>
      <c r="AP275" s="801">
        <f t="shared" si="71"/>
        <v>0</v>
      </c>
      <c r="AQ275" s="797"/>
      <c r="AR275" s="15"/>
      <c r="AS275" s="15"/>
      <c r="AT275" s="15"/>
      <c r="AU275" s="15"/>
      <c r="AV275" s="15"/>
      <c r="AW275" s="15"/>
      <c r="AX275" s="15"/>
      <c r="AY275" s="15"/>
      <c r="AZ275" s="5"/>
      <c r="BA275" s="5"/>
      <c r="BB275" s="5"/>
      <c r="BC275" s="5"/>
      <c r="BD275" s="5"/>
      <c r="BE275" s="5"/>
      <c r="BF275" s="5"/>
      <c r="BG275" s="21"/>
      <c r="BH275" s="5"/>
      <c r="BI275" s="5"/>
      <c r="BJ275" s="5"/>
      <c r="BK275" s="5"/>
      <c r="BL275" s="5"/>
    </row>
    <row r="276" spans="1:131" hidden="1">
      <c r="B276" s="1000" t="s">
        <v>663</v>
      </c>
      <c r="C276" s="1000"/>
      <c r="D276" s="839"/>
      <c r="E276" s="264" t="s">
        <v>694</v>
      </c>
      <c r="F276" s="264"/>
      <c r="G276" s="294"/>
      <c r="H276" s="407"/>
      <c r="I276" s="809">
        <v>1</v>
      </c>
      <c r="J276" s="809">
        <v>1</v>
      </c>
      <c r="K276" s="809">
        <v>1</v>
      </c>
      <c r="L276" s="809">
        <v>1</v>
      </c>
      <c r="M276" s="809">
        <v>1</v>
      </c>
      <c r="N276" s="809">
        <v>1</v>
      </c>
      <c r="O276" s="809">
        <v>1</v>
      </c>
      <c r="P276" s="809">
        <v>1</v>
      </c>
      <c r="Q276" s="809">
        <v>1</v>
      </c>
      <c r="R276" s="809">
        <v>1</v>
      </c>
      <c r="S276" s="809">
        <v>1</v>
      </c>
      <c r="T276" s="809">
        <v>1</v>
      </c>
      <c r="U276" s="809">
        <v>1</v>
      </c>
      <c r="V276" s="446">
        <v>0</v>
      </c>
      <c r="W276" s="446">
        <v>0</v>
      </c>
      <c r="X276" s="446">
        <v>0</v>
      </c>
      <c r="Y276" s="446">
        <v>0</v>
      </c>
      <c r="Z276" s="446">
        <v>1</v>
      </c>
      <c r="AA276" s="810">
        <v>0</v>
      </c>
      <c r="AB276" s="810">
        <v>0</v>
      </c>
      <c r="AC276" s="810">
        <v>0</v>
      </c>
      <c r="AD276" s="810">
        <v>0</v>
      </c>
      <c r="AE276" s="811">
        <v>0</v>
      </c>
      <c r="AF276" s="798">
        <f t="shared" ref="AF276:AP276" si="72">IF(AF$259="",0,INDEX(warmtenetten_NL_voor_KOEL,MATCH(AF$259,warmtenetten_NL_namen,0)))</f>
        <v>0</v>
      </c>
      <c r="AG276" s="802">
        <f t="shared" si="72"/>
        <v>1</v>
      </c>
      <c r="AH276" s="802">
        <f t="shared" si="72"/>
        <v>0</v>
      </c>
      <c r="AI276" s="802">
        <f t="shared" si="72"/>
        <v>0</v>
      </c>
      <c r="AJ276" s="802">
        <f t="shared" si="72"/>
        <v>0</v>
      </c>
      <c r="AK276" s="802">
        <f t="shared" si="72"/>
        <v>0</v>
      </c>
      <c r="AL276" s="802">
        <f t="shared" si="72"/>
        <v>0</v>
      </c>
      <c r="AM276" s="802">
        <f t="shared" si="72"/>
        <v>0</v>
      </c>
      <c r="AN276" s="802">
        <f t="shared" si="72"/>
        <v>0</v>
      </c>
      <c r="AO276" s="802">
        <f t="shared" si="72"/>
        <v>0</v>
      </c>
      <c r="AP276" s="803">
        <f t="shared" si="72"/>
        <v>0</v>
      </c>
      <c r="AQ276" s="797"/>
      <c r="AR276" s="15"/>
      <c r="AS276" s="15"/>
      <c r="AT276" s="15"/>
      <c r="AU276" s="15"/>
      <c r="AV276" s="15"/>
      <c r="AW276" s="15"/>
      <c r="AX276" s="15"/>
      <c r="AY276" s="15"/>
      <c r="AZ276" s="5"/>
      <c r="BA276" s="5"/>
      <c r="BB276" s="5"/>
      <c r="BC276" s="5"/>
      <c r="BD276" s="5"/>
      <c r="BE276" s="5"/>
      <c r="BF276" s="5"/>
      <c r="BG276" s="21"/>
      <c r="BH276" s="5"/>
      <c r="BI276" s="5"/>
      <c r="BJ276" s="5"/>
      <c r="BK276" s="5"/>
      <c r="BL276" s="5"/>
    </row>
    <row r="277" spans="1:131" hidden="1">
      <c r="B277" s="1000" t="s">
        <v>663</v>
      </c>
      <c r="C277" s="1000"/>
      <c r="D277" s="839"/>
      <c r="E277" s="264" t="s">
        <v>695</v>
      </c>
      <c r="F277" s="264"/>
      <c r="G277" s="294"/>
      <c r="H277" s="407"/>
      <c r="I277" s="809">
        <v>1</v>
      </c>
      <c r="J277" s="809">
        <v>1</v>
      </c>
      <c r="K277" s="809">
        <v>1</v>
      </c>
      <c r="L277" s="809">
        <v>1</v>
      </c>
      <c r="M277" s="809">
        <v>1</v>
      </c>
      <c r="N277" s="809">
        <v>1</v>
      </c>
      <c r="O277" s="809">
        <v>1</v>
      </c>
      <c r="P277" s="809">
        <v>1</v>
      </c>
      <c r="Q277" s="809">
        <v>1</v>
      </c>
      <c r="R277" s="809">
        <v>1</v>
      </c>
      <c r="S277" s="809">
        <v>1</v>
      </c>
      <c r="T277" s="809">
        <v>0</v>
      </c>
      <c r="U277" s="809">
        <v>1</v>
      </c>
      <c r="V277" s="812">
        <v>1</v>
      </c>
      <c r="W277" s="812">
        <v>1</v>
      </c>
      <c r="X277" s="812">
        <v>1</v>
      </c>
      <c r="Y277" s="812">
        <v>1</v>
      </c>
      <c r="Z277" s="812">
        <v>1</v>
      </c>
      <c r="AA277" s="813">
        <v>1</v>
      </c>
      <c r="AB277" s="813">
        <v>1</v>
      </c>
      <c r="AC277" s="813">
        <v>1</v>
      </c>
      <c r="AD277" s="813">
        <v>1</v>
      </c>
      <c r="AE277" s="814">
        <v>1</v>
      </c>
      <c r="AF277" s="798">
        <f t="shared" ref="AF277:AP277" si="73">IF(AF$259="",0,INDEX(warmtenetten_NL_voor_TAP,MATCH(AF$259,warmtenetten_NL_namen,0)))</f>
        <v>0</v>
      </c>
      <c r="AG277" s="802">
        <f t="shared" si="73"/>
        <v>0</v>
      </c>
      <c r="AH277" s="802">
        <f t="shared" si="73"/>
        <v>0</v>
      </c>
      <c r="AI277" s="802">
        <f t="shared" si="73"/>
        <v>0</v>
      </c>
      <c r="AJ277" s="802">
        <f t="shared" si="73"/>
        <v>0</v>
      </c>
      <c r="AK277" s="802">
        <f t="shared" si="73"/>
        <v>0</v>
      </c>
      <c r="AL277" s="802">
        <f t="shared" si="73"/>
        <v>0</v>
      </c>
      <c r="AM277" s="802">
        <f t="shared" si="73"/>
        <v>0</v>
      </c>
      <c r="AN277" s="802">
        <f t="shared" si="73"/>
        <v>0</v>
      </c>
      <c r="AO277" s="802">
        <f t="shared" si="73"/>
        <v>0</v>
      </c>
      <c r="AP277" s="803">
        <f t="shared" si="73"/>
        <v>0</v>
      </c>
      <c r="AQ277" s="797"/>
      <c r="AR277" s="15"/>
      <c r="AS277" s="15"/>
      <c r="AT277" s="15"/>
      <c r="AU277" s="15"/>
      <c r="AV277" s="15"/>
      <c r="AW277" s="15"/>
      <c r="AX277" s="15"/>
      <c r="AY277" s="15"/>
      <c r="AZ277" s="5"/>
      <c r="BA277" s="5"/>
      <c r="BB277" s="5"/>
      <c r="BC277" s="5"/>
      <c r="BD277" s="5"/>
      <c r="BE277" s="5"/>
      <c r="BF277" s="5"/>
      <c r="BG277" s="21"/>
      <c r="BH277" s="5"/>
      <c r="BI277" s="5"/>
      <c r="BJ277" s="5"/>
      <c r="BK277" s="5"/>
      <c r="BL277" s="5"/>
    </row>
    <row r="278" spans="1:131" ht="63.75" hidden="1">
      <c r="B278" s="1000" t="s">
        <v>663</v>
      </c>
      <c r="C278" s="1000"/>
      <c r="D278" s="839"/>
      <c r="E278" s="149" t="s">
        <v>696</v>
      </c>
      <c r="F278" s="264"/>
      <c r="G278" s="294"/>
      <c r="H278" s="407"/>
      <c r="I278" s="687" t="str">
        <f>IF(I275=1,I$259,"")</f>
        <v>nvt</v>
      </c>
      <c r="J278" s="687" t="str">
        <f t="shared" ref="J278:AP280" si="74">IF(J275=1,J$259,"")</f>
        <v>elektriciteit</v>
      </c>
      <c r="K278" s="687" t="str">
        <f t="shared" si="74"/>
        <v>aardgas</v>
      </c>
      <c r="L278" s="687" t="str">
        <f t="shared" si="74"/>
        <v>stookolie</v>
      </c>
      <c r="M278" s="687" t="str">
        <f t="shared" si="74"/>
        <v>biomassa (bmA)</v>
      </c>
      <c r="N278" s="687" t="str">
        <f t="shared" si="74"/>
        <v>biomassa (bmB)</v>
      </c>
      <c r="O278" s="687" t="str">
        <f t="shared" si="74"/>
        <v>biomassa (bmC)</v>
      </c>
      <c r="P278" s="687" t="str">
        <f t="shared" si="74"/>
        <v>externe warmte forfaitair.
T ≥ 60°C</v>
      </c>
      <c r="Q278" s="687" t="str">
        <f t="shared" ref="Q278:S280" si="75">IF(Q275=1,Q$259,"")</f>
        <v>externe warmte forfaitair.
T = 40-60°C</v>
      </c>
      <c r="R278" s="687" t="str">
        <f t="shared" si="75"/>
        <v>externe warmte forfaitair. 
T=20-40°C</v>
      </c>
      <c r="S278" s="687" t="str">
        <f t="shared" si="75"/>
        <v>externe warmte forfaitair.
T &lt; 20°C</v>
      </c>
      <c r="T278" s="687" t="str">
        <f t="shared" si="74"/>
        <v/>
      </c>
      <c r="U278" s="687" t="str">
        <f t="shared" si="74"/>
        <v>bio-|groen gas</v>
      </c>
      <c r="V278" s="687" t="str">
        <f t="shared" si="74"/>
        <v>aftap AVI</v>
      </c>
      <c r="W278" s="687" t="str">
        <f t="shared" si="74"/>
        <v>aftap AVI+BIO</v>
      </c>
      <c r="X278" s="687" t="str">
        <f t="shared" si="74"/>
        <v>aftap STEG</v>
      </c>
      <c r="Y278" s="687" t="str">
        <f t="shared" si="74"/>
        <v>aftap STEG+BIO</v>
      </c>
      <c r="Z278" s="687" t="str">
        <f t="shared" si="74"/>
        <v>bio-olie</v>
      </c>
      <c r="AA278" s="687" t="str">
        <f t="shared" si="74"/>
        <v>warmtenet (primair)</v>
      </c>
      <c r="AB278" s="687" t="str">
        <f t="shared" si="74"/>
        <v>warmtenet (secundair)</v>
      </c>
      <c r="AC278" s="687" t="str">
        <f t="shared" si="74"/>
        <v>restwarmte CO2-vrij</v>
      </c>
      <c r="AD278" s="687" t="str">
        <f>IF(AD275=1,AD$259,"")</f>
        <v>waterstof (groen)</v>
      </c>
      <c r="AE278" s="687" t="str">
        <f t="shared" si="74"/>
        <v>waterstof (grijs)</v>
      </c>
      <c r="AF278" s="785" t="str">
        <f t="shared" si="74"/>
        <v>WARMTE | Amersfoort, Parkweelde | Collectief WKO</v>
      </c>
      <c r="AG278" s="687" t="str">
        <f t="shared" si="74"/>
        <v/>
      </c>
      <c r="AH278" s="687" t="str">
        <f t="shared" ref="AH278:AL280" si="76">IF(AH275=1,AH$259,"")</f>
        <v>WARMTE | Utrecht en Nieuwgein | Primair warmtenet</v>
      </c>
      <c r="AI278" s="687" t="str">
        <f t="shared" si="76"/>
        <v>WARMTE | Utrecht en Nieuwgein | Secundair warmtenet</v>
      </c>
      <c r="AJ278" s="687" t="str">
        <f t="shared" si="76"/>
        <v/>
      </c>
      <c r="AK278" s="687" t="str">
        <f t="shared" si="76"/>
        <v>WARMTE | Amersfoort, Parkweelde | Collectief WKO</v>
      </c>
      <c r="AL278" s="687" t="str">
        <f t="shared" si="76"/>
        <v/>
      </c>
      <c r="AM278" s="687" t="str">
        <f t="shared" si="74"/>
        <v/>
      </c>
      <c r="AN278" s="687" t="str">
        <f t="shared" si="74"/>
        <v/>
      </c>
      <c r="AO278" s="687" t="str">
        <f t="shared" si="74"/>
        <v/>
      </c>
      <c r="AP278" s="786" t="str">
        <f t="shared" si="74"/>
        <v/>
      </c>
      <c r="AQ278" s="797"/>
      <c r="AR278" s="15"/>
      <c r="AS278" s="15"/>
      <c r="AT278" s="15"/>
      <c r="AU278" s="15"/>
      <c r="AV278" s="15"/>
      <c r="AW278" s="15"/>
      <c r="AX278" s="15"/>
      <c r="AY278" s="15"/>
      <c r="AZ278" s="5"/>
      <c r="BA278" s="5"/>
      <c r="BB278" s="5"/>
      <c r="BC278" s="5"/>
      <c r="BD278" s="5"/>
      <c r="BE278" s="5"/>
      <c r="BF278" s="5"/>
      <c r="BG278" s="21"/>
      <c r="BH278" s="5"/>
      <c r="BI278" s="5"/>
      <c r="BJ278" s="5"/>
      <c r="BK278" s="5"/>
      <c r="BL278" s="5"/>
    </row>
    <row r="279" spans="1:131" ht="63.75" hidden="1">
      <c r="B279" s="1000" t="s">
        <v>663</v>
      </c>
      <c r="C279" s="1000"/>
      <c r="D279" s="839"/>
      <c r="E279" s="264" t="s">
        <v>697</v>
      </c>
      <c r="F279" s="264"/>
      <c r="G279" s="294"/>
      <c r="H279" s="407"/>
      <c r="I279" s="687" t="str">
        <f>IF(I276=1,I$259,"")</f>
        <v>nvt</v>
      </c>
      <c r="J279" s="687" t="str">
        <f t="shared" ref="J279:P279" si="77">IF(J276=1,J$259,"")</f>
        <v>elektriciteit</v>
      </c>
      <c r="K279" s="687" t="str">
        <f t="shared" si="77"/>
        <v>aardgas</v>
      </c>
      <c r="L279" s="687" t="str">
        <f t="shared" si="77"/>
        <v>stookolie</v>
      </c>
      <c r="M279" s="687" t="str">
        <f t="shared" si="77"/>
        <v>biomassa (bmA)</v>
      </c>
      <c r="N279" s="687" t="str">
        <f t="shared" si="77"/>
        <v>biomassa (bmB)</v>
      </c>
      <c r="O279" s="687" t="str">
        <f t="shared" si="77"/>
        <v>biomassa (bmC)</v>
      </c>
      <c r="P279" s="687" t="str">
        <f t="shared" si="77"/>
        <v>externe warmte forfaitair.
T ≥ 60°C</v>
      </c>
      <c r="Q279" s="687" t="str">
        <f t="shared" si="75"/>
        <v>externe warmte forfaitair.
T = 40-60°C</v>
      </c>
      <c r="R279" s="687" t="str">
        <f t="shared" si="75"/>
        <v>externe warmte forfaitair. 
T=20-40°C</v>
      </c>
      <c r="S279" s="687" t="str">
        <f t="shared" si="75"/>
        <v>externe warmte forfaitair.
T &lt; 20°C</v>
      </c>
      <c r="T279" s="687" t="str">
        <f t="shared" ref="T279:AA279" si="78">IF(T276=1,T$259,"")</f>
        <v>externe koude forfaitair</v>
      </c>
      <c r="U279" s="687" t="str">
        <f t="shared" si="78"/>
        <v>bio-|groen gas</v>
      </c>
      <c r="V279" s="687" t="str">
        <f t="shared" si="78"/>
        <v/>
      </c>
      <c r="W279" s="687" t="str">
        <f t="shared" si="78"/>
        <v/>
      </c>
      <c r="X279" s="687" t="str">
        <f t="shared" si="78"/>
        <v/>
      </c>
      <c r="Y279" s="687" t="str">
        <f t="shared" si="78"/>
        <v/>
      </c>
      <c r="Z279" s="687" t="str">
        <f t="shared" si="78"/>
        <v>bio-olie</v>
      </c>
      <c r="AA279" s="687" t="str">
        <f t="shared" si="78"/>
        <v/>
      </c>
      <c r="AB279" s="687" t="str">
        <f t="shared" si="74"/>
        <v/>
      </c>
      <c r="AC279" s="687" t="str">
        <f t="shared" si="74"/>
        <v/>
      </c>
      <c r="AD279" s="687" t="str">
        <f>IF(AD276=1,AD$259,"")</f>
        <v/>
      </c>
      <c r="AE279" s="687" t="str">
        <f t="shared" si="74"/>
        <v/>
      </c>
      <c r="AF279" s="785" t="str">
        <f t="shared" si="74"/>
        <v/>
      </c>
      <c r="AG279" s="687" t="str">
        <f t="shared" si="74"/>
        <v>KOUDE | Amersfoort, Parkweelde | Collectief WKO</v>
      </c>
      <c r="AH279" s="687" t="str">
        <f t="shared" si="76"/>
        <v/>
      </c>
      <c r="AI279" s="687" t="str">
        <f t="shared" si="76"/>
        <v/>
      </c>
      <c r="AJ279" s="687" t="str">
        <f t="shared" si="76"/>
        <v/>
      </c>
      <c r="AK279" s="687" t="str">
        <f t="shared" si="76"/>
        <v/>
      </c>
      <c r="AL279" s="687" t="str">
        <f t="shared" si="76"/>
        <v/>
      </c>
      <c r="AM279" s="687" t="str">
        <f t="shared" si="74"/>
        <v/>
      </c>
      <c r="AN279" s="687" t="str">
        <f t="shared" si="74"/>
        <v/>
      </c>
      <c r="AO279" s="687" t="str">
        <f t="shared" si="74"/>
        <v/>
      </c>
      <c r="AP279" s="786" t="str">
        <f t="shared" si="74"/>
        <v/>
      </c>
      <c r="AQ279" s="797"/>
      <c r="AR279" s="15"/>
      <c r="AS279" s="15"/>
      <c r="AT279" s="15"/>
      <c r="AU279" s="15"/>
      <c r="AV279" s="15"/>
      <c r="AW279" s="15"/>
      <c r="AX279" s="15"/>
      <c r="AY279" s="15"/>
      <c r="AZ279" s="5"/>
      <c r="BA279" s="5"/>
      <c r="BB279" s="5"/>
      <c r="BC279" s="5"/>
      <c r="BD279" s="5"/>
      <c r="BE279" s="5"/>
      <c r="BF279" s="5"/>
      <c r="BG279" s="21"/>
      <c r="BH279" s="5"/>
      <c r="BI279" s="5"/>
      <c r="BJ279" s="5"/>
      <c r="BK279" s="5"/>
      <c r="BL279" s="5"/>
    </row>
    <row r="280" spans="1:131" ht="51" hidden="1">
      <c r="B280" s="1000" t="s">
        <v>663</v>
      </c>
      <c r="C280" s="1000"/>
      <c r="D280" s="839"/>
      <c r="E280" s="264" t="s">
        <v>698</v>
      </c>
      <c r="F280" s="264"/>
      <c r="G280" s="294"/>
      <c r="H280" s="407"/>
      <c r="I280" s="687" t="str">
        <f>IF(I277=1,I$259,"")</f>
        <v>nvt</v>
      </c>
      <c r="J280" s="687" t="str">
        <f t="shared" si="74"/>
        <v>elektriciteit</v>
      </c>
      <c r="K280" s="687" t="str">
        <f t="shared" si="74"/>
        <v>aardgas</v>
      </c>
      <c r="L280" s="687" t="str">
        <f t="shared" si="74"/>
        <v>stookolie</v>
      </c>
      <c r="M280" s="687" t="str">
        <f t="shared" si="74"/>
        <v>biomassa (bmA)</v>
      </c>
      <c r="N280" s="687" t="str">
        <f t="shared" si="74"/>
        <v>biomassa (bmB)</v>
      </c>
      <c r="O280" s="687" t="str">
        <f t="shared" si="74"/>
        <v>biomassa (bmC)</v>
      </c>
      <c r="P280" s="687" t="str">
        <f t="shared" si="74"/>
        <v>externe warmte forfaitair.
T ≥ 60°C</v>
      </c>
      <c r="Q280" s="687" t="str">
        <f t="shared" si="75"/>
        <v>externe warmte forfaitair.
T = 40-60°C</v>
      </c>
      <c r="R280" s="687" t="str">
        <f t="shared" si="75"/>
        <v>externe warmte forfaitair. 
T=20-40°C</v>
      </c>
      <c r="S280" s="687" t="str">
        <f t="shared" si="75"/>
        <v>externe warmte forfaitair.
T &lt; 20°C</v>
      </c>
      <c r="T280" s="687" t="str">
        <f t="shared" si="74"/>
        <v/>
      </c>
      <c r="U280" s="687" t="str">
        <f t="shared" si="74"/>
        <v>bio-|groen gas</v>
      </c>
      <c r="V280" s="687" t="str">
        <f t="shared" si="74"/>
        <v>aftap AVI</v>
      </c>
      <c r="W280" s="687" t="str">
        <f t="shared" si="74"/>
        <v>aftap AVI+BIO</v>
      </c>
      <c r="X280" s="687" t="str">
        <f t="shared" si="74"/>
        <v>aftap STEG</v>
      </c>
      <c r="Y280" s="687" t="str">
        <f t="shared" si="74"/>
        <v>aftap STEG+BIO</v>
      </c>
      <c r="Z280" s="687" t="str">
        <f t="shared" si="74"/>
        <v>bio-olie</v>
      </c>
      <c r="AA280" s="687" t="str">
        <f t="shared" si="74"/>
        <v>warmtenet (primair)</v>
      </c>
      <c r="AB280" s="687" t="str">
        <f t="shared" si="74"/>
        <v>warmtenet (secundair)</v>
      </c>
      <c r="AC280" s="687" t="str">
        <f t="shared" si="74"/>
        <v>restwarmte CO2-vrij</v>
      </c>
      <c r="AD280" s="687" t="str">
        <f>IF(AD277=1,AD$259,"")</f>
        <v>waterstof (groen)</v>
      </c>
      <c r="AE280" s="687" t="str">
        <f t="shared" si="74"/>
        <v>waterstof (grijs)</v>
      </c>
      <c r="AF280" s="785" t="str">
        <f t="shared" si="74"/>
        <v/>
      </c>
      <c r="AG280" s="687" t="str">
        <f t="shared" si="74"/>
        <v/>
      </c>
      <c r="AH280" s="687" t="str">
        <f t="shared" si="76"/>
        <v/>
      </c>
      <c r="AI280" s="687" t="str">
        <f t="shared" si="76"/>
        <v/>
      </c>
      <c r="AJ280" s="687" t="str">
        <f t="shared" si="76"/>
        <v/>
      </c>
      <c r="AK280" s="687" t="str">
        <f t="shared" si="76"/>
        <v/>
      </c>
      <c r="AL280" s="687" t="str">
        <f t="shared" si="76"/>
        <v/>
      </c>
      <c r="AM280" s="687" t="str">
        <f t="shared" si="74"/>
        <v/>
      </c>
      <c r="AN280" s="687" t="str">
        <f t="shared" si="74"/>
        <v/>
      </c>
      <c r="AO280" s="687" t="str">
        <f t="shared" si="74"/>
        <v/>
      </c>
      <c r="AP280" s="786" t="str">
        <f t="shared" si="74"/>
        <v/>
      </c>
      <c r="AQ280" s="797"/>
      <c r="AR280" s="15"/>
      <c r="AS280" s="15"/>
      <c r="AT280" s="15"/>
      <c r="AU280" s="15"/>
      <c r="AV280" s="15"/>
      <c r="AW280" s="15"/>
      <c r="AX280" s="15"/>
      <c r="AY280" s="15"/>
      <c r="AZ280" s="5"/>
      <c r="BA280" s="5"/>
      <c r="BB280" s="5"/>
      <c r="BC280" s="5"/>
      <c r="BD280" s="5"/>
      <c r="BE280" s="5"/>
      <c r="BF280" s="5"/>
      <c r="BG280" s="21"/>
      <c r="BH280" s="5"/>
      <c r="BI280" s="5"/>
      <c r="BJ280" s="5"/>
      <c r="BK280" s="5"/>
      <c r="BL280" s="5"/>
    </row>
    <row r="281" spans="1:131" s="2" customFormat="1" hidden="1">
      <c r="A281" s="1010"/>
      <c r="B281" s="1000" t="s">
        <v>663</v>
      </c>
      <c r="C281" s="1000"/>
      <c r="D281" s="839"/>
      <c r="E281" s="392" t="s">
        <v>661</v>
      </c>
      <c r="F281" s="402"/>
      <c r="G281" s="392"/>
      <c r="H281" s="391"/>
      <c r="I281" s="389"/>
      <c r="J281" s="389"/>
      <c r="K281" s="389"/>
      <c r="L281" s="389"/>
      <c r="M281" s="389"/>
      <c r="N281" s="389"/>
      <c r="O281" s="389"/>
      <c r="P281" s="389"/>
      <c r="Q281" s="389"/>
      <c r="R281" s="389"/>
      <c r="S281" s="389"/>
      <c r="T281" s="389"/>
      <c r="U281" s="389"/>
      <c r="V281" s="389"/>
      <c r="W281" s="389"/>
      <c r="X281" s="389"/>
      <c r="Y281" s="389"/>
      <c r="Z281" s="389"/>
      <c r="AA281" s="389"/>
      <c r="AB281" s="389"/>
      <c r="AC281" s="389"/>
      <c r="AD281" s="389"/>
      <c r="AE281" s="389"/>
      <c r="AF281" s="788"/>
      <c r="AG281" s="789"/>
      <c r="AH281" s="789"/>
      <c r="AI281" s="789"/>
      <c r="AJ281" s="789"/>
      <c r="AK281" s="789"/>
      <c r="AL281" s="789"/>
      <c r="AM281" s="789"/>
      <c r="AN281" s="789"/>
      <c r="AO281" s="789"/>
      <c r="AP281" s="790"/>
      <c r="AQ281" s="391"/>
      <c r="AR281" s="328"/>
      <c r="AS281" s="328"/>
      <c r="AT281" s="9"/>
      <c r="AU281" s="9"/>
      <c r="AV281" s="9"/>
      <c r="AW281" s="9"/>
      <c r="AX281" s="9"/>
      <c r="AY281" s="9"/>
      <c r="AZ281" s="4"/>
      <c r="BA281" s="4"/>
      <c r="BB281" s="4"/>
      <c r="BC281" s="4"/>
      <c r="BD281" s="4"/>
      <c r="BE281" s="4"/>
      <c r="BF281" s="4"/>
      <c r="BG281" s="21"/>
      <c r="BH281" s="4"/>
      <c r="BI281" s="4"/>
      <c r="BJ281" s="4"/>
      <c r="BK281" s="4"/>
      <c r="BL281" s="4"/>
    </row>
    <row r="282" spans="1:131" ht="15" hidden="1">
      <c r="B282" s="1000" t="s">
        <v>663</v>
      </c>
      <c r="C282" s="1000"/>
      <c r="D282" s="836"/>
      <c r="E282" s="5"/>
      <c r="F282" s="5"/>
      <c r="G282" s="5"/>
      <c r="H282" s="15"/>
      <c r="I282" s="15"/>
      <c r="J282" s="15"/>
      <c r="K282" s="15"/>
      <c r="L282" s="15"/>
      <c r="M282" s="15"/>
      <c r="N282" s="15"/>
      <c r="O282" s="15"/>
      <c r="P282" s="15"/>
      <c r="Q282" s="15"/>
      <c r="R282" s="15"/>
      <c r="S282" s="15"/>
      <c r="T282" s="15"/>
      <c r="U282" s="248"/>
      <c r="V282" s="15"/>
      <c r="W282" s="15"/>
      <c r="X282" s="15"/>
      <c r="Y282" s="19"/>
      <c r="Z282" s="5"/>
      <c r="AA282" s="5"/>
      <c r="AB282" s="5"/>
      <c r="AC282" s="5"/>
      <c r="AD282" s="5"/>
      <c r="AE282" s="5"/>
      <c r="AF282" s="5"/>
      <c r="AG282" s="5"/>
      <c r="AH282" s="5"/>
      <c r="AI282" s="5"/>
      <c r="AJ282" s="5"/>
      <c r="AK282" s="5"/>
      <c r="AL282" s="5"/>
      <c r="AM282" s="5"/>
      <c r="AN282" s="5"/>
      <c r="AO282" s="5"/>
      <c r="AP282" s="5"/>
      <c r="AQ282" s="5"/>
      <c r="AR282" s="5"/>
      <c r="AS282" s="21"/>
    </row>
    <row r="283" spans="1:131" hidden="1">
      <c r="B283" s="1000" t="s">
        <v>1106</v>
      </c>
      <c r="C283" s="1000"/>
      <c r="D283" s="837"/>
      <c r="E283" s="5"/>
      <c r="F283" s="5"/>
      <c r="G283" s="5"/>
      <c r="H283" s="5"/>
      <c r="I283" s="5"/>
      <c r="J283" s="5"/>
      <c r="K283" s="5"/>
      <c r="L283" s="5"/>
      <c r="M283" s="5"/>
      <c r="N283" s="5"/>
      <c r="O283" s="5"/>
      <c r="P283" s="5"/>
      <c r="Q283" s="5"/>
      <c r="R283" s="5"/>
      <c r="S283" s="5"/>
      <c r="T283" s="5"/>
      <c r="U283" s="15"/>
      <c r="V283" s="15"/>
      <c r="W283" s="15"/>
      <c r="X283" s="15"/>
      <c r="Y283" s="19"/>
      <c r="Z283" s="15"/>
      <c r="AA283" s="5"/>
      <c r="AB283" s="5"/>
      <c r="AC283" s="5"/>
      <c r="AD283" s="5"/>
      <c r="AE283" s="5"/>
      <c r="AF283" s="5"/>
      <c r="AG283" s="5"/>
      <c r="AH283" s="5"/>
      <c r="AI283" s="5"/>
      <c r="AJ283" s="5"/>
      <c r="AK283" s="5"/>
      <c r="AL283" s="5"/>
      <c r="AM283" s="5"/>
      <c r="AN283" s="5"/>
      <c r="AO283" s="5"/>
      <c r="AP283" s="5"/>
      <c r="AQ283" s="5"/>
      <c r="AR283" s="5"/>
      <c r="AS283" s="21"/>
    </row>
    <row r="284" spans="1:131" ht="21" hidden="1">
      <c r="B284" s="1000" t="s">
        <v>1106</v>
      </c>
      <c r="C284" s="1000"/>
      <c r="D284" s="1151" t="s">
        <v>45</v>
      </c>
      <c r="E284" s="175" t="s">
        <v>1107</v>
      </c>
      <c r="F284" s="175"/>
      <c r="G284" s="175"/>
      <c r="H284" s="175"/>
      <c r="I284" s="175"/>
      <c r="J284" s="175"/>
      <c r="K284" s="175"/>
      <c r="L284" s="175"/>
      <c r="M284" s="175"/>
      <c r="N284" s="175"/>
      <c r="O284" s="175"/>
      <c r="P284" s="175"/>
      <c r="Q284" s="175"/>
      <c r="R284" s="175"/>
      <c r="S284" s="175"/>
      <c r="T284" s="175"/>
      <c r="U284" s="175"/>
      <c r="V284" s="175"/>
      <c r="W284" s="175"/>
      <c r="X284" s="175"/>
      <c r="Y284" s="175"/>
      <c r="Z284" s="175"/>
      <c r="AA284" s="175"/>
      <c r="AB284" s="175"/>
      <c r="AC284" s="175"/>
      <c r="AD284" s="175"/>
      <c r="AE284" s="175"/>
      <c r="AF284" s="175"/>
      <c r="AG284" s="175"/>
      <c r="AH284" s="175"/>
      <c r="AI284" s="175"/>
      <c r="AJ284" s="175"/>
      <c r="AK284" s="175"/>
      <c r="AL284" s="175"/>
      <c r="AM284" s="175"/>
      <c r="AN284" s="175"/>
      <c r="AO284" s="175"/>
      <c r="AP284" s="175"/>
      <c r="AQ284" s="175"/>
      <c r="AR284" s="175"/>
      <c r="AS284" s="175"/>
      <c r="AT284" s="175"/>
      <c r="AU284" s="175"/>
      <c r="AV284" s="175"/>
      <c r="AW284" s="175"/>
      <c r="AX284" s="175"/>
      <c r="AY284" s="175"/>
      <c r="AZ284" s="175"/>
      <c r="BA284" s="175"/>
      <c r="BB284" s="175"/>
      <c r="BC284" s="175"/>
      <c r="BD284" s="175"/>
      <c r="BE284" s="175"/>
      <c r="BF284" s="175"/>
      <c r="BG284" s="175"/>
      <c r="BH284" s="175"/>
      <c r="BI284" s="175"/>
      <c r="BJ284" s="175"/>
      <c r="BK284" s="175"/>
      <c r="BL284" s="175"/>
      <c r="BM284" s="175"/>
      <c r="BN284" s="175"/>
      <c r="BO284" s="175"/>
      <c r="BP284" s="175"/>
      <c r="BQ284" s="175"/>
      <c r="BR284" s="175"/>
      <c r="BS284" s="175"/>
      <c r="BT284" s="175"/>
      <c r="BU284" s="175"/>
      <c r="BV284" s="175"/>
      <c r="BW284" s="175"/>
      <c r="BX284" s="175"/>
      <c r="BY284" s="175"/>
      <c r="BZ284" s="175"/>
      <c r="CA284" s="175"/>
      <c r="CB284" s="175"/>
      <c r="CC284" s="175"/>
      <c r="CD284" s="175"/>
      <c r="CE284" s="175"/>
      <c r="CF284" s="175"/>
      <c r="CG284" s="175"/>
      <c r="CH284" s="175"/>
      <c r="CI284" s="175"/>
      <c r="CJ284" s="175"/>
      <c r="CK284" s="175"/>
      <c r="CL284" s="175"/>
      <c r="CM284" s="175"/>
      <c r="CN284" s="175"/>
      <c r="CO284" s="175"/>
      <c r="CP284" s="175"/>
      <c r="CQ284" s="175"/>
      <c r="CR284" s="175"/>
      <c r="CS284" s="175"/>
      <c r="CT284" s="175"/>
      <c r="CU284" s="175"/>
      <c r="CV284" s="175"/>
      <c r="CW284" s="175"/>
      <c r="CX284" s="175"/>
      <c r="CY284" s="175"/>
      <c r="CZ284" s="175"/>
      <c r="DA284" s="175"/>
      <c r="DB284" s="175"/>
      <c r="DC284" s="175"/>
      <c r="DD284" s="175"/>
      <c r="DE284" s="175"/>
      <c r="DF284" s="19"/>
      <c r="DG284" s="5"/>
      <c r="DH284" s="5"/>
      <c r="DI284" s="5"/>
      <c r="DJ284" s="5"/>
      <c r="DK284" s="5"/>
      <c r="DL284" s="5"/>
      <c r="DM284" s="5"/>
      <c r="DN284" s="5"/>
      <c r="DO284" s="5"/>
      <c r="DP284" s="5"/>
      <c r="DQ284" s="5"/>
      <c r="DR284" s="5"/>
      <c r="DS284" s="5"/>
      <c r="DT284" s="5"/>
      <c r="DU284" s="5"/>
      <c r="DV284" s="5"/>
      <c r="DW284" s="5"/>
      <c r="DX284" s="5"/>
      <c r="DY284" s="5"/>
      <c r="DZ284" s="21"/>
    </row>
    <row r="285" spans="1:131" hidden="1">
      <c r="B285" s="1000" t="s">
        <v>1106</v>
      </c>
      <c r="C285" s="1000"/>
      <c r="D285" s="837"/>
      <c r="E285" s="246" t="s">
        <v>414</v>
      </c>
      <c r="F285" s="246"/>
      <c r="G285" s="246" t="s">
        <v>353</v>
      </c>
      <c r="H285" s="247"/>
      <c r="I285" s="247">
        <f t="shared" ref="I285:AN285" ca="1" si="79">OFFSET(I285,0,-1)+1</f>
        <v>1</v>
      </c>
      <c r="J285" s="247">
        <f t="shared" ca="1" si="79"/>
        <v>2</v>
      </c>
      <c r="K285" s="247">
        <f t="shared" ca="1" si="79"/>
        <v>3</v>
      </c>
      <c r="L285" s="247">
        <f t="shared" ca="1" si="79"/>
        <v>4</v>
      </c>
      <c r="M285" s="247">
        <f t="shared" ca="1" si="79"/>
        <v>5</v>
      </c>
      <c r="N285" s="247">
        <f t="shared" ca="1" si="79"/>
        <v>6</v>
      </c>
      <c r="O285" s="247">
        <f t="shared" ca="1" si="79"/>
        <v>7</v>
      </c>
      <c r="P285" s="247">
        <f t="shared" ca="1" si="79"/>
        <v>8</v>
      </c>
      <c r="Q285" s="247">
        <f t="shared" ca="1" si="79"/>
        <v>9</v>
      </c>
      <c r="R285" s="247">
        <f t="shared" ca="1" si="79"/>
        <v>10</v>
      </c>
      <c r="S285" s="247">
        <f t="shared" ca="1" si="79"/>
        <v>11</v>
      </c>
      <c r="T285" s="247">
        <f t="shared" ca="1" si="79"/>
        <v>12</v>
      </c>
      <c r="U285" s="247">
        <f t="shared" ca="1" si="79"/>
        <v>13</v>
      </c>
      <c r="V285" s="247">
        <f t="shared" ca="1" si="79"/>
        <v>14</v>
      </c>
      <c r="W285" s="247">
        <f t="shared" ca="1" si="79"/>
        <v>15</v>
      </c>
      <c r="X285" s="247">
        <f t="shared" ca="1" si="79"/>
        <v>16</v>
      </c>
      <c r="Y285" s="247">
        <f t="shared" ca="1" si="79"/>
        <v>17</v>
      </c>
      <c r="Z285" s="247">
        <f t="shared" ca="1" si="79"/>
        <v>18</v>
      </c>
      <c r="AA285" s="247">
        <f t="shared" ca="1" si="79"/>
        <v>19</v>
      </c>
      <c r="AB285" s="247">
        <f t="shared" ca="1" si="79"/>
        <v>20</v>
      </c>
      <c r="AC285" s="247">
        <f t="shared" ca="1" si="79"/>
        <v>21</v>
      </c>
      <c r="AD285" s="247">
        <f t="shared" ca="1" si="79"/>
        <v>22</v>
      </c>
      <c r="AE285" s="247">
        <f t="shared" ca="1" si="79"/>
        <v>23</v>
      </c>
      <c r="AF285" s="247">
        <f t="shared" ca="1" si="79"/>
        <v>24</v>
      </c>
      <c r="AG285" s="247">
        <f t="shared" ca="1" si="79"/>
        <v>25</v>
      </c>
      <c r="AH285" s="247">
        <f t="shared" ca="1" si="79"/>
        <v>26</v>
      </c>
      <c r="AI285" s="247">
        <f t="shared" ca="1" si="79"/>
        <v>27</v>
      </c>
      <c r="AJ285" s="247">
        <f t="shared" ca="1" si="79"/>
        <v>28</v>
      </c>
      <c r="AK285" s="247">
        <f t="shared" ca="1" si="79"/>
        <v>29</v>
      </c>
      <c r="AL285" s="247">
        <f t="shared" ca="1" si="79"/>
        <v>30</v>
      </c>
      <c r="AM285" s="247">
        <f t="shared" ca="1" si="79"/>
        <v>31</v>
      </c>
      <c r="AN285" s="247">
        <f t="shared" ca="1" si="79"/>
        <v>32</v>
      </c>
      <c r="AO285" s="247">
        <f t="shared" ref="AO285:BT285" ca="1" si="80">OFFSET(AO285,0,-1)+1</f>
        <v>33</v>
      </c>
      <c r="AP285" s="247">
        <f t="shared" ca="1" si="80"/>
        <v>34</v>
      </c>
      <c r="AQ285" s="247">
        <f t="shared" ca="1" si="80"/>
        <v>35</v>
      </c>
      <c r="AR285" s="247">
        <f t="shared" ca="1" si="80"/>
        <v>36</v>
      </c>
      <c r="AS285" s="247">
        <f t="shared" ca="1" si="80"/>
        <v>37</v>
      </c>
      <c r="AT285" s="247">
        <f t="shared" ca="1" si="80"/>
        <v>38</v>
      </c>
      <c r="AU285" s="247">
        <f t="shared" ca="1" si="80"/>
        <v>39</v>
      </c>
      <c r="AV285" s="247">
        <f t="shared" ca="1" si="80"/>
        <v>40</v>
      </c>
      <c r="AW285" s="247">
        <f t="shared" ca="1" si="80"/>
        <v>41</v>
      </c>
      <c r="AX285" s="247">
        <f t="shared" ca="1" si="80"/>
        <v>42</v>
      </c>
      <c r="AY285" s="247">
        <f t="shared" ca="1" si="80"/>
        <v>43</v>
      </c>
      <c r="AZ285" s="247">
        <f t="shared" ca="1" si="80"/>
        <v>44</v>
      </c>
      <c r="BA285" s="247">
        <f t="shared" ca="1" si="80"/>
        <v>45</v>
      </c>
      <c r="BB285" s="247">
        <f t="shared" ca="1" si="80"/>
        <v>46</v>
      </c>
      <c r="BC285" s="247">
        <f t="shared" ca="1" si="80"/>
        <v>47</v>
      </c>
      <c r="BD285" s="247">
        <f t="shared" ca="1" si="80"/>
        <v>48</v>
      </c>
      <c r="BE285" s="247">
        <f t="shared" ca="1" si="80"/>
        <v>49</v>
      </c>
      <c r="BF285" s="247">
        <f t="shared" ca="1" si="80"/>
        <v>50</v>
      </c>
      <c r="BG285" s="247">
        <f t="shared" ca="1" si="80"/>
        <v>51</v>
      </c>
      <c r="BH285" s="247">
        <f t="shared" ca="1" si="80"/>
        <v>52</v>
      </c>
      <c r="BI285" s="247">
        <f t="shared" ca="1" si="80"/>
        <v>53</v>
      </c>
      <c r="BJ285" s="247">
        <f t="shared" ca="1" si="80"/>
        <v>54</v>
      </c>
      <c r="BK285" s="247">
        <f t="shared" ca="1" si="80"/>
        <v>55</v>
      </c>
      <c r="BL285" s="247">
        <f t="shared" ca="1" si="80"/>
        <v>56</v>
      </c>
      <c r="BM285" s="247">
        <f t="shared" ca="1" si="80"/>
        <v>57</v>
      </c>
      <c r="BN285" s="247">
        <f t="shared" ca="1" si="80"/>
        <v>58</v>
      </c>
      <c r="BO285" s="247">
        <f t="shared" ca="1" si="80"/>
        <v>59</v>
      </c>
      <c r="BP285" s="247">
        <f t="shared" ca="1" si="80"/>
        <v>60</v>
      </c>
      <c r="BQ285" s="247">
        <f t="shared" ca="1" si="80"/>
        <v>61</v>
      </c>
      <c r="BR285" s="247">
        <f t="shared" ca="1" si="80"/>
        <v>62</v>
      </c>
      <c r="BS285" s="247">
        <f t="shared" ca="1" si="80"/>
        <v>63</v>
      </c>
      <c r="BT285" s="247">
        <f t="shared" ca="1" si="80"/>
        <v>64</v>
      </c>
      <c r="BU285" s="247">
        <f t="shared" ref="BU285:DD285" ca="1" si="81">OFFSET(BU285,0,-1)+1</f>
        <v>65</v>
      </c>
      <c r="BV285" s="247">
        <f t="shared" ca="1" si="81"/>
        <v>66</v>
      </c>
      <c r="BW285" s="247">
        <f t="shared" ca="1" si="81"/>
        <v>67</v>
      </c>
      <c r="BX285" s="247">
        <f t="shared" ca="1" si="81"/>
        <v>68</v>
      </c>
      <c r="BY285" s="247">
        <f t="shared" ca="1" si="81"/>
        <v>69</v>
      </c>
      <c r="BZ285" s="247">
        <f t="shared" ca="1" si="81"/>
        <v>70</v>
      </c>
      <c r="CA285" s="247">
        <f t="shared" ca="1" si="81"/>
        <v>71</v>
      </c>
      <c r="CB285" s="247">
        <f t="shared" ca="1" si="81"/>
        <v>72</v>
      </c>
      <c r="CC285" s="247">
        <f t="shared" ca="1" si="81"/>
        <v>73</v>
      </c>
      <c r="CD285" s="247">
        <f t="shared" ca="1" si="81"/>
        <v>74</v>
      </c>
      <c r="CE285" s="247">
        <f t="shared" ca="1" si="81"/>
        <v>75</v>
      </c>
      <c r="CF285" s="247">
        <f t="shared" ca="1" si="81"/>
        <v>76</v>
      </c>
      <c r="CG285" s="247">
        <f t="shared" ca="1" si="81"/>
        <v>77</v>
      </c>
      <c r="CH285" s="247">
        <f t="shared" ca="1" si="81"/>
        <v>78</v>
      </c>
      <c r="CI285" s="247">
        <f t="shared" ca="1" si="81"/>
        <v>79</v>
      </c>
      <c r="CJ285" s="247">
        <f t="shared" ca="1" si="81"/>
        <v>80</v>
      </c>
      <c r="CK285" s="247">
        <f t="shared" ca="1" si="81"/>
        <v>81</v>
      </c>
      <c r="CL285" s="247">
        <f t="shared" ca="1" si="81"/>
        <v>82</v>
      </c>
      <c r="CM285" s="247">
        <f t="shared" ca="1" si="81"/>
        <v>83</v>
      </c>
      <c r="CN285" s="247">
        <f t="shared" ca="1" si="81"/>
        <v>84</v>
      </c>
      <c r="CO285" s="247">
        <f t="shared" ca="1" si="81"/>
        <v>85</v>
      </c>
      <c r="CP285" s="247">
        <f t="shared" ca="1" si="81"/>
        <v>86</v>
      </c>
      <c r="CQ285" s="247">
        <f t="shared" ca="1" si="81"/>
        <v>87</v>
      </c>
      <c r="CR285" s="247">
        <f t="shared" ca="1" si="81"/>
        <v>88</v>
      </c>
      <c r="CS285" s="247">
        <f t="shared" ca="1" si="81"/>
        <v>89</v>
      </c>
      <c r="CT285" s="247">
        <f t="shared" ca="1" si="81"/>
        <v>90</v>
      </c>
      <c r="CU285" s="247">
        <f t="shared" ca="1" si="81"/>
        <v>91</v>
      </c>
      <c r="CV285" s="247">
        <f t="shared" ca="1" si="81"/>
        <v>92</v>
      </c>
      <c r="CW285" s="247">
        <f t="shared" ca="1" si="81"/>
        <v>93</v>
      </c>
      <c r="CX285" s="247">
        <f t="shared" ca="1" si="81"/>
        <v>94</v>
      </c>
      <c r="CY285" s="247">
        <f t="shared" ca="1" si="81"/>
        <v>95</v>
      </c>
      <c r="CZ285" s="247">
        <f t="shared" ca="1" si="81"/>
        <v>96</v>
      </c>
      <c r="DA285" s="247">
        <f t="shared" ca="1" si="81"/>
        <v>97</v>
      </c>
      <c r="DB285" s="247">
        <f t="shared" ca="1" si="81"/>
        <v>98</v>
      </c>
      <c r="DC285" s="247">
        <f t="shared" ca="1" si="81"/>
        <v>99</v>
      </c>
      <c r="DD285" s="247">
        <f t="shared" ca="1" si="81"/>
        <v>100</v>
      </c>
      <c r="DE285" s="247"/>
      <c r="DF285" s="5"/>
      <c r="DG285" s="19"/>
      <c r="DH285" s="5"/>
      <c r="DI285" s="5"/>
      <c r="DJ285" s="5"/>
      <c r="DK285" s="5"/>
      <c r="DL285" s="5"/>
      <c r="DM285" s="5"/>
      <c r="DN285" s="5"/>
      <c r="DO285" s="5"/>
      <c r="DP285" s="5"/>
      <c r="DQ285" s="5"/>
      <c r="DR285" s="5"/>
      <c r="DS285" s="5"/>
      <c r="DT285" s="5"/>
      <c r="DU285" s="5"/>
      <c r="DV285" s="5"/>
      <c r="DW285" s="5"/>
      <c r="DX285" s="5"/>
      <c r="DY285" s="5"/>
      <c r="DZ285" s="21"/>
      <c r="EA285" s="170"/>
    </row>
    <row r="286" spans="1:131" s="2" customFormat="1" ht="18.75" hidden="1">
      <c r="A286" s="1010"/>
      <c r="B286" s="1000" t="s">
        <v>1106</v>
      </c>
      <c r="C286" s="1000"/>
      <c r="D286" s="841"/>
      <c r="E286" s="316" t="s">
        <v>1108</v>
      </c>
      <c r="F286" s="317"/>
      <c r="G286" s="910"/>
      <c r="H286" s="318"/>
      <c r="I286" s="908"/>
      <c r="J286" s="909"/>
      <c r="K286" s="906"/>
      <c r="L286" s="906"/>
      <c r="M286" s="906"/>
      <c r="N286" s="906"/>
      <c r="O286" s="906"/>
      <c r="P286" s="907"/>
      <c r="Q286" s="907"/>
      <c r="R286" s="907"/>
      <c r="S286" s="907"/>
      <c r="T286" s="907"/>
      <c r="U286" s="907"/>
      <c r="V286" s="907"/>
      <c r="W286" s="907"/>
      <c r="X286" s="908"/>
      <c r="Y286" s="909"/>
      <c r="Z286" s="906"/>
      <c r="AA286" s="906"/>
      <c r="AB286" s="906"/>
      <c r="AC286" s="906"/>
      <c r="AD286" s="906"/>
      <c r="AE286" s="906"/>
      <c r="AF286" s="906"/>
      <c r="AG286" s="906"/>
      <c r="AH286" s="906"/>
      <c r="AI286" s="906"/>
      <c r="AJ286" s="907"/>
      <c r="AK286" s="907"/>
      <c r="AL286" s="907"/>
      <c r="AM286" s="907"/>
      <c r="AN286" s="907"/>
      <c r="AO286" s="907"/>
      <c r="AP286" s="907"/>
      <c r="AQ286" s="907"/>
      <c r="AR286" s="907"/>
      <c r="AS286" s="907"/>
      <c r="AT286" s="907"/>
      <c r="AU286" s="907"/>
      <c r="AV286" s="907"/>
      <c r="AW286" s="907"/>
      <c r="AX286" s="907"/>
      <c r="AY286" s="907"/>
      <c r="AZ286" s="907"/>
      <c r="BA286" s="907"/>
      <c r="BB286" s="907"/>
      <c r="BC286" s="907"/>
      <c r="BD286" s="907"/>
      <c r="BE286" s="907"/>
      <c r="BF286" s="907"/>
      <c r="BG286" s="907"/>
      <c r="BH286" s="907"/>
      <c r="BI286" s="907"/>
      <c r="BJ286" s="905"/>
      <c r="BK286" s="905"/>
      <c r="BL286" s="905"/>
      <c r="BM286" s="905"/>
      <c r="BN286" s="905"/>
      <c r="BO286" s="905"/>
      <c r="BP286" s="905"/>
      <c r="BQ286" s="905"/>
      <c r="BR286" s="596"/>
      <c r="BS286" s="596"/>
      <c r="BT286" s="596"/>
      <c r="BU286" s="596"/>
      <c r="BV286" s="596"/>
      <c r="BW286" s="596"/>
      <c r="BX286" s="596"/>
      <c r="BY286" s="596"/>
      <c r="BZ286" s="596"/>
      <c r="CA286" s="596"/>
      <c r="CB286" s="596"/>
      <c r="CC286" s="596"/>
      <c r="CD286" s="596"/>
      <c r="CE286" s="596"/>
      <c r="CF286" s="596"/>
      <c r="CG286" s="596"/>
      <c r="CH286" s="596"/>
      <c r="CI286" s="596"/>
      <c r="CJ286" s="596"/>
      <c r="CK286" s="596"/>
      <c r="CL286" s="596"/>
      <c r="CM286" s="596"/>
      <c r="CN286" s="596"/>
      <c r="CO286" s="596"/>
      <c r="CP286" s="596"/>
      <c r="CQ286" s="596"/>
      <c r="CR286" s="596"/>
      <c r="CS286" s="596"/>
      <c r="CT286" s="596"/>
      <c r="CU286" s="596"/>
      <c r="CV286" s="596"/>
      <c r="CW286" s="596"/>
      <c r="CX286" s="596"/>
      <c r="CY286" s="596"/>
      <c r="CZ286" s="596"/>
      <c r="DA286" s="596"/>
      <c r="DB286" s="596"/>
      <c r="DC286" s="596"/>
      <c r="DD286" s="596"/>
      <c r="DE286" s="4"/>
      <c r="DF286" s="8"/>
      <c r="DG286" s="4"/>
      <c r="DH286" s="4"/>
      <c r="DI286" s="4"/>
      <c r="DJ286" s="4"/>
      <c r="DK286" s="4"/>
      <c r="DL286" s="4"/>
      <c r="DM286" s="4"/>
      <c r="DN286" s="4"/>
      <c r="DO286" s="4"/>
      <c r="DP286" s="4"/>
      <c r="DQ286" s="4"/>
      <c r="DR286" s="4"/>
      <c r="DS286" s="4"/>
      <c r="DT286" s="4"/>
      <c r="DU286" s="4"/>
      <c r="DV286" s="4"/>
      <c r="DW286" s="4"/>
      <c r="DX286" s="4"/>
      <c r="DY286" s="4"/>
      <c r="DZ286" s="21"/>
    </row>
    <row r="287" spans="1:131" ht="76.5" hidden="1">
      <c r="B287" s="1000" t="s">
        <v>1106</v>
      </c>
      <c r="C287" s="1000"/>
      <c r="D287" s="836"/>
      <c r="E287" s="294" t="s">
        <v>699</v>
      </c>
      <c r="F287" s="264"/>
      <c r="G287" s="294" t="s">
        <v>65</v>
      </c>
      <c r="H287" s="407"/>
      <c r="I287" s="791" t="s">
        <v>524</v>
      </c>
      <c r="J287" s="791" t="s">
        <v>673</v>
      </c>
      <c r="K287" s="791" t="s">
        <v>700</v>
      </c>
      <c r="L287" s="791" t="s">
        <v>701</v>
      </c>
      <c r="M287" s="791" t="s">
        <v>702</v>
      </c>
      <c r="N287" s="791" t="s">
        <v>703</v>
      </c>
      <c r="O287" s="791" t="s">
        <v>704</v>
      </c>
      <c r="P287" s="792" t="s">
        <v>705</v>
      </c>
      <c r="Q287" s="792" t="s">
        <v>706</v>
      </c>
      <c r="R287" s="792" t="s">
        <v>707</v>
      </c>
      <c r="S287" s="517" t="s">
        <v>708</v>
      </c>
      <c r="T287" s="517" t="s">
        <v>709</v>
      </c>
      <c r="U287" s="517" t="s">
        <v>710</v>
      </c>
      <c r="V287" s="517" t="s">
        <v>711</v>
      </c>
      <c r="W287" s="517" t="s">
        <v>712</v>
      </c>
      <c r="X287" s="791" t="s">
        <v>713</v>
      </c>
      <c r="Y287" s="791" t="s">
        <v>714</v>
      </c>
      <c r="Z287" s="792" t="s">
        <v>715</v>
      </c>
      <c r="AA287" s="792" t="s">
        <v>716</v>
      </c>
      <c r="AB287" s="792" t="s">
        <v>1085</v>
      </c>
      <c r="AC287" s="792" t="s">
        <v>1084</v>
      </c>
      <c r="AD287" s="792" t="s">
        <v>717</v>
      </c>
      <c r="AE287" s="792" t="s">
        <v>718</v>
      </c>
      <c r="AF287" s="792" t="s">
        <v>719</v>
      </c>
      <c r="AG287" s="792" t="s">
        <v>720</v>
      </c>
      <c r="AH287" s="792" t="s">
        <v>721</v>
      </c>
      <c r="AI287" s="792" t="s">
        <v>722</v>
      </c>
      <c r="AJ287" s="792" t="s">
        <v>723</v>
      </c>
      <c r="AK287" s="517" t="s">
        <v>724</v>
      </c>
      <c r="AL287" s="517" t="s">
        <v>725</v>
      </c>
      <c r="AM287" s="517" t="s">
        <v>726</v>
      </c>
      <c r="AN287" s="517" t="s">
        <v>1092</v>
      </c>
      <c r="AO287" s="517" t="s">
        <v>1091</v>
      </c>
      <c r="AP287" s="517" t="s">
        <v>727</v>
      </c>
      <c r="AQ287" s="517" t="s">
        <v>728</v>
      </c>
      <c r="AR287" s="517" t="s">
        <v>729</v>
      </c>
      <c r="AS287" s="517" t="s">
        <v>730</v>
      </c>
      <c r="AT287" s="517" t="s">
        <v>731</v>
      </c>
      <c r="AU287" s="517" t="s">
        <v>732</v>
      </c>
      <c r="AV287" s="517" t="s">
        <v>733</v>
      </c>
      <c r="AW287" s="517" t="s">
        <v>734</v>
      </c>
      <c r="AX287" s="517" t="s">
        <v>735</v>
      </c>
      <c r="AY287" s="517" t="s">
        <v>736</v>
      </c>
      <c r="AZ287" s="517" t="s">
        <v>737</v>
      </c>
      <c r="BA287" s="517" t="s">
        <v>738</v>
      </c>
      <c r="BB287" s="517" t="s">
        <v>739</v>
      </c>
      <c r="BC287" s="517" t="s">
        <v>740</v>
      </c>
      <c r="BD287" s="517" t="s">
        <v>741</v>
      </c>
      <c r="BE287" s="517" t="s">
        <v>1070</v>
      </c>
      <c r="BF287" s="517" t="s">
        <v>1071</v>
      </c>
      <c r="BG287" s="517" t="s">
        <v>1075</v>
      </c>
      <c r="BH287" s="517" t="s">
        <v>1076</v>
      </c>
      <c r="BI287" s="517" t="s">
        <v>1072</v>
      </c>
      <c r="BJ287" s="517"/>
      <c r="BK287" s="517"/>
      <c r="BL287" s="517"/>
      <c r="BM287" s="517"/>
      <c r="BN287" s="517"/>
      <c r="BO287" s="517"/>
      <c r="BP287" s="517"/>
      <c r="BQ287" s="517"/>
      <c r="BR287" s="517"/>
      <c r="BS287" s="517"/>
      <c r="BT287" s="517"/>
      <c r="BU287" s="517"/>
      <c r="BV287" s="517"/>
      <c r="BW287" s="517"/>
      <c r="BX287" s="517"/>
      <c r="BY287" s="517"/>
      <c r="BZ287" s="517"/>
      <c r="CA287" s="517"/>
      <c r="CB287" s="517"/>
      <c r="CC287" s="517"/>
      <c r="CD287" s="517"/>
      <c r="CE287" s="517"/>
      <c r="CF287" s="517"/>
      <c r="CG287" s="517"/>
      <c r="CH287" s="517"/>
      <c r="CI287" s="517"/>
      <c r="CJ287" s="517"/>
      <c r="CK287" s="517"/>
      <c r="CL287" s="517"/>
      <c r="CM287" s="517"/>
      <c r="CN287" s="517"/>
      <c r="CO287" s="517"/>
      <c r="CP287" s="517"/>
      <c r="CQ287" s="517"/>
      <c r="CR287" s="517"/>
      <c r="CS287" s="517"/>
      <c r="CT287" s="517"/>
      <c r="CU287" s="517"/>
      <c r="CV287" s="517"/>
      <c r="CW287" s="517"/>
      <c r="CX287" s="517"/>
      <c r="CY287" s="517"/>
      <c r="CZ287" s="517"/>
      <c r="DA287" s="517"/>
      <c r="DB287" s="517"/>
      <c r="DC287" s="517"/>
      <c r="DD287" s="517"/>
      <c r="DE287" s="407"/>
      <c r="DF287" s="21"/>
      <c r="DG287" s="19"/>
      <c r="DH287" s="15"/>
      <c r="DI287" s="15"/>
      <c r="DJ287" s="15"/>
      <c r="DK287" s="5"/>
      <c r="DL287" s="5"/>
      <c r="DM287" s="5"/>
      <c r="DN287" s="5"/>
      <c r="DO287" s="5"/>
      <c r="DP287" s="5"/>
      <c r="DQ287" s="5"/>
      <c r="DR287" s="5"/>
      <c r="DS287" s="5"/>
      <c r="DT287" s="5"/>
      <c r="DU287" s="5"/>
      <c r="DV287" s="5"/>
      <c r="DW287" s="5"/>
      <c r="DX287" s="5"/>
      <c r="DY287" s="5"/>
      <c r="EA287" s="170"/>
    </row>
    <row r="288" spans="1:131" hidden="1">
      <c r="B288" s="1000" t="s">
        <v>1106</v>
      </c>
      <c r="C288" s="1000"/>
      <c r="D288" s="836"/>
      <c r="E288" s="294" t="s">
        <v>693</v>
      </c>
      <c r="F288" s="264"/>
      <c r="G288" s="294" t="s">
        <v>65</v>
      </c>
      <c r="H288" s="407"/>
      <c r="I288" s="795">
        <v>1</v>
      </c>
      <c r="J288" s="795">
        <v>0</v>
      </c>
      <c r="K288" s="795">
        <v>0</v>
      </c>
      <c r="L288" s="795">
        <v>1</v>
      </c>
      <c r="M288" s="795">
        <v>0</v>
      </c>
      <c r="N288" s="795">
        <v>1</v>
      </c>
      <c r="O288" s="795">
        <v>0</v>
      </c>
      <c r="P288" s="795">
        <v>1</v>
      </c>
      <c r="Q288" s="795">
        <v>1</v>
      </c>
      <c r="R288" s="795">
        <v>0</v>
      </c>
      <c r="S288" s="796">
        <v>1</v>
      </c>
      <c r="T288" s="796">
        <v>1</v>
      </c>
      <c r="U288" s="796">
        <v>1</v>
      </c>
      <c r="V288" s="796">
        <v>0</v>
      </c>
      <c r="W288" s="796">
        <v>1</v>
      </c>
      <c r="X288" s="795">
        <v>0</v>
      </c>
      <c r="Y288" s="795">
        <v>0</v>
      </c>
      <c r="Z288" s="795">
        <v>1</v>
      </c>
      <c r="AA288" s="795">
        <v>1</v>
      </c>
      <c r="AB288" s="795">
        <v>1</v>
      </c>
      <c r="AC288" s="795">
        <v>1</v>
      </c>
      <c r="AD288" s="795">
        <v>1</v>
      </c>
      <c r="AE288" s="795">
        <v>1</v>
      </c>
      <c r="AF288" s="795">
        <v>1</v>
      </c>
      <c r="AG288" s="795">
        <v>1</v>
      </c>
      <c r="AH288" s="795">
        <v>1</v>
      </c>
      <c r="AI288" s="795">
        <v>1</v>
      </c>
      <c r="AJ288" s="795">
        <v>1</v>
      </c>
      <c r="AK288" s="796">
        <v>1</v>
      </c>
      <c r="AL288" s="796">
        <v>1</v>
      </c>
      <c r="AM288" s="796">
        <v>0</v>
      </c>
      <c r="AN288" s="796">
        <v>1</v>
      </c>
      <c r="AO288" s="796">
        <v>0</v>
      </c>
      <c r="AP288" s="796">
        <v>1</v>
      </c>
      <c r="AQ288" s="796">
        <v>1</v>
      </c>
      <c r="AR288" s="796">
        <v>1</v>
      </c>
      <c r="AS288" s="796">
        <v>1</v>
      </c>
      <c r="AT288" s="796">
        <v>1</v>
      </c>
      <c r="AU288" s="796">
        <v>1</v>
      </c>
      <c r="AV288" s="796">
        <v>1</v>
      </c>
      <c r="AW288" s="796">
        <v>1</v>
      </c>
      <c r="AX288" s="796">
        <v>1</v>
      </c>
      <c r="AY288" s="796">
        <v>1</v>
      </c>
      <c r="AZ288" s="796">
        <v>1</v>
      </c>
      <c r="BA288" s="796">
        <v>1</v>
      </c>
      <c r="BB288" s="796">
        <v>1</v>
      </c>
      <c r="BC288" s="796">
        <v>1</v>
      </c>
      <c r="BD288" s="796">
        <v>1</v>
      </c>
      <c r="BE288" s="796">
        <v>1</v>
      </c>
      <c r="BF288" s="796">
        <v>1</v>
      </c>
      <c r="BG288" s="796">
        <v>0</v>
      </c>
      <c r="BH288" s="796">
        <v>1</v>
      </c>
      <c r="BI288" s="796">
        <v>1</v>
      </c>
      <c r="BJ288" s="796"/>
      <c r="BK288" s="796"/>
      <c r="BL288" s="796"/>
      <c r="BM288" s="796"/>
      <c r="BN288" s="796"/>
      <c r="BO288" s="796"/>
      <c r="BP288" s="796"/>
      <c r="BQ288" s="796"/>
      <c r="BR288" s="796"/>
      <c r="BS288" s="796"/>
      <c r="BT288" s="796"/>
      <c r="BU288" s="796"/>
      <c r="BV288" s="796"/>
      <c r="BW288" s="796"/>
      <c r="BX288" s="796"/>
      <c r="BY288" s="796"/>
      <c r="BZ288" s="796"/>
      <c r="CA288" s="796"/>
      <c r="CB288" s="796"/>
      <c r="CC288" s="796"/>
      <c r="CD288" s="796"/>
      <c r="CE288" s="796"/>
      <c r="CF288" s="796"/>
      <c r="CG288" s="796"/>
      <c r="CH288" s="796"/>
      <c r="CI288" s="796"/>
      <c r="CJ288" s="796"/>
      <c r="CK288" s="796"/>
      <c r="CL288" s="796"/>
      <c r="CM288" s="796"/>
      <c r="CN288" s="796"/>
      <c r="CO288" s="796"/>
      <c r="CP288" s="796"/>
      <c r="CQ288" s="796"/>
      <c r="CR288" s="796"/>
      <c r="CS288" s="796"/>
      <c r="CT288" s="796"/>
      <c r="CU288" s="796"/>
      <c r="CV288" s="796"/>
      <c r="CW288" s="796"/>
      <c r="CX288" s="796"/>
      <c r="CY288" s="796"/>
      <c r="CZ288" s="796"/>
      <c r="DA288" s="796"/>
      <c r="DB288" s="796"/>
      <c r="DC288" s="796"/>
      <c r="DD288" s="796"/>
      <c r="DE288" s="407"/>
      <c r="DF288" s="21"/>
      <c r="DG288" s="19"/>
      <c r="DH288" s="15"/>
      <c r="DI288" s="15"/>
      <c r="DJ288" s="15"/>
      <c r="DK288" s="5"/>
      <c r="DL288" s="5"/>
      <c r="DM288" s="5"/>
      <c r="DN288" s="5"/>
      <c r="DO288" s="5"/>
      <c r="DP288" s="5"/>
      <c r="DQ288" s="5"/>
      <c r="DR288" s="5"/>
      <c r="DS288" s="5"/>
      <c r="DT288" s="5"/>
      <c r="DU288" s="5"/>
      <c r="DV288" s="5"/>
      <c r="DW288" s="5"/>
      <c r="DX288" s="5"/>
      <c r="DY288" s="5"/>
      <c r="EA288" s="170"/>
    </row>
    <row r="289" spans="1:131" hidden="1">
      <c r="B289" s="1000" t="s">
        <v>1106</v>
      </c>
      <c r="C289" s="1000"/>
      <c r="D289" s="836"/>
      <c r="E289" s="294" t="s">
        <v>694</v>
      </c>
      <c r="F289" s="264"/>
      <c r="G289" s="294" t="s">
        <v>65</v>
      </c>
      <c r="H289" s="407"/>
      <c r="I289" s="795">
        <v>0</v>
      </c>
      <c r="J289" s="795">
        <v>1</v>
      </c>
      <c r="K289" s="795">
        <v>0</v>
      </c>
      <c r="L289" s="795">
        <v>0</v>
      </c>
      <c r="M289" s="795">
        <v>1</v>
      </c>
      <c r="N289" s="795">
        <v>0</v>
      </c>
      <c r="O289" s="795">
        <v>1</v>
      </c>
      <c r="P289" s="795">
        <v>0</v>
      </c>
      <c r="Q289" s="795">
        <v>0</v>
      </c>
      <c r="R289" s="795">
        <v>1</v>
      </c>
      <c r="S289" s="796">
        <v>0</v>
      </c>
      <c r="T289" s="796">
        <v>0</v>
      </c>
      <c r="U289" s="796">
        <v>0</v>
      </c>
      <c r="V289" s="796">
        <v>1</v>
      </c>
      <c r="W289" s="796">
        <v>0</v>
      </c>
      <c r="X289" s="795">
        <v>1</v>
      </c>
      <c r="Y289" s="795">
        <v>1</v>
      </c>
      <c r="Z289" s="795">
        <v>0</v>
      </c>
      <c r="AA289" s="795">
        <v>0</v>
      </c>
      <c r="AB289" s="795">
        <v>0</v>
      </c>
      <c r="AC289" s="795">
        <v>0</v>
      </c>
      <c r="AD289" s="795">
        <v>0</v>
      </c>
      <c r="AE289" s="795">
        <v>0</v>
      </c>
      <c r="AF289" s="795">
        <v>0</v>
      </c>
      <c r="AG289" s="795">
        <v>0</v>
      </c>
      <c r="AH289" s="795">
        <v>0</v>
      </c>
      <c r="AI289" s="795">
        <v>0</v>
      </c>
      <c r="AJ289" s="795">
        <v>0</v>
      </c>
      <c r="AK289" s="796">
        <v>0</v>
      </c>
      <c r="AL289" s="796">
        <v>0</v>
      </c>
      <c r="AM289" s="796">
        <v>1</v>
      </c>
      <c r="AN289" s="796">
        <v>0</v>
      </c>
      <c r="AO289" s="796">
        <v>0</v>
      </c>
      <c r="AP289" s="796">
        <v>0</v>
      </c>
      <c r="AQ289" s="796">
        <v>0</v>
      </c>
      <c r="AR289" s="796">
        <v>0</v>
      </c>
      <c r="AS289" s="796">
        <v>0</v>
      </c>
      <c r="AT289" s="796">
        <v>0</v>
      </c>
      <c r="AU289" s="796">
        <v>0</v>
      </c>
      <c r="AV289" s="796">
        <v>0</v>
      </c>
      <c r="AW289" s="796">
        <v>0</v>
      </c>
      <c r="AX289" s="796">
        <v>0</v>
      </c>
      <c r="AY289" s="796">
        <v>0</v>
      </c>
      <c r="AZ289" s="796">
        <v>0</v>
      </c>
      <c r="BA289" s="796">
        <v>0</v>
      </c>
      <c r="BB289" s="796">
        <v>0</v>
      </c>
      <c r="BC289" s="796">
        <v>0</v>
      </c>
      <c r="BD289" s="796">
        <v>0</v>
      </c>
      <c r="BE289" s="796">
        <v>0</v>
      </c>
      <c r="BF289" s="796">
        <v>0</v>
      </c>
      <c r="BG289" s="796">
        <v>1</v>
      </c>
      <c r="BH289" s="796">
        <v>0</v>
      </c>
      <c r="BI289" s="796">
        <v>0</v>
      </c>
      <c r="BJ289" s="796"/>
      <c r="BK289" s="796"/>
      <c r="BL289" s="796"/>
      <c r="BM289" s="796"/>
      <c r="BN289" s="796"/>
      <c r="BO289" s="796"/>
      <c r="BP289" s="796"/>
      <c r="BQ289" s="796"/>
      <c r="BR289" s="796"/>
      <c r="BS289" s="796"/>
      <c r="BT289" s="796"/>
      <c r="BU289" s="796"/>
      <c r="BV289" s="796"/>
      <c r="BW289" s="796"/>
      <c r="BX289" s="796"/>
      <c r="BY289" s="796"/>
      <c r="BZ289" s="796"/>
      <c r="CA289" s="796"/>
      <c r="CB289" s="796"/>
      <c r="CC289" s="796"/>
      <c r="CD289" s="796"/>
      <c r="CE289" s="796"/>
      <c r="CF289" s="796"/>
      <c r="CG289" s="796"/>
      <c r="CH289" s="796"/>
      <c r="CI289" s="796"/>
      <c r="CJ289" s="796"/>
      <c r="CK289" s="796"/>
      <c r="CL289" s="796"/>
      <c r="CM289" s="796"/>
      <c r="CN289" s="796"/>
      <c r="CO289" s="796"/>
      <c r="CP289" s="796"/>
      <c r="CQ289" s="796"/>
      <c r="CR289" s="796"/>
      <c r="CS289" s="796"/>
      <c r="CT289" s="796"/>
      <c r="CU289" s="796"/>
      <c r="CV289" s="796"/>
      <c r="CW289" s="796"/>
      <c r="CX289" s="796"/>
      <c r="CY289" s="796"/>
      <c r="CZ289" s="796"/>
      <c r="DA289" s="796"/>
      <c r="DB289" s="796"/>
      <c r="DC289" s="796"/>
      <c r="DD289" s="796"/>
      <c r="DE289" s="407"/>
      <c r="DF289" s="21"/>
      <c r="DG289" s="19"/>
      <c r="DH289" s="15"/>
      <c r="DI289" s="15"/>
      <c r="DJ289" s="15"/>
      <c r="DK289" s="5"/>
      <c r="DL289" s="5"/>
      <c r="DM289" s="5"/>
      <c r="DN289" s="5"/>
      <c r="DO289" s="5"/>
      <c r="DP289" s="5"/>
      <c r="DQ289" s="5"/>
      <c r="DR289" s="5"/>
      <c r="DS289" s="5"/>
      <c r="DT289" s="5"/>
      <c r="DU289" s="5"/>
      <c r="DV289" s="5"/>
      <c r="DW289" s="5"/>
      <c r="DX289" s="5"/>
      <c r="DY289" s="5"/>
      <c r="EA289" s="170"/>
    </row>
    <row r="290" spans="1:131" hidden="1">
      <c r="B290" s="1000" t="s">
        <v>1106</v>
      </c>
      <c r="C290" s="1000"/>
      <c r="D290" s="836"/>
      <c r="E290" s="294" t="s">
        <v>695</v>
      </c>
      <c r="F290" s="264"/>
      <c r="G290" s="294" t="s">
        <v>65</v>
      </c>
      <c r="H290" s="407"/>
      <c r="I290" s="795">
        <v>0</v>
      </c>
      <c r="J290" s="795">
        <v>0</v>
      </c>
      <c r="K290" s="795">
        <v>1</v>
      </c>
      <c r="L290" s="795">
        <v>0</v>
      </c>
      <c r="M290" s="795">
        <v>0</v>
      </c>
      <c r="N290" s="795">
        <v>0</v>
      </c>
      <c r="O290" s="795">
        <v>0</v>
      </c>
      <c r="P290" s="795">
        <v>0</v>
      </c>
      <c r="Q290" s="795">
        <v>0</v>
      </c>
      <c r="R290" s="795">
        <v>0</v>
      </c>
      <c r="S290" s="796">
        <v>0</v>
      </c>
      <c r="T290" s="796">
        <v>0</v>
      </c>
      <c r="U290" s="796">
        <v>0</v>
      </c>
      <c r="V290" s="796">
        <v>0</v>
      </c>
      <c r="W290" s="796">
        <v>0</v>
      </c>
      <c r="X290" s="795">
        <v>0</v>
      </c>
      <c r="Y290" s="795">
        <v>0</v>
      </c>
      <c r="Z290" s="795">
        <v>0</v>
      </c>
      <c r="AA290" s="795">
        <v>0</v>
      </c>
      <c r="AB290" s="795">
        <v>0</v>
      </c>
      <c r="AC290" s="795">
        <v>0</v>
      </c>
      <c r="AD290" s="795">
        <v>0</v>
      </c>
      <c r="AE290" s="795">
        <v>0</v>
      </c>
      <c r="AF290" s="795">
        <v>0</v>
      </c>
      <c r="AG290" s="795">
        <v>0</v>
      </c>
      <c r="AH290" s="795">
        <v>0</v>
      </c>
      <c r="AI290" s="795">
        <v>0</v>
      </c>
      <c r="AJ290" s="795">
        <v>0</v>
      </c>
      <c r="AK290" s="796">
        <v>0</v>
      </c>
      <c r="AL290" s="796">
        <v>0</v>
      </c>
      <c r="AM290" s="796">
        <v>0</v>
      </c>
      <c r="AN290" s="796">
        <v>0</v>
      </c>
      <c r="AO290" s="796">
        <v>1</v>
      </c>
      <c r="AP290" s="796">
        <v>0</v>
      </c>
      <c r="AQ290" s="796">
        <v>0</v>
      </c>
      <c r="AR290" s="796">
        <v>0</v>
      </c>
      <c r="AS290" s="796">
        <v>0</v>
      </c>
      <c r="AT290" s="796">
        <v>0</v>
      </c>
      <c r="AU290" s="796">
        <v>0</v>
      </c>
      <c r="AV290" s="796">
        <v>0</v>
      </c>
      <c r="AW290" s="796">
        <v>0</v>
      </c>
      <c r="AX290" s="796">
        <v>0</v>
      </c>
      <c r="AY290" s="796">
        <v>0</v>
      </c>
      <c r="AZ290" s="796">
        <v>0</v>
      </c>
      <c r="BA290" s="796">
        <v>0</v>
      </c>
      <c r="BB290" s="796">
        <v>0</v>
      </c>
      <c r="BC290" s="796">
        <v>0</v>
      </c>
      <c r="BD290" s="796">
        <v>0</v>
      </c>
      <c r="BE290" s="796">
        <v>0</v>
      </c>
      <c r="BF290" s="796">
        <v>0</v>
      </c>
      <c r="BG290" s="796">
        <v>0</v>
      </c>
      <c r="BH290" s="796">
        <v>1</v>
      </c>
      <c r="BI290" s="796">
        <v>0</v>
      </c>
      <c r="BJ290" s="796"/>
      <c r="BK290" s="796"/>
      <c r="BL290" s="796"/>
      <c r="BM290" s="796"/>
      <c r="BN290" s="796"/>
      <c r="BO290" s="796"/>
      <c r="BP290" s="796"/>
      <c r="BQ290" s="796"/>
      <c r="BR290" s="796"/>
      <c r="BS290" s="796"/>
      <c r="BT290" s="796"/>
      <c r="BU290" s="796"/>
      <c r="BV290" s="796"/>
      <c r="BW290" s="796"/>
      <c r="BX290" s="796"/>
      <c r="BY290" s="796"/>
      <c r="BZ290" s="796"/>
      <c r="CA290" s="796"/>
      <c r="CB290" s="796"/>
      <c r="CC290" s="796"/>
      <c r="CD290" s="796"/>
      <c r="CE290" s="796"/>
      <c r="CF290" s="796"/>
      <c r="CG290" s="796"/>
      <c r="CH290" s="796"/>
      <c r="CI290" s="796"/>
      <c r="CJ290" s="796"/>
      <c r="CK290" s="796"/>
      <c r="CL290" s="796"/>
      <c r="CM290" s="796"/>
      <c r="CN290" s="796"/>
      <c r="CO290" s="796"/>
      <c r="CP290" s="796"/>
      <c r="CQ290" s="796"/>
      <c r="CR290" s="796"/>
      <c r="CS290" s="796"/>
      <c r="CT290" s="796"/>
      <c r="CU290" s="796"/>
      <c r="CV290" s="796"/>
      <c r="CW290" s="796"/>
      <c r="CX290" s="796"/>
      <c r="CY290" s="796"/>
      <c r="CZ290" s="796"/>
      <c r="DA290" s="796"/>
      <c r="DB290" s="796"/>
      <c r="DC290" s="796"/>
      <c r="DD290" s="796"/>
      <c r="DE290" s="407"/>
      <c r="DF290" s="21"/>
      <c r="DG290" s="19"/>
      <c r="DH290" s="15"/>
      <c r="DI290" s="15"/>
      <c r="DJ290" s="15"/>
      <c r="DK290" s="5"/>
      <c r="DL290" s="5"/>
      <c r="DM290" s="5"/>
      <c r="DN290" s="5"/>
      <c r="DO290" s="5"/>
      <c r="DP290" s="5"/>
      <c r="DQ290" s="5"/>
      <c r="DR290" s="5"/>
      <c r="DS290" s="5"/>
      <c r="DT290" s="5"/>
      <c r="DU290" s="5"/>
      <c r="DV290" s="5"/>
      <c r="DW290" s="5"/>
      <c r="DX290" s="5"/>
      <c r="DY290" s="5"/>
      <c r="EA290" s="170"/>
    </row>
    <row r="291" spans="1:131" hidden="1">
      <c r="B291" s="1000" t="s">
        <v>1106</v>
      </c>
      <c r="C291" s="1000"/>
      <c r="D291" s="836"/>
      <c r="E291" s="294" t="s">
        <v>742</v>
      </c>
      <c r="F291" s="264"/>
      <c r="G291" s="294" t="s">
        <v>65</v>
      </c>
      <c r="H291" s="407"/>
      <c r="I291" s="791" t="s">
        <v>743</v>
      </c>
      <c r="J291" s="791" t="s">
        <v>743</v>
      </c>
      <c r="K291" s="791" t="s">
        <v>743</v>
      </c>
      <c r="L291" s="792" t="s">
        <v>1079</v>
      </c>
      <c r="M291" s="792" t="s">
        <v>1079</v>
      </c>
      <c r="N291" s="792" t="s">
        <v>744</v>
      </c>
      <c r="O291" s="792" t="s">
        <v>744</v>
      </c>
      <c r="P291" s="792" t="s">
        <v>745</v>
      </c>
      <c r="Q291" s="792" t="s">
        <v>1080</v>
      </c>
      <c r="R291" s="792" t="s">
        <v>1080</v>
      </c>
      <c r="S291" s="517" t="s">
        <v>1081</v>
      </c>
      <c r="T291" s="517" t="s">
        <v>746</v>
      </c>
      <c r="U291" s="517" t="s">
        <v>746</v>
      </c>
      <c r="V291" s="517" t="s">
        <v>746</v>
      </c>
      <c r="W291" s="517" t="s">
        <v>1082</v>
      </c>
      <c r="X291" s="791" t="s">
        <v>1021</v>
      </c>
      <c r="Y291" s="791" t="s">
        <v>747</v>
      </c>
      <c r="Z291" s="792" t="s">
        <v>748</v>
      </c>
      <c r="AA291" s="792" t="s">
        <v>749</v>
      </c>
      <c r="AB291" s="792" t="s">
        <v>1083</v>
      </c>
      <c r="AC291" s="792" t="s">
        <v>1083</v>
      </c>
      <c r="AD291" s="792" t="s">
        <v>750</v>
      </c>
      <c r="AE291" s="792" t="s">
        <v>751</v>
      </c>
      <c r="AF291" s="792" t="s">
        <v>751</v>
      </c>
      <c r="AG291" s="792" t="s">
        <v>1086</v>
      </c>
      <c r="AH291" s="792" t="s">
        <v>752</v>
      </c>
      <c r="AI291" s="792" t="s">
        <v>752</v>
      </c>
      <c r="AJ291" s="792" t="s">
        <v>1087</v>
      </c>
      <c r="AK291" s="517" t="s">
        <v>1088</v>
      </c>
      <c r="AL291" s="517" t="s">
        <v>1089</v>
      </c>
      <c r="AM291" s="517" t="s">
        <v>1090</v>
      </c>
      <c r="AN291" s="517" t="s">
        <v>1090</v>
      </c>
      <c r="AO291" s="517" t="s">
        <v>1090</v>
      </c>
      <c r="AP291" s="517" t="s">
        <v>1093</v>
      </c>
      <c r="AQ291" s="517" t="s">
        <v>1094</v>
      </c>
      <c r="AR291" s="517" t="s">
        <v>1094</v>
      </c>
      <c r="AS291" s="517" t="s">
        <v>753</v>
      </c>
      <c r="AT291" s="517" t="s">
        <v>753</v>
      </c>
      <c r="AU291" s="517" t="s">
        <v>1095</v>
      </c>
      <c r="AV291" s="517" t="s">
        <v>1095</v>
      </c>
      <c r="AW291" s="517" t="s">
        <v>1096</v>
      </c>
      <c r="AX291" s="517" t="s">
        <v>1096</v>
      </c>
      <c r="AY291" s="517" t="s">
        <v>1097</v>
      </c>
      <c r="AZ291" s="517" t="s">
        <v>1097</v>
      </c>
      <c r="BA291" s="517" t="s">
        <v>754</v>
      </c>
      <c r="BB291" s="517" t="s">
        <v>754</v>
      </c>
      <c r="BC291" s="517" t="s">
        <v>754</v>
      </c>
      <c r="BD291" s="517" t="s">
        <v>754</v>
      </c>
      <c r="BE291" s="517" t="s">
        <v>1073</v>
      </c>
      <c r="BF291" s="517" t="s">
        <v>1074</v>
      </c>
      <c r="BG291" s="517" t="s">
        <v>1074</v>
      </c>
      <c r="BH291" s="517" t="s">
        <v>1077</v>
      </c>
      <c r="BI291" s="517" t="s">
        <v>1078</v>
      </c>
      <c r="BJ291" s="517"/>
      <c r="BK291" s="517"/>
      <c r="BL291" s="517"/>
      <c r="BM291" s="517"/>
      <c r="BN291" s="517"/>
      <c r="BO291" s="517"/>
      <c r="BP291" s="517"/>
      <c r="BQ291" s="517"/>
      <c r="BR291" s="517"/>
      <c r="BS291" s="517"/>
      <c r="BT291" s="517"/>
      <c r="BU291" s="517"/>
      <c r="BV291" s="517"/>
      <c r="BW291" s="517"/>
      <c r="BX291" s="517"/>
      <c r="BY291" s="517"/>
      <c r="BZ291" s="517"/>
      <c r="CA291" s="517"/>
      <c r="CB291" s="517"/>
      <c r="CC291" s="517"/>
      <c r="CD291" s="517"/>
      <c r="CE291" s="517"/>
      <c r="CF291" s="517"/>
      <c r="CG291" s="517"/>
      <c r="CH291" s="517"/>
      <c r="CI291" s="517"/>
      <c r="CJ291" s="517"/>
      <c r="CK291" s="517"/>
      <c r="CL291" s="517"/>
      <c r="CM291" s="517"/>
      <c r="CN291" s="517"/>
      <c r="CO291" s="517"/>
      <c r="CP291" s="517"/>
      <c r="CQ291" s="517"/>
      <c r="CR291" s="517"/>
      <c r="CS291" s="517"/>
      <c r="CT291" s="517"/>
      <c r="CU291" s="517"/>
      <c r="CV291" s="517"/>
      <c r="CW291" s="517"/>
      <c r="CX291" s="517"/>
      <c r="CY291" s="517"/>
      <c r="CZ291" s="517"/>
      <c r="DA291" s="517"/>
      <c r="DB291" s="517"/>
      <c r="DC291" s="517"/>
      <c r="DD291" s="517"/>
      <c r="DE291" s="407"/>
      <c r="DF291" s="21"/>
      <c r="DG291" s="19"/>
      <c r="DH291" s="15"/>
      <c r="DI291" s="15"/>
      <c r="DJ291" s="15"/>
      <c r="DK291" s="5"/>
      <c r="DL291" s="5"/>
      <c r="DM291" s="5"/>
      <c r="DN291" s="5"/>
      <c r="DO291" s="5"/>
      <c r="DP291" s="5"/>
      <c r="DQ291" s="5"/>
      <c r="DR291" s="5"/>
      <c r="DS291" s="5"/>
      <c r="DT291" s="5"/>
      <c r="DU291" s="5"/>
      <c r="DV291" s="5"/>
      <c r="DW291" s="5"/>
      <c r="DX291" s="5"/>
      <c r="DY291" s="5"/>
      <c r="EA291" s="170"/>
    </row>
    <row r="292" spans="1:131" hidden="1">
      <c r="B292" s="1000" t="s">
        <v>1106</v>
      </c>
      <c r="C292" s="1000"/>
      <c r="D292" s="836"/>
      <c r="E292" s="294" t="s">
        <v>755</v>
      </c>
      <c r="F292" s="264"/>
      <c r="G292" s="294" t="s">
        <v>65</v>
      </c>
      <c r="H292" s="407"/>
      <c r="I292" s="793">
        <v>0.55000000000000004</v>
      </c>
      <c r="J292" s="793">
        <v>0.12</v>
      </c>
      <c r="K292" s="793">
        <v>0.68</v>
      </c>
      <c r="L292" s="793">
        <v>0.49</v>
      </c>
      <c r="M292" s="793">
        <v>0.62</v>
      </c>
      <c r="N292" s="793">
        <v>0.84</v>
      </c>
      <c r="O292" s="793">
        <v>0.09</v>
      </c>
      <c r="P292" s="793">
        <v>0.32</v>
      </c>
      <c r="Q292" s="794">
        <v>0.37</v>
      </c>
      <c r="R292" s="794">
        <v>0.12</v>
      </c>
      <c r="S292" s="794">
        <v>0.2</v>
      </c>
      <c r="T292" s="794">
        <v>0.39</v>
      </c>
      <c r="U292" s="794">
        <v>0.69</v>
      </c>
      <c r="V292" s="794">
        <v>0.11</v>
      </c>
      <c r="W292" s="794">
        <v>0.15</v>
      </c>
      <c r="X292" s="793">
        <v>0.2</v>
      </c>
      <c r="Y292" s="793">
        <v>0.16</v>
      </c>
      <c r="Z292" s="793">
        <v>0.5</v>
      </c>
      <c r="AA292" s="793">
        <v>0.28000000000000003</v>
      </c>
      <c r="AB292" s="793">
        <v>0.25</v>
      </c>
      <c r="AC292" s="793">
        <v>0.26</v>
      </c>
      <c r="AD292" s="793">
        <v>0.66</v>
      </c>
      <c r="AE292" s="793">
        <v>0.28000000000000003</v>
      </c>
      <c r="AF292" s="793">
        <v>0.31</v>
      </c>
      <c r="AG292" s="793">
        <v>0.2</v>
      </c>
      <c r="AH292" s="793">
        <v>0.35</v>
      </c>
      <c r="AI292" s="793">
        <v>0.45</v>
      </c>
      <c r="AJ292" s="793">
        <v>0.59</v>
      </c>
      <c r="AK292" s="794">
        <v>0.16</v>
      </c>
      <c r="AL292" s="794">
        <v>0.18</v>
      </c>
      <c r="AM292" s="794">
        <v>0.05</v>
      </c>
      <c r="AN292" s="794">
        <v>0.41</v>
      </c>
      <c r="AO292" s="794">
        <v>0.69</v>
      </c>
      <c r="AP292" s="794">
        <v>0.27</v>
      </c>
      <c r="AQ292" s="794">
        <v>0.23</v>
      </c>
      <c r="AR292" s="794">
        <v>0.31</v>
      </c>
      <c r="AS292" s="794">
        <v>0.16</v>
      </c>
      <c r="AT292" s="794">
        <v>0.21</v>
      </c>
      <c r="AU292" s="794">
        <v>0.19</v>
      </c>
      <c r="AV292" s="794">
        <v>0.21</v>
      </c>
      <c r="AW292" s="794">
        <v>0.33</v>
      </c>
      <c r="AX292" s="794">
        <v>0.43</v>
      </c>
      <c r="AY292" s="794">
        <v>0.39</v>
      </c>
      <c r="AZ292" s="794">
        <v>0.53</v>
      </c>
      <c r="BA292" s="794">
        <v>0.44</v>
      </c>
      <c r="BB292" s="794">
        <v>0.56999999999999995</v>
      </c>
      <c r="BC292" s="794">
        <v>0.49</v>
      </c>
      <c r="BD292" s="794">
        <v>0.61</v>
      </c>
      <c r="BE292" s="794">
        <v>0.69</v>
      </c>
      <c r="BF292" s="794">
        <v>0.35</v>
      </c>
      <c r="BG292" s="794">
        <v>0.83</v>
      </c>
      <c r="BH292" s="794">
        <v>0.28000000000000003</v>
      </c>
      <c r="BI292" s="794">
        <v>0.12</v>
      </c>
      <c r="BJ292" s="794"/>
      <c r="BK292" s="794"/>
      <c r="BL292" s="794"/>
      <c r="BM292" s="794"/>
      <c r="BN292" s="794"/>
      <c r="BO292" s="794"/>
      <c r="BP292" s="794"/>
      <c r="BQ292" s="794"/>
      <c r="BR292" s="794"/>
      <c r="BS292" s="794"/>
      <c r="BT292" s="794"/>
      <c r="BU292" s="794"/>
      <c r="BV292" s="794"/>
      <c r="BW292" s="794"/>
      <c r="BX292" s="794"/>
      <c r="BY292" s="794"/>
      <c r="BZ292" s="794"/>
      <c r="CA292" s="794"/>
      <c r="CB292" s="794"/>
      <c r="CC292" s="794"/>
      <c r="CD292" s="794"/>
      <c r="CE292" s="794"/>
      <c r="CF292" s="794"/>
      <c r="CG292" s="794"/>
      <c r="CH292" s="794"/>
      <c r="CI292" s="794"/>
      <c r="CJ292" s="794"/>
      <c r="CK292" s="794"/>
      <c r="CL292" s="794"/>
      <c r="CM292" s="794"/>
      <c r="CN292" s="794"/>
      <c r="CO292" s="794"/>
      <c r="CP292" s="794"/>
      <c r="CQ292" s="794"/>
      <c r="CR292" s="794"/>
      <c r="CS292" s="794"/>
      <c r="CT292" s="794"/>
      <c r="CU292" s="794"/>
      <c r="CV292" s="794"/>
      <c r="CW292" s="794"/>
      <c r="CX292" s="794"/>
      <c r="CY292" s="794"/>
      <c r="CZ292" s="794"/>
      <c r="DA292" s="794"/>
      <c r="DB292" s="794"/>
      <c r="DC292" s="794"/>
      <c r="DD292" s="794"/>
      <c r="DE292" s="407"/>
      <c r="DF292" s="21"/>
      <c r="DG292" s="19"/>
      <c r="DH292" s="15"/>
      <c r="DI292" s="15"/>
      <c r="DJ292" s="15"/>
      <c r="DK292" s="5"/>
      <c r="DL292" s="5"/>
      <c r="DM292" s="5"/>
      <c r="DN292" s="5"/>
      <c r="DO292" s="5"/>
      <c r="DP292" s="5"/>
      <c r="DQ292" s="5"/>
      <c r="DR292" s="5"/>
      <c r="DS292" s="5"/>
      <c r="DT292" s="5"/>
      <c r="DU292" s="5"/>
      <c r="DV292" s="5"/>
      <c r="DW292" s="5"/>
      <c r="DX292" s="5"/>
      <c r="DY292" s="5"/>
      <c r="EA292" s="170"/>
    </row>
    <row r="293" spans="1:131" hidden="1">
      <c r="B293" s="1000" t="s">
        <v>1106</v>
      </c>
      <c r="C293" s="1000"/>
      <c r="D293" s="836"/>
      <c r="E293" s="294" t="s">
        <v>1197</v>
      </c>
      <c r="F293" s="264"/>
      <c r="G293" s="294" t="s">
        <v>65</v>
      </c>
      <c r="H293" s="407"/>
      <c r="I293" s="793">
        <v>1</v>
      </c>
      <c r="J293" s="793">
        <v>1</v>
      </c>
      <c r="K293" s="793">
        <v>1</v>
      </c>
      <c r="L293" s="793">
        <v>1</v>
      </c>
      <c r="M293" s="793">
        <v>1</v>
      </c>
      <c r="N293" s="793">
        <v>1</v>
      </c>
      <c r="O293" s="793">
        <v>1</v>
      </c>
      <c r="P293" s="793">
        <v>1</v>
      </c>
      <c r="Q293" s="793">
        <v>1</v>
      </c>
      <c r="R293" s="793">
        <v>1</v>
      </c>
      <c r="S293" s="793">
        <v>1</v>
      </c>
      <c r="T293" s="793">
        <v>1</v>
      </c>
      <c r="U293" s="793">
        <v>1</v>
      </c>
      <c r="V293" s="793">
        <v>1</v>
      </c>
      <c r="W293" s="793">
        <v>1</v>
      </c>
      <c r="X293" s="793">
        <v>1</v>
      </c>
      <c r="Y293" s="793">
        <v>1</v>
      </c>
      <c r="Z293" s="793">
        <v>1</v>
      </c>
      <c r="AA293" s="793">
        <v>1</v>
      </c>
      <c r="AB293" s="793">
        <v>1</v>
      </c>
      <c r="AC293" s="793">
        <v>1</v>
      </c>
      <c r="AD293" s="793">
        <v>1</v>
      </c>
      <c r="AE293" s="793">
        <v>1</v>
      </c>
      <c r="AF293" s="793">
        <v>1</v>
      </c>
      <c r="AG293" s="793">
        <v>1</v>
      </c>
      <c r="AH293" s="793">
        <v>1</v>
      </c>
      <c r="AI293" s="793">
        <v>1</v>
      </c>
      <c r="AJ293" s="793">
        <v>1</v>
      </c>
      <c r="AK293" s="793">
        <v>1</v>
      </c>
      <c r="AL293" s="793">
        <v>1</v>
      </c>
      <c r="AM293" s="793">
        <v>1</v>
      </c>
      <c r="AN293" s="793">
        <v>1</v>
      </c>
      <c r="AO293" s="793">
        <v>1</v>
      </c>
      <c r="AP293" s="793">
        <v>1</v>
      </c>
      <c r="AQ293" s="793">
        <v>1</v>
      </c>
      <c r="AR293" s="793">
        <v>1</v>
      </c>
      <c r="AS293" s="793">
        <v>1</v>
      </c>
      <c r="AT293" s="793">
        <v>1</v>
      </c>
      <c r="AU293" s="793">
        <v>1</v>
      </c>
      <c r="AV293" s="793">
        <v>1</v>
      </c>
      <c r="AW293" s="793">
        <v>1</v>
      </c>
      <c r="AX293" s="793">
        <v>1</v>
      </c>
      <c r="AY293" s="793">
        <v>1</v>
      </c>
      <c r="AZ293" s="793">
        <v>1</v>
      </c>
      <c r="BA293" s="793">
        <v>1</v>
      </c>
      <c r="BB293" s="793">
        <v>1</v>
      </c>
      <c r="BC293" s="793">
        <v>1</v>
      </c>
      <c r="BD293" s="793">
        <v>1</v>
      </c>
      <c r="BE293" s="793">
        <v>1</v>
      </c>
      <c r="BF293" s="793">
        <v>1</v>
      </c>
      <c r="BG293" s="793">
        <v>1</v>
      </c>
      <c r="BH293" s="793">
        <v>1</v>
      </c>
      <c r="BI293" s="793">
        <v>1</v>
      </c>
      <c r="BJ293" s="794"/>
      <c r="BK293" s="794"/>
      <c r="BL293" s="794"/>
      <c r="BM293" s="794"/>
      <c r="BN293" s="794"/>
      <c r="BO293" s="794"/>
      <c r="BP293" s="794"/>
      <c r="BQ293" s="794"/>
      <c r="BR293" s="794"/>
      <c r="BS293" s="794"/>
      <c r="BT293" s="794"/>
      <c r="BU293" s="794"/>
      <c r="BV293" s="794"/>
      <c r="BW293" s="794"/>
      <c r="BX293" s="794"/>
      <c r="BY293" s="794"/>
      <c r="BZ293" s="794"/>
      <c r="CA293" s="794"/>
      <c r="CB293" s="794"/>
      <c r="CC293" s="794"/>
      <c r="CD293" s="794"/>
      <c r="CE293" s="794"/>
      <c r="CF293" s="794"/>
      <c r="CG293" s="794"/>
      <c r="CH293" s="794"/>
      <c r="CI293" s="794"/>
      <c r="CJ293" s="794"/>
      <c r="CK293" s="794"/>
      <c r="CL293" s="794"/>
      <c r="CM293" s="794"/>
      <c r="CN293" s="794"/>
      <c r="CO293" s="794"/>
      <c r="CP293" s="794"/>
      <c r="CQ293" s="794"/>
      <c r="CR293" s="794"/>
      <c r="CS293" s="794"/>
      <c r="CT293" s="794"/>
      <c r="CU293" s="794"/>
      <c r="CV293" s="794"/>
      <c r="CW293" s="794"/>
      <c r="CX293" s="794"/>
      <c r="CY293" s="794"/>
      <c r="CZ293" s="794"/>
      <c r="DA293" s="794"/>
      <c r="DB293" s="794"/>
      <c r="DC293" s="794"/>
      <c r="DD293" s="794"/>
      <c r="DE293" s="407"/>
      <c r="DF293" s="21"/>
      <c r="DG293" s="19"/>
      <c r="DH293" s="15"/>
      <c r="DI293" s="15"/>
      <c r="DJ293" s="15"/>
      <c r="DK293" s="5"/>
      <c r="DL293" s="5"/>
      <c r="DM293" s="5"/>
      <c r="DN293" s="5"/>
      <c r="DO293" s="5"/>
      <c r="DP293" s="5"/>
      <c r="DQ293" s="5"/>
      <c r="DR293" s="5"/>
      <c r="DS293" s="5"/>
      <c r="DT293" s="5"/>
      <c r="DU293" s="5"/>
      <c r="DV293" s="5"/>
      <c r="DW293" s="5"/>
      <c r="DX293" s="5"/>
      <c r="DY293" s="5"/>
      <c r="EA293" s="170"/>
    </row>
    <row r="294" spans="1:131" hidden="1">
      <c r="B294" s="1000" t="s">
        <v>1106</v>
      </c>
      <c r="C294" s="1000"/>
      <c r="D294" s="639" t="s">
        <v>45</v>
      </c>
      <c r="E294" s="294" t="s">
        <v>1198</v>
      </c>
      <c r="F294" s="264"/>
      <c r="G294" s="294" t="s">
        <v>65</v>
      </c>
      <c r="H294" s="407"/>
      <c r="I294" s="793">
        <v>0.45</v>
      </c>
      <c r="J294" s="793">
        <v>0.04</v>
      </c>
      <c r="K294" s="793">
        <v>0.45</v>
      </c>
      <c r="L294" s="793">
        <v>0.45</v>
      </c>
      <c r="M294" s="793">
        <v>0.04</v>
      </c>
      <c r="N294" s="793">
        <v>0.45</v>
      </c>
      <c r="O294" s="793">
        <v>0.04</v>
      </c>
      <c r="P294" s="793">
        <v>0.45</v>
      </c>
      <c r="Q294" s="793">
        <v>0.45</v>
      </c>
      <c r="R294" s="793">
        <v>0.04</v>
      </c>
      <c r="S294" s="793">
        <v>0.45</v>
      </c>
      <c r="T294" s="793">
        <v>0.45</v>
      </c>
      <c r="U294" s="793">
        <v>0.45</v>
      </c>
      <c r="V294" s="793">
        <v>0.04</v>
      </c>
      <c r="W294" s="793">
        <v>0.45</v>
      </c>
      <c r="X294" s="793">
        <v>0.04</v>
      </c>
      <c r="Y294" s="793">
        <v>0.04</v>
      </c>
      <c r="Z294" s="793">
        <v>0.45</v>
      </c>
      <c r="AA294" s="793">
        <v>0.45</v>
      </c>
      <c r="AB294" s="793">
        <v>0.45</v>
      </c>
      <c r="AC294" s="793">
        <v>0.45</v>
      </c>
      <c r="AD294" s="793">
        <v>0.45</v>
      </c>
      <c r="AE294" s="793">
        <v>0.45</v>
      </c>
      <c r="AF294" s="793">
        <v>0.45</v>
      </c>
      <c r="AG294" s="793">
        <v>0.45</v>
      </c>
      <c r="AH294" s="793">
        <v>0.45</v>
      </c>
      <c r="AI294" s="793">
        <v>0.45</v>
      </c>
      <c r="AJ294" s="793">
        <v>0.45</v>
      </c>
      <c r="AK294" s="793">
        <v>0.45</v>
      </c>
      <c r="AL294" s="793">
        <v>0.45</v>
      </c>
      <c r="AM294" s="793">
        <v>0.04</v>
      </c>
      <c r="AN294" s="793">
        <v>0.45</v>
      </c>
      <c r="AO294" s="793">
        <v>0.45</v>
      </c>
      <c r="AP294" s="793">
        <v>0.45</v>
      </c>
      <c r="AQ294" s="793">
        <v>0.45</v>
      </c>
      <c r="AR294" s="793">
        <v>0.45</v>
      </c>
      <c r="AS294" s="793">
        <v>0.45</v>
      </c>
      <c r="AT294" s="793">
        <v>0.45</v>
      </c>
      <c r="AU294" s="793">
        <v>0.45</v>
      </c>
      <c r="AV294" s="793">
        <v>0.45</v>
      </c>
      <c r="AW294" s="793">
        <v>0.45</v>
      </c>
      <c r="AX294" s="793">
        <v>0.45</v>
      </c>
      <c r="AY294" s="793">
        <v>0.45</v>
      </c>
      <c r="AZ294" s="793">
        <v>0.45</v>
      </c>
      <c r="BA294" s="793">
        <v>0.45</v>
      </c>
      <c r="BB294" s="793">
        <v>0.45</v>
      </c>
      <c r="BC294" s="793">
        <v>0.45</v>
      </c>
      <c r="BD294" s="793">
        <v>0.45</v>
      </c>
      <c r="BE294" s="793">
        <v>0.45</v>
      </c>
      <c r="BF294" s="793">
        <v>0.45</v>
      </c>
      <c r="BG294" s="793">
        <v>0.04</v>
      </c>
      <c r="BH294" s="793">
        <v>0.45</v>
      </c>
      <c r="BI294" s="793">
        <v>0.45</v>
      </c>
      <c r="BJ294" s="794"/>
      <c r="BK294" s="794"/>
      <c r="BL294" s="794"/>
      <c r="BM294" s="794"/>
      <c r="BN294" s="794"/>
      <c r="BO294" s="794"/>
      <c r="BP294" s="794"/>
      <c r="BQ294" s="794"/>
      <c r="BR294" s="794"/>
      <c r="BS294" s="794"/>
      <c r="BT294" s="794"/>
      <c r="BU294" s="794"/>
      <c r="BV294" s="794"/>
      <c r="BW294" s="794"/>
      <c r="BX294" s="794"/>
      <c r="BY294" s="794"/>
      <c r="BZ294" s="794"/>
      <c r="CA294" s="794"/>
      <c r="CB294" s="794"/>
      <c r="CC294" s="794"/>
      <c r="CD294" s="794"/>
      <c r="CE294" s="794"/>
      <c r="CF294" s="794"/>
      <c r="CG294" s="794"/>
      <c r="CH294" s="794"/>
      <c r="CI294" s="794"/>
      <c r="CJ294" s="794"/>
      <c r="CK294" s="794"/>
      <c r="CL294" s="794"/>
      <c r="CM294" s="794"/>
      <c r="CN294" s="794"/>
      <c r="CO294" s="794"/>
      <c r="CP294" s="794"/>
      <c r="CQ294" s="794"/>
      <c r="CR294" s="794"/>
      <c r="CS294" s="794"/>
      <c r="CT294" s="794"/>
      <c r="CU294" s="794"/>
      <c r="CV294" s="794"/>
      <c r="CW294" s="794"/>
      <c r="CX294" s="794"/>
      <c r="CY294" s="794"/>
      <c r="CZ294" s="794"/>
      <c r="DA294" s="794"/>
      <c r="DB294" s="794"/>
      <c r="DC294" s="794"/>
      <c r="DD294" s="794"/>
      <c r="DE294" s="407"/>
      <c r="DF294" s="21"/>
      <c r="DG294" s="19"/>
      <c r="DH294" s="15"/>
      <c r="DI294" s="15"/>
      <c r="DJ294" s="15"/>
      <c r="DK294" s="5"/>
      <c r="DL294" s="5"/>
      <c r="DM294" s="5"/>
      <c r="DN294" s="5"/>
      <c r="DO294" s="5"/>
      <c r="DP294" s="5"/>
      <c r="DQ294" s="5"/>
      <c r="DR294" s="5"/>
      <c r="DS294" s="5"/>
      <c r="DT294" s="5"/>
      <c r="DU294" s="5"/>
      <c r="DV294" s="5"/>
      <c r="DW294" s="5"/>
      <c r="DX294" s="5"/>
      <c r="DY294" s="5"/>
      <c r="EA294" s="170"/>
    </row>
    <row r="295" spans="1:131" hidden="1">
      <c r="B295" s="1000" t="s">
        <v>1106</v>
      </c>
      <c r="C295" s="1000"/>
      <c r="D295" s="836"/>
      <c r="E295" s="294" t="s">
        <v>756</v>
      </c>
      <c r="F295" s="264"/>
      <c r="G295" s="294" t="s">
        <v>65</v>
      </c>
      <c r="H295" s="407"/>
      <c r="I295" s="793">
        <v>0.63</v>
      </c>
      <c r="J295" s="793">
        <v>0.92</v>
      </c>
      <c r="K295" s="793">
        <v>0.61</v>
      </c>
      <c r="L295" s="793">
        <v>0.62</v>
      </c>
      <c r="M295" s="793">
        <v>0.92</v>
      </c>
      <c r="N295" s="793">
        <v>0.54</v>
      </c>
      <c r="O295" s="793">
        <v>1</v>
      </c>
      <c r="P295" s="793">
        <v>0.78</v>
      </c>
      <c r="Q295" s="794">
        <v>0.54</v>
      </c>
      <c r="R295" s="794">
        <v>0.89</v>
      </c>
      <c r="S295" s="794">
        <v>0.88</v>
      </c>
      <c r="T295" s="794">
        <v>0.7</v>
      </c>
      <c r="U295" s="794">
        <v>0.56999999999999995</v>
      </c>
      <c r="V295" s="794">
        <v>1</v>
      </c>
      <c r="W295" s="794">
        <v>0.89</v>
      </c>
      <c r="X295" s="793">
        <v>0.7</v>
      </c>
      <c r="Y295" s="793">
        <v>0.57999999999999996</v>
      </c>
      <c r="Z295" s="793">
        <v>0.65</v>
      </c>
      <c r="AA295" s="793">
        <v>0.78</v>
      </c>
      <c r="AB295" s="793">
        <v>0.78</v>
      </c>
      <c r="AC295" s="793">
        <v>0.77</v>
      </c>
      <c r="AD295" s="793">
        <v>0.49</v>
      </c>
      <c r="AE295" s="793">
        <v>0.55000000000000004</v>
      </c>
      <c r="AF295" s="793">
        <v>0.55000000000000004</v>
      </c>
      <c r="AG295" s="793">
        <v>0.82</v>
      </c>
      <c r="AH295" s="793">
        <v>0.6</v>
      </c>
      <c r="AI295" s="793">
        <v>0.6</v>
      </c>
      <c r="AJ295" s="793">
        <v>0.67</v>
      </c>
      <c r="AK295" s="794">
        <v>0.88</v>
      </c>
      <c r="AL295" s="794">
        <v>0.87</v>
      </c>
      <c r="AM295" s="794">
        <v>1</v>
      </c>
      <c r="AN295" s="794">
        <v>0.69</v>
      </c>
      <c r="AO295" s="794">
        <v>0.61</v>
      </c>
      <c r="AP295" s="794">
        <v>0.8</v>
      </c>
      <c r="AQ295" s="794">
        <v>0.73</v>
      </c>
      <c r="AR295" s="794">
        <v>0.73</v>
      </c>
      <c r="AS295" s="794">
        <v>0.81</v>
      </c>
      <c r="AT295" s="794">
        <v>0.81</v>
      </c>
      <c r="AU295" s="794">
        <v>0.79</v>
      </c>
      <c r="AV295" s="794">
        <v>0.79</v>
      </c>
      <c r="AW295" s="794">
        <v>0.47</v>
      </c>
      <c r="AX295" s="794">
        <v>0.47</v>
      </c>
      <c r="AY295" s="794">
        <v>0.68</v>
      </c>
      <c r="AZ295" s="794">
        <v>0.68</v>
      </c>
      <c r="BA295" s="794">
        <v>0.42</v>
      </c>
      <c r="BB295" s="794">
        <v>0.42</v>
      </c>
      <c r="BC295" s="794">
        <v>0.32</v>
      </c>
      <c r="BD295" s="794">
        <v>0.32</v>
      </c>
      <c r="BE295" s="794">
        <v>0.51</v>
      </c>
      <c r="BF295" s="794">
        <v>0.75</v>
      </c>
      <c r="BG295" s="794">
        <v>0</v>
      </c>
      <c r="BH295" s="794">
        <v>0.72</v>
      </c>
      <c r="BI295" s="794">
        <v>0.88</v>
      </c>
      <c r="BJ295" s="794"/>
      <c r="BK295" s="794"/>
      <c r="BL295" s="794"/>
      <c r="BM295" s="794"/>
      <c r="BN295" s="794"/>
      <c r="BO295" s="794"/>
      <c r="BP295" s="794"/>
      <c r="BQ295" s="794"/>
      <c r="BR295" s="794"/>
      <c r="BS295" s="794"/>
      <c r="BT295" s="794"/>
      <c r="BU295" s="794"/>
      <c r="BV295" s="794"/>
      <c r="BW295" s="794"/>
      <c r="BX295" s="794"/>
      <c r="BY295" s="794"/>
      <c r="BZ295" s="794"/>
      <c r="CA295" s="794"/>
      <c r="CB295" s="794"/>
      <c r="CC295" s="794"/>
      <c r="CD295" s="794"/>
      <c r="CE295" s="794"/>
      <c r="CF295" s="794"/>
      <c r="CG295" s="794"/>
      <c r="CH295" s="794"/>
      <c r="CI295" s="794"/>
      <c r="CJ295" s="794"/>
      <c r="CK295" s="794"/>
      <c r="CL295" s="794"/>
      <c r="CM295" s="794"/>
      <c r="CN295" s="794"/>
      <c r="CO295" s="794"/>
      <c r="CP295" s="794"/>
      <c r="CQ295" s="794"/>
      <c r="CR295" s="794"/>
      <c r="CS295" s="794"/>
      <c r="CT295" s="794"/>
      <c r="CU295" s="794"/>
      <c r="CV295" s="794"/>
      <c r="CW295" s="794"/>
      <c r="CX295" s="794"/>
      <c r="CY295" s="794"/>
      <c r="CZ295" s="794"/>
      <c r="DA295" s="794"/>
      <c r="DB295" s="794"/>
      <c r="DC295" s="794"/>
      <c r="DD295" s="794"/>
      <c r="DE295" s="407"/>
      <c r="DF295" s="21"/>
      <c r="DG295" s="19"/>
      <c r="DH295" s="15"/>
      <c r="DI295" s="15"/>
      <c r="DJ295" s="15"/>
      <c r="DK295" s="5"/>
      <c r="DL295" s="5"/>
      <c r="DM295" s="5"/>
      <c r="DN295" s="5"/>
      <c r="DO295" s="5"/>
      <c r="DP295" s="5"/>
      <c r="DQ295" s="5"/>
      <c r="DR295" s="5"/>
      <c r="DS295" s="5"/>
      <c r="DT295" s="5"/>
      <c r="DU295" s="5"/>
      <c r="DV295" s="5"/>
      <c r="DW295" s="5"/>
      <c r="DX295" s="5"/>
      <c r="DY295" s="5"/>
      <c r="EA295" s="170"/>
    </row>
    <row r="296" spans="1:131" hidden="1">
      <c r="B296" s="1000" t="s">
        <v>1106</v>
      </c>
      <c r="C296" s="1000"/>
      <c r="D296" s="836"/>
      <c r="E296" s="294" t="s">
        <v>206</v>
      </c>
      <c r="F296" s="264"/>
      <c r="G296" s="294" t="s">
        <v>757</v>
      </c>
      <c r="H296" s="407"/>
      <c r="I296" s="793">
        <v>0.13</v>
      </c>
      <c r="J296" s="793">
        <v>0.03</v>
      </c>
      <c r="K296" s="793">
        <v>0.16</v>
      </c>
      <c r="L296" s="793">
        <v>0.17599999999999999</v>
      </c>
      <c r="M296" s="793">
        <v>1.7999999999999999E-2</v>
      </c>
      <c r="N296" s="793">
        <v>0.19</v>
      </c>
      <c r="O296" s="793">
        <v>2.1000000000000001E-2</v>
      </c>
      <c r="P296" s="793">
        <v>5.5E-2</v>
      </c>
      <c r="Q296" s="794">
        <v>0.15</v>
      </c>
      <c r="R296" s="794">
        <v>0.03</v>
      </c>
      <c r="S296" s="794">
        <v>0.04</v>
      </c>
      <c r="T296" s="794">
        <v>0.09</v>
      </c>
      <c r="U296" s="794">
        <v>0.17</v>
      </c>
      <c r="V296" s="794">
        <v>0.03</v>
      </c>
      <c r="W296" s="794">
        <v>2.5999999999999999E-2</v>
      </c>
      <c r="X296" s="793">
        <v>4.5999999999999999E-2</v>
      </c>
      <c r="Y296" s="793">
        <v>0.17</v>
      </c>
      <c r="Z296" s="793">
        <v>0.1</v>
      </c>
      <c r="AA296" s="793">
        <v>7.0000000000000007E-2</v>
      </c>
      <c r="AB296" s="793">
        <v>0.05</v>
      </c>
      <c r="AC296" s="793">
        <v>0.05</v>
      </c>
      <c r="AD296" s="793">
        <v>0.107</v>
      </c>
      <c r="AE296" s="793">
        <v>6.2E-2</v>
      </c>
      <c r="AF296" s="793">
        <v>6.8000000000000005E-2</v>
      </c>
      <c r="AG296" s="793">
        <v>3.5999999999999997E-2</v>
      </c>
      <c r="AH296" s="793">
        <v>6.8000000000000005E-2</v>
      </c>
      <c r="AI296" s="793">
        <v>0.09</v>
      </c>
      <c r="AJ296" s="793">
        <v>0.11</v>
      </c>
      <c r="AK296" s="794">
        <v>3.5999999999999997E-2</v>
      </c>
      <c r="AL296" s="794">
        <v>0.04</v>
      </c>
      <c r="AM296" s="794">
        <v>0.01</v>
      </c>
      <c r="AN296" s="794">
        <v>0.09</v>
      </c>
      <c r="AO296" s="794">
        <v>0.15</v>
      </c>
      <c r="AP296" s="794">
        <v>0.06</v>
      </c>
      <c r="AQ296" s="794">
        <v>0.17</v>
      </c>
      <c r="AR296" s="794">
        <v>0.17</v>
      </c>
      <c r="AS296" s="794">
        <v>0.17</v>
      </c>
      <c r="AT296" s="794">
        <v>0.17</v>
      </c>
      <c r="AU296" s="794">
        <v>0.17</v>
      </c>
      <c r="AV296" s="794">
        <v>0.17</v>
      </c>
      <c r="AW296" s="794">
        <v>8.2000000000000003E-2</v>
      </c>
      <c r="AX296" s="794">
        <v>8.2000000000000003E-2</v>
      </c>
      <c r="AY296" s="794">
        <v>0.08</v>
      </c>
      <c r="AZ296" s="794">
        <v>0.1</v>
      </c>
      <c r="BA296" s="794">
        <v>0.17</v>
      </c>
      <c r="BB296" s="794">
        <v>0.17</v>
      </c>
      <c r="BC296" s="794">
        <v>0.17</v>
      </c>
      <c r="BD296" s="794">
        <v>0.17</v>
      </c>
      <c r="BE296" s="794">
        <v>0.13</v>
      </c>
      <c r="BF296" s="794">
        <v>6.4000000000000001E-2</v>
      </c>
      <c r="BG296" s="794">
        <v>0.111</v>
      </c>
      <c r="BH296" s="794">
        <v>0.05</v>
      </c>
      <c r="BI296" s="794">
        <v>2.8000000000000001E-2</v>
      </c>
      <c r="BJ296" s="794"/>
      <c r="BK296" s="794"/>
      <c r="BL296" s="794"/>
      <c r="BM296" s="794"/>
      <c r="BN296" s="794"/>
      <c r="BO296" s="794"/>
      <c r="BP296" s="794"/>
      <c r="BQ296" s="794"/>
      <c r="BR296" s="794"/>
      <c r="BS296" s="794"/>
      <c r="BT296" s="794"/>
      <c r="BU296" s="794"/>
      <c r="BV296" s="794"/>
      <c r="BW296" s="794"/>
      <c r="BX296" s="794"/>
      <c r="BY296" s="794"/>
      <c r="BZ296" s="794"/>
      <c r="CA296" s="794"/>
      <c r="CB296" s="794"/>
      <c r="CC296" s="794"/>
      <c r="CD296" s="794"/>
      <c r="CE296" s="794"/>
      <c r="CF296" s="794"/>
      <c r="CG296" s="794"/>
      <c r="CH296" s="794"/>
      <c r="CI296" s="794"/>
      <c r="CJ296" s="794"/>
      <c r="CK296" s="794"/>
      <c r="CL296" s="794"/>
      <c r="CM296" s="794"/>
      <c r="CN296" s="794"/>
      <c r="CO296" s="794"/>
      <c r="CP296" s="794"/>
      <c r="CQ296" s="794"/>
      <c r="CR296" s="794"/>
      <c r="CS296" s="794"/>
      <c r="CT296" s="794"/>
      <c r="CU296" s="794"/>
      <c r="CV296" s="794"/>
      <c r="CW296" s="794"/>
      <c r="CX296" s="794"/>
      <c r="CY296" s="794"/>
      <c r="CZ296" s="794"/>
      <c r="DA296" s="794"/>
      <c r="DB296" s="794"/>
      <c r="DC296" s="794"/>
      <c r="DD296" s="794"/>
      <c r="DE296" s="407"/>
      <c r="DF296" s="21"/>
      <c r="DG296" s="19"/>
      <c r="DH296" s="15"/>
      <c r="DI296" s="15"/>
      <c r="DJ296" s="15"/>
      <c r="DK296" s="5"/>
      <c r="DL296" s="5"/>
      <c r="DM296" s="5"/>
      <c r="DN296" s="5"/>
      <c r="DO296" s="5"/>
      <c r="DP296" s="5"/>
      <c r="DQ296" s="5"/>
      <c r="DR296" s="5"/>
      <c r="DS296" s="5"/>
      <c r="DT296" s="5"/>
      <c r="DU296" s="5"/>
      <c r="DV296" s="5"/>
      <c r="DW296" s="5"/>
      <c r="DX296" s="5"/>
      <c r="DY296" s="5"/>
      <c r="EA296" s="170"/>
    </row>
    <row r="297" spans="1:131" hidden="1">
      <c r="B297" s="1000" t="s">
        <v>1106</v>
      </c>
      <c r="C297" s="1000"/>
      <c r="D297" s="836"/>
      <c r="E297" s="294" t="s">
        <v>1066</v>
      </c>
      <c r="F297" s="264"/>
      <c r="G297" s="294" t="s">
        <v>65</v>
      </c>
      <c r="H297" s="407"/>
      <c r="I297" s="903" t="str">
        <f>LEFT(I$291,4)</f>
        <v>2021</v>
      </c>
      <c r="J297" s="903" t="str">
        <f t="shared" ref="J297:BI297" si="82">LEFT(J$291,4)</f>
        <v>2021</v>
      </c>
      <c r="K297" s="903" t="str">
        <f t="shared" si="82"/>
        <v>2021</v>
      </c>
      <c r="L297" s="903" t="str">
        <f t="shared" si="82"/>
        <v>2024</v>
      </c>
      <c r="M297" s="903" t="str">
        <f t="shared" si="82"/>
        <v>2024</v>
      </c>
      <c r="N297" s="903" t="str">
        <f t="shared" si="82"/>
        <v>2021</v>
      </c>
      <c r="O297" s="903" t="str">
        <f t="shared" si="82"/>
        <v>2021</v>
      </c>
      <c r="P297" s="903" t="str">
        <f t="shared" si="82"/>
        <v>2021</v>
      </c>
      <c r="Q297" s="903" t="str">
        <f t="shared" si="82"/>
        <v>2022</v>
      </c>
      <c r="R297" s="903" t="str">
        <f t="shared" si="82"/>
        <v>2022</v>
      </c>
      <c r="S297" s="903" t="str">
        <f t="shared" si="82"/>
        <v>2021</v>
      </c>
      <c r="T297" s="903" t="str">
        <f t="shared" si="82"/>
        <v>2021</v>
      </c>
      <c r="U297" s="903" t="str">
        <f t="shared" si="82"/>
        <v>2021</v>
      </c>
      <c r="V297" s="903" t="str">
        <f t="shared" si="82"/>
        <v>2021</v>
      </c>
      <c r="W297" s="903" t="str">
        <f t="shared" si="82"/>
        <v>2024</v>
      </c>
      <c r="X297" s="903" t="str">
        <f t="shared" si="82"/>
        <v>0,42</v>
      </c>
      <c r="Y297" s="903" t="str">
        <f t="shared" si="82"/>
        <v>2021</v>
      </c>
      <c r="Z297" s="903" t="str">
        <f t="shared" si="82"/>
        <v>2021</v>
      </c>
      <c r="AA297" s="903" t="str">
        <f t="shared" si="82"/>
        <v>2021</v>
      </c>
      <c r="AB297" s="903" t="str">
        <f t="shared" si="82"/>
        <v>2024</v>
      </c>
      <c r="AC297" s="903" t="str">
        <f t="shared" si="82"/>
        <v>2024</v>
      </c>
      <c r="AD297" s="903" t="str">
        <f t="shared" si="82"/>
        <v>2021</v>
      </c>
      <c r="AE297" s="903" t="str">
        <f t="shared" si="82"/>
        <v>2020</v>
      </c>
      <c r="AF297" s="903" t="str">
        <f t="shared" si="82"/>
        <v>2020</v>
      </c>
      <c r="AG297" s="903" t="str">
        <f t="shared" si="82"/>
        <v>2022</v>
      </c>
      <c r="AH297" s="903" t="str">
        <f t="shared" si="82"/>
        <v>2020</v>
      </c>
      <c r="AI297" s="903" t="str">
        <f t="shared" si="82"/>
        <v>2020</v>
      </c>
      <c r="AJ297" s="903" t="str">
        <f t="shared" si="82"/>
        <v>2022</v>
      </c>
      <c r="AK297" s="903" t="str">
        <f t="shared" si="82"/>
        <v>2024</v>
      </c>
      <c r="AL297" s="903" t="str">
        <f t="shared" si="82"/>
        <v>2023</v>
      </c>
      <c r="AM297" s="903" t="str">
        <f t="shared" si="82"/>
        <v>2022</v>
      </c>
      <c r="AN297" s="903" t="str">
        <f t="shared" si="82"/>
        <v>2022</v>
      </c>
      <c r="AO297" s="903" t="str">
        <f t="shared" si="82"/>
        <v>2022</v>
      </c>
      <c r="AP297" s="903" t="str">
        <f t="shared" si="82"/>
        <v>2023</v>
      </c>
      <c r="AQ297" s="903" t="str">
        <f t="shared" si="82"/>
        <v>2022</v>
      </c>
      <c r="AR297" s="903" t="str">
        <f t="shared" si="82"/>
        <v>2022</v>
      </c>
      <c r="AS297" s="903" t="str">
        <f t="shared" si="82"/>
        <v>2020</v>
      </c>
      <c r="AT297" s="903" t="str">
        <f t="shared" si="82"/>
        <v>2020</v>
      </c>
      <c r="AU297" s="903" t="str">
        <f t="shared" si="82"/>
        <v>2022</v>
      </c>
      <c r="AV297" s="903" t="str">
        <f t="shared" si="82"/>
        <v>2022</v>
      </c>
      <c r="AW297" s="903" t="str">
        <f t="shared" si="82"/>
        <v>2024</v>
      </c>
      <c r="AX297" s="903" t="str">
        <f t="shared" si="82"/>
        <v>2024</v>
      </c>
      <c r="AY297" s="903" t="str">
        <f t="shared" si="82"/>
        <v>2023</v>
      </c>
      <c r="AZ297" s="903" t="str">
        <f t="shared" si="82"/>
        <v>2023</v>
      </c>
      <c r="BA297" s="903" t="str">
        <f t="shared" si="82"/>
        <v>2020</v>
      </c>
      <c r="BB297" s="903" t="str">
        <f t="shared" si="82"/>
        <v>2020</v>
      </c>
      <c r="BC297" s="903" t="str">
        <f t="shared" si="82"/>
        <v>2020</v>
      </c>
      <c r="BD297" s="903" t="str">
        <f t="shared" si="82"/>
        <v>2020</v>
      </c>
      <c r="BE297" s="903" t="str">
        <f t="shared" si="82"/>
        <v>2022</v>
      </c>
      <c r="BF297" s="903" t="str">
        <f t="shared" si="82"/>
        <v>2021</v>
      </c>
      <c r="BG297" s="903" t="str">
        <f t="shared" si="82"/>
        <v>2021</v>
      </c>
      <c r="BH297" s="903" t="str">
        <f t="shared" si="82"/>
        <v>2023</v>
      </c>
      <c r="BI297" s="903" t="str">
        <f t="shared" si="82"/>
        <v>2025</v>
      </c>
      <c r="BJ297" s="904"/>
      <c r="BK297" s="904"/>
      <c r="BL297" s="904"/>
      <c r="BM297" s="904"/>
      <c r="BN297" s="904"/>
      <c r="BO297" s="904"/>
      <c r="BP297" s="904"/>
      <c r="BQ297" s="904"/>
      <c r="BR297" s="904"/>
      <c r="BS297" s="904"/>
      <c r="BT297" s="904"/>
      <c r="BU297" s="904"/>
      <c r="BV297" s="904"/>
      <c r="BW297" s="904"/>
      <c r="BX297" s="904"/>
      <c r="BY297" s="904"/>
      <c r="BZ297" s="904"/>
      <c r="CA297" s="904"/>
      <c r="CB297" s="904"/>
      <c r="CC297" s="904"/>
      <c r="CD297" s="904"/>
      <c r="CE297" s="904"/>
      <c r="CF297" s="904"/>
      <c r="CG297" s="904"/>
      <c r="CH297" s="904"/>
      <c r="CI297" s="904"/>
      <c r="CJ297" s="904"/>
      <c r="CK297" s="904"/>
      <c r="CL297" s="904"/>
      <c r="CM297" s="904"/>
      <c r="CN297" s="904"/>
      <c r="CO297" s="904"/>
      <c r="CP297" s="904"/>
      <c r="CQ297" s="904"/>
      <c r="CR297" s="904"/>
      <c r="CS297" s="904"/>
      <c r="CT297" s="904"/>
      <c r="CU297" s="904"/>
      <c r="CV297" s="904"/>
      <c r="CW297" s="904"/>
      <c r="CX297" s="904"/>
      <c r="CY297" s="904"/>
      <c r="CZ297" s="904"/>
      <c r="DA297" s="904"/>
      <c r="DB297" s="904"/>
      <c r="DC297" s="904"/>
      <c r="DD297" s="904"/>
      <c r="DE297" s="407"/>
      <c r="DF297" s="21"/>
      <c r="DG297" s="19"/>
      <c r="DH297" s="15"/>
      <c r="DI297" s="15"/>
      <c r="DJ297" s="15"/>
      <c r="DK297" s="5"/>
      <c r="DL297" s="5"/>
      <c r="DM297" s="5"/>
      <c r="DN297" s="5"/>
      <c r="DO297" s="5"/>
      <c r="DP297" s="5"/>
      <c r="DQ297" s="5"/>
      <c r="DR297" s="5"/>
      <c r="DS297" s="5"/>
      <c r="DT297" s="5"/>
      <c r="DU297" s="5"/>
      <c r="DV297" s="5"/>
      <c r="DW297" s="5"/>
      <c r="DX297" s="5"/>
      <c r="DY297" s="5"/>
      <c r="EA297" s="170"/>
    </row>
    <row r="298" spans="1:131" s="2" customFormat="1" hidden="1">
      <c r="A298" s="1010"/>
      <c r="B298" s="1000" t="s">
        <v>1106</v>
      </c>
      <c r="C298" s="1000"/>
      <c r="D298" s="839"/>
      <c r="E298" s="913" t="s">
        <v>758</v>
      </c>
      <c r="F298" s="402"/>
      <c r="G298" s="392"/>
      <c r="H298" s="391"/>
      <c r="I298" s="912" t="str">
        <f t="shared" ref="I298:AN298" si="83">HYPERLINK(_xlfn.CONCAT("https://mijn.bcrg.nl/media/documents/",LEFT(I291,4),"/GK/",I291,".pdf"),I291)</f>
        <v>20210502GK</v>
      </c>
      <c r="J298" s="912" t="str">
        <f t="shared" si="83"/>
        <v>20210502GK</v>
      </c>
      <c r="K298" s="912" t="str">
        <f t="shared" si="83"/>
        <v>20210502GK</v>
      </c>
      <c r="L298" s="912" t="str">
        <f t="shared" si="83"/>
        <v>20240129GK</v>
      </c>
      <c r="M298" s="912" t="str">
        <f t="shared" si="83"/>
        <v>20240129GK</v>
      </c>
      <c r="N298" s="912" t="str">
        <f t="shared" si="83"/>
        <v>20210474GK</v>
      </c>
      <c r="O298" s="912" t="str">
        <f t="shared" si="83"/>
        <v>20210474GK</v>
      </c>
      <c r="P298" s="912" t="str">
        <f t="shared" si="83"/>
        <v>20210403GK</v>
      </c>
      <c r="Q298" s="912" t="str">
        <f t="shared" si="83"/>
        <v>20220183GK</v>
      </c>
      <c r="R298" s="912" t="str">
        <f t="shared" si="83"/>
        <v>20220183GK</v>
      </c>
      <c r="S298" s="912" t="str">
        <f t="shared" si="83"/>
        <v>20210574GK</v>
      </c>
      <c r="T298" s="912" t="str">
        <f t="shared" si="83"/>
        <v>20210313GK</v>
      </c>
      <c r="U298" s="912" t="str">
        <f t="shared" si="83"/>
        <v>20210313GK</v>
      </c>
      <c r="V298" s="912" t="str">
        <f t="shared" si="83"/>
        <v>20210313GK</v>
      </c>
      <c r="W298" s="912" t="str">
        <f t="shared" si="83"/>
        <v>20240242GK</v>
      </c>
      <c r="X298" s="912" t="str">
        <f t="shared" si="83"/>
        <v>0,42</v>
      </c>
      <c r="Y298" s="912" t="str">
        <f t="shared" si="83"/>
        <v>20210282GK</v>
      </c>
      <c r="Z298" s="912" t="str">
        <f t="shared" si="83"/>
        <v>20210202GK</v>
      </c>
      <c r="AA298" s="912" t="str">
        <f t="shared" si="83"/>
        <v>20210124GK</v>
      </c>
      <c r="AB298" s="912" t="str">
        <f t="shared" si="83"/>
        <v>20240308GK</v>
      </c>
      <c r="AC298" s="912" t="str">
        <f t="shared" si="83"/>
        <v>20240308GK</v>
      </c>
      <c r="AD298" s="912" t="str">
        <f t="shared" si="83"/>
        <v>20210002GK</v>
      </c>
      <c r="AE298" s="912" t="str">
        <f t="shared" si="83"/>
        <v>20201882GK</v>
      </c>
      <c r="AF298" s="912" t="str">
        <f t="shared" si="83"/>
        <v>20201882GK</v>
      </c>
      <c r="AG298" s="912" t="str">
        <f t="shared" si="83"/>
        <v>20220307GK</v>
      </c>
      <c r="AH298" s="912" t="str">
        <f t="shared" si="83"/>
        <v>20201880GK</v>
      </c>
      <c r="AI298" s="912" t="str">
        <f t="shared" si="83"/>
        <v>20201880GK</v>
      </c>
      <c r="AJ298" s="912" t="str">
        <f t="shared" si="83"/>
        <v>20220291GK</v>
      </c>
      <c r="AK298" s="912" t="str">
        <f t="shared" si="83"/>
        <v>20240216GK</v>
      </c>
      <c r="AL298" s="912" t="str">
        <f t="shared" si="83"/>
        <v>20230105GK</v>
      </c>
      <c r="AM298" s="912" t="str">
        <f t="shared" si="83"/>
        <v>20220326GK</v>
      </c>
      <c r="AN298" s="912" t="str">
        <f t="shared" si="83"/>
        <v>20220326GK</v>
      </c>
      <c r="AO298" s="912" t="str">
        <f t="shared" ref="AO298:BI298" si="84">HYPERLINK(_xlfn.CONCAT("https://mijn.bcrg.nl/media/documents/",LEFT(AO291,4),"/GK/",AO291,".pdf"),AO291)</f>
        <v>20220326GK</v>
      </c>
      <c r="AP298" s="912" t="str">
        <f t="shared" si="84"/>
        <v>20230220GK</v>
      </c>
      <c r="AQ298" s="912" t="str">
        <f t="shared" si="84"/>
        <v>20220295GK</v>
      </c>
      <c r="AR298" s="912" t="str">
        <f t="shared" si="84"/>
        <v>20220295GK</v>
      </c>
      <c r="AS298" s="912" t="str">
        <f t="shared" si="84"/>
        <v>20201670GK</v>
      </c>
      <c r="AT298" s="912" t="str">
        <f t="shared" si="84"/>
        <v>20201670GK</v>
      </c>
      <c r="AU298" s="912" t="str">
        <f t="shared" si="84"/>
        <v>20220337GK</v>
      </c>
      <c r="AV298" s="912" t="str">
        <f t="shared" si="84"/>
        <v>20220337GK</v>
      </c>
      <c r="AW298" s="912" t="str">
        <f t="shared" si="84"/>
        <v>20240131GK</v>
      </c>
      <c r="AX298" s="912" t="str">
        <f t="shared" si="84"/>
        <v>20240131GK</v>
      </c>
      <c r="AY298" s="912" t="str">
        <f t="shared" si="84"/>
        <v>20230167GK</v>
      </c>
      <c r="AZ298" s="912" t="str">
        <f t="shared" si="84"/>
        <v>20230167GK</v>
      </c>
      <c r="BA298" s="912" t="str">
        <f t="shared" si="84"/>
        <v>20201595GK</v>
      </c>
      <c r="BB298" s="912" t="str">
        <f t="shared" si="84"/>
        <v>20201595GK</v>
      </c>
      <c r="BC298" s="912" t="str">
        <f t="shared" si="84"/>
        <v>20201595GK</v>
      </c>
      <c r="BD298" s="912" t="str">
        <f t="shared" si="84"/>
        <v>20201595GK</v>
      </c>
      <c r="BE298" s="912" t="str">
        <f t="shared" si="84"/>
        <v>20220229GK</v>
      </c>
      <c r="BF298" s="912" t="str">
        <f t="shared" si="84"/>
        <v>20210624GK</v>
      </c>
      <c r="BG298" s="912" t="str">
        <f t="shared" si="84"/>
        <v>20210624GK</v>
      </c>
      <c r="BH298" s="912" t="str">
        <f t="shared" si="84"/>
        <v>20230156GK</v>
      </c>
      <c r="BI298" s="912" t="str">
        <f t="shared" si="84"/>
        <v>20250072GK</v>
      </c>
      <c r="BJ298" s="389"/>
      <c r="BK298" s="389"/>
      <c r="BL298" s="389"/>
      <c r="BM298" s="389"/>
      <c r="BN298" s="389"/>
      <c r="BO298" s="389"/>
      <c r="BP298" s="389"/>
      <c r="BQ298" s="389"/>
      <c r="BR298" s="389"/>
      <c r="BS298" s="389"/>
      <c r="BT298" s="389"/>
      <c r="BU298" s="389"/>
      <c r="BV298" s="389"/>
      <c r="BW298" s="389"/>
      <c r="BX298" s="389"/>
      <c r="BY298" s="389"/>
      <c r="BZ298" s="389"/>
      <c r="CA298" s="389"/>
      <c r="CB298" s="389"/>
      <c r="CC298" s="389"/>
      <c r="CD298" s="389"/>
      <c r="CE298" s="389"/>
      <c r="CF298" s="389"/>
      <c r="CG298" s="389"/>
      <c r="CH298" s="389"/>
      <c r="CI298" s="389"/>
      <c r="CJ298" s="389"/>
      <c r="CK298" s="389"/>
      <c r="CL298" s="389"/>
      <c r="CM298" s="389"/>
      <c r="CN298" s="389"/>
      <c r="CO298" s="389"/>
      <c r="CP298" s="389"/>
      <c r="CQ298" s="389"/>
      <c r="CR298" s="389"/>
      <c r="CS298" s="389"/>
      <c r="CT298" s="389"/>
      <c r="CU298" s="389"/>
      <c r="CV298" s="389"/>
      <c r="CW298" s="389"/>
      <c r="CX298" s="389"/>
      <c r="CY298" s="389"/>
      <c r="CZ298" s="389"/>
      <c r="DA298" s="389"/>
      <c r="DB298" s="389"/>
      <c r="DC298" s="389"/>
      <c r="DD298" s="389"/>
      <c r="DE298" s="389"/>
    </row>
    <row r="299" spans="1:131" hidden="1">
      <c r="B299" s="1000" t="s">
        <v>1106</v>
      </c>
      <c r="C299" s="1000"/>
      <c r="D299" s="836"/>
      <c r="E299" s="5"/>
      <c r="F299" s="5"/>
      <c r="G299" s="5"/>
      <c r="H299" s="5"/>
      <c r="I299" s="5"/>
      <c r="J299" s="5"/>
      <c r="K299" s="5"/>
      <c r="L299" s="5"/>
      <c r="M299" s="5"/>
      <c r="N299" s="5"/>
      <c r="O299" s="5"/>
      <c r="P299" s="5"/>
      <c r="Q299" s="5"/>
      <c r="R299" s="5"/>
      <c r="S299" s="5"/>
      <c r="T299" s="5"/>
      <c r="U299" s="15"/>
      <c r="V299" s="15"/>
      <c r="W299" s="15"/>
      <c r="X299" s="15"/>
      <c r="Y299" s="19"/>
      <c r="Z299" s="5"/>
      <c r="AA299" s="5"/>
      <c r="AB299" s="5"/>
      <c r="AC299" s="5"/>
      <c r="AD299" s="5"/>
      <c r="AE299" s="5"/>
      <c r="AF299" s="5"/>
      <c r="AG299" s="5"/>
      <c r="AH299" s="5"/>
      <c r="AI299" s="5"/>
      <c r="AJ299" s="5"/>
      <c r="AK299" s="5"/>
      <c r="AL299" s="5"/>
      <c r="AM299" s="5"/>
      <c r="AN299" s="5"/>
      <c r="AO299" s="5"/>
      <c r="AP299" s="5"/>
      <c r="AQ299" s="5"/>
      <c r="AR299" s="5"/>
      <c r="AS299" s="21"/>
    </row>
    <row r="300" spans="1:131" hidden="1">
      <c r="B300" s="1000" t="s">
        <v>759</v>
      </c>
      <c r="C300" s="1000"/>
      <c r="D300" s="836"/>
      <c r="E300" s="5"/>
      <c r="F300" s="5"/>
      <c r="G300" s="5"/>
      <c r="H300" s="5"/>
      <c r="I300" s="5"/>
      <c r="J300" s="5"/>
      <c r="K300" s="5"/>
      <c r="L300" s="5"/>
      <c r="M300" s="5"/>
      <c r="N300" s="5"/>
      <c r="O300" s="5"/>
      <c r="P300" s="5"/>
      <c r="Q300" s="5"/>
      <c r="R300" s="5"/>
      <c r="S300" s="5"/>
      <c r="T300" s="5"/>
      <c r="U300" s="15"/>
      <c r="V300" s="15"/>
      <c r="W300" s="15"/>
      <c r="X300" s="15"/>
      <c r="Y300" s="19"/>
      <c r="Z300" s="5"/>
      <c r="AA300" s="5"/>
      <c r="AB300" s="5"/>
      <c r="AC300" s="5"/>
      <c r="AD300" s="5"/>
      <c r="AE300" s="5"/>
      <c r="AF300" s="5"/>
      <c r="AG300" s="5"/>
      <c r="AH300" s="5"/>
      <c r="AI300" s="5"/>
      <c r="AJ300" s="5"/>
      <c r="AK300" s="5"/>
      <c r="AL300" s="5"/>
      <c r="AM300" s="5"/>
      <c r="AN300" s="5"/>
      <c r="AO300" s="5"/>
      <c r="AP300" s="5"/>
      <c r="AQ300" s="5"/>
      <c r="AR300" s="5"/>
      <c r="AS300" s="21"/>
    </row>
    <row r="301" spans="1:131" ht="21" hidden="1">
      <c r="B301" s="1000" t="s">
        <v>759</v>
      </c>
      <c r="C301" s="1000"/>
      <c r="D301" s="1151" t="s">
        <v>45</v>
      </c>
      <c r="E301" s="175" t="s">
        <v>760</v>
      </c>
      <c r="F301" s="175"/>
      <c r="G301" s="175"/>
      <c r="H301" s="175"/>
      <c r="I301" s="175"/>
      <c r="J301" s="175"/>
      <c r="K301" s="175"/>
      <c r="L301" s="175"/>
      <c r="M301" s="175"/>
      <c r="N301" s="175"/>
      <c r="O301" s="175"/>
      <c r="P301" s="175"/>
      <c r="Q301" s="175"/>
      <c r="R301" s="175"/>
      <c r="S301" s="175"/>
      <c r="T301" s="52"/>
      <c r="U301" s="52"/>
      <c r="V301" s="52"/>
      <c r="W301" s="52"/>
      <c r="X301" s="52"/>
      <c r="Y301" s="52"/>
      <c r="Z301" s="5"/>
      <c r="AA301" s="19"/>
      <c r="AB301" s="5"/>
      <c r="AC301" s="5"/>
      <c r="AD301" s="5"/>
      <c r="AE301" s="5"/>
      <c r="AF301" s="5"/>
      <c r="AG301" s="5"/>
      <c r="AH301" s="5"/>
      <c r="AI301" s="5"/>
      <c r="AJ301" s="5"/>
      <c r="AK301" s="5"/>
      <c r="AL301" s="5"/>
      <c r="AM301" s="5"/>
      <c r="AN301" s="5"/>
      <c r="AO301" s="5"/>
      <c r="AP301" s="5"/>
      <c r="AQ301" s="5"/>
      <c r="AR301" s="5"/>
      <c r="AS301" s="371"/>
      <c r="AT301" s="5"/>
      <c r="AU301" s="170"/>
      <c r="AX301" s="229"/>
    </row>
    <row r="302" spans="1:131" hidden="1">
      <c r="B302" s="1000" t="s">
        <v>759</v>
      </c>
      <c r="C302" s="1000"/>
      <c r="D302" s="837"/>
      <c r="E302" s="246" t="s">
        <v>414</v>
      </c>
      <c r="F302" s="246"/>
      <c r="G302" s="246" t="s">
        <v>353</v>
      </c>
      <c r="H302" s="247"/>
      <c r="I302" s="247">
        <f t="shared" ref="I302:R302" ca="1" si="85">OFFSET(I302,0,-1)+1</f>
        <v>1</v>
      </c>
      <c r="J302" s="247">
        <f t="shared" ca="1" si="85"/>
        <v>2</v>
      </c>
      <c r="K302" s="247">
        <f t="shared" ca="1" si="85"/>
        <v>3</v>
      </c>
      <c r="L302" s="247">
        <f t="shared" ca="1" si="85"/>
        <v>4</v>
      </c>
      <c r="M302" s="247">
        <f t="shared" ca="1" si="85"/>
        <v>5</v>
      </c>
      <c r="N302" s="247">
        <f t="shared" ca="1" si="85"/>
        <v>6</v>
      </c>
      <c r="O302" s="247">
        <f t="shared" ca="1" si="85"/>
        <v>7</v>
      </c>
      <c r="P302" s="247">
        <f t="shared" ca="1" si="85"/>
        <v>8</v>
      </c>
      <c r="Q302" s="247">
        <f t="shared" ca="1" si="85"/>
        <v>9</v>
      </c>
      <c r="R302" s="247">
        <f t="shared" ca="1" si="85"/>
        <v>10</v>
      </c>
      <c r="S302" s="247"/>
      <c r="T302" s="52"/>
      <c r="U302" s="52"/>
      <c r="V302" s="52"/>
      <c r="W302" s="52"/>
      <c r="X302" s="52"/>
      <c r="Y302" s="52"/>
      <c r="Z302" s="52"/>
      <c r="AA302" s="51"/>
      <c r="AB302" s="5"/>
      <c r="AC302" s="5"/>
      <c r="AD302" s="5"/>
      <c r="AE302" s="5"/>
      <c r="AF302" s="5"/>
      <c r="AG302" s="5"/>
      <c r="AH302" s="5"/>
      <c r="AI302" s="5"/>
      <c r="AJ302" s="5"/>
      <c r="AK302" s="5"/>
      <c r="AL302" s="5"/>
      <c r="AM302" s="5"/>
      <c r="AN302" s="5"/>
      <c r="AO302" s="5"/>
      <c r="AP302" s="5"/>
      <c r="AQ302" s="5"/>
      <c r="AR302" s="5"/>
      <c r="AS302" s="5"/>
      <c r="AT302" s="5"/>
      <c r="AU302" s="170"/>
      <c r="AX302" s="229"/>
    </row>
    <row r="303" spans="1:131" s="2" customFormat="1" ht="18.75" hidden="1">
      <c r="A303" s="1010"/>
      <c r="B303" s="1000" t="s">
        <v>759</v>
      </c>
      <c r="C303" s="1000"/>
      <c r="D303" s="841"/>
      <c r="E303" s="316" t="s">
        <v>761</v>
      </c>
      <c r="F303" s="317"/>
      <c r="G303" s="1069"/>
      <c r="H303" s="1122"/>
      <c r="I303" s="1121"/>
      <c r="J303" s="1122"/>
      <c r="K303" s="9"/>
      <c r="L303" s="1201" t="s">
        <v>684</v>
      </c>
      <c r="M303" s="596" t="s">
        <v>684</v>
      </c>
      <c r="N303" s="596" t="s">
        <v>684</v>
      </c>
      <c r="O303" s="596" t="s">
        <v>684</v>
      </c>
      <c r="P303" s="596" t="s">
        <v>684</v>
      </c>
      <c r="Q303" s="596" t="s">
        <v>684</v>
      </c>
      <c r="R303" s="596" t="s">
        <v>684</v>
      </c>
      <c r="S303" s="4"/>
      <c r="AC303" s="4"/>
      <c r="AD303" s="8"/>
      <c r="AE303" s="4"/>
      <c r="AF303" s="4"/>
      <c r="AG303" s="4"/>
      <c r="AH303" s="4"/>
      <c r="AI303" s="4"/>
      <c r="AJ303" s="4"/>
      <c r="AK303" s="4"/>
      <c r="AL303" s="4"/>
      <c r="AM303" s="4"/>
      <c r="AN303" s="4"/>
      <c r="AO303" s="4"/>
      <c r="AP303" s="4"/>
      <c r="AQ303" s="4"/>
      <c r="AR303" s="4"/>
      <c r="AS303" s="4"/>
      <c r="AT303" s="4"/>
      <c r="AU303" s="4"/>
      <c r="AV303" s="4"/>
      <c r="AW303" s="4"/>
      <c r="AX303" s="21"/>
    </row>
    <row r="304" spans="1:131" ht="25.5" hidden="1">
      <c r="B304" s="1000" t="s">
        <v>759</v>
      </c>
      <c r="C304" s="1000"/>
      <c r="D304" s="837"/>
      <c r="E304" s="180" t="s">
        <v>762</v>
      </c>
      <c r="F304" s="266"/>
      <c r="G304" s="1206" t="s">
        <v>65</v>
      </c>
      <c r="H304" s="1207"/>
      <c r="I304" s="1208" t="s">
        <v>1383</v>
      </c>
      <c r="J304" s="1208" t="s">
        <v>1384</v>
      </c>
      <c r="K304" s="1214" t="s">
        <v>1386</v>
      </c>
      <c r="L304" s="1209"/>
      <c r="M304" s="333"/>
      <c r="N304" s="333"/>
      <c r="O304" s="333"/>
      <c r="P304" s="333"/>
      <c r="Q304" s="333"/>
      <c r="R304" s="333"/>
      <c r="S304" s="332"/>
      <c r="T304" s="23"/>
      <c r="U304" s="23"/>
      <c r="V304" s="23"/>
      <c r="W304" s="23"/>
      <c r="X304" s="15"/>
      <c r="Y304" s="15"/>
      <c r="Z304" s="15"/>
      <c r="AA304" s="19"/>
      <c r="AB304" s="15"/>
      <c r="AC304" s="15"/>
      <c r="AD304" s="15"/>
      <c r="AE304" s="15"/>
      <c r="AF304" s="15"/>
      <c r="AG304" s="5"/>
      <c r="AH304" s="5"/>
      <c r="AI304" s="5"/>
      <c r="AJ304" s="5"/>
      <c r="AK304" s="5"/>
      <c r="AL304" s="5"/>
      <c r="AM304" s="5"/>
      <c r="AN304" s="5"/>
      <c r="AO304" s="5"/>
      <c r="AP304" s="5"/>
      <c r="AQ304" s="5"/>
      <c r="AR304" s="5"/>
      <c r="AS304" s="5"/>
      <c r="AT304" s="5"/>
      <c r="AU304" s="170"/>
      <c r="AX304" s="229"/>
    </row>
    <row r="305" spans="1:50" hidden="1">
      <c r="B305" s="1000" t="s">
        <v>759</v>
      </c>
      <c r="C305" s="1000"/>
      <c r="D305" s="837"/>
      <c r="E305" s="180" t="s">
        <v>1381</v>
      </c>
      <c r="F305" s="994"/>
      <c r="G305" s="180" t="s">
        <v>65</v>
      </c>
      <c r="H305" s="332"/>
      <c r="I305" s="465">
        <v>1.45</v>
      </c>
      <c r="J305" s="465">
        <v>1.45</v>
      </c>
      <c r="K305" s="333">
        <v>0.67</v>
      </c>
      <c r="L305" s="1200"/>
      <c r="M305" s="465"/>
      <c r="N305" s="465"/>
      <c r="O305" s="465"/>
      <c r="P305" s="465"/>
      <c r="Q305" s="465"/>
      <c r="R305" s="465"/>
      <c r="S305" s="332"/>
      <c r="T305" s="15"/>
      <c r="U305" s="15"/>
      <c r="V305" s="24"/>
      <c r="W305" s="23"/>
      <c r="X305" s="15"/>
      <c r="Y305" s="15"/>
      <c r="Z305" s="15"/>
      <c r="AA305" s="19"/>
      <c r="AB305" s="15"/>
      <c r="AC305" s="15"/>
      <c r="AD305" s="15"/>
      <c r="AE305" s="15"/>
      <c r="AF305" s="15"/>
      <c r="AG305" s="5"/>
      <c r="AH305" s="5"/>
      <c r="AI305" s="5"/>
      <c r="AJ305" s="5"/>
      <c r="AK305" s="5"/>
      <c r="AL305" s="5"/>
      <c r="AM305" s="5"/>
      <c r="AN305" s="5"/>
      <c r="AO305" s="5"/>
      <c r="AP305" s="5"/>
      <c r="AQ305" s="5"/>
      <c r="AR305" s="5"/>
      <c r="AS305" s="5"/>
      <c r="AT305" s="5"/>
      <c r="AU305" s="170"/>
      <c r="AX305" s="229"/>
    </row>
    <row r="306" spans="1:50" ht="15" hidden="1">
      <c r="B306" s="1000" t="s">
        <v>759</v>
      </c>
      <c r="C306" s="1000"/>
      <c r="D306" s="1192"/>
      <c r="E306" s="180" t="s">
        <v>1382</v>
      </c>
      <c r="F306" s="264"/>
      <c r="G306" s="294" t="s">
        <v>65</v>
      </c>
      <c r="H306" s="407"/>
      <c r="I306" s="331">
        <v>1.45</v>
      </c>
      <c r="J306" s="331">
        <v>1.45</v>
      </c>
      <c r="K306" s="333">
        <f>K305</f>
        <v>0.67</v>
      </c>
      <c r="L306" s="1200"/>
      <c r="M306" s="331"/>
      <c r="N306" s="331"/>
      <c r="O306" s="331"/>
      <c r="P306" s="331"/>
      <c r="Q306" s="331"/>
      <c r="R306" s="331"/>
      <c r="S306" s="407"/>
      <c r="T306" s="15"/>
      <c r="U306" s="15"/>
      <c r="V306" s="15"/>
      <c r="W306" s="23"/>
      <c r="X306" s="23"/>
      <c r="Y306" s="23"/>
      <c r="Z306" s="15"/>
      <c r="AA306" s="19"/>
      <c r="AB306" s="15"/>
      <c r="AC306" s="15"/>
      <c r="AD306" s="15"/>
      <c r="AE306" s="15"/>
      <c r="AF306" s="15"/>
      <c r="AG306" s="15"/>
      <c r="AH306" s="15"/>
      <c r="AI306" s="5"/>
      <c r="AJ306" s="5"/>
      <c r="AK306" s="5"/>
      <c r="AL306" s="5"/>
      <c r="AM306" s="5"/>
      <c r="AN306" s="5"/>
      <c r="AO306" s="5"/>
      <c r="AP306" s="5"/>
      <c r="AQ306" s="5"/>
      <c r="AR306" s="5"/>
      <c r="AS306" s="5"/>
      <c r="AT306" s="5"/>
      <c r="AU306" s="170"/>
      <c r="AX306" s="229"/>
    </row>
    <row r="307" spans="1:50" ht="15" hidden="1">
      <c r="B307" s="1000" t="s">
        <v>759</v>
      </c>
      <c r="C307" s="1000"/>
      <c r="D307" s="1192"/>
      <c r="E307" s="180" t="s">
        <v>1195</v>
      </c>
      <c r="F307" s="264"/>
      <c r="G307" s="294"/>
      <c r="H307" s="407"/>
      <c r="I307" s="331">
        <v>1.35</v>
      </c>
      <c r="J307" s="331">
        <v>1.35</v>
      </c>
      <c r="K307" s="333">
        <v>1.39</v>
      </c>
      <c r="L307" s="1200"/>
      <c r="M307" s="333"/>
      <c r="N307" s="333"/>
      <c r="O307" s="333"/>
      <c r="P307" s="333"/>
      <c r="Q307" s="333"/>
      <c r="R307" s="333"/>
      <c r="S307" s="407"/>
      <c r="T307" s="15"/>
      <c r="U307" s="15"/>
      <c r="V307" s="15"/>
      <c r="W307" s="23"/>
      <c r="X307" s="23"/>
      <c r="Y307" s="23"/>
      <c r="Z307" s="15"/>
      <c r="AA307" s="19"/>
      <c r="AB307" s="15"/>
      <c r="AC307" s="15"/>
      <c r="AD307" s="15"/>
      <c r="AE307" s="15"/>
      <c r="AF307" s="15"/>
      <c r="AG307" s="15"/>
      <c r="AH307" s="15"/>
      <c r="AI307" s="5"/>
      <c r="AJ307" s="5"/>
      <c r="AK307" s="5"/>
      <c r="AL307" s="5"/>
      <c r="AM307" s="5"/>
      <c r="AN307" s="5"/>
      <c r="AO307" s="5"/>
      <c r="AP307" s="5"/>
      <c r="AQ307" s="5"/>
      <c r="AR307" s="5"/>
      <c r="AS307" s="5"/>
      <c r="AT307" s="5"/>
      <c r="AU307" s="170"/>
      <c r="AX307" s="229"/>
    </row>
    <row r="308" spans="1:50" ht="15" hidden="1">
      <c r="B308" s="1000" t="s">
        <v>759</v>
      </c>
      <c r="C308" s="1000"/>
      <c r="D308" s="1192"/>
      <c r="E308" s="180" t="s">
        <v>1194</v>
      </c>
      <c r="F308" s="264"/>
      <c r="G308" s="294"/>
      <c r="H308" s="407"/>
      <c r="I308" s="331">
        <v>1</v>
      </c>
      <c r="J308" s="331">
        <v>1</v>
      </c>
      <c r="K308" s="333">
        <f>K307</f>
        <v>1.39</v>
      </c>
      <c r="L308" s="1200"/>
      <c r="M308" s="334"/>
      <c r="N308" s="334"/>
      <c r="O308" s="334"/>
      <c r="P308" s="334"/>
      <c r="Q308" s="334"/>
      <c r="R308" s="334"/>
      <c r="S308" s="407"/>
      <c r="T308" s="15"/>
      <c r="U308" s="15"/>
      <c r="V308" s="15"/>
      <c r="W308" s="23"/>
      <c r="X308" s="23"/>
      <c r="Y308" s="23"/>
      <c r="Z308" s="15"/>
      <c r="AA308" s="19"/>
      <c r="AB308" s="15"/>
      <c r="AC308" s="15"/>
      <c r="AD308" s="15"/>
      <c r="AE308" s="15"/>
      <c r="AF308" s="15"/>
      <c r="AG308" s="15"/>
      <c r="AH308" s="15"/>
      <c r="AI308" s="5"/>
      <c r="AJ308" s="5"/>
      <c r="AK308" s="5"/>
      <c r="AL308" s="5"/>
      <c r="AM308" s="5"/>
      <c r="AN308" s="5"/>
      <c r="AO308" s="5"/>
      <c r="AP308" s="5"/>
      <c r="AQ308" s="5"/>
      <c r="AR308" s="5"/>
      <c r="AS308" s="5"/>
      <c r="AT308" s="5"/>
      <c r="AU308" s="170"/>
      <c r="AX308" s="229"/>
    </row>
    <row r="309" spans="1:50" ht="15" hidden="1">
      <c r="B309" s="1000" t="s">
        <v>759</v>
      </c>
      <c r="C309" s="1000"/>
      <c r="D309" s="1192"/>
      <c r="E309" s="294" t="s">
        <v>1198</v>
      </c>
      <c r="F309" s="264"/>
      <c r="G309" s="294"/>
      <c r="H309" s="407"/>
      <c r="I309" s="331">
        <v>1</v>
      </c>
      <c r="J309" s="331">
        <v>1</v>
      </c>
      <c r="K309" s="333">
        <v>1</v>
      </c>
      <c r="L309" s="1200"/>
      <c r="M309" s="519"/>
      <c r="N309" s="519"/>
      <c r="O309" s="519"/>
      <c r="P309" s="519"/>
      <c r="Q309" s="519"/>
      <c r="R309" s="519"/>
      <c r="S309" s="407"/>
      <c r="T309" s="15"/>
      <c r="U309" s="15"/>
      <c r="V309" s="15"/>
      <c r="W309" s="23"/>
      <c r="X309" s="23"/>
      <c r="Y309" s="23"/>
      <c r="Z309" s="15"/>
      <c r="AA309" s="19"/>
      <c r="AB309" s="15"/>
      <c r="AC309" s="15"/>
      <c r="AD309" s="15"/>
      <c r="AE309" s="15"/>
      <c r="AF309" s="15"/>
      <c r="AG309" s="15"/>
      <c r="AH309" s="15"/>
      <c r="AI309" s="5"/>
      <c r="AJ309" s="5"/>
      <c r="AK309" s="5"/>
      <c r="AL309" s="5"/>
      <c r="AM309" s="5"/>
      <c r="AN309" s="5"/>
      <c r="AO309" s="5"/>
      <c r="AP309" s="5"/>
      <c r="AQ309" s="5"/>
      <c r="AR309" s="5"/>
      <c r="AS309" s="5"/>
      <c r="AT309" s="5"/>
      <c r="AU309" s="170"/>
      <c r="AX309" s="229"/>
    </row>
    <row r="310" spans="1:50" ht="15" hidden="1">
      <c r="B310" s="1000" t="s">
        <v>759</v>
      </c>
      <c r="C310" s="1000"/>
      <c r="D310" s="1192"/>
      <c r="E310" s="294" t="s">
        <v>1203</v>
      </c>
      <c r="F310" s="264"/>
      <c r="G310" s="294"/>
      <c r="H310" s="407"/>
      <c r="I310" s="331">
        <v>1</v>
      </c>
      <c r="J310" s="331">
        <v>1</v>
      </c>
      <c r="K310" s="333">
        <v>1</v>
      </c>
      <c r="L310" s="1200"/>
      <c r="M310" s="519"/>
      <c r="N310" s="519"/>
      <c r="O310" s="519"/>
      <c r="P310" s="519"/>
      <c r="Q310" s="519"/>
      <c r="R310" s="519"/>
      <c r="S310" s="407"/>
      <c r="T310" s="15"/>
      <c r="U310" s="15"/>
      <c r="V310" s="15"/>
      <c r="W310" s="23"/>
      <c r="X310" s="23"/>
      <c r="Y310" s="23"/>
      <c r="Z310" s="15"/>
      <c r="AA310" s="19"/>
      <c r="AB310" s="15"/>
      <c r="AC310" s="15"/>
      <c r="AD310" s="15"/>
      <c r="AE310" s="15"/>
      <c r="AF310" s="15"/>
      <c r="AG310" s="15"/>
      <c r="AH310" s="15"/>
      <c r="AI310" s="5"/>
      <c r="AJ310" s="5"/>
      <c r="AK310" s="5"/>
      <c r="AL310" s="5"/>
      <c r="AM310" s="5"/>
      <c r="AN310" s="5"/>
      <c r="AO310" s="5"/>
      <c r="AP310" s="5"/>
      <c r="AQ310" s="5"/>
      <c r="AR310" s="5"/>
      <c r="AS310" s="5"/>
      <c r="AT310" s="5"/>
      <c r="AU310" s="170"/>
      <c r="AX310" s="229"/>
    </row>
    <row r="311" spans="1:50" hidden="1">
      <c r="B311" s="1000" t="s">
        <v>759</v>
      </c>
      <c r="C311" s="1000"/>
      <c r="D311" s="837"/>
      <c r="E311" s="180" t="s">
        <v>763</v>
      </c>
      <c r="F311" s="266"/>
      <c r="G311" s="180" t="s">
        <v>676</v>
      </c>
      <c r="H311" s="332"/>
      <c r="I311" s="1035">
        <v>0.34</v>
      </c>
      <c r="J311" s="333">
        <v>0.26800000000000002</v>
      </c>
      <c r="K311" s="333">
        <v>0.11</v>
      </c>
      <c r="L311" s="1200"/>
      <c r="M311" s="518"/>
      <c r="N311" s="518"/>
      <c r="O311" s="518"/>
      <c r="P311" s="518"/>
      <c r="Q311" s="518"/>
      <c r="R311" s="518"/>
      <c r="S311" s="332"/>
      <c r="T311" s="16"/>
      <c r="U311" s="16"/>
      <c r="V311" s="24"/>
      <c r="W311" s="23"/>
      <c r="X311" s="15"/>
      <c r="Y311" s="15"/>
      <c r="Z311" s="15"/>
      <c r="AA311" s="19"/>
      <c r="AB311" s="15"/>
      <c r="AC311" s="15"/>
      <c r="AD311" s="15"/>
      <c r="AE311" s="15"/>
      <c r="AF311" s="15"/>
      <c r="AG311" s="5"/>
      <c r="AH311" s="5"/>
      <c r="AI311" s="5"/>
      <c r="AJ311" s="5"/>
      <c r="AK311" s="5"/>
      <c r="AL311" s="5"/>
      <c r="AM311" s="5"/>
      <c r="AN311" s="5"/>
      <c r="AO311" s="5"/>
      <c r="AP311" s="5"/>
      <c r="AQ311" s="5"/>
      <c r="AR311" s="5"/>
      <c r="AS311" s="5"/>
      <c r="AT311" s="5"/>
      <c r="AU311" s="170"/>
      <c r="AX311" s="229"/>
    </row>
    <row r="312" spans="1:50" ht="15" hidden="1">
      <c r="B312" s="1000" t="s">
        <v>759</v>
      </c>
      <c r="C312" s="1000"/>
      <c r="D312" s="836"/>
      <c r="E312" s="180" t="s">
        <v>764</v>
      </c>
      <c r="F312" s="264"/>
      <c r="G312" s="1210" t="s">
        <v>676</v>
      </c>
      <c r="H312" s="1211"/>
      <c r="I312" s="1212">
        <f>I311</f>
        <v>0.34</v>
      </c>
      <c r="J312" s="1212">
        <f>J311</f>
        <v>0.26800000000000002</v>
      </c>
      <c r="K312" s="1212">
        <f>K311</f>
        <v>0.11</v>
      </c>
      <c r="L312" s="1213"/>
      <c r="M312" s="519"/>
      <c r="N312" s="519"/>
      <c r="O312" s="519"/>
      <c r="P312" s="519"/>
      <c r="Q312" s="519"/>
      <c r="R312" s="519"/>
      <c r="S312" s="407"/>
      <c r="T312" s="15"/>
      <c r="U312" s="15"/>
      <c r="V312" s="15"/>
      <c r="W312" s="248"/>
      <c r="X312" s="23"/>
      <c r="Y312" s="75"/>
      <c r="Z312" s="15"/>
      <c r="AA312" s="19"/>
      <c r="AB312" s="15"/>
      <c r="AC312" s="15"/>
      <c r="AD312" s="15"/>
      <c r="AE312" s="15"/>
      <c r="AF312" s="15"/>
      <c r="AG312" s="15"/>
      <c r="AH312" s="15"/>
      <c r="AI312" s="5"/>
      <c r="AJ312" s="5"/>
      <c r="AK312" s="5"/>
      <c r="AL312" s="5"/>
      <c r="AM312" s="5"/>
      <c r="AN312" s="5"/>
      <c r="AO312" s="5"/>
      <c r="AP312" s="5"/>
      <c r="AQ312" s="5"/>
      <c r="AR312" s="5"/>
      <c r="AS312" s="5"/>
      <c r="AT312" s="5"/>
      <c r="AU312" s="170"/>
      <c r="AX312" s="229"/>
    </row>
    <row r="313" spans="1:50" ht="66.75" hidden="1" customHeight="1">
      <c r="B313" s="1000" t="s">
        <v>759</v>
      </c>
      <c r="C313" s="1000"/>
      <c r="D313" s="836"/>
      <c r="E313" s="1199" t="s">
        <v>1385</v>
      </c>
      <c r="F313" s="1199" t="s">
        <v>1380</v>
      </c>
      <c r="G313" s="1204"/>
      <c r="H313" s="1205"/>
      <c r="I313" s="1202" t="s">
        <v>1379</v>
      </c>
      <c r="J313" s="1202" t="s">
        <v>1216</v>
      </c>
      <c r="K313" s="1203" t="str">
        <f>HYPERLINK("https://www.pbl.nl/publicaties/klimaat-en-energieverkenning-2025","Klimaat- en Energieverkenning 2025, tabel 29b")</f>
        <v>Klimaat- en Energieverkenning 2025, tabel 29b</v>
      </c>
      <c r="L313" s="1215"/>
      <c r="M313" s="469"/>
      <c r="N313" s="469"/>
      <c r="O313" s="469"/>
      <c r="P313" s="469"/>
      <c r="Q313" s="469"/>
      <c r="R313" s="469"/>
      <c r="S313" s="468"/>
      <c r="T313" s="27"/>
      <c r="U313" s="15"/>
      <c r="V313" s="15"/>
      <c r="W313" s="248"/>
      <c r="X313" s="15"/>
      <c r="Y313" s="23"/>
      <c r="Z313" s="23"/>
      <c r="AA313" s="24"/>
      <c r="AB313" s="23"/>
      <c r="AC313" s="15"/>
      <c r="AD313" s="15"/>
      <c r="AE313" s="15"/>
      <c r="AF313" s="15"/>
      <c r="AG313" s="15"/>
      <c r="AH313" s="15"/>
      <c r="AI313" s="5"/>
      <c r="AJ313" s="5"/>
      <c r="AK313" s="5"/>
      <c r="AL313" s="5"/>
      <c r="AM313" s="5"/>
      <c r="AN313" s="5"/>
      <c r="AO313" s="5"/>
      <c r="AP313" s="5"/>
      <c r="AQ313" s="5"/>
      <c r="AR313" s="5"/>
      <c r="AS313" s="5"/>
      <c r="AT313" s="5"/>
      <c r="AU313" s="170"/>
      <c r="AX313" s="229"/>
    </row>
    <row r="314" spans="1:50" ht="15" hidden="1">
      <c r="B314" s="1000" t="s">
        <v>759</v>
      </c>
      <c r="C314" s="1000"/>
      <c r="D314" s="836"/>
      <c r="E314" s="5"/>
      <c r="F314" s="5"/>
      <c r="G314" s="5"/>
      <c r="H314" s="15"/>
      <c r="I314" s="15"/>
      <c r="J314" s="15"/>
      <c r="K314" s="15"/>
      <c r="L314" s="15"/>
      <c r="M314" s="15"/>
      <c r="N314" s="15"/>
      <c r="O314" s="15"/>
      <c r="P314" s="15"/>
      <c r="Q314" s="15"/>
      <c r="R314" s="15"/>
      <c r="S314" s="15"/>
      <c r="T314" s="15"/>
      <c r="U314" s="248"/>
      <c r="V314" s="15"/>
      <c r="W314" s="15"/>
      <c r="X314" s="15"/>
      <c r="Y314" s="19"/>
      <c r="Z314" s="15"/>
      <c r="AA314" s="15"/>
      <c r="AB314" s="15"/>
      <c r="AC314" s="15"/>
      <c r="AD314" s="5"/>
      <c r="AE314" s="5"/>
      <c r="AF314" s="5"/>
      <c r="AG314" s="5"/>
      <c r="AH314" s="5"/>
      <c r="AI314" s="5"/>
      <c r="AJ314" s="5"/>
      <c r="AK314" s="5"/>
      <c r="AL314" s="5"/>
      <c r="AM314" s="5"/>
      <c r="AN314" s="5"/>
      <c r="AO314" s="5"/>
      <c r="AP314" s="5"/>
      <c r="AQ314" s="5"/>
      <c r="AR314" s="5"/>
      <c r="AS314" s="21"/>
    </row>
    <row r="315" spans="1:50" ht="15" hidden="1">
      <c r="B315" s="1000" t="s">
        <v>765</v>
      </c>
      <c r="C315" s="1000"/>
      <c r="D315" s="836"/>
      <c r="E315" s="5"/>
      <c r="F315" s="5"/>
      <c r="G315" s="5"/>
      <c r="H315" s="15"/>
      <c r="I315" s="15"/>
      <c r="J315" s="15"/>
      <c r="K315" s="15"/>
      <c r="L315" s="15"/>
      <c r="M315" s="15"/>
      <c r="N315" s="15"/>
      <c r="O315" s="15"/>
      <c r="P315" s="15"/>
      <c r="Q315" s="15"/>
      <c r="R315" s="15"/>
      <c r="S315" s="15"/>
      <c r="U315" s="248"/>
      <c r="V315" s="15"/>
      <c r="W315" s="15"/>
      <c r="X315" s="15"/>
      <c r="Y315" s="19"/>
      <c r="Z315" s="5"/>
      <c r="AA315" s="5"/>
      <c r="AB315" s="5"/>
      <c r="AC315" s="5"/>
      <c r="AD315" s="5"/>
      <c r="AE315" s="5"/>
      <c r="AF315" s="5"/>
      <c r="AG315" s="5"/>
      <c r="AH315" s="5"/>
      <c r="AI315" s="5"/>
      <c r="AJ315" s="5"/>
      <c r="AK315" s="5"/>
      <c r="AL315" s="5"/>
      <c r="AM315" s="5"/>
      <c r="AN315" s="5"/>
      <c r="AO315" s="5"/>
      <c r="AP315" s="5"/>
      <c r="AQ315" s="5"/>
      <c r="AR315" s="5"/>
      <c r="AS315" s="21"/>
    </row>
    <row r="316" spans="1:50" ht="21" hidden="1">
      <c r="B316" s="1000" t="s">
        <v>765</v>
      </c>
      <c r="C316" s="1000"/>
      <c r="D316" s="1151" t="s">
        <v>45</v>
      </c>
      <c r="E316" s="175" t="s">
        <v>765</v>
      </c>
      <c r="F316" s="175"/>
      <c r="G316" s="175"/>
      <c r="H316" s="175"/>
      <c r="I316" s="175"/>
      <c r="J316" s="175"/>
      <c r="K316" s="175"/>
      <c r="L316" s="175"/>
      <c r="M316" s="175"/>
      <c r="N316" s="175"/>
      <c r="O316" s="175"/>
      <c r="P316" s="175"/>
      <c r="Q316" s="175"/>
      <c r="R316" s="175"/>
      <c r="S316" s="175"/>
      <c r="T316" s="175"/>
      <c r="U316" s="175"/>
      <c r="V316" s="15"/>
      <c r="W316" s="52"/>
      <c r="X316" s="5"/>
      <c r="Y316" s="19"/>
      <c r="Z316" s="5"/>
      <c r="AA316" s="5"/>
      <c r="AB316" s="5"/>
      <c r="AC316" s="5"/>
      <c r="AD316" s="5"/>
      <c r="AE316" s="5"/>
      <c r="AF316" s="5"/>
      <c r="AG316" s="5"/>
      <c r="AH316" s="5"/>
      <c r="AI316" s="5"/>
      <c r="AJ316" s="5"/>
      <c r="AK316" s="5"/>
      <c r="AL316" s="5"/>
      <c r="AM316" s="5"/>
      <c r="AN316" s="5"/>
      <c r="AO316" s="5"/>
      <c r="AP316" s="5"/>
      <c r="AQ316" s="5"/>
      <c r="AR316" s="5"/>
      <c r="AS316" s="21"/>
    </row>
    <row r="317" spans="1:50" hidden="1">
      <c r="B317" s="1000" t="s">
        <v>765</v>
      </c>
      <c r="C317" s="1000"/>
      <c r="D317" s="837"/>
      <c r="E317" s="246" t="s">
        <v>414</v>
      </c>
      <c r="F317" s="246"/>
      <c r="G317" s="246" t="s">
        <v>353</v>
      </c>
      <c r="H317" s="247"/>
      <c r="I317" s="247">
        <f t="shared" ref="I317:T317" ca="1" si="86">OFFSET(I317,0,-1)+1</f>
        <v>1</v>
      </c>
      <c r="J317" s="247">
        <f t="shared" ca="1" si="86"/>
        <v>2</v>
      </c>
      <c r="K317" s="247">
        <f t="shared" ca="1" si="86"/>
        <v>3</v>
      </c>
      <c r="L317" s="247">
        <f t="shared" ca="1" si="86"/>
        <v>4</v>
      </c>
      <c r="M317" s="247">
        <f t="shared" ca="1" si="86"/>
        <v>5</v>
      </c>
      <c r="N317" s="247">
        <f t="shared" ca="1" si="86"/>
        <v>6</v>
      </c>
      <c r="O317" s="247">
        <f t="shared" ca="1" si="86"/>
        <v>7</v>
      </c>
      <c r="P317" s="247">
        <f t="shared" ca="1" si="86"/>
        <v>8</v>
      </c>
      <c r="Q317" s="247">
        <f t="shared" ca="1" si="86"/>
        <v>9</v>
      </c>
      <c r="R317" s="247">
        <f t="shared" ca="1" si="86"/>
        <v>10</v>
      </c>
      <c r="S317" s="247">
        <f t="shared" ca="1" si="86"/>
        <v>11</v>
      </c>
      <c r="T317" s="247">
        <f t="shared" ca="1" si="86"/>
        <v>12</v>
      </c>
      <c r="U317" s="247"/>
      <c r="V317" s="52"/>
      <c r="W317" s="52"/>
      <c r="X317" s="52"/>
      <c r="Y317" s="19"/>
      <c r="Z317" s="5"/>
      <c r="AA317" s="5"/>
      <c r="AB317" s="5"/>
      <c r="AC317" s="5"/>
      <c r="AD317" s="5"/>
      <c r="AE317" s="5"/>
      <c r="AF317" s="5"/>
      <c r="AG317" s="5"/>
      <c r="AH317" s="5"/>
      <c r="AI317" s="5"/>
      <c r="AJ317" s="5"/>
      <c r="AK317" s="5"/>
      <c r="AL317" s="5"/>
      <c r="AM317" s="5"/>
      <c r="AN317" s="5"/>
      <c r="AO317" s="5"/>
      <c r="AP317" s="5"/>
      <c r="AQ317" s="5"/>
      <c r="AR317" s="5"/>
      <c r="AS317" s="21"/>
    </row>
    <row r="318" spans="1:50" s="2" customFormat="1" ht="18.75" hidden="1">
      <c r="A318" s="1010"/>
      <c r="B318" s="1000" t="s">
        <v>765</v>
      </c>
      <c r="C318" s="1000"/>
      <c r="D318" s="841"/>
      <c r="E318" s="316" t="s">
        <v>766</v>
      </c>
      <c r="F318" s="317"/>
      <c r="G318" s="316"/>
      <c r="H318" s="318"/>
      <c r="I318" s="319"/>
      <c r="J318" s="318"/>
      <c r="K318" s="9"/>
      <c r="L318" s="9"/>
      <c r="M318" s="9"/>
      <c r="N318" s="9"/>
      <c r="O318" s="9"/>
      <c r="P318" s="9"/>
      <c r="Q318" s="9"/>
      <c r="R318" s="9"/>
      <c r="S318" s="4"/>
      <c r="T318" s="4"/>
      <c r="AC318" s="4"/>
      <c r="AD318" s="8"/>
      <c r="AE318" s="4"/>
      <c r="AF318" s="4"/>
      <c r="AG318" s="4"/>
      <c r="AH318" s="4"/>
      <c r="AI318" s="4"/>
      <c r="AJ318" s="4"/>
      <c r="AK318" s="4"/>
      <c r="AL318" s="4"/>
      <c r="AM318" s="4"/>
      <c r="AN318" s="4"/>
      <c r="AO318" s="4"/>
      <c r="AP318" s="4"/>
      <c r="AQ318" s="4"/>
      <c r="AR318" s="4"/>
      <c r="AS318" s="4"/>
      <c r="AT318" s="4"/>
      <c r="AU318" s="4"/>
      <c r="AV318" s="4"/>
      <c r="AW318" s="4"/>
      <c r="AX318" s="21"/>
    </row>
    <row r="319" spans="1:50" hidden="1">
      <c r="B319" s="1000" t="s">
        <v>765</v>
      </c>
      <c r="C319" s="1000"/>
      <c r="D319" s="836"/>
      <c r="E319" s="294" t="s">
        <v>115</v>
      </c>
      <c r="F319" s="264"/>
      <c r="G319" s="294" t="s">
        <v>65</v>
      </c>
      <c r="H319" s="407"/>
      <c r="I319" s="408" t="s">
        <v>395</v>
      </c>
      <c r="J319" s="408" t="s">
        <v>1027</v>
      </c>
      <c r="K319" s="408" t="s">
        <v>1029</v>
      </c>
      <c r="L319" s="408" t="s">
        <v>397</v>
      </c>
      <c r="M319" s="408" t="s">
        <v>1031</v>
      </c>
      <c r="N319" s="408" t="s">
        <v>1030</v>
      </c>
      <c r="O319" s="408" t="s">
        <v>399</v>
      </c>
      <c r="P319" s="408" t="s">
        <v>398</v>
      </c>
      <c r="Q319" s="408" t="s">
        <v>396</v>
      </c>
      <c r="R319" s="408" t="s">
        <v>1028</v>
      </c>
      <c r="S319" s="408" t="s">
        <v>393</v>
      </c>
      <c r="T319" s="408" t="s">
        <v>394</v>
      </c>
      <c r="U319" s="407"/>
      <c r="V319" s="19"/>
      <c r="W319" s="15"/>
      <c r="X319" s="15"/>
      <c r="Y319" s="19"/>
      <c r="Z319" s="5"/>
      <c r="AA319" s="5"/>
      <c r="AB319" s="5"/>
      <c r="AC319" s="5"/>
      <c r="AD319" s="5"/>
      <c r="AE319" s="5"/>
      <c r="AF319" s="5"/>
      <c r="AG319" s="5"/>
      <c r="AH319" s="5"/>
      <c r="AI319" s="5"/>
      <c r="AJ319" s="5"/>
      <c r="AK319" s="5"/>
      <c r="AL319" s="5"/>
      <c r="AM319" s="5"/>
      <c r="AN319" s="5"/>
      <c r="AO319" s="5"/>
      <c r="AP319" s="5"/>
      <c r="AQ319" s="5"/>
      <c r="AR319" s="5"/>
      <c r="AS319" s="21"/>
    </row>
    <row r="320" spans="1:50" hidden="1">
      <c r="B320" s="1000" t="s">
        <v>765</v>
      </c>
      <c r="C320" s="1000"/>
      <c r="D320" s="836"/>
      <c r="E320" s="294" t="s">
        <v>1057</v>
      </c>
      <c r="F320" s="264"/>
      <c r="G320" s="294" t="s">
        <v>65</v>
      </c>
      <c r="H320" s="407"/>
      <c r="I320" s="408" t="s">
        <v>395</v>
      </c>
      <c r="J320" s="408" t="s">
        <v>1027</v>
      </c>
      <c r="K320" s="408" t="s">
        <v>1029</v>
      </c>
      <c r="L320" s="408" t="s">
        <v>397</v>
      </c>
      <c r="M320" s="408" t="s">
        <v>1031</v>
      </c>
      <c r="N320" s="408" t="s">
        <v>1030</v>
      </c>
      <c r="O320" s="408" t="s">
        <v>399</v>
      </c>
      <c r="P320" s="408" t="s">
        <v>398</v>
      </c>
      <c r="Q320" s="408" t="s">
        <v>396</v>
      </c>
      <c r="R320" s="408" t="s">
        <v>1028</v>
      </c>
      <c r="S320" s="408" t="s">
        <v>393</v>
      </c>
      <c r="T320" s="408" t="s">
        <v>393</v>
      </c>
      <c r="U320" s="407"/>
      <c r="V320" s="19"/>
      <c r="W320" s="15"/>
      <c r="X320" s="15"/>
      <c r="Y320" s="19"/>
      <c r="Z320" s="5"/>
      <c r="AA320" s="5"/>
      <c r="AB320" s="5"/>
      <c r="AC320" s="5"/>
      <c r="AD320" s="5"/>
      <c r="AE320" s="5"/>
      <c r="AF320" s="5"/>
      <c r="AG320" s="5"/>
      <c r="AH320" s="5"/>
      <c r="AI320" s="5"/>
      <c r="AJ320" s="5"/>
      <c r="AK320" s="5"/>
      <c r="AL320" s="5"/>
      <c r="AM320" s="5"/>
      <c r="AN320" s="5"/>
      <c r="AO320" s="5"/>
      <c r="AP320" s="5"/>
      <c r="AQ320" s="5"/>
      <c r="AR320" s="5"/>
      <c r="AS320" s="21"/>
    </row>
    <row r="321" spans="1:50" hidden="1">
      <c r="B321" s="1000" t="s">
        <v>765</v>
      </c>
      <c r="C321" s="1000"/>
      <c r="D321" s="836"/>
      <c r="E321" s="5"/>
      <c r="F321" s="5"/>
      <c r="G321" s="5"/>
      <c r="H321" s="15"/>
      <c r="I321" s="15"/>
      <c r="J321" s="15"/>
      <c r="K321" s="15"/>
      <c r="L321" s="15"/>
      <c r="M321" s="15"/>
      <c r="N321" s="15"/>
      <c r="O321" s="15"/>
      <c r="P321" s="15"/>
      <c r="Q321" s="15"/>
      <c r="R321" s="15"/>
      <c r="S321" s="15"/>
      <c r="T321" s="15"/>
      <c r="U321" s="15"/>
      <c r="V321" s="15"/>
      <c r="W321" s="15"/>
      <c r="X321" s="15"/>
      <c r="Y321" s="19"/>
      <c r="Z321" s="5"/>
      <c r="AA321" s="5"/>
      <c r="AB321" s="5"/>
      <c r="AC321" s="5"/>
      <c r="AD321" s="5"/>
      <c r="AE321" s="5"/>
      <c r="AF321" s="5"/>
      <c r="AG321" s="5"/>
      <c r="AH321" s="5"/>
      <c r="AI321" s="5"/>
      <c r="AJ321" s="5"/>
      <c r="AK321" s="5"/>
      <c r="AL321" s="5"/>
      <c r="AM321" s="5"/>
      <c r="AN321" s="5"/>
      <c r="AO321" s="5"/>
      <c r="AP321" s="5"/>
      <c r="AQ321" s="5"/>
      <c r="AR321" s="5"/>
      <c r="AS321" s="21"/>
    </row>
    <row r="322" spans="1:50" hidden="1">
      <c r="B322" s="1000" t="s">
        <v>767</v>
      </c>
      <c r="C322" s="1000"/>
      <c r="D322" s="836"/>
      <c r="E322" s="5"/>
      <c r="F322" s="5"/>
      <c r="G322" s="5"/>
      <c r="H322" s="15"/>
      <c r="I322" s="15"/>
      <c r="J322" s="15"/>
      <c r="K322" s="15"/>
      <c r="L322" s="15"/>
      <c r="M322" s="15"/>
      <c r="N322" s="15"/>
      <c r="O322" s="15"/>
      <c r="P322" s="15"/>
      <c r="Q322" s="15"/>
      <c r="R322" s="15"/>
      <c r="S322" s="15"/>
      <c r="T322" s="15"/>
      <c r="U322" s="15"/>
      <c r="V322" s="15"/>
      <c r="W322" s="15"/>
      <c r="X322" s="15"/>
      <c r="Y322" s="19"/>
      <c r="Z322" s="5"/>
      <c r="AA322" s="5"/>
      <c r="AB322" s="5"/>
      <c r="AC322" s="5"/>
      <c r="AD322" s="5"/>
      <c r="AE322" s="5"/>
      <c r="AF322" s="5"/>
      <c r="AG322" s="5"/>
      <c r="AH322" s="5"/>
      <c r="AI322" s="5"/>
      <c r="AJ322" s="5"/>
      <c r="AK322" s="5"/>
      <c r="AL322" s="5"/>
      <c r="AM322" s="5"/>
      <c r="AN322" s="5"/>
      <c r="AO322" s="5"/>
      <c r="AP322" s="5"/>
      <c r="AQ322" s="5"/>
      <c r="AR322" s="5"/>
      <c r="AS322" s="21"/>
    </row>
    <row r="323" spans="1:50" ht="21" hidden="1">
      <c r="B323" s="1000" t="s">
        <v>767</v>
      </c>
      <c r="C323" s="1000"/>
      <c r="D323" s="1136" t="s">
        <v>45</v>
      </c>
      <c r="E323" s="1137" t="s">
        <v>953</v>
      </c>
      <c r="F323" s="1137"/>
      <c r="G323" s="1137"/>
      <c r="H323" s="1137"/>
      <c r="I323" s="1137"/>
      <c r="J323" s="1137"/>
      <c r="K323" s="1137"/>
      <c r="L323" s="1137"/>
      <c r="M323" s="1137"/>
      <c r="N323" s="1137"/>
      <c r="O323" s="1137"/>
      <c r="P323" s="1137"/>
      <c r="Q323" s="1137"/>
      <c r="R323" s="1137"/>
      <c r="S323" s="1137"/>
      <c r="T323" s="1137"/>
      <c r="U323" s="1137"/>
      <c r="V323" s="5"/>
      <c r="W323" s="5"/>
      <c r="X323" s="5"/>
      <c r="Y323" s="19"/>
      <c r="Z323" s="5"/>
      <c r="AA323" s="5"/>
      <c r="AB323" s="5"/>
      <c r="AC323" s="5"/>
      <c r="AD323" s="170"/>
      <c r="AE323" s="5"/>
      <c r="AF323" s="5"/>
      <c r="AG323" s="5"/>
      <c r="AH323" s="5"/>
      <c r="AI323" s="5"/>
      <c r="AJ323" s="5"/>
      <c r="AK323" s="5"/>
      <c r="AL323" s="5"/>
      <c r="AM323" s="5"/>
      <c r="AN323" s="5"/>
      <c r="AO323" s="5"/>
      <c r="AP323" s="5"/>
      <c r="AQ323" s="5"/>
      <c r="AR323" s="5"/>
      <c r="AS323" s="170"/>
    </row>
    <row r="324" spans="1:50" s="2" customFormat="1" hidden="1">
      <c r="A324" s="1010"/>
      <c r="B324" s="1000" t="s">
        <v>767</v>
      </c>
      <c r="C324" s="990"/>
      <c r="D324" s="839"/>
      <c r="E324" s="1138" t="s">
        <v>414</v>
      </c>
      <c r="F324" s="1138"/>
      <c r="G324" s="1138" t="s">
        <v>353</v>
      </c>
      <c r="H324" s="1139"/>
      <c r="I324" s="1139">
        <f t="shared" ref="I324:T324" ca="1" si="87">OFFSET(I324,0,-1)+1</f>
        <v>1</v>
      </c>
      <c r="J324" s="1139">
        <f t="shared" ca="1" si="87"/>
        <v>2</v>
      </c>
      <c r="K324" s="1139">
        <f t="shared" ca="1" si="87"/>
        <v>3</v>
      </c>
      <c r="L324" s="1139">
        <f t="shared" ca="1" si="87"/>
        <v>4</v>
      </c>
      <c r="M324" s="1139">
        <f t="shared" ca="1" si="87"/>
        <v>5</v>
      </c>
      <c r="N324" s="1139">
        <f t="shared" ca="1" si="87"/>
        <v>6</v>
      </c>
      <c r="O324" s="1139">
        <f t="shared" ca="1" si="87"/>
        <v>7</v>
      </c>
      <c r="P324" s="1139">
        <f t="shared" ca="1" si="87"/>
        <v>8</v>
      </c>
      <c r="Q324" s="1139">
        <f t="shared" ca="1" si="87"/>
        <v>9</v>
      </c>
      <c r="R324" s="1139">
        <f t="shared" ca="1" si="87"/>
        <v>10</v>
      </c>
      <c r="S324" s="1139">
        <f t="shared" ca="1" si="87"/>
        <v>11</v>
      </c>
      <c r="T324" s="1139">
        <f t="shared" ca="1" si="87"/>
        <v>12</v>
      </c>
      <c r="U324" s="1139"/>
      <c r="V324" s="9"/>
      <c r="W324" s="9"/>
      <c r="X324" s="9"/>
      <c r="Y324" s="8"/>
      <c r="Z324" s="4"/>
      <c r="AA324" s="4"/>
      <c r="AB324" s="4"/>
      <c r="AC324" s="4"/>
      <c r="AD324" s="4"/>
      <c r="AE324" s="4"/>
      <c r="AF324" s="4"/>
      <c r="AG324" s="4"/>
      <c r="AH324" s="4"/>
      <c r="AI324" s="4"/>
      <c r="AJ324" s="4"/>
      <c r="AK324" s="4"/>
      <c r="AL324" s="4"/>
      <c r="AM324" s="4"/>
      <c r="AN324" s="4"/>
      <c r="AO324" s="4"/>
      <c r="AP324" s="4"/>
      <c r="AQ324" s="4"/>
      <c r="AR324" s="4"/>
      <c r="AS324" s="506"/>
    </row>
    <row r="325" spans="1:50" s="2" customFormat="1" hidden="1">
      <c r="A325" s="1010"/>
      <c r="B325" s="1000" t="s">
        <v>767</v>
      </c>
      <c r="C325" s="1000"/>
      <c r="D325" s="841"/>
      <c r="E325" s="1140" t="s">
        <v>768</v>
      </c>
      <c r="F325" s="1140" t="s">
        <v>769</v>
      </c>
      <c r="G325" s="1140"/>
      <c r="H325" s="1141"/>
      <c r="I325" s="1142"/>
      <c r="J325" s="1141"/>
      <c r="K325" s="1143"/>
      <c r="L325" s="1143"/>
      <c r="M325" s="1143"/>
      <c r="N325" s="1143"/>
      <c r="O325" s="1143"/>
      <c r="P325" s="1143"/>
      <c r="Q325" s="1143"/>
      <c r="R325" s="1143"/>
      <c r="S325" s="1144"/>
      <c r="T325" s="1144"/>
      <c r="U325" s="1145"/>
      <c r="AC325" s="4"/>
      <c r="AD325" s="8"/>
      <c r="AE325" s="4"/>
      <c r="AF325" s="4"/>
      <c r="AG325" s="4"/>
      <c r="AH325" s="4"/>
      <c r="AI325" s="4"/>
      <c r="AJ325" s="4"/>
      <c r="AK325" s="4"/>
      <c r="AL325" s="4"/>
      <c r="AM325" s="4"/>
      <c r="AN325" s="4"/>
      <c r="AO325" s="4"/>
      <c r="AP325" s="4"/>
      <c r="AQ325" s="4"/>
      <c r="AR325" s="4"/>
      <c r="AS325" s="4"/>
      <c r="AT325" s="4"/>
      <c r="AU325" s="4"/>
      <c r="AV325" s="4"/>
      <c r="AW325" s="4"/>
      <c r="AX325" s="21"/>
    </row>
    <row r="326" spans="1:50" hidden="1">
      <c r="B326" s="1000" t="s">
        <v>767</v>
      </c>
      <c r="C326" s="1000"/>
      <c r="D326" s="836"/>
      <c r="E326" s="1146" t="s">
        <v>115</v>
      </c>
      <c r="F326" s="1147"/>
      <c r="G326" s="1146" t="s">
        <v>65</v>
      </c>
      <c r="H326" s="1148"/>
      <c r="I326" s="1149" t="str">
        <f>I$319</f>
        <v>kantoor</v>
      </c>
      <c r="J326" s="1149" t="str">
        <f t="shared" ref="J326:T326" si="88">J$319</f>
        <v>bijeenkomst</v>
      </c>
      <c r="K326" s="1149" t="str">
        <f t="shared" si="88"/>
        <v>kinderopvang</v>
      </c>
      <c r="L326" s="1149" t="str">
        <f t="shared" si="88"/>
        <v>onderwijs</v>
      </c>
      <c r="M326" s="1149" t="str">
        <f t="shared" si="88"/>
        <v>zorg overig</v>
      </c>
      <c r="N326" s="1149" t="str">
        <f t="shared" si="88"/>
        <v>zorg met bed</v>
      </c>
      <c r="O326" s="1149" t="str">
        <f t="shared" si="88"/>
        <v>winkel</v>
      </c>
      <c r="P326" s="1149" t="str">
        <f t="shared" si="88"/>
        <v>sport</v>
      </c>
      <c r="Q326" s="1149" t="str">
        <f t="shared" si="88"/>
        <v>logies</v>
      </c>
      <c r="R326" s="1149" t="str">
        <f t="shared" si="88"/>
        <v>cel</v>
      </c>
      <c r="S326" s="1149" t="str">
        <f t="shared" si="88"/>
        <v>woning</v>
      </c>
      <c r="T326" s="1149" t="str">
        <f t="shared" si="88"/>
        <v>woongebouw</v>
      </c>
      <c r="U326" s="1149"/>
      <c r="V326" s="19"/>
      <c r="W326" s="15"/>
      <c r="X326" s="15"/>
      <c r="Y326" s="19"/>
      <c r="Z326" s="5"/>
      <c r="AA326" s="5"/>
      <c r="AB326" s="5"/>
      <c r="AC326" s="5"/>
      <c r="AD326" s="5"/>
      <c r="AE326" s="5"/>
      <c r="AF326" s="5"/>
      <c r="AG326" s="5"/>
      <c r="AH326" s="5"/>
      <c r="AI326" s="5"/>
      <c r="AJ326" s="5"/>
      <c r="AK326" s="5"/>
      <c r="AL326" s="5"/>
      <c r="AM326" s="5"/>
      <c r="AN326" s="5"/>
      <c r="AO326" s="5"/>
      <c r="AP326" s="5"/>
      <c r="AQ326" s="5"/>
      <c r="AR326" s="5"/>
      <c r="AS326" s="21"/>
    </row>
    <row r="327" spans="1:50" hidden="1">
      <c r="B327" s="1000" t="s">
        <v>767</v>
      </c>
      <c r="C327" s="1000"/>
      <c r="D327" s="836"/>
      <c r="E327" s="1150" t="s">
        <v>457</v>
      </c>
      <c r="F327" s="1150"/>
      <c r="G327" s="1150" t="s">
        <v>65</v>
      </c>
      <c r="H327" s="1150" t="s">
        <v>770</v>
      </c>
      <c r="I327" s="1150">
        <v>0.67200000000000004</v>
      </c>
      <c r="J327" s="1150">
        <v>0.67200000000000004</v>
      </c>
      <c r="K327" s="1150">
        <v>0.67200000000000004</v>
      </c>
      <c r="L327" s="1150">
        <v>0.67200000000000004</v>
      </c>
      <c r="M327" s="1150">
        <v>0.67200000000000004</v>
      </c>
      <c r="N327" s="1150">
        <v>0.67200000000000004</v>
      </c>
      <c r="O327" s="1150">
        <v>0.67200000000000004</v>
      </c>
      <c r="P327" s="1150">
        <v>0.67200000000000004</v>
      </c>
      <c r="Q327" s="1150">
        <v>0.67200000000000004</v>
      </c>
      <c r="R327" s="1150">
        <v>0.67200000000000004</v>
      </c>
      <c r="S327" s="1150">
        <v>0.67200000000000004</v>
      </c>
      <c r="T327" s="1150">
        <v>0.67200000000000004</v>
      </c>
      <c r="U327" s="1150"/>
      <c r="V327" s="15"/>
      <c r="W327" s="15"/>
      <c r="X327" s="15"/>
      <c r="Y327" s="19"/>
      <c r="Z327" s="5"/>
      <c r="AA327" s="5"/>
      <c r="AB327" s="5"/>
      <c r="AC327" s="5"/>
      <c r="AD327" s="5"/>
      <c r="AE327" s="5"/>
      <c r="AF327" s="5"/>
      <c r="AG327" s="5"/>
      <c r="AH327" s="5"/>
      <c r="AI327" s="5"/>
      <c r="AJ327" s="5"/>
      <c r="AK327" s="5"/>
      <c r="AL327" s="5"/>
      <c r="AM327" s="5"/>
      <c r="AN327" s="5"/>
      <c r="AO327" s="5"/>
      <c r="AP327" s="5"/>
      <c r="AQ327" s="5"/>
      <c r="AR327" s="5"/>
      <c r="AS327" s="21"/>
    </row>
    <row r="328" spans="1:50" hidden="1">
      <c r="B328" s="1000" t="s">
        <v>767</v>
      </c>
      <c r="C328" s="1000"/>
      <c r="D328" s="836"/>
      <c r="E328" s="1150" t="s">
        <v>771</v>
      </c>
      <c r="F328" s="1150"/>
      <c r="G328" s="1150" t="s">
        <v>65</v>
      </c>
      <c r="H328" s="1150" t="s">
        <v>770</v>
      </c>
      <c r="I328" s="1150">
        <v>-0.376</v>
      </c>
      <c r="J328" s="1150">
        <v>-0.376</v>
      </c>
      <c r="K328" s="1150">
        <v>-0.376</v>
      </c>
      <c r="L328" s="1150">
        <v>-0.376</v>
      </c>
      <c r="M328" s="1150">
        <v>-0.376</v>
      </c>
      <c r="N328" s="1150">
        <v>-0.376</v>
      </c>
      <c r="O328" s="1150">
        <v>-0.376</v>
      </c>
      <c r="P328" s="1150">
        <v>-0.376</v>
      </c>
      <c r="Q328" s="1150">
        <v>-0.376</v>
      </c>
      <c r="R328" s="1150">
        <v>-0.376</v>
      </c>
      <c r="S328" s="1150">
        <v>-0.376</v>
      </c>
      <c r="T328" s="1150">
        <v>-0.376</v>
      </c>
      <c r="U328" s="1150"/>
      <c r="V328" s="15"/>
      <c r="W328" s="15"/>
      <c r="X328" s="15"/>
      <c r="Y328" s="19"/>
      <c r="Z328" s="5"/>
      <c r="AA328" s="5"/>
      <c r="AB328" s="5"/>
      <c r="AC328" s="5"/>
      <c r="AD328" s="5"/>
      <c r="AE328" s="5"/>
      <c r="AF328" s="5"/>
      <c r="AG328" s="5"/>
      <c r="AH328" s="5"/>
      <c r="AI328" s="5"/>
      <c r="AJ328" s="5"/>
      <c r="AK328" s="5"/>
      <c r="AL328" s="5"/>
      <c r="AM328" s="5"/>
      <c r="AN328" s="5"/>
      <c r="AO328" s="5"/>
      <c r="AP328" s="5"/>
      <c r="AQ328" s="5"/>
      <c r="AR328" s="5"/>
      <c r="AS328" s="21"/>
    </row>
    <row r="329" spans="1:50" hidden="1">
      <c r="B329" s="1000" t="s">
        <v>767</v>
      </c>
      <c r="C329" s="1000"/>
      <c r="D329" s="836"/>
      <c r="E329" s="15"/>
      <c r="F329" s="15"/>
      <c r="G329" s="15"/>
      <c r="H329" s="15"/>
      <c r="I329" s="15"/>
      <c r="J329" s="15"/>
      <c r="K329" s="15"/>
      <c r="L329" s="15"/>
      <c r="M329" s="15"/>
      <c r="N329" s="15"/>
      <c r="O329" s="15"/>
      <c r="P329" s="15"/>
      <c r="Q329" s="15"/>
      <c r="R329" s="15"/>
      <c r="S329" s="15"/>
      <c r="T329" s="15"/>
      <c r="U329" s="15"/>
      <c r="V329" s="15"/>
      <c r="W329" s="15"/>
      <c r="X329" s="15"/>
      <c r="Y329" s="19"/>
      <c r="Z329" s="5"/>
      <c r="AA329" s="5"/>
      <c r="AB329" s="5"/>
      <c r="AC329" s="5"/>
      <c r="AD329" s="5"/>
      <c r="AE329" s="5"/>
      <c r="AF329" s="5"/>
      <c r="AG329" s="5"/>
      <c r="AH329" s="5"/>
      <c r="AI329" s="5"/>
      <c r="AJ329" s="5"/>
      <c r="AK329" s="5"/>
      <c r="AL329" s="5"/>
      <c r="AM329" s="5"/>
      <c r="AN329" s="5"/>
      <c r="AO329" s="5"/>
      <c r="AP329" s="5"/>
      <c r="AQ329" s="5"/>
      <c r="AR329" s="5"/>
      <c r="AS329" s="21"/>
    </row>
    <row r="330" spans="1:50" hidden="1">
      <c r="B330" s="1000" t="s">
        <v>772</v>
      </c>
      <c r="C330" s="1000"/>
      <c r="D330" s="836"/>
      <c r="E330" s="5"/>
      <c r="F330" s="5"/>
      <c r="G330" s="5"/>
      <c r="H330" s="15"/>
      <c r="I330" s="15"/>
      <c r="J330" s="15"/>
      <c r="K330" s="15"/>
      <c r="L330" s="15"/>
      <c r="M330" s="15"/>
      <c r="N330" s="15"/>
      <c r="O330" s="15"/>
      <c r="P330" s="15"/>
      <c r="Q330" s="15"/>
      <c r="R330" s="15"/>
      <c r="S330" s="15"/>
      <c r="T330" s="15"/>
      <c r="U330" s="15"/>
      <c r="V330" s="15"/>
      <c r="W330" s="15"/>
      <c r="X330" s="15"/>
      <c r="Y330" s="19"/>
      <c r="Z330" s="5"/>
      <c r="AA330" s="5"/>
      <c r="AB330" s="5"/>
      <c r="AC330" s="5"/>
      <c r="AD330" s="5"/>
      <c r="AE330" s="5"/>
      <c r="AF330" s="5"/>
      <c r="AG330" s="5"/>
      <c r="AH330" s="5"/>
      <c r="AI330" s="5"/>
      <c r="AJ330" s="5"/>
      <c r="AK330" s="5"/>
      <c r="AL330" s="5"/>
      <c r="AM330" s="5"/>
      <c r="AN330" s="5"/>
      <c r="AO330" s="5"/>
      <c r="AP330" s="5"/>
      <c r="AQ330" s="5"/>
      <c r="AR330" s="5"/>
      <c r="AS330" s="21"/>
    </row>
    <row r="331" spans="1:50" ht="21" hidden="1">
      <c r="B331" s="1000" t="s">
        <v>772</v>
      </c>
      <c r="C331" s="1000"/>
      <c r="D331" s="1136" t="s">
        <v>45</v>
      </c>
      <c r="E331" s="175" t="s">
        <v>772</v>
      </c>
      <c r="F331" s="175"/>
      <c r="G331" s="175"/>
      <c r="H331" s="175"/>
      <c r="I331" s="175"/>
      <c r="J331" s="175"/>
      <c r="K331" s="175"/>
      <c r="L331" s="175"/>
      <c r="M331" s="175"/>
      <c r="N331" s="175"/>
      <c r="O331" s="175"/>
      <c r="P331" s="175"/>
      <c r="Q331" s="175"/>
      <c r="R331" s="175"/>
      <c r="S331" s="175"/>
      <c r="T331" s="175"/>
      <c r="U331" s="175"/>
      <c r="V331" s="15"/>
      <c r="W331" s="52"/>
      <c r="X331" s="5"/>
      <c r="Y331" s="19"/>
      <c r="Z331" s="5"/>
      <c r="AA331" s="5"/>
      <c r="AB331" s="5"/>
      <c r="AC331" s="5"/>
      <c r="AD331" s="5"/>
      <c r="AE331" s="5"/>
      <c r="AF331" s="5"/>
      <c r="AG331" s="5"/>
      <c r="AH331" s="5"/>
      <c r="AI331" s="5"/>
      <c r="AJ331" s="5"/>
      <c r="AK331" s="5"/>
      <c r="AL331" s="5"/>
      <c r="AM331" s="5"/>
      <c r="AN331" s="5"/>
      <c r="AO331" s="5"/>
      <c r="AP331" s="5"/>
      <c r="AQ331" s="5"/>
      <c r="AR331" s="5"/>
      <c r="AS331" s="21"/>
    </row>
    <row r="332" spans="1:50" hidden="1">
      <c r="B332" s="1000" t="s">
        <v>772</v>
      </c>
      <c r="C332" s="1000"/>
      <c r="D332" s="837"/>
      <c r="E332" s="246" t="s">
        <v>414</v>
      </c>
      <c r="F332" s="246"/>
      <c r="G332" s="246" t="s">
        <v>353</v>
      </c>
      <c r="H332" s="247"/>
      <c r="I332" s="247">
        <f t="shared" ref="I332:T332" ca="1" si="89">OFFSET(I332,0,-1)+1</f>
        <v>1</v>
      </c>
      <c r="J332" s="247">
        <f t="shared" ca="1" si="89"/>
        <v>2</v>
      </c>
      <c r="K332" s="247">
        <f t="shared" ca="1" si="89"/>
        <v>3</v>
      </c>
      <c r="L332" s="247">
        <f t="shared" ca="1" si="89"/>
        <v>4</v>
      </c>
      <c r="M332" s="247">
        <f t="shared" ca="1" si="89"/>
        <v>5</v>
      </c>
      <c r="N332" s="247">
        <f t="shared" ca="1" si="89"/>
        <v>6</v>
      </c>
      <c r="O332" s="247">
        <f t="shared" ca="1" si="89"/>
        <v>7</v>
      </c>
      <c r="P332" s="247">
        <f t="shared" ca="1" si="89"/>
        <v>8</v>
      </c>
      <c r="Q332" s="247">
        <f t="shared" ca="1" si="89"/>
        <v>9</v>
      </c>
      <c r="R332" s="247">
        <f t="shared" ca="1" si="89"/>
        <v>10</v>
      </c>
      <c r="S332" s="247">
        <f t="shared" ca="1" si="89"/>
        <v>11</v>
      </c>
      <c r="T332" s="247">
        <f t="shared" ca="1" si="89"/>
        <v>12</v>
      </c>
      <c r="U332" s="247"/>
      <c r="V332" s="52"/>
      <c r="W332" s="52"/>
      <c r="X332" s="52"/>
      <c r="Y332" s="19"/>
      <c r="Z332" s="5"/>
      <c r="AA332" s="5"/>
      <c r="AB332" s="5"/>
      <c r="AC332" s="5"/>
      <c r="AD332" s="5"/>
      <c r="AE332" s="5"/>
      <c r="AF332" s="5"/>
      <c r="AG332" s="5"/>
      <c r="AH332" s="5"/>
      <c r="AI332" s="5"/>
      <c r="AJ332" s="5"/>
      <c r="AK332" s="5"/>
      <c r="AL332" s="5"/>
      <c r="AM332" s="5"/>
      <c r="AN332" s="5"/>
      <c r="AO332" s="5"/>
      <c r="AP332" s="5"/>
      <c r="AQ332" s="5"/>
      <c r="AR332" s="5"/>
      <c r="AS332" s="21"/>
    </row>
    <row r="333" spans="1:50" s="2" customFormat="1" ht="18.75" hidden="1">
      <c r="A333" s="1010"/>
      <c r="B333" s="1000" t="s">
        <v>772</v>
      </c>
      <c r="C333" s="1000"/>
      <c r="D333" s="841"/>
      <c r="E333" s="316" t="s">
        <v>773</v>
      </c>
      <c r="F333" s="317"/>
      <c r="G333" s="316"/>
      <c r="H333" s="318"/>
      <c r="I333" s="319"/>
      <c r="J333" s="318"/>
      <c r="K333" s="9"/>
      <c r="L333" s="9"/>
      <c r="M333" s="9"/>
      <c r="N333" s="9"/>
      <c r="O333" s="9"/>
      <c r="P333" s="9"/>
      <c r="Q333" s="9"/>
      <c r="R333" s="9"/>
      <c r="S333" s="4"/>
      <c r="T333" s="4"/>
      <c r="AC333" s="4"/>
      <c r="AD333" s="8"/>
      <c r="AE333" s="4"/>
      <c r="AF333" s="4"/>
      <c r="AG333" s="4"/>
      <c r="AH333" s="4"/>
      <c r="AI333" s="4"/>
      <c r="AJ333" s="4"/>
      <c r="AK333" s="4"/>
      <c r="AL333" s="4"/>
      <c r="AM333" s="4"/>
      <c r="AN333" s="4"/>
      <c r="AO333" s="4"/>
      <c r="AP333" s="4"/>
      <c r="AQ333" s="4"/>
      <c r="AR333" s="4"/>
      <c r="AS333" s="4"/>
      <c r="AT333" s="4"/>
      <c r="AU333" s="4"/>
      <c r="AV333" s="4"/>
      <c r="AW333" s="4"/>
      <c r="AX333" s="21"/>
    </row>
    <row r="334" spans="1:50" hidden="1">
      <c r="B334" s="1000" t="s">
        <v>772</v>
      </c>
      <c r="C334" s="1000"/>
      <c r="D334" s="836"/>
      <c r="E334" s="294" t="s">
        <v>115</v>
      </c>
      <c r="F334" s="264"/>
      <c r="G334" s="294" t="s">
        <v>65</v>
      </c>
      <c r="H334" s="407"/>
      <c r="I334" s="408" t="str">
        <f>I$319</f>
        <v>kantoor</v>
      </c>
      <c r="J334" s="408" t="str">
        <f t="shared" ref="J334:T334" si="90">J$319</f>
        <v>bijeenkomst</v>
      </c>
      <c r="K334" s="408" t="str">
        <f t="shared" si="90"/>
        <v>kinderopvang</v>
      </c>
      <c r="L334" s="408" t="str">
        <f t="shared" si="90"/>
        <v>onderwijs</v>
      </c>
      <c r="M334" s="408" t="str">
        <f t="shared" si="90"/>
        <v>zorg overig</v>
      </c>
      <c r="N334" s="408" t="str">
        <f t="shared" si="90"/>
        <v>zorg met bed</v>
      </c>
      <c r="O334" s="408" t="str">
        <f t="shared" si="90"/>
        <v>winkel</v>
      </c>
      <c r="P334" s="408" t="str">
        <f t="shared" si="90"/>
        <v>sport</v>
      </c>
      <c r="Q334" s="408" t="str">
        <f t="shared" si="90"/>
        <v>logies</v>
      </c>
      <c r="R334" s="408" t="str">
        <f t="shared" si="90"/>
        <v>cel</v>
      </c>
      <c r="S334" s="408" t="str">
        <f t="shared" si="90"/>
        <v>woning</v>
      </c>
      <c r="T334" s="408" t="str">
        <f t="shared" si="90"/>
        <v>woongebouw</v>
      </c>
      <c r="U334" s="407"/>
      <c r="V334" s="19"/>
      <c r="W334" s="15"/>
      <c r="X334" s="15"/>
      <c r="Y334" s="19"/>
      <c r="Z334" s="5"/>
      <c r="AA334" s="5"/>
      <c r="AB334" s="5"/>
      <c r="AC334" s="5"/>
      <c r="AD334" s="5"/>
      <c r="AE334" s="5"/>
      <c r="AF334" s="5"/>
      <c r="AG334" s="5"/>
      <c r="AH334" s="5"/>
      <c r="AI334" s="5"/>
      <c r="AJ334" s="5"/>
      <c r="AK334" s="5"/>
      <c r="AL334" s="5"/>
      <c r="AM334" s="5"/>
      <c r="AN334" s="5"/>
      <c r="AO334" s="5"/>
      <c r="AP334" s="5"/>
      <c r="AQ334" s="5"/>
      <c r="AR334" s="5"/>
      <c r="AS334" s="21"/>
    </row>
    <row r="335" spans="1:50" hidden="1">
      <c r="B335" s="1000" t="s">
        <v>772</v>
      </c>
      <c r="C335" s="1000"/>
      <c r="D335" s="837" t="s">
        <v>45</v>
      </c>
      <c r="E335" s="294" t="s">
        <v>1143</v>
      </c>
      <c r="F335" s="294"/>
      <c r="G335" s="294" t="s">
        <v>154</v>
      </c>
      <c r="H335" s="407"/>
      <c r="I335" s="269">
        <v>1.4</v>
      </c>
      <c r="J335" s="269">
        <v>2.8</v>
      </c>
      <c r="K335" s="269">
        <v>2.8</v>
      </c>
      <c r="L335" s="269">
        <v>1.4</v>
      </c>
      <c r="M335" s="269">
        <v>2.8</v>
      </c>
      <c r="N335" s="269">
        <v>15.3</v>
      </c>
      <c r="O335" s="269">
        <v>1.4</v>
      </c>
      <c r="P335" s="269">
        <v>12.5</v>
      </c>
      <c r="Q335" s="269">
        <v>12.5</v>
      </c>
      <c r="R335" s="269">
        <v>4.2</v>
      </c>
      <c r="S335" s="269">
        <v>0</v>
      </c>
      <c r="T335" s="269">
        <v>0</v>
      </c>
      <c r="U335" s="407"/>
      <c r="V335" s="19"/>
      <c r="X335" s="15"/>
      <c r="Y335" s="19"/>
      <c r="Z335" s="5"/>
      <c r="AA335" s="5"/>
      <c r="AB335" s="5"/>
      <c r="AC335" s="5"/>
      <c r="AD335" s="5"/>
      <c r="AE335" s="5"/>
      <c r="AF335" s="5"/>
      <c r="AG335" s="5"/>
      <c r="AH335" s="5"/>
      <c r="AI335" s="5"/>
      <c r="AJ335" s="5"/>
      <c r="AK335" s="5"/>
      <c r="AL335" s="5"/>
      <c r="AM335" s="5"/>
      <c r="AN335" s="5"/>
      <c r="AO335" s="5"/>
      <c r="AP335" s="5"/>
      <c r="AQ335" s="5"/>
      <c r="AR335" s="5"/>
      <c r="AS335" s="371"/>
    </row>
    <row r="336" spans="1:50" hidden="1">
      <c r="B336" s="1000" t="s">
        <v>772</v>
      </c>
      <c r="C336" s="1000"/>
      <c r="D336" s="837" t="s">
        <v>45</v>
      </c>
      <c r="E336" s="294" t="s">
        <v>1142</v>
      </c>
      <c r="F336" s="294"/>
      <c r="G336" s="294" t="s">
        <v>154</v>
      </c>
      <c r="H336" s="407"/>
      <c r="I336" s="928">
        <f>0.8*I335</f>
        <v>1.1199999999999999</v>
      </c>
      <c r="J336" s="928">
        <f t="shared" ref="J336:T336" si="91">0.8*J335</f>
        <v>2.2399999999999998</v>
      </c>
      <c r="K336" s="928">
        <f t="shared" si="91"/>
        <v>2.2399999999999998</v>
      </c>
      <c r="L336" s="928">
        <f t="shared" si="91"/>
        <v>1.1199999999999999</v>
      </c>
      <c r="M336" s="928">
        <f t="shared" si="91"/>
        <v>2.2399999999999998</v>
      </c>
      <c r="N336" s="928">
        <f t="shared" si="91"/>
        <v>12.240000000000002</v>
      </c>
      <c r="O336" s="928">
        <f t="shared" si="91"/>
        <v>1.1199999999999999</v>
      </c>
      <c r="P336" s="928">
        <f t="shared" si="91"/>
        <v>10</v>
      </c>
      <c r="Q336" s="928">
        <f t="shared" si="91"/>
        <v>10</v>
      </c>
      <c r="R336" s="928">
        <f t="shared" si="91"/>
        <v>3.3600000000000003</v>
      </c>
      <c r="S336" s="928">
        <f t="shared" si="91"/>
        <v>0</v>
      </c>
      <c r="T336" s="928">
        <f t="shared" si="91"/>
        <v>0</v>
      </c>
      <c r="U336" s="407"/>
      <c r="V336" s="19"/>
      <c r="X336" s="15"/>
      <c r="Y336" s="19"/>
      <c r="Z336" s="5"/>
      <c r="AA336" s="5"/>
      <c r="AB336" s="5"/>
      <c r="AC336" s="5"/>
      <c r="AD336" s="5"/>
      <c r="AE336" s="5"/>
      <c r="AF336" s="5"/>
      <c r="AG336" s="5"/>
      <c r="AH336" s="5"/>
      <c r="AI336" s="5"/>
      <c r="AJ336" s="5"/>
      <c r="AK336" s="5"/>
      <c r="AL336" s="5"/>
      <c r="AM336" s="5"/>
      <c r="AN336" s="5"/>
      <c r="AO336" s="5"/>
      <c r="AP336" s="5"/>
      <c r="AQ336" s="5"/>
      <c r="AR336" s="5"/>
      <c r="AS336" s="371"/>
    </row>
    <row r="337" spans="1:50" hidden="1">
      <c r="B337" s="1000" t="s">
        <v>772</v>
      </c>
      <c r="C337" s="1000"/>
      <c r="D337" s="837" t="s">
        <v>45</v>
      </c>
      <c r="E337" s="294" t="s">
        <v>1140</v>
      </c>
      <c r="F337" s="294"/>
      <c r="G337" s="294" t="s">
        <v>1139</v>
      </c>
      <c r="H337" s="407"/>
      <c r="I337" s="269">
        <v>0</v>
      </c>
      <c r="J337" s="269">
        <v>0</v>
      </c>
      <c r="K337" s="269">
        <v>0</v>
      </c>
      <c r="L337" s="269">
        <v>0</v>
      </c>
      <c r="M337" s="269">
        <v>0</v>
      </c>
      <c r="N337" s="269">
        <v>0</v>
      </c>
      <c r="O337" s="269">
        <v>0</v>
      </c>
      <c r="P337" s="269">
        <v>0</v>
      </c>
      <c r="Q337" s="269">
        <v>0</v>
      </c>
      <c r="R337" s="269">
        <v>0</v>
      </c>
      <c r="S337" s="269">
        <v>856</v>
      </c>
      <c r="T337" s="269">
        <v>856</v>
      </c>
      <c r="U337" s="407"/>
      <c r="V337" s="19"/>
      <c r="X337" s="15"/>
      <c r="Y337" s="19"/>
      <c r="Z337" s="5"/>
      <c r="AA337" s="5"/>
      <c r="AB337" s="5"/>
      <c r="AC337" s="5"/>
      <c r="AD337" s="5"/>
      <c r="AE337" s="5"/>
      <c r="AF337" s="5"/>
      <c r="AG337" s="5"/>
      <c r="AH337" s="5"/>
      <c r="AI337" s="5"/>
      <c r="AJ337" s="5"/>
      <c r="AK337" s="5"/>
      <c r="AL337" s="5"/>
      <c r="AM337" s="5"/>
      <c r="AN337" s="5"/>
      <c r="AO337" s="5"/>
      <c r="AP337" s="5"/>
      <c r="AQ337" s="5"/>
      <c r="AR337" s="5"/>
      <c r="AS337" s="371"/>
    </row>
    <row r="338" spans="1:50" hidden="1">
      <c r="B338" s="1000" t="s">
        <v>772</v>
      </c>
      <c r="C338" s="1000"/>
      <c r="D338" s="837" t="s">
        <v>45</v>
      </c>
      <c r="E338" s="294" t="s">
        <v>1141</v>
      </c>
      <c r="F338" s="294"/>
      <c r="G338" s="294" t="s">
        <v>1139</v>
      </c>
      <c r="H338" s="407"/>
      <c r="I338" s="928">
        <f t="shared" ref="I338:R338" si="92">0.8*I337</f>
        <v>0</v>
      </c>
      <c r="J338" s="928">
        <f t="shared" si="92"/>
        <v>0</v>
      </c>
      <c r="K338" s="928">
        <f t="shared" si="92"/>
        <v>0</v>
      </c>
      <c r="L338" s="928">
        <f t="shared" si="92"/>
        <v>0</v>
      </c>
      <c r="M338" s="928">
        <f t="shared" si="92"/>
        <v>0</v>
      </c>
      <c r="N338" s="928">
        <f t="shared" si="92"/>
        <v>0</v>
      </c>
      <c r="O338" s="928">
        <f t="shared" si="92"/>
        <v>0</v>
      </c>
      <c r="P338" s="928">
        <f t="shared" si="92"/>
        <v>0</v>
      </c>
      <c r="Q338" s="928">
        <f t="shared" si="92"/>
        <v>0</v>
      </c>
      <c r="R338" s="928">
        <f t="shared" si="92"/>
        <v>0</v>
      </c>
      <c r="S338" s="928">
        <v>545</v>
      </c>
      <c r="T338" s="928">
        <v>545</v>
      </c>
      <c r="U338" s="407"/>
      <c r="V338" s="19"/>
      <c r="X338" s="15"/>
      <c r="Y338" s="19"/>
      <c r="Z338" s="5"/>
      <c r="AA338" s="5"/>
      <c r="AB338" s="5"/>
      <c r="AC338" s="5"/>
      <c r="AD338" s="5"/>
      <c r="AE338" s="5"/>
      <c r="AF338" s="5"/>
      <c r="AG338" s="5"/>
      <c r="AH338" s="5"/>
      <c r="AI338" s="5"/>
      <c r="AJ338" s="5"/>
      <c r="AK338" s="5"/>
      <c r="AL338" s="5"/>
      <c r="AM338" s="5"/>
      <c r="AN338" s="5"/>
      <c r="AO338" s="5"/>
      <c r="AP338" s="5"/>
      <c r="AQ338" s="5"/>
      <c r="AR338" s="5"/>
      <c r="AS338" s="371"/>
    </row>
    <row r="339" spans="1:50" hidden="1">
      <c r="B339" s="1000" t="s">
        <v>1137</v>
      </c>
      <c r="C339" s="1000"/>
      <c r="D339" s="836"/>
      <c r="E339" s="294" t="s">
        <v>632</v>
      </c>
      <c r="F339" s="264"/>
      <c r="G339" s="294" t="s">
        <v>65</v>
      </c>
      <c r="H339" s="407"/>
      <c r="I339" s="927">
        <f>I336/I335</f>
        <v>0.79999999999999993</v>
      </c>
      <c r="J339" s="927">
        <f t="shared" ref="J339:R339" si="93">J336/J335</f>
        <v>0.79999999999999993</v>
      </c>
      <c r="K339" s="927">
        <f t="shared" si="93"/>
        <v>0.79999999999999993</v>
      </c>
      <c r="L339" s="927">
        <f t="shared" si="93"/>
        <v>0.79999999999999993</v>
      </c>
      <c r="M339" s="927">
        <f t="shared" si="93"/>
        <v>0.79999999999999993</v>
      </c>
      <c r="N339" s="927">
        <f t="shared" si="93"/>
        <v>0.8</v>
      </c>
      <c r="O339" s="927">
        <f t="shared" si="93"/>
        <v>0.79999999999999993</v>
      </c>
      <c r="P339" s="927">
        <f t="shared" si="93"/>
        <v>0.8</v>
      </c>
      <c r="Q339" s="927">
        <f t="shared" si="93"/>
        <v>0.8</v>
      </c>
      <c r="R339" s="927">
        <f t="shared" si="93"/>
        <v>0.8</v>
      </c>
      <c r="S339" s="927">
        <f>S338/S337</f>
        <v>0.63668224299065423</v>
      </c>
      <c r="T339" s="927">
        <f>T338/T337</f>
        <v>0.63668224299065423</v>
      </c>
      <c r="U339" s="926"/>
      <c r="V339" s="5"/>
      <c r="W339" s="5"/>
      <c r="X339" s="5"/>
      <c r="Y339" s="19"/>
      <c r="Z339" s="5"/>
      <c r="AA339" s="5"/>
      <c r="AB339" s="5"/>
      <c r="AC339" s="5"/>
      <c r="AD339" s="5"/>
      <c r="AE339" s="5"/>
      <c r="AF339" s="5"/>
      <c r="AG339" s="5"/>
      <c r="AH339" s="5"/>
      <c r="AI339" s="5"/>
      <c r="AJ339" s="5"/>
      <c r="AK339" s="5"/>
      <c r="AL339" s="5"/>
      <c r="AM339" s="5"/>
      <c r="AN339" s="5"/>
      <c r="AO339" s="5"/>
      <c r="AP339" s="5"/>
      <c r="AQ339" s="5"/>
      <c r="AR339" s="5"/>
      <c r="AS339" s="21"/>
    </row>
    <row r="340" spans="1:50" hidden="1">
      <c r="B340" s="1000" t="s">
        <v>772</v>
      </c>
      <c r="C340" s="1000"/>
      <c r="D340" s="836"/>
      <c r="E340" s="325" t="s">
        <v>1138</v>
      </c>
      <c r="F340" s="325"/>
      <c r="G340" s="325"/>
      <c r="H340" s="471"/>
      <c r="I340" s="471"/>
      <c r="J340" s="471"/>
      <c r="K340" s="471"/>
      <c r="L340" s="471"/>
      <c r="M340" s="471"/>
      <c r="N340" s="471"/>
      <c r="O340" s="471"/>
      <c r="P340" s="471"/>
      <c r="Q340" s="471"/>
      <c r="R340" s="471"/>
      <c r="S340" s="471"/>
      <c r="T340" s="453"/>
      <c r="U340" s="471"/>
      <c r="V340" s="15"/>
      <c r="X340" s="15"/>
      <c r="Y340" s="19"/>
      <c r="Z340" s="5"/>
      <c r="AA340" s="5"/>
      <c r="AB340" s="5"/>
      <c r="AC340" s="5"/>
      <c r="AD340" s="5"/>
      <c r="AE340" s="5"/>
      <c r="AF340" s="5"/>
      <c r="AG340" s="5"/>
      <c r="AH340" s="5"/>
      <c r="AI340" s="5"/>
      <c r="AJ340" s="5"/>
      <c r="AK340" s="5"/>
      <c r="AL340" s="5"/>
      <c r="AM340" s="5"/>
      <c r="AN340" s="5"/>
      <c r="AO340" s="5"/>
      <c r="AP340" s="5"/>
      <c r="AQ340" s="5"/>
      <c r="AR340" s="5"/>
      <c r="AS340" s="21"/>
    </row>
    <row r="341" spans="1:50" hidden="1">
      <c r="B341" s="1000" t="s">
        <v>772</v>
      </c>
      <c r="C341" s="1000"/>
      <c r="D341" s="836"/>
      <c r="E341" s="5"/>
      <c r="F341" s="5"/>
      <c r="G341" s="5"/>
      <c r="H341" s="15"/>
      <c r="I341" s="15"/>
      <c r="J341" s="15"/>
      <c r="K341" s="15"/>
      <c r="L341" s="15"/>
      <c r="M341" s="15"/>
      <c r="N341" s="15"/>
      <c r="O341" s="15"/>
      <c r="P341" s="15"/>
      <c r="Q341" s="15"/>
      <c r="R341" s="15"/>
      <c r="S341" s="15"/>
      <c r="T341" s="15"/>
      <c r="U341" s="15"/>
      <c r="V341" s="15"/>
      <c r="X341" s="15"/>
      <c r="Y341" s="19"/>
      <c r="Z341" s="5"/>
      <c r="AA341" s="5"/>
      <c r="AB341" s="5"/>
      <c r="AC341" s="5"/>
      <c r="AD341" s="5"/>
      <c r="AE341" s="5"/>
      <c r="AF341" s="5"/>
      <c r="AG341" s="5"/>
      <c r="AH341" s="5"/>
      <c r="AI341" s="5"/>
      <c r="AJ341" s="5"/>
      <c r="AK341" s="5"/>
      <c r="AL341" s="5"/>
      <c r="AM341" s="5"/>
      <c r="AN341" s="5"/>
      <c r="AO341" s="5"/>
      <c r="AP341" s="5"/>
      <c r="AQ341" s="5"/>
      <c r="AR341" s="5"/>
      <c r="AS341" s="21"/>
    </row>
    <row r="342" spans="1:50" hidden="1">
      <c r="B342" s="1000" t="s">
        <v>772</v>
      </c>
      <c r="C342" s="1000"/>
      <c r="D342" s="836"/>
      <c r="E342" s="5"/>
      <c r="F342" s="5"/>
      <c r="G342" s="5"/>
      <c r="H342" s="15"/>
      <c r="I342" s="15"/>
      <c r="J342" s="15"/>
      <c r="K342" s="15"/>
      <c r="L342" s="15"/>
      <c r="M342" s="15"/>
      <c r="N342" s="15"/>
      <c r="O342" s="15"/>
      <c r="P342" s="15"/>
      <c r="Q342" s="15"/>
      <c r="R342" s="15"/>
      <c r="S342" s="15"/>
      <c r="T342" s="15"/>
      <c r="U342" s="15"/>
      <c r="V342" s="15"/>
      <c r="X342" s="15"/>
      <c r="Y342" s="19"/>
      <c r="Z342" s="5"/>
      <c r="AA342" s="5"/>
      <c r="AB342" s="5"/>
      <c r="AC342" s="5"/>
      <c r="AD342" s="5"/>
      <c r="AE342" s="5"/>
      <c r="AF342" s="5"/>
      <c r="AG342" s="5"/>
      <c r="AH342" s="5"/>
      <c r="AI342" s="5"/>
      <c r="AJ342" s="5"/>
      <c r="AK342" s="5"/>
      <c r="AL342" s="5"/>
      <c r="AM342" s="5"/>
      <c r="AN342" s="5"/>
      <c r="AO342" s="5"/>
      <c r="AP342" s="5"/>
      <c r="AQ342" s="5"/>
      <c r="AR342" s="5"/>
      <c r="AS342" s="21"/>
    </row>
    <row r="343" spans="1:50" ht="21" hidden="1">
      <c r="B343" s="1000" t="s">
        <v>772</v>
      </c>
      <c r="C343" s="1000"/>
      <c r="D343" s="1136" t="s">
        <v>45</v>
      </c>
      <c r="E343" s="199" t="s">
        <v>774</v>
      </c>
      <c r="F343" s="199"/>
      <c r="G343" s="199"/>
      <c r="H343" s="199"/>
      <c r="I343" s="199"/>
      <c r="J343" s="199"/>
      <c r="K343" s="199"/>
      <c r="L343" s="199"/>
      <c r="M343" s="199"/>
      <c r="N343" s="199"/>
      <c r="O343" s="199"/>
      <c r="P343" s="199"/>
      <c r="Q343" s="199"/>
      <c r="R343" s="199"/>
      <c r="S343" s="199"/>
      <c r="T343" s="199"/>
      <c r="U343" s="199"/>
      <c r="V343" s="15"/>
      <c r="X343" s="5"/>
      <c r="Y343" s="19"/>
      <c r="Z343" s="5"/>
      <c r="AA343" s="5"/>
      <c r="AB343" s="5"/>
      <c r="AC343" s="5"/>
      <c r="AD343" s="5"/>
      <c r="AE343" s="5"/>
      <c r="AF343" s="5"/>
      <c r="AG343" s="5"/>
      <c r="AH343" s="5"/>
      <c r="AI343" s="5"/>
      <c r="AJ343" s="5"/>
      <c r="AK343" s="5"/>
      <c r="AL343" s="5"/>
      <c r="AM343" s="5"/>
      <c r="AN343" s="5"/>
      <c r="AO343" s="5"/>
      <c r="AP343" s="5"/>
      <c r="AQ343" s="5"/>
      <c r="AR343" s="5"/>
    </row>
    <row r="344" spans="1:50" hidden="1">
      <c r="B344" s="1000" t="s">
        <v>772</v>
      </c>
      <c r="C344" s="1000"/>
      <c r="D344" s="837"/>
      <c r="E344" s="320" t="s">
        <v>414</v>
      </c>
      <c r="F344" s="320"/>
      <c r="G344" s="320" t="s">
        <v>353</v>
      </c>
      <c r="H344" s="321"/>
      <c r="I344" s="321">
        <f t="shared" ref="I344:T344" ca="1" si="94">OFFSET(I344,0,-1)+1</f>
        <v>1</v>
      </c>
      <c r="J344" s="321">
        <f t="shared" ca="1" si="94"/>
        <v>2</v>
      </c>
      <c r="K344" s="321">
        <f t="shared" ca="1" si="94"/>
        <v>3</v>
      </c>
      <c r="L344" s="321">
        <f t="shared" ca="1" si="94"/>
        <v>4</v>
      </c>
      <c r="M344" s="321">
        <f t="shared" ca="1" si="94"/>
        <v>5</v>
      </c>
      <c r="N344" s="321">
        <f t="shared" ca="1" si="94"/>
        <v>6</v>
      </c>
      <c r="O344" s="321">
        <f t="shared" ca="1" si="94"/>
        <v>7</v>
      </c>
      <c r="P344" s="321">
        <f t="shared" ca="1" si="94"/>
        <v>8</v>
      </c>
      <c r="Q344" s="321">
        <f t="shared" ca="1" si="94"/>
        <v>9</v>
      </c>
      <c r="R344" s="321">
        <f t="shared" ca="1" si="94"/>
        <v>10</v>
      </c>
      <c r="S344" s="321">
        <f t="shared" ca="1" si="94"/>
        <v>11</v>
      </c>
      <c r="T344" s="321">
        <f t="shared" ca="1" si="94"/>
        <v>12</v>
      </c>
      <c r="U344" s="321"/>
      <c r="V344" s="52"/>
      <c r="X344" s="52"/>
      <c r="Y344" s="19"/>
      <c r="Z344" s="5"/>
      <c r="AA344" s="5"/>
      <c r="AB344" s="5"/>
      <c r="AC344" s="5"/>
      <c r="AD344" s="5"/>
      <c r="AE344" s="5"/>
      <c r="AF344" s="5"/>
      <c r="AG344" s="5"/>
      <c r="AH344" s="5"/>
      <c r="AI344" s="5"/>
      <c r="AJ344" s="5"/>
      <c r="AK344" s="5"/>
      <c r="AL344" s="5"/>
      <c r="AM344" s="5"/>
      <c r="AN344" s="5"/>
      <c r="AO344" s="5"/>
      <c r="AP344" s="5"/>
      <c r="AQ344" s="5"/>
      <c r="AR344" s="5"/>
    </row>
    <row r="345" spans="1:50" s="2" customFormat="1" ht="18.75" hidden="1">
      <c r="A345" s="1010"/>
      <c r="B345" s="1000" t="s">
        <v>772</v>
      </c>
      <c r="C345" s="1000"/>
      <c r="D345" s="841"/>
      <c r="E345" s="316" t="s">
        <v>775</v>
      </c>
      <c r="F345" s="317"/>
      <c r="G345" s="316"/>
      <c r="H345" s="318"/>
      <c r="I345" s="319"/>
      <c r="J345" s="318"/>
      <c r="K345" s="9"/>
      <c r="L345" s="9"/>
      <c r="M345" s="9"/>
      <c r="N345" s="9"/>
      <c r="O345" s="9"/>
      <c r="P345" s="9"/>
      <c r="Q345" s="9"/>
      <c r="R345" s="9"/>
      <c r="S345" s="4"/>
      <c r="T345" s="4"/>
      <c r="AC345" s="4"/>
      <c r="AD345" s="8"/>
      <c r="AE345" s="4"/>
      <c r="AF345" s="4"/>
      <c r="AG345" s="4"/>
      <c r="AH345" s="4"/>
      <c r="AI345" s="4"/>
      <c r="AJ345" s="4"/>
      <c r="AK345" s="4"/>
      <c r="AL345" s="4"/>
      <c r="AM345" s="4"/>
      <c r="AN345" s="4"/>
      <c r="AO345" s="4"/>
      <c r="AP345" s="4"/>
      <c r="AQ345" s="4"/>
      <c r="AR345" s="4"/>
      <c r="AS345" s="4"/>
      <c r="AT345" s="4"/>
      <c r="AU345" s="4"/>
      <c r="AV345" s="4"/>
      <c r="AW345" s="4"/>
      <c r="AX345" s="21"/>
    </row>
    <row r="346" spans="1:50" hidden="1">
      <c r="B346" s="1000" t="s">
        <v>772</v>
      </c>
      <c r="C346" s="1000"/>
      <c r="D346" s="836"/>
      <c r="E346" s="329" t="s">
        <v>115</v>
      </c>
      <c r="F346" s="330"/>
      <c r="G346" s="329" t="s">
        <v>65</v>
      </c>
      <c r="H346" s="342"/>
      <c r="I346" s="408" t="str">
        <f>I$319</f>
        <v>kantoor</v>
      </c>
      <c r="J346" s="408" t="str">
        <f t="shared" ref="J346:T346" si="95">J$319</f>
        <v>bijeenkomst</v>
      </c>
      <c r="K346" s="408" t="str">
        <f t="shared" si="95"/>
        <v>kinderopvang</v>
      </c>
      <c r="L346" s="408" t="str">
        <f t="shared" si="95"/>
        <v>onderwijs</v>
      </c>
      <c r="M346" s="408" t="str">
        <f t="shared" si="95"/>
        <v>zorg overig</v>
      </c>
      <c r="N346" s="408" t="str">
        <f t="shared" si="95"/>
        <v>zorg met bed</v>
      </c>
      <c r="O346" s="408" t="str">
        <f t="shared" si="95"/>
        <v>winkel</v>
      </c>
      <c r="P346" s="408" t="str">
        <f t="shared" si="95"/>
        <v>sport</v>
      </c>
      <c r="Q346" s="408" t="str">
        <f t="shared" si="95"/>
        <v>logies</v>
      </c>
      <c r="R346" s="408" t="str">
        <f t="shared" si="95"/>
        <v>cel</v>
      </c>
      <c r="S346" s="408" t="str">
        <f t="shared" si="95"/>
        <v>woning</v>
      </c>
      <c r="T346" s="408" t="str">
        <f t="shared" si="95"/>
        <v>woongebouw</v>
      </c>
      <c r="U346" s="342"/>
      <c r="V346" s="19"/>
      <c r="X346" s="15"/>
      <c r="Y346" s="19"/>
      <c r="Z346" s="5"/>
      <c r="AA346" s="5"/>
      <c r="AB346" s="5"/>
      <c r="AC346" s="5"/>
      <c r="AD346" s="5"/>
      <c r="AE346" s="5"/>
      <c r="AF346" s="5"/>
      <c r="AG346" s="5"/>
      <c r="AH346" s="5"/>
      <c r="AI346" s="5"/>
      <c r="AJ346" s="5"/>
      <c r="AK346" s="5"/>
      <c r="AL346" s="5"/>
      <c r="AM346" s="5"/>
      <c r="AN346" s="5"/>
      <c r="AO346" s="5"/>
      <c r="AP346" s="5"/>
      <c r="AQ346" s="5"/>
      <c r="AR346" s="5"/>
      <c r="AS346" s="21"/>
    </row>
    <row r="347" spans="1:50" hidden="1">
      <c r="B347" s="1000" t="s">
        <v>772</v>
      </c>
      <c r="C347" s="1000"/>
      <c r="D347" s="836"/>
      <c r="E347" s="329" t="s">
        <v>776</v>
      </c>
      <c r="F347" s="330"/>
      <c r="G347" s="329" t="s">
        <v>141</v>
      </c>
      <c r="H347" s="342"/>
      <c r="I347" s="446">
        <v>4</v>
      </c>
      <c r="J347" s="446">
        <v>1</v>
      </c>
      <c r="K347" s="446">
        <v>1</v>
      </c>
      <c r="L347" s="446">
        <v>2</v>
      </c>
      <c r="M347" s="446">
        <v>3</v>
      </c>
      <c r="N347" s="446">
        <v>4</v>
      </c>
      <c r="O347" s="446">
        <v>3</v>
      </c>
      <c r="P347" s="446">
        <v>1</v>
      </c>
      <c r="Q347" s="446">
        <v>2</v>
      </c>
      <c r="R347" s="446">
        <v>2</v>
      </c>
      <c r="S347" s="446">
        <v>0</v>
      </c>
      <c r="T347" s="446">
        <v>0</v>
      </c>
      <c r="U347" s="342"/>
      <c r="V347" s="19"/>
      <c r="X347" s="15"/>
      <c r="Y347" s="19"/>
      <c r="Z347" s="5"/>
      <c r="AA347" s="5"/>
      <c r="AB347" s="5"/>
      <c r="AC347" s="5"/>
      <c r="AD347" s="5"/>
      <c r="AE347" s="5"/>
      <c r="AF347" s="5"/>
      <c r="AG347" s="5"/>
      <c r="AH347" s="5"/>
      <c r="AI347" s="5"/>
      <c r="AJ347" s="5"/>
      <c r="AK347" s="5"/>
      <c r="AL347" s="5"/>
      <c r="AM347" s="5"/>
      <c r="AN347" s="5"/>
      <c r="AO347" s="5"/>
      <c r="AP347" s="5"/>
      <c r="AQ347" s="5"/>
      <c r="AR347" s="5"/>
      <c r="AS347" s="21"/>
    </row>
    <row r="348" spans="1:50" hidden="1">
      <c r="B348" s="1000" t="s">
        <v>772</v>
      </c>
      <c r="C348" s="1000"/>
      <c r="D348" s="836"/>
      <c r="E348" s="423" t="s">
        <v>777</v>
      </c>
      <c r="F348" s="330"/>
      <c r="G348" s="462" t="s">
        <v>154</v>
      </c>
      <c r="H348" s="342"/>
      <c r="I348" s="341">
        <f>I347*365*24/1000</f>
        <v>35.04</v>
      </c>
      <c r="J348" s="341">
        <f>J347*365*24/1000</f>
        <v>8.76</v>
      </c>
      <c r="K348" s="341">
        <f t="shared" ref="K348:Q348" si="96">K347*365*24/1000</f>
        <v>8.76</v>
      </c>
      <c r="L348" s="341">
        <f>L347*365*24/1000</f>
        <v>17.52</v>
      </c>
      <c r="M348" s="341">
        <f t="shared" si="96"/>
        <v>26.28</v>
      </c>
      <c r="N348" s="341">
        <f t="shared" si="96"/>
        <v>35.04</v>
      </c>
      <c r="O348" s="341">
        <f>O347*365*24/1000</f>
        <v>26.28</v>
      </c>
      <c r="P348" s="341">
        <f>P347*365*24/1000</f>
        <v>8.76</v>
      </c>
      <c r="Q348" s="341">
        <f t="shared" si="96"/>
        <v>17.52</v>
      </c>
      <c r="R348" s="341">
        <f>R347*365*24/1000</f>
        <v>17.52</v>
      </c>
      <c r="S348" s="341">
        <f>S347*365*24/1000</f>
        <v>0</v>
      </c>
      <c r="T348" s="341">
        <f>T347*365*24/1000</f>
        <v>0</v>
      </c>
      <c r="U348" s="342"/>
      <c r="V348" s="21"/>
      <c r="X348" s="15"/>
      <c r="Y348" s="19"/>
      <c r="Z348" s="5"/>
      <c r="AA348" s="5"/>
      <c r="AB348" s="5"/>
      <c r="AC348" s="5"/>
      <c r="AD348" s="5"/>
      <c r="AE348" s="5"/>
      <c r="AF348" s="5"/>
      <c r="AG348" s="5"/>
      <c r="AH348" s="5"/>
      <c r="AI348" s="5"/>
      <c r="AJ348" s="5"/>
      <c r="AK348" s="5"/>
      <c r="AL348" s="5"/>
      <c r="AM348" s="5"/>
      <c r="AN348" s="5"/>
      <c r="AO348" s="5"/>
      <c r="AP348" s="5"/>
      <c r="AQ348" s="5"/>
      <c r="AR348" s="5"/>
      <c r="AS348" s="21"/>
    </row>
    <row r="349" spans="1:50" hidden="1">
      <c r="B349" s="1000" t="s">
        <v>772</v>
      </c>
      <c r="C349" s="1000"/>
      <c r="D349" s="836"/>
      <c r="E349" s="325" t="s">
        <v>778</v>
      </c>
      <c r="F349" s="325"/>
      <c r="G349" s="325"/>
      <c r="H349" s="471"/>
      <c r="I349" s="471"/>
      <c r="J349" s="471"/>
      <c r="K349" s="471"/>
      <c r="L349" s="471"/>
      <c r="M349" s="471"/>
      <c r="N349" s="471"/>
      <c r="O349" s="471"/>
      <c r="P349" s="471"/>
      <c r="Q349" s="471"/>
      <c r="R349" s="471"/>
      <c r="S349" s="471"/>
      <c r="T349" s="453"/>
      <c r="U349" s="471"/>
      <c r="V349" s="15"/>
      <c r="X349" s="15"/>
      <c r="Y349" s="19"/>
      <c r="Z349" s="5"/>
      <c r="AA349" s="5"/>
      <c r="AB349" s="5"/>
      <c r="AC349" s="5"/>
      <c r="AD349" s="5"/>
      <c r="AE349" s="5"/>
      <c r="AF349" s="5"/>
      <c r="AG349" s="5"/>
      <c r="AH349" s="5"/>
      <c r="AI349" s="5"/>
      <c r="AJ349" s="5"/>
      <c r="AK349" s="5"/>
      <c r="AL349" s="5"/>
      <c r="AM349" s="5"/>
      <c r="AN349" s="5"/>
      <c r="AO349" s="5"/>
      <c r="AP349" s="5"/>
      <c r="AQ349" s="5"/>
      <c r="AR349" s="5"/>
      <c r="AS349" s="21"/>
    </row>
    <row r="350" spans="1:50" hidden="1">
      <c r="B350" s="1000" t="s">
        <v>772</v>
      </c>
      <c r="C350" s="1000"/>
      <c r="D350" s="836"/>
      <c r="E350" s="5"/>
      <c r="F350" s="5"/>
      <c r="G350" s="5"/>
      <c r="H350" s="15"/>
      <c r="I350" s="15"/>
      <c r="J350" s="15"/>
      <c r="K350" s="15"/>
      <c r="L350" s="15"/>
      <c r="M350" s="15"/>
      <c r="N350" s="15"/>
      <c r="O350" s="15"/>
      <c r="P350" s="15"/>
      <c r="Q350" s="15"/>
      <c r="R350" s="15"/>
      <c r="S350" s="15"/>
      <c r="T350" s="15"/>
      <c r="U350" s="15"/>
      <c r="V350" s="15"/>
      <c r="W350" s="15"/>
      <c r="X350" s="15"/>
      <c r="Y350" s="19"/>
      <c r="Z350" s="5"/>
      <c r="AA350" s="5"/>
      <c r="AB350" s="5"/>
      <c r="AC350" s="5"/>
      <c r="AD350" s="5"/>
      <c r="AE350" s="5"/>
      <c r="AF350" s="5"/>
      <c r="AG350" s="5"/>
      <c r="AH350" s="5"/>
      <c r="AI350" s="5"/>
      <c r="AJ350" s="5"/>
      <c r="AK350" s="5"/>
      <c r="AL350" s="5"/>
      <c r="AM350" s="5"/>
      <c r="AN350" s="5"/>
      <c r="AO350" s="5"/>
      <c r="AP350" s="5"/>
      <c r="AQ350" s="5"/>
      <c r="AR350" s="5"/>
      <c r="AS350" s="21"/>
    </row>
    <row r="351" spans="1:50" hidden="1">
      <c r="B351" s="1000" t="s">
        <v>779</v>
      </c>
      <c r="C351" s="1000"/>
      <c r="D351" s="836"/>
      <c r="E351" s="5"/>
      <c r="F351" s="5"/>
      <c r="G351" s="5"/>
      <c r="H351" s="15"/>
      <c r="I351" s="15"/>
      <c r="J351" s="15"/>
      <c r="K351" s="15"/>
      <c r="L351" s="15"/>
      <c r="M351" s="15"/>
      <c r="N351" s="15"/>
      <c r="O351" s="15"/>
      <c r="P351" s="15"/>
      <c r="Q351" s="15"/>
      <c r="R351" s="15"/>
      <c r="S351" s="15"/>
      <c r="T351" s="15"/>
      <c r="U351" s="15"/>
      <c r="V351" s="15"/>
      <c r="W351" s="15"/>
      <c r="X351" s="15"/>
      <c r="Y351" s="19"/>
      <c r="Z351" s="5"/>
      <c r="AA351" s="5"/>
      <c r="AB351" s="5"/>
      <c r="AC351" s="5"/>
      <c r="AD351" s="5"/>
      <c r="AE351" s="5"/>
      <c r="AF351" s="5"/>
      <c r="AG351" s="5"/>
      <c r="AH351" s="5"/>
      <c r="AI351" s="5"/>
      <c r="AJ351" s="5"/>
      <c r="AK351" s="5"/>
      <c r="AL351" s="5"/>
      <c r="AM351" s="5"/>
      <c r="AN351" s="5"/>
      <c r="AO351" s="5"/>
      <c r="AP351" s="5"/>
      <c r="AQ351" s="5"/>
      <c r="AR351" s="5"/>
      <c r="AS351" s="21"/>
    </row>
    <row r="352" spans="1:50" ht="21" hidden="1">
      <c r="B352" s="1000" t="s">
        <v>779</v>
      </c>
      <c r="C352" s="1000"/>
      <c r="D352" s="1136" t="s">
        <v>45</v>
      </c>
      <c r="E352" s="199" t="s">
        <v>779</v>
      </c>
      <c r="F352" s="199"/>
      <c r="G352" s="199"/>
      <c r="H352" s="199"/>
      <c r="I352" s="199"/>
      <c r="J352" s="199"/>
      <c r="K352" s="5"/>
      <c r="L352" s="5"/>
      <c r="M352" s="5"/>
      <c r="N352" s="15"/>
      <c r="O352" s="5"/>
      <c r="P352" s="5"/>
      <c r="Q352" s="5"/>
      <c r="R352" s="5"/>
      <c r="S352" s="5"/>
      <c r="T352" s="5"/>
      <c r="U352" s="5"/>
      <c r="V352" s="5"/>
      <c r="W352" s="5"/>
      <c r="X352" s="19"/>
      <c r="Y352" s="5"/>
      <c r="Z352" s="5"/>
      <c r="AA352" s="5"/>
      <c r="AB352" s="5"/>
      <c r="AC352" s="5"/>
      <c r="AD352" s="5"/>
      <c r="AE352" s="5"/>
      <c r="AF352" s="5"/>
      <c r="AG352" s="5"/>
      <c r="AH352" s="5"/>
      <c r="AI352" s="5"/>
      <c r="AJ352" s="5"/>
      <c r="AK352" s="5"/>
      <c r="AL352" s="5"/>
      <c r="AM352" s="5"/>
      <c r="AN352" s="5"/>
      <c r="AO352" s="5"/>
      <c r="AP352" s="5"/>
      <c r="AQ352" s="5"/>
      <c r="AR352" s="371"/>
      <c r="AS352" s="21"/>
    </row>
    <row r="353" spans="2:45" hidden="1">
      <c r="B353" s="1000" t="s">
        <v>779</v>
      </c>
      <c r="C353" s="1000"/>
      <c r="D353" s="836"/>
      <c r="E353" s="320" t="s">
        <v>414</v>
      </c>
      <c r="F353" s="320"/>
      <c r="G353" s="320" t="s">
        <v>353</v>
      </c>
      <c r="H353" s="321"/>
      <c r="I353" s="321">
        <f ca="1">OFFSET(I353,0,-1)+1</f>
        <v>1</v>
      </c>
      <c r="J353" s="321"/>
      <c r="K353" s="15"/>
      <c r="L353" s="15"/>
      <c r="M353" s="5"/>
      <c r="N353" s="15"/>
      <c r="O353" s="15"/>
      <c r="P353" s="15"/>
      <c r="Q353" s="15"/>
      <c r="R353" s="15"/>
      <c r="S353" s="15"/>
      <c r="T353" s="15"/>
      <c r="U353" s="15"/>
      <c r="V353" s="15"/>
      <c r="W353" s="15"/>
      <c r="X353" s="19"/>
      <c r="Y353" s="15"/>
      <c r="Z353" s="5"/>
      <c r="AA353" s="5"/>
      <c r="AB353" s="5"/>
      <c r="AC353" s="5"/>
      <c r="AD353" s="5"/>
      <c r="AE353" s="5"/>
      <c r="AF353" s="5"/>
      <c r="AG353" s="5"/>
      <c r="AH353" s="5"/>
      <c r="AI353" s="5"/>
      <c r="AJ353" s="5"/>
      <c r="AK353" s="5"/>
      <c r="AL353" s="5"/>
      <c r="AM353" s="5"/>
      <c r="AN353" s="5"/>
      <c r="AO353" s="5"/>
      <c r="AP353" s="5"/>
      <c r="AQ353" s="5"/>
      <c r="AR353" s="21"/>
      <c r="AS353"/>
    </row>
    <row r="354" spans="2:45" ht="18.75" hidden="1">
      <c r="B354" s="1000" t="s">
        <v>779</v>
      </c>
      <c r="C354" s="1000"/>
      <c r="D354" s="836"/>
      <c r="E354" s="337" t="s">
        <v>780</v>
      </c>
      <c r="F354" s="338"/>
      <c r="G354" s="339"/>
      <c r="H354" s="340"/>
      <c r="I354" s="340"/>
      <c r="J354" s="340"/>
      <c r="K354" s="19"/>
      <c r="L354" s="19"/>
      <c r="M354" s="19"/>
      <c r="N354" s="19"/>
      <c r="O354" s="19"/>
      <c r="P354" s="15"/>
      <c r="Q354" s="15"/>
      <c r="R354" s="15"/>
      <c r="S354" s="15"/>
      <c r="T354" s="15"/>
      <c r="U354" s="15"/>
      <c r="V354" s="15"/>
      <c r="W354" s="15"/>
      <c r="X354" s="19"/>
      <c r="Y354" s="15"/>
      <c r="Z354" s="5"/>
      <c r="AA354" s="5"/>
      <c r="AB354" s="5"/>
      <c r="AC354" s="5"/>
      <c r="AD354" s="5"/>
      <c r="AE354" s="5"/>
      <c r="AF354" s="5"/>
      <c r="AG354" s="5"/>
      <c r="AH354" s="5"/>
      <c r="AI354" s="5"/>
      <c r="AJ354" s="5"/>
      <c r="AK354" s="5"/>
      <c r="AL354" s="5"/>
      <c r="AM354" s="5"/>
      <c r="AN354" s="5"/>
      <c r="AO354" s="5"/>
      <c r="AP354" s="5"/>
      <c r="AQ354" s="5"/>
      <c r="AR354" s="21"/>
      <c r="AS354"/>
    </row>
    <row r="355" spans="2:45" hidden="1">
      <c r="B355" s="1000" t="s">
        <v>779</v>
      </c>
      <c r="C355" s="1000"/>
      <c r="D355" s="836"/>
      <c r="E355" s="602" t="s">
        <v>781</v>
      </c>
      <c r="F355" s="330" t="s">
        <v>782</v>
      </c>
      <c r="G355" s="329" t="s">
        <v>783</v>
      </c>
      <c r="H355" s="342"/>
      <c r="I355" s="343">
        <v>211</v>
      </c>
      <c r="J355" s="342"/>
      <c r="K355" s="19"/>
      <c r="L355" s="19"/>
      <c r="M355" s="19"/>
      <c r="N355" s="15"/>
      <c r="O355" s="19"/>
      <c r="P355" s="15"/>
      <c r="Q355" s="15"/>
      <c r="R355" s="15"/>
      <c r="S355" s="15"/>
      <c r="T355" s="15"/>
      <c r="U355" s="15"/>
      <c r="V355" s="15"/>
      <c r="W355" s="15"/>
      <c r="X355" s="19"/>
      <c r="Y355" s="15"/>
      <c r="Z355" s="5"/>
      <c r="AA355" s="5"/>
      <c r="AB355" s="5"/>
      <c r="AC355" s="5"/>
      <c r="AD355" s="5"/>
      <c r="AE355" s="5"/>
      <c r="AF355" s="5"/>
      <c r="AG355" s="5"/>
      <c r="AH355" s="5"/>
      <c r="AI355" s="5"/>
      <c r="AJ355" s="5"/>
      <c r="AK355" s="5"/>
      <c r="AL355" s="5"/>
      <c r="AM355" s="5"/>
      <c r="AN355" s="5"/>
      <c r="AO355" s="5"/>
      <c r="AP355" s="5"/>
      <c r="AQ355" s="5"/>
      <c r="AR355" s="313"/>
      <c r="AS355"/>
    </row>
    <row r="356" spans="2:45" hidden="1">
      <c r="B356" s="1000" t="s">
        <v>779</v>
      </c>
      <c r="C356" s="1000"/>
      <c r="D356" s="836"/>
      <c r="E356" s="601"/>
      <c r="F356" s="603" t="s">
        <v>784</v>
      </c>
      <c r="G356" s="329" t="s">
        <v>154</v>
      </c>
      <c r="H356" s="342"/>
      <c r="I356" s="473">
        <f>koken_elektriciteit/$I$369</f>
        <v>1.7583333333333333</v>
      </c>
      <c r="J356" s="342"/>
      <c r="K356" s="19"/>
      <c r="L356" s="19"/>
      <c r="M356" s="19"/>
      <c r="N356" s="15"/>
      <c r="O356" s="19"/>
      <c r="P356" s="15"/>
      <c r="Q356" s="15"/>
      <c r="R356" s="15"/>
      <c r="S356" s="15"/>
      <c r="T356" s="15"/>
      <c r="U356" s="15"/>
      <c r="V356" s="15"/>
      <c r="W356" s="15"/>
      <c r="X356" s="19"/>
      <c r="Y356" s="15"/>
      <c r="Z356" s="5"/>
      <c r="AA356" s="5"/>
      <c r="AB356" s="5"/>
      <c r="AC356" s="5"/>
      <c r="AD356" s="5"/>
      <c r="AE356" s="5"/>
      <c r="AF356" s="5"/>
      <c r="AG356" s="5"/>
      <c r="AH356" s="5"/>
      <c r="AI356" s="5"/>
      <c r="AJ356" s="5"/>
      <c r="AK356" s="5"/>
      <c r="AL356" s="5"/>
      <c r="AM356" s="5"/>
      <c r="AN356" s="5"/>
      <c r="AO356" s="5"/>
      <c r="AP356" s="5"/>
      <c r="AQ356" s="5"/>
      <c r="AR356" s="313"/>
      <c r="AS356"/>
    </row>
    <row r="357" spans="2:45" hidden="1">
      <c r="B357" s="1000" t="s">
        <v>779</v>
      </c>
      <c r="C357" s="1000"/>
      <c r="D357" s="836"/>
      <c r="E357" s="604"/>
      <c r="F357" s="603" t="s">
        <v>190</v>
      </c>
      <c r="G357" s="329" t="s">
        <v>65</v>
      </c>
      <c r="H357" s="342"/>
      <c r="I357" s="605" t="str">
        <f>elektriciteit</f>
        <v>elektriciteit</v>
      </c>
      <c r="J357" s="342"/>
      <c r="K357" s="19"/>
      <c r="L357" s="19"/>
      <c r="M357" s="19"/>
      <c r="N357" s="15"/>
      <c r="O357" s="19"/>
      <c r="P357" s="15"/>
      <c r="Q357" s="15"/>
      <c r="R357" s="15"/>
      <c r="S357" s="15"/>
      <c r="T357" s="15"/>
      <c r="U357" s="15"/>
      <c r="V357" s="15"/>
      <c r="W357" s="15"/>
      <c r="X357" s="19"/>
      <c r="Y357" s="15"/>
      <c r="Z357" s="5"/>
      <c r="AA357" s="5"/>
      <c r="AB357" s="5"/>
      <c r="AC357" s="5"/>
      <c r="AD357" s="5"/>
      <c r="AE357" s="5"/>
      <c r="AF357" s="5"/>
      <c r="AG357" s="5"/>
      <c r="AH357" s="5"/>
      <c r="AI357" s="5"/>
      <c r="AJ357" s="5"/>
      <c r="AK357" s="5"/>
      <c r="AL357" s="5"/>
      <c r="AM357" s="5"/>
      <c r="AN357" s="5"/>
      <c r="AO357" s="5"/>
      <c r="AP357" s="5"/>
      <c r="AQ357" s="5"/>
      <c r="AR357" s="313"/>
      <c r="AS357"/>
    </row>
    <row r="358" spans="2:45" hidden="1">
      <c r="B358" s="1000" t="s">
        <v>779</v>
      </c>
      <c r="C358" s="1000"/>
      <c r="D358" s="836"/>
      <c r="E358" s="602" t="s">
        <v>785</v>
      </c>
      <c r="F358" s="330" t="s">
        <v>786</v>
      </c>
      <c r="G358" s="329" t="s">
        <v>787</v>
      </c>
      <c r="H358" s="342"/>
      <c r="I358" s="343">
        <v>39</v>
      </c>
      <c r="J358" s="342"/>
      <c r="K358" s="19"/>
      <c r="L358" s="19"/>
      <c r="M358" s="19"/>
      <c r="N358" s="15"/>
      <c r="O358" s="19"/>
      <c r="P358" s="15"/>
      <c r="Q358" s="15"/>
      <c r="R358" s="15"/>
      <c r="S358" s="15"/>
      <c r="T358" s="15"/>
      <c r="U358" s="15"/>
      <c r="V358" s="15"/>
      <c r="W358" s="15"/>
      <c r="X358" s="19"/>
      <c r="Y358" s="15"/>
      <c r="Z358" s="5"/>
      <c r="AA358" s="5"/>
      <c r="AB358" s="5"/>
      <c r="AC358" s="5"/>
      <c r="AD358" s="5"/>
      <c r="AE358" s="5"/>
      <c r="AF358" s="5"/>
      <c r="AG358" s="5"/>
      <c r="AH358" s="5"/>
      <c r="AI358" s="5"/>
      <c r="AJ358" s="5"/>
      <c r="AK358" s="5"/>
      <c r="AL358" s="5"/>
      <c r="AM358" s="5"/>
      <c r="AN358" s="5"/>
      <c r="AO358" s="5"/>
      <c r="AP358" s="5"/>
      <c r="AQ358" s="5"/>
      <c r="AR358" s="313"/>
      <c r="AS358"/>
    </row>
    <row r="359" spans="2:45" hidden="1">
      <c r="B359" s="1000" t="s">
        <v>779</v>
      </c>
      <c r="C359" s="1000"/>
      <c r="D359" s="836"/>
      <c r="E359" s="601"/>
      <c r="F359" s="330" t="s">
        <v>788</v>
      </c>
      <c r="G359" s="329" t="s">
        <v>783</v>
      </c>
      <c r="H359" s="342"/>
      <c r="I359" s="605">
        <f>I358*$I$508</f>
        <v>381.00833333333333</v>
      </c>
      <c r="J359" s="342"/>
      <c r="K359" s="19"/>
      <c r="L359" s="19"/>
      <c r="M359" s="19"/>
      <c r="N359" s="15"/>
      <c r="O359" s="19"/>
      <c r="P359" s="15"/>
      <c r="Q359" s="15"/>
      <c r="R359" s="15"/>
      <c r="S359" s="15"/>
      <c r="T359" s="15"/>
      <c r="U359" s="15"/>
      <c r="V359" s="15"/>
      <c r="W359" s="15"/>
      <c r="X359" s="19"/>
      <c r="Y359" s="15"/>
      <c r="Z359" s="5"/>
      <c r="AA359" s="5"/>
      <c r="AB359" s="5"/>
      <c r="AC359" s="5"/>
      <c r="AD359" s="5"/>
      <c r="AE359" s="5"/>
      <c r="AF359" s="5"/>
      <c r="AG359" s="5"/>
      <c r="AH359" s="5"/>
      <c r="AI359" s="5"/>
      <c r="AJ359" s="5"/>
      <c r="AK359" s="5"/>
      <c r="AL359" s="5"/>
      <c r="AM359" s="5"/>
      <c r="AN359" s="5"/>
      <c r="AO359" s="5"/>
      <c r="AP359" s="5"/>
      <c r="AQ359" s="5"/>
      <c r="AR359" s="313"/>
      <c r="AS359"/>
    </row>
    <row r="360" spans="2:45" hidden="1">
      <c r="B360" s="1000" t="s">
        <v>779</v>
      </c>
      <c r="C360" s="1000"/>
      <c r="D360" s="836"/>
      <c r="E360" s="601"/>
      <c r="F360" s="603" t="s">
        <v>784</v>
      </c>
      <c r="G360" s="329" t="s">
        <v>154</v>
      </c>
      <c r="H360" s="342"/>
      <c r="I360" s="473">
        <f>koken_gas/$I$369</f>
        <v>3.1750694444444445</v>
      </c>
      <c r="J360" s="342"/>
      <c r="K360" s="19"/>
      <c r="L360" s="19"/>
      <c r="M360" s="19"/>
      <c r="N360" s="15"/>
      <c r="O360" s="19"/>
      <c r="P360" s="15"/>
      <c r="Q360" s="15"/>
      <c r="R360" s="15"/>
      <c r="S360" s="15"/>
      <c r="T360" s="15"/>
      <c r="U360" s="15"/>
      <c r="V360" s="15"/>
      <c r="W360" s="15"/>
      <c r="X360" s="19"/>
      <c r="Y360" s="15"/>
      <c r="Z360" s="5"/>
      <c r="AA360" s="5"/>
      <c r="AB360" s="5"/>
      <c r="AC360" s="5"/>
      <c r="AD360" s="5"/>
      <c r="AE360" s="5"/>
      <c r="AF360" s="5"/>
      <c r="AG360" s="5"/>
      <c r="AH360" s="5"/>
      <c r="AI360" s="5"/>
      <c r="AJ360" s="5"/>
      <c r="AK360" s="5"/>
      <c r="AL360" s="5"/>
      <c r="AM360" s="5"/>
      <c r="AN360" s="5"/>
      <c r="AO360" s="5"/>
      <c r="AP360" s="5"/>
      <c r="AQ360" s="5"/>
      <c r="AR360" s="313"/>
      <c r="AS360"/>
    </row>
    <row r="361" spans="2:45" hidden="1">
      <c r="B361" s="1000" t="s">
        <v>779</v>
      </c>
      <c r="C361" s="1000"/>
      <c r="D361" s="836"/>
      <c r="E361" s="604"/>
      <c r="F361" s="603" t="s">
        <v>190</v>
      </c>
      <c r="G361" s="329" t="s">
        <v>65</v>
      </c>
      <c r="H361" s="342"/>
      <c r="I361" s="605" t="str">
        <f>aardgas</f>
        <v>aardgas</v>
      </c>
      <c r="J361" s="342"/>
      <c r="K361" s="19"/>
      <c r="L361" s="19"/>
      <c r="M361" s="19"/>
      <c r="N361" s="15"/>
      <c r="O361" s="19"/>
      <c r="P361" s="15"/>
      <c r="Q361" s="15"/>
      <c r="R361" s="15"/>
      <c r="S361" s="15"/>
      <c r="T361" s="15"/>
      <c r="U361" s="15"/>
      <c r="V361" s="15"/>
      <c r="W361" s="15"/>
      <c r="X361" s="19"/>
      <c r="Y361" s="15"/>
      <c r="Z361" s="5"/>
      <c r="AA361" s="5"/>
      <c r="AB361" s="5"/>
      <c r="AC361" s="5"/>
      <c r="AD361" s="5"/>
      <c r="AE361" s="5"/>
      <c r="AF361" s="5"/>
      <c r="AG361" s="5"/>
      <c r="AH361" s="5"/>
      <c r="AI361" s="5"/>
      <c r="AJ361" s="5"/>
      <c r="AK361" s="5"/>
      <c r="AL361" s="5"/>
      <c r="AM361" s="5"/>
      <c r="AN361" s="5"/>
      <c r="AO361" s="5"/>
      <c r="AP361" s="5"/>
      <c r="AQ361" s="5"/>
      <c r="AR361" s="313"/>
      <c r="AS361"/>
    </row>
    <row r="362" spans="2:45" hidden="1">
      <c r="B362" s="1000" t="s">
        <v>779</v>
      </c>
      <c r="C362" s="1000"/>
      <c r="D362" s="836"/>
      <c r="E362" s="676" t="s">
        <v>1333</v>
      </c>
      <c r="F362" s="325"/>
      <c r="G362" s="325"/>
      <c r="H362" s="325"/>
      <c r="I362" s="471"/>
      <c r="J362" s="471"/>
      <c r="K362" s="19"/>
      <c r="L362" s="19"/>
      <c r="M362" s="19"/>
      <c r="N362" s="15"/>
      <c r="O362" s="19"/>
      <c r="P362" s="15"/>
      <c r="Q362" s="15"/>
      <c r="R362" s="15"/>
      <c r="S362" s="15"/>
      <c r="T362" s="15"/>
      <c r="U362" s="15"/>
      <c r="V362" s="15"/>
      <c r="W362" s="15"/>
      <c r="X362" s="19"/>
      <c r="Y362" s="15"/>
      <c r="Z362" s="5"/>
      <c r="AA362" s="5"/>
      <c r="AB362" s="5"/>
      <c r="AC362" s="5"/>
      <c r="AD362" s="5"/>
      <c r="AE362" s="5"/>
      <c r="AF362" s="5"/>
      <c r="AG362" s="5"/>
      <c r="AH362" s="5"/>
      <c r="AI362" s="5"/>
      <c r="AJ362" s="5"/>
      <c r="AK362" s="5"/>
      <c r="AL362" s="5"/>
      <c r="AM362" s="5"/>
      <c r="AN362" s="5"/>
      <c r="AO362" s="5"/>
      <c r="AP362" s="5"/>
      <c r="AQ362" s="5"/>
      <c r="AR362" s="313"/>
      <c r="AS362"/>
    </row>
    <row r="363" spans="2:45" hidden="1">
      <c r="B363" s="1000" t="s">
        <v>779</v>
      </c>
      <c r="C363" s="1000"/>
      <c r="D363" s="836"/>
      <c r="E363" s="5"/>
      <c r="F363" s="5"/>
      <c r="G363" s="5"/>
      <c r="H363" s="15"/>
      <c r="I363" s="15"/>
      <c r="J363" s="15"/>
      <c r="K363" s="15"/>
      <c r="L363" s="15"/>
      <c r="M363" s="15"/>
      <c r="N363" s="15"/>
      <c r="O363" s="15"/>
      <c r="P363" s="15"/>
      <c r="Q363" s="15"/>
      <c r="R363" s="15"/>
      <c r="S363" s="15"/>
      <c r="T363" s="15"/>
      <c r="U363" s="15"/>
      <c r="V363" s="15"/>
      <c r="W363" s="15"/>
      <c r="X363" s="15"/>
      <c r="Y363" s="19"/>
      <c r="Z363" s="5"/>
      <c r="AA363" s="5"/>
      <c r="AB363" s="5"/>
      <c r="AC363" s="5"/>
      <c r="AD363" s="5"/>
      <c r="AE363" s="5"/>
      <c r="AF363" s="5"/>
      <c r="AG363" s="5"/>
      <c r="AH363" s="5"/>
      <c r="AI363" s="5"/>
      <c r="AJ363" s="5"/>
      <c r="AK363" s="5"/>
      <c r="AL363" s="5"/>
      <c r="AM363" s="5"/>
      <c r="AN363" s="5"/>
      <c r="AO363" s="5"/>
      <c r="AP363" s="5"/>
      <c r="AQ363" s="5"/>
      <c r="AR363" s="5"/>
      <c r="AS363" s="21"/>
    </row>
    <row r="364" spans="2:45" hidden="1">
      <c r="B364" s="1000" t="s">
        <v>789</v>
      </c>
      <c r="C364" s="1000"/>
      <c r="D364" s="836"/>
      <c r="E364" s="5"/>
      <c r="F364" s="5"/>
      <c r="G364" s="5"/>
      <c r="H364" s="15"/>
      <c r="I364" s="15"/>
      <c r="J364" s="15"/>
      <c r="K364" s="15"/>
      <c r="L364" s="15"/>
      <c r="M364" s="15"/>
      <c r="N364" s="15"/>
      <c r="O364" s="15"/>
      <c r="P364" s="15"/>
      <c r="Q364" s="15"/>
      <c r="R364" s="15"/>
      <c r="S364" s="15"/>
      <c r="T364" s="15"/>
      <c r="U364" s="15"/>
      <c r="V364" s="15"/>
      <c r="W364" s="15"/>
      <c r="X364" s="15"/>
      <c r="Y364" s="19"/>
      <c r="Z364" s="5"/>
      <c r="AA364" s="5"/>
      <c r="AB364" s="5"/>
      <c r="AC364" s="5"/>
      <c r="AD364" s="5"/>
      <c r="AE364" s="5"/>
      <c r="AF364" s="5"/>
      <c r="AG364" s="5"/>
      <c r="AH364" s="5"/>
      <c r="AI364" s="5"/>
      <c r="AJ364" s="5"/>
      <c r="AK364" s="5"/>
      <c r="AL364" s="5"/>
      <c r="AM364" s="5"/>
      <c r="AN364" s="5"/>
      <c r="AO364" s="5"/>
      <c r="AP364" s="5"/>
      <c r="AQ364" s="5"/>
      <c r="AR364" s="5"/>
      <c r="AS364" s="21"/>
    </row>
    <row r="365" spans="2:45" ht="21" hidden="1">
      <c r="B365" s="1000" t="s">
        <v>789</v>
      </c>
      <c r="C365" s="1000"/>
      <c r="D365" s="1136" t="s">
        <v>45</v>
      </c>
      <c r="E365" s="199" t="s">
        <v>789</v>
      </c>
      <c r="F365" s="199"/>
      <c r="G365" s="199"/>
      <c r="H365" s="199"/>
      <c r="I365" s="199"/>
      <c r="J365" s="199"/>
      <c r="K365" s="199"/>
      <c r="L365" s="5"/>
      <c r="M365" s="5"/>
      <c r="N365" s="5"/>
      <c r="O365" s="15"/>
      <c r="P365" s="5"/>
      <c r="Q365" s="5"/>
      <c r="R365" s="5"/>
      <c r="S365" s="5"/>
      <c r="T365" s="5"/>
      <c r="U365" s="5"/>
      <c r="V365" s="5"/>
      <c r="W365" s="5"/>
      <c r="X365" s="5"/>
      <c r="Y365" s="19"/>
      <c r="Z365" s="5"/>
      <c r="AA365" s="5"/>
      <c r="AB365" s="5"/>
      <c r="AC365" s="5"/>
      <c r="AD365" s="5"/>
      <c r="AE365" s="5"/>
      <c r="AF365" s="5"/>
      <c r="AG365" s="5"/>
      <c r="AH365" s="5"/>
      <c r="AI365" s="5"/>
      <c r="AJ365" s="5"/>
      <c r="AK365" s="5"/>
      <c r="AL365" s="5"/>
      <c r="AM365" s="5"/>
      <c r="AN365" s="5"/>
      <c r="AO365" s="5"/>
      <c r="AP365" s="5"/>
      <c r="AQ365" s="5"/>
      <c r="AR365" s="5"/>
      <c r="AS365" s="371"/>
    </row>
    <row r="366" spans="2:45" hidden="1">
      <c r="B366" s="1000" t="s">
        <v>789</v>
      </c>
      <c r="C366" s="1000"/>
      <c r="D366" s="836"/>
      <c r="E366" s="320" t="s">
        <v>414</v>
      </c>
      <c r="F366" s="320"/>
      <c r="G366" s="320" t="s">
        <v>353</v>
      </c>
      <c r="H366" s="321"/>
      <c r="I366" s="321">
        <f ca="1">OFFSET(I366,0,-1)+1</f>
        <v>1</v>
      </c>
      <c r="J366" s="321">
        <f ca="1">OFFSET(J366,0,-1)+1</f>
        <v>2</v>
      </c>
      <c r="K366" s="321"/>
      <c r="L366" s="15"/>
      <c r="M366" s="15"/>
      <c r="N366" s="5"/>
      <c r="O366" s="15"/>
      <c r="P366" s="15"/>
      <c r="Q366" s="15"/>
      <c r="R366" s="15"/>
      <c r="S366" s="15"/>
      <c r="T366" s="15"/>
      <c r="U366" s="15"/>
      <c r="V366" s="15"/>
      <c r="W366" s="15"/>
      <c r="X366" s="15"/>
      <c r="Y366" s="19"/>
      <c r="Z366" s="15"/>
      <c r="AA366" s="5"/>
      <c r="AB366" s="5"/>
      <c r="AC366" s="5"/>
      <c r="AD366" s="5"/>
      <c r="AE366" s="5"/>
      <c r="AF366" s="5"/>
      <c r="AG366" s="5"/>
      <c r="AH366" s="5"/>
      <c r="AI366" s="5"/>
      <c r="AJ366" s="5"/>
      <c r="AK366" s="5"/>
      <c r="AL366" s="5"/>
      <c r="AM366" s="5"/>
      <c r="AN366" s="5"/>
      <c r="AO366" s="5"/>
      <c r="AP366" s="5"/>
      <c r="AQ366" s="5"/>
      <c r="AR366" s="5"/>
      <c r="AS366" s="21"/>
    </row>
    <row r="367" spans="2:45" ht="18.75" hidden="1">
      <c r="B367" s="1000" t="s">
        <v>789</v>
      </c>
      <c r="C367" s="1000"/>
      <c r="D367" s="836"/>
      <c r="E367" s="337" t="s">
        <v>790</v>
      </c>
      <c r="F367" s="338"/>
      <c r="G367" s="339"/>
      <c r="H367" s="340"/>
      <c r="I367" s="340"/>
      <c r="J367" s="340"/>
      <c r="K367" s="340"/>
      <c r="L367" s="19"/>
      <c r="M367" s="19"/>
      <c r="N367" s="19"/>
      <c r="O367" s="19"/>
      <c r="P367" s="19"/>
      <c r="Q367" s="15"/>
      <c r="R367" s="15"/>
      <c r="S367" s="15"/>
      <c r="T367" s="15"/>
      <c r="U367" s="15"/>
      <c r="V367" s="15"/>
      <c r="W367" s="15"/>
      <c r="X367" s="15"/>
      <c r="Y367" s="19"/>
      <c r="Z367" s="15"/>
      <c r="AA367" s="5"/>
      <c r="AB367" s="5"/>
      <c r="AC367" s="5"/>
      <c r="AD367" s="5"/>
      <c r="AE367" s="5"/>
      <c r="AF367" s="5"/>
      <c r="AG367" s="5"/>
      <c r="AH367" s="5"/>
      <c r="AI367" s="5"/>
      <c r="AJ367" s="5"/>
      <c r="AK367" s="5"/>
      <c r="AL367" s="5"/>
      <c r="AM367" s="5"/>
      <c r="AN367" s="5"/>
      <c r="AO367" s="5"/>
      <c r="AP367" s="5"/>
      <c r="AQ367" s="5"/>
      <c r="AR367" s="5"/>
      <c r="AS367" s="21"/>
    </row>
    <row r="368" spans="2:45" hidden="1">
      <c r="B368" s="1000" t="s">
        <v>789</v>
      </c>
      <c r="C368" s="1000"/>
      <c r="D368" s="836"/>
      <c r="E368" s="329" t="s">
        <v>1173</v>
      </c>
      <c r="F368" s="330"/>
      <c r="G368" s="329" t="s">
        <v>783</v>
      </c>
      <c r="H368" s="342"/>
      <c r="I368" s="343">
        <v>2550</v>
      </c>
      <c r="J368" s="676" t="s">
        <v>1172</v>
      </c>
      <c r="K368" s="342"/>
      <c r="L368" s="19"/>
      <c r="M368" s="19"/>
      <c r="N368" s="19"/>
      <c r="O368" s="15"/>
      <c r="P368" s="19"/>
      <c r="Q368" s="15"/>
      <c r="R368" s="15"/>
      <c r="S368" s="15"/>
      <c r="T368" s="15"/>
      <c r="U368" s="15"/>
      <c r="V368" s="15"/>
      <c r="W368" s="15"/>
      <c r="X368" s="15"/>
      <c r="Y368" s="19"/>
      <c r="Z368" s="15"/>
      <c r="AA368" s="5"/>
      <c r="AB368" s="5"/>
      <c r="AC368" s="5"/>
      <c r="AD368" s="5"/>
      <c r="AE368" s="5"/>
      <c r="AF368" s="5"/>
      <c r="AG368" s="5"/>
      <c r="AH368" s="5"/>
      <c r="AI368" s="5"/>
      <c r="AJ368" s="5"/>
      <c r="AK368" s="5"/>
      <c r="AL368" s="5"/>
      <c r="AM368" s="5"/>
      <c r="AN368" s="5"/>
      <c r="AO368" s="5"/>
      <c r="AP368" s="5"/>
      <c r="AQ368" s="5"/>
      <c r="AR368" s="5"/>
      <c r="AS368" s="313"/>
    </row>
    <row r="369" spans="1:376" hidden="1">
      <c r="B369" s="1000" t="s">
        <v>789</v>
      </c>
      <c r="C369" s="1000"/>
      <c r="D369" s="836"/>
      <c r="E369" s="329" t="s">
        <v>1069</v>
      </c>
      <c r="F369" s="330"/>
      <c r="G369" s="329" t="s">
        <v>791</v>
      </c>
      <c r="H369" s="342"/>
      <c r="I369" s="343">
        <v>120</v>
      </c>
      <c r="J369" s="676" t="s">
        <v>1174</v>
      </c>
      <c r="K369" s="342"/>
      <c r="L369" s="19"/>
      <c r="M369" s="19"/>
      <c r="N369" s="19"/>
      <c r="O369" s="19"/>
      <c r="P369" s="19"/>
      <c r="Q369" s="15"/>
      <c r="R369" s="15"/>
      <c r="S369" s="15"/>
      <c r="T369" s="15"/>
      <c r="U369" s="15"/>
      <c r="V369" s="15"/>
      <c r="W369" s="15"/>
      <c r="X369" s="15"/>
      <c r="Y369" s="19"/>
      <c r="Z369" s="15"/>
      <c r="AA369" s="5"/>
      <c r="AB369" s="5"/>
      <c r="AC369" s="5"/>
      <c r="AD369" s="5"/>
      <c r="AE369" s="5"/>
      <c r="AF369" s="5"/>
      <c r="AG369" s="5"/>
      <c r="AH369" s="5"/>
      <c r="AI369" s="5"/>
      <c r="AJ369" s="5"/>
      <c r="AK369" s="5"/>
      <c r="AL369" s="5"/>
      <c r="AM369" s="5"/>
      <c r="AN369" s="5"/>
      <c r="AO369" s="5"/>
      <c r="AP369" s="5"/>
      <c r="AQ369" s="5"/>
      <c r="AR369" s="5"/>
      <c r="AS369" s="21"/>
    </row>
    <row r="370" spans="1:376" hidden="1">
      <c r="B370" s="1000" t="s">
        <v>789</v>
      </c>
      <c r="C370" s="1000"/>
      <c r="D370" s="836"/>
      <c r="E370" s="329" t="s">
        <v>792</v>
      </c>
      <c r="F370" s="330"/>
      <c r="G370" s="329" t="s">
        <v>139</v>
      </c>
      <c r="H370" s="342"/>
      <c r="I370" s="344">
        <v>0.25</v>
      </c>
      <c r="J370" s="372"/>
      <c r="K370" s="342"/>
      <c r="L370" s="19"/>
      <c r="M370" s="19"/>
      <c r="N370" s="19"/>
      <c r="O370" s="19"/>
      <c r="P370" s="19"/>
      <c r="Q370" s="15"/>
      <c r="R370" s="15"/>
      <c r="S370" s="15"/>
      <c r="T370" s="15"/>
      <c r="U370" s="15"/>
      <c r="V370" s="15"/>
      <c r="W370" s="15"/>
      <c r="X370" s="15"/>
      <c r="Y370" s="19"/>
      <c r="Z370" s="15"/>
      <c r="AA370" s="5"/>
      <c r="AB370" s="5"/>
      <c r="AC370" s="5"/>
      <c r="AD370" s="5"/>
      <c r="AE370" s="5"/>
      <c r="AF370" s="5"/>
      <c r="AG370" s="5"/>
      <c r="AH370" s="5"/>
      <c r="AI370" s="5"/>
      <c r="AJ370" s="5"/>
      <c r="AK370" s="5"/>
      <c r="AL370" s="5"/>
      <c r="AM370" s="5"/>
      <c r="AN370" s="5"/>
      <c r="AO370" s="5"/>
      <c r="AP370" s="5"/>
      <c r="AQ370" s="5"/>
      <c r="AR370" s="5"/>
      <c r="AS370" s="21"/>
    </row>
    <row r="371" spans="1:376" ht="18.75" hidden="1">
      <c r="B371" s="1000" t="s">
        <v>789</v>
      </c>
      <c r="C371" s="1000"/>
      <c r="D371" s="836"/>
      <c r="E371" s="337" t="s">
        <v>793</v>
      </c>
      <c r="F371" s="338"/>
      <c r="G371" s="339"/>
      <c r="H371" s="340"/>
      <c r="I371" s="340"/>
      <c r="J371" s="340"/>
      <c r="K371" s="340"/>
      <c r="L371" s="19"/>
      <c r="M371" s="19"/>
      <c r="N371" s="15"/>
      <c r="O371" s="15"/>
      <c r="P371" s="15"/>
      <c r="Q371" s="15"/>
      <c r="R371" s="15"/>
      <c r="S371" s="15"/>
      <c r="T371" s="15"/>
      <c r="U371" s="15"/>
      <c r="V371" s="15"/>
      <c r="W371" s="15"/>
      <c r="X371" s="15"/>
      <c r="Y371" s="19"/>
      <c r="Z371" s="15"/>
      <c r="AA371" s="5"/>
      <c r="AB371" s="5"/>
      <c r="AC371" s="5"/>
      <c r="AD371" s="5"/>
      <c r="AE371" s="5"/>
      <c r="AF371" s="5"/>
      <c r="AG371" s="5"/>
      <c r="AH371" s="5"/>
      <c r="AI371" s="5"/>
      <c r="AJ371" s="5"/>
      <c r="AK371" s="5"/>
      <c r="AL371" s="5"/>
      <c r="AM371" s="5"/>
      <c r="AN371" s="5"/>
      <c r="AO371" s="5"/>
      <c r="AP371" s="5"/>
      <c r="AQ371" s="5"/>
      <c r="AR371" s="5"/>
      <c r="AS371" s="21"/>
    </row>
    <row r="372" spans="1:376" hidden="1">
      <c r="B372" s="1000" t="s">
        <v>789</v>
      </c>
      <c r="C372" s="1000"/>
      <c r="D372" s="836"/>
      <c r="E372" s="329" t="s">
        <v>784</v>
      </c>
      <c r="F372" s="330"/>
      <c r="G372" s="329" t="s">
        <v>154</v>
      </c>
      <c r="H372" s="342"/>
      <c r="I372" s="473">
        <f>ROUND(I368/I369,2)</f>
        <v>21.25</v>
      </c>
      <c r="J372" s="341"/>
      <c r="K372" s="342"/>
      <c r="L372" s="19"/>
      <c r="M372" s="19"/>
      <c r="N372" s="15"/>
      <c r="O372" s="15"/>
      <c r="P372" s="15"/>
      <c r="Q372" s="15"/>
      <c r="R372" s="15"/>
      <c r="S372" s="15"/>
      <c r="T372" s="15"/>
      <c r="U372" s="15"/>
      <c r="V372" s="15"/>
      <c r="W372" s="15"/>
      <c r="X372" s="15"/>
      <c r="Y372" s="19"/>
      <c r="Z372" s="15"/>
      <c r="AA372" s="5"/>
      <c r="AB372" s="5"/>
      <c r="AC372" s="5"/>
      <c r="AD372" s="5"/>
      <c r="AE372" s="5"/>
      <c r="AF372" s="5"/>
      <c r="AG372" s="5"/>
      <c r="AH372" s="5"/>
      <c r="AI372" s="5"/>
      <c r="AJ372" s="5"/>
      <c r="AK372" s="5"/>
      <c r="AL372" s="5"/>
      <c r="AM372" s="5"/>
      <c r="AN372" s="5"/>
      <c r="AO372" s="5"/>
      <c r="AP372" s="5"/>
      <c r="AQ372" s="5"/>
      <c r="AR372" s="5"/>
      <c r="AS372" s="21"/>
    </row>
    <row r="373" spans="1:376" hidden="1">
      <c r="B373" s="1000" t="s">
        <v>789</v>
      </c>
      <c r="C373" s="1000"/>
      <c r="D373" s="836"/>
      <c r="E373" s="329" t="s">
        <v>794</v>
      </c>
      <c r="F373" s="330"/>
      <c r="G373" s="329" t="s">
        <v>154</v>
      </c>
      <c r="H373" s="342"/>
      <c r="I373" s="341">
        <v>9.5</v>
      </c>
      <c r="J373" s="345" t="s">
        <v>795</v>
      </c>
      <c r="K373" s="342"/>
      <c r="L373" s="916"/>
      <c r="M373" s="19"/>
      <c r="N373" s="15"/>
      <c r="O373" s="15"/>
      <c r="P373" s="15"/>
      <c r="Q373" s="15"/>
      <c r="R373" s="15"/>
      <c r="S373" s="15"/>
      <c r="T373" s="15"/>
      <c r="U373" s="15"/>
      <c r="V373" s="15"/>
      <c r="W373" s="15"/>
      <c r="X373" s="15"/>
      <c r="Y373" s="19"/>
      <c r="Z373" s="15"/>
      <c r="AA373" s="5"/>
      <c r="AB373" s="5"/>
      <c r="AC373" s="5"/>
      <c r="AD373" s="5"/>
      <c r="AE373" s="5"/>
      <c r="AF373" s="5"/>
      <c r="AG373" s="5"/>
      <c r="AH373" s="5"/>
      <c r="AI373" s="5"/>
      <c r="AJ373" s="5"/>
      <c r="AK373" s="5"/>
      <c r="AL373" s="5"/>
      <c r="AM373" s="5"/>
      <c r="AN373" s="5"/>
      <c r="AO373" s="5"/>
      <c r="AP373" s="5"/>
      <c r="AQ373" s="5"/>
      <c r="AR373" s="5"/>
      <c r="AS373" s="21"/>
    </row>
    <row r="374" spans="1:376" hidden="1">
      <c r="B374" s="1000" t="s">
        <v>789</v>
      </c>
      <c r="C374" s="1000"/>
      <c r="D374" s="836"/>
      <c r="E374" s="329" t="s">
        <v>796</v>
      </c>
      <c r="F374" s="603"/>
      <c r="G374" s="329" t="s">
        <v>154</v>
      </c>
      <c r="H374" s="606"/>
      <c r="I374" s="473">
        <f>I370*koken_elektriciteit/I369</f>
        <v>0.43958333333333333</v>
      </c>
      <c r="J374" s="607"/>
      <c r="K374" s="606"/>
      <c r="L374" s="19"/>
      <c r="M374" s="19"/>
      <c r="N374" s="15"/>
      <c r="O374" s="15"/>
      <c r="P374" s="15"/>
      <c r="Q374" s="15"/>
      <c r="R374" s="15"/>
      <c r="S374" s="15"/>
      <c r="T374" s="15"/>
      <c r="U374" s="15"/>
      <c r="V374" s="15"/>
      <c r="W374" s="15"/>
      <c r="X374" s="15"/>
      <c r="Y374" s="19"/>
      <c r="Z374" s="15"/>
      <c r="AA374" s="5"/>
      <c r="AB374" s="5"/>
      <c r="AC374" s="5"/>
      <c r="AD374" s="5"/>
      <c r="AE374" s="5"/>
      <c r="AF374" s="5"/>
      <c r="AG374" s="5"/>
      <c r="AH374" s="5"/>
      <c r="AI374" s="5"/>
      <c r="AJ374" s="5"/>
      <c r="AK374" s="5"/>
      <c r="AL374" s="5"/>
      <c r="AM374" s="5"/>
      <c r="AN374" s="5"/>
      <c r="AO374" s="5"/>
      <c r="AP374" s="5"/>
      <c r="AQ374" s="5"/>
      <c r="AR374" s="5"/>
      <c r="AS374" s="21"/>
    </row>
    <row r="375" spans="1:376" hidden="1">
      <c r="B375" s="1000" t="s">
        <v>789</v>
      </c>
      <c r="C375" s="1000"/>
      <c r="D375" s="836"/>
      <c r="E375" s="520" t="s">
        <v>797</v>
      </c>
      <c r="F375" s="521"/>
      <c r="G375" s="520" t="s">
        <v>154</v>
      </c>
      <c r="H375" s="522"/>
      <c r="I375" s="523">
        <f>IF(I376&lt;&gt;"",I376,I372-I373-I374)</f>
        <v>11.310416666666667</v>
      </c>
      <c r="J375" s="524"/>
      <c r="K375" s="522"/>
      <c r="L375" s="19"/>
      <c r="M375" s="19"/>
      <c r="N375" s="15"/>
      <c r="O375" s="15"/>
      <c r="P375" s="15"/>
      <c r="Q375" s="15"/>
      <c r="R375" s="15"/>
      <c r="S375" s="15"/>
      <c r="T375" s="15"/>
      <c r="U375" s="15"/>
      <c r="V375" s="15"/>
      <c r="W375" s="15"/>
      <c r="X375" s="15"/>
      <c r="Y375" s="19"/>
      <c r="Z375" s="15"/>
      <c r="AA375" s="5"/>
      <c r="AB375" s="5"/>
      <c r="AC375" s="5"/>
      <c r="AD375" s="5"/>
      <c r="AE375" s="5"/>
      <c r="AF375" s="5"/>
      <c r="AG375" s="5"/>
      <c r="AH375" s="5"/>
      <c r="AI375" s="5"/>
      <c r="AJ375" s="5"/>
      <c r="AK375" s="5"/>
      <c r="AL375" s="5"/>
      <c r="AM375" s="5"/>
      <c r="AN375" s="5"/>
      <c r="AO375" s="5"/>
      <c r="AP375" s="5"/>
      <c r="AQ375" s="5"/>
      <c r="AR375" s="5"/>
      <c r="AS375" s="21"/>
    </row>
    <row r="376" spans="1:376" hidden="1">
      <c r="B376" s="1000" t="s">
        <v>789</v>
      </c>
      <c r="C376" s="1000"/>
      <c r="D376" s="836"/>
      <c r="E376" s="346" t="s">
        <v>798</v>
      </c>
      <c r="F376" s="526"/>
      <c r="G376" s="525"/>
      <c r="H376" s="527"/>
      <c r="I376" s="275"/>
      <c r="J376" s="528"/>
      <c r="K376" s="527"/>
      <c r="L376" s="19"/>
      <c r="M376" s="19"/>
      <c r="N376" s="15"/>
      <c r="O376" s="15"/>
      <c r="P376" s="15"/>
      <c r="Q376" s="15"/>
      <c r="R376" s="15"/>
      <c r="S376" s="15"/>
      <c r="T376" s="15"/>
      <c r="U376" s="15"/>
      <c r="V376" s="15"/>
      <c r="W376" s="15"/>
      <c r="X376" s="15"/>
      <c r="Y376" s="19"/>
      <c r="Z376" s="15"/>
      <c r="AA376" s="5"/>
      <c r="AB376" s="5"/>
      <c r="AC376" s="5"/>
      <c r="AD376" s="5"/>
      <c r="AE376" s="5"/>
      <c r="AF376" s="5"/>
      <c r="AG376" s="5"/>
      <c r="AH376" s="5"/>
      <c r="AI376" s="5"/>
      <c r="AJ376" s="5"/>
      <c r="AK376" s="5"/>
      <c r="AL376" s="5"/>
      <c r="AM376" s="5"/>
      <c r="AN376" s="5"/>
      <c r="AO376" s="5"/>
      <c r="AP376" s="5"/>
      <c r="AQ376" s="5"/>
      <c r="AR376" s="5"/>
      <c r="AS376" s="21"/>
    </row>
    <row r="377" spans="1:376" hidden="1">
      <c r="B377" s="1000" t="s">
        <v>789</v>
      </c>
      <c r="C377" s="1000"/>
      <c r="D377" s="836"/>
      <c r="E377" s="325" t="s">
        <v>799</v>
      </c>
      <c r="F377" s="325"/>
      <c r="G377" s="325"/>
      <c r="H377" s="325"/>
      <c r="I377" s="471"/>
      <c r="J377" s="471"/>
      <c r="K377" s="471"/>
      <c r="L377" s="19"/>
      <c r="M377" s="19"/>
      <c r="N377" s="15"/>
      <c r="O377" s="15"/>
      <c r="P377" s="15"/>
      <c r="Q377" s="15"/>
      <c r="R377" s="15"/>
      <c r="S377" s="15"/>
      <c r="T377" s="15"/>
      <c r="U377" s="15"/>
      <c r="V377" s="15"/>
      <c r="W377" s="15"/>
      <c r="X377" s="14"/>
      <c r="Y377" s="311"/>
      <c r="Z377" s="14"/>
      <c r="AA377" s="17"/>
      <c r="AB377" s="17"/>
      <c r="AC377" s="17"/>
      <c r="AD377" s="17"/>
      <c r="AE377" s="17"/>
      <c r="AF377" s="17"/>
      <c r="AG377" s="17"/>
      <c r="AH377" s="17"/>
      <c r="AI377" s="17"/>
      <c r="AJ377" s="17"/>
      <c r="AK377" s="17"/>
      <c r="AL377" s="17"/>
      <c r="AM377" s="17"/>
      <c r="AN377" s="17"/>
      <c r="AO377" s="17"/>
      <c r="AP377" s="17"/>
      <c r="AQ377" s="17"/>
      <c r="AR377" s="17"/>
      <c r="AS377" s="21"/>
    </row>
    <row r="378" spans="1:376" hidden="1">
      <c r="B378" s="1000" t="s">
        <v>789</v>
      </c>
      <c r="C378" s="1000"/>
      <c r="D378" s="836"/>
      <c r="E378" s="5"/>
      <c r="F378" s="5"/>
      <c r="G378" s="5"/>
      <c r="H378" s="15"/>
      <c r="I378" s="15"/>
      <c r="J378" s="15"/>
      <c r="K378" s="15"/>
      <c r="L378" s="15"/>
      <c r="M378" s="15"/>
      <c r="N378" s="15"/>
      <c r="O378" s="15"/>
      <c r="P378" s="15"/>
      <c r="Q378" s="15"/>
      <c r="R378" s="15"/>
      <c r="S378" s="15"/>
      <c r="T378" s="15"/>
      <c r="U378" s="15"/>
      <c r="V378" s="15"/>
      <c r="X378" s="15"/>
      <c r="Y378" s="19"/>
      <c r="Z378" s="15"/>
      <c r="AA378" s="5"/>
      <c r="AB378" s="5"/>
      <c r="AC378" s="5"/>
      <c r="AD378" s="5"/>
      <c r="AE378" s="5"/>
      <c r="AF378" s="5"/>
      <c r="AG378" s="5"/>
      <c r="AH378" s="5"/>
      <c r="AI378" s="5"/>
      <c r="AJ378" s="5"/>
      <c r="AK378" s="5"/>
      <c r="AL378" s="5"/>
      <c r="AM378" s="5"/>
      <c r="AN378" s="5"/>
      <c r="AO378" s="5"/>
      <c r="AP378" s="5"/>
      <c r="AQ378" s="5"/>
      <c r="AR378" s="5"/>
      <c r="AS378" s="21"/>
    </row>
    <row r="379" spans="1:376" hidden="1">
      <c r="B379" s="1000" t="s">
        <v>800</v>
      </c>
      <c r="C379" s="1000"/>
      <c r="D379" s="836"/>
      <c r="E379" s="5"/>
      <c r="F379" s="5"/>
      <c r="G379" s="5"/>
      <c r="H379" s="15"/>
      <c r="I379" s="15"/>
      <c r="J379" s="15"/>
      <c r="K379" s="15"/>
      <c r="L379" s="15"/>
      <c r="M379" s="15"/>
      <c r="N379" s="15"/>
      <c r="O379" s="15"/>
      <c r="P379" s="15"/>
      <c r="Q379" s="15"/>
      <c r="R379" s="15"/>
      <c r="S379" s="15"/>
      <c r="T379" s="15"/>
      <c r="U379" s="15"/>
      <c r="V379" s="15"/>
      <c r="X379" s="15"/>
      <c r="Y379" s="19"/>
      <c r="Z379" s="15"/>
      <c r="AA379" s="15"/>
      <c r="AB379" s="5"/>
      <c r="AC379" s="5"/>
      <c r="AD379" s="5"/>
      <c r="AE379" s="5"/>
      <c r="AF379" s="5"/>
      <c r="AG379" s="5"/>
      <c r="AH379" s="5"/>
      <c r="AI379" s="5"/>
      <c r="AJ379" s="5"/>
      <c r="AK379" s="5"/>
      <c r="AL379" s="5"/>
      <c r="AM379" s="5"/>
      <c r="AN379" s="5"/>
      <c r="AO379" s="5"/>
      <c r="AP379" s="5"/>
      <c r="AQ379" s="5"/>
      <c r="AR379" s="5"/>
      <c r="AS379" s="21"/>
    </row>
    <row r="380" spans="1:376" ht="24" hidden="1">
      <c r="B380" s="1000" t="s">
        <v>800</v>
      </c>
      <c r="C380" s="1000"/>
      <c r="D380" s="1135"/>
      <c r="E380" s="199" t="s">
        <v>801</v>
      </c>
      <c r="F380" s="199"/>
      <c r="G380" s="199"/>
      <c r="H380" s="199"/>
      <c r="I380" s="199"/>
      <c r="J380" s="199"/>
      <c r="K380" s="52"/>
      <c r="L380" s="52"/>
      <c r="M380" s="52"/>
      <c r="N380" s="52"/>
      <c r="O380" s="52"/>
      <c r="P380" s="52"/>
      <c r="Q380" s="52"/>
      <c r="R380" s="52"/>
      <c r="S380" s="52"/>
      <c r="T380" s="52"/>
      <c r="U380" s="52"/>
      <c r="V380" s="52"/>
      <c r="X380" s="52"/>
      <c r="Y380" s="19"/>
      <c r="Z380" s="5"/>
      <c r="AA380" s="5"/>
      <c r="AB380" s="5"/>
      <c r="AC380" s="5"/>
      <c r="AD380" s="5"/>
      <c r="AE380" s="5"/>
      <c r="AF380" s="5"/>
      <c r="AG380" s="5"/>
      <c r="AH380" s="5"/>
      <c r="AI380" s="5"/>
      <c r="AJ380" s="5"/>
      <c r="AK380" s="5"/>
      <c r="AL380" s="5"/>
      <c r="AM380" s="5"/>
      <c r="AN380" s="5"/>
      <c r="AO380" s="5"/>
      <c r="AP380" s="5"/>
      <c r="AQ380" s="5"/>
      <c r="AR380" s="5"/>
      <c r="AS380" s="371"/>
    </row>
    <row r="381" spans="1:376" hidden="1">
      <c r="B381" s="1000" t="s">
        <v>800</v>
      </c>
      <c r="C381" s="1000"/>
      <c r="D381" s="837"/>
      <c r="E381" s="320" t="s">
        <v>414</v>
      </c>
      <c r="F381" s="320"/>
      <c r="G381" s="320" t="s">
        <v>353</v>
      </c>
      <c r="H381" s="321"/>
      <c r="I381" s="321">
        <f ca="1">OFFSET(I381,0,-1)+1</f>
        <v>1</v>
      </c>
      <c r="J381" s="321"/>
      <c r="K381" s="52"/>
      <c r="L381" s="52"/>
      <c r="M381" s="5"/>
      <c r="N381" s="5"/>
      <c r="O381" s="5"/>
      <c r="P381" s="5"/>
      <c r="Q381" s="5"/>
      <c r="R381" s="5"/>
      <c r="S381" s="5"/>
      <c r="T381" s="5"/>
      <c r="U381" s="5"/>
      <c r="V381" s="5"/>
      <c r="X381" s="5"/>
      <c r="Y381" s="19"/>
      <c r="Z381" s="5"/>
      <c r="AA381" s="5"/>
      <c r="AB381" s="5"/>
      <c r="AC381" s="5"/>
      <c r="AD381" s="5"/>
      <c r="AE381" s="5"/>
      <c r="AF381" s="5"/>
      <c r="AG381" s="5"/>
      <c r="AH381" s="5"/>
      <c r="AI381" s="5"/>
      <c r="AJ381" s="5"/>
      <c r="AK381" s="5"/>
      <c r="AL381" s="5"/>
      <c r="AM381" s="5"/>
      <c r="AN381" s="5"/>
      <c r="AO381" s="5"/>
      <c r="AP381" s="5"/>
      <c r="AQ381" s="5"/>
      <c r="AR381" s="5"/>
      <c r="AS381" s="21"/>
    </row>
    <row r="382" spans="1:376" s="2" customFormat="1" ht="18.75" hidden="1">
      <c r="A382" s="1010"/>
      <c r="B382" s="1000" t="s">
        <v>800</v>
      </c>
      <c r="C382" s="1000"/>
      <c r="D382" s="841"/>
      <c r="E382" s="316" t="s">
        <v>802</v>
      </c>
      <c r="F382" s="317"/>
      <c r="G382" s="316"/>
      <c r="H382" s="318"/>
      <c r="I382" s="319"/>
      <c r="J382" s="318"/>
      <c r="K382" s="9"/>
      <c r="L382" s="9"/>
      <c r="M382" s="9"/>
      <c r="N382" s="9"/>
      <c r="O382" s="9"/>
      <c r="P382" s="9"/>
      <c r="Q382" s="9"/>
      <c r="R382" s="9"/>
      <c r="S382" s="4"/>
      <c r="T382" s="4"/>
      <c r="AC382" s="4"/>
      <c r="AD382" s="8"/>
      <c r="AE382" s="4"/>
      <c r="AF382" s="4"/>
      <c r="AG382" s="4"/>
      <c r="AH382" s="4"/>
      <c r="AI382" s="4"/>
      <c r="AJ382" s="4"/>
      <c r="AK382" s="4"/>
      <c r="AL382" s="4"/>
      <c r="AM382" s="4"/>
      <c r="AN382" s="4"/>
      <c r="AO382" s="4"/>
      <c r="AP382" s="4"/>
      <c r="AQ382" s="4"/>
      <c r="AR382" s="4"/>
      <c r="AS382" s="4"/>
      <c r="AT382" s="4"/>
      <c r="AU382" s="4"/>
      <c r="AV382" s="4"/>
      <c r="AW382" s="4"/>
      <c r="AX382" s="21"/>
    </row>
    <row r="383" spans="1:376" hidden="1">
      <c r="B383" s="1000" t="s">
        <v>800</v>
      </c>
      <c r="C383" s="1000"/>
      <c r="D383" s="836"/>
      <c r="E383" s="329" t="s">
        <v>803</v>
      </c>
      <c r="F383" s="330"/>
      <c r="G383" s="329" t="s">
        <v>154</v>
      </c>
      <c r="H383" s="342"/>
      <c r="I383" s="450">
        <v>1</v>
      </c>
      <c r="J383" s="342"/>
      <c r="K383" s="19"/>
      <c r="L383" s="15"/>
      <c r="M383" s="15"/>
      <c r="N383" s="15"/>
      <c r="O383" s="5"/>
      <c r="P383" s="5"/>
      <c r="Q383" s="5"/>
      <c r="R383" s="5"/>
      <c r="S383" s="5"/>
      <c r="T383" s="5"/>
      <c r="U383" s="5"/>
      <c r="V383" s="5"/>
      <c r="X383" s="5"/>
      <c r="Y383" s="19"/>
      <c r="Z383" s="5"/>
      <c r="AA383" s="5"/>
      <c r="AB383" s="5"/>
      <c r="AC383" s="5"/>
      <c r="AD383" s="5"/>
      <c r="AE383" s="5"/>
      <c r="AF383" s="5"/>
      <c r="AG383" s="5"/>
      <c r="AH383" s="5"/>
      <c r="AI383" s="5"/>
      <c r="AJ383" s="5"/>
      <c r="AK383" s="5"/>
      <c r="AL383" s="5"/>
      <c r="AM383" s="5"/>
      <c r="AN383" s="5"/>
      <c r="AO383" s="5"/>
      <c r="AP383" s="5"/>
      <c r="AQ383" s="5"/>
      <c r="AR383" s="5"/>
      <c r="AS383" s="21"/>
    </row>
    <row r="384" spans="1:376" ht="25.5" hidden="1">
      <c r="B384" s="1000" t="s">
        <v>800</v>
      </c>
      <c r="C384" s="1000"/>
      <c r="D384" s="836"/>
      <c r="E384" s="329" t="s">
        <v>804</v>
      </c>
      <c r="F384" s="330"/>
      <c r="G384" s="329" t="s">
        <v>154</v>
      </c>
      <c r="H384" s="342"/>
      <c r="I384" s="450">
        <v>1</v>
      </c>
      <c r="J384" s="342"/>
      <c r="K384" s="19"/>
      <c r="L384" s="15"/>
      <c r="M384" s="15"/>
      <c r="N384" s="15"/>
      <c r="O384" s="5"/>
      <c r="P384" s="970"/>
      <c r="Q384" s="5"/>
      <c r="R384" s="5"/>
      <c r="S384" s="5"/>
      <c r="T384" s="5"/>
      <c r="U384" s="5"/>
      <c r="V384" s="5"/>
      <c r="X384" s="5"/>
      <c r="Y384" s="19"/>
      <c r="Z384" s="5"/>
      <c r="AA384" s="5"/>
      <c r="AB384" s="5"/>
      <c r="AC384" s="5"/>
      <c r="AD384" s="5"/>
      <c r="AE384" s="5"/>
      <c r="AF384" s="5"/>
      <c r="AG384" s="5"/>
      <c r="AH384" s="5"/>
      <c r="AI384" s="5"/>
      <c r="AJ384" s="5"/>
      <c r="AK384" s="5"/>
      <c r="AL384" s="5"/>
      <c r="AM384" s="5"/>
      <c r="AN384" s="5"/>
      <c r="AO384" s="5"/>
      <c r="AP384" s="5"/>
      <c r="AQ384" s="5"/>
      <c r="AR384" s="5"/>
      <c r="AS384" s="21"/>
      <c r="NL384" s="970" t="s">
        <v>1175</v>
      </c>
    </row>
    <row r="385" spans="2:1102" hidden="1">
      <c r="B385" s="1000" t="s">
        <v>800</v>
      </c>
      <c r="C385" s="1000"/>
      <c r="D385" s="836"/>
      <c r="E385" s="5"/>
      <c r="F385" s="5"/>
      <c r="G385" s="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c r="DP385" s="15"/>
      <c r="DQ385" s="15"/>
      <c r="DR385" s="15"/>
      <c r="DS385" s="15"/>
      <c r="DT385" s="15"/>
      <c r="DU385" s="15"/>
      <c r="DV385" s="15"/>
      <c r="DW385" s="15"/>
      <c r="DX385" s="15"/>
      <c r="DY385" s="15"/>
      <c r="DZ385" s="15"/>
      <c r="EA385" s="15"/>
      <c r="EB385" s="15"/>
      <c r="EC385" s="15"/>
      <c r="ED385" s="15"/>
      <c r="EE385" s="15"/>
      <c r="EF385" s="15"/>
      <c r="EG385" s="15"/>
      <c r="EH385" s="15"/>
      <c r="EI385" s="15"/>
      <c r="EJ385" s="15"/>
      <c r="EK385" s="15"/>
      <c r="EL385" s="15"/>
      <c r="EM385" s="15"/>
      <c r="EN385" s="15"/>
      <c r="EO385" s="15"/>
      <c r="EP385" s="15"/>
      <c r="EQ385" s="15"/>
      <c r="ER385" s="15"/>
      <c r="ES385" s="15"/>
      <c r="ET385" s="15"/>
      <c r="EU385" s="15"/>
      <c r="EV385" s="15"/>
      <c r="EW385" s="15"/>
      <c r="EX385" s="15"/>
      <c r="EY385" s="15"/>
      <c r="EZ385" s="15"/>
      <c r="FA385" s="15"/>
      <c r="FB385" s="15"/>
      <c r="FC385" s="15"/>
      <c r="FD385" s="15"/>
      <c r="FE385" s="15"/>
      <c r="FF385" s="15"/>
      <c r="FG385" s="15"/>
      <c r="FH385" s="15"/>
      <c r="FI385" s="15"/>
      <c r="FJ385" s="15"/>
      <c r="FK385" s="15"/>
      <c r="FL385" s="15"/>
      <c r="FM385" s="15"/>
      <c r="FN385" s="15"/>
      <c r="FO385" s="15"/>
      <c r="FP385" s="15"/>
      <c r="FQ385" s="15"/>
      <c r="FR385" s="15"/>
      <c r="FS385" s="15"/>
      <c r="FT385" s="15"/>
      <c r="FU385" s="15"/>
      <c r="FV385" s="15"/>
      <c r="FW385" s="15"/>
      <c r="FX385" s="15"/>
      <c r="FY385" s="15"/>
      <c r="FZ385" s="15"/>
      <c r="GA385" s="15"/>
      <c r="GB385" s="15"/>
      <c r="GC385" s="15"/>
      <c r="GD385" s="15"/>
      <c r="GE385" s="15"/>
      <c r="GF385" s="15"/>
      <c r="GG385" s="15"/>
      <c r="GH385" s="15"/>
      <c r="GI385" s="15"/>
      <c r="GJ385" s="15"/>
      <c r="GK385" s="15"/>
      <c r="GL385" s="15"/>
      <c r="GM385" s="15"/>
      <c r="GN385" s="15"/>
      <c r="GO385" s="15"/>
      <c r="GP385" s="15"/>
      <c r="GQ385" s="15"/>
      <c r="GR385" s="15"/>
      <c r="GS385" s="15"/>
      <c r="GT385" s="15"/>
      <c r="GU385" s="15"/>
      <c r="GV385" s="15"/>
      <c r="GW385" s="15"/>
      <c r="GX385" s="15"/>
      <c r="GY385" s="15"/>
      <c r="GZ385" s="15"/>
      <c r="HA385" s="15"/>
      <c r="HB385" s="15"/>
      <c r="HC385" s="15"/>
      <c r="HD385" s="15"/>
      <c r="HE385" s="15"/>
      <c r="HF385" s="15"/>
      <c r="HG385" s="15"/>
      <c r="HH385" s="15"/>
      <c r="HI385" s="15"/>
      <c r="HJ385" s="15"/>
      <c r="HK385" s="15"/>
      <c r="HL385" s="15"/>
      <c r="HM385" s="15"/>
      <c r="HN385" s="15"/>
      <c r="HO385" s="15"/>
      <c r="HP385" s="15"/>
      <c r="HQ385" s="15"/>
      <c r="HR385" s="15"/>
      <c r="HS385" s="15"/>
      <c r="HT385" s="15"/>
      <c r="HU385" s="15"/>
      <c r="HV385" s="15"/>
      <c r="HW385" s="15"/>
      <c r="HX385" s="15"/>
      <c r="HY385" s="15"/>
      <c r="HZ385" s="15"/>
      <c r="IA385" s="15"/>
      <c r="IB385" s="15"/>
      <c r="IC385" s="15"/>
      <c r="ID385" s="15"/>
      <c r="IE385" s="15"/>
      <c r="IF385" s="15"/>
      <c r="IG385" s="15"/>
      <c r="IH385" s="15"/>
      <c r="II385" s="15"/>
      <c r="IJ385" s="15"/>
      <c r="IK385" s="15"/>
      <c r="IL385" s="15"/>
      <c r="IM385" s="15"/>
      <c r="IN385" s="15"/>
      <c r="IO385" s="15"/>
      <c r="IP385" s="15"/>
      <c r="IQ385" s="15"/>
      <c r="IR385" s="15"/>
      <c r="IS385" s="15"/>
      <c r="IT385" s="15"/>
      <c r="IU385" s="15"/>
      <c r="IV385" s="15"/>
      <c r="IW385" s="15"/>
      <c r="IX385" s="15"/>
      <c r="IY385" s="15"/>
      <c r="IZ385" s="15"/>
      <c r="JA385" s="15"/>
      <c r="JB385" s="15"/>
      <c r="JC385" s="15"/>
      <c r="JD385" s="15"/>
      <c r="JE385" s="15"/>
      <c r="JF385" s="15"/>
      <c r="JG385" s="15"/>
      <c r="JH385" s="15"/>
      <c r="JI385" s="15"/>
      <c r="JJ385" s="15"/>
      <c r="JK385" s="15"/>
      <c r="JL385" s="15"/>
      <c r="JM385" s="15"/>
      <c r="JN385" s="15"/>
      <c r="JO385" s="15"/>
      <c r="JP385" s="15"/>
      <c r="JQ385" s="15"/>
      <c r="JR385" s="15"/>
      <c r="JS385" s="15"/>
      <c r="JT385" s="15"/>
      <c r="JU385" s="15"/>
      <c r="JV385" s="15"/>
      <c r="JW385" s="15"/>
      <c r="JX385" s="15"/>
      <c r="JY385" s="15"/>
      <c r="JZ385" s="15"/>
      <c r="KA385" s="15"/>
      <c r="KB385" s="15"/>
      <c r="KC385" s="15"/>
      <c r="KD385" s="15"/>
      <c r="KE385" s="15"/>
      <c r="KF385" s="15"/>
      <c r="KG385" s="15"/>
      <c r="KH385" s="15"/>
      <c r="KI385" s="15"/>
      <c r="KJ385" s="15"/>
      <c r="KK385" s="15"/>
      <c r="KL385" s="15"/>
      <c r="KM385" s="15"/>
      <c r="KN385" s="15"/>
      <c r="KO385" s="15"/>
      <c r="KP385" s="15"/>
      <c r="KQ385" s="15"/>
      <c r="KR385" s="15"/>
      <c r="KS385" s="15"/>
      <c r="KT385" s="15"/>
      <c r="KU385" s="15"/>
      <c r="KV385" s="15"/>
      <c r="KW385" s="15"/>
      <c r="KX385" s="15"/>
      <c r="KY385" s="15"/>
      <c r="KZ385" s="15"/>
      <c r="LA385" s="15"/>
      <c r="LB385" s="15"/>
      <c r="LC385" s="15"/>
      <c r="LD385" s="15"/>
      <c r="LE385" s="15"/>
      <c r="LF385" s="15"/>
      <c r="LG385" s="15"/>
      <c r="LH385" s="15"/>
      <c r="LI385" s="15"/>
      <c r="LJ385" s="15"/>
      <c r="LK385" s="15"/>
      <c r="LL385" s="15"/>
      <c r="LM385" s="15"/>
      <c r="LN385" s="15"/>
      <c r="LO385" s="15"/>
      <c r="LP385" s="15"/>
      <c r="LQ385" s="15"/>
      <c r="LR385" s="15"/>
      <c r="LS385" s="15"/>
      <c r="LT385" s="15"/>
      <c r="LU385" s="15"/>
      <c r="LV385" s="15"/>
      <c r="LW385" s="15"/>
      <c r="LX385" s="15"/>
      <c r="LY385" s="15"/>
      <c r="LZ385" s="15"/>
      <c r="MA385" s="15"/>
      <c r="MB385" s="15"/>
      <c r="MC385" s="15"/>
      <c r="MD385" s="15"/>
      <c r="ME385" s="15"/>
      <c r="MF385" s="15"/>
      <c r="MG385" s="15"/>
      <c r="MH385" s="15"/>
      <c r="MI385" s="15"/>
      <c r="MJ385" s="15"/>
      <c r="MK385" s="15"/>
      <c r="ML385" s="15"/>
      <c r="MM385" s="15"/>
      <c r="MN385" s="15"/>
      <c r="MO385" s="15"/>
      <c r="MP385" s="15"/>
      <c r="MQ385" s="15"/>
      <c r="MR385" s="15"/>
      <c r="MS385" s="15"/>
      <c r="MT385" s="15"/>
      <c r="MU385" s="15"/>
      <c r="MV385" s="15"/>
      <c r="MW385" s="15"/>
      <c r="MX385" s="15"/>
      <c r="MY385" s="15"/>
      <c r="MZ385" s="15"/>
      <c r="NA385" s="15"/>
      <c r="NB385" s="15"/>
      <c r="NC385" s="15"/>
      <c r="ND385" s="15"/>
      <c r="NE385" s="15"/>
      <c r="NF385" s="15"/>
      <c r="NG385" s="15"/>
      <c r="NH385" s="15"/>
      <c r="NI385" s="15"/>
      <c r="NJ385" s="15"/>
      <c r="NK385" s="15"/>
      <c r="NL385" s="15"/>
      <c r="NM385" s="15"/>
      <c r="NN385" s="15"/>
      <c r="NO385" s="15"/>
      <c r="NP385" s="15"/>
      <c r="NQ385" s="15"/>
      <c r="NR385" s="15"/>
      <c r="NS385" s="15"/>
      <c r="NT385" s="15"/>
      <c r="NU385" s="15"/>
      <c r="NV385" s="15"/>
      <c r="NW385" s="15"/>
      <c r="NX385" s="15"/>
      <c r="NY385" s="15"/>
      <c r="NZ385" s="15"/>
      <c r="OA385" s="15"/>
      <c r="OB385" s="15"/>
      <c r="OC385" s="15"/>
      <c r="OD385" s="15"/>
      <c r="OE385" s="15"/>
      <c r="OF385" s="15"/>
      <c r="OG385" s="15"/>
      <c r="OH385" s="15"/>
      <c r="OI385" s="15"/>
      <c r="OJ385" s="15"/>
      <c r="OK385" s="15"/>
      <c r="OL385" s="15"/>
      <c r="OM385" s="15"/>
      <c r="ON385" s="15"/>
      <c r="OO385" s="15"/>
      <c r="OP385" s="15"/>
      <c r="OQ385" s="15"/>
      <c r="OR385" s="15"/>
      <c r="OS385" s="15"/>
      <c r="OT385" s="15"/>
      <c r="OU385" s="15"/>
      <c r="OV385" s="15"/>
      <c r="OW385" s="15"/>
      <c r="OX385" s="15"/>
      <c r="OY385" s="15"/>
      <c r="OZ385" s="15"/>
      <c r="PA385" s="15"/>
      <c r="PB385" s="15"/>
      <c r="PC385" s="15"/>
      <c r="PD385" s="15"/>
      <c r="PE385" s="15"/>
      <c r="PF385" s="15"/>
      <c r="PG385" s="15"/>
      <c r="PH385" s="15"/>
      <c r="PI385" s="15"/>
      <c r="PJ385" s="15"/>
      <c r="PK385" s="15"/>
      <c r="PL385" s="15"/>
      <c r="PM385" s="15"/>
      <c r="PN385" s="15"/>
      <c r="PO385" s="15"/>
      <c r="PP385" s="15"/>
      <c r="PQ385" s="15"/>
      <c r="PR385" s="15"/>
      <c r="PS385" s="15"/>
      <c r="PT385" s="15"/>
      <c r="PU385" s="15"/>
      <c r="PV385" s="15"/>
      <c r="PW385" s="15"/>
      <c r="PX385" s="15"/>
      <c r="PY385" s="15"/>
      <c r="PZ385" s="15"/>
      <c r="QA385" s="15"/>
      <c r="QB385" s="15"/>
      <c r="QC385" s="15"/>
      <c r="QD385" s="15"/>
      <c r="QE385" s="15"/>
      <c r="QF385" s="15"/>
      <c r="QG385" s="15"/>
      <c r="QH385" s="15"/>
      <c r="QI385" s="15"/>
      <c r="QJ385" s="15"/>
      <c r="QK385" s="15"/>
      <c r="QL385" s="15"/>
      <c r="QM385" s="15"/>
      <c r="QN385" s="15"/>
      <c r="QO385" s="15"/>
      <c r="QP385" s="15"/>
      <c r="QQ385" s="15"/>
      <c r="QR385" s="15"/>
      <c r="QS385" s="15"/>
      <c r="QT385" s="15"/>
      <c r="QU385" s="15"/>
      <c r="QV385" s="15"/>
      <c r="QW385" s="15"/>
      <c r="QX385" s="15"/>
      <c r="QY385" s="15"/>
      <c r="QZ385" s="15"/>
      <c r="RA385" s="15"/>
      <c r="RB385" s="15"/>
      <c r="RC385" s="15"/>
      <c r="RD385" s="15"/>
      <c r="RE385" s="15"/>
      <c r="RF385" s="15"/>
      <c r="RG385" s="15"/>
      <c r="RH385" s="15"/>
      <c r="RI385" s="15"/>
      <c r="RJ385" s="15"/>
      <c r="RK385" s="15"/>
      <c r="RL385" s="15"/>
      <c r="RM385" s="15"/>
      <c r="RN385" s="15"/>
      <c r="RO385" s="15"/>
      <c r="RP385" s="15"/>
      <c r="RQ385" s="15"/>
      <c r="RR385" s="15"/>
      <c r="RS385" s="15"/>
      <c r="RT385" s="15"/>
      <c r="RU385" s="15"/>
      <c r="RV385" s="15"/>
      <c r="RW385" s="15"/>
      <c r="RX385" s="15"/>
      <c r="RY385" s="15"/>
      <c r="RZ385" s="15"/>
      <c r="SA385" s="15"/>
      <c r="SB385" s="15"/>
      <c r="SC385" s="15"/>
      <c r="SD385" s="15"/>
      <c r="SE385" s="15"/>
      <c r="SF385" s="15"/>
      <c r="SG385" s="15"/>
      <c r="SH385" s="15"/>
      <c r="SI385" s="15"/>
      <c r="SJ385" s="15"/>
      <c r="SK385" s="15"/>
      <c r="SL385" s="15"/>
      <c r="SM385" s="15"/>
      <c r="SN385" s="15"/>
      <c r="SO385" s="15"/>
      <c r="SP385" s="15"/>
      <c r="SQ385" s="15"/>
      <c r="SR385" s="15"/>
      <c r="SS385" s="15"/>
      <c r="ST385" s="15"/>
      <c r="SU385" s="15"/>
      <c r="SV385" s="15"/>
      <c r="SW385" s="15"/>
      <c r="SX385" s="15"/>
      <c r="SY385" s="15"/>
      <c r="SZ385" s="15"/>
      <c r="TA385" s="15"/>
      <c r="TB385" s="15"/>
      <c r="TC385" s="15"/>
      <c r="TD385" s="15"/>
      <c r="TE385" s="15"/>
      <c r="TF385" s="15"/>
      <c r="TG385" s="15"/>
      <c r="TH385" s="15"/>
      <c r="TI385" s="15"/>
      <c r="TJ385" s="15"/>
      <c r="TK385" s="15"/>
      <c r="TL385" s="15"/>
      <c r="TM385" s="15"/>
      <c r="TN385" s="15"/>
      <c r="TO385" s="15"/>
      <c r="TP385" s="15"/>
      <c r="TQ385" s="15"/>
      <c r="TR385" s="15"/>
      <c r="TS385" s="15"/>
      <c r="TT385" s="15"/>
      <c r="TU385" s="15"/>
      <c r="TV385" s="15"/>
      <c r="TW385" s="15"/>
      <c r="TX385" s="15"/>
      <c r="TY385" s="15"/>
      <c r="TZ385" s="15"/>
      <c r="UA385" s="15"/>
      <c r="UB385" s="15"/>
      <c r="UC385" s="15"/>
      <c r="UD385" s="15"/>
      <c r="UE385" s="15"/>
      <c r="UF385" s="15"/>
      <c r="UG385" s="15"/>
      <c r="UH385" s="15"/>
      <c r="UI385" s="15"/>
      <c r="UJ385" s="15"/>
      <c r="UK385" s="15"/>
      <c r="UL385" s="15"/>
      <c r="UM385" s="15"/>
      <c r="UN385" s="15"/>
      <c r="UO385" s="15"/>
      <c r="UP385" s="15"/>
      <c r="UQ385" s="15"/>
      <c r="UR385" s="15"/>
      <c r="US385" s="15"/>
      <c r="UT385" s="15"/>
      <c r="UU385" s="15"/>
      <c r="UV385" s="15"/>
      <c r="UW385" s="15"/>
      <c r="UX385" s="15"/>
      <c r="UY385" s="15"/>
      <c r="UZ385" s="15"/>
      <c r="VA385" s="15"/>
      <c r="VB385" s="15"/>
      <c r="VC385" s="15"/>
      <c r="VD385" s="15"/>
      <c r="VE385" s="15"/>
      <c r="VF385" s="15"/>
      <c r="VG385" s="15"/>
      <c r="VH385" s="15"/>
      <c r="VI385" s="15"/>
      <c r="VJ385" s="15"/>
      <c r="VK385" s="15"/>
      <c r="VL385" s="15"/>
      <c r="VM385" s="15"/>
      <c r="VN385" s="15"/>
      <c r="VO385" s="15"/>
      <c r="VP385" s="15"/>
      <c r="VQ385" s="15"/>
      <c r="VR385" s="15"/>
      <c r="VS385" s="15"/>
      <c r="VT385" s="15"/>
      <c r="VU385" s="15"/>
      <c r="VV385" s="15"/>
      <c r="VW385" s="15"/>
      <c r="VX385" s="15"/>
      <c r="VY385" s="15"/>
      <c r="VZ385" s="15"/>
      <c r="WA385" s="15"/>
      <c r="WB385" s="15"/>
      <c r="WC385" s="15"/>
      <c r="WD385" s="15"/>
      <c r="WE385" s="15"/>
      <c r="WF385" s="15"/>
      <c r="WG385" s="15"/>
      <c r="WH385" s="15"/>
      <c r="WI385" s="15"/>
      <c r="WJ385" s="15"/>
      <c r="WK385" s="15"/>
      <c r="WL385" s="15"/>
      <c r="WM385" s="15"/>
      <c r="WN385" s="15"/>
      <c r="WO385" s="15"/>
      <c r="WP385" s="15"/>
      <c r="WQ385" s="15"/>
      <c r="WR385" s="15"/>
      <c r="WS385" s="15"/>
      <c r="WT385" s="15"/>
      <c r="WU385" s="15"/>
      <c r="WV385" s="15"/>
      <c r="WW385" s="15"/>
      <c r="WX385" s="15"/>
      <c r="WY385" s="15"/>
      <c r="WZ385" s="15"/>
      <c r="XA385" s="15"/>
      <c r="XB385" s="15"/>
      <c r="XC385" s="15"/>
      <c r="XD385" s="15"/>
      <c r="XE385" s="15"/>
      <c r="XF385" s="15"/>
      <c r="XG385" s="15"/>
      <c r="XH385" s="15"/>
      <c r="XI385" s="15"/>
      <c r="XJ385" s="15"/>
      <c r="XK385" s="15"/>
      <c r="XL385" s="15"/>
      <c r="XM385" s="15"/>
      <c r="XN385" s="15"/>
      <c r="XO385" s="15"/>
      <c r="XP385" s="15"/>
      <c r="XQ385" s="15"/>
      <c r="XR385" s="15"/>
      <c r="XS385" s="15"/>
      <c r="XT385" s="15"/>
      <c r="XU385" s="15"/>
      <c r="XV385" s="15"/>
      <c r="XW385" s="15"/>
      <c r="XX385" s="15"/>
      <c r="XY385" s="15"/>
      <c r="XZ385" s="15"/>
      <c r="YA385" s="15"/>
      <c r="YB385" s="15"/>
      <c r="YC385" s="15"/>
      <c r="YD385" s="15"/>
      <c r="YE385" s="15"/>
      <c r="YF385" s="15"/>
      <c r="YG385" s="15"/>
      <c r="YH385" s="15"/>
      <c r="YI385" s="15"/>
      <c r="YJ385" s="15"/>
      <c r="YK385" s="15"/>
      <c r="YL385" s="15"/>
      <c r="YM385" s="15"/>
      <c r="YN385" s="15"/>
      <c r="YO385" s="15"/>
      <c r="YP385" s="15"/>
      <c r="YQ385" s="15"/>
      <c r="YR385" s="15"/>
      <c r="YS385" s="15"/>
      <c r="YT385" s="15"/>
      <c r="YU385" s="15"/>
      <c r="YV385" s="15"/>
      <c r="YW385" s="15"/>
      <c r="YX385" s="15"/>
      <c r="YY385" s="15"/>
      <c r="YZ385" s="15"/>
      <c r="ZA385" s="15"/>
      <c r="ZB385" s="15"/>
      <c r="ZC385" s="15"/>
      <c r="ZD385" s="15"/>
      <c r="ZE385" s="15"/>
      <c r="ZF385" s="15"/>
      <c r="ZG385" s="15"/>
      <c r="ZH385" s="15"/>
      <c r="ZI385" s="15"/>
      <c r="ZJ385" s="15"/>
      <c r="ZK385" s="15"/>
      <c r="ZL385" s="15"/>
      <c r="ZM385" s="15"/>
      <c r="ZN385" s="15"/>
      <c r="ZO385" s="15"/>
      <c r="ZP385" s="15"/>
      <c r="ZQ385" s="15"/>
      <c r="ZR385" s="15"/>
      <c r="ZS385" s="15"/>
      <c r="ZT385" s="15"/>
      <c r="ZU385" s="15"/>
      <c r="ZV385" s="15"/>
      <c r="ZW385" s="15"/>
      <c r="ZX385" s="15"/>
      <c r="ZY385" s="15"/>
      <c r="ZZ385" s="15"/>
      <c r="AAA385" s="15"/>
      <c r="AAB385" s="15"/>
      <c r="AAC385" s="15"/>
      <c r="AAD385" s="15"/>
      <c r="AAE385" s="15"/>
      <c r="AAF385" s="15"/>
      <c r="AAG385" s="15"/>
      <c r="AAH385" s="15"/>
      <c r="AAI385" s="15"/>
      <c r="AAJ385" s="15"/>
      <c r="AAK385" s="15"/>
      <c r="AAL385" s="15"/>
      <c r="AAM385" s="15"/>
      <c r="AAN385" s="15"/>
      <c r="AAO385" s="15"/>
      <c r="AAP385" s="15"/>
      <c r="AAQ385" s="15"/>
      <c r="AAR385" s="15"/>
      <c r="AAS385" s="15"/>
      <c r="AAT385" s="15"/>
      <c r="AAU385" s="15"/>
      <c r="AAV385" s="15"/>
      <c r="AAW385" s="15"/>
      <c r="AAX385" s="15"/>
      <c r="AAY385" s="15"/>
      <c r="AAZ385" s="15"/>
      <c r="ABA385" s="15"/>
      <c r="ABB385" s="15"/>
      <c r="ABC385" s="15"/>
      <c r="ABD385" s="15"/>
      <c r="ABE385" s="15"/>
      <c r="ABF385" s="15"/>
      <c r="ABG385" s="15"/>
      <c r="ABH385" s="15"/>
      <c r="ABI385" s="15"/>
      <c r="ABJ385" s="15"/>
      <c r="ABK385" s="15"/>
      <c r="ABL385" s="15"/>
      <c r="ABM385" s="15"/>
      <c r="ABN385" s="15"/>
      <c r="ABO385" s="15"/>
      <c r="ABP385" s="15"/>
      <c r="ABQ385" s="15"/>
      <c r="ABR385" s="15"/>
      <c r="ABS385" s="15"/>
      <c r="ABT385" s="15"/>
      <c r="ABU385" s="15"/>
      <c r="ABV385" s="15"/>
      <c r="ABW385" s="15"/>
      <c r="ABX385" s="15"/>
      <c r="ABY385" s="15"/>
      <c r="ABZ385" s="15"/>
      <c r="ACA385" s="15"/>
      <c r="ACB385" s="15"/>
      <c r="ACC385" s="15"/>
      <c r="ACD385" s="15"/>
      <c r="ACE385" s="15"/>
      <c r="ACF385" s="15"/>
      <c r="ACG385" s="15"/>
      <c r="ACH385" s="15"/>
      <c r="ACI385" s="15"/>
      <c r="ACJ385" s="15"/>
      <c r="ACK385" s="15"/>
      <c r="ACL385" s="15"/>
      <c r="ACM385" s="15"/>
      <c r="ACN385" s="15"/>
      <c r="ACO385" s="15"/>
      <c r="ACP385" s="15"/>
      <c r="ACQ385" s="15"/>
      <c r="ACR385" s="15"/>
      <c r="ACS385" s="15"/>
      <c r="ACT385" s="15"/>
      <c r="ACU385" s="15"/>
      <c r="ACV385" s="15"/>
      <c r="ACW385" s="15"/>
      <c r="ACX385" s="15"/>
      <c r="ACY385" s="15"/>
      <c r="ACZ385" s="15"/>
      <c r="ADA385" s="15"/>
      <c r="ADB385" s="15"/>
      <c r="ADC385" s="15"/>
      <c r="ADD385" s="15"/>
      <c r="ADE385" s="15"/>
      <c r="ADF385" s="15"/>
      <c r="ADG385" s="15"/>
      <c r="ADH385" s="15"/>
      <c r="ADI385" s="15"/>
      <c r="ADJ385" s="15"/>
      <c r="ADK385" s="15"/>
      <c r="ADL385" s="15"/>
      <c r="ADM385" s="15"/>
      <c r="ADN385" s="15"/>
      <c r="ADO385" s="15"/>
      <c r="ADP385" s="15"/>
      <c r="ADQ385" s="15"/>
      <c r="ADR385" s="15"/>
      <c r="ADS385" s="15"/>
      <c r="ADT385" s="15"/>
      <c r="ADU385" s="15"/>
      <c r="ADV385" s="15"/>
      <c r="ADW385" s="15"/>
      <c r="ADX385" s="15"/>
      <c r="ADY385" s="15"/>
      <c r="ADZ385" s="15"/>
      <c r="AEA385" s="15"/>
      <c r="AEB385" s="15"/>
      <c r="AEC385" s="15"/>
      <c r="AED385" s="15"/>
      <c r="AEE385" s="15"/>
      <c r="AEF385" s="15"/>
      <c r="AEG385" s="15"/>
      <c r="AEH385" s="15"/>
      <c r="AEI385" s="15"/>
      <c r="AEJ385" s="15"/>
      <c r="AEK385" s="15"/>
      <c r="AEL385" s="15"/>
      <c r="AEM385" s="15"/>
      <c r="AEN385" s="15"/>
      <c r="AEO385" s="15"/>
      <c r="AEP385" s="15"/>
      <c r="AEQ385" s="15"/>
      <c r="AER385" s="15"/>
      <c r="AES385" s="15"/>
      <c r="AET385" s="15"/>
      <c r="AEU385" s="15"/>
      <c r="AEV385" s="15"/>
      <c r="AEW385" s="15"/>
      <c r="AEX385" s="15"/>
      <c r="AEY385" s="15"/>
      <c r="AEZ385" s="15"/>
      <c r="AFA385" s="15"/>
      <c r="AFB385" s="15"/>
      <c r="AFC385" s="15"/>
      <c r="AFD385" s="15"/>
      <c r="AFE385" s="15"/>
      <c r="AFF385" s="15"/>
      <c r="AFG385" s="15"/>
      <c r="AFH385" s="15"/>
      <c r="AFI385" s="15"/>
      <c r="AFJ385" s="15"/>
      <c r="AFK385" s="15"/>
      <c r="AFL385" s="15"/>
      <c r="AFM385" s="15"/>
      <c r="AFN385" s="15"/>
      <c r="AFO385" s="15"/>
      <c r="AFP385" s="15"/>
      <c r="AFQ385" s="15"/>
      <c r="AFR385" s="15"/>
      <c r="AFS385" s="15"/>
      <c r="AFT385" s="15"/>
      <c r="AFU385" s="15"/>
      <c r="AFV385" s="15"/>
      <c r="AFW385" s="15"/>
      <c r="AFX385" s="15"/>
      <c r="AFY385" s="15"/>
      <c r="AFZ385" s="15"/>
      <c r="AGA385" s="15"/>
      <c r="AGB385" s="15"/>
      <c r="AGC385" s="15"/>
      <c r="AGD385" s="15"/>
      <c r="AGE385" s="15"/>
      <c r="AGF385" s="15"/>
      <c r="AGG385" s="15"/>
      <c r="AGH385" s="15"/>
      <c r="AGI385" s="15"/>
      <c r="AGJ385" s="15"/>
      <c r="AGK385" s="15"/>
      <c r="AGL385" s="15"/>
      <c r="AGM385" s="15"/>
      <c r="AGN385" s="15"/>
      <c r="AGO385" s="15"/>
      <c r="AGP385" s="15"/>
      <c r="AGQ385" s="15"/>
      <c r="AGR385" s="15"/>
      <c r="AGS385" s="15"/>
      <c r="AGT385" s="15"/>
      <c r="AGU385" s="15"/>
      <c r="AGV385" s="15"/>
      <c r="AGW385" s="15"/>
      <c r="AGX385" s="15"/>
      <c r="AGY385" s="15"/>
      <c r="AGZ385" s="15"/>
      <c r="AHA385" s="15"/>
      <c r="AHB385" s="15"/>
      <c r="AHC385" s="15"/>
      <c r="AHD385" s="15"/>
      <c r="AHE385" s="15"/>
      <c r="AHF385" s="15"/>
      <c r="AHG385" s="15"/>
      <c r="AHH385" s="15"/>
      <c r="AHI385" s="15"/>
      <c r="AHJ385" s="15"/>
      <c r="AHK385" s="15"/>
      <c r="AHL385" s="15"/>
      <c r="AHM385" s="15"/>
      <c r="AHN385" s="15"/>
      <c r="AHO385" s="15"/>
      <c r="AHP385" s="15"/>
      <c r="AHQ385" s="15"/>
      <c r="AHR385" s="15"/>
      <c r="AHS385" s="15"/>
      <c r="AHT385" s="15"/>
      <c r="AHU385" s="15"/>
      <c r="AHV385" s="15"/>
      <c r="AHW385" s="15"/>
      <c r="AHX385" s="15"/>
      <c r="AHY385" s="15"/>
      <c r="AHZ385" s="15"/>
      <c r="AIA385" s="15"/>
      <c r="AIB385" s="15"/>
      <c r="AIC385" s="15"/>
      <c r="AID385" s="15"/>
      <c r="AIE385" s="15"/>
      <c r="AIF385" s="15"/>
      <c r="AIG385" s="15"/>
      <c r="AIH385" s="15"/>
      <c r="AII385" s="15"/>
      <c r="AIJ385" s="15"/>
      <c r="AIK385" s="15"/>
      <c r="AIL385" s="15"/>
      <c r="AIM385" s="15"/>
      <c r="AIN385" s="15"/>
      <c r="AIO385" s="15"/>
      <c r="AIP385" s="15"/>
      <c r="AIQ385" s="15"/>
      <c r="AIR385" s="15"/>
      <c r="AIS385" s="15"/>
      <c r="AIT385" s="15"/>
      <c r="AIU385" s="15"/>
      <c r="AIV385" s="15"/>
      <c r="AIW385" s="15"/>
      <c r="AIX385" s="15"/>
      <c r="AIY385" s="15"/>
      <c r="AIZ385" s="15"/>
      <c r="AJA385" s="15"/>
      <c r="AJB385" s="15"/>
      <c r="AJC385" s="15"/>
      <c r="AJD385" s="15"/>
      <c r="AJE385" s="15"/>
      <c r="AJF385" s="15"/>
      <c r="AJG385" s="15"/>
      <c r="AJH385" s="15"/>
      <c r="AJI385" s="15"/>
      <c r="AJJ385" s="15"/>
      <c r="AJK385" s="15"/>
      <c r="AJL385" s="15"/>
      <c r="AJM385" s="15"/>
      <c r="AJN385" s="15"/>
      <c r="AJO385" s="15"/>
      <c r="AJP385" s="15"/>
      <c r="AJQ385" s="15"/>
      <c r="AJR385" s="15"/>
      <c r="AJS385" s="15"/>
      <c r="AJT385" s="15"/>
      <c r="AJU385" s="15"/>
      <c r="AJV385" s="15"/>
      <c r="AJW385" s="15"/>
      <c r="AJX385" s="15"/>
      <c r="AJY385" s="15"/>
      <c r="AJZ385" s="15"/>
      <c r="AKA385" s="15"/>
      <c r="AKB385" s="15"/>
      <c r="AKC385" s="15"/>
      <c r="AKD385" s="15"/>
      <c r="AKE385" s="15"/>
      <c r="AKF385" s="15"/>
      <c r="AKG385" s="15"/>
      <c r="AKH385" s="15"/>
      <c r="AKI385" s="15"/>
      <c r="AKJ385" s="15"/>
      <c r="AKK385" s="15"/>
      <c r="AKL385" s="15"/>
      <c r="AKM385" s="15"/>
      <c r="AKN385" s="15"/>
      <c r="AKO385" s="15"/>
      <c r="AKP385" s="15"/>
      <c r="AKQ385" s="15"/>
      <c r="AKR385" s="15"/>
      <c r="AKS385" s="15"/>
      <c r="AKT385" s="15"/>
      <c r="AKU385" s="15"/>
      <c r="AKV385" s="15"/>
      <c r="AKW385" s="15"/>
      <c r="AKX385" s="15"/>
      <c r="AKY385" s="15"/>
      <c r="AKZ385" s="15"/>
      <c r="ALA385" s="15"/>
      <c r="ALB385" s="15"/>
      <c r="ALC385" s="15"/>
      <c r="ALD385" s="15"/>
      <c r="ALE385" s="15"/>
      <c r="ALF385" s="15"/>
      <c r="ALG385" s="15"/>
      <c r="ALH385" s="15"/>
      <c r="ALI385" s="15"/>
      <c r="ALJ385" s="15"/>
      <c r="ALK385" s="15"/>
      <c r="ALL385" s="15"/>
      <c r="ALM385" s="15"/>
      <c r="ALN385" s="15"/>
      <c r="ALO385" s="15"/>
      <c r="ALP385" s="15"/>
      <c r="ALQ385" s="15"/>
      <c r="ALR385" s="15"/>
      <c r="ALS385" s="15"/>
      <c r="ALT385" s="15"/>
      <c r="ALU385" s="15"/>
      <c r="ALV385" s="15"/>
      <c r="ALW385" s="15"/>
      <c r="ALX385" s="15"/>
      <c r="ALY385" s="15"/>
      <c r="ALZ385" s="15"/>
      <c r="AMA385" s="15"/>
      <c r="AMB385" s="15"/>
      <c r="AMC385" s="15"/>
      <c r="AMD385" s="15"/>
      <c r="AME385" s="15"/>
      <c r="AMF385" s="15"/>
      <c r="AMG385" s="15"/>
      <c r="AMH385" s="15"/>
      <c r="AMI385" s="15"/>
      <c r="AMJ385" s="15"/>
      <c r="AMK385" s="15"/>
      <c r="AML385" s="15"/>
      <c r="AMM385" s="15"/>
      <c r="AMN385" s="15"/>
      <c r="AMO385" s="15"/>
      <c r="AMP385" s="15"/>
      <c r="AMQ385" s="15"/>
      <c r="AMR385" s="15"/>
      <c r="AMS385" s="15"/>
      <c r="AMT385" s="15"/>
      <c r="AMU385" s="15"/>
      <c r="AMV385" s="15"/>
      <c r="AMW385" s="15"/>
      <c r="AMX385" s="15"/>
      <c r="AMY385" s="15"/>
      <c r="AMZ385" s="15"/>
      <c r="ANA385" s="15"/>
      <c r="ANB385" s="15"/>
      <c r="ANC385" s="15"/>
      <c r="AND385" s="15"/>
      <c r="ANE385" s="15"/>
      <c r="ANF385" s="15"/>
      <c r="ANG385" s="15"/>
      <c r="ANH385" s="15"/>
      <c r="ANI385" s="15"/>
      <c r="ANJ385" s="15"/>
      <c r="ANK385" s="15"/>
      <c r="ANL385" s="15"/>
      <c r="ANM385" s="15"/>
      <c r="ANN385" s="15"/>
      <c r="ANO385" s="15"/>
      <c r="ANP385" s="15"/>
      <c r="ANQ385" s="15"/>
      <c r="ANR385" s="15"/>
      <c r="ANS385" s="15"/>
      <c r="ANT385" s="15"/>
      <c r="ANU385" s="15"/>
      <c r="ANV385" s="15"/>
      <c r="ANW385" s="15"/>
      <c r="ANX385" s="15"/>
      <c r="ANY385" s="15"/>
      <c r="ANZ385" s="15"/>
      <c r="AOA385" s="15"/>
      <c r="AOB385" s="15"/>
      <c r="AOC385" s="15"/>
      <c r="AOD385" s="15"/>
      <c r="AOE385" s="15"/>
      <c r="AOF385" s="15"/>
      <c r="AOG385" s="15"/>
      <c r="AOH385" s="15"/>
      <c r="AOI385" s="15"/>
      <c r="AOJ385" s="15"/>
      <c r="AOK385" s="15"/>
      <c r="AOL385" s="15"/>
      <c r="AOM385" s="15"/>
      <c r="AON385" s="15"/>
      <c r="AOO385" s="15"/>
      <c r="AOP385" s="15"/>
      <c r="AOQ385" s="15"/>
      <c r="AOR385" s="15"/>
      <c r="AOS385" s="15"/>
      <c r="AOT385" s="15"/>
      <c r="AOU385" s="15"/>
      <c r="AOV385" s="15"/>
    </row>
    <row r="386" spans="2:1102" hidden="1">
      <c r="B386" s="1000" t="s">
        <v>1053</v>
      </c>
      <c r="C386" s="1000"/>
      <c r="D386" s="836"/>
      <c r="E386" s="5"/>
      <c r="F386" s="5"/>
      <c r="G386" s="5"/>
      <c r="H386" s="15"/>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c r="CP386" s="19"/>
      <c r="CQ386" s="19"/>
      <c r="CR386" s="19"/>
      <c r="CS386" s="19"/>
      <c r="CT386" s="19"/>
      <c r="CU386" s="19"/>
      <c r="CV386" s="19"/>
      <c r="CW386" s="19"/>
      <c r="CX386" s="19"/>
      <c r="CY386" s="19"/>
      <c r="CZ386" s="19"/>
      <c r="DA386" s="19"/>
      <c r="DB386" s="19"/>
      <c r="DC386" s="19"/>
      <c r="DD386" s="19"/>
      <c r="DE386" s="19"/>
      <c r="DF386" s="19"/>
      <c r="DG386" s="19"/>
      <c r="DH386" s="19"/>
      <c r="DI386" s="19"/>
      <c r="DJ386" s="19"/>
      <c r="DK386" s="19"/>
      <c r="DL386" s="19"/>
      <c r="DM386" s="19"/>
      <c r="DN386" s="19"/>
      <c r="DO386" s="19"/>
      <c r="DP386" s="19"/>
      <c r="DQ386" s="19"/>
      <c r="DR386" s="19"/>
      <c r="DS386" s="19"/>
      <c r="DT386" s="19"/>
      <c r="DU386" s="19"/>
      <c r="DV386" s="19"/>
      <c r="DW386" s="19"/>
      <c r="DX386" s="19"/>
      <c r="DY386" s="19"/>
      <c r="DZ386" s="19"/>
      <c r="EA386" s="19"/>
      <c r="EB386" s="19"/>
      <c r="EC386" s="19"/>
      <c r="ED386" s="19"/>
      <c r="EE386" s="19"/>
      <c r="EF386" s="19"/>
      <c r="EG386" s="19"/>
      <c r="EH386" s="19"/>
      <c r="EI386" s="19"/>
      <c r="EJ386" s="19"/>
      <c r="EK386" s="19"/>
      <c r="EL386" s="19"/>
      <c r="EM386" s="19"/>
      <c r="EN386" s="19"/>
      <c r="EO386" s="19"/>
      <c r="EP386" s="19"/>
      <c r="EQ386" s="19"/>
      <c r="ER386" s="19"/>
      <c r="ES386" s="19"/>
      <c r="ET386" s="19"/>
      <c r="EU386" s="19"/>
      <c r="EV386" s="19"/>
      <c r="EW386" s="19"/>
      <c r="EX386" s="19"/>
      <c r="EY386" s="19"/>
      <c r="EZ386" s="19"/>
      <c r="FA386" s="19"/>
      <c r="FB386" s="19"/>
      <c r="FC386" s="19"/>
      <c r="FD386" s="19"/>
      <c r="FE386" s="19"/>
      <c r="FF386" s="19"/>
      <c r="FG386" s="19"/>
      <c r="FH386" s="19"/>
      <c r="FI386" s="19"/>
      <c r="FJ386" s="19"/>
      <c r="FK386" s="19"/>
      <c r="FL386" s="19"/>
      <c r="FM386" s="19"/>
      <c r="FN386" s="19"/>
      <c r="FO386" s="19"/>
      <c r="FP386" s="19"/>
      <c r="FQ386" s="19"/>
      <c r="FR386" s="19"/>
      <c r="FS386" s="19"/>
      <c r="FT386" s="19"/>
      <c r="FU386" s="19"/>
      <c r="FV386" s="19"/>
      <c r="FW386" s="19"/>
      <c r="FX386" s="19"/>
      <c r="FY386" s="19"/>
      <c r="FZ386" s="19"/>
      <c r="GA386" s="19"/>
      <c r="GB386" s="19"/>
      <c r="GC386" s="19"/>
      <c r="GD386" s="19"/>
      <c r="GE386" s="19"/>
      <c r="GF386" s="19"/>
      <c r="GG386" s="19"/>
      <c r="GH386" s="19"/>
      <c r="GI386" s="19"/>
      <c r="GJ386" s="19"/>
      <c r="GK386" s="19"/>
      <c r="GL386" s="19"/>
      <c r="GM386" s="19"/>
      <c r="GN386" s="19"/>
      <c r="GO386" s="19"/>
      <c r="GP386" s="19"/>
      <c r="GQ386" s="19"/>
      <c r="GR386" s="19"/>
      <c r="GS386" s="19"/>
      <c r="GT386" s="19"/>
      <c r="GU386" s="19"/>
      <c r="GV386" s="19"/>
      <c r="GW386" s="19"/>
      <c r="GX386" s="19"/>
      <c r="GY386" s="19"/>
      <c r="GZ386" s="19"/>
      <c r="HA386" s="19"/>
      <c r="HB386" s="19"/>
      <c r="HC386" s="19"/>
      <c r="HD386" s="19"/>
      <c r="HE386" s="19"/>
      <c r="HF386" s="19"/>
      <c r="HG386" s="19"/>
      <c r="HH386" s="19"/>
      <c r="HI386" s="19"/>
      <c r="HJ386" s="19"/>
      <c r="HK386" s="19"/>
      <c r="HL386" s="19"/>
      <c r="HM386" s="19"/>
      <c r="HN386" s="19"/>
      <c r="HO386" s="19"/>
      <c r="HP386" s="19"/>
      <c r="HQ386" s="19"/>
      <c r="HR386" s="19"/>
      <c r="HS386" s="19"/>
      <c r="HT386" s="19"/>
      <c r="HU386" s="19"/>
      <c r="HV386" s="19"/>
      <c r="HW386" s="19"/>
      <c r="HX386" s="19"/>
      <c r="HY386" s="19"/>
      <c r="HZ386" s="19"/>
      <c r="IA386" s="19"/>
      <c r="IB386" s="19"/>
      <c r="IC386" s="19"/>
      <c r="ID386" s="19"/>
      <c r="IE386" s="19"/>
      <c r="IF386" s="19"/>
      <c r="IG386" s="19"/>
      <c r="IH386" s="19"/>
      <c r="II386" s="19"/>
      <c r="IJ386" s="19"/>
      <c r="IK386" s="19"/>
      <c r="IL386" s="19"/>
      <c r="IM386" s="19"/>
      <c r="IN386" s="19"/>
      <c r="IO386" s="19"/>
      <c r="IP386" s="19"/>
      <c r="IQ386" s="19"/>
      <c r="IR386" s="19"/>
      <c r="IS386" s="19"/>
      <c r="IT386" s="19"/>
      <c r="IU386" s="19"/>
      <c r="IV386" s="19"/>
      <c r="IW386" s="19"/>
      <c r="IX386" s="19"/>
      <c r="IY386" s="19"/>
      <c r="IZ386" s="19"/>
      <c r="JA386" s="19"/>
      <c r="JB386" s="19"/>
      <c r="JC386" s="19"/>
      <c r="JD386" s="19"/>
      <c r="JE386" s="19"/>
      <c r="JF386" s="19"/>
      <c r="JG386" s="19"/>
      <c r="JH386" s="19"/>
      <c r="JI386" s="19"/>
      <c r="JJ386" s="19"/>
      <c r="JK386" s="19"/>
      <c r="JL386" s="19"/>
      <c r="JM386" s="19"/>
      <c r="JN386" s="19"/>
      <c r="JO386" s="19"/>
      <c r="JP386" s="19"/>
      <c r="JQ386" s="19"/>
      <c r="JR386" s="19"/>
      <c r="JS386" s="19"/>
      <c r="JT386" s="19"/>
      <c r="JU386" s="19"/>
      <c r="JV386" s="19"/>
      <c r="JW386" s="19"/>
      <c r="JX386" s="19"/>
      <c r="JY386" s="19"/>
      <c r="JZ386" s="19"/>
      <c r="KA386" s="19"/>
      <c r="KB386" s="19"/>
      <c r="KC386" s="19"/>
      <c r="KD386" s="19"/>
      <c r="KE386" s="19"/>
      <c r="KF386" s="19"/>
      <c r="KG386" s="19"/>
      <c r="KH386" s="19"/>
      <c r="KI386" s="19"/>
      <c r="KJ386" s="19"/>
      <c r="KK386" s="19"/>
      <c r="KL386" s="19"/>
      <c r="KM386" s="19"/>
      <c r="KN386" s="19"/>
      <c r="KO386" s="19"/>
      <c r="KP386" s="19"/>
      <c r="KQ386" s="19"/>
      <c r="KR386" s="19"/>
      <c r="KS386" s="19"/>
      <c r="KT386" s="19"/>
      <c r="KU386" s="19"/>
      <c r="KV386" s="19"/>
      <c r="KW386" s="19"/>
      <c r="KX386" s="19"/>
      <c r="KY386" s="19"/>
      <c r="KZ386" s="19"/>
      <c r="LA386" s="19"/>
      <c r="LB386" s="19"/>
      <c r="LC386" s="19"/>
      <c r="LD386" s="19"/>
      <c r="LE386" s="19"/>
      <c r="LF386" s="19"/>
      <c r="LG386" s="19"/>
      <c r="LH386" s="19"/>
      <c r="LI386" s="19"/>
      <c r="LJ386" s="19"/>
      <c r="LK386" s="19"/>
      <c r="LL386" s="19"/>
      <c r="LM386" s="19"/>
      <c r="LN386" s="19"/>
      <c r="LO386" s="19"/>
      <c r="LP386" s="19"/>
      <c r="LQ386" s="19"/>
      <c r="LR386" s="19"/>
      <c r="LS386" s="19"/>
      <c r="LT386" s="19"/>
      <c r="LU386" s="19"/>
      <c r="LV386" s="19"/>
      <c r="LW386" s="19"/>
      <c r="LX386" s="19"/>
      <c r="LY386" s="19"/>
      <c r="LZ386" s="19"/>
      <c r="MA386" s="19"/>
      <c r="MB386" s="19"/>
      <c r="MC386" s="19"/>
      <c r="MD386" s="19"/>
      <c r="ME386" s="19"/>
      <c r="MF386" s="19"/>
      <c r="MG386" s="19"/>
      <c r="MH386" s="19"/>
      <c r="MI386" s="19"/>
      <c r="MJ386" s="19"/>
      <c r="MK386" s="19"/>
      <c r="ML386" s="19"/>
      <c r="MM386" s="19"/>
      <c r="MN386" s="19"/>
      <c r="MO386" s="19"/>
      <c r="MP386" s="19"/>
      <c r="MQ386" s="19"/>
      <c r="MR386" s="19"/>
      <c r="MS386" s="19"/>
      <c r="MT386" s="19"/>
      <c r="MU386" s="19"/>
      <c r="MV386" s="19"/>
      <c r="MW386" s="19"/>
      <c r="MX386" s="19"/>
      <c r="MY386" s="19"/>
      <c r="MZ386" s="19"/>
      <c r="NA386" s="19"/>
      <c r="NB386" s="19"/>
      <c r="NC386" s="19"/>
      <c r="ND386" s="19"/>
      <c r="NE386" s="19"/>
      <c r="NF386" s="19"/>
      <c r="NG386" s="19"/>
      <c r="NH386" s="19"/>
      <c r="NI386" s="19"/>
      <c r="NJ386" s="19"/>
      <c r="NK386" s="19"/>
      <c r="NL386" s="19"/>
      <c r="NM386" s="19"/>
      <c r="NN386" s="19"/>
      <c r="NO386" s="19"/>
      <c r="NP386" s="19"/>
      <c r="NQ386" s="19"/>
      <c r="NR386" s="19"/>
      <c r="NS386" s="19"/>
      <c r="NT386" s="19"/>
      <c r="NU386" s="19"/>
      <c r="NV386" s="19"/>
      <c r="NW386" s="19"/>
      <c r="NX386" s="19"/>
      <c r="NY386" s="19"/>
      <c r="NZ386" s="19"/>
      <c r="OA386" s="19"/>
      <c r="OB386" s="19"/>
      <c r="OC386" s="19"/>
      <c r="OD386" s="19"/>
      <c r="OE386" s="19"/>
      <c r="OF386" s="19"/>
      <c r="OG386" s="19"/>
      <c r="OH386" s="19"/>
      <c r="OI386" s="19"/>
      <c r="OJ386" s="19"/>
      <c r="OK386" s="19"/>
      <c r="OL386" s="19"/>
      <c r="OM386" s="19"/>
      <c r="ON386" s="19"/>
      <c r="OO386" s="19"/>
      <c r="OP386" s="19"/>
      <c r="OQ386" s="19"/>
      <c r="OR386" s="19"/>
      <c r="OS386" s="19"/>
      <c r="OT386" s="19"/>
      <c r="OU386" s="19"/>
      <c r="OV386" s="19"/>
      <c r="OW386" s="19"/>
      <c r="OX386" s="19"/>
      <c r="OY386" s="19"/>
      <c r="OZ386" s="19"/>
      <c r="PA386" s="19"/>
      <c r="PB386" s="19"/>
      <c r="PC386" s="19"/>
      <c r="PD386" s="19"/>
      <c r="PE386" s="19"/>
      <c r="PF386" s="19"/>
      <c r="PG386" s="19"/>
      <c r="PH386" s="19"/>
      <c r="PI386" s="19"/>
      <c r="PJ386" s="19"/>
      <c r="PK386" s="19"/>
      <c r="PL386" s="19"/>
      <c r="PM386" s="19"/>
      <c r="PN386" s="19"/>
      <c r="PO386" s="19"/>
      <c r="PP386" s="19"/>
      <c r="PQ386" s="19"/>
      <c r="PR386" s="19"/>
      <c r="PS386" s="19"/>
      <c r="PT386" s="19"/>
      <c r="PU386" s="19"/>
      <c r="PV386" s="19"/>
      <c r="PW386" s="19"/>
      <c r="PX386" s="19"/>
      <c r="PY386" s="19"/>
      <c r="PZ386" s="19"/>
      <c r="QA386" s="19"/>
      <c r="QB386" s="19"/>
      <c r="QC386" s="19"/>
      <c r="QD386" s="19"/>
      <c r="QE386" s="19"/>
      <c r="QF386" s="19"/>
      <c r="QG386" s="19"/>
      <c r="QH386" s="19"/>
      <c r="QI386" s="19"/>
      <c r="QJ386" s="19"/>
      <c r="QK386" s="19"/>
      <c r="QL386" s="19"/>
      <c r="QM386" s="19"/>
      <c r="QN386" s="19"/>
      <c r="QO386" s="19"/>
      <c r="QP386" s="19"/>
      <c r="QQ386" s="19"/>
      <c r="QR386" s="19"/>
      <c r="QS386" s="19"/>
      <c r="QT386" s="19"/>
      <c r="QU386" s="19"/>
      <c r="QV386" s="19"/>
      <c r="QW386" s="19"/>
      <c r="QX386" s="19"/>
      <c r="QY386" s="19"/>
      <c r="QZ386" s="19"/>
      <c r="RA386" s="19"/>
      <c r="RB386" s="19"/>
      <c r="RC386" s="19"/>
      <c r="RD386" s="19"/>
      <c r="RE386" s="19"/>
      <c r="RF386" s="19"/>
      <c r="RG386" s="19"/>
      <c r="RH386" s="19"/>
      <c r="RI386" s="19"/>
      <c r="RJ386" s="19"/>
      <c r="RK386" s="19"/>
      <c r="RL386" s="19"/>
      <c r="RM386" s="19"/>
      <c r="RN386" s="19"/>
      <c r="RO386" s="19"/>
      <c r="RP386" s="19"/>
      <c r="RQ386" s="19"/>
      <c r="RR386" s="19"/>
      <c r="RS386" s="19"/>
      <c r="RT386" s="19"/>
      <c r="RU386" s="19"/>
      <c r="RV386" s="19"/>
      <c r="RW386" s="19"/>
      <c r="RX386" s="19"/>
      <c r="RY386" s="19"/>
      <c r="RZ386" s="19"/>
      <c r="SA386" s="19"/>
      <c r="SB386" s="19"/>
      <c r="SC386" s="19"/>
      <c r="SD386" s="19"/>
      <c r="SE386" s="19"/>
      <c r="SF386" s="19"/>
      <c r="SG386" s="19"/>
      <c r="SH386" s="19"/>
      <c r="SI386" s="19"/>
      <c r="SJ386" s="19"/>
      <c r="SK386" s="19"/>
      <c r="SL386" s="19"/>
      <c r="SM386" s="19"/>
      <c r="SN386" s="19"/>
      <c r="SO386" s="19"/>
      <c r="SP386" s="19"/>
      <c r="SQ386" s="19"/>
      <c r="SR386" s="19"/>
      <c r="SS386" s="19"/>
      <c r="ST386" s="19"/>
      <c r="SU386" s="19"/>
      <c r="SV386" s="19"/>
      <c r="SW386" s="19"/>
      <c r="SX386" s="19"/>
      <c r="SY386" s="19"/>
      <c r="SZ386" s="19"/>
      <c r="TA386" s="19"/>
      <c r="TB386" s="19"/>
      <c r="TC386" s="19"/>
      <c r="TD386" s="19"/>
      <c r="TE386" s="19"/>
      <c r="TF386" s="19"/>
      <c r="TG386" s="19"/>
      <c r="TH386" s="19"/>
      <c r="TI386" s="19"/>
      <c r="TJ386" s="19"/>
      <c r="TK386" s="19"/>
      <c r="TL386" s="19"/>
      <c r="TM386" s="19"/>
      <c r="TN386" s="19"/>
      <c r="TO386" s="19"/>
      <c r="TP386" s="19"/>
      <c r="TQ386" s="19"/>
      <c r="TR386" s="19"/>
      <c r="TS386" s="19"/>
      <c r="TT386" s="19"/>
      <c r="TU386" s="19"/>
      <c r="TV386" s="19"/>
      <c r="TW386" s="19"/>
      <c r="TX386" s="19"/>
      <c r="TY386" s="19"/>
      <c r="TZ386" s="19"/>
      <c r="UA386" s="19"/>
      <c r="UB386" s="19"/>
      <c r="UC386" s="19"/>
      <c r="UD386" s="19"/>
      <c r="UE386" s="19"/>
      <c r="UF386" s="19"/>
      <c r="UG386" s="19"/>
      <c r="UH386" s="19"/>
      <c r="UI386" s="19"/>
      <c r="UJ386" s="19"/>
      <c r="UK386" s="19"/>
      <c r="UL386" s="19"/>
      <c r="UM386" s="19"/>
      <c r="UN386" s="19"/>
      <c r="UO386" s="19"/>
      <c r="UP386" s="19"/>
      <c r="UQ386" s="19"/>
      <c r="UR386" s="19"/>
      <c r="US386" s="19"/>
      <c r="UT386" s="19"/>
      <c r="UU386" s="19"/>
      <c r="UV386" s="19"/>
      <c r="UW386" s="19"/>
      <c r="UX386" s="19"/>
      <c r="UY386" s="19"/>
      <c r="UZ386" s="19"/>
      <c r="VA386" s="19"/>
      <c r="VB386" s="19"/>
      <c r="VC386" s="19"/>
      <c r="VD386" s="19"/>
      <c r="VE386" s="19"/>
      <c r="VF386" s="19"/>
      <c r="VG386" s="19"/>
      <c r="VH386" s="19"/>
      <c r="VI386" s="19"/>
      <c r="VJ386" s="19"/>
      <c r="VK386" s="19"/>
      <c r="VL386" s="19"/>
      <c r="VM386" s="19"/>
      <c r="VN386" s="19"/>
      <c r="VO386" s="19"/>
      <c r="VP386" s="19"/>
      <c r="VQ386" s="19"/>
      <c r="VR386" s="19"/>
      <c r="VS386" s="19"/>
      <c r="VT386" s="19"/>
      <c r="VU386" s="19"/>
      <c r="VV386" s="19"/>
      <c r="VW386" s="19"/>
      <c r="VX386" s="19"/>
      <c r="VY386" s="19"/>
      <c r="VZ386" s="19"/>
      <c r="WA386" s="19"/>
      <c r="WB386" s="19"/>
      <c r="WC386" s="19"/>
      <c r="WD386" s="19"/>
      <c r="WE386" s="19"/>
      <c r="WF386" s="19"/>
      <c r="WG386" s="19"/>
      <c r="WH386" s="19"/>
      <c r="WI386" s="19"/>
      <c r="WJ386" s="19"/>
      <c r="WK386" s="19"/>
      <c r="WL386" s="19"/>
      <c r="WM386" s="19"/>
      <c r="WN386" s="19"/>
      <c r="WO386" s="19"/>
      <c r="WP386" s="19"/>
      <c r="WQ386" s="19"/>
      <c r="WR386" s="19"/>
      <c r="WS386" s="19"/>
      <c r="WT386" s="19"/>
      <c r="WU386" s="19"/>
      <c r="WV386" s="19"/>
      <c r="WW386" s="19"/>
      <c r="WX386" s="19"/>
      <c r="WY386" s="19"/>
      <c r="WZ386" s="19"/>
      <c r="XA386" s="19"/>
      <c r="XB386" s="19"/>
      <c r="XC386" s="19"/>
      <c r="XD386" s="19"/>
      <c r="XE386" s="19"/>
      <c r="XF386" s="19"/>
      <c r="XG386" s="19"/>
      <c r="XH386" s="19"/>
      <c r="XI386" s="19"/>
      <c r="XJ386" s="19"/>
      <c r="XK386" s="19"/>
      <c r="XL386" s="19"/>
      <c r="XM386" s="19"/>
      <c r="XN386" s="19"/>
      <c r="XO386" s="19"/>
      <c r="XP386" s="19"/>
      <c r="XQ386" s="19"/>
      <c r="XR386" s="19"/>
      <c r="XS386" s="19"/>
      <c r="XT386" s="19"/>
      <c r="XU386" s="19"/>
      <c r="XV386" s="19"/>
      <c r="XW386" s="19"/>
      <c r="XX386" s="19"/>
      <c r="XY386" s="19"/>
      <c r="XZ386" s="19"/>
      <c r="YA386" s="19"/>
      <c r="YB386" s="19"/>
      <c r="YC386" s="19"/>
      <c r="YD386" s="19"/>
      <c r="YE386" s="19"/>
      <c r="YF386" s="19"/>
      <c r="YG386" s="19"/>
      <c r="YH386" s="19"/>
      <c r="YI386" s="19"/>
      <c r="YJ386" s="19"/>
      <c r="YK386" s="19"/>
      <c r="YL386" s="19"/>
      <c r="YM386" s="19"/>
      <c r="YN386" s="19"/>
      <c r="YO386" s="19"/>
      <c r="YP386" s="19"/>
      <c r="YQ386" s="19"/>
      <c r="YR386" s="19"/>
      <c r="YS386" s="19"/>
      <c r="YT386" s="19"/>
      <c r="YU386" s="19"/>
      <c r="YV386" s="19"/>
      <c r="YW386" s="19"/>
      <c r="YX386" s="19"/>
      <c r="YY386" s="19"/>
      <c r="YZ386" s="19"/>
      <c r="ZA386" s="19"/>
      <c r="ZB386" s="19"/>
      <c r="ZC386" s="19"/>
      <c r="ZD386" s="19"/>
      <c r="ZE386" s="19"/>
      <c r="ZF386" s="19"/>
      <c r="ZG386" s="19"/>
      <c r="ZH386" s="19"/>
      <c r="ZI386" s="19"/>
      <c r="ZJ386" s="19"/>
      <c r="ZK386" s="19"/>
      <c r="ZL386" s="19"/>
      <c r="ZM386" s="19"/>
      <c r="ZN386" s="19"/>
      <c r="ZO386" s="19"/>
      <c r="ZP386" s="19"/>
      <c r="ZQ386" s="19"/>
      <c r="ZR386" s="19"/>
      <c r="ZS386" s="19"/>
      <c r="ZT386" s="19"/>
      <c r="ZU386" s="19"/>
      <c r="ZV386" s="19"/>
      <c r="ZW386" s="19"/>
      <c r="ZX386" s="19"/>
      <c r="ZY386" s="19"/>
      <c r="ZZ386" s="19"/>
      <c r="AAA386" s="19"/>
      <c r="AAB386" s="19"/>
      <c r="AAC386" s="19"/>
      <c r="AAD386" s="19"/>
      <c r="AAE386" s="19"/>
      <c r="AAF386" s="19"/>
      <c r="AAG386" s="19"/>
      <c r="AAH386" s="19"/>
      <c r="AAI386" s="19"/>
      <c r="AAJ386" s="19"/>
      <c r="AAK386" s="19"/>
      <c r="AAL386" s="19"/>
      <c r="AAM386" s="19"/>
      <c r="AAN386" s="19"/>
      <c r="AAO386" s="19"/>
      <c r="AAP386" s="19"/>
      <c r="AAQ386" s="19"/>
      <c r="AAR386" s="19"/>
      <c r="AAS386" s="19"/>
      <c r="AAT386" s="19"/>
      <c r="AAU386" s="19"/>
      <c r="AAV386" s="19"/>
      <c r="AAW386" s="19"/>
      <c r="AAX386" s="19"/>
      <c r="AAY386" s="19"/>
      <c r="AAZ386" s="19"/>
      <c r="ABA386" s="19"/>
      <c r="ABB386" s="19"/>
      <c r="ABC386" s="19"/>
      <c r="ABD386" s="19"/>
      <c r="ABE386" s="19"/>
      <c r="ABF386" s="19"/>
      <c r="ABG386" s="19"/>
      <c r="ABH386" s="19"/>
      <c r="ABI386" s="19"/>
      <c r="ABJ386" s="19"/>
      <c r="ABK386" s="19"/>
      <c r="ABL386" s="19"/>
      <c r="ABM386" s="19"/>
      <c r="ABN386" s="19"/>
      <c r="ABO386" s="19"/>
      <c r="ABP386" s="19"/>
      <c r="ABQ386" s="19"/>
      <c r="ABR386" s="19"/>
      <c r="ABS386" s="19"/>
      <c r="ABT386" s="19"/>
      <c r="ABU386" s="19"/>
      <c r="ABV386" s="19"/>
      <c r="ABW386" s="19"/>
      <c r="ABX386" s="19"/>
      <c r="ABY386" s="19"/>
      <c r="ABZ386" s="19"/>
      <c r="ACA386" s="19"/>
      <c r="ACB386" s="19"/>
      <c r="ACC386" s="19"/>
      <c r="ACD386" s="19"/>
      <c r="ACE386" s="19"/>
      <c r="ACF386" s="19"/>
      <c r="ACG386" s="19"/>
      <c r="ACH386" s="19"/>
      <c r="ACI386" s="19"/>
      <c r="ACJ386" s="19"/>
      <c r="ACK386" s="19"/>
      <c r="ACL386" s="19"/>
      <c r="ACM386" s="19"/>
      <c r="ACN386" s="19"/>
      <c r="ACO386" s="19"/>
      <c r="ACP386" s="19"/>
      <c r="ACQ386" s="19"/>
      <c r="ACR386" s="19"/>
      <c r="ACS386" s="19"/>
      <c r="ACT386" s="19"/>
      <c r="ACU386" s="19"/>
      <c r="ACV386" s="19"/>
      <c r="ACW386" s="19"/>
      <c r="ACX386" s="19"/>
      <c r="ACY386" s="19"/>
      <c r="ACZ386" s="19"/>
      <c r="ADA386" s="19"/>
      <c r="ADB386" s="19"/>
      <c r="ADC386" s="19"/>
      <c r="ADD386" s="19"/>
      <c r="ADE386" s="19"/>
      <c r="ADF386" s="19"/>
      <c r="ADG386" s="19"/>
      <c r="ADH386" s="19"/>
      <c r="ADI386" s="19"/>
      <c r="ADJ386" s="19"/>
      <c r="ADK386" s="19"/>
      <c r="ADL386" s="19"/>
      <c r="ADM386" s="19"/>
      <c r="ADN386" s="19"/>
      <c r="ADO386" s="19"/>
      <c r="ADP386" s="19"/>
      <c r="ADQ386" s="19"/>
      <c r="ADR386" s="19"/>
      <c r="ADS386" s="19"/>
      <c r="ADT386" s="19"/>
      <c r="ADU386" s="19"/>
      <c r="ADV386" s="19"/>
      <c r="ADW386" s="19"/>
      <c r="ADX386" s="19"/>
      <c r="ADY386" s="19"/>
      <c r="ADZ386" s="19"/>
      <c r="AEA386" s="19"/>
      <c r="AEB386" s="19"/>
      <c r="AEC386" s="19"/>
      <c r="AED386" s="19"/>
      <c r="AEE386" s="19"/>
      <c r="AEF386" s="19"/>
      <c r="AEG386" s="19"/>
      <c r="AEH386" s="19"/>
      <c r="AEI386" s="19"/>
      <c r="AEJ386" s="19"/>
      <c r="AEK386" s="19"/>
      <c r="AEL386" s="19"/>
      <c r="AEM386" s="19"/>
      <c r="AEN386" s="19"/>
      <c r="AEO386" s="19"/>
      <c r="AEP386" s="19"/>
      <c r="AEQ386" s="19"/>
      <c r="AER386" s="19"/>
      <c r="AES386" s="19"/>
      <c r="AET386" s="19"/>
      <c r="AEU386" s="19"/>
      <c r="AEV386" s="19"/>
      <c r="AEW386" s="19"/>
      <c r="AEX386" s="19"/>
      <c r="AEY386" s="19"/>
      <c r="AEZ386" s="19"/>
      <c r="AFA386" s="19"/>
      <c r="AFB386" s="19"/>
      <c r="AFC386" s="19"/>
      <c r="AFD386" s="19"/>
      <c r="AFE386" s="19"/>
      <c r="AFF386" s="19"/>
      <c r="AFG386" s="19"/>
      <c r="AFH386" s="19"/>
      <c r="AFI386" s="19"/>
      <c r="AFJ386" s="19"/>
      <c r="AFK386" s="19"/>
      <c r="AFL386" s="19"/>
      <c r="AFM386" s="19"/>
      <c r="AFN386" s="19"/>
      <c r="AFO386" s="19"/>
      <c r="AFP386" s="19"/>
      <c r="AFQ386" s="19"/>
      <c r="AFR386" s="19"/>
      <c r="AFS386" s="19"/>
      <c r="AFT386" s="19"/>
      <c r="AFU386" s="19"/>
      <c r="AFV386" s="19"/>
      <c r="AFW386" s="19"/>
      <c r="AFX386" s="19"/>
      <c r="AFY386" s="19"/>
      <c r="AFZ386" s="19"/>
      <c r="AGA386" s="19"/>
      <c r="AGB386" s="19"/>
      <c r="AGC386" s="19"/>
      <c r="AGD386" s="19"/>
      <c r="AGE386" s="19"/>
      <c r="AGF386" s="19"/>
      <c r="AGG386" s="19"/>
      <c r="AGH386" s="19"/>
      <c r="AGI386" s="19"/>
      <c r="AGJ386" s="19"/>
      <c r="AGK386" s="19"/>
      <c r="AGL386" s="19"/>
      <c r="AGM386" s="19"/>
      <c r="AGN386" s="19"/>
      <c r="AGO386" s="19"/>
      <c r="AGP386" s="19"/>
      <c r="AGQ386" s="19"/>
      <c r="AGR386" s="19"/>
      <c r="AGS386" s="19"/>
      <c r="AGT386" s="19"/>
      <c r="AGU386" s="19"/>
      <c r="AGV386" s="19"/>
      <c r="AGW386" s="19"/>
      <c r="AGX386" s="19"/>
      <c r="AGY386" s="19"/>
      <c r="AGZ386" s="19"/>
      <c r="AHA386" s="19"/>
      <c r="AHB386" s="19"/>
      <c r="AHC386" s="19"/>
      <c r="AHD386" s="19"/>
      <c r="AHE386" s="19"/>
      <c r="AHF386" s="19"/>
      <c r="AHG386" s="19"/>
      <c r="AHH386" s="19"/>
      <c r="AHI386" s="19"/>
      <c r="AHJ386" s="19"/>
      <c r="AHK386" s="19"/>
      <c r="AHL386" s="19"/>
      <c r="AHM386" s="19"/>
      <c r="AHN386" s="19"/>
      <c r="AHO386" s="19"/>
      <c r="AHP386" s="19"/>
      <c r="AHQ386" s="19"/>
      <c r="AHR386" s="19"/>
      <c r="AHS386" s="19"/>
      <c r="AHT386" s="19"/>
      <c r="AHU386" s="19"/>
      <c r="AHV386" s="19"/>
      <c r="AHW386" s="19"/>
      <c r="AHX386" s="19"/>
      <c r="AHY386" s="19"/>
      <c r="AHZ386" s="19"/>
      <c r="AIA386" s="19"/>
      <c r="AIB386" s="19"/>
      <c r="AIC386" s="19"/>
      <c r="AID386" s="19"/>
      <c r="AIE386" s="19"/>
      <c r="AIF386" s="19"/>
      <c r="AIG386" s="19"/>
      <c r="AIH386" s="19"/>
      <c r="AII386" s="19"/>
      <c r="AIJ386" s="19"/>
      <c r="AIK386" s="19"/>
      <c r="AIL386" s="19"/>
      <c r="AIM386" s="19"/>
      <c r="AIN386" s="19"/>
      <c r="AIO386" s="19"/>
      <c r="AIP386" s="19"/>
      <c r="AIQ386" s="19"/>
      <c r="AIR386" s="19"/>
      <c r="AIS386" s="19"/>
      <c r="AIT386" s="19"/>
      <c r="AIU386" s="19"/>
      <c r="AIV386" s="19"/>
      <c r="AIW386" s="19"/>
      <c r="AIX386" s="19"/>
      <c r="AIY386" s="19"/>
      <c r="AIZ386" s="19"/>
      <c r="AJA386" s="19"/>
      <c r="AJB386" s="19"/>
      <c r="AJC386" s="19"/>
      <c r="AJD386" s="19"/>
      <c r="AJE386" s="19"/>
      <c r="AJF386" s="19"/>
      <c r="AJG386" s="19"/>
      <c r="AJH386" s="19"/>
      <c r="AJI386" s="19"/>
      <c r="AJJ386" s="19"/>
      <c r="AJK386" s="19"/>
      <c r="AJL386" s="19"/>
      <c r="AJM386" s="19"/>
      <c r="AJN386" s="19"/>
      <c r="AJO386" s="19"/>
      <c r="AJP386" s="19"/>
      <c r="AJQ386" s="19"/>
      <c r="AJR386" s="19"/>
      <c r="AJS386" s="19"/>
      <c r="AJT386" s="19"/>
      <c r="AJU386" s="19"/>
      <c r="AJV386" s="19"/>
      <c r="AJW386" s="19"/>
      <c r="AJX386" s="19"/>
      <c r="AJY386" s="19"/>
      <c r="AJZ386" s="19"/>
      <c r="AKA386" s="19"/>
      <c r="AKB386" s="19"/>
      <c r="AKC386" s="19"/>
      <c r="AKD386" s="19"/>
      <c r="AKE386" s="19"/>
      <c r="AKF386" s="19"/>
      <c r="AKG386" s="19"/>
      <c r="AKH386" s="19"/>
      <c r="AKI386" s="19"/>
      <c r="AKJ386" s="19"/>
      <c r="AKK386" s="19"/>
      <c r="AKL386" s="19"/>
      <c r="AKM386" s="19"/>
      <c r="AKN386" s="19"/>
      <c r="AKO386" s="19"/>
      <c r="AKP386" s="19"/>
      <c r="AKQ386" s="19"/>
      <c r="AKR386" s="19"/>
      <c r="AKS386" s="19"/>
      <c r="AKT386" s="19"/>
      <c r="AKU386" s="19"/>
      <c r="AKV386" s="19"/>
      <c r="AKW386" s="19"/>
      <c r="AKX386" s="19"/>
      <c r="AKY386" s="19"/>
      <c r="AKZ386" s="19"/>
      <c r="ALA386" s="19"/>
      <c r="ALB386" s="19"/>
      <c r="ALC386" s="19"/>
      <c r="ALD386" s="19"/>
      <c r="ALE386" s="19"/>
      <c r="ALF386" s="19"/>
      <c r="ALG386" s="19"/>
      <c r="ALH386" s="19"/>
      <c r="ALI386" s="19"/>
      <c r="ALJ386" s="19"/>
      <c r="ALK386" s="19"/>
      <c r="ALL386" s="19"/>
      <c r="ALM386" s="19"/>
      <c r="ALN386" s="19"/>
      <c r="ALO386" s="19"/>
      <c r="ALP386" s="19"/>
      <c r="ALQ386" s="19"/>
      <c r="ALR386" s="19"/>
      <c r="ALS386" s="19"/>
      <c r="ALT386" s="19"/>
      <c r="ALU386" s="19"/>
      <c r="ALV386" s="19"/>
      <c r="ALW386" s="19"/>
      <c r="ALX386" s="19"/>
      <c r="ALY386" s="19"/>
      <c r="ALZ386" s="19"/>
      <c r="AMA386" s="19"/>
      <c r="AMB386" s="19"/>
      <c r="AMC386" s="19"/>
      <c r="AMD386" s="19"/>
      <c r="AME386" s="19"/>
      <c r="AMF386" s="19"/>
      <c r="AMG386" s="19"/>
      <c r="AMH386" s="19"/>
      <c r="AMI386" s="19"/>
      <c r="AMJ386" s="19"/>
      <c r="AMK386" s="19"/>
      <c r="AML386" s="19"/>
      <c r="AMM386" s="19"/>
      <c r="AMN386" s="19"/>
      <c r="AMO386" s="19"/>
      <c r="AMP386" s="19"/>
      <c r="AMQ386" s="19"/>
      <c r="AMR386" s="19"/>
      <c r="AMS386" s="19"/>
      <c r="AMT386" s="19"/>
      <c r="AMU386" s="19"/>
      <c r="AMV386" s="19"/>
      <c r="AMW386" s="19"/>
      <c r="AMX386" s="19"/>
      <c r="AMY386" s="19"/>
      <c r="AMZ386" s="19"/>
      <c r="ANA386" s="19"/>
      <c r="ANB386" s="19"/>
      <c r="ANC386" s="19"/>
      <c r="AND386" s="19"/>
      <c r="ANE386" s="19"/>
      <c r="ANF386" s="19"/>
      <c r="ANG386" s="19"/>
      <c r="ANH386" s="19"/>
      <c r="ANI386" s="19"/>
      <c r="ANJ386" s="19"/>
      <c r="ANK386" s="19"/>
      <c r="ANL386" s="19"/>
      <c r="ANM386" s="19"/>
      <c r="ANN386" s="19"/>
      <c r="ANO386" s="19"/>
      <c r="ANP386" s="19"/>
      <c r="ANQ386" s="19"/>
      <c r="ANR386" s="19"/>
      <c r="ANS386" s="19"/>
      <c r="ANT386" s="19"/>
      <c r="ANU386" s="19"/>
      <c r="ANV386" s="19"/>
      <c r="ANW386" s="19"/>
      <c r="ANX386" s="19"/>
      <c r="ANY386" s="19"/>
      <c r="ANZ386" s="19"/>
      <c r="AOA386" s="19"/>
      <c r="AOB386" s="19"/>
      <c r="AOC386" s="19"/>
      <c r="AOD386" s="19"/>
      <c r="AOE386" s="19"/>
      <c r="AOF386" s="19"/>
      <c r="AOG386" s="19"/>
      <c r="AOH386" s="19"/>
      <c r="AOI386" s="19"/>
      <c r="AOJ386" s="19"/>
      <c r="AOK386" s="19"/>
      <c r="AOL386" s="19"/>
      <c r="AOM386" s="19"/>
      <c r="AON386" s="19"/>
      <c r="AOO386" s="19"/>
      <c r="AOP386" s="19"/>
      <c r="AOQ386" s="19"/>
      <c r="AOR386" s="19"/>
      <c r="AOS386" s="19"/>
      <c r="AOT386" s="19"/>
      <c r="AOU386" s="19"/>
      <c r="AOV386" s="19"/>
    </row>
    <row r="387" spans="2:1102" ht="21" hidden="1">
      <c r="B387" s="1000" t="s">
        <v>1053</v>
      </c>
      <c r="C387" s="1000"/>
      <c r="D387" s="1136" t="s">
        <v>45</v>
      </c>
      <c r="E387" s="199" t="s">
        <v>1054</v>
      </c>
      <c r="F387" s="199"/>
      <c r="G387" s="199"/>
      <c r="H387" s="199"/>
      <c r="I387" s="199"/>
      <c r="J387" s="199"/>
      <c r="K387" s="199"/>
      <c r="L387" s="199"/>
      <c r="M387" s="199"/>
      <c r="N387" s="199"/>
      <c r="O387" s="199"/>
      <c r="P387" s="199"/>
      <c r="Q387" s="199"/>
      <c r="R387" s="199"/>
      <c r="S387" s="199"/>
      <c r="T387" s="199"/>
      <c r="U387" s="199"/>
      <c r="V387" s="199"/>
      <c r="W387" s="199"/>
      <c r="X387" s="199"/>
      <c r="Y387" s="199"/>
      <c r="Z387" s="199"/>
      <c r="AA387" s="199"/>
      <c r="AB387" s="199"/>
      <c r="AC387" s="199"/>
      <c r="AD387" s="199"/>
      <c r="AE387" s="199"/>
      <c r="AF387" s="199"/>
      <c r="AG387" s="199"/>
      <c r="AH387" s="199"/>
      <c r="AI387" s="199"/>
      <c r="AJ387" s="199"/>
      <c r="AK387" s="199"/>
      <c r="AL387" s="199"/>
      <c r="AM387" s="199"/>
      <c r="AN387" s="199"/>
      <c r="AO387" s="199"/>
      <c r="AP387" s="199"/>
      <c r="AQ387" s="199"/>
      <c r="AR387" s="199"/>
      <c r="AS387" s="199"/>
      <c r="AT387" s="199"/>
      <c r="AU387" s="199"/>
      <c r="AV387" s="199"/>
      <c r="AW387" s="199"/>
      <c r="AX387" s="199"/>
      <c r="AY387" s="199"/>
      <c r="AZ387" s="199"/>
      <c r="BA387" s="199"/>
      <c r="BB387" s="199"/>
      <c r="BC387" s="199"/>
      <c r="BD387" s="199"/>
      <c r="BE387" s="199"/>
      <c r="BF387" s="199"/>
      <c r="BG387" s="199"/>
      <c r="BH387" s="199"/>
      <c r="BI387" s="199"/>
      <c r="BJ387" s="199"/>
      <c r="BK387" s="199"/>
      <c r="BL387" s="199"/>
      <c r="BM387" s="199"/>
      <c r="BN387" s="199"/>
      <c r="BO387" s="199"/>
      <c r="BP387" s="199"/>
      <c r="BQ387" s="199"/>
      <c r="BR387" s="199"/>
      <c r="BS387" s="199"/>
      <c r="BT387" s="199"/>
      <c r="BU387" s="199"/>
      <c r="BV387" s="199"/>
      <c r="BW387" s="199"/>
      <c r="BX387" s="199"/>
      <c r="BY387" s="199"/>
      <c r="BZ387" s="199"/>
      <c r="CA387" s="199"/>
      <c r="CB387" s="199"/>
      <c r="CC387" s="199"/>
      <c r="CD387" s="199"/>
      <c r="CE387" s="199"/>
      <c r="CF387" s="199"/>
      <c r="CG387" s="199"/>
      <c r="CH387" s="199"/>
      <c r="CI387" s="199"/>
      <c r="CJ387" s="199"/>
      <c r="CK387" s="199"/>
      <c r="CL387" s="199"/>
      <c r="CM387" s="199"/>
      <c r="CN387" s="199"/>
      <c r="CO387" s="199"/>
      <c r="CP387" s="199"/>
      <c r="CQ387" s="199"/>
      <c r="CR387" s="199"/>
      <c r="CS387" s="199"/>
      <c r="CT387" s="199"/>
      <c r="CU387" s="199"/>
      <c r="CV387" s="199"/>
      <c r="CW387" s="199"/>
      <c r="CX387" s="199"/>
      <c r="CY387" s="199"/>
      <c r="CZ387" s="199"/>
      <c r="DA387" s="199"/>
      <c r="DB387" s="199"/>
      <c r="DC387" s="199"/>
      <c r="DD387" s="199"/>
      <c r="DE387" s="199"/>
      <c r="DF387" s="199"/>
      <c r="DG387" s="199"/>
      <c r="DH387" s="199"/>
      <c r="DI387" s="199"/>
      <c r="DJ387" s="199"/>
      <c r="DK387" s="199"/>
      <c r="DL387" s="199"/>
      <c r="DM387" s="199"/>
      <c r="DN387" s="199"/>
      <c r="DO387" s="199"/>
      <c r="DP387" s="199"/>
      <c r="DQ387" s="199"/>
      <c r="DR387" s="199"/>
      <c r="DS387" s="199"/>
      <c r="DT387" s="199"/>
      <c r="DU387" s="199"/>
      <c r="DV387" s="199"/>
      <c r="DW387" s="199"/>
      <c r="DX387" s="199"/>
      <c r="DY387" s="199"/>
      <c r="DZ387" s="199"/>
      <c r="EA387" s="199"/>
      <c r="EB387" s="199"/>
      <c r="EC387" s="199"/>
      <c r="ED387" s="199"/>
      <c r="EE387" s="199"/>
      <c r="EF387" s="199"/>
      <c r="EG387" s="199"/>
      <c r="EH387" s="199"/>
      <c r="EI387" s="199"/>
      <c r="EJ387" s="199"/>
      <c r="EK387" s="199"/>
      <c r="EL387" s="199"/>
      <c r="EM387" s="199"/>
      <c r="EN387" s="199"/>
      <c r="EO387" s="199"/>
      <c r="EP387" s="199"/>
      <c r="EQ387" s="199"/>
      <c r="ER387" s="199"/>
      <c r="ES387" s="199"/>
      <c r="ET387" s="199"/>
      <c r="EU387" s="199"/>
      <c r="EV387" s="199"/>
      <c r="EW387" s="199"/>
      <c r="EX387" s="199"/>
      <c r="EY387" s="199"/>
      <c r="EZ387" s="199"/>
      <c r="FA387" s="199"/>
      <c r="FB387" s="199"/>
      <c r="FC387" s="199"/>
      <c r="FD387" s="199"/>
      <c r="FE387" s="199"/>
      <c r="FF387" s="199"/>
      <c r="FG387" s="199"/>
      <c r="FH387" s="199"/>
      <c r="FI387" s="199"/>
      <c r="FJ387" s="199"/>
      <c r="FK387" s="199"/>
      <c r="FL387" s="199"/>
      <c r="FM387" s="199"/>
      <c r="FN387" s="199"/>
      <c r="FO387" s="199"/>
      <c r="FP387" s="199"/>
      <c r="FQ387" s="199"/>
      <c r="FR387" s="199"/>
      <c r="FS387" s="199"/>
      <c r="FT387" s="199"/>
      <c r="FU387" s="199"/>
      <c r="FV387" s="199"/>
      <c r="FW387" s="199"/>
      <c r="FX387" s="199"/>
      <c r="FY387" s="199"/>
      <c r="FZ387" s="199"/>
      <c r="GA387" s="199"/>
      <c r="GB387" s="199"/>
      <c r="GC387" s="199"/>
      <c r="GD387" s="199"/>
      <c r="GE387" s="199"/>
      <c r="GF387" s="199"/>
      <c r="GG387" s="199"/>
      <c r="GH387" s="199"/>
      <c r="GI387" s="199"/>
      <c r="GJ387" s="199"/>
      <c r="GK387" s="199"/>
      <c r="GL387" s="199"/>
      <c r="GM387" s="199"/>
      <c r="GN387" s="199"/>
      <c r="GO387" s="199"/>
      <c r="GP387" s="199"/>
      <c r="GQ387" s="199"/>
      <c r="GR387" s="199"/>
      <c r="GS387" s="199"/>
      <c r="GT387" s="199"/>
      <c r="GU387" s="199"/>
      <c r="GV387" s="199"/>
      <c r="GW387" s="199"/>
      <c r="GX387" s="199"/>
      <c r="GY387" s="199"/>
      <c r="GZ387" s="199"/>
      <c r="HA387" s="199"/>
      <c r="HB387" s="199"/>
      <c r="HC387" s="199"/>
      <c r="HD387" s="199"/>
      <c r="HE387" s="199"/>
      <c r="HF387" s="199"/>
      <c r="HG387" s="199"/>
      <c r="HH387" s="199"/>
      <c r="HI387" s="199"/>
      <c r="HJ387" s="199"/>
      <c r="HK387" s="199"/>
      <c r="HL387" s="199"/>
      <c r="HM387" s="199"/>
      <c r="HN387" s="199"/>
      <c r="HO387" s="199"/>
      <c r="HP387" s="199"/>
      <c r="HQ387" s="199"/>
      <c r="HR387" s="199"/>
      <c r="HS387" s="199"/>
      <c r="HT387" s="199"/>
      <c r="HU387" s="199"/>
      <c r="HV387" s="199"/>
      <c r="HW387" s="199"/>
      <c r="HX387" s="199"/>
      <c r="HY387" s="199"/>
      <c r="HZ387" s="199"/>
      <c r="IA387" s="199"/>
      <c r="IB387" s="199"/>
      <c r="IC387" s="199"/>
      <c r="ID387" s="199"/>
      <c r="IE387" s="199"/>
      <c r="IF387" s="199"/>
      <c r="IG387" s="199"/>
      <c r="IH387" s="199"/>
      <c r="II387" s="199"/>
      <c r="IJ387" s="199"/>
      <c r="IK387" s="199"/>
      <c r="IL387" s="199"/>
      <c r="IM387" s="199"/>
      <c r="IN387" s="199"/>
      <c r="IO387" s="199"/>
      <c r="IP387" s="199"/>
      <c r="IQ387" s="199"/>
      <c r="IR387" s="199"/>
      <c r="IS387" s="199"/>
      <c r="IT387" s="199"/>
      <c r="IU387" s="199"/>
      <c r="IV387" s="199"/>
      <c r="IW387" s="199"/>
      <c r="IX387" s="199"/>
      <c r="IY387" s="199"/>
      <c r="IZ387" s="199"/>
      <c r="JA387" s="199"/>
      <c r="JB387" s="199"/>
      <c r="JC387" s="199"/>
      <c r="JD387" s="199"/>
      <c r="JE387" s="199"/>
      <c r="JF387" s="199"/>
      <c r="JG387" s="199"/>
      <c r="JH387" s="199"/>
      <c r="JI387" s="199"/>
      <c r="JJ387" s="199"/>
      <c r="JK387" s="199"/>
      <c r="JL387" s="199"/>
      <c r="JM387" s="199"/>
      <c r="JN387" s="199"/>
      <c r="JO387" s="199"/>
      <c r="JP387" s="199"/>
      <c r="JQ387" s="199"/>
      <c r="JR387" s="199"/>
      <c r="JS387" s="199"/>
      <c r="JT387" s="199"/>
      <c r="JU387" s="199"/>
      <c r="JV387" s="199"/>
      <c r="JW387" s="199"/>
      <c r="JX387" s="199"/>
      <c r="JY387" s="199"/>
      <c r="JZ387" s="199"/>
      <c r="KA387" s="199"/>
      <c r="KB387" s="199"/>
      <c r="KC387" s="199"/>
      <c r="KD387" s="199"/>
      <c r="KE387" s="199"/>
      <c r="KF387" s="199"/>
      <c r="KG387" s="199"/>
      <c r="KH387" s="199"/>
      <c r="KI387" s="199"/>
      <c r="KJ387" s="199"/>
      <c r="KK387" s="199"/>
      <c r="KL387" s="199"/>
      <c r="KM387" s="199"/>
      <c r="KN387" s="199"/>
      <c r="KO387" s="199"/>
      <c r="KP387" s="199"/>
      <c r="KQ387" s="199"/>
      <c r="KR387" s="199"/>
      <c r="KS387" s="199"/>
      <c r="KT387" s="199"/>
      <c r="KU387" s="199"/>
      <c r="KV387" s="199"/>
      <c r="KW387" s="199"/>
      <c r="KX387" s="199"/>
      <c r="KY387" s="199"/>
      <c r="KZ387" s="199"/>
      <c r="LA387" s="199"/>
      <c r="LB387" s="199"/>
      <c r="LC387" s="199"/>
      <c r="LD387" s="199"/>
      <c r="LE387" s="199"/>
      <c r="LF387" s="199"/>
      <c r="LG387" s="199"/>
      <c r="LH387" s="199"/>
      <c r="LI387" s="199"/>
      <c r="LJ387" s="199"/>
      <c r="LK387" s="199"/>
      <c r="LL387" s="199"/>
      <c r="LM387" s="199"/>
      <c r="LN387" s="199"/>
      <c r="LO387" s="199"/>
      <c r="LP387" s="199"/>
      <c r="LQ387" s="199"/>
      <c r="LR387" s="199"/>
      <c r="LS387" s="199"/>
      <c r="LT387" s="199"/>
      <c r="LU387" s="199"/>
      <c r="LV387" s="199"/>
      <c r="LW387" s="199"/>
      <c r="LX387" s="199"/>
      <c r="LY387" s="199"/>
      <c r="LZ387" s="199"/>
      <c r="MA387" s="199"/>
      <c r="MB387" s="199"/>
      <c r="MC387" s="199"/>
      <c r="MD387" s="199"/>
      <c r="ME387" s="199"/>
      <c r="MF387" s="199"/>
      <c r="MG387" s="199"/>
      <c r="MH387" s="199"/>
      <c r="MI387" s="199"/>
      <c r="MJ387" s="199"/>
      <c r="MK387" s="199"/>
      <c r="ML387" s="199"/>
      <c r="MM387" s="199"/>
      <c r="MN387" s="199"/>
      <c r="MO387" s="199"/>
      <c r="MP387" s="199"/>
      <c r="MQ387" s="199"/>
      <c r="MR387" s="199"/>
      <c r="MS387" s="199"/>
      <c r="MT387" s="199"/>
      <c r="MU387" s="199"/>
      <c r="MV387" s="199"/>
      <c r="MW387" s="199"/>
      <c r="MX387" s="199"/>
      <c r="MY387" s="199"/>
      <c r="MZ387" s="199"/>
      <c r="NA387" s="199"/>
      <c r="NB387" s="199"/>
      <c r="NC387" s="199"/>
      <c r="ND387" s="199"/>
      <c r="NE387" s="199"/>
      <c r="NF387" s="199"/>
      <c r="NG387" s="199"/>
      <c r="NH387" s="199"/>
      <c r="NI387" s="199"/>
      <c r="NJ387" s="199"/>
      <c r="NK387" s="199"/>
      <c r="NL387" s="199"/>
      <c r="NM387" s="199"/>
      <c r="NN387" s="199"/>
      <c r="NO387" s="199"/>
      <c r="NP387" s="199"/>
      <c r="NQ387" s="199"/>
      <c r="NR387" s="199"/>
      <c r="NS387" s="199"/>
      <c r="NT387" s="199"/>
      <c r="NU387" s="199"/>
      <c r="NV387" s="199"/>
      <c r="NW387" s="199"/>
      <c r="NX387" s="199"/>
      <c r="NY387" s="199"/>
      <c r="NZ387" s="199"/>
      <c r="OA387" s="199"/>
      <c r="OB387" s="199"/>
      <c r="OC387" s="199"/>
      <c r="OD387" s="199"/>
      <c r="OE387" s="199"/>
      <c r="OF387" s="199"/>
      <c r="OG387" s="199"/>
      <c r="OH387" s="199"/>
      <c r="OI387" s="199"/>
      <c r="OJ387" s="199"/>
      <c r="OK387" s="199"/>
      <c r="OL387" s="199"/>
      <c r="OM387" s="199"/>
      <c r="ON387" s="199"/>
      <c r="OO387" s="199"/>
      <c r="OP387" s="199"/>
      <c r="OQ387" s="199"/>
      <c r="OR387" s="199"/>
      <c r="OS387" s="199"/>
      <c r="OT387" s="199"/>
      <c r="OU387" s="199"/>
      <c r="OV387" s="199"/>
      <c r="OW387" s="199"/>
      <c r="OX387" s="199"/>
      <c r="OY387" s="199"/>
      <c r="OZ387" s="199"/>
      <c r="PA387" s="199"/>
      <c r="PB387" s="199"/>
      <c r="PC387" s="199"/>
      <c r="PD387" s="199"/>
      <c r="PE387" s="199"/>
      <c r="PF387" s="199"/>
      <c r="PG387" s="199"/>
      <c r="PH387" s="199"/>
      <c r="PI387" s="199"/>
      <c r="PJ387" s="199"/>
      <c r="PK387" s="199"/>
      <c r="PL387" s="199"/>
      <c r="PM387" s="199"/>
      <c r="PN387" s="199"/>
      <c r="PO387" s="199"/>
      <c r="PP387" s="199"/>
      <c r="PQ387" s="199"/>
      <c r="PR387" s="199"/>
      <c r="PS387" s="199"/>
      <c r="PT387" s="199"/>
      <c r="PU387" s="199"/>
      <c r="PV387" s="199"/>
      <c r="PW387" s="199"/>
      <c r="PX387" s="199"/>
      <c r="PY387" s="199"/>
      <c r="PZ387" s="199"/>
      <c r="QA387" s="199"/>
      <c r="QB387" s="199"/>
      <c r="QC387" s="199"/>
      <c r="QD387" s="199"/>
      <c r="QE387" s="199"/>
      <c r="QF387" s="199"/>
      <c r="QG387" s="199"/>
      <c r="QH387" s="199"/>
      <c r="QI387" s="199"/>
      <c r="QJ387" s="199"/>
      <c r="QK387" s="199"/>
      <c r="QL387" s="199"/>
      <c r="QM387" s="199"/>
      <c r="QN387" s="199"/>
      <c r="QO387" s="199"/>
      <c r="QP387" s="199"/>
      <c r="QQ387" s="199"/>
      <c r="QR387" s="199"/>
      <c r="QS387" s="199"/>
      <c r="QT387" s="199"/>
      <c r="QU387" s="199"/>
      <c r="QV387" s="199"/>
      <c r="QW387" s="199"/>
      <c r="QX387" s="199"/>
      <c r="QY387" s="199"/>
      <c r="QZ387" s="199"/>
      <c r="RA387" s="199"/>
      <c r="RB387" s="199"/>
      <c r="RC387" s="199"/>
      <c r="RD387" s="199"/>
      <c r="RE387" s="199"/>
      <c r="RF387" s="199"/>
      <c r="RG387" s="199"/>
      <c r="RH387" s="199"/>
      <c r="RI387" s="199"/>
      <c r="RJ387" s="199"/>
      <c r="RK387" s="199"/>
      <c r="RL387" s="199"/>
      <c r="RM387" s="199"/>
      <c r="RN387" s="199"/>
      <c r="RO387" s="199"/>
      <c r="RP387" s="199"/>
      <c r="RQ387" s="199"/>
      <c r="RR387" s="199"/>
      <c r="RS387" s="199"/>
      <c r="RT387" s="199"/>
      <c r="RU387" s="199"/>
      <c r="RV387" s="199"/>
      <c r="RW387" s="199"/>
      <c r="RX387" s="199"/>
      <c r="RY387" s="199"/>
      <c r="RZ387" s="199"/>
      <c r="SA387" s="199"/>
      <c r="SB387" s="199"/>
      <c r="SC387" s="199"/>
      <c r="SD387" s="199"/>
      <c r="SE387" s="199"/>
      <c r="SF387" s="199"/>
      <c r="SG387" s="199"/>
      <c r="SH387" s="199"/>
      <c r="SI387" s="199"/>
      <c r="SJ387" s="199"/>
      <c r="SK387" s="199"/>
      <c r="SL387" s="199"/>
      <c r="SM387" s="199"/>
      <c r="SN387" s="199"/>
      <c r="SO387" s="199"/>
      <c r="SP387" s="199"/>
      <c r="SQ387" s="199"/>
      <c r="SR387" s="199"/>
      <c r="SS387" s="199"/>
      <c r="ST387" s="199"/>
      <c r="SU387" s="199"/>
      <c r="SV387" s="199"/>
      <c r="SW387" s="199"/>
      <c r="SX387" s="199"/>
      <c r="SY387" s="199"/>
      <c r="SZ387" s="199"/>
      <c r="TA387" s="199"/>
      <c r="TB387" s="199"/>
      <c r="TC387" s="199"/>
      <c r="TD387" s="199"/>
      <c r="TE387" s="199"/>
      <c r="TF387" s="199"/>
      <c r="TG387" s="199"/>
      <c r="TH387" s="199"/>
      <c r="TI387" s="199"/>
      <c r="TJ387" s="199"/>
      <c r="TK387" s="199"/>
      <c r="TL387" s="199"/>
      <c r="TM387" s="199"/>
      <c r="TN387" s="199"/>
      <c r="TO387" s="199"/>
      <c r="TP387" s="199"/>
      <c r="TQ387" s="199"/>
      <c r="TR387" s="199"/>
      <c r="TS387" s="199"/>
      <c r="TT387" s="199"/>
      <c r="TU387" s="199"/>
      <c r="TV387" s="199"/>
      <c r="TW387" s="199"/>
      <c r="TX387" s="199"/>
      <c r="TY387" s="199"/>
      <c r="TZ387" s="199"/>
      <c r="UA387" s="199"/>
      <c r="UB387" s="199"/>
      <c r="UC387" s="199"/>
      <c r="UD387" s="199"/>
      <c r="UE387" s="199"/>
      <c r="UF387" s="199"/>
      <c r="UG387" s="199"/>
      <c r="UH387" s="199"/>
      <c r="UI387" s="199"/>
      <c r="UJ387" s="199"/>
      <c r="UK387" s="199"/>
      <c r="UL387" s="199"/>
      <c r="UM387" s="199"/>
      <c r="UN387" s="199"/>
      <c r="UO387" s="199"/>
      <c r="UP387" s="199"/>
      <c r="UQ387" s="199"/>
      <c r="UR387" s="199"/>
      <c r="US387" s="199"/>
      <c r="UT387" s="199"/>
      <c r="UU387" s="199"/>
      <c r="UV387" s="199"/>
      <c r="UW387" s="199"/>
      <c r="UX387" s="199"/>
      <c r="UY387" s="199"/>
      <c r="UZ387" s="199"/>
      <c r="VA387" s="199"/>
      <c r="VB387" s="199"/>
      <c r="VC387" s="199"/>
      <c r="VD387" s="199"/>
      <c r="VE387" s="199"/>
      <c r="VF387" s="199"/>
      <c r="VG387" s="199"/>
      <c r="VH387" s="199"/>
      <c r="VI387" s="199"/>
      <c r="VJ387" s="199"/>
      <c r="VK387" s="199"/>
      <c r="VL387" s="199"/>
      <c r="VM387" s="199"/>
      <c r="VN387" s="199"/>
      <c r="VO387" s="199"/>
      <c r="VP387" s="199"/>
      <c r="VQ387" s="199"/>
      <c r="VR387" s="199"/>
      <c r="VS387" s="199"/>
      <c r="VT387" s="199"/>
      <c r="VU387" s="199"/>
      <c r="VV387" s="199"/>
      <c r="VW387" s="199"/>
      <c r="VX387" s="199"/>
      <c r="VY387" s="199"/>
      <c r="VZ387" s="199"/>
      <c r="WA387" s="199"/>
      <c r="WB387" s="199"/>
      <c r="WC387" s="199"/>
      <c r="WD387" s="199"/>
      <c r="WE387" s="199"/>
      <c r="WF387" s="199"/>
      <c r="WG387" s="199"/>
      <c r="WH387" s="199"/>
      <c r="WI387" s="199"/>
      <c r="WJ387" s="199"/>
      <c r="WK387" s="199"/>
      <c r="WL387" s="199"/>
      <c r="WM387" s="199"/>
      <c r="WN387" s="199"/>
      <c r="WO387" s="199"/>
      <c r="WP387" s="199"/>
      <c r="WQ387" s="199"/>
      <c r="WR387" s="199"/>
      <c r="WS387" s="199"/>
      <c r="WT387" s="199"/>
      <c r="WU387" s="199"/>
      <c r="WV387" s="199"/>
      <c r="WW387" s="199"/>
      <c r="WX387" s="199"/>
      <c r="WY387" s="199"/>
      <c r="WZ387" s="199"/>
      <c r="XA387" s="199"/>
      <c r="XB387" s="199"/>
      <c r="XC387" s="199"/>
      <c r="XD387" s="199"/>
      <c r="XE387" s="199"/>
      <c r="XF387" s="199"/>
      <c r="XG387" s="199"/>
      <c r="XH387" s="199"/>
      <c r="XI387" s="199"/>
      <c r="XJ387" s="199"/>
      <c r="XK387" s="199"/>
      <c r="XL387" s="199"/>
      <c r="XM387" s="199"/>
      <c r="XN387" s="199"/>
      <c r="XO387" s="199"/>
      <c r="XP387" s="199"/>
      <c r="XQ387" s="199"/>
      <c r="XR387" s="199"/>
      <c r="XS387" s="199"/>
      <c r="XT387" s="199"/>
      <c r="XU387" s="199"/>
      <c r="XV387" s="199"/>
      <c r="XW387" s="199"/>
      <c r="XX387" s="199"/>
      <c r="XY387" s="199"/>
      <c r="XZ387" s="199"/>
      <c r="YA387" s="199"/>
      <c r="YB387" s="199"/>
      <c r="YC387" s="199"/>
      <c r="YD387" s="199"/>
      <c r="YE387" s="199"/>
      <c r="YF387" s="199"/>
      <c r="YG387" s="199"/>
      <c r="YH387" s="199"/>
      <c r="YI387" s="199"/>
      <c r="YJ387" s="199"/>
      <c r="YK387" s="199"/>
      <c r="YL387" s="199"/>
      <c r="YM387" s="199"/>
      <c r="YN387" s="199"/>
      <c r="YO387" s="199"/>
      <c r="YP387" s="199"/>
      <c r="YQ387" s="199"/>
      <c r="YR387" s="199"/>
      <c r="YS387" s="199"/>
      <c r="YT387" s="199"/>
      <c r="YU387" s="199"/>
      <c r="YV387" s="199"/>
      <c r="YW387" s="199"/>
      <c r="YX387" s="199"/>
      <c r="YY387" s="199"/>
      <c r="YZ387" s="199"/>
      <c r="ZA387" s="199"/>
      <c r="ZB387" s="199"/>
      <c r="ZC387" s="199"/>
      <c r="ZD387" s="199"/>
      <c r="ZE387" s="199"/>
      <c r="ZF387" s="199"/>
      <c r="ZG387" s="199"/>
      <c r="ZH387" s="199"/>
      <c r="ZI387" s="199"/>
      <c r="ZJ387" s="199"/>
      <c r="ZK387" s="199"/>
      <c r="ZL387" s="199"/>
      <c r="ZM387" s="199"/>
      <c r="ZN387" s="199"/>
      <c r="ZO387" s="199"/>
      <c r="ZP387" s="199"/>
      <c r="ZQ387" s="199"/>
      <c r="ZR387" s="199"/>
      <c r="ZS387" s="199"/>
      <c r="ZT387" s="199"/>
      <c r="ZU387" s="199"/>
      <c r="ZV387" s="199"/>
      <c r="ZW387" s="199"/>
      <c r="ZX387" s="199"/>
      <c r="ZY387" s="199"/>
      <c r="ZZ387" s="199"/>
      <c r="AAA387" s="199"/>
      <c r="AAB387" s="199"/>
      <c r="AAC387" s="199"/>
      <c r="AAD387" s="199"/>
      <c r="AAE387" s="199"/>
      <c r="AAF387" s="199"/>
      <c r="AAG387" s="199"/>
      <c r="AAH387" s="199"/>
      <c r="AAI387" s="199"/>
      <c r="AAJ387" s="199"/>
      <c r="AAK387" s="199"/>
      <c r="AAL387" s="199"/>
      <c r="AAM387" s="199"/>
      <c r="AAN387" s="199"/>
      <c r="AAO387" s="199"/>
      <c r="AAP387" s="199"/>
      <c r="AAQ387" s="199"/>
      <c r="AAR387" s="199"/>
      <c r="AAS387" s="199"/>
      <c r="AAT387" s="199"/>
      <c r="AAU387" s="199"/>
      <c r="AAV387" s="199"/>
      <c r="AAW387" s="199"/>
      <c r="AAX387" s="199"/>
      <c r="AAY387" s="199"/>
      <c r="AAZ387" s="199"/>
      <c r="ABA387" s="199"/>
      <c r="ABB387" s="199"/>
      <c r="ABC387" s="199"/>
      <c r="ABD387" s="199"/>
      <c r="ABE387" s="199"/>
      <c r="ABF387" s="199"/>
      <c r="ABG387" s="199"/>
      <c r="ABH387" s="199"/>
      <c r="ABI387" s="199"/>
      <c r="ABJ387" s="199"/>
      <c r="ABK387" s="199"/>
      <c r="ABL387" s="199"/>
      <c r="ABM387" s="199"/>
      <c r="ABN387" s="199"/>
      <c r="ABO387" s="199"/>
      <c r="ABP387" s="199"/>
      <c r="ABQ387" s="199"/>
      <c r="ABR387" s="199"/>
      <c r="ABS387" s="199"/>
      <c r="ABT387" s="199"/>
      <c r="ABU387" s="199"/>
      <c r="ABV387" s="199"/>
      <c r="ABW387" s="199"/>
      <c r="ABX387" s="199"/>
      <c r="ABY387" s="199"/>
      <c r="ABZ387" s="199"/>
      <c r="ACA387" s="199"/>
      <c r="ACB387" s="199"/>
      <c r="ACC387" s="199"/>
      <c r="ACD387" s="199"/>
      <c r="ACE387" s="199"/>
      <c r="ACF387" s="199"/>
      <c r="ACG387" s="199"/>
      <c r="ACH387" s="199"/>
      <c r="ACI387" s="199"/>
      <c r="ACJ387" s="199"/>
      <c r="ACK387" s="199"/>
      <c r="ACL387" s="199"/>
      <c r="ACM387" s="199"/>
      <c r="ACN387" s="199"/>
      <c r="ACO387" s="199"/>
      <c r="ACP387" s="199"/>
      <c r="ACQ387" s="199"/>
      <c r="ACR387" s="199"/>
      <c r="ACS387" s="199"/>
      <c r="ACT387" s="199"/>
      <c r="ACU387" s="199"/>
      <c r="ACV387" s="199"/>
      <c r="ACW387" s="199"/>
      <c r="ACX387" s="199"/>
      <c r="ACY387" s="199"/>
      <c r="ACZ387" s="199"/>
      <c r="ADA387" s="199"/>
      <c r="ADB387" s="199"/>
      <c r="ADC387" s="199"/>
      <c r="ADD387" s="199"/>
      <c r="ADE387" s="199"/>
      <c r="ADF387" s="199"/>
      <c r="ADG387" s="199"/>
      <c r="ADH387" s="199"/>
      <c r="ADI387" s="199"/>
      <c r="ADJ387" s="199"/>
      <c r="ADK387" s="199"/>
      <c r="ADL387" s="199"/>
      <c r="ADM387" s="199"/>
      <c r="ADN387" s="199"/>
      <c r="ADO387" s="199"/>
      <c r="ADP387" s="199"/>
      <c r="ADQ387" s="199"/>
      <c r="ADR387" s="199"/>
      <c r="ADS387" s="199"/>
      <c r="ADT387" s="199"/>
      <c r="ADU387" s="199"/>
      <c r="ADV387" s="199"/>
      <c r="ADW387" s="199"/>
      <c r="ADX387" s="199"/>
      <c r="ADY387" s="199"/>
      <c r="ADZ387" s="199"/>
      <c r="AEA387" s="199"/>
      <c r="AEB387" s="199"/>
      <c r="AEC387" s="199"/>
      <c r="AED387" s="199"/>
      <c r="AEE387" s="199"/>
      <c r="AEF387" s="199"/>
      <c r="AEG387" s="199"/>
      <c r="AEH387" s="199"/>
      <c r="AEI387" s="199"/>
      <c r="AEJ387" s="199"/>
      <c r="AEK387" s="199"/>
      <c r="AEL387" s="199"/>
      <c r="AEM387" s="199"/>
      <c r="AEN387" s="199"/>
      <c r="AEO387" s="199"/>
      <c r="AEP387" s="199"/>
      <c r="AEQ387" s="199"/>
      <c r="AER387" s="199"/>
      <c r="AES387" s="199"/>
      <c r="AET387" s="199"/>
      <c r="AEU387" s="199"/>
      <c r="AEV387" s="199"/>
      <c r="AEW387" s="199"/>
      <c r="AEX387" s="199"/>
      <c r="AEY387" s="199"/>
      <c r="AEZ387" s="199"/>
      <c r="AFA387" s="199"/>
      <c r="AFB387" s="199"/>
      <c r="AFC387" s="199"/>
      <c r="AFD387" s="199"/>
      <c r="AFE387" s="199"/>
      <c r="AFF387" s="199"/>
      <c r="AFG387" s="199"/>
      <c r="AFH387" s="199"/>
      <c r="AFI387" s="199"/>
      <c r="AFJ387" s="199"/>
      <c r="AFK387" s="199"/>
      <c r="AFL387" s="199"/>
      <c r="AFM387" s="199"/>
      <c r="AFN387" s="199"/>
      <c r="AFO387" s="199"/>
      <c r="AFP387" s="199"/>
      <c r="AFQ387" s="199"/>
      <c r="AFR387" s="199"/>
      <c r="AFS387" s="199"/>
      <c r="AFT387" s="199"/>
      <c r="AFU387" s="199"/>
      <c r="AFV387" s="199"/>
      <c r="AFW387" s="199"/>
      <c r="AFX387" s="199"/>
      <c r="AFY387" s="199"/>
      <c r="AFZ387" s="199"/>
      <c r="AGA387" s="199"/>
      <c r="AGB387" s="199"/>
      <c r="AGC387" s="199"/>
      <c r="AGD387" s="199"/>
      <c r="AGE387" s="199"/>
      <c r="AGF387" s="199"/>
      <c r="AGG387" s="199"/>
      <c r="AGH387" s="199"/>
      <c r="AGI387" s="199"/>
      <c r="AGJ387" s="199"/>
      <c r="AGK387" s="199"/>
      <c r="AGL387" s="199"/>
      <c r="AGM387" s="199"/>
      <c r="AGN387" s="199"/>
      <c r="AGO387" s="199"/>
      <c r="AGP387" s="199"/>
      <c r="AGQ387" s="199"/>
      <c r="AGR387" s="199"/>
      <c r="AGS387" s="199"/>
      <c r="AGT387" s="199"/>
      <c r="AGU387" s="199"/>
      <c r="AGV387" s="199"/>
      <c r="AGW387" s="199"/>
      <c r="AGX387" s="199"/>
      <c r="AGY387" s="199"/>
      <c r="AGZ387" s="199"/>
      <c r="AHA387" s="199"/>
      <c r="AHB387" s="199"/>
      <c r="AHC387" s="199"/>
      <c r="AHD387" s="199"/>
      <c r="AHE387" s="199"/>
      <c r="AHF387" s="199"/>
      <c r="AHG387" s="199"/>
      <c r="AHH387" s="199"/>
      <c r="AHI387" s="199"/>
      <c r="AHJ387" s="199"/>
      <c r="AHK387" s="199"/>
      <c r="AHL387" s="199"/>
      <c r="AHM387" s="199"/>
      <c r="AHN387" s="199"/>
      <c r="AHO387" s="199"/>
      <c r="AHP387" s="199"/>
      <c r="AHQ387" s="199"/>
      <c r="AHR387" s="199"/>
      <c r="AHS387" s="199"/>
      <c r="AHT387" s="199"/>
      <c r="AHU387" s="199"/>
      <c r="AHV387" s="199"/>
      <c r="AHW387" s="199"/>
      <c r="AHX387" s="199"/>
      <c r="AHY387" s="199"/>
      <c r="AHZ387" s="199"/>
      <c r="AIA387" s="199"/>
      <c r="AIB387" s="199"/>
      <c r="AIC387" s="199"/>
      <c r="AID387" s="199"/>
      <c r="AIE387" s="199"/>
      <c r="AIF387" s="199"/>
      <c r="AIG387" s="199"/>
      <c r="AIH387" s="199"/>
      <c r="AII387" s="199"/>
      <c r="AIJ387" s="199"/>
      <c r="AIK387" s="199"/>
      <c r="AIL387" s="199"/>
      <c r="AIM387" s="199"/>
      <c r="AIN387" s="199"/>
      <c r="AIO387" s="199"/>
      <c r="AIP387" s="199"/>
      <c r="AIQ387" s="199"/>
      <c r="AIR387" s="199"/>
      <c r="AIS387" s="199"/>
      <c r="AIT387" s="199"/>
      <c r="AIU387" s="199"/>
      <c r="AIV387" s="199"/>
      <c r="AIW387" s="199"/>
      <c r="AIX387" s="199"/>
      <c r="AIY387" s="199"/>
      <c r="AIZ387" s="199"/>
      <c r="AJA387" s="199"/>
      <c r="AJB387" s="199"/>
      <c r="AJC387" s="199"/>
      <c r="AJD387" s="199"/>
      <c r="AJE387" s="199"/>
      <c r="AJF387" s="199"/>
      <c r="AJG387" s="199"/>
      <c r="AJH387" s="199"/>
      <c r="AJI387" s="199"/>
      <c r="AJJ387" s="199"/>
      <c r="AJK387" s="199"/>
      <c r="AJL387" s="199"/>
      <c r="AJM387" s="199"/>
      <c r="AJN387" s="199"/>
      <c r="AJO387" s="199"/>
      <c r="AJP387" s="199"/>
      <c r="AJQ387" s="199"/>
      <c r="AJR387" s="199"/>
      <c r="AJS387" s="199"/>
      <c r="AJT387" s="199"/>
      <c r="AJU387" s="199"/>
      <c r="AJV387" s="199"/>
      <c r="AJW387" s="199"/>
      <c r="AJX387" s="199"/>
      <c r="AJY387" s="199"/>
      <c r="AJZ387" s="199"/>
      <c r="AKA387" s="199"/>
      <c r="AKB387" s="199"/>
      <c r="AKC387" s="199"/>
      <c r="AKD387" s="199"/>
      <c r="AKE387" s="199"/>
      <c r="AKF387" s="199"/>
      <c r="AKG387" s="199"/>
      <c r="AKH387" s="199"/>
      <c r="AKI387" s="199"/>
      <c r="AKJ387" s="199"/>
      <c r="AKK387" s="199"/>
      <c r="AKL387" s="199"/>
      <c r="AKM387" s="199"/>
      <c r="AKN387" s="199"/>
      <c r="AKO387" s="199"/>
      <c r="AKP387" s="199"/>
      <c r="AKQ387" s="199"/>
      <c r="AKR387" s="199"/>
      <c r="AKS387" s="199"/>
      <c r="AKT387" s="199"/>
      <c r="AKU387" s="199"/>
      <c r="AKV387" s="199"/>
      <c r="AKW387" s="199"/>
      <c r="AKX387" s="199"/>
      <c r="AKY387" s="199"/>
      <c r="AKZ387" s="199"/>
      <c r="ALA387" s="199"/>
      <c r="ALB387" s="199"/>
      <c r="ALC387" s="199"/>
      <c r="ALD387" s="199"/>
      <c r="ALE387" s="199"/>
      <c r="ALF387" s="199"/>
      <c r="ALG387" s="199"/>
      <c r="ALH387" s="199"/>
      <c r="ALI387" s="199"/>
      <c r="ALJ387" s="199"/>
      <c r="ALK387" s="199"/>
      <c r="ALL387" s="199"/>
      <c r="ALM387" s="199"/>
      <c r="ALN387" s="199"/>
      <c r="ALO387" s="199"/>
      <c r="ALP387" s="199"/>
      <c r="ALQ387" s="199"/>
      <c r="ALR387" s="199"/>
      <c r="ALS387" s="199"/>
      <c r="ALT387" s="199"/>
      <c r="ALU387" s="199"/>
      <c r="ALV387" s="199"/>
      <c r="ALW387" s="199"/>
      <c r="ALX387" s="199"/>
      <c r="ALY387" s="199"/>
      <c r="ALZ387" s="199"/>
      <c r="AMA387" s="199"/>
      <c r="AMB387" s="199"/>
      <c r="AMC387" s="199"/>
      <c r="AMD387" s="199"/>
      <c r="AME387" s="199"/>
      <c r="AMF387" s="199"/>
      <c r="AMG387" s="199"/>
      <c r="AMH387" s="199"/>
      <c r="AMI387" s="199"/>
      <c r="AMJ387" s="199"/>
      <c r="AMK387" s="199"/>
      <c r="AML387" s="199"/>
      <c r="AMM387" s="199"/>
      <c r="AMN387" s="199"/>
      <c r="AMO387" s="199"/>
      <c r="AMP387" s="199"/>
      <c r="AMQ387" s="199"/>
      <c r="AMR387" s="199"/>
      <c r="AMS387" s="199"/>
      <c r="AMT387" s="199"/>
      <c r="AMU387" s="199"/>
      <c r="AMV387" s="199"/>
      <c r="AMW387" s="199"/>
      <c r="AMX387" s="199"/>
      <c r="AMY387" s="199"/>
      <c r="AMZ387" s="199"/>
      <c r="ANA387" s="199"/>
      <c r="ANB387" s="199"/>
      <c r="ANC387" s="199"/>
      <c r="AND387" s="199"/>
      <c r="ANE387" s="199"/>
      <c r="ANF387" s="199"/>
      <c r="ANG387" s="199"/>
      <c r="ANH387" s="199"/>
      <c r="ANI387" s="199"/>
      <c r="ANJ387" s="199"/>
      <c r="ANK387" s="199"/>
      <c r="ANL387" s="199"/>
      <c r="ANM387" s="199"/>
      <c r="ANN387" s="199"/>
      <c r="ANO387" s="199"/>
      <c r="ANP387" s="199"/>
      <c r="ANQ387" s="199"/>
      <c r="ANR387" s="199"/>
      <c r="ANS387" s="199"/>
      <c r="ANT387" s="199"/>
      <c r="ANU387" s="199"/>
      <c r="ANV387" s="199"/>
      <c r="ANW387" s="199"/>
      <c r="ANX387" s="199"/>
      <c r="ANY387" s="199"/>
      <c r="ANZ387" s="199"/>
      <c r="AOA387" s="199"/>
      <c r="AOB387" s="199"/>
      <c r="AOC387" s="199"/>
      <c r="AOD387" s="199"/>
      <c r="AOE387" s="199"/>
      <c r="AOF387" s="199"/>
      <c r="AOG387" s="199"/>
      <c r="AOH387" s="199"/>
      <c r="AOI387" s="199"/>
      <c r="AOJ387" s="199"/>
      <c r="AOK387" s="199"/>
      <c r="AOL387" s="199"/>
      <c r="AOM387" s="199"/>
      <c r="AON387" s="199"/>
      <c r="AOO387" s="199"/>
      <c r="AOP387" s="199"/>
      <c r="AOQ387" s="199"/>
      <c r="AOR387" s="199"/>
      <c r="AOS387" s="199"/>
      <c r="AOT387" s="199"/>
      <c r="AOU387" s="199"/>
      <c r="AOV387" s="199"/>
      <c r="AOW387" s="199"/>
    </row>
    <row r="388" spans="2:1102" hidden="1">
      <c r="B388" s="1000" t="s">
        <v>1053</v>
      </c>
      <c r="C388" s="1000"/>
      <c r="D388" s="836"/>
      <c r="E388" s="320" t="s">
        <v>414</v>
      </c>
      <c r="F388" s="320"/>
      <c r="G388" s="320" t="s">
        <v>353</v>
      </c>
      <c r="H388" s="321"/>
      <c r="I388" s="321">
        <f t="shared" ref="I388:BT388" ca="1" si="97">OFFSET(I388,0,-1)+1</f>
        <v>1</v>
      </c>
      <c r="J388" s="321">
        <f t="shared" ca="1" si="97"/>
        <v>2</v>
      </c>
      <c r="K388" s="321">
        <f t="shared" ca="1" si="97"/>
        <v>3</v>
      </c>
      <c r="L388" s="321">
        <f t="shared" ca="1" si="97"/>
        <v>4</v>
      </c>
      <c r="M388" s="321">
        <f t="shared" ca="1" si="97"/>
        <v>5</v>
      </c>
      <c r="N388" s="321">
        <f t="shared" ca="1" si="97"/>
        <v>6</v>
      </c>
      <c r="O388" s="321">
        <f t="shared" ca="1" si="97"/>
        <v>7</v>
      </c>
      <c r="P388" s="321">
        <f t="shared" ca="1" si="97"/>
        <v>8</v>
      </c>
      <c r="Q388" s="321">
        <f t="shared" ca="1" si="97"/>
        <v>9</v>
      </c>
      <c r="R388" s="321">
        <f t="shared" ca="1" si="97"/>
        <v>10</v>
      </c>
      <c r="S388" s="321">
        <f t="shared" ca="1" si="97"/>
        <v>11</v>
      </c>
      <c r="T388" s="321">
        <f t="shared" ca="1" si="97"/>
        <v>12</v>
      </c>
      <c r="U388" s="321">
        <f t="shared" ca="1" si="97"/>
        <v>13</v>
      </c>
      <c r="V388" s="321">
        <f t="shared" ca="1" si="97"/>
        <v>14</v>
      </c>
      <c r="W388" s="321">
        <f t="shared" ca="1" si="97"/>
        <v>15</v>
      </c>
      <c r="X388" s="321">
        <f t="shared" ca="1" si="97"/>
        <v>16</v>
      </c>
      <c r="Y388" s="321">
        <f t="shared" ca="1" si="97"/>
        <v>17</v>
      </c>
      <c r="Z388" s="321">
        <f t="shared" ca="1" si="97"/>
        <v>18</v>
      </c>
      <c r="AA388" s="321">
        <f t="shared" ca="1" si="97"/>
        <v>19</v>
      </c>
      <c r="AB388" s="321">
        <f t="shared" ca="1" si="97"/>
        <v>20</v>
      </c>
      <c r="AC388" s="321">
        <f t="shared" ca="1" si="97"/>
        <v>21</v>
      </c>
      <c r="AD388" s="321">
        <f t="shared" ca="1" si="97"/>
        <v>22</v>
      </c>
      <c r="AE388" s="321">
        <f t="shared" ca="1" si="97"/>
        <v>23</v>
      </c>
      <c r="AF388" s="321">
        <f t="shared" ca="1" si="97"/>
        <v>24</v>
      </c>
      <c r="AG388" s="321">
        <f t="shared" ca="1" si="97"/>
        <v>25</v>
      </c>
      <c r="AH388" s="321">
        <f t="shared" ca="1" si="97"/>
        <v>26</v>
      </c>
      <c r="AI388" s="321">
        <f t="shared" ca="1" si="97"/>
        <v>27</v>
      </c>
      <c r="AJ388" s="321">
        <f t="shared" ca="1" si="97"/>
        <v>28</v>
      </c>
      <c r="AK388" s="321">
        <f t="shared" ca="1" si="97"/>
        <v>29</v>
      </c>
      <c r="AL388" s="321">
        <f t="shared" ca="1" si="97"/>
        <v>30</v>
      </c>
      <c r="AM388" s="321">
        <f t="shared" ca="1" si="97"/>
        <v>31</v>
      </c>
      <c r="AN388" s="321">
        <f t="shared" ca="1" si="97"/>
        <v>32</v>
      </c>
      <c r="AO388" s="321">
        <f t="shared" ca="1" si="97"/>
        <v>33</v>
      </c>
      <c r="AP388" s="321">
        <f t="shared" ca="1" si="97"/>
        <v>34</v>
      </c>
      <c r="AQ388" s="321">
        <f t="shared" ca="1" si="97"/>
        <v>35</v>
      </c>
      <c r="AR388" s="321">
        <f t="shared" ca="1" si="97"/>
        <v>36</v>
      </c>
      <c r="AS388" s="321">
        <f t="shared" ca="1" si="97"/>
        <v>37</v>
      </c>
      <c r="AT388" s="321">
        <f t="shared" ca="1" si="97"/>
        <v>38</v>
      </c>
      <c r="AU388" s="321">
        <f t="shared" ca="1" si="97"/>
        <v>39</v>
      </c>
      <c r="AV388" s="321">
        <f t="shared" ca="1" si="97"/>
        <v>40</v>
      </c>
      <c r="AW388" s="321">
        <f t="shared" ca="1" si="97"/>
        <v>41</v>
      </c>
      <c r="AX388" s="321">
        <f t="shared" ca="1" si="97"/>
        <v>42</v>
      </c>
      <c r="AY388" s="321">
        <f t="shared" ca="1" si="97"/>
        <v>43</v>
      </c>
      <c r="AZ388" s="321">
        <f t="shared" ca="1" si="97"/>
        <v>44</v>
      </c>
      <c r="BA388" s="321">
        <f t="shared" ca="1" si="97"/>
        <v>45</v>
      </c>
      <c r="BB388" s="321">
        <f t="shared" ca="1" si="97"/>
        <v>46</v>
      </c>
      <c r="BC388" s="321">
        <f t="shared" ca="1" si="97"/>
        <v>47</v>
      </c>
      <c r="BD388" s="321">
        <f t="shared" ca="1" si="97"/>
        <v>48</v>
      </c>
      <c r="BE388" s="321">
        <f t="shared" ca="1" si="97"/>
        <v>49</v>
      </c>
      <c r="BF388" s="321">
        <f t="shared" ca="1" si="97"/>
        <v>50</v>
      </c>
      <c r="BG388" s="321">
        <f t="shared" ca="1" si="97"/>
        <v>51</v>
      </c>
      <c r="BH388" s="321">
        <f t="shared" ca="1" si="97"/>
        <v>52</v>
      </c>
      <c r="BI388" s="321">
        <f t="shared" ca="1" si="97"/>
        <v>53</v>
      </c>
      <c r="BJ388" s="321">
        <f t="shared" ca="1" si="97"/>
        <v>54</v>
      </c>
      <c r="BK388" s="321">
        <f t="shared" ca="1" si="97"/>
        <v>55</v>
      </c>
      <c r="BL388" s="321">
        <f t="shared" ca="1" si="97"/>
        <v>56</v>
      </c>
      <c r="BM388" s="321">
        <f t="shared" ca="1" si="97"/>
        <v>57</v>
      </c>
      <c r="BN388" s="321">
        <f t="shared" ca="1" si="97"/>
        <v>58</v>
      </c>
      <c r="BO388" s="321">
        <f t="shared" ca="1" si="97"/>
        <v>59</v>
      </c>
      <c r="BP388" s="321">
        <f t="shared" ca="1" si="97"/>
        <v>60</v>
      </c>
      <c r="BQ388" s="321">
        <f t="shared" ca="1" si="97"/>
        <v>61</v>
      </c>
      <c r="BR388" s="321">
        <f t="shared" ca="1" si="97"/>
        <v>62</v>
      </c>
      <c r="BS388" s="321">
        <f t="shared" ca="1" si="97"/>
        <v>63</v>
      </c>
      <c r="BT388" s="321">
        <f t="shared" ca="1" si="97"/>
        <v>64</v>
      </c>
      <c r="BU388" s="321">
        <f t="shared" ref="BU388:EF388" ca="1" si="98">OFFSET(BU388,0,-1)+1</f>
        <v>65</v>
      </c>
      <c r="BV388" s="321">
        <f t="shared" ca="1" si="98"/>
        <v>66</v>
      </c>
      <c r="BW388" s="321">
        <f t="shared" ca="1" si="98"/>
        <v>67</v>
      </c>
      <c r="BX388" s="321">
        <f t="shared" ca="1" si="98"/>
        <v>68</v>
      </c>
      <c r="BY388" s="321">
        <f t="shared" ca="1" si="98"/>
        <v>69</v>
      </c>
      <c r="BZ388" s="321">
        <f t="shared" ca="1" si="98"/>
        <v>70</v>
      </c>
      <c r="CA388" s="321">
        <f t="shared" ca="1" si="98"/>
        <v>71</v>
      </c>
      <c r="CB388" s="321">
        <f t="shared" ca="1" si="98"/>
        <v>72</v>
      </c>
      <c r="CC388" s="321">
        <f t="shared" ca="1" si="98"/>
        <v>73</v>
      </c>
      <c r="CD388" s="321">
        <f t="shared" ca="1" si="98"/>
        <v>74</v>
      </c>
      <c r="CE388" s="321">
        <f t="shared" ca="1" si="98"/>
        <v>75</v>
      </c>
      <c r="CF388" s="321">
        <f t="shared" ca="1" si="98"/>
        <v>76</v>
      </c>
      <c r="CG388" s="321">
        <f t="shared" ca="1" si="98"/>
        <v>77</v>
      </c>
      <c r="CH388" s="321">
        <f t="shared" ca="1" si="98"/>
        <v>78</v>
      </c>
      <c r="CI388" s="321">
        <f t="shared" ca="1" si="98"/>
        <v>79</v>
      </c>
      <c r="CJ388" s="321">
        <f t="shared" ca="1" si="98"/>
        <v>80</v>
      </c>
      <c r="CK388" s="321">
        <f t="shared" ca="1" si="98"/>
        <v>81</v>
      </c>
      <c r="CL388" s="321">
        <f t="shared" ca="1" si="98"/>
        <v>82</v>
      </c>
      <c r="CM388" s="321">
        <f t="shared" ca="1" si="98"/>
        <v>83</v>
      </c>
      <c r="CN388" s="321">
        <f t="shared" ca="1" si="98"/>
        <v>84</v>
      </c>
      <c r="CO388" s="321">
        <f t="shared" ca="1" si="98"/>
        <v>85</v>
      </c>
      <c r="CP388" s="321">
        <f t="shared" ca="1" si="98"/>
        <v>86</v>
      </c>
      <c r="CQ388" s="321">
        <f t="shared" ca="1" si="98"/>
        <v>87</v>
      </c>
      <c r="CR388" s="321">
        <f t="shared" ca="1" si="98"/>
        <v>88</v>
      </c>
      <c r="CS388" s="321">
        <f t="shared" ca="1" si="98"/>
        <v>89</v>
      </c>
      <c r="CT388" s="321">
        <f t="shared" ca="1" si="98"/>
        <v>90</v>
      </c>
      <c r="CU388" s="321">
        <f t="shared" ca="1" si="98"/>
        <v>91</v>
      </c>
      <c r="CV388" s="321">
        <f t="shared" ca="1" si="98"/>
        <v>92</v>
      </c>
      <c r="CW388" s="321">
        <f t="shared" ca="1" si="98"/>
        <v>93</v>
      </c>
      <c r="CX388" s="321">
        <f t="shared" ca="1" si="98"/>
        <v>94</v>
      </c>
      <c r="CY388" s="321">
        <f t="shared" ca="1" si="98"/>
        <v>95</v>
      </c>
      <c r="CZ388" s="321">
        <f t="shared" ca="1" si="98"/>
        <v>96</v>
      </c>
      <c r="DA388" s="321">
        <f t="shared" ca="1" si="98"/>
        <v>97</v>
      </c>
      <c r="DB388" s="321">
        <f t="shared" ca="1" si="98"/>
        <v>98</v>
      </c>
      <c r="DC388" s="321">
        <f t="shared" ca="1" si="98"/>
        <v>99</v>
      </c>
      <c r="DD388" s="321">
        <f t="shared" ca="1" si="98"/>
        <v>100</v>
      </c>
      <c r="DE388" s="321">
        <f t="shared" ca="1" si="98"/>
        <v>101</v>
      </c>
      <c r="DF388" s="321">
        <f t="shared" ca="1" si="98"/>
        <v>102</v>
      </c>
      <c r="DG388" s="321">
        <f t="shared" ca="1" si="98"/>
        <v>103</v>
      </c>
      <c r="DH388" s="321">
        <f t="shared" ca="1" si="98"/>
        <v>104</v>
      </c>
      <c r="DI388" s="321">
        <f t="shared" ca="1" si="98"/>
        <v>105</v>
      </c>
      <c r="DJ388" s="321">
        <f t="shared" ca="1" si="98"/>
        <v>106</v>
      </c>
      <c r="DK388" s="321">
        <f t="shared" ca="1" si="98"/>
        <v>107</v>
      </c>
      <c r="DL388" s="321">
        <f t="shared" ca="1" si="98"/>
        <v>108</v>
      </c>
      <c r="DM388" s="321">
        <f t="shared" ca="1" si="98"/>
        <v>109</v>
      </c>
      <c r="DN388" s="321">
        <f t="shared" ca="1" si="98"/>
        <v>110</v>
      </c>
      <c r="DO388" s="321">
        <f t="shared" ca="1" si="98"/>
        <v>111</v>
      </c>
      <c r="DP388" s="321">
        <f t="shared" ca="1" si="98"/>
        <v>112</v>
      </c>
      <c r="DQ388" s="321">
        <f t="shared" ca="1" si="98"/>
        <v>113</v>
      </c>
      <c r="DR388" s="321">
        <f t="shared" ca="1" si="98"/>
        <v>114</v>
      </c>
      <c r="DS388" s="321">
        <f t="shared" ca="1" si="98"/>
        <v>115</v>
      </c>
      <c r="DT388" s="321">
        <f t="shared" ca="1" si="98"/>
        <v>116</v>
      </c>
      <c r="DU388" s="321">
        <f t="shared" ca="1" si="98"/>
        <v>117</v>
      </c>
      <c r="DV388" s="321">
        <f t="shared" ca="1" si="98"/>
        <v>118</v>
      </c>
      <c r="DW388" s="321">
        <f t="shared" ca="1" si="98"/>
        <v>119</v>
      </c>
      <c r="DX388" s="321">
        <f t="shared" ca="1" si="98"/>
        <v>120</v>
      </c>
      <c r="DY388" s="321">
        <f t="shared" ca="1" si="98"/>
        <v>121</v>
      </c>
      <c r="DZ388" s="321">
        <f t="shared" ca="1" si="98"/>
        <v>122</v>
      </c>
      <c r="EA388" s="321">
        <f t="shared" ca="1" si="98"/>
        <v>123</v>
      </c>
      <c r="EB388" s="321">
        <f t="shared" ca="1" si="98"/>
        <v>124</v>
      </c>
      <c r="EC388" s="321">
        <f t="shared" ca="1" si="98"/>
        <v>125</v>
      </c>
      <c r="ED388" s="321">
        <f t="shared" ca="1" si="98"/>
        <v>126</v>
      </c>
      <c r="EE388" s="321">
        <f t="shared" ca="1" si="98"/>
        <v>127</v>
      </c>
      <c r="EF388" s="321">
        <f t="shared" ca="1" si="98"/>
        <v>128</v>
      </c>
      <c r="EG388" s="321">
        <f t="shared" ref="EG388:GR388" ca="1" si="99">OFFSET(EG388,0,-1)+1</f>
        <v>129</v>
      </c>
      <c r="EH388" s="321">
        <f t="shared" ca="1" si="99"/>
        <v>130</v>
      </c>
      <c r="EI388" s="321">
        <f t="shared" ca="1" si="99"/>
        <v>131</v>
      </c>
      <c r="EJ388" s="321">
        <f t="shared" ca="1" si="99"/>
        <v>132</v>
      </c>
      <c r="EK388" s="321">
        <f t="shared" ca="1" si="99"/>
        <v>133</v>
      </c>
      <c r="EL388" s="321">
        <f t="shared" ca="1" si="99"/>
        <v>134</v>
      </c>
      <c r="EM388" s="321">
        <f t="shared" ca="1" si="99"/>
        <v>135</v>
      </c>
      <c r="EN388" s="321">
        <f t="shared" ca="1" si="99"/>
        <v>136</v>
      </c>
      <c r="EO388" s="321">
        <f t="shared" ca="1" si="99"/>
        <v>137</v>
      </c>
      <c r="EP388" s="321">
        <f t="shared" ca="1" si="99"/>
        <v>138</v>
      </c>
      <c r="EQ388" s="321">
        <f t="shared" ca="1" si="99"/>
        <v>139</v>
      </c>
      <c r="ER388" s="321">
        <f t="shared" ca="1" si="99"/>
        <v>140</v>
      </c>
      <c r="ES388" s="321">
        <f t="shared" ca="1" si="99"/>
        <v>141</v>
      </c>
      <c r="ET388" s="321">
        <f t="shared" ca="1" si="99"/>
        <v>142</v>
      </c>
      <c r="EU388" s="321">
        <f t="shared" ca="1" si="99"/>
        <v>143</v>
      </c>
      <c r="EV388" s="321">
        <f t="shared" ca="1" si="99"/>
        <v>144</v>
      </c>
      <c r="EW388" s="321">
        <f t="shared" ca="1" si="99"/>
        <v>145</v>
      </c>
      <c r="EX388" s="321">
        <f t="shared" ca="1" si="99"/>
        <v>146</v>
      </c>
      <c r="EY388" s="321">
        <f t="shared" ca="1" si="99"/>
        <v>147</v>
      </c>
      <c r="EZ388" s="321">
        <f t="shared" ca="1" si="99"/>
        <v>148</v>
      </c>
      <c r="FA388" s="321">
        <f t="shared" ca="1" si="99"/>
        <v>149</v>
      </c>
      <c r="FB388" s="321">
        <f t="shared" ca="1" si="99"/>
        <v>150</v>
      </c>
      <c r="FC388" s="321">
        <f t="shared" ca="1" si="99"/>
        <v>151</v>
      </c>
      <c r="FD388" s="321">
        <f t="shared" ca="1" si="99"/>
        <v>152</v>
      </c>
      <c r="FE388" s="321">
        <f t="shared" ca="1" si="99"/>
        <v>153</v>
      </c>
      <c r="FF388" s="321">
        <f t="shared" ca="1" si="99"/>
        <v>154</v>
      </c>
      <c r="FG388" s="321">
        <f t="shared" ca="1" si="99"/>
        <v>155</v>
      </c>
      <c r="FH388" s="321">
        <f t="shared" ca="1" si="99"/>
        <v>156</v>
      </c>
      <c r="FI388" s="321">
        <f t="shared" ca="1" si="99"/>
        <v>157</v>
      </c>
      <c r="FJ388" s="321">
        <f t="shared" ca="1" si="99"/>
        <v>158</v>
      </c>
      <c r="FK388" s="321">
        <f t="shared" ca="1" si="99"/>
        <v>159</v>
      </c>
      <c r="FL388" s="321">
        <f t="shared" ca="1" si="99"/>
        <v>160</v>
      </c>
      <c r="FM388" s="321">
        <f t="shared" ca="1" si="99"/>
        <v>161</v>
      </c>
      <c r="FN388" s="321">
        <f t="shared" ca="1" si="99"/>
        <v>162</v>
      </c>
      <c r="FO388" s="321">
        <f t="shared" ca="1" si="99"/>
        <v>163</v>
      </c>
      <c r="FP388" s="321">
        <f t="shared" ca="1" si="99"/>
        <v>164</v>
      </c>
      <c r="FQ388" s="321">
        <f t="shared" ca="1" si="99"/>
        <v>165</v>
      </c>
      <c r="FR388" s="321">
        <f t="shared" ca="1" si="99"/>
        <v>166</v>
      </c>
      <c r="FS388" s="321">
        <f t="shared" ca="1" si="99"/>
        <v>167</v>
      </c>
      <c r="FT388" s="321">
        <f t="shared" ca="1" si="99"/>
        <v>168</v>
      </c>
      <c r="FU388" s="321">
        <f t="shared" ca="1" si="99"/>
        <v>169</v>
      </c>
      <c r="FV388" s="321">
        <f t="shared" ca="1" si="99"/>
        <v>170</v>
      </c>
      <c r="FW388" s="321">
        <f t="shared" ca="1" si="99"/>
        <v>171</v>
      </c>
      <c r="FX388" s="321">
        <f t="shared" ca="1" si="99"/>
        <v>172</v>
      </c>
      <c r="FY388" s="321">
        <f t="shared" ca="1" si="99"/>
        <v>173</v>
      </c>
      <c r="FZ388" s="321">
        <f t="shared" ca="1" si="99"/>
        <v>174</v>
      </c>
      <c r="GA388" s="321">
        <f t="shared" ca="1" si="99"/>
        <v>175</v>
      </c>
      <c r="GB388" s="321">
        <f t="shared" ca="1" si="99"/>
        <v>176</v>
      </c>
      <c r="GC388" s="321">
        <f t="shared" ca="1" si="99"/>
        <v>177</v>
      </c>
      <c r="GD388" s="321">
        <f t="shared" ca="1" si="99"/>
        <v>178</v>
      </c>
      <c r="GE388" s="321">
        <f t="shared" ca="1" si="99"/>
        <v>179</v>
      </c>
      <c r="GF388" s="321">
        <f t="shared" ca="1" si="99"/>
        <v>180</v>
      </c>
      <c r="GG388" s="321">
        <f t="shared" ca="1" si="99"/>
        <v>181</v>
      </c>
      <c r="GH388" s="321">
        <f t="shared" ca="1" si="99"/>
        <v>182</v>
      </c>
      <c r="GI388" s="321">
        <f t="shared" ca="1" si="99"/>
        <v>183</v>
      </c>
      <c r="GJ388" s="321">
        <f t="shared" ca="1" si="99"/>
        <v>184</v>
      </c>
      <c r="GK388" s="321">
        <f t="shared" ca="1" si="99"/>
        <v>185</v>
      </c>
      <c r="GL388" s="321">
        <f t="shared" ca="1" si="99"/>
        <v>186</v>
      </c>
      <c r="GM388" s="321">
        <f t="shared" ca="1" si="99"/>
        <v>187</v>
      </c>
      <c r="GN388" s="321">
        <f t="shared" ca="1" si="99"/>
        <v>188</v>
      </c>
      <c r="GO388" s="321">
        <f t="shared" ca="1" si="99"/>
        <v>189</v>
      </c>
      <c r="GP388" s="321">
        <f t="shared" ca="1" si="99"/>
        <v>190</v>
      </c>
      <c r="GQ388" s="321">
        <f t="shared" ca="1" si="99"/>
        <v>191</v>
      </c>
      <c r="GR388" s="321">
        <f t="shared" ca="1" si="99"/>
        <v>192</v>
      </c>
      <c r="GS388" s="321">
        <f t="shared" ref="GS388:JD388" ca="1" si="100">OFFSET(GS388,0,-1)+1</f>
        <v>193</v>
      </c>
      <c r="GT388" s="321">
        <f t="shared" ca="1" si="100"/>
        <v>194</v>
      </c>
      <c r="GU388" s="321">
        <f t="shared" ca="1" si="100"/>
        <v>195</v>
      </c>
      <c r="GV388" s="321">
        <f t="shared" ca="1" si="100"/>
        <v>196</v>
      </c>
      <c r="GW388" s="321">
        <f t="shared" ca="1" si="100"/>
        <v>197</v>
      </c>
      <c r="GX388" s="321">
        <f t="shared" ca="1" si="100"/>
        <v>198</v>
      </c>
      <c r="GY388" s="321">
        <f t="shared" ca="1" si="100"/>
        <v>199</v>
      </c>
      <c r="GZ388" s="321">
        <f t="shared" ca="1" si="100"/>
        <v>200</v>
      </c>
      <c r="HA388" s="321">
        <f t="shared" ca="1" si="100"/>
        <v>201</v>
      </c>
      <c r="HB388" s="321">
        <f t="shared" ca="1" si="100"/>
        <v>202</v>
      </c>
      <c r="HC388" s="321">
        <f t="shared" ca="1" si="100"/>
        <v>203</v>
      </c>
      <c r="HD388" s="321">
        <f t="shared" ca="1" si="100"/>
        <v>204</v>
      </c>
      <c r="HE388" s="321">
        <f t="shared" ca="1" si="100"/>
        <v>205</v>
      </c>
      <c r="HF388" s="321">
        <f t="shared" ca="1" si="100"/>
        <v>206</v>
      </c>
      <c r="HG388" s="321">
        <f t="shared" ca="1" si="100"/>
        <v>207</v>
      </c>
      <c r="HH388" s="321">
        <f t="shared" ca="1" si="100"/>
        <v>208</v>
      </c>
      <c r="HI388" s="321">
        <f t="shared" ca="1" si="100"/>
        <v>209</v>
      </c>
      <c r="HJ388" s="321">
        <f t="shared" ca="1" si="100"/>
        <v>210</v>
      </c>
      <c r="HK388" s="321">
        <f t="shared" ca="1" si="100"/>
        <v>211</v>
      </c>
      <c r="HL388" s="321">
        <f t="shared" ca="1" si="100"/>
        <v>212</v>
      </c>
      <c r="HM388" s="321">
        <f t="shared" ca="1" si="100"/>
        <v>213</v>
      </c>
      <c r="HN388" s="321">
        <f t="shared" ca="1" si="100"/>
        <v>214</v>
      </c>
      <c r="HO388" s="321">
        <f t="shared" ca="1" si="100"/>
        <v>215</v>
      </c>
      <c r="HP388" s="321">
        <f t="shared" ca="1" si="100"/>
        <v>216</v>
      </c>
      <c r="HQ388" s="321">
        <f t="shared" ca="1" si="100"/>
        <v>217</v>
      </c>
      <c r="HR388" s="321">
        <f t="shared" ca="1" si="100"/>
        <v>218</v>
      </c>
      <c r="HS388" s="321">
        <f t="shared" ca="1" si="100"/>
        <v>219</v>
      </c>
      <c r="HT388" s="321">
        <f t="shared" ca="1" si="100"/>
        <v>220</v>
      </c>
      <c r="HU388" s="321">
        <f t="shared" ca="1" si="100"/>
        <v>221</v>
      </c>
      <c r="HV388" s="321">
        <f t="shared" ca="1" si="100"/>
        <v>222</v>
      </c>
      <c r="HW388" s="321">
        <f t="shared" ca="1" si="100"/>
        <v>223</v>
      </c>
      <c r="HX388" s="321">
        <f t="shared" ca="1" si="100"/>
        <v>224</v>
      </c>
      <c r="HY388" s="321">
        <f t="shared" ca="1" si="100"/>
        <v>225</v>
      </c>
      <c r="HZ388" s="321">
        <f t="shared" ca="1" si="100"/>
        <v>226</v>
      </c>
      <c r="IA388" s="321">
        <f t="shared" ca="1" si="100"/>
        <v>227</v>
      </c>
      <c r="IB388" s="321">
        <f t="shared" ca="1" si="100"/>
        <v>228</v>
      </c>
      <c r="IC388" s="321">
        <f t="shared" ca="1" si="100"/>
        <v>229</v>
      </c>
      <c r="ID388" s="321">
        <f t="shared" ca="1" si="100"/>
        <v>230</v>
      </c>
      <c r="IE388" s="321">
        <f t="shared" ca="1" si="100"/>
        <v>231</v>
      </c>
      <c r="IF388" s="321">
        <f t="shared" ca="1" si="100"/>
        <v>232</v>
      </c>
      <c r="IG388" s="321">
        <f t="shared" ca="1" si="100"/>
        <v>233</v>
      </c>
      <c r="IH388" s="321">
        <f t="shared" ca="1" si="100"/>
        <v>234</v>
      </c>
      <c r="II388" s="321">
        <f t="shared" ca="1" si="100"/>
        <v>235</v>
      </c>
      <c r="IJ388" s="321">
        <f t="shared" ca="1" si="100"/>
        <v>236</v>
      </c>
      <c r="IK388" s="321">
        <f t="shared" ca="1" si="100"/>
        <v>237</v>
      </c>
      <c r="IL388" s="321">
        <f t="shared" ca="1" si="100"/>
        <v>238</v>
      </c>
      <c r="IM388" s="321">
        <f t="shared" ca="1" si="100"/>
        <v>239</v>
      </c>
      <c r="IN388" s="321">
        <f t="shared" ca="1" si="100"/>
        <v>240</v>
      </c>
      <c r="IO388" s="321">
        <f t="shared" ca="1" si="100"/>
        <v>241</v>
      </c>
      <c r="IP388" s="321">
        <f t="shared" ca="1" si="100"/>
        <v>242</v>
      </c>
      <c r="IQ388" s="321">
        <f t="shared" ca="1" si="100"/>
        <v>243</v>
      </c>
      <c r="IR388" s="321">
        <f t="shared" ca="1" si="100"/>
        <v>244</v>
      </c>
      <c r="IS388" s="321">
        <f t="shared" ca="1" si="100"/>
        <v>245</v>
      </c>
      <c r="IT388" s="321">
        <f t="shared" ca="1" si="100"/>
        <v>246</v>
      </c>
      <c r="IU388" s="321">
        <f t="shared" ca="1" si="100"/>
        <v>247</v>
      </c>
      <c r="IV388" s="321">
        <f t="shared" ca="1" si="100"/>
        <v>248</v>
      </c>
      <c r="IW388" s="321">
        <f t="shared" ca="1" si="100"/>
        <v>249</v>
      </c>
      <c r="IX388" s="321">
        <f t="shared" ca="1" si="100"/>
        <v>250</v>
      </c>
      <c r="IY388" s="321">
        <f t="shared" ca="1" si="100"/>
        <v>251</v>
      </c>
      <c r="IZ388" s="321">
        <f t="shared" ca="1" si="100"/>
        <v>252</v>
      </c>
      <c r="JA388" s="321">
        <f t="shared" ca="1" si="100"/>
        <v>253</v>
      </c>
      <c r="JB388" s="321">
        <f t="shared" ca="1" si="100"/>
        <v>254</v>
      </c>
      <c r="JC388" s="321">
        <f t="shared" ca="1" si="100"/>
        <v>255</v>
      </c>
      <c r="JD388" s="321">
        <f t="shared" ca="1" si="100"/>
        <v>256</v>
      </c>
      <c r="JE388" s="321">
        <f t="shared" ref="JE388:LP388" ca="1" si="101">OFFSET(JE388,0,-1)+1</f>
        <v>257</v>
      </c>
      <c r="JF388" s="321">
        <f t="shared" ca="1" si="101"/>
        <v>258</v>
      </c>
      <c r="JG388" s="321">
        <f t="shared" ca="1" si="101"/>
        <v>259</v>
      </c>
      <c r="JH388" s="321">
        <f t="shared" ca="1" si="101"/>
        <v>260</v>
      </c>
      <c r="JI388" s="321">
        <f t="shared" ca="1" si="101"/>
        <v>261</v>
      </c>
      <c r="JJ388" s="321">
        <f t="shared" ca="1" si="101"/>
        <v>262</v>
      </c>
      <c r="JK388" s="321">
        <f t="shared" ca="1" si="101"/>
        <v>263</v>
      </c>
      <c r="JL388" s="321">
        <f t="shared" ca="1" si="101"/>
        <v>264</v>
      </c>
      <c r="JM388" s="321">
        <f t="shared" ca="1" si="101"/>
        <v>265</v>
      </c>
      <c r="JN388" s="321">
        <f t="shared" ca="1" si="101"/>
        <v>266</v>
      </c>
      <c r="JO388" s="321">
        <f t="shared" ca="1" si="101"/>
        <v>267</v>
      </c>
      <c r="JP388" s="321">
        <f t="shared" ca="1" si="101"/>
        <v>268</v>
      </c>
      <c r="JQ388" s="321">
        <f t="shared" ca="1" si="101"/>
        <v>269</v>
      </c>
      <c r="JR388" s="321">
        <f t="shared" ca="1" si="101"/>
        <v>270</v>
      </c>
      <c r="JS388" s="321">
        <f t="shared" ca="1" si="101"/>
        <v>271</v>
      </c>
      <c r="JT388" s="321">
        <f t="shared" ca="1" si="101"/>
        <v>272</v>
      </c>
      <c r="JU388" s="321">
        <f t="shared" ca="1" si="101"/>
        <v>273</v>
      </c>
      <c r="JV388" s="321">
        <f t="shared" ca="1" si="101"/>
        <v>274</v>
      </c>
      <c r="JW388" s="321">
        <f t="shared" ca="1" si="101"/>
        <v>275</v>
      </c>
      <c r="JX388" s="321">
        <f t="shared" ca="1" si="101"/>
        <v>276</v>
      </c>
      <c r="JY388" s="321">
        <f t="shared" ca="1" si="101"/>
        <v>277</v>
      </c>
      <c r="JZ388" s="321">
        <f t="shared" ca="1" si="101"/>
        <v>278</v>
      </c>
      <c r="KA388" s="321">
        <f t="shared" ca="1" si="101"/>
        <v>279</v>
      </c>
      <c r="KB388" s="321">
        <f t="shared" ca="1" si="101"/>
        <v>280</v>
      </c>
      <c r="KC388" s="321">
        <f t="shared" ca="1" si="101"/>
        <v>281</v>
      </c>
      <c r="KD388" s="321">
        <f t="shared" ca="1" si="101"/>
        <v>282</v>
      </c>
      <c r="KE388" s="321">
        <f t="shared" ca="1" si="101"/>
        <v>283</v>
      </c>
      <c r="KF388" s="321">
        <f t="shared" ca="1" si="101"/>
        <v>284</v>
      </c>
      <c r="KG388" s="321">
        <f t="shared" ca="1" si="101"/>
        <v>285</v>
      </c>
      <c r="KH388" s="321">
        <f t="shared" ca="1" si="101"/>
        <v>286</v>
      </c>
      <c r="KI388" s="321">
        <f t="shared" ca="1" si="101"/>
        <v>287</v>
      </c>
      <c r="KJ388" s="321">
        <f t="shared" ca="1" si="101"/>
        <v>288</v>
      </c>
      <c r="KK388" s="321">
        <f t="shared" ca="1" si="101"/>
        <v>289</v>
      </c>
      <c r="KL388" s="321">
        <f t="shared" ca="1" si="101"/>
        <v>290</v>
      </c>
      <c r="KM388" s="321">
        <f t="shared" ca="1" si="101"/>
        <v>291</v>
      </c>
      <c r="KN388" s="321">
        <f t="shared" ca="1" si="101"/>
        <v>292</v>
      </c>
      <c r="KO388" s="321">
        <f t="shared" ca="1" si="101"/>
        <v>293</v>
      </c>
      <c r="KP388" s="321">
        <f t="shared" ca="1" si="101"/>
        <v>294</v>
      </c>
      <c r="KQ388" s="321">
        <f t="shared" ca="1" si="101"/>
        <v>295</v>
      </c>
      <c r="KR388" s="321">
        <f t="shared" ca="1" si="101"/>
        <v>296</v>
      </c>
      <c r="KS388" s="321">
        <f t="shared" ca="1" si="101"/>
        <v>297</v>
      </c>
      <c r="KT388" s="321">
        <f t="shared" ca="1" si="101"/>
        <v>298</v>
      </c>
      <c r="KU388" s="321">
        <f t="shared" ca="1" si="101"/>
        <v>299</v>
      </c>
      <c r="KV388" s="321">
        <f t="shared" ca="1" si="101"/>
        <v>300</v>
      </c>
      <c r="KW388" s="321">
        <f t="shared" ca="1" si="101"/>
        <v>301</v>
      </c>
      <c r="KX388" s="321">
        <f t="shared" ca="1" si="101"/>
        <v>302</v>
      </c>
      <c r="KY388" s="321">
        <f t="shared" ca="1" si="101"/>
        <v>303</v>
      </c>
      <c r="KZ388" s="321">
        <f t="shared" ca="1" si="101"/>
        <v>304</v>
      </c>
      <c r="LA388" s="321">
        <f t="shared" ca="1" si="101"/>
        <v>305</v>
      </c>
      <c r="LB388" s="321">
        <f t="shared" ca="1" si="101"/>
        <v>306</v>
      </c>
      <c r="LC388" s="321">
        <f t="shared" ca="1" si="101"/>
        <v>307</v>
      </c>
      <c r="LD388" s="321">
        <f t="shared" ca="1" si="101"/>
        <v>308</v>
      </c>
      <c r="LE388" s="321">
        <f t="shared" ca="1" si="101"/>
        <v>309</v>
      </c>
      <c r="LF388" s="321">
        <f t="shared" ca="1" si="101"/>
        <v>310</v>
      </c>
      <c r="LG388" s="321">
        <f t="shared" ca="1" si="101"/>
        <v>311</v>
      </c>
      <c r="LH388" s="321">
        <f t="shared" ca="1" si="101"/>
        <v>312</v>
      </c>
      <c r="LI388" s="321">
        <f t="shared" ca="1" si="101"/>
        <v>313</v>
      </c>
      <c r="LJ388" s="321">
        <f t="shared" ca="1" si="101"/>
        <v>314</v>
      </c>
      <c r="LK388" s="321">
        <f t="shared" ca="1" si="101"/>
        <v>315</v>
      </c>
      <c r="LL388" s="321">
        <f t="shared" ca="1" si="101"/>
        <v>316</v>
      </c>
      <c r="LM388" s="321">
        <f t="shared" ca="1" si="101"/>
        <v>317</v>
      </c>
      <c r="LN388" s="321">
        <f t="shared" ca="1" si="101"/>
        <v>318</v>
      </c>
      <c r="LO388" s="321">
        <f t="shared" ca="1" si="101"/>
        <v>319</v>
      </c>
      <c r="LP388" s="321">
        <f t="shared" ca="1" si="101"/>
        <v>320</v>
      </c>
      <c r="LQ388" s="321">
        <f t="shared" ref="LQ388:OB388" ca="1" si="102">OFFSET(LQ388,0,-1)+1</f>
        <v>321</v>
      </c>
      <c r="LR388" s="321">
        <f t="shared" ca="1" si="102"/>
        <v>322</v>
      </c>
      <c r="LS388" s="321">
        <f t="shared" ca="1" si="102"/>
        <v>323</v>
      </c>
      <c r="LT388" s="321">
        <f t="shared" ca="1" si="102"/>
        <v>324</v>
      </c>
      <c r="LU388" s="321">
        <f t="shared" ca="1" si="102"/>
        <v>325</v>
      </c>
      <c r="LV388" s="321">
        <f t="shared" ca="1" si="102"/>
        <v>326</v>
      </c>
      <c r="LW388" s="321">
        <f t="shared" ca="1" si="102"/>
        <v>327</v>
      </c>
      <c r="LX388" s="321">
        <f t="shared" ca="1" si="102"/>
        <v>328</v>
      </c>
      <c r="LY388" s="321">
        <f t="shared" ca="1" si="102"/>
        <v>329</v>
      </c>
      <c r="LZ388" s="321">
        <f t="shared" ca="1" si="102"/>
        <v>330</v>
      </c>
      <c r="MA388" s="321">
        <f t="shared" ca="1" si="102"/>
        <v>331</v>
      </c>
      <c r="MB388" s="321">
        <f t="shared" ca="1" si="102"/>
        <v>332</v>
      </c>
      <c r="MC388" s="321">
        <f t="shared" ca="1" si="102"/>
        <v>333</v>
      </c>
      <c r="MD388" s="321">
        <f t="shared" ca="1" si="102"/>
        <v>334</v>
      </c>
      <c r="ME388" s="321">
        <f t="shared" ca="1" si="102"/>
        <v>335</v>
      </c>
      <c r="MF388" s="321">
        <f t="shared" ca="1" si="102"/>
        <v>336</v>
      </c>
      <c r="MG388" s="321">
        <f t="shared" ca="1" si="102"/>
        <v>337</v>
      </c>
      <c r="MH388" s="321">
        <f t="shared" ca="1" si="102"/>
        <v>338</v>
      </c>
      <c r="MI388" s="321">
        <f t="shared" ca="1" si="102"/>
        <v>339</v>
      </c>
      <c r="MJ388" s="321">
        <f t="shared" ca="1" si="102"/>
        <v>340</v>
      </c>
      <c r="MK388" s="321">
        <f t="shared" ca="1" si="102"/>
        <v>341</v>
      </c>
      <c r="ML388" s="321">
        <f t="shared" ca="1" si="102"/>
        <v>342</v>
      </c>
      <c r="MM388" s="321">
        <f t="shared" ca="1" si="102"/>
        <v>343</v>
      </c>
      <c r="MN388" s="321">
        <f t="shared" ca="1" si="102"/>
        <v>344</v>
      </c>
      <c r="MO388" s="321">
        <f t="shared" ca="1" si="102"/>
        <v>345</v>
      </c>
      <c r="MP388" s="321">
        <f t="shared" ca="1" si="102"/>
        <v>346</v>
      </c>
      <c r="MQ388" s="321">
        <f t="shared" ca="1" si="102"/>
        <v>347</v>
      </c>
      <c r="MR388" s="321">
        <f t="shared" ca="1" si="102"/>
        <v>348</v>
      </c>
      <c r="MS388" s="321">
        <f t="shared" ca="1" si="102"/>
        <v>349</v>
      </c>
      <c r="MT388" s="321">
        <f t="shared" ca="1" si="102"/>
        <v>350</v>
      </c>
      <c r="MU388" s="321">
        <f t="shared" ca="1" si="102"/>
        <v>351</v>
      </c>
      <c r="MV388" s="321">
        <f t="shared" ca="1" si="102"/>
        <v>352</v>
      </c>
      <c r="MW388" s="321">
        <f t="shared" ca="1" si="102"/>
        <v>353</v>
      </c>
      <c r="MX388" s="321">
        <f t="shared" ca="1" si="102"/>
        <v>354</v>
      </c>
      <c r="MY388" s="321">
        <f t="shared" ca="1" si="102"/>
        <v>355</v>
      </c>
      <c r="MZ388" s="321">
        <f t="shared" ca="1" si="102"/>
        <v>356</v>
      </c>
      <c r="NA388" s="321">
        <f t="shared" ca="1" si="102"/>
        <v>357</v>
      </c>
      <c r="NB388" s="321">
        <f t="shared" ca="1" si="102"/>
        <v>358</v>
      </c>
      <c r="NC388" s="321">
        <f t="shared" ca="1" si="102"/>
        <v>359</v>
      </c>
      <c r="ND388" s="321">
        <f t="shared" ca="1" si="102"/>
        <v>360</v>
      </c>
      <c r="NE388" s="321">
        <f t="shared" ca="1" si="102"/>
        <v>361</v>
      </c>
      <c r="NF388" s="321">
        <f t="shared" ca="1" si="102"/>
        <v>362</v>
      </c>
      <c r="NG388" s="321">
        <f t="shared" ca="1" si="102"/>
        <v>363</v>
      </c>
      <c r="NH388" s="321">
        <f t="shared" ca="1" si="102"/>
        <v>364</v>
      </c>
      <c r="NI388" s="321">
        <f t="shared" ca="1" si="102"/>
        <v>365</v>
      </c>
      <c r="NJ388" s="321">
        <f t="shared" ca="1" si="102"/>
        <v>366</v>
      </c>
      <c r="NK388" s="321">
        <f t="shared" ca="1" si="102"/>
        <v>367</v>
      </c>
      <c r="NL388" s="321">
        <f t="shared" ca="1" si="102"/>
        <v>368</v>
      </c>
      <c r="NM388" s="321">
        <f t="shared" ca="1" si="102"/>
        <v>369</v>
      </c>
      <c r="NN388" s="321">
        <f t="shared" ca="1" si="102"/>
        <v>370</v>
      </c>
      <c r="NO388" s="321">
        <f t="shared" ca="1" si="102"/>
        <v>371</v>
      </c>
      <c r="NP388" s="321">
        <f t="shared" ca="1" si="102"/>
        <v>372</v>
      </c>
      <c r="NQ388" s="321">
        <f t="shared" ca="1" si="102"/>
        <v>373</v>
      </c>
      <c r="NR388" s="321">
        <f t="shared" ca="1" si="102"/>
        <v>374</v>
      </c>
      <c r="NS388" s="321">
        <f t="shared" ca="1" si="102"/>
        <v>375</v>
      </c>
      <c r="NT388" s="321">
        <f t="shared" ca="1" si="102"/>
        <v>376</v>
      </c>
      <c r="NU388" s="321">
        <f t="shared" ca="1" si="102"/>
        <v>377</v>
      </c>
      <c r="NV388" s="321">
        <f t="shared" ca="1" si="102"/>
        <v>378</v>
      </c>
      <c r="NW388" s="321">
        <f t="shared" ca="1" si="102"/>
        <v>379</v>
      </c>
      <c r="NX388" s="321">
        <f t="shared" ca="1" si="102"/>
        <v>380</v>
      </c>
      <c r="NY388" s="321">
        <f t="shared" ca="1" si="102"/>
        <v>381</v>
      </c>
      <c r="NZ388" s="321">
        <f t="shared" ca="1" si="102"/>
        <v>382</v>
      </c>
      <c r="OA388" s="321">
        <f t="shared" ca="1" si="102"/>
        <v>383</v>
      </c>
      <c r="OB388" s="321">
        <f t="shared" ca="1" si="102"/>
        <v>384</v>
      </c>
      <c r="OC388" s="321">
        <f t="shared" ref="OC388:QN388" ca="1" si="103">OFFSET(OC388,0,-1)+1</f>
        <v>385</v>
      </c>
      <c r="OD388" s="321">
        <f t="shared" ca="1" si="103"/>
        <v>386</v>
      </c>
      <c r="OE388" s="321">
        <f t="shared" ca="1" si="103"/>
        <v>387</v>
      </c>
      <c r="OF388" s="321">
        <f t="shared" ca="1" si="103"/>
        <v>388</v>
      </c>
      <c r="OG388" s="321">
        <f t="shared" ca="1" si="103"/>
        <v>389</v>
      </c>
      <c r="OH388" s="321">
        <f t="shared" ca="1" si="103"/>
        <v>390</v>
      </c>
      <c r="OI388" s="321">
        <f t="shared" ca="1" si="103"/>
        <v>391</v>
      </c>
      <c r="OJ388" s="321">
        <f t="shared" ca="1" si="103"/>
        <v>392</v>
      </c>
      <c r="OK388" s="321">
        <f t="shared" ca="1" si="103"/>
        <v>393</v>
      </c>
      <c r="OL388" s="321">
        <f t="shared" ca="1" si="103"/>
        <v>394</v>
      </c>
      <c r="OM388" s="321">
        <f t="shared" ca="1" si="103"/>
        <v>395</v>
      </c>
      <c r="ON388" s="321">
        <f t="shared" ca="1" si="103"/>
        <v>396</v>
      </c>
      <c r="OO388" s="321">
        <f t="shared" ca="1" si="103"/>
        <v>397</v>
      </c>
      <c r="OP388" s="321">
        <f t="shared" ca="1" si="103"/>
        <v>398</v>
      </c>
      <c r="OQ388" s="321">
        <f t="shared" ca="1" si="103"/>
        <v>399</v>
      </c>
      <c r="OR388" s="321">
        <f t="shared" ca="1" si="103"/>
        <v>400</v>
      </c>
      <c r="OS388" s="321">
        <f t="shared" ca="1" si="103"/>
        <v>401</v>
      </c>
      <c r="OT388" s="321">
        <f t="shared" ca="1" si="103"/>
        <v>402</v>
      </c>
      <c r="OU388" s="321">
        <f t="shared" ca="1" si="103"/>
        <v>403</v>
      </c>
      <c r="OV388" s="321">
        <f t="shared" ca="1" si="103"/>
        <v>404</v>
      </c>
      <c r="OW388" s="321">
        <f t="shared" ca="1" si="103"/>
        <v>405</v>
      </c>
      <c r="OX388" s="321">
        <f t="shared" ca="1" si="103"/>
        <v>406</v>
      </c>
      <c r="OY388" s="321">
        <f t="shared" ca="1" si="103"/>
        <v>407</v>
      </c>
      <c r="OZ388" s="321">
        <f t="shared" ca="1" si="103"/>
        <v>408</v>
      </c>
      <c r="PA388" s="321">
        <f t="shared" ca="1" si="103"/>
        <v>409</v>
      </c>
      <c r="PB388" s="321">
        <f t="shared" ca="1" si="103"/>
        <v>410</v>
      </c>
      <c r="PC388" s="321">
        <f t="shared" ca="1" si="103"/>
        <v>411</v>
      </c>
      <c r="PD388" s="321">
        <f t="shared" ca="1" si="103"/>
        <v>412</v>
      </c>
      <c r="PE388" s="321">
        <f t="shared" ca="1" si="103"/>
        <v>413</v>
      </c>
      <c r="PF388" s="321">
        <f t="shared" ca="1" si="103"/>
        <v>414</v>
      </c>
      <c r="PG388" s="321">
        <f t="shared" ca="1" si="103"/>
        <v>415</v>
      </c>
      <c r="PH388" s="321">
        <f t="shared" ca="1" si="103"/>
        <v>416</v>
      </c>
      <c r="PI388" s="321">
        <f t="shared" ca="1" si="103"/>
        <v>417</v>
      </c>
      <c r="PJ388" s="321">
        <f t="shared" ca="1" si="103"/>
        <v>418</v>
      </c>
      <c r="PK388" s="321">
        <f t="shared" ca="1" si="103"/>
        <v>419</v>
      </c>
      <c r="PL388" s="321">
        <f t="shared" ca="1" si="103"/>
        <v>420</v>
      </c>
      <c r="PM388" s="321">
        <f t="shared" ca="1" si="103"/>
        <v>421</v>
      </c>
      <c r="PN388" s="321">
        <f t="shared" ca="1" si="103"/>
        <v>422</v>
      </c>
      <c r="PO388" s="321">
        <f t="shared" ca="1" si="103"/>
        <v>423</v>
      </c>
      <c r="PP388" s="321">
        <f t="shared" ca="1" si="103"/>
        <v>424</v>
      </c>
      <c r="PQ388" s="321">
        <f t="shared" ca="1" si="103"/>
        <v>425</v>
      </c>
      <c r="PR388" s="321">
        <f t="shared" ca="1" si="103"/>
        <v>426</v>
      </c>
      <c r="PS388" s="321">
        <f t="shared" ca="1" si="103"/>
        <v>427</v>
      </c>
      <c r="PT388" s="321">
        <f t="shared" ca="1" si="103"/>
        <v>428</v>
      </c>
      <c r="PU388" s="321">
        <f t="shared" ca="1" si="103"/>
        <v>429</v>
      </c>
      <c r="PV388" s="321">
        <f t="shared" ca="1" si="103"/>
        <v>430</v>
      </c>
      <c r="PW388" s="321">
        <f t="shared" ca="1" si="103"/>
        <v>431</v>
      </c>
      <c r="PX388" s="321">
        <f t="shared" ca="1" si="103"/>
        <v>432</v>
      </c>
      <c r="PY388" s="321">
        <f t="shared" ca="1" si="103"/>
        <v>433</v>
      </c>
      <c r="PZ388" s="321">
        <f t="shared" ca="1" si="103"/>
        <v>434</v>
      </c>
      <c r="QA388" s="321">
        <f t="shared" ca="1" si="103"/>
        <v>435</v>
      </c>
      <c r="QB388" s="321">
        <f t="shared" ca="1" si="103"/>
        <v>436</v>
      </c>
      <c r="QC388" s="321">
        <f t="shared" ca="1" si="103"/>
        <v>437</v>
      </c>
      <c r="QD388" s="321">
        <f t="shared" ca="1" si="103"/>
        <v>438</v>
      </c>
      <c r="QE388" s="321">
        <f t="shared" ca="1" si="103"/>
        <v>439</v>
      </c>
      <c r="QF388" s="321">
        <f t="shared" ca="1" si="103"/>
        <v>440</v>
      </c>
      <c r="QG388" s="321">
        <f t="shared" ca="1" si="103"/>
        <v>441</v>
      </c>
      <c r="QH388" s="321">
        <f t="shared" ca="1" si="103"/>
        <v>442</v>
      </c>
      <c r="QI388" s="321">
        <f t="shared" ca="1" si="103"/>
        <v>443</v>
      </c>
      <c r="QJ388" s="321">
        <f t="shared" ca="1" si="103"/>
        <v>444</v>
      </c>
      <c r="QK388" s="321">
        <f t="shared" ca="1" si="103"/>
        <v>445</v>
      </c>
      <c r="QL388" s="321">
        <f t="shared" ca="1" si="103"/>
        <v>446</v>
      </c>
      <c r="QM388" s="321">
        <f t="shared" ca="1" si="103"/>
        <v>447</v>
      </c>
      <c r="QN388" s="321">
        <f t="shared" ca="1" si="103"/>
        <v>448</v>
      </c>
      <c r="QO388" s="321">
        <f t="shared" ref="QO388:SZ388" ca="1" si="104">OFFSET(QO388,0,-1)+1</f>
        <v>449</v>
      </c>
      <c r="QP388" s="321">
        <f t="shared" ca="1" si="104"/>
        <v>450</v>
      </c>
      <c r="QQ388" s="321">
        <f t="shared" ca="1" si="104"/>
        <v>451</v>
      </c>
      <c r="QR388" s="321">
        <f t="shared" ca="1" si="104"/>
        <v>452</v>
      </c>
      <c r="QS388" s="321">
        <f t="shared" ca="1" si="104"/>
        <v>453</v>
      </c>
      <c r="QT388" s="321">
        <f t="shared" ca="1" si="104"/>
        <v>454</v>
      </c>
      <c r="QU388" s="321">
        <f t="shared" ca="1" si="104"/>
        <v>455</v>
      </c>
      <c r="QV388" s="321">
        <f t="shared" ca="1" si="104"/>
        <v>456</v>
      </c>
      <c r="QW388" s="321">
        <f t="shared" ca="1" si="104"/>
        <v>457</v>
      </c>
      <c r="QX388" s="321">
        <f t="shared" ca="1" si="104"/>
        <v>458</v>
      </c>
      <c r="QY388" s="321">
        <f t="shared" ca="1" si="104"/>
        <v>459</v>
      </c>
      <c r="QZ388" s="321">
        <f t="shared" ca="1" si="104"/>
        <v>460</v>
      </c>
      <c r="RA388" s="321">
        <f t="shared" ca="1" si="104"/>
        <v>461</v>
      </c>
      <c r="RB388" s="321">
        <f t="shared" ca="1" si="104"/>
        <v>462</v>
      </c>
      <c r="RC388" s="321">
        <f t="shared" ca="1" si="104"/>
        <v>463</v>
      </c>
      <c r="RD388" s="321">
        <f t="shared" ca="1" si="104"/>
        <v>464</v>
      </c>
      <c r="RE388" s="321">
        <f t="shared" ca="1" si="104"/>
        <v>465</v>
      </c>
      <c r="RF388" s="321">
        <f t="shared" ca="1" si="104"/>
        <v>466</v>
      </c>
      <c r="RG388" s="321">
        <f t="shared" ca="1" si="104"/>
        <v>467</v>
      </c>
      <c r="RH388" s="321">
        <f t="shared" ca="1" si="104"/>
        <v>468</v>
      </c>
      <c r="RI388" s="321">
        <f t="shared" ca="1" si="104"/>
        <v>469</v>
      </c>
      <c r="RJ388" s="321">
        <f t="shared" ca="1" si="104"/>
        <v>470</v>
      </c>
      <c r="RK388" s="321">
        <f t="shared" ca="1" si="104"/>
        <v>471</v>
      </c>
      <c r="RL388" s="321">
        <f t="shared" ca="1" si="104"/>
        <v>472</v>
      </c>
      <c r="RM388" s="321">
        <f t="shared" ca="1" si="104"/>
        <v>473</v>
      </c>
      <c r="RN388" s="321">
        <f t="shared" ca="1" si="104"/>
        <v>474</v>
      </c>
      <c r="RO388" s="321">
        <f t="shared" ca="1" si="104"/>
        <v>475</v>
      </c>
      <c r="RP388" s="321">
        <f t="shared" ca="1" si="104"/>
        <v>476</v>
      </c>
      <c r="RQ388" s="321">
        <f t="shared" ca="1" si="104"/>
        <v>477</v>
      </c>
      <c r="RR388" s="321">
        <f t="shared" ca="1" si="104"/>
        <v>478</v>
      </c>
      <c r="RS388" s="321">
        <f t="shared" ca="1" si="104"/>
        <v>479</v>
      </c>
      <c r="RT388" s="321">
        <f t="shared" ca="1" si="104"/>
        <v>480</v>
      </c>
      <c r="RU388" s="321">
        <f t="shared" ca="1" si="104"/>
        <v>481</v>
      </c>
      <c r="RV388" s="321">
        <f t="shared" ca="1" si="104"/>
        <v>482</v>
      </c>
      <c r="RW388" s="321">
        <f t="shared" ca="1" si="104"/>
        <v>483</v>
      </c>
      <c r="RX388" s="321">
        <f t="shared" ca="1" si="104"/>
        <v>484</v>
      </c>
      <c r="RY388" s="321">
        <f t="shared" ca="1" si="104"/>
        <v>485</v>
      </c>
      <c r="RZ388" s="321">
        <f t="shared" ca="1" si="104"/>
        <v>486</v>
      </c>
      <c r="SA388" s="321">
        <f t="shared" ca="1" si="104"/>
        <v>487</v>
      </c>
      <c r="SB388" s="321">
        <f t="shared" ca="1" si="104"/>
        <v>488</v>
      </c>
      <c r="SC388" s="321">
        <f t="shared" ca="1" si="104"/>
        <v>489</v>
      </c>
      <c r="SD388" s="321">
        <f t="shared" ca="1" si="104"/>
        <v>490</v>
      </c>
      <c r="SE388" s="321">
        <f t="shared" ca="1" si="104"/>
        <v>491</v>
      </c>
      <c r="SF388" s="321">
        <f t="shared" ca="1" si="104"/>
        <v>492</v>
      </c>
      <c r="SG388" s="321">
        <f t="shared" ca="1" si="104"/>
        <v>493</v>
      </c>
      <c r="SH388" s="321">
        <f t="shared" ca="1" si="104"/>
        <v>494</v>
      </c>
      <c r="SI388" s="321">
        <f t="shared" ca="1" si="104"/>
        <v>495</v>
      </c>
      <c r="SJ388" s="321">
        <f t="shared" ca="1" si="104"/>
        <v>496</v>
      </c>
      <c r="SK388" s="321">
        <f t="shared" ca="1" si="104"/>
        <v>497</v>
      </c>
      <c r="SL388" s="321">
        <f t="shared" ca="1" si="104"/>
        <v>498</v>
      </c>
      <c r="SM388" s="321">
        <f t="shared" ca="1" si="104"/>
        <v>499</v>
      </c>
      <c r="SN388" s="321">
        <f t="shared" ca="1" si="104"/>
        <v>500</v>
      </c>
      <c r="SO388" s="321">
        <f t="shared" ca="1" si="104"/>
        <v>501</v>
      </c>
      <c r="SP388" s="321">
        <f t="shared" ca="1" si="104"/>
        <v>502</v>
      </c>
      <c r="SQ388" s="321">
        <f t="shared" ca="1" si="104"/>
        <v>503</v>
      </c>
      <c r="SR388" s="321">
        <f t="shared" ca="1" si="104"/>
        <v>504</v>
      </c>
      <c r="SS388" s="321">
        <f t="shared" ca="1" si="104"/>
        <v>505</v>
      </c>
      <c r="ST388" s="321">
        <f t="shared" ca="1" si="104"/>
        <v>506</v>
      </c>
      <c r="SU388" s="321">
        <f t="shared" ca="1" si="104"/>
        <v>507</v>
      </c>
      <c r="SV388" s="321">
        <f t="shared" ca="1" si="104"/>
        <v>508</v>
      </c>
      <c r="SW388" s="321">
        <f t="shared" ca="1" si="104"/>
        <v>509</v>
      </c>
      <c r="SX388" s="321">
        <f t="shared" ca="1" si="104"/>
        <v>510</v>
      </c>
      <c r="SY388" s="321">
        <f t="shared" ca="1" si="104"/>
        <v>511</v>
      </c>
      <c r="SZ388" s="321">
        <f t="shared" ca="1" si="104"/>
        <v>512</v>
      </c>
      <c r="TA388" s="321">
        <f t="shared" ref="TA388:VL388" ca="1" si="105">OFFSET(TA388,0,-1)+1</f>
        <v>513</v>
      </c>
      <c r="TB388" s="321">
        <f t="shared" ca="1" si="105"/>
        <v>514</v>
      </c>
      <c r="TC388" s="321">
        <f t="shared" ca="1" si="105"/>
        <v>515</v>
      </c>
      <c r="TD388" s="321">
        <f t="shared" ca="1" si="105"/>
        <v>516</v>
      </c>
      <c r="TE388" s="321">
        <f t="shared" ca="1" si="105"/>
        <v>517</v>
      </c>
      <c r="TF388" s="321">
        <f t="shared" ca="1" si="105"/>
        <v>518</v>
      </c>
      <c r="TG388" s="321">
        <f t="shared" ca="1" si="105"/>
        <v>519</v>
      </c>
      <c r="TH388" s="321">
        <f t="shared" ca="1" si="105"/>
        <v>520</v>
      </c>
      <c r="TI388" s="321">
        <f t="shared" ca="1" si="105"/>
        <v>521</v>
      </c>
      <c r="TJ388" s="321">
        <f t="shared" ca="1" si="105"/>
        <v>522</v>
      </c>
      <c r="TK388" s="321">
        <f t="shared" ca="1" si="105"/>
        <v>523</v>
      </c>
      <c r="TL388" s="321">
        <f t="shared" ca="1" si="105"/>
        <v>524</v>
      </c>
      <c r="TM388" s="321">
        <f t="shared" ca="1" si="105"/>
        <v>525</v>
      </c>
      <c r="TN388" s="321">
        <f t="shared" ca="1" si="105"/>
        <v>526</v>
      </c>
      <c r="TO388" s="321">
        <f t="shared" ca="1" si="105"/>
        <v>527</v>
      </c>
      <c r="TP388" s="321">
        <f t="shared" ca="1" si="105"/>
        <v>528</v>
      </c>
      <c r="TQ388" s="321">
        <f t="shared" ca="1" si="105"/>
        <v>529</v>
      </c>
      <c r="TR388" s="321">
        <f t="shared" ca="1" si="105"/>
        <v>530</v>
      </c>
      <c r="TS388" s="321">
        <f t="shared" ca="1" si="105"/>
        <v>531</v>
      </c>
      <c r="TT388" s="321">
        <f t="shared" ca="1" si="105"/>
        <v>532</v>
      </c>
      <c r="TU388" s="321">
        <f t="shared" ca="1" si="105"/>
        <v>533</v>
      </c>
      <c r="TV388" s="321">
        <f t="shared" ca="1" si="105"/>
        <v>534</v>
      </c>
      <c r="TW388" s="321">
        <f t="shared" ca="1" si="105"/>
        <v>535</v>
      </c>
      <c r="TX388" s="321">
        <f t="shared" ca="1" si="105"/>
        <v>536</v>
      </c>
      <c r="TY388" s="321">
        <f t="shared" ca="1" si="105"/>
        <v>537</v>
      </c>
      <c r="TZ388" s="321">
        <f t="shared" ca="1" si="105"/>
        <v>538</v>
      </c>
      <c r="UA388" s="321">
        <f t="shared" ca="1" si="105"/>
        <v>539</v>
      </c>
      <c r="UB388" s="321">
        <f t="shared" ca="1" si="105"/>
        <v>540</v>
      </c>
      <c r="UC388" s="321">
        <f t="shared" ca="1" si="105"/>
        <v>541</v>
      </c>
      <c r="UD388" s="321">
        <f t="shared" ca="1" si="105"/>
        <v>542</v>
      </c>
      <c r="UE388" s="321">
        <f t="shared" ca="1" si="105"/>
        <v>543</v>
      </c>
      <c r="UF388" s="321">
        <f t="shared" ca="1" si="105"/>
        <v>544</v>
      </c>
      <c r="UG388" s="321">
        <f t="shared" ca="1" si="105"/>
        <v>545</v>
      </c>
      <c r="UH388" s="321">
        <f t="shared" ca="1" si="105"/>
        <v>546</v>
      </c>
      <c r="UI388" s="321">
        <f t="shared" ca="1" si="105"/>
        <v>547</v>
      </c>
      <c r="UJ388" s="321">
        <f t="shared" ca="1" si="105"/>
        <v>548</v>
      </c>
      <c r="UK388" s="321">
        <f t="shared" ca="1" si="105"/>
        <v>549</v>
      </c>
      <c r="UL388" s="321">
        <f t="shared" ca="1" si="105"/>
        <v>550</v>
      </c>
      <c r="UM388" s="321">
        <f t="shared" ca="1" si="105"/>
        <v>551</v>
      </c>
      <c r="UN388" s="321">
        <f t="shared" ca="1" si="105"/>
        <v>552</v>
      </c>
      <c r="UO388" s="321">
        <f t="shared" ca="1" si="105"/>
        <v>553</v>
      </c>
      <c r="UP388" s="321">
        <f t="shared" ca="1" si="105"/>
        <v>554</v>
      </c>
      <c r="UQ388" s="321">
        <f t="shared" ca="1" si="105"/>
        <v>555</v>
      </c>
      <c r="UR388" s="321">
        <f t="shared" ca="1" si="105"/>
        <v>556</v>
      </c>
      <c r="US388" s="321">
        <f t="shared" ca="1" si="105"/>
        <v>557</v>
      </c>
      <c r="UT388" s="321">
        <f t="shared" ca="1" si="105"/>
        <v>558</v>
      </c>
      <c r="UU388" s="321">
        <f t="shared" ca="1" si="105"/>
        <v>559</v>
      </c>
      <c r="UV388" s="321">
        <f t="shared" ca="1" si="105"/>
        <v>560</v>
      </c>
      <c r="UW388" s="321">
        <f t="shared" ca="1" si="105"/>
        <v>561</v>
      </c>
      <c r="UX388" s="321">
        <f t="shared" ca="1" si="105"/>
        <v>562</v>
      </c>
      <c r="UY388" s="321">
        <f t="shared" ca="1" si="105"/>
        <v>563</v>
      </c>
      <c r="UZ388" s="321">
        <f t="shared" ca="1" si="105"/>
        <v>564</v>
      </c>
      <c r="VA388" s="321">
        <f t="shared" ca="1" si="105"/>
        <v>565</v>
      </c>
      <c r="VB388" s="321">
        <f t="shared" ca="1" si="105"/>
        <v>566</v>
      </c>
      <c r="VC388" s="321">
        <f t="shared" ca="1" si="105"/>
        <v>567</v>
      </c>
      <c r="VD388" s="321">
        <f t="shared" ca="1" si="105"/>
        <v>568</v>
      </c>
      <c r="VE388" s="321">
        <f t="shared" ca="1" si="105"/>
        <v>569</v>
      </c>
      <c r="VF388" s="321">
        <f t="shared" ca="1" si="105"/>
        <v>570</v>
      </c>
      <c r="VG388" s="321">
        <f t="shared" ca="1" si="105"/>
        <v>571</v>
      </c>
      <c r="VH388" s="321">
        <f t="shared" ca="1" si="105"/>
        <v>572</v>
      </c>
      <c r="VI388" s="321">
        <f t="shared" ca="1" si="105"/>
        <v>573</v>
      </c>
      <c r="VJ388" s="321">
        <f t="shared" ca="1" si="105"/>
        <v>574</v>
      </c>
      <c r="VK388" s="321">
        <f t="shared" ca="1" si="105"/>
        <v>575</v>
      </c>
      <c r="VL388" s="321">
        <f t="shared" ca="1" si="105"/>
        <v>576</v>
      </c>
      <c r="VM388" s="321">
        <f t="shared" ref="VM388:XX388" ca="1" si="106">OFFSET(VM388,0,-1)+1</f>
        <v>577</v>
      </c>
      <c r="VN388" s="321">
        <f t="shared" ca="1" si="106"/>
        <v>578</v>
      </c>
      <c r="VO388" s="321">
        <f t="shared" ca="1" si="106"/>
        <v>579</v>
      </c>
      <c r="VP388" s="321">
        <f t="shared" ca="1" si="106"/>
        <v>580</v>
      </c>
      <c r="VQ388" s="321">
        <f t="shared" ca="1" si="106"/>
        <v>581</v>
      </c>
      <c r="VR388" s="321">
        <f t="shared" ca="1" si="106"/>
        <v>582</v>
      </c>
      <c r="VS388" s="321">
        <f t="shared" ca="1" si="106"/>
        <v>583</v>
      </c>
      <c r="VT388" s="321">
        <f t="shared" ca="1" si="106"/>
        <v>584</v>
      </c>
      <c r="VU388" s="321">
        <f t="shared" ca="1" si="106"/>
        <v>585</v>
      </c>
      <c r="VV388" s="321">
        <f t="shared" ca="1" si="106"/>
        <v>586</v>
      </c>
      <c r="VW388" s="321">
        <f t="shared" ca="1" si="106"/>
        <v>587</v>
      </c>
      <c r="VX388" s="321">
        <f t="shared" ca="1" si="106"/>
        <v>588</v>
      </c>
      <c r="VY388" s="321">
        <f t="shared" ca="1" si="106"/>
        <v>589</v>
      </c>
      <c r="VZ388" s="321">
        <f t="shared" ca="1" si="106"/>
        <v>590</v>
      </c>
      <c r="WA388" s="321">
        <f t="shared" ca="1" si="106"/>
        <v>591</v>
      </c>
      <c r="WB388" s="321">
        <f t="shared" ca="1" si="106"/>
        <v>592</v>
      </c>
      <c r="WC388" s="321">
        <f t="shared" ca="1" si="106"/>
        <v>593</v>
      </c>
      <c r="WD388" s="321">
        <f t="shared" ca="1" si="106"/>
        <v>594</v>
      </c>
      <c r="WE388" s="321">
        <f t="shared" ca="1" si="106"/>
        <v>595</v>
      </c>
      <c r="WF388" s="321">
        <f t="shared" ca="1" si="106"/>
        <v>596</v>
      </c>
      <c r="WG388" s="321">
        <f t="shared" ca="1" si="106"/>
        <v>597</v>
      </c>
      <c r="WH388" s="321">
        <f t="shared" ca="1" si="106"/>
        <v>598</v>
      </c>
      <c r="WI388" s="321">
        <f t="shared" ca="1" si="106"/>
        <v>599</v>
      </c>
      <c r="WJ388" s="321">
        <f t="shared" ca="1" si="106"/>
        <v>600</v>
      </c>
      <c r="WK388" s="321">
        <f t="shared" ca="1" si="106"/>
        <v>601</v>
      </c>
      <c r="WL388" s="321">
        <f t="shared" ca="1" si="106"/>
        <v>602</v>
      </c>
      <c r="WM388" s="321">
        <f t="shared" ca="1" si="106"/>
        <v>603</v>
      </c>
      <c r="WN388" s="321">
        <f t="shared" ca="1" si="106"/>
        <v>604</v>
      </c>
      <c r="WO388" s="321">
        <f t="shared" ca="1" si="106"/>
        <v>605</v>
      </c>
      <c r="WP388" s="321">
        <f t="shared" ca="1" si="106"/>
        <v>606</v>
      </c>
      <c r="WQ388" s="321">
        <f t="shared" ca="1" si="106"/>
        <v>607</v>
      </c>
      <c r="WR388" s="321">
        <f t="shared" ca="1" si="106"/>
        <v>608</v>
      </c>
      <c r="WS388" s="321">
        <f t="shared" ca="1" si="106"/>
        <v>609</v>
      </c>
      <c r="WT388" s="321">
        <f t="shared" ca="1" si="106"/>
        <v>610</v>
      </c>
      <c r="WU388" s="321">
        <f t="shared" ca="1" si="106"/>
        <v>611</v>
      </c>
      <c r="WV388" s="321">
        <f t="shared" ca="1" si="106"/>
        <v>612</v>
      </c>
      <c r="WW388" s="321">
        <f t="shared" ca="1" si="106"/>
        <v>613</v>
      </c>
      <c r="WX388" s="321">
        <f t="shared" ca="1" si="106"/>
        <v>614</v>
      </c>
      <c r="WY388" s="321">
        <f t="shared" ca="1" si="106"/>
        <v>615</v>
      </c>
      <c r="WZ388" s="321">
        <f t="shared" ca="1" si="106"/>
        <v>616</v>
      </c>
      <c r="XA388" s="321">
        <f t="shared" ca="1" si="106"/>
        <v>617</v>
      </c>
      <c r="XB388" s="321">
        <f t="shared" ca="1" si="106"/>
        <v>618</v>
      </c>
      <c r="XC388" s="321">
        <f t="shared" ca="1" si="106"/>
        <v>619</v>
      </c>
      <c r="XD388" s="321">
        <f t="shared" ca="1" si="106"/>
        <v>620</v>
      </c>
      <c r="XE388" s="321">
        <f t="shared" ca="1" si="106"/>
        <v>621</v>
      </c>
      <c r="XF388" s="321">
        <f t="shared" ca="1" si="106"/>
        <v>622</v>
      </c>
      <c r="XG388" s="321">
        <f t="shared" ca="1" si="106"/>
        <v>623</v>
      </c>
      <c r="XH388" s="321">
        <f t="shared" ca="1" si="106"/>
        <v>624</v>
      </c>
      <c r="XI388" s="321">
        <f t="shared" ca="1" si="106"/>
        <v>625</v>
      </c>
      <c r="XJ388" s="321">
        <f t="shared" ca="1" si="106"/>
        <v>626</v>
      </c>
      <c r="XK388" s="321">
        <f t="shared" ca="1" si="106"/>
        <v>627</v>
      </c>
      <c r="XL388" s="321">
        <f t="shared" ca="1" si="106"/>
        <v>628</v>
      </c>
      <c r="XM388" s="321">
        <f t="shared" ca="1" si="106"/>
        <v>629</v>
      </c>
      <c r="XN388" s="321">
        <f t="shared" ca="1" si="106"/>
        <v>630</v>
      </c>
      <c r="XO388" s="321">
        <f t="shared" ca="1" si="106"/>
        <v>631</v>
      </c>
      <c r="XP388" s="321">
        <f t="shared" ca="1" si="106"/>
        <v>632</v>
      </c>
      <c r="XQ388" s="321">
        <f t="shared" ca="1" si="106"/>
        <v>633</v>
      </c>
      <c r="XR388" s="321">
        <f t="shared" ca="1" si="106"/>
        <v>634</v>
      </c>
      <c r="XS388" s="321">
        <f t="shared" ca="1" si="106"/>
        <v>635</v>
      </c>
      <c r="XT388" s="321">
        <f t="shared" ca="1" si="106"/>
        <v>636</v>
      </c>
      <c r="XU388" s="321">
        <f t="shared" ca="1" si="106"/>
        <v>637</v>
      </c>
      <c r="XV388" s="321">
        <f t="shared" ca="1" si="106"/>
        <v>638</v>
      </c>
      <c r="XW388" s="321">
        <f t="shared" ca="1" si="106"/>
        <v>639</v>
      </c>
      <c r="XX388" s="321">
        <f t="shared" ca="1" si="106"/>
        <v>640</v>
      </c>
      <c r="XY388" s="321">
        <f t="shared" ref="XY388:AHR388" ca="1" si="107">OFFSET(XY388,0,-1)+1</f>
        <v>641</v>
      </c>
      <c r="XZ388" s="321">
        <f t="shared" ca="1" si="107"/>
        <v>642</v>
      </c>
      <c r="YA388" s="321">
        <f t="shared" ca="1" si="107"/>
        <v>643</v>
      </c>
      <c r="YB388" s="321">
        <f t="shared" ca="1" si="107"/>
        <v>644</v>
      </c>
      <c r="YC388" s="321">
        <f t="shared" ca="1" si="107"/>
        <v>645</v>
      </c>
      <c r="YD388" s="321">
        <f t="shared" ca="1" si="107"/>
        <v>646</v>
      </c>
      <c r="YE388" s="321">
        <f t="shared" ca="1" si="107"/>
        <v>647</v>
      </c>
      <c r="YF388" s="321">
        <f t="shared" ca="1" si="107"/>
        <v>648</v>
      </c>
      <c r="YG388" s="321">
        <f t="shared" ca="1" si="107"/>
        <v>649</v>
      </c>
      <c r="YH388" s="321">
        <f t="shared" ca="1" si="107"/>
        <v>650</v>
      </c>
      <c r="YI388" s="321">
        <f t="shared" ca="1" si="107"/>
        <v>651</v>
      </c>
      <c r="YJ388" s="321">
        <f t="shared" ca="1" si="107"/>
        <v>652</v>
      </c>
      <c r="YK388" s="321">
        <f t="shared" ca="1" si="107"/>
        <v>653</v>
      </c>
      <c r="YL388" s="321">
        <f t="shared" ca="1" si="107"/>
        <v>654</v>
      </c>
      <c r="YM388" s="321">
        <f t="shared" ca="1" si="107"/>
        <v>655</v>
      </c>
      <c r="YN388" s="321">
        <f t="shared" ca="1" si="107"/>
        <v>656</v>
      </c>
      <c r="YO388" s="321">
        <f t="shared" ca="1" si="107"/>
        <v>657</v>
      </c>
      <c r="YP388" s="321">
        <f t="shared" ca="1" si="107"/>
        <v>658</v>
      </c>
      <c r="YQ388" s="321">
        <f t="shared" ca="1" si="107"/>
        <v>659</v>
      </c>
      <c r="YR388" s="321">
        <f t="shared" ca="1" si="107"/>
        <v>660</v>
      </c>
      <c r="YS388" s="321">
        <f t="shared" ca="1" si="107"/>
        <v>661</v>
      </c>
      <c r="YT388" s="321">
        <f t="shared" ca="1" si="107"/>
        <v>662</v>
      </c>
      <c r="YU388" s="321">
        <f t="shared" ca="1" si="107"/>
        <v>663</v>
      </c>
      <c r="YV388" s="321">
        <f t="shared" ca="1" si="107"/>
        <v>664</v>
      </c>
      <c r="YW388" s="321">
        <f t="shared" ca="1" si="107"/>
        <v>665</v>
      </c>
      <c r="YX388" s="321">
        <f t="shared" ca="1" si="107"/>
        <v>666</v>
      </c>
      <c r="YY388" s="321">
        <f t="shared" ca="1" si="107"/>
        <v>667</v>
      </c>
      <c r="YZ388" s="321">
        <f t="shared" ca="1" si="107"/>
        <v>668</v>
      </c>
      <c r="ZA388" s="321">
        <f t="shared" ca="1" si="107"/>
        <v>669</v>
      </c>
      <c r="ZB388" s="321">
        <f t="shared" ca="1" si="107"/>
        <v>670</v>
      </c>
      <c r="ZC388" s="321">
        <f t="shared" ca="1" si="107"/>
        <v>671</v>
      </c>
      <c r="ZD388" s="321">
        <f t="shared" ca="1" si="107"/>
        <v>672</v>
      </c>
      <c r="ZE388" s="321">
        <f t="shared" ca="1" si="107"/>
        <v>673</v>
      </c>
      <c r="ZF388" s="321">
        <f t="shared" ca="1" si="107"/>
        <v>674</v>
      </c>
      <c r="ZG388" s="321">
        <f t="shared" ca="1" si="107"/>
        <v>675</v>
      </c>
      <c r="ZH388" s="321">
        <f t="shared" ca="1" si="107"/>
        <v>676</v>
      </c>
      <c r="ZI388" s="321">
        <f t="shared" ca="1" si="107"/>
        <v>677</v>
      </c>
      <c r="ZJ388" s="321">
        <f t="shared" ca="1" si="107"/>
        <v>678</v>
      </c>
      <c r="ZK388" s="321">
        <f t="shared" ca="1" si="107"/>
        <v>679</v>
      </c>
      <c r="ZL388" s="321">
        <f t="shared" ca="1" si="107"/>
        <v>680</v>
      </c>
      <c r="ZM388" s="321">
        <f t="shared" ca="1" si="107"/>
        <v>681</v>
      </c>
      <c r="ZN388" s="321">
        <f t="shared" ca="1" si="107"/>
        <v>682</v>
      </c>
      <c r="ZO388" s="321">
        <f t="shared" ca="1" si="107"/>
        <v>683</v>
      </c>
      <c r="ZP388" s="321">
        <f t="shared" ca="1" si="107"/>
        <v>684</v>
      </c>
      <c r="ZQ388" s="321">
        <f t="shared" ca="1" si="107"/>
        <v>685</v>
      </c>
      <c r="ZR388" s="321">
        <f t="shared" ca="1" si="107"/>
        <v>686</v>
      </c>
      <c r="ZS388" s="321">
        <f t="shared" ca="1" si="107"/>
        <v>687</v>
      </c>
      <c r="ZT388" s="321">
        <f t="shared" ca="1" si="107"/>
        <v>688</v>
      </c>
      <c r="ZU388" s="321">
        <f t="shared" ca="1" si="107"/>
        <v>689</v>
      </c>
      <c r="ZV388" s="321">
        <f t="shared" ca="1" si="107"/>
        <v>690</v>
      </c>
      <c r="ZW388" s="321">
        <f t="shared" ca="1" si="107"/>
        <v>691</v>
      </c>
      <c r="ZX388" s="321">
        <f t="shared" ca="1" si="107"/>
        <v>692</v>
      </c>
      <c r="ZY388" s="321">
        <f t="shared" ca="1" si="107"/>
        <v>693</v>
      </c>
      <c r="ZZ388" s="321">
        <f t="shared" ca="1" si="107"/>
        <v>694</v>
      </c>
      <c r="AAA388" s="321">
        <f t="shared" ca="1" si="107"/>
        <v>695</v>
      </c>
      <c r="AAB388" s="321">
        <f t="shared" ca="1" si="107"/>
        <v>696</v>
      </c>
      <c r="AAC388" s="321">
        <f t="shared" ca="1" si="107"/>
        <v>697</v>
      </c>
      <c r="AAD388" s="321">
        <f t="shared" ca="1" si="107"/>
        <v>698</v>
      </c>
      <c r="AAE388" s="321">
        <f t="shared" ca="1" si="107"/>
        <v>699</v>
      </c>
      <c r="AAF388" s="321">
        <f t="shared" ca="1" si="107"/>
        <v>700</v>
      </c>
      <c r="AAG388" s="321">
        <f t="shared" ca="1" si="107"/>
        <v>701</v>
      </c>
      <c r="AAH388" s="321">
        <f t="shared" ca="1" si="107"/>
        <v>702</v>
      </c>
      <c r="AAI388" s="321">
        <f t="shared" ca="1" si="107"/>
        <v>703</v>
      </c>
      <c r="AAJ388" s="321">
        <f t="shared" ca="1" si="107"/>
        <v>704</v>
      </c>
      <c r="AAK388" s="321">
        <f t="shared" ca="1" si="107"/>
        <v>705</v>
      </c>
      <c r="AAL388" s="321">
        <f t="shared" ca="1" si="107"/>
        <v>706</v>
      </c>
      <c r="AAM388" s="321">
        <f t="shared" ca="1" si="107"/>
        <v>707</v>
      </c>
      <c r="AAN388" s="321">
        <f t="shared" ca="1" si="107"/>
        <v>708</v>
      </c>
      <c r="AAO388" s="321">
        <f t="shared" ca="1" si="107"/>
        <v>709</v>
      </c>
      <c r="AAP388" s="321">
        <f t="shared" ca="1" si="107"/>
        <v>710</v>
      </c>
      <c r="AAQ388" s="321">
        <f t="shared" ca="1" si="107"/>
        <v>711</v>
      </c>
      <c r="AAR388" s="321">
        <f t="shared" ca="1" si="107"/>
        <v>712</v>
      </c>
      <c r="AAS388" s="321">
        <f t="shared" ca="1" si="107"/>
        <v>713</v>
      </c>
      <c r="AAT388" s="321">
        <f t="shared" ca="1" si="107"/>
        <v>714</v>
      </c>
      <c r="AAU388" s="321">
        <f t="shared" ca="1" si="107"/>
        <v>715</v>
      </c>
      <c r="AAV388" s="321">
        <f t="shared" ca="1" si="107"/>
        <v>716</v>
      </c>
      <c r="AAW388" s="321">
        <f t="shared" ca="1" si="107"/>
        <v>717</v>
      </c>
      <c r="AAX388" s="321">
        <f t="shared" ca="1" si="107"/>
        <v>718</v>
      </c>
      <c r="AAY388" s="321">
        <f t="shared" ca="1" si="107"/>
        <v>719</v>
      </c>
      <c r="AAZ388" s="321">
        <f t="shared" ca="1" si="107"/>
        <v>720</v>
      </c>
      <c r="ABA388" s="321">
        <f t="shared" ca="1" si="107"/>
        <v>721</v>
      </c>
      <c r="ABB388" s="321">
        <f t="shared" ca="1" si="107"/>
        <v>722</v>
      </c>
      <c r="ABC388" s="321">
        <f t="shared" ca="1" si="107"/>
        <v>723</v>
      </c>
      <c r="ABD388" s="321">
        <f t="shared" ca="1" si="107"/>
        <v>724</v>
      </c>
      <c r="ABE388" s="321">
        <f t="shared" ca="1" si="107"/>
        <v>725</v>
      </c>
      <c r="ABF388" s="321">
        <f t="shared" ca="1" si="107"/>
        <v>726</v>
      </c>
      <c r="ABG388" s="321">
        <f t="shared" ca="1" si="107"/>
        <v>727</v>
      </c>
      <c r="ABH388" s="321">
        <f t="shared" ca="1" si="107"/>
        <v>728</v>
      </c>
      <c r="ABI388" s="321">
        <f t="shared" ca="1" si="107"/>
        <v>729</v>
      </c>
      <c r="ABJ388" s="321">
        <f t="shared" ca="1" si="107"/>
        <v>730</v>
      </c>
      <c r="ABK388" s="321">
        <f t="shared" ca="1" si="107"/>
        <v>731</v>
      </c>
      <c r="ABL388" s="321">
        <f t="shared" ca="1" si="107"/>
        <v>732</v>
      </c>
      <c r="ABM388" s="321">
        <f t="shared" ca="1" si="107"/>
        <v>733</v>
      </c>
      <c r="ABN388" s="321">
        <f t="shared" ca="1" si="107"/>
        <v>734</v>
      </c>
      <c r="ABO388" s="321">
        <f t="shared" ca="1" si="107"/>
        <v>735</v>
      </c>
      <c r="ABP388" s="321">
        <f t="shared" ca="1" si="107"/>
        <v>736</v>
      </c>
      <c r="ABQ388" s="321">
        <f t="shared" ca="1" si="107"/>
        <v>737</v>
      </c>
      <c r="ABR388" s="321">
        <f t="shared" ca="1" si="107"/>
        <v>738</v>
      </c>
      <c r="ABS388" s="321">
        <f t="shared" ca="1" si="107"/>
        <v>739</v>
      </c>
      <c r="ABT388" s="321">
        <f t="shared" ca="1" si="107"/>
        <v>740</v>
      </c>
      <c r="ABU388" s="321">
        <f t="shared" ca="1" si="107"/>
        <v>741</v>
      </c>
      <c r="ABV388" s="321">
        <f t="shared" ca="1" si="107"/>
        <v>742</v>
      </c>
      <c r="ABW388" s="321">
        <f t="shared" ca="1" si="107"/>
        <v>743</v>
      </c>
      <c r="ABX388" s="321">
        <f t="shared" ca="1" si="107"/>
        <v>744</v>
      </c>
      <c r="ABY388" s="321">
        <f t="shared" ca="1" si="107"/>
        <v>745</v>
      </c>
      <c r="ABZ388" s="321">
        <f t="shared" ca="1" si="107"/>
        <v>746</v>
      </c>
      <c r="ACA388" s="321">
        <f t="shared" ca="1" si="107"/>
        <v>747</v>
      </c>
      <c r="ACB388" s="321">
        <f t="shared" ca="1" si="107"/>
        <v>748</v>
      </c>
      <c r="ACC388" s="321">
        <f t="shared" ca="1" si="107"/>
        <v>749</v>
      </c>
      <c r="ACD388" s="321">
        <f t="shared" ca="1" si="107"/>
        <v>750</v>
      </c>
      <c r="ACE388" s="321">
        <f t="shared" ca="1" si="107"/>
        <v>751</v>
      </c>
      <c r="ACF388" s="321">
        <f t="shared" ca="1" si="107"/>
        <v>752</v>
      </c>
      <c r="ACG388" s="321">
        <f t="shared" ca="1" si="107"/>
        <v>753</v>
      </c>
      <c r="ACH388" s="321">
        <f t="shared" ca="1" si="107"/>
        <v>754</v>
      </c>
      <c r="ACI388" s="321">
        <f t="shared" ca="1" si="107"/>
        <v>755</v>
      </c>
      <c r="ACJ388" s="321">
        <f t="shared" ca="1" si="107"/>
        <v>756</v>
      </c>
      <c r="ACK388" s="321">
        <f t="shared" ca="1" si="107"/>
        <v>757</v>
      </c>
      <c r="ACL388" s="321">
        <f t="shared" ca="1" si="107"/>
        <v>758</v>
      </c>
      <c r="ACM388" s="321">
        <f t="shared" ca="1" si="107"/>
        <v>759</v>
      </c>
      <c r="ACN388" s="321">
        <f t="shared" ca="1" si="107"/>
        <v>760</v>
      </c>
      <c r="ACO388" s="321">
        <f t="shared" ca="1" si="107"/>
        <v>761</v>
      </c>
      <c r="ACP388" s="321">
        <f t="shared" ca="1" si="107"/>
        <v>762</v>
      </c>
      <c r="ACQ388" s="321">
        <f t="shared" ca="1" si="107"/>
        <v>763</v>
      </c>
      <c r="ACR388" s="321">
        <f t="shared" ca="1" si="107"/>
        <v>764</v>
      </c>
      <c r="ACS388" s="321">
        <f t="shared" ca="1" si="107"/>
        <v>765</v>
      </c>
      <c r="ACT388" s="321">
        <f t="shared" ca="1" si="107"/>
        <v>766</v>
      </c>
      <c r="ACU388" s="321">
        <f t="shared" ca="1" si="107"/>
        <v>767</v>
      </c>
      <c r="ACV388" s="321">
        <f t="shared" ca="1" si="107"/>
        <v>768</v>
      </c>
      <c r="ACW388" s="321">
        <f t="shared" ca="1" si="107"/>
        <v>769</v>
      </c>
      <c r="ACX388" s="321">
        <f t="shared" ca="1" si="107"/>
        <v>770</v>
      </c>
      <c r="ACY388" s="321">
        <f t="shared" ca="1" si="107"/>
        <v>771</v>
      </c>
      <c r="ACZ388" s="321">
        <f t="shared" ca="1" si="107"/>
        <v>772</v>
      </c>
      <c r="ADA388" s="321">
        <f t="shared" ca="1" si="107"/>
        <v>773</v>
      </c>
      <c r="ADB388" s="321">
        <f t="shared" ca="1" si="107"/>
        <v>774</v>
      </c>
      <c r="ADC388" s="321">
        <f t="shared" ca="1" si="107"/>
        <v>775</v>
      </c>
      <c r="ADD388" s="321">
        <f t="shared" ca="1" si="107"/>
        <v>776</v>
      </c>
      <c r="ADE388" s="321">
        <f t="shared" ca="1" si="107"/>
        <v>777</v>
      </c>
      <c r="ADF388" s="321">
        <f t="shared" ca="1" si="107"/>
        <v>778</v>
      </c>
      <c r="ADG388" s="321">
        <f t="shared" ca="1" si="107"/>
        <v>779</v>
      </c>
      <c r="ADH388" s="321">
        <f t="shared" ca="1" si="107"/>
        <v>780</v>
      </c>
      <c r="ADI388" s="321">
        <f t="shared" ca="1" si="107"/>
        <v>781</v>
      </c>
      <c r="ADJ388" s="321">
        <f t="shared" ca="1" si="107"/>
        <v>782</v>
      </c>
      <c r="ADK388" s="321">
        <f t="shared" ca="1" si="107"/>
        <v>783</v>
      </c>
      <c r="ADL388" s="321">
        <f t="shared" ca="1" si="107"/>
        <v>784</v>
      </c>
      <c r="ADM388" s="321">
        <f t="shared" ca="1" si="107"/>
        <v>785</v>
      </c>
      <c r="ADN388" s="321">
        <f t="shared" ca="1" si="107"/>
        <v>786</v>
      </c>
      <c r="ADO388" s="321">
        <f t="shared" ca="1" si="107"/>
        <v>787</v>
      </c>
      <c r="ADP388" s="321">
        <f t="shared" ca="1" si="107"/>
        <v>788</v>
      </c>
      <c r="ADQ388" s="321">
        <f t="shared" ca="1" si="107"/>
        <v>789</v>
      </c>
      <c r="ADR388" s="321">
        <f t="shared" ca="1" si="107"/>
        <v>790</v>
      </c>
      <c r="ADS388" s="321">
        <f t="shared" ca="1" si="107"/>
        <v>791</v>
      </c>
      <c r="ADT388" s="321">
        <f t="shared" ca="1" si="107"/>
        <v>792</v>
      </c>
      <c r="ADU388" s="321">
        <f t="shared" ca="1" si="107"/>
        <v>793</v>
      </c>
      <c r="ADV388" s="321">
        <f t="shared" ca="1" si="107"/>
        <v>794</v>
      </c>
      <c r="ADW388" s="321">
        <f t="shared" ca="1" si="107"/>
        <v>795</v>
      </c>
      <c r="ADX388" s="321">
        <f t="shared" ca="1" si="107"/>
        <v>796</v>
      </c>
      <c r="ADY388" s="321">
        <f t="shared" ca="1" si="107"/>
        <v>797</v>
      </c>
      <c r="ADZ388" s="321">
        <f t="shared" ca="1" si="107"/>
        <v>798</v>
      </c>
      <c r="AEA388" s="321">
        <f t="shared" ca="1" si="107"/>
        <v>799</v>
      </c>
      <c r="AEB388" s="321">
        <f t="shared" ca="1" si="107"/>
        <v>800</v>
      </c>
      <c r="AEC388" s="321">
        <f t="shared" ca="1" si="107"/>
        <v>801</v>
      </c>
      <c r="AED388" s="321">
        <f t="shared" ca="1" si="107"/>
        <v>802</v>
      </c>
      <c r="AEE388" s="321">
        <f t="shared" ca="1" si="107"/>
        <v>803</v>
      </c>
      <c r="AEF388" s="321">
        <f t="shared" ca="1" si="107"/>
        <v>804</v>
      </c>
      <c r="AEG388" s="321">
        <f t="shared" ca="1" si="107"/>
        <v>805</v>
      </c>
      <c r="AEH388" s="321">
        <f t="shared" ca="1" si="107"/>
        <v>806</v>
      </c>
      <c r="AEI388" s="321">
        <f t="shared" ca="1" si="107"/>
        <v>807</v>
      </c>
      <c r="AEJ388" s="321">
        <f t="shared" ca="1" si="107"/>
        <v>808</v>
      </c>
      <c r="AEK388" s="321">
        <f t="shared" ca="1" si="107"/>
        <v>809</v>
      </c>
      <c r="AEL388" s="321">
        <f t="shared" ca="1" si="107"/>
        <v>810</v>
      </c>
      <c r="AEM388" s="321">
        <f t="shared" ca="1" si="107"/>
        <v>811</v>
      </c>
      <c r="AEN388" s="321">
        <f t="shared" ca="1" si="107"/>
        <v>812</v>
      </c>
      <c r="AEO388" s="321">
        <f t="shared" ca="1" si="107"/>
        <v>813</v>
      </c>
      <c r="AEP388" s="321">
        <f t="shared" ca="1" si="107"/>
        <v>814</v>
      </c>
      <c r="AEQ388" s="321">
        <f t="shared" ca="1" si="107"/>
        <v>815</v>
      </c>
      <c r="AER388" s="321">
        <f t="shared" ca="1" si="107"/>
        <v>816</v>
      </c>
      <c r="AES388" s="321">
        <f t="shared" ca="1" si="107"/>
        <v>817</v>
      </c>
      <c r="AET388" s="321">
        <f t="shared" ca="1" si="107"/>
        <v>818</v>
      </c>
      <c r="AEU388" s="321">
        <f t="shared" ca="1" si="107"/>
        <v>819</v>
      </c>
      <c r="AEV388" s="321">
        <f t="shared" ca="1" si="107"/>
        <v>820</v>
      </c>
      <c r="AEW388" s="321">
        <f t="shared" ca="1" si="107"/>
        <v>821</v>
      </c>
      <c r="AEX388" s="321">
        <f t="shared" ca="1" si="107"/>
        <v>822</v>
      </c>
      <c r="AEY388" s="321">
        <f t="shared" ca="1" si="107"/>
        <v>823</v>
      </c>
      <c r="AEZ388" s="321">
        <f t="shared" ca="1" si="107"/>
        <v>824</v>
      </c>
      <c r="AFA388" s="321">
        <f t="shared" ca="1" si="107"/>
        <v>825</v>
      </c>
      <c r="AFB388" s="321">
        <f t="shared" ca="1" si="107"/>
        <v>826</v>
      </c>
      <c r="AFC388" s="321">
        <f t="shared" ca="1" si="107"/>
        <v>827</v>
      </c>
      <c r="AFD388" s="321">
        <f t="shared" ca="1" si="107"/>
        <v>828</v>
      </c>
      <c r="AFE388" s="321">
        <f t="shared" ca="1" si="107"/>
        <v>829</v>
      </c>
      <c r="AFF388" s="321">
        <f t="shared" ca="1" si="107"/>
        <v>830</v>
      </c>
      <c r="AFG388" s="321">
        <f t="shared" ca="1" si="107"/>
        <v>831</v>
      </c>
      <c r="AFH388" s="321">
        <f t="shared" ca="1" si="107"/>
        <v>832</v>
      </c>
      <c r="AFI388" s="321">
        <f t="shared" ca="1" si="107"/>
        <v>833</v>
      </c>
      <c r="AFJ388" s="321">
        <f t="shared" ca="1" si="107"/>
        <v>834</v>
      </c>
      <c r="AFK388" s="321">
        <f t="shared" ca="1" si="107"/>
        <v>835</v>
      </c>
      <c r="AFL388" s="321">
        <f t="shared" ca="1" si="107"/>
        <v>836</v>
      </c>
      <c r="AFM388" s="321">
        <f t="shared" ca="1" si="107"/>
        <v>837</v>
      </c>
      <c r="AFN388" s="321">
        <f t="shared" ca="1" si="107"/>
        <v>838</v>
      </c>
      <c r="AFO388" s="321">
        <f t="shared" ca="1" si="107"/>
        <v>839</v>
      </c>
      <c r="AFP388" s="321">
        <f t="shared" ca="1" si="107"/>
        <v>840</v>
      </c>
      <c r="AFQ388" s="321">
        <f t="shared" ca="1" si="107"/>
        <v>841</v>
      </c>
      <c r="AFR388" s="321">
        <f t="shared" ca="1" si="107"/>
        <v>842</v>
      </c>
      <c r="AFS388" s="321">
        <f t="shared" ca="1" si="107"/>
        <v>843</v>
      </c>
      <c r="AFT388" s="321">
        <f t="shared" ca="1" si="107"/>
        <v>844</v>
      </c>
      <c r="AFU388" s="321">
        <f t="shared" ca="1" si="107"/>
        <v>845</v>
      </c>
      <c r="AFV388" s="321">
        <f t="shared" ca="1" si="107"/>
        <v>846</v>
      </c>
      <c r="AFW388" s="321">
        <f t="shared" ca="1" si="107"/>
        <v>847</v>
      </c>
      <c r="AFX388" s="321">
        <f t="shared" ca="1" si="107"/>
        <v>848</v>
      </c>
      <c r="AFY388" s="321">
        <f t="shared" ca="1" si="107"/>
        <v>849</v>
      </c>
      <c r="AFZ388" s="321">
        <f t="shared" ca="1" si="107"/>
        <v>850</v>
      </c>
      <c r="AGA388" s="321">
        <f t="shared" ca="1" si="107"/>
        <v>851</v>
      </c>
      <c r="AGB388" s="321">
        <f t="shared" ca="1" si="107"/>
        <v>852</v>
      </c>
      <c r="AGC388" s="321">
        <f t="shared" ca="1" si="107"/>
        <v>853</v>
      </c>
      <c r="AGD388" s="321">
        <f t="shared" ca="1" si="107"/>
        <v>854</v>
      </c>
      <c r="AGE388" s="321">
        <f t="shared" ca="1" si="107"/>
        <v>855</v>
      </c>
      <c r="AGF388" s="321">
        <f t="shared" ca="1" si="107"/>
        <v>856</v>
      </c>
      <c r="AGG388" s="321">
        <f t="shared" ca="1" si="107"/>
        <v>857</v>
      </c>
      <c r="AGH388" s="321">
        <f t="shared" ca="1" si="107"/>
        <v>858</v>
      </c>
      <c r="AGI388" s="321">
        <f t="shared" ca="1" si="107"/>
        <v>859</v>
      </c>
      <c r="AGJ388" s="321">
        <f t="shared" ca="1" si="107"/>
        <v>860</v>
      </c>
      <c r="AGK388" s="321">
        <f t="shared" ca="1" si="107"/>
        <v>861</v>
      </c>
      <c r="AGL388" s="321">
        <f t="shared" ca="1" si="107"/>
        <v>862</v>
      </c>
      <c r="AGM388" s="321">
        <f t="shared" ca="1" si="107"/>
        <v>863</v>
      </c>
      <c r="AGN388" s="321">
        <f t="shared" ca="1" si="107"/>
        <v>864</v>
      </c>
      <c r="AGO388" s="321">
        <f t="shared" ca="1" si="107"/>
        <v>865</v>
      </c>
      <c r="AGP388" s="321">
        <f t="shared" ca="1" si="107"/>
        <v>866</v>
      </c>
      <c r="AGQ388" s="321">
        <f t="shared" ca="1" si="107"/>
        <v>867</v>
      </c>
      <c r="AGR388" s="321">
        <f t="shared" ca="1" si="107"/>
        <v>868</v>
      </c>
      <c r="AGS388" s="321">
        <f t="shared" ca="1" si="107"/>
        <v>869</v>
      </c>
      <c r="AGT388" s="321">
        <f t="shared" ca="1" si="107"/>
        <v>870</v>
      </c>
      <c r="AGU388" s="321">
        <f t="shared" ca="1" si="107"/>
        <v>871</v>
      </c>
      <c r="AGV388" s="321">
        <f t="shared" ca="1" si="107"/>
        <v>872</v>
      </c>
      <c r="AGW388" s="321">
        <f t="shared" ca="1" si="107"/>
        <v>873</v>
      </c>
      <c r="AGX388" s="321">
        <f t="shared" ca="1" si="107"/>
        <v>874</v>
      </c>
      <c r="AGY388" s="321">
        <f t="shared" ca="1" si="107"/>
        <v>875</v>
      </c>
      <c r="AGZ388" s="321">
        <f t="shared" ca="1" si="107"/>
        <v>876</v>
      </c>
      <c r="AHA388" s="321">
        <f t="shared" ca="1" si="107"/>
        <v>877</v>
      </c>
      <c r="AHB388" s="321">
        <f t="shared" ca="1" si="107"/>
        <v>878</v>
      </c>
      <c r="AHC388" s="321">
        <f t="shared" ca="1" si="107"/>
        <v>879</v>
      </c>
      <c r="AHD388" s="321">
        <f t="shared" ca="1" si="107"/>
        <v>880</v>
      </c>
      <c r="AHE388" s="321">
        <f t="shared" ca="1" si="107"/>
        <v>881</v>
      </c>
      <c r="AHF388" s="321">
        <f t="shared" ca="1" si="107"/>
        <v>882</v>
      </c>
      <c r="AHG388" s="321">
        <f t="shared" ca="1" si="107"/>
        <v>883</v>
      </c>
      <c r="AHH388" s="321">
        <f t="shared" ca="1" si="107"/>
        <v>884</v>
      </c>
      <c r="AHI388" s="321">
        <f t="shared" ca="1" si="107"/>
        <v>885</v>
      </c>
      <c r="AHJ388" s="321">
        <f t="shared" ca="1" si="107"/>
        <v>886</v>
      </c>
      <c r="AHK388" s="321">
        <f t="shared" ca="1" si="107"/>
        <v>887</v>
      </c>
      <c r="AHL388" s="321">
        <f t="shared" ca="1" si="107"/>
        <v>888</v>
      </c>
      <c r="AHM388" s="321">
        <f t="shared" ca="1" si="107"/>
        <v>889</v>
      </c>
      <c r="AHN388" s="321">
        <f t="shared" ca="1" si="107"/>
        <v>890</v>
      </c>
      <c r="AHO388" s="321">
        <f t="shared" ca="1" si="107"/>
        <v>891</v>
      </c>
      <c r="AHP388" s="321">
        <f t="shared" ca="1" si="107"/>
        <v>892</v>
      </c>
      <c r="AHQ388" s="321">
        <f t="shared" ca="1" si="107"/>
        <v>893</v>
      </c>
      <c r="AHR388" s="321">
        <f t="shared" ca="1" si="107"/>
        <v>894</v>
      </c>
      <c r="AHS388" s="321">
        <f t="shared" ref="AHS388:AKD388" ca="1" si="108">OFFSET(AHS388,0,-1)+1</f>
        <v>895</v>
      </c>
      <c r="AHT388" s="321">
        <f t="shared" ca="1" si="108"/>
        <v>896</v>
      </c>
      <c r="AHU388" s="321">
        <f t="shared" ca="1" si="108"/>
        <v>897</v>
      </c>
      <c r="AHV388" s="321">
        <f t="shared" ca="1" si="108"/>
        <v>898</v>
      </c>
      <c r="AHW388" s="321">
        <f t="shared" ca="1" si="108"/>
        <v>899</v>
      </c>
      <c r="AHX388" s="321">
        <f t="shared" ca="1" si="108"/>
        <v>900</v>
      </c>
      <c r="AHY388" s="321">
        <f t="shared" ca="1" si="108"/>
        <v>901</v>
      </c>
      <c r="AHZ388" s="321">
        <f t="shared" ca="1" si="108"/>
        <v>902</v>
      </c>
      <c r="AIA388" s="321">
        <f t="shared" ca="1" si="108"/>
        <v>903</v>
      </c>
      <c r="AIB388" s="321">
        <f t="shared" ca="1" si="108"/>
        <v>904</v>
      </c>
      <c r="AIC388" s="321">
        <f t="shared" ca="1" si="108"/>
        <v>905</v>
      </c>
      <c r="AID388" s="321">
        <f t="shared" ca="1" si="108"/>
        <v>906</v>
      </c>
      <c r="AIE388" s="321">
        <f t="shared" ca="1" si="108"/>
        <v>907</v>
      </c>
      <c r="AIF388" s="321">
        <f t="shared" ca="1" si="108"/>
        <v>908</v>
      </c>
      <c r="AIG388" s="321">
        <f t="shared" ca="1" si="108"/>
        <v>909</v>
      </c>
      <c r="AIH388" s="321">
        <f t="shared" ca="1" si="108"/>
        <v>910</v>
      </c>
      <c r="AII388" s="321">
        <f t="shared" ca="1" si="108"/>
        <v>911</v>
      </c>
      <c r="AIJ388" s="321">
        <f t="shared" ca="1" si="108"/>
        <v>912</v>
      </c>
      <c r="AIK388" s="321">
        <f t="shared" ca="1" si="108"/>
        <v>913</v>
      </c>
      <c r="AIL388" s="321">
        <f t="shared" ca="1" si="108"/>
        <v>914</v>
      </c>
      <c r="AIM388" s="321">
        <f t="shared" ca="1" si="108"/>
        <v>915</v>
      </c>
      <c r="AIN388" s="321">
        <f t="shared" ca="1" si="108"/>
        <v>916</v>
      </c>
      <c r="AIO388" s="321">
        <f t="shared" ca="1" si="108"/>
        <v>917</v>
      </c>
      <c r="AIP388" s="321">
        <f t="shared" ca="1" si="108"/>
        <v>918</v>
      </c>
      <c r="AIQ388" s="321">
        <f t="shared" ca="1" si="108"/>
        <v>919</v>
      </c>
      <c r="AIR388" s="321">
        <f t="shared" ca="1" si="108"/>
        <v>920</v>
      </c>
      <c r="AIS388" s="321">
        <f t="shared" ca="1" si="108"/>
        <v>921</v>
      </c>
      <c r="AIT388" s="321">
        <f t="shared" ca="1" si="108"/>
        <v>922</v>
      </c>
      <c r="AIU388" s="321">
        <f t="shared" ca="1" si="108"/>
        <v>923</v>
      </c>
      <c r="AIV388" s="321">
        <f t="shared" ca="1" si="108"/>
        <v>924</v>
      </c>
      <c r="AIW388" s="321">
        <f t="shared" ca="1" si="108"/>
        <v>925</v>
      </c>
      <c r="AIX388" s="321">
        <f t="shared" ca="1" si="108"/>
        <v>926</v>
      </c>
      <c r="AIY388" s="321">
        <f t="shared" ca="1" si="108"/>
        <v>927</v>
      </c>
      <c r="AIZ388" s="321">
        <f t="shared" ca="1" si="108"/>
        <v>928</v>
      </c>
      <c r="AJA388" s="321">
        <f t="shared" ca="1" si="108"/>
        <v>929</v>
      </c>
      <c r="AJB388" s="321">
        <f t="shared" ca="1" si="108"/>
        <v>930</v>
      </c>
      <c r="AJC388" s="321">
        <f t="shared" ca="1" si="108"/>
        <v>931</v>
      </c>
      <c r="AJD388" s="321">
        <f t="shared" ca="1" si="108"/>
        <v>932</v>
      </c>
      <c r="AJE388" s="321">
        <f t="shared" ca="1" si="108"/>
        <v>933</v>
      </c>
      <c r="AJF388" s="321">
        <f t="shared" ca="1" si="108"/>
        <v>934</v>
      </c>
      <c r="AJG388" s="321">
        <f t="shared" ca="1" si="108"/>
        <v>935</v>
      </c>
      <c r="AJH388" s="321">
        <f t="shared" ca="1" si="108"/>
        <v>936</v>
      </c>
      <c r="AJI388" s="321">
        <f t="shared" ca="1" si="108"/>
        <v>937</v>
      </c>
      <c r="AJJ388" s="321">
        <f t="shared" ca="1" si="108"/>
        <v>938</v>
      </c>
      <c r="AJK388" s="321">
        <f t="shared" ca="1" si="108"/>
        <v>939</v>
      </c>
      <c r="AJL388" s="321">
        <f t="shared" ca="1" si="108"/>
        <v>940</v>
      </c>
      <c r="AJM388" s="321">
        <f t="shared" ca="1" si="108"/>
        <v>941</v>
      </c>
      <c r="AJN388" s="321">
        <f t="shared" ca="1" si="108"/>
        <v>942</v>
      </c>
      <c r="AJO388" s="321">
        <f t="shared" ca="1" si="108"/>
        <v>943</v>
      </c>
      <c r="AJP388" s="321">
        <f t="shared" ca="1" si="108"/>
        <v>944</v>
      </c>
      <c r="AJQ388" s="321">
        <f t="shared" ca="1" si="108"/>
        <v>945</v>
      </c>
      <c r="AJR388" s="321">
        <f t="shared" ca="1" si="108"/>
        <v>946</v>
      </c>
      <c r="AJS388" s="321">
        <f t="shared" ca="1" si="108"/>
        <v>947</v>
      </c>
      <c r="AJT388" s="321">
        <f t="shared" ca="1" si="108"/>
        <v>948</v>
      </c>
      <c r="AJU388" s="321">
        <f t="shared" ca="1" si="108"/>
        <v>949</v>
      </c>
      <c r="AJV388" s="321">
        <f t="shared" ca="1" si="108"/>
        <v>950</v>
      </c>
      <c r="AJW388" s="321">
        <f t="shared" ca="1" si="108"/>
        <v>951</v>
      </c>
      <c r="AJX388" s="321">
        <f t="shared" ca="1" si="108"/>
        <v>952</v>
      </c>
      <c r="AJY388" s="321">
        <f t="shared" ca="1" si="108"/>
        <v>953</v>
      </c>
      <c r="AJZ388" s="321">
        <f t="shared" ca="1" si="108"/>
        <v>954</v>
      </c>
      <c r="AKA388" s="321">
        <f t="shared" ca="1" si="108"/>
        <v>955</v>
      </c>
      <c r="AKB388" s="321">
        <f t="shared" ca="1" si="108"/>
        <v>956</v>
      </c>
      <c r="AKC388" s="321">
        <f t="shared" ca="1" si="108"/>
        <v>957</v>
      </c>
      <c r="AKD388" s="321">
        <f t="shared" ca="1" si="108"/>
        <v>958</v>
      </c>
      <c r="AKE388" s="321">
        <f t="shared" ref="AKE388:AMP388" ca="1" si="109">OFFSET(AKE388,0,-1)+1</f>
        <v>959</v>
      </c>
      <c r="AKF388" s="321">
        <f t="shared" ca="1" si="109"/>
        <v>960</v>
      </c>
      <c r="AKG388" s="321">
        <f t="shared" ca="1" si="109"/>
        <v>961</v>
      </c>
      <c r="AKH388" s="321">
        <f t="shared" ca="1" si="109"/>
        <v>962</v>
      </c>
      <c r="AKI388" s="321">
        <f t="shared" ca="1" si="109"/>
        <v>963</v>
      </c>
      <c r="AKJ388" s="321">
        <f t="shared" ca="1" si="109"/>
        <v>964</v>
      </c>
      <c r="AKK388" s="321">
        <f t="shared" ca="1" si="109"/>
        <v>965</v>
      </c>
      <c r="AKL388" s="321">
        <f t="shared" ca="1" si="109"/>
        <v>966</v>
      </c>
      <c r="AKM388" s="321">
        <f t="shared" ca="1" si="109"/>
        <v>967</v>
      </c>
      <c r="AKN388" s="321">
        <f t="shared" ca="1" si="109"/>
        <v>968</v>
      </c>
      <c r="AKO388" s="321">
        <f t="shared" ca="1" si="109"/>
        <v>969</v>
      </c>
      <c r="AKP388" s="321">
        <f t="shared" ca="1" si="109"/>
        <v>970</v>
      </c>
      <c r="AKQ388" s="321">
        <f t="shared" ca="1" si="109"/>
        <v>971</v>
      </c>
      <c r="AKR388" s="321">
        <f t="shared" ca="1" si="109"/>
        <v>972</v>
      </c>
      <c r="AKS388" s="321">
        <f t="shared" ca="1" si="109"/>
        <v>973</v>
      </c>
      <c r="AKT388" s="321">
        <f t="shared" ca="1" si="109"/>
        <v>974</v>
      </c>
      <c r="AKU388" s="321">
        <f t="shared" ca="1" si="109"/>
        <v>975</v>
      </c>
      <c r="AKV388" s="321">
        <f t="shared" ca="1" si="109"/>
        <v>976</v>
      </c>
      <c r="AKW388" s="321">
        <f t="shared" ca="1" si="109"/>
        <v>977</v>
      </c>
      <c r="AKX388" s="321">
        <f t="shared" ca="1" si="109"/>
        <v>978</v>
      </c>
      <c r="AKY388" s="321">
        <f t="shared" ca="1" si="109"/>
        <v>979</v>
      </c>
      <c r="AKZ388" s="321">
        <f t="shared" ca="1" si="109"/>
        <v>980</v>
      </c>
      <c r="ALA388" s="321">
        <f t="shared" ca="1" si="109"/>
        <v>981</v>
      </c>
      <c r="ALB388" s="321">
        <f t="shared" ca="1" si="109"/>
        <v>982</v>
      </c>
      <c r="ALC388" s="321">
        <f t="shared" ca="1" si="109"/>
        <v>983</v>
      </c>
      <c r="ALD388" s="321">
        <f t="shared" ca="1" si="109"/>
        <v>984</v>
      </c>
      <c r="ALE388" s="321">
        <f t="shared" ca="1" si="109"/>
        <v>985</v>
      </c>
      <c r="ALF388" s="321">
        <f t="shared" ca="1" si="109"/>
        <v>986</v>
      </c>
      <c r="ALG388" s="321">
        <f t="shared" ca="1" si="109"/>
        <v>987</v>
      </c>
      <c r="ALH388" s="321">
        <f t="shared" ca="1" si="109"/>
        <v>988</v>
      </c>
      <c r="ALI388" s="321">
        <f t="shared" ca="1" si="109"/>
        <v>989</v>
      </c>
      <c r="ALJ388" s="321">
        <f t="shared" ca="1" si="109"/>
        <v>990</v>
      </c>
      <c r="ALK388" s="321">
        <f t="shared" ca="1" si="109"/>
        <v>991</v>
      </c>
      <c r="ALL388" s="321">
        <f t="shared" ca="1" si="109"/>
        <v>992</v>
      </c>
      <c r="ALM388" s="321">
        <f t="shared" ca="1" si="109"/>
        <v>993</v>
      </c>
      <c r="ALN388" s="321">
        <f t="shared" ca="1" si="109"/>
        <v>994</v>
      </c>
      <c r="ALO388" s="321">
        <f t="shared" ca="1" si="109"/>
        <v>995</v>
      </c>
      <c r="ALP388" s="321">
        <f t="shared" ca="1" si="109"/>
        <v>996</v>
      </c>
      <c r="ALQ388" s="321">
        <f t="shared" ca="1" si="109"/>
        <v>997</v>
      </c>
      <c r="ALR388" s="321">
        <f t="shared" ca="1" si="109"/>
        <v>998</v>
      </c>
      <c r="ALS388" s="321">
        <f t="shared" ca="1" si="109"/>
        <v>999</v>
      </c>
      <c r="ALT388" s="321">
        <f t="shared" ca="1" si="109"/>
        <v>1000</v>
      </c>
      <c r="ALU388" s="321">
        <f t="shared" ca="1" si="109"/>
        <v>1001</v>
      </c>
      <c r="ALV388" s="321">
        <f t="shared" ca="1" si="109"/>
        <v>1002</v>
      </c>
      <c r="ALW388" s="321">
        <f t="shared" ca="1" si="109"/>
        <v>1003</v>
      </c>
      <c r="ALX388" s="321">
        <f t="shared" ca="1" si="109"/>
        <v>1004</v>
      </c>
      <c r="ALY388" s="321">
        <f t="shared" ca="1" si="109"/>
        <v>1005</v>
      </c>
      <c r="ALZ388" s="321">
        <f t="shared" ca="1" si="109"/>
        <v>1006</v>
      </c>
      <c r="AMA388" s="321">
        <f t="shared" ca="1" si="109"/>
        <v>1007</v>
      </c>
      <c r="AMB388" s="321">
        <f t="shared" ca="1" si="109"/>
        <v>1008</v>
      </c>
      <c r="AMC388" s="321">
        <f t="shared" ca="1" si="109"/>
        <v>1009</v>
      </c>
      <c r="AMD388" s="321">
        <f t="shared" ca="1" si="109"/>
        <v>1010</v>
      </c>
      <c r="AME388" s="321">
        <f t="shared" ca="1" si="109"/>
        <v>1011</v>
      </c>
      <c r="AMF388" s="321">
        <f t="shared" ca="1" si="109"/>
        <v>1012</v>
      </c>
      <c r="AMG388" s="321">
        <f t="shared" ca="1" si="109"/>
        <v>1013</v>
      </c>
      <c r="AMH388" s="321">
        <f t="shared" ca="1" si="109"/>
        <v>1014</v>
      </c>
      <c r="AMI388" s="321">
        <f t="shared" ca="1" si="109"/>
        <v>1015</v>
      </c>
      <c r="AMJ388" s="321">
        <f t="shared" ca="1" si="109"/>
        <v>1016</v>
      </c>
      <c r="AMK388" s="321">
        <f t="shared" ca="1" si="109"/>
        <v>1017</v>
      </c>
      <c r="AML388" s="321">
        <f t="shared" ca="1" si="109"/>
        <v>1018</v>
      </c>
      <c r="AMM388" s="321">
        <f t="shared" ca="1" si="109"/>
        <v>1019</v>
      </c>
      <c r="AMN388" s="321">
        <f t="shared" ca="1" si="109"/>
        <v>1020</v>
      </c>
      <c r="AMO388" s="321">
        <f t="shared" ca="1" si="109"/>
        <v>1021</v>
      </c>
      <c r="AMP388" s="321">
        <f t="shared" ca="1" si="109"/>
        <v>1022</v>
      </c>
      <c r="AMQ388" s="321">
        <f t="shared" ref="AMQ388:AOV388" ca="1" si="110">OFFSET(AMQ388,0,-1)+1</f>
        <v>1023</v>
      </c>
      <c r="AMR388" s="321">
        <f t="shared" ca="1" si="110"/>
        <v>1024</v>
      </c>
      <c r="AMS388" s="321">
        <f t="shared" ca="1" si="110"/>
        <v>1025</v>
      </c>
      <c r="AMT388" s="321">
        <f t="shared" ca="1" si="110"/>
        <v>1026</v>
      </c>
      <c r="AMU388" s="321">
        <f t="shared" ca="1" si="110"/>
        <v>1027</v>
      </c>
      <c r="AMV388" s="321">
        <f t="shared" ca="1" si="110"/>
        <v>1028</v>
      </c>
      <c r="AMW388" s="321">
        <f t="shared" ca="1" si="110"/>
        <v>1029</v>
      </c>
      <c r="AMX388" s="321">
        <f t="shared" ca="1" si="110"/>
        <v>1030</v>
      </c>
      <c r="AMY388" s="321">
        <f t="shared" ca="1" si="110"/>
        <v>1031</v>
      </c>
      <c r="AMZ388" s="321">
        <f t="shared" ca="1" si="110"/>
        <v>1032</v>
      </c>
      <c r="ANA388" s="321">
        <f t="shared" ca="1" si="110"/>
        <v>1033</v>
      </c>
      <c r="ANB388" s="321">
        <f t="shared" ca="1" si="110"/>
        <v>1034</v>
      </c>
      <c r="ANC388" s="321">
        <f t="shared" ca="1" si="110"/>
        <v>1035</v>
      </c>
      <c r="AND388" s="321">
        <f t="shared" ca="1" si="110"/>
        <v>1036</v>
      </c>
      <c r="ANE388" s="321">
        <f t="shared" ca="1" si="110"/>
        <v>1037</v>
      </c>
      <c r="ANF388" s="321">
        <f t="shared" ca="1" si="110"/>
        <v>1038</v>
      </c>
      <c r="ANG388" s="321">
        <f t="shared" ca="1" si="110"/>
        <v>1039</v>
      </c>
      <c r="ANH388" s="321">
        <f t="shared" ca="1" si="110"/>
        <v>1040</v>
      </c>
      <c r="ANI388" s="321">
        <f t="shared" ca="1" si="110"/>
        <v>1041</v>
      </c>
      <c r="ANJ388" s="321">
        <f t="shared" ca="1" si="110"/>
        <v>1042</v>
      </c>
      <c r="ANK388" s="321">
        <f t="shared" ca="1" si="110"/>
        <v>1043</v>
      </c>
      <c r="ANL388" s="321">
        <f t="shared" ca="1" si="110"/>
        <v>1044</v>
      </c>
      <c r="ANM388" s="321">
        <f t="shared" ca="1" si="110"/>
        <v>1045</v>
      </c>
      <c r="ANN388" s="321">
        <f t="shared" ca="1" si="110"/>
        <v>1046</v>
      </c>
      <c r="ANO388" s="321">
        <f t="shared" ca="1" si="110"/>
        <v>1047</v>
      </c>
      <c r="ANP388" s="321">
        <f t="shared" ca="1" si="110"/>
        <v>1048</v>
      </c>
      <c r="ANQ388" s="321">
        <f t="shared" ca="1" si="110"/>
        <v>1049</v>
      </c>
      <c r="ANR388" s="321">
        <f t="shared" ca="1" si="110"/>
        <v>1050</v>
      </c>
      <c r="ANS388" s="321">
        <f t="shared" ca="1" si="110"/>
        <v>1051</v>
      </c>
      <c r="ANT388" s="321">
        <f t="shared" ca="1" si="110"/>
        <v>1052</v>
      </c>
      <c r="ANU388" s="321">
        <f t="shared" ca="1" si="110"/>
        <v>1053</v>
      </c>
      <c r="ANV388" s="321">
        <f t="shared" ca="1" si="110"/>
        <v>1054</v>
      </c>
      <c r="ANW388" s="321">
        <f t="shared" ca="1" si="110"/>
        <v>1055</v>
      </c>
      <c r="ANX388" s="321">
        <f t="shared" ca="1" si="110"/>
        <v>1056</v>
      </c>
      <c r="ANY388" s="321">
        <f t="shared" ca="1" si="110"/>
        <v>1057</v>
      </c>
      <c r="ANZ388" s="321">
        <f t="shared" ca="1" si="110"/>
        <v>1058</v>
      </c>
      <c r="AOA388" s="321">
        <f t="shared" ca="1" si="110"/>
        <v>1059</v>
      </c>
      <c r="AOB388" s="321">
        <f t="shared" ca="1" si="110"/>
        <v>1060</v>
      </c>
      <c r="AOC388" s="321">
        <f t="shared" ca="1" si="110"/>
        <v>1061</v>
      </c>
      <c r="AOD388" s="321">
        <f t="shared" ca="1" si="110"/>
        <v>1062</v>
      </c>
      <c r="AOE388" s="321">
        <f t="shared" ca="1" si="110"/>
        <v>1063</v>
      </c>
      <c r="AOF388" s="321">
        <f t="shared" ca="1" si="110"/>
        <v>1064</v>
      </c>
      <c r="AOG388" s="321">
        <f t="shared" ca="1" si="110"/>
        <v>1065</v>
      </c>
      <c r="AOH388" s="321">
        <f t="shared" ca="1" si="110"/>
        <v>1066</v>
      </c>
      <c r="AOI388" s="321">
        <f t="shared" ca="1" si="110"/>
        <v>1067</v>
      </c>
      <c r="AOJ388" s="321">
        <f t="shared" ca="1" si="110"/>
        <v>1068</v>
      </c>
      <c r="AOK388" s="321">
        <f t="shared" ca="1" si="110"/>
        <v>1069</v>
      </c>
      <c r="AOL388" s="321">
        <f t="shared" ca="1" si="110"/>
        <v>1070</v>
      </c>
      <c r="AOM388" s="321">
        <f t="shared" ca="1" si="110"/>
        <v>1071</v>
      </c>
      <c r="AON388" s="321">
        <f t="shared" ca="1" si="110"/>
        <v>1072</v>
      </c>
      <c r="AOO388" s="321">
        <f t="shared" ca="1" si="110"/>
        <v>1073</v>
      </c>
      <c r="AOP388" s="321">
        <f t="shared" ca="1" si="110"/>
        <v>1074</v>
      </c>
      <c r="AOQ388" s="321">
        <f t="shared" ca="1" si="110"/>
        <v>1075</v>
      </c>
      <c r="AOR388" s="321">
        <f t="shared" ca="1" si="110"/>
        <v>1076</v>
      </c>
      <c r="AOS388" s="321">
        <f t="shared" ca="1" si="110"/>
        <v>1077</v>
      </c>
      <c r="AOT388" s="321">
        <f t="shared" ca="1" si="110"/>
        <v>1078</v>
      </c>
      <c r="AOU388" s="321">
        <f t="shared" ca="1" si="110"/>
        <v>1079</v>
      </c>
      <c r="AOV388" s="321">
        <f t="shared" ca="1" si="110"/>
        <v>1080</v>
      </c>
      <c r="AOW388" s="321"/>
      <c r="AOY388" s="51"/>
      <c r="AOZ388" s="51"/>
      <c r="APA388" s="51"/>
      <c r="APB388" s="51"/>
      <c r="APC388" s="51"/>
      <c r="APD388" s="51"/>
      <c r="APE388" s="51"/>
      <c r="APF388" s="51"/>
      <c r="APG388" s="51"/>
      <c r="APH388" s="51"/>
      <c r="API388" s="51"/>
      <c r="APJ388" s="51"/>
    </row>
    <row r="389" spans="2:1102" hidden="1">
      <c r="B389" s="1000" t="s">
        <v>1053</v>
      </c>
      <c r="C389" s="1000"/>
      <c r="D389" s="836"/>
      <c r="E389" s="462" t="s">
        <v>1169</v>
      </c>
      <c r="F389" s="462"/>
      <c r="G389" s="462" t="s">
        <v>65</v>
      </c>
      <c r="H389" s="462"/>
      <c r="I389" s="875" t="s">
        <v>1119</v>
      </c>
      <c r="J389" s="875" t="s">
        <v>1119</v>
      </c>
      <c r="K389" s="875" t="s">
        <v>1119</v>
      </c>
      <c r="L389" s="875" t="s">
        <v>1119</v>
      </c>
      <c r="M389" s="875" t="s">
        <v>1119</v>
      </c>
      <c r="N389" s="875" t="s">
        <v>1119</v>
      </c>
      <c r="O389" s="875" t="s">
        <v>1119</v>
      </c>
      <c r="P389" s="875" t="s">
        <v>1119</v>
      </c>
      <c r="Q389" s="875" t="s">
        <v>1119</v>
      </c>
      <c r="R389" s="875" t="s">
        <v>1119</v>
      </c>
      <c r="S389" s="875" t="s">
        <v>1119</v>
      </c>
      <c r="T389" s="875" t="s">
        <v>1119</v>
      </c>
      <c r="U389" s="875" t="s">
        <v>1119</v>
      </c>
      <c r="V389" s="875" t="s">
        <v>1119</v>
      </c>
      <c r="W389" s="875" t="s">
        <v>1119</v>
      </c>
      <c r="X389" s="875" t="s">
        <v>1119</v>
      </c>
      <c r="Y389" s="875" t="s">
        <v>1119</v>
      </c>
      <c r="Z389" s="875" t="s">
        <v>1119</v>
      </c>
      <c r="AA389" s="875" t="s">
        <v>1119</v>
      </c>
      <c r="AB389" s="875" t="s">
        <v>1119</v>
      </c>
      <c r="AC389" s="875" t="s">
        <v>1119</v>
      </c>
      <c r="AD389" s="875" t="s">
        <v>1119</v>
      </c>
      <c r="AE389" s="875" t="s">
        <v>1119</v>
      </c>
      <c r="AF389" s="875" t="s">
        <v>1119</v>
      </c>
      <c r="AG389" s="875" t="s">
        <v>1119</v>
      </c>
      <c r="AH389" s="875" t="s">
        <v>1119</v>
      </c>
      <c r="AI389" s="875" t="s">
        <v>1119</v>
      </c>
      <c r="AJ389" s="875" t="s">
        <v>1119</v>
      </c>
      <c r="AK389" s="875" t="s">
        <v>1119</v>
      </c>
      <c r="AL389" s="875" t="s">
        <v>1119</v>
      </c>
      <c r="AM389" s="875" t="s">
        <v>1119</v>
      </c>
      <c r="AN389" s="875" t="s">
        <v>1119</v>
      </c>
      <c r="AO389" s="875" t="s">
        <v>1119</v>
      </c>
      <c r="AP389" s="875" t="s">
        <v>1119</v>
      </c>
      <c r="AQ389" s="875" t="s">
        <v>1119</v>
      </c>
      <c r="AR389" s="875" t="s">
        <v>1119</v>
      </c>
      <c r="AS389" s="875" t="s">
        <v>1119</v>
      </c>
      <c r="AT389" s="875" t="s">
        <v>1119</v>
      </c>
      <c r="AU389" s="875" t="s">
        <v>1119</v>
      </c>
      <c r="AV389" s="875" t="s">
        <v>1119</v>
      </c>
      <c r="AW389" s="875" t="s">
        <v>1119</v>
      </c>
      <c r="AX389" s="875" t="s">
        <v>1119</v>
      </c>
      <c r="AY389" s="875" t="s">
        <v>1119</v>
      </c>
      <c r="AZ389" s="875" t="s">
        <v>1119</v>
      </c>
      <c r="BA389" s="875" t="s">
        <v>1119</v>
      </c>
      <c r="BB389" s="875" t="s">
        <v>1119</v>
      </c>
      <c r="BC389" s="875" t="s">
        <v>1119</v>
      </c>
      <c r="BD389" s="875" t="s">
        <v>1119</v>
      </c>
      <c r="BE389" s="875" t="s">
        <v>1119</v>
      </c>
      <c r="BF389" s="875" t="s">
        <v>1119</v>
      </c>
      <c r="BG389" s="875" t="s">
        <v>1119</v>
      </c>
      <c r="BH389" s="875" t="s">
        <v>1119</v>
      </c>
      <c r="BI389" s="875" t="s">
        <v>1119</v>
      </c>
      <c r="BJ389" s="875" t="s">
        <v>1119</v>
      </c>
      <c r="BK389" s="875" t="s">
        <v>1119</v>
      </c>
      <c r="BL389" s="875" t="s">
        <v>1119</v>
      </c>
      <c r="BM389" s="875" t="s">
        <v>1119</v>
      </c>
      <c r="BN389" s="875" t="s">
        <v>1119</v>
      </c>
      <c r="BO389" s="875" t="s">
        <v>1119</v>
      </c>
      <c r="BP389" s="875" t="s">
        <v>1119</v>
      </c>
      <c r="BQ389" s="875" t="s">
        <v>1119</v>
      </c>
      <c r="BR389" s="875" t="s">
        <v>1119</v>
      </c>
      <c r="BS389" s="875" t="s">
        <v>1119</v>
      </c>
      <c r="BT389" s="875" t="s">
        <v>1119</v>
      </c>
      <c r="BU389" s="875" t="s">
        <v>1119</v>
      </c>
      <c r="BV389" s="875" t="s">
        <v>1119</v>
      </c>
      <c r="BW389" s="875" t="s">
        <v>1119</v>
      </c>
      <c r="BX389" s="875" t="s">
        <v>1119</v>
      </c>
      <c r="BY389" s="875" t="s">
        <v>1119</v>
      </c>
      <c r="BZ389" s="875" t="s">
        <v>1119</v>
      </c>
      <c r="CA389" s="875" t="s">
        <v>1119</v>
      </c>
      <c r="CB389" s="875" t="s">
        <v>1119</v>
      </c>
      <c r="CC389" s="875" t="s">
        <v>1119</v>
      </c>
      <c r="CD389" s="875" t="s">
        <v>1119</v>
      </c>
      <c r="CE389" s="875" t="s">
        <v>1119</v>
      </c>
      <c r="CF389" s="875" t="s">
        <v>1119</v>
      </c>
      <c r="CG389" s="875" t="s">
        <v>1119</v>
      </c>
      <c r="CH389" s="875" t="s">
        <v>1119</v>
      </c>
      <c r="CI389" s="875" t="s">
        <v>1119</v>
      </c>
      <c r="CJ389" s="875" t="s">
        <v>1119</v>
      </c>
      <c r="CK389" s="875" t="s">
        <v>1119</v>
      </c>
      <c r="CL389" s="875" t="s">
        <v>1119</v>
      </c>
      <c r="CM389" s="875" t="s">
        <v>1119</v>
      </c>
      <c r="CN389" s="875" t="s">
        <v>1119</v>
      </c>
      <c r="CO389" s="875" t="s">
        <v>1119</v>
      </c>
      <c r="CP389" s="875" t="s">
        <v>1119</v>
      </c>
      <c r="CQ389" s="875" t="s">
        <v>1119</v>
      </c>
      <c r="CR389" s="875" t="s">
        <v>1119</v>
      </c>
      <c r="CS389" s="875" t="s">
        <v>1119</v>
      </c>
      <c r="CT389" s="875" t="s">
        <v>1119</v>
      </c>
      <c r="CU389" s="875" t="s">
        <v>1119</v>
      </c>
      <c r="CV389" s="875" t="s">
        <v>1119</v>
      </c>
      <c r="CW389" s="875" t="s">
        <v>1119</v>
      </c>
      <c r="CX389" s="875" t="s">
        <v>1119</v>
      </c>
      <c r="CY389" s="875" t="s">
        <v>1119</v>
      </c>
      <c r="CZ389" s="875" t="s">
        <v>1119</v>
      </c>
      <c r="DA389" s="875" t="s">
        <v>1119</v>
      </c>
      <c r="DB389" s="875" t="s">
        <v>1119</v>
      </c>
      <c r="DC389" s="875" t="s">
        <v>1119</v>
      </c>
      <c r="DD389" s="875" t="s">
        <v>1119</v>
      </c>
      <c r="DE389" s="875" t="s">
        <v>1119</v>
      </c>
      <c r="DF389" s="875" t="s">
        <v>1119</v>
      </c>
      <c r="DG389" s="875" t="s">
        <v>1119</v>
      </c>
      <c r="DH389" s="875" t="s">
        <v>1119</v>
      </c>
      <c r="DI389" s="875" t="s">
        <v>1119</v>
      </c>
      <c r="DJ389" s="875" t="s">
        <v>1119</v>
      </c>
      <c r="DK389" s="875" t="s">
        <v>1119</v>
      </c>
      <c r="DL389" s="875" t="s">
        <v>1119</v>
      </c>
      <c r="DM389" s="875" t="s">
        <v>1119</v>
      </c>
      <c r="DN389" s="875" t="s">
        <v>1119</v>
      </c>
      <c r="DO389" s="875" t="s">
        <v>1119</v>
      </c>
      <c r="DP389" s="875" t="s">
        <v>1119</v>
      </c>
      <c r="DQ389" s="875" t="s">
        <v>1119</v>
      </c>
      <c r="DR389" s="875" t="s">
        <v>1119</v>
      </c>
      <c r="DS389" s="875" t="s">
        <v>1119</v>
      </c>
      <c r="DT389" s="875" t="s">
        <v>1119</v>
      </c>
      <c r="DU389" s="875" t="s">
        <v>1119</v>
      </c>
      <c r="DV389" s="875" t="s">
        <v>1119</v>
      </c>
      <c r="DW389" s="875" t="s">
        <v>1119</v>
      </c>
      <c r="DX389" s="875" t="s">
        <v>1119</v>
      </c>
      <c r="DY389" s="875" t="s">
        <v>1119</v>
      </c>
      <c r="DZ389" s="875" t="s">
        <v>1119</v>
      </c>
      <c r="EA389" s="875" t="s">
        <v>1119</v>
      </c>
      <c r="EB389" s="875" t="s">
        <v>1119</v>
      </c>
      <c r="EC389" s="875" t="s">
        <v>1119</v>
      </c>
      <c r="ED389" s="875" t="s">
        <v>1119</v>
      </c>
      <c r="EE389" s="875" t="s">
        <v>1119</v>
      </c>
      <c r="EF389" s="875" t="s">
        <v>1119</v>
      </c>
      <c r="EG389" s="875" t="s">
        <v>1119</v>
      </c>
      <c r="EH389" s="875" t="s">
        <v>1119</v>
      </c>
      <c r="EI389" s="875" t="s">
        <v>1119</v>
      </c>
      <c r="EJ389" s="875" t="s">
        <v>1119</v>
      </c>
      <c r="EK389" s="875" t="s">
        <v>1119</v>
      </c>
      <c r="EL389" s="875" t="s">
        <v>1119</v>
      </c>
      <c r="EM389" s="875" t="s">
        <v>1119</v>
      </c>
      <c r="EN389" s="875" t="s">
        <v>1119</v>
      </c>
      <c r="EO389" s="875" t="s">
        <v>1119</v>
      </c>
      <c r="EP389" s="875" t="s">
        <v>1119</v>
      </c>
      <c r="EQ389" s="875" t="s">
        <v>1119</v>
      </c>
      <c r="ER389" s="875" t="s">
        <v>1119</v>
      </c>
      <c r="ES389" s="875" t="s">
        <v>1119</v>
      </c>
      <c r="ET389" s="875" t="s">
        <v>1119</v>
      </c>
      <c r="EU389" s="875" t="s">
        <v>1119</v>
      </c>
      <c r="EV389" s="875" t="s">
        <v>1119</v>
      </c>
      <c r="EW389" s="875" t="s">
        <v>1119</v>
      </c>
      <c r="EX389" s="875" t="s">
        <v>1119</v>
      </c>
      <c r="EY389" s="875" t="s">
        <v>1119</v>
      </c>
      <c r="EZ389" s="875" t="s">
        <v>1119</v>
      </c>
      <c r="FA389" s="875" t="s">
        <v>1119</v>
      </c>
      <c r="FB389" s="875" t="s">
        <v>1119</v>
      </c>
      <c r="FC389" s="875" t="s">
        <v>1119</v>
      </c>
      <c r="FD389" s="875" t="s">
        <v>1119</v>
      </c>
      <c r="FE389" s="875" t="s">
        <v>1119</v>
      </c>
      <c r="FF389" s="875" t="s">
        <v>1119</v>
      </c>
      <c r="FG389" s="875" t="s">
        <v>1119</v>
      </c>
      <c r="FH389" s="875" t="s">
        <v>1119</v>
      </c>
      <c r="FI389" s="875" t="s">
        <v>1119</v>
      </c>
      <c r="FJ389" s="875" t="s">
        <v>1119</v>
      </c>
      <c r="FK389" s="875" t="s">
        <v>1119</v>
      </c>
      <c r="FL389" s="875" t="s">
        <v>1119</v>
      </c>
      <c r="FM389" s="875" t="s">
        <v>1119</v>
      </c>
      <c r="FN389" s="875" t="s">
        <v>1119</v>
      </c>
      <c r="FO389" s="875" t="s">
        <v>1119</v>
      </c>
      <c r="FP389" s="875" t="s">
        <v>1119</v>
      </c>
      <c r="FQ389" s="875" t="s">
        <v>1119</v>
      </c>
      <c r="FR389" s="875" t="s">
        <v>1119</v>
      </c>
      <c r="FS389" s="875" t="s">
        <v>1119</v>
      </c>
      <c r="FT389" s="875" t="s">
        <v>1119</v>
      </c>
      <c r="FU389" s="875" t="s">
        <v>1119</v>
      </c>
      <c r="FV389" s="875" t="s">
        <v>1119</v>
      </c>
      <c r="FW389" s="875" t="s">
        <v>1119</v>
      </c>
      <c r="FX389" s="875" t="s">
        <v>1119</v>
      </c>
      <c r="FY389" s="875" t="s">
        <v>1119</v>
      </c>
      <c r="FZ389" s="875" t="s">
        <v>1119</v>
      </c>
      <c r="GA389" s="875" t="s">
        <v>1119</v>
      </c>
      <c r="GB389" s="875" t="s">
        <v>1119</v>
      </c>
      <c r="GC389" s="875" t="s">
        <v>1119</v>
      </c>
      <c r="GD389" s="875" t="s">
        <v>1119</v>
      </c>
      <c r="GE389" s="875" t="s">
        <v>1119</v>
      </c>
      <c r="GF389" s="875" t="s">
        <v>1119</v>
      </c>
      <c r="GG389" s="875" t="s">
        <v>1120</v>
      </c>
      <c r="GH389" s="875" t="s">
        <v>1120</v>
      </c>
      <c r="GI389" s="875" t="s">
        <v>1120</v>
      </c>
      <c r="GJ389" s="875" t="s">
        <v>1120</v>
      </c>
      <c r="GK389" s="875" t="s">
        <v>1120</v>
      </c>
      <c r="GL389" s="875" t="s">
        <v>1120</v>
      </c>
      <c r="GM389" s="875" t="s">
        <v>1120</v>
      </c>
      <c r="GN389" s="875" t="s">
        <v>1120</v>
      </c>
      <c r="GO389" s="875" t="s">
        <v>1120</v>
      </c>
      <c r="GP389" s="875" t="s">
        <v>1120</v>
      </c>
      <c r="GQ389" s="875" t="s">
        <v>1120</v>
      </c>
      <c r="GR389" s="875" t="s">
        <v>1120</v>
      </c>
      <c r="GS389" s="875" t="s">
        <v>1120</v>
      </c>
      <c r="GT389" s="875" t="s">
        <v>1120</v>
      </c>
      <c r="GU389" s="875" t="s">
        <v>1120</v>
      </c>
      <c r="GV389" s="875" t="s">
        <v>1120</v>
      </c>
      <c r="GW389" s="875" t="s">
        <v>1120</v>
      </c>
      <c r="GX389" s="875" t="s">
        <v>1120</v>
      </c>
      <c r="GY389" s="875" t="s">
        <v>1120</v>
      </c>
      <c r="GZ389" s="875" t="s">
        <v>1120</v>
      </c>
      <c r="HA389" s="875" t="s">
        <v>1120</v>
      </c>
      <c r="HB389" s="875" t="s">
        <v>1120</v>
      </c>
      <c r="HC389" s="875" t="s">
        <v>1120</v>
      </c>
      <c r="HD389" s="875" t="s">
        <v>1120</v>
      </c>
      <c r="HE389" s="875" t="s">
        <v>1120</v>
      </c>
      <c r="HF389" s="875" t="s">
        <v>1120</v>
      </c>
      <c r="HG389" s="875" t="s">
        <v>1120</v>
      </c>
      <c r="HH389" s="875" t="s">
        <v>1120</v>
      </c>
      <c r="HI389" s="875" t="s">
        <v>1120</v>
      </c>
      <c r="HJ389" s="875" t="s">
        <v>1120</v>
      </c>
      <c r="HK389" s="875" t="s">
        <v>1120</v>
      </c>
      <c r="HL389" s="875" t="s">
        <v>1120</v>
      </c>
      <c r="HM389" s="875" t="s">
        <v>1120</v>
      </c>
      <c r="HN389" s="875" t="s">
        <v>1120</v>
      </c>
      <c r="HO389" s="875" t="s">
        <v>1120</v>
      </c>
      <c r="HP389" s="875" t="s">
        <v>1120</v>
      </c>
      <c r="HQ389" s="875" t="s">
        <v>1120</v>
      </c>
      <c r="HR389" s="875" t="s">
        <v>1120</v>
      </c>
      <c r="HS389" s="875" t="s">
        <v>1120</v>
      </c>
      <c r="HT389" s="875" t="s">
        <v>1120</v>
      </c>
      <c r="HU389" s="875" t="s">
        <v>1120</v>
      </c>
      <c r="HV389" s="875" t="s">
        <v>1120</v>
      </c>
      <c r="HW389" s="875" t="s">
        <v>1120</v>
      </c>
      <c r="HX389" s="875" t="s">
        <v>1120</v>
      </c>
      <c r="HY389" s="875" t="s">
        <v>1120</v>
      </c>
      <c r="HZ389" s="875" t="s">
        <v>1120</v>
      </c>
      <c r="IA389" s="875" t="s">
        <v>1120</v>
      </c>
      <c r="IB389" s="875" t="s">
        <v>1120</v>
      </c>
      <c r="IC389" s="875" t="s">
        <v>1120</v>
      </c>
      <c r="ID389" s="875" t="s">
        <v>1120</v>
      </c>
      <c r="IE389" s="875" t="s">
        <v>1120</v>
      </c>
      <c r="IF389" s="875" t="s">
        <v>1120</v>
      </c>
      <c r="IG389" s="875" t="s">
        <v>1120</v>
      </c>
      <c r="IH389" s="875" t="s">
        <v>1120</v>
      </c>
      <c r="II389" s="875" t="s">
        <v>1120</v>
      </c>
      <c r="IJ389" s="875" t="s">
        <v>1120</v>
      </c>
      <c r="IK389" s="875" t="s">
        <v>1120</v>
      </c>
      <c r="IL389" s="875" t="s">
        <v>1120</v>
      </c>
      <c r="IM389" s="875" t="s">
        <v>1120</v>
      </c>
      <c r="IN389" s="875" t="s">
        <v>1120</v>
      </c>
      <c r="IO389" s="875" t="s">
        <v>1120</v>
      </c>
      <c r="IP389" s="875" t="s">
        <v>1120</v>
      </c>
      <c r="IQ389" s="875" t="s">
        <v>1120</v>
      </c>
      <c r="IR389" s="875" t="s">
        <v>1120</v>
      </c>
      <c r="IS389" s="875" t="s">
        <v>1120</v>
      </c>
      <c r="IT389" s="875" t="s">
        <v>1120</v>
      </c>
      <c r="IU389" s="875" t="s">
        <v>1120</v>
      </c>
      <c r="IV389" s="875" t="s">
        <v>1120</v>
      </c>
      <c r="IW389" s="875" t="s">
        <v>1120</v>
      </c>
      <c r="IX389" s="875" t="s">
        <v>1120</v>
      </c>
      <c r="IY389" s="875" t="s">
        <v>1120</v>
      </c>
      <c r="IZ389" s="875" t="s">
        <v>1120</v>
      </c>
      <c r="JA389" s="875" t="s">
        <v>1120</v>
      </c>
      <c r="JB389" s="875" t="s">
        <v>1120</v>
      </c>
      <c r="JC389" s="875" t="s">
        <v>1120</v>
      </c>
      <c r="JD389" s="875" t="s">
        <v>1120</v>
      </c>
      <c r="JE389" s="875" t="s">
        <v>1120</v>
      </c>
      <c r="JF389" s="875" t="s">
        <v>1120</v>
      </c>
      <c r="JG389" s="875" t="s">
        <v>1120</v>
      </c>
      <c r="JH389" s="875" t="s">
        <v>1120</v>
      </c>
      <c r="JI389" s="875" t="s">
        <v>1120</v>
      </c>
      <c r="JJ389" s="875" t="s">
        <v>1120</v>
      </c>
      <c r="JK389" s="875" t="s">
        <v>1120</v>
      </c>
      <c r="JL389" s="875" t="s">
        <v>1120</v>
      </c>
      <c r="JM389" s="875" t="s">
        <v>1120</v>
      </c>
      <c r="JN389" s="875" t="s">
        <v>1120</v>
      </c>
      <c r="JO389" s="875" t="s">
        <v>1120</v>
      </c>
      <c r="JP389" s="875" t="s">
        <v>1120</v>
      </c>
      <c r="JQ389" s="875" t="s">
        <v>1120</v>
      </c>
      <c r="JR389" s="875" t="s">
        <v>1120</v>
      </c>
      <c r="JS389" s="875" t="s">
        <v>1120</v>
      </c>
      <c r="JT389" s="875" t="s">
        <v>1120</v>
      </c>
      <c r="JU389" s="875" t="s">
        <v>1120</v>
      </c>
      <c r="JV389" s="875" t="s">
        <v>1120</v>
      </c>
      <c r="JW389" s="875" t="s">
        <v>1120</v>
      </c>
      <c r="JX389" s="875" t="s">
        <v>1120</v>
      </c>
      <c r="JY389" s="875" t="s">
        <v>1120</v>
      </c>
      <c r="JZ389" s="875" t="s">
        <v>1120</v>
      </c>
      <c r="KA389" s="875" t="s">
        <v>1120</v>
      </c>
      <c r="KB389" s="875" t="s">
        <v>1120</v>
      </c>
      <c r="KC389" s="875" t="s">
        <v>1120</v>
      </c>
      <c r="KD389" s="875" t="s">
        <v>1120</v>
      </c>
      <c r="KE389" s="875" t="s">
        <v>1120</v>
      </c>
      <c r="KF389" s="875" t="s">
        <v>1120</v>
      </c>
      <c r="KG389" s="875" t="s">
        <v>1120</v>
      </c>
      <c r="KH389" s="875" t="s">
        <v>1120</v>
      </c>
      <c r="KI389" s="875" t="s">
        <v>1120</v>
      </c>
      <c r="KJ389" s="875" t="s">
        <v>1120</v>
      </c>
      <c r="KK389" s="875" t="s">
        <v>1120</v>
      </c>
      <c r="KL389" s="875" t="s">
        <v>1120</v>
      </c>
      <c r="KM389" s="875" t="s">
        <v>1120</v>
      </c>
      <c r="KN389" s="875" t="s">
        <v>1120</v>
      </c>
      <c r="KO389" s="875" t="s">
        <v>1120</v>
      </c>
      <c r="KP389" s="875" t="s">
        <v>1120</v>
      </c>
      <c r="KQ389" s="875" t="s">
        <v>1120</v>
      </c>
      <c r="KR389" s="875" t="s">
        <v>1120</v>
      </c>
      <c r="KS389" s="875" t="s">
        <v>1120</v>
      </c>
      <c r="KT389" s="875" t="s">
        <v>1120</v>
      </c>
      <c r="KU389" s="875" t="s">
        <v>1120</v>
      </c>
      <c r="KV389" s="875" t="s">
        <v>1120</v>
      </c>
      <c r="KW389" s="875" t="s">
        <v>1120</v>
      </c>
      <c r="KX389" s="875" t="s">
        <v>1120</v>
      </c>
      <c r="KY389" s="875" t="s">
        <v>1120</v>
      </c>
      <c r="KZ389" s="875" t="s">
        <v>1120</v>
      </c>
      <c r="LA389" s="875" t="s">
        <v>1120</v>
      </c>
      <c r="LB389" s="875" t="s">
        <v>1120</v>
      </c>
      <c r="LC389" s="875" t="s">
        <v>1120</v>
      </c>
      <c r="LD389" s="875" t="s">
        <v>1120</v>
      </c>
      <c r="LE389" s="875" t="s">
        <v>1120</v>
      </c>
      <c r="LF389" s="875" t="s">
        <v>1120</v>
      </c>
      <c r="LG389" s="875" t="s">
        <v>1120</v>
      </c>
      <c r="LH389" s="875" t="s">
        <v>1120</v>
      </c>
      <c r="LI389" s="875" t="s">
        <v>1120</v>
      </c>
      <c r="LJ389" s="875" t="s">
        <v>1120</v>
      </c>
      <c r="LK389" s="875" t="s">
        <v>1120</v>
      </c>
      <c r="LL389" s="875" t="s">
        <v>1120</v>
      </c>
      <c r="LM389" s="875" t="s">
        <v>1120</v>
      </c>
      <c r="LN389" s="875" t="s">
        <v>1120</v>
      </c>
      <c r="LO389" s="875" t="s">
        <v>1120</v>
      </c>
      <c r="LP389" s="875" t="s">
        <v>1120</v>
      </c>
      <c r="LQ389" s="875" t="s">
        <v>1120</v>
      </c>
      <c r="LR389" s="875" t="s">
        <v>1120</v>
      </c>
      <c r="LS389" s="875" t="s">
        <v>1120</v>
      </c>
      <c r="LT389" s="875" t="s">
        <v>1120</v>
      </c>
      <c r="LU389" s="875" t="s">
        <v>1120</v>
      </c>
      <c r="LV389" s="875" t="s">
        <v>1120</v>
      </c>
      <c r="LW389" s="875" t="s">
        <v>1120</v>
      </c>
      <c r="LX389" s="875" t="s">
        <v>1120</v>
      </c>
      <c r="LY389" s="875" t="s">
        <v>1120</v>
      </c>
      <c r="LZ389" s="875" t="s">
        <v>1120</v>
      </c>
      <c r="MA389" s="875" t="s">
        <v>1120</v>
      </c>
      <c r="MB389" s="875" t="s">
        <v>1120</v>
      </c>
      <c r="MC389" s="875" t="s">
        <v>1120</v>
      </c>
      <c r="MD389" s="875" t="s">
        <v>1120</v>
      </c>
      <c r="ME389" s="875" t="s">
        <v>1120</v>
      </c>
      <c r="MF389" s="875" t="s">
        <v>1120</v>
      </c>
      <c r="MG389" s="875" t="s">
        <v>1120</v>
      </c>
      <c r="MH389" s="875" t="s">
        <v>1120</v>
      </c>
      <c r="MI389" s="875" t="s">
        <v>1120</v>
      </c>
      <c r="MJ389" s="875" t="s">
        <v>1120</v>
      </c>
      <c r="MK389" s="875" t="s">
        <v>1120</v>
      </c>
      <c r="ML389" s="875" t="s">
        <v>1120</v>
      </c>
      <c r="MM389" s="875" t="s">
        <v>1120</v>
      </c>
      <c r="MN389" s="875" t="s">
        <v>1120</v>
      </c>
      <c r="MO389" s="875" t="s">
        <v>1120</v>
      </c>
      <c r="MP389" s="875" t="s">
        <v>1120</v>
      </c>
      <c r="MQ389" s="875" t="s">
        <v>1120</v>
      </c>
      <c r="MR389" s="875" t="s">
        <v>1120</v>
      </c>
      <c r="MS389" s="875" t="s">
        <v>1120</v>
      </c>
      <c r="MT389" s="875" t="s">
        <v>1120</v>
      </c>
      <c r="MU389" s="875" t="s">
        <v>1120</v>
      </c>
      <c r="MV389" s="875" t="s">
        <v>1120</v>
      </c>
      <c r="MW389" s="875" t="s">
        <v>1120</v>
      </c>
      <c r="MX389" s="875" t="s">
        <v>1120</v>
      </c>
      <c r="MY389" s="875" t="s">
        <v>1120</v>
      </c>
      <c r="MZ389" s="875" t="s">
        <v>1120</v>
      </c>
      <c r="NA389" s="875" t="s">
        <v>1120</v>
      </c>
      <c r="NB389" s="875" t="s">
        <v>1120</v>
      </c>
      <c r="NC389" s="875" t="s">
        <v>1120</v>
      </c>
      <c r="ND389" s="875" t="s">
        <v>1120</v>
      </c>
      <c r="NE389" s="875" t="s">
        <v>1119</v>
      </c>
      <c r="NF389" s="875" t="s">
        <v>1119</v>
      </c>
      <c r="NG389" s="875" t="s">
        <v>1119</v>
      </c>
      <c r="NH389" s="875" t="s">
        <v>1119</v>
      </c>
      <c r="NI389" s="875" t="s">
        <v>1119</v>
      </c>
      <c r="NJ389" s="875" t="s">
        <v>1119</v>
      </c>
      <c r="NK389" s="875" t="s">
        <v>1119</v>
      </c>
      <c r="NL389" s="875" t="s">
        <v>1119</v>
      </c>
      <c r="NM389" s="875" t="s">
        <v>1119</v>
      </c>
      <c r="NN389" s="875" t="s">
        <v>1119</v>
      </c>
      <c r="NO389" s="875" t="s">
        <v>1119</v>
      </c>
      <c r="NP389" s="875" t="s">
        <v>1119</v>
      </c>
      <c r="NQ389" s="875" t="s">
        <v>1119</v>
      </c>
      <c r="NR389" s="875" t="s">
        <v>1119</v>
      </c>
      <c r="NS389" s="875" t="s">
        <v>1119</v>
      </c>
      <c r="NT389" s="875" t="s">
        <v>1119</v>
      </c>
      <c r="NU389" s="875" t="s">
        <v>1119</v>
      </c>
      <c r="NV389" s="875" t="s">
        <v>1119</v>
      </c>
      <c r="NW389" s="875" t="s">
        <v>1119</v>
      </c>
      <c r="NX389" s="875" t="s">
        <v>1119</v>
      </c>
      <c r="NY389" s="875" t="s">
        <v>1119</v>
      </c>
      <c r="NZ389" s="875" t="s">
        <v>1119</v>
      </c>
      <c r="OA389" s="875" t="s">
        <v>1119</v>
      </c>
      <c r="OB389" s="875" t="s">
        <v>1119</v>
      </c>
      <c r="OC389" s="875" t="s">
        <v>1119</v>
      </c>
      <c r="OD389" s="875" t="s">
        <v>1119</v>
      </c>
      <c r="OE389" s="875" t="s">
        <v>1119</v>
      </c>
      <c r="OF389" s="875" t="s">
        <v>1119</v>
      </c>
      <c r="OG389" s="875" t="s">
        <v>1119</v>
      </c>
      <c r="OH389" s="875" t="s">
        <v>1119</v>
      </c>
      <c r="OI389" s="875" t="s">
        <v>1119</v>
      </c>
      <c r="OJ389" s="875" t="s">
        <v>1119</v>
      </c>
      <c r="OK389" s="875" t="s">
        <v>1119</v>
      </c>
      <c r="OL389" s="875" t="s">
        <v>1119</v>
      </c>
      <c r="OM389" s="875" t="s">
        <v>1119</v>
      </c>
      <c r="ON389" s="875" t="s">
        <v>1119</v>
      </c>
      <c r="OO389" s="875" t="s">
        <v>1119</v>
      </c>
      <c r="OP389" s="875" t="s">
        <v>1119</v>
      </c>
      <c r="OQ389" s="875" t="s">
        <v>1119</v>
      </c>
      <c r="OR389" s="875" t="s">
        <v>1119</v>
      </c>
      <c r="OS389" s="875" t="s">
        <v>1119</v>
      </c>
      <c r="OT389" s="875" t="s">
        <v>1119</v>
      </c>
      <c r="OU389" s="875" t="s">
        <v>1119</v>
      </c>
      <c r="OV389" s="875" t="s">
        <v>1119</v>
      </c>
      <c r="OW389" s="875" t="s">
        <v>1119</v>
      </c>
      <c r="OX389" s="875" t="s">
        <v>1119</v>
      </c>
      <c r="OY389" s="875" t="s">
        <v>1119</v>
      </c>
      <c r="OZ389" s="875" t="s">
        <v>1119</v>
      </c>
      <c r="PA389" s="875" t="s">
        <v>1119</v>
      </c>
      <c r="PB389" s="875" t="s">
        <v>1119</v>
      </c>
      <c r="PC389" s="875" t="s">
        <v>1119</v>
      </c>
      <c r="PD389" s="875" t="s">
        <v>1119</v>
      </c>
      <c r="PE389" s="875" t="s">
        <v>1119</v>
      </c>
      <c r="PF389" s="875" t="s">
        <v>1119</v>
      </c>
      <c r="PG389" s="875" t="s">
        <v>1119</v>
      </c>
      <c r="PH389" s="875" t="s">
        <v>1119</v>
      </c>
      <c r="PI389" s="875" t="s">
        <v>1119</v>
      </c>
      <c r="PJ389" s="875" t="s">
        <v>1119</v>
      </c>
      <c r="PK389" s="875" t="s">
        <v>1119</v>
      </c>
      <c r="PL389" s="875" t="s">
        <v>1119</v>
      </c>
      <c r="PM389" s="875" t="s">
        <v>1119</v>
      </c>
      <c r="PN389" s="875" t="s">
        <v>1119</v>
      </c>
      <c r="PO389" s="875" t="s">
        <v>1119</v>
      </c>
      <c r="PP389" s="875" t="s">
        <v>1119</v>
      </c>
      <c r="PQ389" s="875" t="s">
        <v>1119</v>
      </c>
      <c r="PR389" s="875" t="s">
        <v>1119</v>
      </c>
      <c r="PS389" s="875" t="s">
        <v>1119</v>
      </c>
      <c r="PT389" s="875" t="s">
        <v>1119</v>
      </c>
      <c r="PU389" s="875" t="s">
        <v>1119</v>
      </c>
      <c r="PV389" s="875" t="s">
        <v>1119</v>
      </c>
      <c r="PW389" s="875" t="s">
        <v>1119</v>
      </c>
      <c r="PX389" s="875" t="s">
        <v>1119</v>
      </c>
      <c r="PY389" s="875" t="s">
        <v>1119</v>
      </c>
      <c r="PZ389" s="875" t="s">
        <v>1119</v>
      </c>
      <c r="QA389" s="875" t="s">
        <v>1119</v>
      </c>
      <c r="QB389" s="875" t="s">
        <v>1119</v>
      </c>
      <c r="QC389" s="875" t="s">
        <v>1119</v>
      </c>
      <c r="QD389" s="875" t="s">
        <v>1119</v>
      </c>
      <c r="QE389" s="875" t="s">
        <v>1119</v>
      </c>
      <c r="QF389" s="875" t="s">
        <v>1119</v>
      </c>
      <c r="QG389" s="875" t="s">
        <v>1119</v>
      </c>
      <c r="QH389" s="875" t="s">
        <v>1119</v>
      </c>
      <c r="QI389" s="875" t="s">
        <v>1119</v>
      </c>
      <c r="QJ389" s="875" t="s">
        <v>1119</v>
      </c>
      <c r="QK389" s="875" t="s">
        <v>1119</v>
      </c>
      <c r="QL389" s="875" t="s">
        <v>1119</v>
      </c>
      <c r="QM389" s="875" t="s">
        <v>1119</v>
      </c>
      <c r="QN389" s="875" t="s">
        <v>1119</v>
      </c>
      <c r="QO389" s="875" t="s">
        <v>1119</v>
      </c>
      <c r="QP389" s="875" t="s">
        <v>1119</v>
      </c>
      <c r="QQ389" s="875" t="s">
        <v>1119</v>
      </c>
      <c r="QR389" s="875" t="s">
        <v>1119</v>
      </c>
      <c r="QS389" s="875" t="s">
        <v>1119</v>
      </c>
      <c r="QT389" s="875" t="s">
        <v>1119</v>
      </c>
      <c r="QU389" s="875" t="s">
        <v>1119</v>
      </c>
      <c r="QV389" s="875" t="s">
        <v>1119</v>
      </c>
      <c r="QW389" s="875" t="s">
        <v>1119</v>
      </c>
      <c r="QX389" s="875" t="s">
        <v>1119</v>
      </c>
      <c r="QY389" s="875" t="s">
        <v>1119</v>
      </c>
      <c r="QZ389" s="875" t="s">
        <v>1119</v>
      </c>
      <c r="RA389" s="875" t="s">
        <v>1119</v>
      </c>
      <c r="RB389" s="875" t="s">
        <v>1119</v>
      </c>
      <c r="RC389" s="875" t="s">
        <v>1119</v>
      </c>
      <c r="RD389" s="875" t="s">
        <v>1119</v>
      </c>
      <c r="RE389" s="875" t="s">
        <v>1119</v>
      </c>
      <c r="RF389" s="875" t="s">
        <v>1119</v>
      </c>
      <c r="RG389" s="875" t="s">
        <v>1119</v>
      </c>
      <c r="RH389" s="875" t="s">
        <v>1119</v>
      </c>
      <c r="RI389" s="875" t="s">
        <v>1119</v>
      </c>
      <c r="RJ389" s="875" t="s">
        <v>1119</v>
      </c>
      <c r="RK389" s="875" t="s">
        <v>1119</v>
      </c>
      <c r="RL389" s="875" t="s">
        <v>1119</v>
      </c>
      <c r="RM389" s="875" t="s">
        <v>1119</v>
      </c>
      <c r="RN389" s="875" t="s">
        <v>1119</v>
      </c>
      <c r="RO389" s="875" t="s">
        <v>1119</v>
      </c>
      <c r="RP389" s="875" t="s">
        <v>1119</v>
      </c>
      <c r="RQ389" s="875" t="s">
        <v>1119</v>
      </c>
      <c r="RR389" s="875" t="s">
        <v>1119</v>
      </c>
      <c r="RS389" s="875" t="s">
        <v>1119</v>
      </c>
      <c r="RT389" s="875" t="s">
        <v>1119</v>
      </c>
      <c r="RU389" s="875" t="s">
        <v>1119</v>
      </c>
      <c r="RV389" s="875" t="s">
        <v>1119</v>
      </c>
      <c r="RW389" s="875" t="s">
        <v>1119</v>
      </c>
      <c r="RX389" s="875" t="s">
        <v>1119</v>
      </c>
      <c r="RY389" s="875" t="s">
        <v>1119</v>
      </c>
      <c r="RZ389" s="875" t="s">
        <v>1119</v>
      </c>
      <c r="SA389" s="875" t="s">
        <v>1119</v>
      </c>
      <c r="SB389" s="875" t="s">
        <v>1119</v>
      </c>
      <c r="SC389" s="875" t="s">
        <v>1119</v>
      </c>
      <c r="SD389" s="875" t="s">
        <v>1119</v>
      </c>
      <c r="SE389" s="875" t="s">
        <v>1119</v>
      </c>
      <c r="SF389" s="875" t="s">
        <v>1119</v>
      </c>
      <c r="SG389" s="875" t="s">
        <v>1119</v>
      </c>
      <c r="SH389" s="875" t="s">
        <v>1119</v>
      </c>
      <c r="SI389" s="875" t="s">
        <v>1119</v>
      </c>
      <c r="SJ389" s="875" t="s">
        <v>1119</v>
      </c>
      <c r="SK389" s="875" t="s">
        <v>1119</v>
      </c>
      <c r="SL389" s="875" t="s">
        <v>1119</v>
      </c>
      <c r="SM389" s="875" t="s">
        <v>1119</v>
      </c>
      <c r="SN389" s="875" t="s">
        <v>1119</v>
      </c>
      <c r="SO389" s="875" t="s">
        <v>1119</v>
      </c>
      <c r="SP389" s="875" t="s">
        <v>1119</v>
      </c>
      <c r="SQ389" s="875" t="s">
        <v>1119</v>
      </c>
      <c r="SR389" s="875" t="s">
        <v>1119</v>
      </c>
      <c r="SS389" s="875" t="s">
        <v>1119</v>
      </c>
      <c r="ST389" s="875" t="s">
        <v>1119</v>
      </c>
      <c r="SU389" s="875" t="s">
        <v>1119</v>
      </c>
      <c r="SV389" s="875" t="s">
        <v>1119</v>
      </c>
      <c r="SW389" s="875" t="s">
        <v>1119</v>
      </c>
      <c r="SX389" s="875" t="s">
        <v>1119</v>
      </c>
      <c r="SY389" s="875" t="s">
        <v>1119</v>
      </c>
      <c r="SZ389" s="875" t="s">
        <v>1119</v>
      </c>
      <c r="TA389" s="875" t="s">
        <v>1119</v>
      </c>
      <c r="TB389" s="875" t="s">
        <v>1119</v>
      </c>
      <c r="TC389" s="875" t="s">
        <v>1119</v>
      </c>
      <c r="TD389" s="875" t="s">
        <v>1119</v>
      </c>
      <c r="TE389" s="875" t="s">
        <v>1119</v>
      </c>
      <c r="TF389" s="875" t="s">
        <v>1119</v>
      </c>
      <c r="TG389" s="875" t="s">
        <v>1119</v>
      </c>
      <c r="TH389" s="875" t="s">
        <v>1119</v>
      </c>
      <c r="TI389" s="875" t="s">
        <v>1119</v>
      </c>
      <c r="TJ389" s="875" t="s">
        <v>1119</v>
      </c>
      <c r="TK389" s="875" t="s">
        <v>1119</v>
      </c>
      <c r="TL389" s="875" t="s">
        <v>1119</v>
      </c>
      <c r="TM389" s="875" t="s">
        <v>1119</v>
      </c>
      <c r="TN389" s="875" t="s">
        <v>1119</v>
      </c>
      <c r="TO389" s="875" t="s">
        <v>1119</v>
      </c>
      <c r="TP389" s="875" t="s">
        <v>1119</v>
      </c>
      <c r="TQ389" s="875" t="s">
        <v>1119</v>
      </c>
      <c r="TR389" s="875" t="s">
        <v>1119</v>
      </c>
      <c r="TS389" s="875" t="s">
        <v>1119</v>
      </c>
      <c r="TT389" s="875" t="s">
        <v>1119</v>
      </c>
      <c r="TU389" s="875" t="s">
        <v>1119</v>
      </c>
      <c r="TV389" s="875" t="s">
        <v>1119</v>
      </c>
      <c r="TW389" s="875" t="s">
        <v>1119</v>
      </c>
      <c r="TX389" s="875" t="s">
        <v>1119</v>
      </c>
      <c r="TY389" s="875" t="s">
        <v>1119</v>
      </c>
      <c r="TZ389" s="875" t="s">
        <v>1119</v>
      </c>
      <c r="UA389" s="875" t="s">
        <v>1119</v>
      </c>
      <c r="UB389" s="875" t="s">
        <v>1119</v>
      </c>
      <c r="UC389" s="875" t="s">
        <v>1120</v>
      </c>
      <c r="UD389" s="875" t="s">
        <v>1120</v>
      </c>
      <c r="UE389" s="875" t="s">
        <v>1120</v>
      </c>
      <c r="UF389" s="875" t="s">
        <v>1120</v>
      </c>
      <c r="UG389" s="875" t="s">
        <v>1120</v>
      </c>
      <c r="UH389" s="875" t="s">
        <v>1120</v>
      </c>
      <c r="UI389" s="875" t="s">
        <v>1120</v>
      </c>
      <c r="UJ389" s="875" t="s">
        <v>1120</v>
      </c>
      <c r="UK389" s="875" t="s">
        <v>1120</v>
      </c>
      <c r="UL389" s="875" t="s">
        <v>1120</v>
      </c>
      <c r="UM389" s="875" t="s">
        <v>1120</v>
      </c>
      <c r="UN389" s="875" t="s">
        <v>1120</v>
      </c>
      <c r="UO389" s="875" t="s">
        <v>1120</v>
      </c>
      <c r="UP389" s="875" t="s">
        <v>1120</v>
      </c>
      <c r="UQ389" s="875" t="s">
        <v>1120</v>
      </c>
      <c r="UR389" s="875" t="s">
        <v>1120</v>
      </c>
      <c r="US389" s="875" t="s">
        <v>1120</v>
      </c>
      <c r="UT389" s="875" t="s">
        <v>1120</v>
      </c>
      <c r="UU389" s="875" t="s">
        <v>1120</v>
      </c>
      <c r="UV389" s="875" t="s">
        <v>1120</v>
      </c>
      <c r="UW389" s="875" t="s">
        <v>1120</v>
      </c>
      <c r="UX389" s="875" t="s">
        <v>1120</v>
      </c>
      <c r="UY389" s="875" t="s">
        <v>1120</v>
      </c>
      <c r="UZ389" s="875" t="s">
        <v>1120</v>
      </c>
      <c r="VA389" s="875" t="s">
        <v>1120</v>
      </c>
      <c r="VB389" s="875" t="s">
        <v>1120</v>
      </c>
      <c r="VC389" s="875" t="s">
        <v>1120</v>
      </c>
      <c r="VD389" s="875" t="s">
        <v>1120</v>
      </c>
      <c r="VE389" s="875" t="s">
        <v>1120</v>
      </c>
      <c r="VF389" s="875" t="s">
        <v>1120</v>
      </c>
      <c r="VG389" s="875" t="s">
        <v>1120</v>
      </c>
      <c r="VH389" s="875" t="s">
        <v>1120</v>
      </c>
      <c r="VI389" s="875" t="s">
        <v>1120</v>
      </c>
      <c r="VJ389" s="875" t="s">
        <v>1120</v>
      </c>
      <c r="VK389" s="875" t="s">
        <v>1120</v>
      </c>
      <c r="VL389" s="875" t="s">
        <v>1120</v>
      </c>
      <c r="VM389" s="875" t="s">
        <v>1120</v>
      </c>
      <c r="VN389" s="875" t="s">
        <v>1120</v>
      </c>
      <c r="VO389" s="875" t="s">
        <v>1120</v>
      </c>
      <c r="VP389" s="875" t="s">
        <v>1120</v>
      </c>
      <c r="VQ389" s="875" t="s">
        <v>1120</v>
      </c>
      <c r="VR389" s="875" t="s">
        <v>1120</v>
      </c>
      <c r="VS389" s="875" t="s">
        <v>1120</v>
      </c>
      <c r="VT389" s="875" t="s">
        <v>1120</v>
      </c>
      <c r="VU389" s="875" t="s">
        <v>1120</v>
      </c>
      <c r="VV389" s="875" t="s">
        <v>1120</v>
      </c>
      <c r="VW389" s="875" t="s">
        <v>1120</v>
      </c>
      <c r="VX389" s="875" t="s">
        <v>1120</v>
      </c>
      <c r="VY389" s="875" t="s">
        <v>1120</v>
      </c>
      <c r="VZ389" s="875" t="s">
        <v>1120</v>
      </c>
      <c r="WA389" s="875" t="s">
        <v>1120</v>
      </c>
      <c r="WB389" s="875" t="s">
        <v>1120</v>
      </c>
      <c r="WC389" s="875" t="s">
        <v>1120</v>
      </c>
      <c r="WD389" s="875" t="s">
        <v>1120</v>
      </c>
      <c r="WE389" s="875" t="s">
        <v>1120</v>
      </c>
      <c r="WF389" s="875" t="s">
        <v>1120</v>
      </c>
      <c r="WG389" s="875" t="s">
        <v>1120</v>
      </c>
      <c r="WH389" s="875" t="s">
        <v>1120</v>
      </c>
      <c r="WI389" s="875" t="s">
        <v>1120</v>
      </c>
      <c r="WJ389" s="875" t="s">
        <v>1120</v>
      </c>
      <c r="WK389" s="875" t="s">
        <v>1120</v>
      </c>
      <c r="WL389" s="875" t="s">
        <v>1120</v>
      </c>
      <c r="WM389" s="875" t="s">
        <v>1120</v>
      </c>
      <c r="WN389" s="875" t="s">
        <v>1120</v>
      </c>
      <c r="WO389" s="875" t="s">
        <v>1120</v>
      </c>
      <c r="WP389" s="875" t="s">
        <v>1120</v>
      </c>
      <c r="WQ389" s="875" t="s">
        <v>1120</v>
      </c>
      <c r="WR389" s="875" t="s">
        <v>1120</v>
      </c>
      <c r="WS389" s="875" t="s">
        <v>1120</v>
      </c>
      <c r="WT389" s="875" t="s">
        <v>1120</v>
      </c>
      <c r="WU389" s="875" t="s">
        <v>1120</v>
      </c>
      <c r="WV389" s="875" t="s">
        <v>1120</v>
      </c>
      <c r="WW389" s="875" t="s">
        <v>1120</v>
      </c>
      <c r="WX389" s="875" t="s">
        <v>1120</v>
      </c>
      <c r="WY389" s="875" t="s">
        <v>1120</v>
      </c>
      <c r="WZ389" s="875" t="s">
        <v>1120</v>
      </c>
      <c r="XA389" s="875" t="s">
        <v>1120</v>
      </c>
      <c r="XB389" s="875" t="s">
        <v>1120</v>
      </c>
      <c r="XC389" s="875" t="s">
        <v>1120</v>
      </c>
      <c r="XD389" s="875" t="s">
        <v>1120</v>
      </c>
      <c r="XE389" s="875" t="s">
        <v>1120</v>
      </c>
      <c r="XF389" s="875" t="s">
        <v>1120</v>
      </c>
      <c r="XG389" s="875" t="s">
        <v>1120</v>
      </c>
      <c r="XH389" s="875" t="s">
        <v>1120</v>
      </c>
      <c r="XI389" s="875" t="s">
        <v>1120</v>
      </c>
      <c r="XJ389" s="875" t="s">
        <v>1120</v>
      </c>
      <c r="XK389" s="875" t="s">
        <v>1120</v>
      </c>
      <c r="XL389" s="875" t="s">
        <v>1120</v>
      </c>
      <c r="XM389" s="875" t="s">
        <v>1120</v>
      </c>
      <c r="XN389" s="875" t="s">
        <v>1120</v>
      </c>
      <c r="XO389" s="875" t="s">
        <v>1120</v>
      </c>
      <c r="XP389" s="875" t="s">
        <v>1120</v>
      </c>
      <c r="XQ389" s="875" t="s">
        <v>1120</v>
      </c>
      <c r="XR389" s="875" t="s">
        <v>1120</v>
      </c>
      <c r="XS389" s="875" t="s">
        <v>1120</v>
      </c>
      <c r="XT389" s="875" t="s">
        <v>1120</v>
      </c>
      <c r="XU389" s="875" t="s">
        <v>1120</v>
      </c>
      <c r="XV389" s="875" t="s">
        <v>1120</v>
      </c>
      <c r="XW389" s="875" t="s">
        <v>1120</v>
      </c>
      <c r="XX389" s="875" t="s">
        <v>1120</v>
      </c>
      <c r="XY389" s="875" t="s">
        <v>1120</v>
      </c>
      <c r="XZ389" s="875" t="s">
        <v>1120</v>
      </c>
      <c r="YA389" s="875" t="s">
        <v>1120</v>
      </c>
      <c r="YB389" s="875" t="s">
        <v>1120</v>
      </c>
      <c r="YC389" s="875" t="s">
        <v>1120</v>
      </c>
      <c r="YD389" s="875" t="s">
        <v>1120</v>
      </c>
      <c r="YE389" s="875" t="s">
        <v>1120</v>
      </c>
      <c r="YF389" s="875" t="s">
        <v>1120</v>
      </c>
      <c r="YG389" s="875" t="s">
        <v>1120</v>
      </c>
      <c r="YH389" s="875" t="s">
        <v>1120</v>
      </c>
      <c r="YI389" s="875" t="s">
        <v>1120</v>
      </c>
      <c r="YJ389" s="875" t="s">
        <v>1120</v>
      </c>
      <c r="YK389" s="875" t="s">
        <v>1120</v>
      </c>
      <c r="YL389" s="875" t="s">
        <v>1120</v>
      </c>
      <c r="YM389" s="875" t="s">
        <v>1120</v>
      </c>
      <c r="YN389" s="875" t="s">
        <v>1120</v>
      </c>
      <c r="YO389" s="875" t="s">
        <v>1120</v>
      </c>
      <c r="YP389" s="875" t="s">
        <v>1120</v>
      </c>
      <c r="YQ389" s="875" t="s">
        <v>1120</v>
      </c>
      <c r="YR389" s="875" t="s">
        <v>1120</v>
      </c>
      <c r="YS389" s="875" t="s">
        <v>1120</v>
      </c>
      <c r="YT389" s="875" t="s">
        <v>1120</v>
      </c>
      <c r="YU389" s="875" t="s">
        <v>1120</v>
      </c>
      <c r="YV389" s="875" t="s">
        <v>1120</v>
      </c>
      <c r="YW389" s="875" t="s">
        <v>1120</v>
      </c>
      <c r="YX389" s="875" t="s">
        <v>1120</v>
      </c>
      <c r="YY389" s="875" t="s">
        <v>1120</v>
      </c>
      <c r="YZ389" s="875" t="s">
        <v>1120</v>
      </c>
      <c r="ZA389" s="875" t="s">
        <v>1120</v>
      </c>
      <c r="ZB389" s="875" t="s">
        <v>1120</v>
      </c>
      <c r="ZC389" s="875" t="s">
        <v>1120</v>
      </c>
      <c r="ZD389" s="875" t="s">
        <v>1120</v>
      </c>
      <c r="ZE389" s="875" t="s">
        <v>1120</v>
      </c>
      <c r="ZF389" s="875" t="s">
        <v>1120</v>
      </c>
      <c r="ZG389" s="875" t="s">
        <v>1120</v>
      </c>
      <c r="ZH389" s="875" t="s">
        <v>1120</v>
      </c>
      <c r="ZI389" s="875" t="s">
        <v>1120</v>
      </c>
      <c r="ZJ389" s="875" t="s">
        <v>1120</v>
      </c>
      <c r="ZK389" s="875" t="s">
        <v>1120</v>
      </c>
      <c r="ZL389" s="875" t="s">
        <v>1120</v>
      </c>
      <c r="ZM389" s="875" t="s">
        <v>1120</v>
      </c>
      <c r="ZN389" s="875" t="s">
        <v>1120</v>
      </c>
      <c r="ZO389" s="875" t="s">
        <v>1120</v>
      </c>
      <c r="ZP389" s="875" t="s">
        <v>1120</v>
      </c>
      <c r="ZQ389" s="875" t="s">
        <v>1120</v>
      </c>
      <c r="ZR389" s="875" t="s">
        <v>1120</v>
      </c>
      <c r="ZS389" s="875" t="s">
        <v>1120</v>
      </c>
      <c r="ZT389" s="875" t="s">
        <v>1120</v>
      </c>
      <c r="ZU389" s="875" t="s">
        <v>1120</v>
      </c>
      <c r="ZV389" s="875" t="s">
        <v>1120</v>
      </c>
      <c r="ZW389" s="875" t="s">
        <v>1120</v>
      </c>
      <c r="ZX389" s="875" t="s">
        <v>1120</v>
      </c>
      <c r="ZY389" s="875" t="s">
        <v>1120</v>
      </c>
      <c r="ZZ389" s="875" t="s">
        <v>1120</v>
      </c>
      <c r="AAA389" s="875" t="s">
        <v>1120</v>
      </c>
      <c r="AAB389" s="875" t="s">
        <v>1120</v>
      </c>
      <c r="AAC389" s="875" t="s">
        <v>1120</v>
      </c>
      <c r="AAD389" s="875" t="s">
        <v>1120</v>
      </c>
      <c r="AAE389" s="875" t="s">
        <v>1120</v>
      </c>
      <c r="AAF389" s="875" t="s">
        <v>1120</v>
      </c>
      <c r="AAG389" s="875" t="s">
        <v>1120</v>
      </c>
      <c r="AAH389" s="875" t="s">
        <v>1120</v>
      </c>
      <c r="AAI389" s="875" t="s">
        <v>1120</v>
      </c>
      <c r="AAJ389" s="875" t="s">
        <v>1120</v>
      </c>
      <c r="AAK389" s="875" t="s">
        <v>1120</v>
      </c>
      <c r="AAL389" s="875" t="s">
        <v>1120</v>
      </c>
      <c r="AAM389" s="875" t="s">
        <v>1120</v>
      </c>
      <c r="AAN389" s="875" t="s">
        <v>1120</v>
      </c>
      <c r="AAO389" s="875" t="s">
        <v>1120</v>
      </c>
      <c r="AAP389" s="875" t="s">
        <v>1120</v>
      </c>
      <c r="AAQ389" s="875" t="s">
        <v>1120</v>
      </c>
      <c r="AAR389" s="875" t="s">
        <v>1120</v>
      </c>
      <c r="AAS389" s="875" t="s">
        <v>1120</v>
      </c>
      <c r="AAT389" s="875" t="s">
        <v>1120</v>
      </c>
      <c r="AAU389" s="875" t="s">
        <v>1120</v>
      </c>
      <c r="AAV389" s="875" t="s">
        <v>1120</v>
      </c>
      <c r="AAW389" s="875" t="s">
        <v>1120</v>
      </c>
      <c r="AAX389" s="875" t="s">
        <v>1120</v>
      </c>
      <c r="AAY389" s="875" t="s">
        <v>1120</v>
      </c>
      <c r="AAZ389" s="875" t="s">
        <v>1120</v>
      </c>
      <c r="ABA389" s="875" t="s">
        <v>1119</v>
      </c>
      <c r="ABB389" s="875" t="s">
        <v>1119</v>
      </c>
      <c r="ABC389" s="875" t="s">
        <v>1119</v>
      </c>
      <c r="ABD389" s="875" t="s">
        <v>1119</v>
      </c>
      <c r="ABE389" s="875" t="s">
        <v>1119</v>
      </c>
      <c r="ABF389" s="875" t="s">
        <v>1119</v>
      </c>
      <c r="ABG389" s="875" t="s">
        <v>1119</v>
      </c>
      <c r="ABH389" s="875" t="s">
        <v>1119</v>
      </c>
      <c r="ABI389" s="875" t="s">
        <v>1119</v>
      </c>
      <c r="ABJ389" s="875" t="s">
        <v>1119</v>
      </c>
      <c r="ABK389" s="875" t="s">
        <v>1119</v>
      </c>
      <c r="ABL389" s="875" t="s">
        <v>1119</v>
      </c>
      <c r="ABM389" s="875" t="s">
        <v>1119</v>
      </c>
      <c r="ABN389" s="875" t="s">
        <v>1119</v>
      </c>
      <c r="ABO389" s="875" t="s">
        <v>1119</v>
      </c>
      <c r="ABP389" s="875" t="s">
        <v>1119</v>
      </c>
      <c r="ABQ389" s="875" t="s">
        <v>1119</v>
      </c>
      <c r="ABR389" s="875" t="s">
        <v>1119</v>
      </c>
      <c r="ABS389" s="875" t="s">
        <v>1119</v>
      </c>
      <c r="ABT389" s="875" t="s">
        <v>1119</v>
      </c>
      <c r="ABU389" s="875" t="s">
        <v>1119</v>
      </c>
      <c r="ABV389" s="875" t="s">
        <v>1119</v>
      </c>
      <c r="ABW389" s="875" t="s">
        <v>1119</v>
      </c>
      <c r="ABX389" s="875" t="s">
        <v>1119</v>
      </c>
      <c r="ABY389" s="875" t="s">
        <v>1119</v>
      </c>
      <c r="ABZ389" s="875" t="s">
        <v>1119</v>
      </c>
      <c r="ACA389" s="875" t="s">
        <v>1119</v>
      </c>
      <c r="ACB389" s="875" t="s">
        <v>1119</v>
      </c>
      <c r="ACC389" s="875" t="s">
        <v>1119</v>
      </c>
      <c r="ACD389" s="875" t="s">
        <v>1119</v>
      </c>
      <c r="ACE389" s="875" t="s">
        <v>1119</v>
      </c>
      <c r="ACF389" s="875" t="s">
        <v>1119</v>
      </c>
      <c r="ACG389" s="875" t="s">
        <v>1119</v>
      </c>
      <c r="ACH389" s="875" t="s">
        <v>1119</v>
      </c>
      <c r="ACI389" s="875" t="s">
        <v>1119</v>
      </c>
      <c r="ACJ389" s="875" t="s">
        <v>1119</v>
      </c>
      <c r="ACK389" s="875" t="s">
        <v>1119</v>
      </c>
      <c r="ACL389" s="875" t="s">
        <v>1119</v>
      </c>
      <c r="ACM389" s="875" t="s">
        <v>1119</v>
      </c>
      <c r="ACN389" s="875" t="s">
        <v>1119</v>
      </c>
      <c r="ACO389" s="875" t="s">
        <v>1119</v>
      </c>
      <c r="ACP389" s="875" t="s">
        <v>1119</v>
      </c>
      <c r="ACQ389" s="875" t="s">
        <v>1119</v>
      </c>
      <c r="ACR389" s="875" t="s">
        <v>1119</v>
      </c>
      <c r="ACS389" s="875" t="s">
        <v>1119</v>
      </c>
      <c r="ACT389" s="875" t="s">
        <v>1119</v>
      </c>
      <c r="ACU389" s="875" t="s">
        <v>1119</v>
      </c>
      <c r="ACV389" s="875" t="s">
        <v>1119</v>
      </c>
      <c r="ACW389" s="875" t="s">
        <v>1119</v>
      </c>
      <c r="ACX389" s="875" t="s">
        <v>1119</v>
      </c>
      <c r="ACY389" s="875" t="s">
        <v>1119</v>
      </c>
      <c r="ACZ389" s="875" t="s">
        <v>1119</v>
      </c>
      <c r="ADA389" s="875" t="s">
        <v>1119</v>
      </c>
      <c r="ADB389" s="875" t="s">
        <v>1119</v>
      </c>
      <c r="ADC389" s="875" t="s">
        <v>1119</v>
      </c>
      <c r="ADD389" s="875" t="s">
        <v>1119</v>
      </c>
      <c r="ADE389" s="875" t="s">
        <v>1119</v>
      </c>
      <c r="ADF389" s="875" t="s">
        <v>1119</v>
      </c>
      <c r="ADG389" s="875" t="s">
        <v>1119</v>
      </c>
      <c r="ADH389" s="875" t="s">
        <v>1119</v>
      </c>
      <c r="ADI389" s="875" t="s">
        <v>1119</v>
      </c>
      <c r="ADJ389" s="875" t="s">
        <v>1119</v>
      </c>
      <c r="ADK389" s="875" t="s">
        <v>1119</v>
      </c>
      <c r="ADL389" s="875" t="s">
        <v>1119</v>
      </c>
      <c r="ADM389" s="875" t="s">
        <v>1119</v>
      </c>
      <c r="ADN389" s="875" t="s">
        <v>1119</v>
      </c>
      <c r="ADO389" s="875" t="s">
        <v>1119</v>
      </c>
      <c r="ADP389" s="875" t="s">
        <v>1119</v>
      </c>
      <c r="ADQ389" s="875" t="s">
        <v>1119</v>
      </c>
      <c r="ADR389" s="875" t="s">
        <v>1119</v>
      </c>
      <c r="ADS389" s="875" t="s">
        <v>1119</v>
      </c>
      <c r="ADT389" s="875" t="s">
        <v>1119</v>
      </c>
      <c r="ADU389" s="875" t="s">
        <v>1119</v>
      </c>
      <c r="ADV389" s="875" t="s">
        <v>1119</v>
      </c>
      <c r="ADW389" s="875" t="s">
        <v>1119</v>
      </c>
      <c r="ADX389" s="875" t="s">
        <v>1119</v>
      </c>
      <c r="ADY389" s="875" t="s">
        <v>1119</v>
      </c>
      <c r="ADZ389" s="875" t="s">
        <v>1119</v>
      </c>
      <c r="AEA389" s="875" t="s">
        <v>1119</v>
      </c>
      <c r="AEB389" s="875" t="s">
        <v>1119</v>
      </c>
      <c r="AEC389" s="875" t="s">
        <v>1119</v>
      </c>
      <c r="AED389" s="875" t="s">
        <v>1119</v>
      </c>
      <c r="AEE389" s="875" t="s">
        <v>1119</v>
      </c>
      <c r="AEF389" s="875" t="s">
        <v>1119</v>
      </c>
      <c r="AEG389" s="875" t="s">
        <v>1119</v>
      </c>
      <c r="AEH389" s="875" t="s">
        <v>1119</v>
      </c>
      <c r="AEI389" s="875" t="s">
        <v>1119</v>
      </c>
      <c r="AEJ389" s="875" t="s">
        <v>1119</v>
      </c>
      <c r="AEK389" s="875" t="s">
        <v>1119</v>
      </c>
      <c r="AEL389" s="875" t="s">
        <v>1119</v>
      </c>
      <c r="AEM389" s="875" t="s">
        <v>1119</v>
      </c>
      <c r="AEN389" s="875" t="s">
        <v>1119</v>
      </c>
      <c r="AEO389" s="875" t="s">
        <v>1119</v>
      </c>
      <c r="AEP389" s="875" t="s">
        <v>1119</v>
      </c>
      <c r="AEQ389" s="875" t="s">
        <v>1119</v>
      </c>
      <c r="AER389" s="875" t="s">
        <v>1119</v>
      </c>
      <c r="AES389" s="875" t="s">
        <v>1119</v>
      </c>
      <c r="AET389" s="875" t="s">
        <v>1119</v>
      </c>
      <c r="AEU389" s="875" t="s">
        <v>1119</v>
      </c>
      <c r="AEV389" s="875" t="s">
        <v>1119</v>
      </c>
      <c r="AEW389" s="875" t="s">
        <v>1119</v>
      </c>
      <c r="AEX389" s="875" t="s">
        <v>1119</v>
      </c>
      <c r="AEY389" s="875" t="s">
        <v>1119</v>
      </c>
      <c r="AEZ389" s="875" t="s">
        <v>1119</v>
      </c>
      <c r="AFA389" s="875" t="s">
        <v>1119</v>
      </c>
      <c r="AFB389" s="875" t="s">
        <v>1119</v>
      </c>
      <c r="AFC389" s="875" t="s">
        <v>1119</v>
      </c>
      <c r="AFD389" s="875" t="s">
        <v>1119</v>
      </c>
      <c r="AFE389" s="875" t="s">
        <v>1119</v>
      </c>
      <c r="AFF389" s="875" t="s">
        <v>1119</v>
      </c>
      <c r="AFG389" s="875" t="s">
        <v>1119</v>
      </c>
      <c r="AFH389" s="875" t="s">
        <v>1119</v>
      </c>
      <c r="AFI389" s="875" t="s">
        <v>1119</v>
      </c>
      <c r="AFJ389" s="875" t="s">
        <v>1119</v>
      </c>
      <c r="AFK389" s="875" t="s">
        <v>1119</v>
      </c>
      <c r="AFL389" s="875" t="s">
        <v>1119</v>
      </c>
      <c r="AFM389" s="875" t="s">
        <v>1119</v>
      </c>
      <c r="AFN389" s="875" t="s">
        <v>1119</v>
      </c>
      <c r="AFO389" s="875" t="s">
        <v>1119</v>
      </c>
      <c r="AFP389" s="875" t="s">
        <v>1119</v>
      </c>
      <c r="AFQ389" s="875" t="s">
        <v>1119</v>
      </c>
      <c r="AFR389" s="875" t="s">
        <v>1119</v>
      </c>
      <c r="AFS389" s="875" t="s">
        <v>1119</v>
      </c>
      <c r="AFT389" s="875" t="s">
        <v>1119</v>
      </c>
      <c r="AFU389" s="875" t="s">
        <v>1119</v>
      </c>
      <c r="AFV389" s="875" t="s">
        <v>1119</v>
      </c>
      <c r="AFW389" s="875" t="s">
        <v>1119</v>
      </c>
      <c r="AFX389" s="875" t="s">
        <v>1119</v>
      </c>
      <c r="AFY389" s="875" t="s">
        <v>1119</v>
      </c>
      <c r="AFZ389" s="875" t="s">
        <v>1119</v>
      </c>
      <c r="AGA389" s="875" t="s">
        <v>1119</v>
      </c>
      <c r="AGB389" s="875" t="s">
        <v>1119</v>
      </c>
      <c r="AGC389" s="875" t="s">
        <v>1119</v>
      </c>
      <c r="AGD389" s="875" t="s">
        <v>1119</v>
      </c>
      <c r="AGE389" s="875" t="s">
        <v>1119</v>
      </c>
      <c r="AGF389" s="875" t="s">
        <v>1119</v>
      </c>
      <c r="AGG389" s="875" t="s">
        <v>1119</v>
      </c>
      <c r="AGH389" s="875" t="s">
        <v>1119</v>
      </c>
      <c r="AGI389" s="875" t="s">
        <v>1119</v>
      </c>
      <c r="AGJ389" s="875" t="s">
        <v>1119</v>
      </c>
      <c r="AGK389" s="875" t="s">
        <v>1119</v>
      </c>
      <c r="AGL389" s="875" t="s">
        <v>1119</v>
      </c>
      <c r="AGM389" s="875" t="s">
        <v>1119</v>
      </c>
      <c r="AGN389" s="875" t="s">
        <v>1119</v>
      </c>
      <c r="AGO389" s="875" t="s">
        <v>1119</v>
      </c>
      <c r="AGP389" s="875" t="s">
        <v>1119</v>
      </c>
      <c r="AGQ389" s="875" t="s">
        <v>1119</v>
      </c>
      <c r="AGR389" s="875" t="s">
        <v>1119</v>
      </c>
      <c r="AGS389" s="875" t="s">
        <v>1119</v>
      </c>
      <c r="AGT389" s="875" t="s">
        <v>1119</v>
      </c>
      <c r="AGU389" s="875" t="s">
        <v>1119</v>
      </c>
      <c r="AGV389" s="875" t="s">
        <v>1119</v>
      </c>
      <c r="AGW389" s="875" t="s">
        <v>1119</v>
      </c>
      <c r="AGX389" s="875" t="s">
        <v>1119</v>
      </c>
      <c r="AGY389" s="875" t="s">
        <v>1119</v>
      </c>
      <c r="AGZ389" s="875" t="s">
        <v>1119</v>
      </c>
      <c r="AHA389" s="875" t="s">
        <v>1119</v>
      </c>
      <c r="AHB389" s="875" t="s">
        <v>1119</v>
      </c>
      <c r="AHC389" s="875" t="s">
        <v>1119</v>
      </c>
      <c r="AHD389" s="875" t="s">
        <v>1119</v>
      </c>
      <c r="AHE389" s="875" t="s">
        <v>1119</v>
      </c>
      <c r="AHF389" s="875" t="s">
        <v>1119</v>
      </c>
      <c r="AHG389" s="875" t="s">
        <v>1119</v>
      </c>
      <c r="AHH389" s="875" t="s">
        <v>1119</v>
      </c>
      <c r="AHI389" s="875" t="s">
        <v>1119</v>
      </c>
      <c r="AHJ389" s="875" t="s">
        <v>1119</v>
      </c>
      <c r="AHK389" s="875" t="s">
        <v>1119</v>
      </c>
      <c r="AHL389" s="875" t="s">
        <v>1119</v>
      </c>
      <c r="AHM389" s="875" t="s">
        <v>1119</v>
      </c>
      <c r="AHN389" s="875" t="s">
        <v>1119</v>
      </c>
      <c r="AHO389" s="875" t="s">
        <v>1119</v>
      </c>
      <c r="AHP389" s="875" t="s">
        <v>1119</v>
      </c>
      <c r="AHQ389" s="875" t="s">
        <v>1119</v>
      </c>
      <c r="AHR389" s="875" t="s">
        <v>1119</v>
      </c>
      <c r="AHS389" s="875" t="s">
        <v>1119</v>
      </c>
      <c r="AHT389" s="875" t="s">
        <v>1119</v>
      </c>
      <c r="AHU389" s="875" t="s">
        <v>1119</v>
      </c>
      <c r="AHV389" s="875" t="s">
        <v>1119</v>
      </c>
      <c r="AHW389" s="875" t="s">
        <v>1119</v>
      </c>
      <c r="AHX389" s="875" t="s">
        <v>1119</v>
      </c>
      <c r="AHY389" s="875" t="s">
        <v>1120</v>
      </c>
      <c r="AHZ389" s="875" t="s">
        <v>1120</v>
      </c>
      <c r="AIA389" s="875" t="s">
        <v>1120</v>
      </c>
      <c r="AIB389" s="875" t="s">
        <v>1120</v>
      </c>
      <c r="AIC389" s="875" t="s">
        <v>1120</v>
      </c>
      <c r="AID389" s="875" t="s">
        <v>1120</v>
      </c>
      <c r="AIE389" s="875" t="s">
        <v>1120</v>
      </c>
      <c r="AIF389" s="875" t="s">
        <v>1120</v>
      </c>
      <c r="AIG389" s="875" t="s">
        <v>1120</v>
      </c>
      <c r="AIH389" s="875" t="s">
        <v>1120</v>
      </c>
      <c r="AII389" s="875" t="s">
        <v>1120</v>
      </c>
      <c r="AIJ389" s="875" t="s">
        <v>1120</v>
      </c>
      <c r="AIK389" s="875" t="s">
        <v>1120</v>
      </c>
      <c r="AIL389" s="875" t="s">
        <v>1120</v>
      </c>
      <c r="AIM389" s="875" t="s">
        <v>1120</v>
      </c>
      <c r="AIN389" s="875" t="s">
        <v>1120</v>
      </c>
      <c r="AIO389" s="875" t="s">
        <v>1120</v>
      </c>
      <c r="AIP389" s="875" t="s">
        <v>1120</v>
      </c>
      <c r="AIQ389" s="875" t="s">
        <v>1120</v>
      </c>
      <c r="AIR389" s="875" t="s">
        <v>1120</v>
      </c>
      <c r="AIS389" s="875" t="s">
        <v>1120</v>
      </c>
      <c r="AIT389" s="875" t="s">
        <v>1120</v>
      </c>
      <c r="AIU389" s="875" t="s">
        <v>1120</v>
      </c>
      <c r="AIV389" s="875" t="s">
        <v>1120</v>
      </c>
      <c r="AIW389" s="875" t="s">
        <v>1120</v>
      </c>
      <c r="AIX389" s="875" t="s">
        <v>1120</v>
      </c>
      <c r="AIY389" s="875" t="s">
        <v>1120</v>
      </c>
      <c r="AIZ389" s="875" t="s">
        <v>1120</v>
      </c>
      <c r="AJA389" s="875" t="s">
        <v>1120</v>
      </c>
      <c r="AJB389" s="875" t="s">
        <v>1120</v>
      </c>
      <c r="AJC389" s="875" t="s">
        <v>1120</v>
      </c>
      <c r="AJD389" s="875" t="s">
        <v>1120</v>
      </c>
      <c r="AJE389" s="875" t="s">
        <v>1120</v>
      </c>
      <c r="AJF389" s="875" t="s">
        <v>1120</v>
      </c>
      <c r="AJG389" s="875" t="s">
        <v>1120</v>
      </c>
      <c r="AJH389" s="875" t="s">
        <v>1120</v>
      </c>
      <c r="AJI389" s="875" t="s">
        <v>1120</v>
      </c>
      <c r="AJJ389" s="875" t="s">
        <v>1120</v>
      </c>
      <c r="AJK389" s="875" t="s">
        <v>1120</v>
      </c>
      <c r="AJL389" s="875" t="s">
        <v>1120</v>
      </c>
      <c r="AJM389" s="875" t="s">
        <v>1120</v>
      </c>
      <c r="AJN389" s="875" t="s">
        <v>1120</v>
      </c>
      <c r="AJO389" s="875" t="s">
        <v>1120</v>
      </c>
      <c r="AJP389" s="875" t="s">
        <v>1120</v>
      </c>
      <c r="AJQ389" s="875" t="s">
        <v>1120</v>
      </c>
      <c r="AJR389" s="875" t="s">
        <v>1120</v>
      </c>
      <c r="AJS389" s="875" t="s">
        <v>1120</v>
      </c>
      <c r="AJT389" s="875" t="s">
        <v>1120</v>
      </c>
      <c r="AJU389" s="875" t="s">
        <v>1120</v>
      </c>
      <c r="AJV389" s="875" t="s">
        <v>1120</v>
      </c>
      <c r="AJW389" s="875" t="s">
        <v>1120</v>
      </c>
      <c r="AJX389" s="875" t="s">
        <v>1120</v>
      </c>
      <c r="AJY389" s="875" t="s">
        <v>1120</v>
      </c>
      <c r="AJZ389" s="875" t="s">
        <v>1120</v>
      </c>
      <c r="AKA389" s="875" t="s">
        <v>1120</v>
      </c>
      <c r="AKB389" s="875" t="s">
        <v>1120</v>
      </c>
      <c r="AKC389" s="875" t="s">
        <v>1120</v>
      </c>
      <c r="AKD389" s="875" t="s">
        <v>1120</v>
      </c>
      <c r="AKE389" s="875" t="s">
        <v>1120</v>
      </c>
      <c r="AKF389" s="875" t="s">
        <v>1120</v>
      </c>
      <c r="AKG389" s="875" t="s">
        <v>1120</v>
      </c>
      <c r="AKH389" s="875" t="s">
        <v>1120</v>
      </c>
      <c r="AKI389" s="875" t="s">
        <v>1120</v>
      </c>
      <c r="AKJ389" s="875" t="s">
        <v>1120</v>
      </c>
      <c r="AKK389" s="875" t="s">
        <v>1120</v>
      </c>
      <c r="AKL389" s="875" t="s">
        <v>1120</v>
      </c>
      <c r="AKM389" s="875" t="s">
        <v>1120</v>
      </c>
      <c r="AKN389" s="875" t="s">
        <v>1120</v>
      </c>
      <c r="AKO389" s="875" t="s">
        <v>1120</v>
      </c>
      <c r="AKP389" s="875" t="s">
        <v>1120</v>
      </c>
      <c r="AKQ389" s="875" t="s">
        <v>1120</v>
      </c>
      <c r="AKR389" s="875" t="s">
        <v>1120</v>
      </c>
      <c r="AKS389" s="875" t="s">
        <v>1120</v>
      </c>
      <c r="AKT389" s="875" t="s">
        <v>1120</v>
      </c>
      <c r="AKU389" s="875" t="s">
        <v>1120</v>
      </c>
      <c r="AKV389" s="875" t="s">
        <v>1120</v>
      </c>
      <c r="AKW389" s="875" t="s">
        <v>1120</v>
      </c>
      <c r="AKX389" s="875" t="s">
        <v>1120</v>
      </c>
      <c r="AKY389" s="875" t="s">
        <v>1120</v>
      </c>
      <c r="AKZ389" s="875" t="s">
        <v>1120</v>
      </c>
      <c r="ALA389" s="875" t="s">
        <v>1120</v>
      </c>
      <c r="ALB389" s="875" t="s">
        <v>1120</v>
      </c>
      <c r="ALC389" s="875" t="s">
        <v>1120</v>
      </c>
      <c r="ALD389" s="875" t="s">
        <v>1120</v>
      </c>
      <c r="ALE389" s="875" t="s">
        <v>1120</v>
      </c>
      <c r="ALF389" s="875" t="s">
        <v>1120</v>
      </c>
      <c r="ALG389" s="875" t="s">
        <v>1120</v>
      </c>
      <c r="ALH389" s="875" t="s">
        <v>1120</v>
      </c>
      <c r="ALI389" s="875" t="s">
        <v>1120</v>
      </c>
      <c r="ALJ389" s="875" t="s">
        <v>1120</v>
      </c>
      <c r="ALK389" s="875" t="s">
        <v>1120</v>
      </c>
      <c r="ALL389" s="875" t="s">
        <v>1120</v>
      </c>
      <c r="ALM389" s="875" t="s">
        <v>1120</v>
      </c>
      <c r="ALN389" s="875" t="s">
        <v>1120</v>
      </c>
      <c r="ALO389" s="875" t="s">
        <v>1120</v>
      </c>
      <c r="ALP389" s="875" t="s">
        <v>1120</v>
      </c>
      <c r="ALQ389" s="875" t="s">
        <v>1120</v>
      </c>
      <c r="ALR389" s="875" t="s">
        <v>1120</v>
      </c>
      <c r="ALS389" s="875" t="s">
        <v>1120</v>
      </c>
      <c r="ALT389" s="875" t="s">
        <v>1120</v>
      </c>
      <c r="ALU389" s="875" t="s">
        <v>1120</v>
      </c>
      <c r="ALV389" s="875" t="s">
        <v>1120</v>
      </c>
      <c r="ALW389" s="875" t="s">
        <v>1120</v>
      </c>
      <c r="ALX389" s="875" t="s">
        <v>1120</v>
      </c>
      <c r="ALY389" s="875" t="s">
        <v>1120</v>
      </c>
      <c r="ALZ389" s="875" t="s">
        <v>1120</v>
      </c>
      <c r="AMA389" s="875" t="s">
        <v>1120</v>
      </c>
      <c r="AMB389" s="875" t="s">
        <v>1120</v>
      </c>
      <c r="AMC389" s="875" t="s">
        <v>1120</v>
      </c>
      <c r="AMD389" s="875" t="s">
        <v>1120</v>
      </c>
      <c r="AME389" s="875" t="s">
        <v>1120</v>
      </c>
      <c r="AMF389" s="875" t="s">
        <v>1120</v>
      </c>
      <c r="AMG389" s="875" t="s">
        <v>1120</v>
      </c>
      <c r="AMH389" s="875" t="s">
        <v>1120</v>
      </c>
      <c r="AMI389" s="875" t="s">
        <v>1120</v>
      </c>
      <c r="AMJ389" s="875" t="s">
        <v>1120</v>
      </c>
      <c r="AMK389" s="875" t="s">
        <v>1120</v>
      </c>
      <c r="AML389" s="875" t="s">
        <v>1120</v>
      </c>
      <c r="AMM389" s="875" t="s">
        <v>1120</v>
      </c>
      <c r="AMN389" s="875" t="s">
        <v>1120</v>
      </c>
      <c r="AMO389" s="875" t="s">
        <v>1120</v>
      </c>
      <c r="AMP389" s="875" t="s">
        <v>1120</v>
      </c>
      <c r="AMQ389" s="875" t="s">
        <v>1120</v>
      </c>
      <c r="AMR389" s="875" t="s">
        <v>1120</v>
      </c>
      <c r="AMS389" s="875" t="s">
        <v>1120</v>
      </c>
      <c r="AMT389" s="875" t="s">
        <v>1120</v>
      </c>
      <c r="AMU389" s="875" t="s">
        <v>1120</v>
      </c>
      <c r="AMV389" s="875" t="s">
        <v>1120</v>
      </c>
      <c r="AMW389" s="875" t="s">
        <v>1120</v>
      </c>
      <c r="AMX389" s="875" t="s">
        <v>1120</v>
      </c>
      <c r="AMY389" s="875" t="s">
        <v>1120</v>
      </c>
      <c r="AMZ389" s="875" t="s">
        <v>1120</v>
      </c>
      <c r="ANA389" s="875" t="s">
        <v>1120</v>
      </c>
      <c r="ANB389" s="875" t="s">
        <v>1120</v>
      </c>
      <c r="ANC389" s="875" t="s">
        <v>1120</v>
      </c>
      <c r="AND389" s="875" t="s">
        <v>1120</v>
      </c>
      <c r="ANE389" s="875" t="s">
        <v>1120</v>
      </c>
      <c r="ANF389" s="875" t="s">
        <v>1120</v>
      </c>
      <c r="ANG389" s="875" t="s">
        <v>1120</v>
      </c>
      <c r="ANH389" s="875" t="s">
        <v>1120</v>
      </c>
      <c r="ANI389" s="875" t="s">
        <v>1120</v>
      </c>
      <c r="ANJ389" s="875" t="s">
        <v>1120</v>
      </c>
      <c r="ANK389" s="875" t="s">
        <v>1120</v>
      </c>
      <c r="ANL389" s="875" t="s">
        <v>1120</v>
      </c>
      <c r="ANM389" s="875" t="s">
        <v>1120</v>
      </c>
      <c r="ANN389" s="875" t="s">
        <v>1120</v>
      </c>
      <c r="ANO389" s="875" t="s">
        <v>1120</v>
      </c>
      <c r="ANP389" s="875" t="s">
        <v>1120</v>
      </c>
      <c r="ANQ389" s="875" t="s">
        <v>1120</v>
      </c>
      <c r="ANR389" s="875" t="s">
        <v>1120</v>
      </c>
      <c r="ANS389" s="875" t="s">
        <v>1120</v>
      </c>
      <c r="ANT389" s="875" t="s">
        <v>1120</v>
      </c>
      <c r="ANU389" s="875" t="s">
        <v>1120</v>
      </c>
      <c r="ANV389" s="875" t="s">
        <v>1120</v>
      </c>
      <c r="ANW389" s="875" t="s">
        <v>1120</v>
      </c>
      <c r="ANX389" s="875" t="s">
        <v>1120</v>
      </c>
      <c r="ANY389" s="875" t="s">
        <v>1120</v>
      </c>
      <c r="ANZ389" s="875" t="s">
        <v>1120</v>
      </c>
      <c r="AOA389" s="875" t="s">
        <v>1120</v>
      </c>
      <c r="AOB389" s="875" t="s">
        <v>1120</v>
      </c>
      <c r="AOC389" s="875" t="s">
        <v>1120</v>
      </c>
      <c r="AOD389" s="875" t="s">
        <v>1120</v>
      </c>
      <c r="AOE389" s="875" t="s">
        <v>1120</v>
      </c>
      <c r="AOF389" s="875" t="s">
        <v>1120</v>
      </c>
      <c r="AOG389" s="875" t="s">
        <v>1120</v>
      </c>
      <c r="AOH389" s="875" t="s">
        <v>1120</v>
      </c>
      <c r="AOI389" s="875" t="s">
        <v>1120</v>
      </c>
      <c r="AOJ389" s="875" t="s">
        <v>1120</v>
      </c>
      <c r="AOK389" s="875" t="s">
        <v>1120</v>
      </c>
      <c r="AOL389" s="875" t="s">
        <v>1120</v>
      </c>
      <c r="AOM389" s="875" t="s">
        <v>1120</v>
      </c>
      <c r="AON389" s="875" t="s">
        <v>1120</v>
      </c>
      <c r="AOO389" s="875" t="s">
        <v>1120</v>
      </c>
      <c r="AOP389" s="875" t="s">
        <v>1120</v>
      </c>
      <c r="AOQ389" s="875" t="s">
        <v>1120</v>
      </c>
      <c r="AOR389" s="875" t="s">
        <v>1120</v>
      </c>
      <c r="AOS389" s="875" t="s">
        <v>1120</v>
      </c>
      <c r="AOT389" s="875" t="s">
        <v>1120</v>
      </c>
      <c r="AOU389" s="875" t="s">
        <v>1120</v>
      </c>
      <c r="AOV389" s="875" t="s">
        <v>1120</v>
      </c>
      <c r="AOW389" s="875"/>
      <c r="AOY389" s="51"/>
      <c r="AOZ389" s="51"/>
      <c r="APA389" s="51"/>
      <c r="APB389" s="51"/>
      <c r="APC389" s="51"/>
      <c r="APD389" s="51"/>
      <c r="APE389" s="51"/>
      <c r="APF389" s="51"/>
      <c r="APG389" s="51"/>
      <c r="APH389" s="51"/>
      <c r="API389" s="51"/>
      <c r="APJ389" s="51"/>
    </row>
    <row r="390" spans="2:1102" hidden="1">
      <c r="B390" s="1000" t="s">
        <v>1053</v>
      </c>
      <c r="C390" s="1000"/>
      <c r="D390" s="836"/>
      <c r="E390" s="462" t="s">
        <v>115</v>
      </c>
      <c r="F390" s="462"/>
      <c r="G390" s="462" t="s">
        <v>65</v>
      </c>
      <c r="H390" s="462"/>
      <c r="I390" s="875" t="s">
        <v>1027</v>
      </c>
      <c r="J390" s="875" t="s">
        <v>395</v>
      </c>
      <c r="K390" s="875" t="s">
        <v>1029</v>
      </c>
      <c r="L390" s="875" t="s">
        <v>396</v>
      </c>
      <c r="M390" s="875" t="s">
        <v>397</v>
      </c>
      <c r="N390" s="875" t="s">
        <v>398</v>
      </c>
      <c r="O390" s="875" t="s">
        <v>399</v>
      </c>
      <c r="P390" s="875" t="s">
        <v>393</v>
      </c>
      <c r="Q390" s="875" t="s">
        <v>1030</v>
      </c>
      <c r="R390" s="875" t="s">
        <v>1031</v>
      </c>
      <c r="S390" s="875" t="s">
        <v>1027</v>
      </c>
      <c r="T390" s="875" t="s">
        <v>395</v>
      </c>
      <c r="U390" s="875" t="s">
        <v>1029</v>
      </c>
      <c r="V390" s="875" t="s">
        <v>396</v>
      </c>
      <c r="W390" s="875" t="s">
        <v>397</v>
      </c>
      <c r="X390" s="875" t="s">
        <v>398</v>
      </c>
      <c r="Y390" s="875" t="s">
        <v>399</v>
      </c>
      <c r="Z390" s="875" t="s">
        <v>393</v>
      </c>
      <c r="AA390" s="875" t="s">
        <v>1030</v>
      </c>
      <c r="AB390" s="875" t="s">
        <v>1031</v>
      </c>
      <c r="AC390" s="875" t="s">
        <v>1027</v>
      </c>
      <c r="AD390" s="875" t="s">
        <v>395</v>
      </c>
      <c r="AE390" s="875" t="s">
        <v>1029</v>
      </c>
      <c r="AF390" s="875" t="s">
        <v>396</v>
      </c>
      <c r="AG390" s="875" t="s">
        <v>397</v>
      </c>
      <c r="AH390" s="875" t="s">
        <v>398</v>
      </c>
      <c r="AI390" s="875" t="s">
        <v>399</v>
      </c>
      <c r="AJ390" s="875" t="s">
        <v>393</v>
      </c>
      <c r="AK390" s="875" t="s">
        <v>1030</v>
      </c>
      <c r="AL390" s="875" t="s">
        <v>1031</v>
      </c>
      <c r="AM390" s="875" t="s">
        <v>1027</v>
      </c>
      <c r="AN390" s="875" t="s">
        <v>395</v>
      </c>
      <c r="AO390" s="875" t="s">
        <v>1029</v>
      </c>
      <c r="AP390" s="875" t="s">
        <v>396</v>
      </c>
      <c r="AQ390" s="875" t="s">
        <v>397</v>
      </c>
      <c r="AR390" s="875" t="s">
        <v>398</v>
      </c>
      <c r="AS390" s="875" t="s">
        <v>399</v>
      </c>
      <c r="AT390" s="875" t="s">
        <v>393</v>
      </c>
      <c r="AU390" s="875" t="s">
        <v>1030</v>
      </c>
      <c r="AV390" s="875" t="s">
        <v>1031</v>
      </c>
      <c r="AW390" s="875" t="s">
        <v>1027</v>
      </c>
      <c r="AX390" s="875" t="s">
        <v>395</v>
      </c>
      <c r="AY390" s="875" t="s">
        <v>1029</v>
      </c>
      <c r="AZ390" s="875" t="s">
        <v>396</v>
      </c>
      <c r="BA390" s="875" t="s">
        <v>397</v>
      </c>
      <c r="BB390" s="875" t="s">
        <v>398</v>
      </c>
      <c r="BC390" s="875" t="s">
        <v>399</v>
      </c>
      <c r="BD390" s="875" t="s">
        <v>393</v>
      </c>
      <c r="BE390" s="875" t="s">
        <v>1030</v>
      </c>
      <c r="BF390" s="875" t="s">
        <v>1031</v>
      </c>
      <c r="BG390" s="875" t="s">
        <v>1027</v>
      </c>
      <c r="BH390" s="875" t="s">
        <v>395</v>
      </c>
      <c r="BI390" s="875" t="s">
        <v>1029</v>
      </c>
      <c r="BJ390" s="875" t="s">
        <v>396</v>
      </c>
      <c r="BK390" s="875" t="s">
        <v>397</v>
      </c>
      <c r="BL390" s="875" t="s">
        <v>398</v>
      </c>
      <c r="BM390" s="875" t="s">
        <v>399</v>
      </c>
      <c r="BN390" s="875" t="s">
        <v>393</v>
      </c>
      <c r="BO390" s="875" t="s">
        <v>1030</v>
      </c>
      <c r="BP390" s="875" t="s">
        <v>1031</v>
      </c>
      <c r="BQ390" s="875" t="s">
        <v>1027</v>
      </c>
      <c r="BR390" s="875" t="s">
        <v>395</v>
      </c>
      <c r="BS390" s="875" t="s">
        <v>1029</v>
      </c>
      <c r="BT390" s="875" t="s">
        <v>396</v>
      </c>
      <c r="BU390" s="875" t="s">
        <v>397</v>
      </c>
      <c r="BV390" s="875" t="s">
        <v>398</v>
      </c>
      <c r="BW390" s="875" t="s">
        <v>399</v>
      </c>
      <c r="BX390" s="875" t="s">
        <v>393</v>
      </c>
      <c r="BY390" s="875" t="s">
        <v>1030</v>
      </c>
      <c r="BZ390" s="875" t="s">
        <v>1031</v>
      </c>
      <c r="CA390" s="875" t="s">
        <v>1027</v>
      </c>
      <c r="CB390" s="875" t="s">
        <v>395</v>
      </c>
      <c r="CC390" s="875" t="s">
        <v>1029</v>
      </c>
      <c r="CD390" s="875" t="s">
        <v>396</v>
      </c>
      <c r="CE390" s="875" t="s">
        <v>397</v>
      </c>
      <c r="CF390" s="875" t="s">
        <v>398</v>
      </c>
      <c r="CG390" s="875" t="s">
        <v>399</v>
      </c>
      <c r="CH390" s="875" t="s">
        <v>393</v>
      </c>
      <c r="CI390" s="875" t="s">
        <v>1030</v>
      </c>
      <c r="CJ390" s="875" t="s">
        <v>1031</v>
      </c>
      <c r="CK390" s="875" t="s">
        <v>1027</v>
      </c>
      <c r="CL390" s="875" t="s">
        <v>395</v>
      </c>
      <c r="CM390" s="875" t="s">
        <v>1029</v>
      </c>
      <c r="CN390" s="875" t="s">
        <v>396</v>
      </c>
      <c r="CO390" s="875" t="s">
        <v>397</v>
      </c>
      <c r="CP390" s="875" t="s">
        <v>398</v>
      </c>
      <c r="CQ390" s="875" t="s">
        <v>399</v>
      </c>
      <c r="CR390" s="875" t="s">
        <v>393</v>
      </c>
      <c r="CS390" s="875" t="s">
        <v>1030</v>
      </c>
      <c r="CT390" s="875" t="s">
        <v>1031</v>
      </c>
      <c r="CU390" s="875" t="s">
        <v>1027</v>
      </c>
      <c r="CV390" s="875" t="s">
        <v>395</v>
      </c>
      <c r="CW390" s="875" t="s">
        <v>1029</v>
      </c>
      <c r="CX390" s="875" t="s">
        <v>396</v>
      </c>
      <c r="CY390" s="875" t="s">
        <v>397</v>
      </c>
      <c r="CZ390" s="875" t="s">
        <v>398</v>
      </c>
      <c r="DA390" s="875" t="s">
        <v>399</v>
      </c>
      <c r="DB390" s="875" t="s">
        <v>393</v>
      </c>
      <c r="DC390" s="875" t="s">
        <v>1030</v>
      </c>
      <c r="DD390" s="875" t="s">
        <v>1031</v>
      </c>
      <c r="DE390" s="875" t="s">
        <v>1027</v>
      </c>
      <c r="DF390" s="875" t="s">
        <v>395</v>
      </c>
      <c r="DG390" s="875" t="s">
        <v>1029</v>
      </c>
      <c r="DH390" s="875" t="s">
        <v>396</v>
      </c>
      <c r="DI390" s="875" t="s">
        <v>397</v>
      </c>
      <c r="DJ390" s="875" t="s">
        <v>398</v>
      </c>
      <c r="DK390" s="875" t="s">
        <v>399</v>
      </c>
      <c r="DL390" s="875" t="s">
        <v>393</v>
      </c>
      <c r="DM390" s="875" t="s">
        <v>1030</v>
      </c>
      <c r="DN390" s="875" t="s">
        <v>1031</v>
      </c>
      <c r="DO390" s="875" t="s">
        <v>1027</v>
      </c>
      <c r="DP390" s="875" t="s">
        <v>395</v>
      </c>
      <c r="DQ390" s="875" t="s">
        <v>1029</v>
      </c>
      <c r="DR390" s="875" t="s">
        <v>396</v>
      </c>
      <c r="DS390" s="875" t="s">
        <v>397</v>
      </c>
      <c r="DT390" s="875" t="s">
        <v>398</v>
      </c>
      <c r="DU390" s="875" t="s">
        <v>399</v>
      </c>
      <c r="DV390" s="875" t="s">
        <v>393</v>
      </c>
      <c r="DW390" s="875" t="s">
        <v>1030</v>
      </c>
      <c r="DX390" s="875" t="s">
        <v>1031</v>
      </c>
      <c r="DY390" s="875" t="s">
        <v>1027</v>
      </c>
      <c r="DZ390" s="875" t="s">
        <v>395</v>
      </c>
      <c r="EA390" s="875" t="s">
        <v>1029</v>
      </c>
      <c r="EB390" s="875" t="s">
        <v>396</v>
      </c>
      <c r="EC390" s="875" t="s">
        <v>397</v>
      </c>
      <c r="ED390" s="875" t="s">
        <v>398</v>
      </c>
      <c r="EE390" s="875" t="s">
        <v>399</v>
      </c>
      <c r="EF390" s="875" t="s">
        <v>393</v>
      </c>
      <c r="EG390" s="875" t="s">
        <v>1030</v>
      </c>
      <c r="EH390" s="875" t="s">
        <v>1031</v>
      </c>
      <c r="EI390" s="875" t="s">
        <v>1027</v>
      </c>
      <c r="EJ390" s="875" t="s">
        <v>395</v>
      </c>
      <c r="EK390" s="875" t="s">
        <v>1029</v>
      </c>
      <c r="EL390" s="875" t="s">
        <v>396</v>
      </c>
      <c r="EM390" s="875" t="s">
        <v>397</v>
      </c>
      <c r="EN390" s="875" t="s">
        <v>398</v>
      </c>
      <c r="EO390" s="875" t="s">
        <v>399</v>
      </c>
      <c r="EP390" s="875" t="s">
        <v>393</v>
      </c>
      <c r="EQ390" s="875" t="s">
        <v>1030</v>
      </c>
      <c r="ER390" s="875" t="s">
        <v>1031</v>
      </c>
      <c r="ES390" s="875" t="s">
        <v>1027</v>
      </c>
      <c r="ET390" s="875" t="s">
        <v>395</v>
      </c>
      <c r="EU390" s="875" t="s">
        <v>1029</v>
      </c>
      <c r="EV390" s="875" t="s">
        <v>396</v>
      </c>
      <c r="EW390" s="875" t="s">
        <v>397</v>
      </c>
      <c r="EX390" s="875" t="s">
        <v>398</v>
      </c>
      <c r="EY390" s="875" t="s">
        <v>399</v>
      </c>
      <c r="EZ390" s="875" t="s">
        <v>393</v>
      </c>
      <c r="FA390" s="875" t="s">
        <v>1030</v>
      </c>
      <c r="FB390" s="875" t="s">
        <v>1031</v>
      </c>
      <c r="FC390" s="875" t="s">
        <v>1027</v>
      </c>
      <c r="FD390" s="875" t="s">
        <v>395</v>
      </c>
      <c r="FE390" s="875" t="s">
        <v>1029</v>
      </c>
      <c r="FF390" s="875" t="s">
        <v>396</v>
      </c>
      <c r="FG390" s="875" t="s">
        <v>397</v>
      </c>
      <c r="FH390" s="875" t="s">
        <v>398</v>
      </c>
      <c r="FI390" s="875" t="s">
        <v>399</v>
      </c>
      <c r="FJ390" s="875" t="s">
        <v>393</v>
      </c>
      <c r="FK390" s="875" t="s">
        <v>1030</v>
      </c>
      <c r="FL390" s="875" t="s">
        <v>1031</v>
      </c>
      <c r="FM390" s="875" t="s">
        <v>1027</v>
      </c>
      <c r="FN390" s="875" t="s">
        <v>395</v>
      </c>
      <c r="FO390" s="875" t="s">
        <v>1029</v>
      </c>
      <c r="FP390" s="875" t="s">
        <v>396</v>
      </c>
      <c r="FQ390" s="875" t="s">
        <v>397</v>
      </c>
      <c r="FR390" s="875" t="s">
        <v>398</v>
      </c>
      <c r="FS390" s="875" t="s">
        <v>399</v>
      </c>
      <c r="FT390" s="875" t="s">
        <v>393</v>
      </c>
      <c r="FU390" s="875" t="s">
        <v>1030</v>
      </c>
      <c r="FV390" s="875" t="s">
        <v>1031</v>
      </c>
      <c r="FW390" s="875" t="s">
        <v>1027</v>
      </c>
      <c r="FX390" s="875" t="s">
        <v>395</v>
      </c>
      <c r="FY390" s="875" t="s">
        <v>1029</v>
      </c>
      <c r="FZ390" s="875" t="s">
        <v>396</v>
      </c>
      <c r="GA390" s="875" t="s">
        <v>397</v>
      </c>
      <c r="GB390" s="875" t="s">
        <v>398</v>
      </c>
      <c r="GC390" s="875" t="s">
        <v>399</v>
      </c>
      <c r="GD390" s="875" t="s">
        <v>393</v>
      </c>
      <c r="GE390" s="875" t="s">
        <v>1030</v>
      </c>
      <c r="GF390" s="875" t="s">
        <v>1031</v>
      </c>
      <c r="GG390" s="875" t="s">
        <v>1027</v>
      </c>
      <c r="GH390" s="875" t="s">
        <v>395</v>
      </c>
      <c r="GI390" s="875" t="s">
        <v>1029</v>
      </c>
      <c r="GJ390" s="875" t="s">
        <v>396</v>
      </c>
      <c r="GK390" s="875" t="s">
        <v>397</v>
      </c>
      <c r="GL390" s="875" t="s">
        <v>398</v>
      </c>
      <c r="GM390" s="875" t="s">
        <v>399</v>
      </c>
      <c r="GN390" s="875" t="s">
        <v>393</v>
      </c>
      <c r="GO390" s="875" t="s">
        <v>1030</v>
      </c>
      <c r="GP390" s="875" t="s">
        <v>1031</v>
      </c>
      <c r="GQ390" s="875" t="s">
        <v>1027</v>
      </c>
      <c r="GR390" s="875" t="s">
        <v>395</v>
      </c>
      <c r="GS390" s="875" t="s">
        <v>1029</v>
      </c>
      <c r="GT390" s="875" t="s">
        <v>396</v>
      </c>
      <c r="GU390" s="875" t="s">
        <v>397</v>
      </c>
      <c r="GV390" s="875" t="s">
        <v>398</v>
      </c>
      <c r="GW390" s="875" t="s">
        <v>399</v>
      </c>
      <c r="GX390" s="875" t="s">
        <v>393</v>
      </c>
      <c r="GY390" s="875" t="s">
        <v>1030</v>
      </c>
      <c r="GZ390" s="875" t="s">
        <v>1031</v>
      </c>
      <c r="HA390" s="875" t="s">
        <v>1027</v>
      </c>
      <c r="HB390" s="875" t="s">
        <v>395</v>
      </c>
      <c r="HC390" s="875" t="s">
        <v>1029</v>
      </c>
      <c r="HD390" s="875" t="s">
        <v>396</v>
      </c>
      <c r="HE390" s="875" t="s">
        <v>397</v>
      </c>
      <c r="HF390" s="875" t="s">
        <v>398</v>
      </c>
      <c r="HG390" s="875" t="s">
        <v>399</v>
      </c>
      <c r="HH390" s="875" t="s">
        <v>393</v>
      </c>
      <c r="HI390" s="875" t="s">
        <v>1030</v>
      </c>
      <c r="HJ390" s="875" t="s">
        <v>1031</v>
      </c>
      <c r="HK390" s="875" t="s">
        <v>1027</v>
      </c>
      <c r="HL390" s="875" t="s">
        <v>395</v>
      </c>
      <c r="HM390" s="875" t="s">
        <v>1029</v>
      </c>
      <c r="HN390" s="875" t="s">
        <v>396</v>
      </c>
      <c r="HO390" s="875" t="s">
        <v>397</v>
      </c>
      <c r="HP390" s="875" t="s">
        <v>398</v>
      </c>
      <c r="HQ390" s="875" t="s">
        <v>399</v>
      </c>
      <c r="HR390" s="875" t="s">
        <v>393</v>
      </c>
      <c r="HS390" s="875" t="s">
        <v>1030</v>
      </c>
      <c r="HT390" s="875" t="s">
        <v>1031</v>
      </c>
      <c r="HU390" s="875" t="s">
        <v>1027</v>
      </c>
      <c r="HV390" s="875" t="s">
        <v>395</v>
      </c>
      <c r="HW390" s="875" t="s">
        <v>1029</v>
      </c>
      <c r="HX390" s="875" t="s">
        <v>396</v>
      </c>
      <c r="HY390" s="875" t="s">
        <v>397</v>
      </c>
      <c r="HZ390" s="875" t="s">
        <v>398</v>
      </c>
      <c r="IA390" s="875" t="s">
        <v>399</v>
      </c>
      <c r="IB390" s="875" t="s">
        <v>393</v>
      </c>
      <c r="IC390" s="875" t="s">
        <v>1030</v>
      </c>
      <c r="ID390" s="875" t="s">
        <v>1031</v>
      </c>
      <c r="IE390" s="875" t="s">
        <v>1027</v>
      </c>
      <c r="IF390" s="875" t="s">
        <v>395</v>
      </c>
      <c r="IG390" s="875" t="s">
        <v>1029</v>
      </c>
      <c r="IH390" s="875" t="s">
        <v>396</v>
      </c>
      <c r="II390" s="875" t="s">
        <v>397</v>
      </c>
      <c r="IJ390" s="875" t="s">
        <v>398</v>
      </c>
      <c r="IK390" s="875" t="s">
        <v>399</v>
      </c>
      <c r="IL390" s="875" t="s">
        <v>393</v>
      </c>
      <c r="IM390" s="875" t="s">
        <v>1030</v>
      </c>
      <c r="IN390" s="875" t="s">
        <v>1031</v>
      </c>
      <c r="IO390" s="875" t="s">
        <v>1027</v>
      </c>
      <c r="IP390" s="875" t="s">
        <v>395</v>
      </c>
      <c r="IQ390" s="875" t="s">
        <v>1029</v>
      </c>
      <c r="IR390" s="875" t="s">
        <v>396</v>
      </c>
      <c r="IS390" s="875" t="s">
        <v>397</v>
      </c>
      <c r="IT390" s="875" t="s">
        <v>398</v>
      </c>
      <c r="IU390" s="875" t="s">
        <v>399</v>
      </c>
      <c r="IV390" s="875" t="s">
        <v>393</v>
      </c>
      <c r="IW390" s="875" t="s">
        <v>1030</v>
      </c>
      <c r="IX390" s="875" t="s">
        <v>1031</v>
      </c>
      <c r="IY390" s="875" t="s">
        <v>1027</v>
      </c>
      <c r="IZ390" s="875" t="s">
        <v>395</v>
      </c>
      <c r="JA390" s="875" t="s">
        <v>1029</v>
      </c>
      <c r="JB390" s="875" t="s">
        <v>396</v>
      </c>
      <c r="JC390" s="875" t="s">
        <v>397</v>
      </c>
      <c r="JD390" s="875" t="s">
        <v>398</v>
      </c>
      <c r="JE390" s="875" t="s">
        <v>399</v>
      </c>
      <c r="JF390" s="875" t="s">
        <v>393</v>
      </c>
      <c r="JG390" s="875" t="s">
        <v>1030</v>
      </c>
      <c r="JH390" s="875" t="s">
        <v>1031</v>
      </c>
      <c r="JI390" s="875" t="s">
        <v>1027</v>
      </c>
      <c r="JJ390" s="875" t="s">
        <v>395</v>
      </c>
      <c r="JK390" s="875" t="s">
        <v>1029</v>
      </c>
      <c r="JL390" s="875" t="s">
        <v>396</v>
      </c>
      <c r="JM390" s="875" t="s">
        <v>397</v>
      </c>
      <c r="JN390" s="875" t="s">
        <v>398</v>
      </c>
      <c r="JO390" s="875" t="s">
        <v>399</v>
      </c>
      <c r="JP390" s="875" t="s">
        <v>393</v>
      </c>
      <c r="JQ390" s="875" t="s">
        <v>1030</v>
      </c>
      <c r="JR390" s="875" t="s">
        <v>1031</v>
      </c>
      <c r="JS390" s="875" t="s">
        <v>1027</v>
      </c>
      <c r="JT390" s="875" t="s">
        <v>395</v>
      </c>
      <c r="JU390" s="875" t="s">
        <v>1029</v>
      </c>
      <c r="JV390" s="875" t="s">
        <v>396</v>
      </c>
      <c r="JW390" s="875" t="s">
        <v>397</v>
      </c>
      <c r="JX390" s="875" t="s">
        <v>398</v>
      </c>
      <c r="JY390" s="875" t="s">
        <v>399</v>
      </c>
      <c r="JZ390" s="875" t="s">
        <v>393</v>
      </c>
      <c r="KA390" s="875" t="s">
        <v>1030</v>
      </c>
      <c r="KB390" s="875" t="s">
        <v>1031</v>
      </c>
      <c r="KC390" s="875" t="s">
        <v>1027</v>
      </c>
      <c r="KD390" s="875" t="s">
        <v>395</v>
      </c>
      <c r="KE390" s="875" t="s">
        <v>1029</v>
      </c>
      <c r="KF390" s="875" t="s">
        <v>396</v>
      </c>
      <c r="KG390" s="875" t="s">
        <v>397</v>
      </c>
      <c r="KH390" s="875" t="s">
        <v>398</v>
      </c>
      <c r="KI390" s="875" t="s">
        <v>399</v>
      </c>
      <c r="KJ390" s="875" t="s">
        <v>393</v>
      </c>
      <c r="KK390" s="875" t="s">
        <v>1030</v>
      </c>
      <c r="KL390" s="875" t="s">
        <v>1031</v>
      </c>
      <c r="KM390" s="875" t="s">
        <v>1027</v>
      </c>
      <c r="KN390" s="875" t="s">
        <v>395</v>
      </c>
      <c r="KO390" s="875" t="s">
        <v>1029</v>
      </c>
      <c r="KP390" s="875" t="s">
        <v>396</v>
      </c>
      <c r="KQ390" s="875" t="s">
        <v>397</v>
      </c>
      <c r="KR390" s="875" t="s">
        <v>398</v>
      </c>
      <c r="KS390" s="875" t="s">
        <v>399</v>
      </c>
      <c r="KT390" s="875" t="s">
        <v>393</v>
      </c>
      <c r="KU390" s="875" t="s">
        <v>1030</v>
      </c>
      <c r="KV390" s="875" t="s">
        <v>1031</v>
      </c>
      <c r="KW390" s="875" t="s">
        <v>1027</v>
      </c>
      <c r="KX390" s="875" t="s">
        <v>395</v>
      </c>
      <c r="KY390" s="875" t="s">
        <v>1029</v>
      </c>
      <c r="KZ390" s="875" t="s">
        <v>396</v>
      </c>
      <c r="LA390" s="875" t="s">
        <v>397</v>
      </c>
      <c r="LB390" s="875" t="s">
        <v>398</v>
      </c>
      <c r="LC390" s="875" t="s">
        <v>399</v>
      </c>
      <c r="LD390" s="875" t="s">
        <v>393</v>
      </c>
      <c r="LE390" s="875" t="s">
        <v>1030</v>
      </c>
      <c r="LF390" s="875" t="s">
        <v>1031</v>
      </c>
      <c r="LG390" s="875" t="s">
        <v>1027</v>
      </c>
      <c r="LH390" s="875" t="s">
        <v>395</v>
      </c>
      <c r="LI390" s="875" t="s">
        <v>1029</v>
      </c>
      <c r="LJ390" s="875" t="s">
        <v>396</v>
      </c>
      <c r="LK390" s="875" t="s">
        <v>397</v>
      </c>
      <c r="LL390" s="875" t="s">
        <v>398</v>
      </c>
      <c r="LM390" s="875" t="s">
        <v>399</v>
      </c>
      <c r="LN390" s="875" t="s">
        <v>393</v>
      </c>
      <c r="LO390" s="875" t="s">
        <v>1030</v>
      </c>
      <c r="LP390" s="875" t="s">
        <v>1031</v>
      </c>
      <c r="LQ390" s="875" t="s">
        <v>1027</v>
      </c>
      <c r="LR390" s="875" t="s">
        <v>395</v>
      </c>
      <c r="LS390" s="875" t="s">
        <v>1029</v>
      </c>
      <c r="LT390" s="875" t="s">
        <v>396</v>
      </c>
      <c r="LU390" s="875" t="s">
        <v>397</v>
      </c>
      <c r="LV390" s="875" t="s">
        <v>398</v>
      </c>
      <c r="LW390" s="875" t="s">
        <v>399</v>
      </c>
      <c r="LX390" s="875" t="s">
        <v>393</v>
      </c>
      <c r="LY390" s="875" t="s">
        <v>1030</v>
      </c>
      <c r="LZ390" s="875" t="s">
        <v>1031</v>
      </c>
      <c r="MA390" s="875" t="s">
        <v>1027</v>
      </c>
      <c r="MB390" s="875" t="s">
        <v>395</v>
      </c>
      <c r="MC390" s="875" t="s">
        <v>1029</v>
      </c>
      <c r="MD390" s="875" t="s">
        <v>396</v>
      </c>
      <c r="ME390" s="875" t="s">
        <v>397</v>
      </c>
      <c r="MF390" s="875" t="s">
        <v>398</v>
      </c>
      <c r="MG390" s="875" t="s">
        <v>399</v>
      </c>
      <c r="MH390" s="875" t="s">
        <v>393</v>
      </c>
      <c r="MI390" s="875" t="s">
        <v>1030</v>
      </c>
      <c r="MJ390" s="875" t="s">
        <v>1031</v>
      </c>
      <c r="MK390" s="875" t="s">
        <v>1027</v>
      </c>
      <c r="ML390" s="875" t="s">
        <v>395</v>
      </c>
      <c r="MM390" s="875" t="s">
        <v>1029</v>
      </c>
      <c r="MN390" s="875" t="s">
        <v>396</v>
      </c>
      <c r="MO390" s="875" t="s">
        <v>397</v>
      </c>
      <c r="MP390" s="875" t="s">
        <v>398</v>
      </c>
      <c r="MQ390" s="875" t="s">
        <v>399</v>
      </c>
      <c r="MR390" s="875" t="s">
        <v>393</v>
      </c>
      <c r="MS390" s="875" t="s">
        <v>1030</v>
      </c>
      <c r="MT390" s="875" t="s">
        <v>1031</v>
      </c>
      <c r="MU390" s="875" t="s">
        <v>1027</v>
      </c>
      <c r="MV390" s="875" t="s">
        <v>395</v>
      </c>
      <c r="MW390" s="875" t="s">
        <v>1029</v>
      </c>
      <c r="MX390" s="875" t="s">
        <v>396</v>
      </c>
      <c r="MY390" s="875" t="s">
        <v>397</v>
      </c>
      <c r="MZ390" s="875" t="s">
        <v>398</v>
      </c>
      <c r="NA390" s="875" t="s">
        <v>399</v>
      </c>
      <c r="NB390" s="875" t="s">
        <v>393</v>
      </c>
      <c r="NC390" s="875" t="s">
        <v>1030</v>
      </c>
      <c r="ND390" s="875" t="s">
        <v>1031</v>
      </c>
      <c r="NE390" s="875" t="s">
        <v>1027</v>
      </c>
      <c r="NF390" s="875" t="s">
        <v>395</v>
      </c>
      <c r="NG390" s="875" t="s">
        <v>1029</v>
      </c>
      <c r="NH390" s="875" t="s">
        <v>396</v>
      </c>
      <c r="NI390" s="875" t="s">
        <v>397</v>
      </c>
      <c r="NJ390" s="875" t="s">
        <v>398</v>
      </c>
      <c r="NK390" s="875" t="s">
        <v>399</v>
      </c>
      <c r="NL390" s="875" t="s">
        <v>393</v>
      </c>
      <c r="NM390" s="875" t="s">
        <v>1030</v>
      </c>
      <c r="NN390" s="875" t="s">
        <v>1031</v>
      </c>
      <c r="NO390" s="875" t="s">
        <v>1027</v>
      </c>
      <c r="NP390" s="875" t="s">
        <v>395</v>
      </c>
      <c r="NQ390" s="875" t="s">
        <v>1029</v>
      </c>
      <c r="NR390" s="875" t="s">
        <v>396</v>
      </c>
      <c r="NS390" s="875" t="s">
        <v>397</v>
      </c>
      <c r="NT390" s="875" t="s">
        <v>398</v>
      </c>
      <c r="NU390" s="875" t="s">
        <v>399</v>
      </c>
      <c r="NV390" s="875" t="s">
        <v>393</v>
      </c>
      <c r="NW390" s="875" t="s">
        <v>1030</v>
      </c>
      <c r="NX390" s="875" t="s">
        <v>1031</v>
      </c>
      <c r="NY390" s="875" t="s">
        <v>1027</v>
      </c>
      <c r="NZ390" s="875" t="s">
        <v>395</v>
      </c>
      <c r="OA390" s="875" t="s">
        <v>1029</v>
      </c>
      <c r="OB390" s="875" t="s">
        <v>396</v>
      </c>
      <c r="OC390" s="875" t="s">
        <v>397</v>
      </c>
      <c r="OD390" s="875" t="s">
        <v>398</v>
      </c>
      <c r="OE390" s="875" t="s">
        <v>399</v>
      </c>
      <c r="OF390" s="875" t="s">
        <v>393</v>
      </c>
      <c r="OG390" s="875" t="s">
        <v>1030</v>
      </c>
      <c r="OH390" s="875" t="s">
        <v>1031</v>
      </c>
      <c r="OI390" s="875" t="s">
        <v>1027</v>
      </c>
      <c r="OJ390" s="875" t="s">
        <v>395</v>
      </c>
      <c r="OK390" s="875" t="s">
        <v>1029</v>
      </c>
      <c r="OL390" s="875" t="s">
        <v>396</v>
      </c>
      <c r="OM390" s="875" t="s">
        <v>397</v>
      </c>
      <c r="ON390" s="875" t="s">
        <v>398</v>
      </c>
      <c r="OO390" s="875" t="s">
        <v>399</v>
      </c>
      <c r="OP390" s="875" t="s">
        <v>393</v>
      </c>
      <c r="OQ390" s="875" t="s">
        <v>1030</v>
      </c>
      <c r="OR390" s="875" t="s">
        <v>1031</v>
      </c>
      <c r="OS390" s="875" t="s">
        <v>1027</v>
      </c>
      <c r="OT390" s="875" t="s">
        <v>395</v>
      </c>
      <c r="OU390" s="875" t="s">
        <v>1029</v>
      </c>
      <c r="OV390" s="875" t="s">
        <v>396</v>
      </c>
      <c r="OW390" s="875" t="s">
        <v>397</v>
      </c>
      <c r="OX390" s="875" t="s">
        <v>398</v>
      </c>
      <c r="OY390" s="875" t="s">
        <v>399</v>
      </c>
      <c r="OZ390" s="875" t="s">
        <v>393</v>
      </c>
      <c r="PA390" s="875" t="s">
        <v>1030</v>
      </c>
      <c r="PB390" s="875" t="s">
        <v>1031</v>
      </c>
      <c r="PC390" s="875" t="s">
        <v>1027</v>
      </c>
      <c r="PD390" s="875" t="s">
        <v>395</v>
      </c>
      <c r="PE390" s="875" t="s">
        <v>1029</v>
      </c>
      <c r="PF390" s="875" t="s">
        <v>396</v>
      </c>
      <c r="PG390" s="875" t="s">
        <v>397</v>
      </c>
      <c r="PH390" s="875" t="s">
        <v>398</v>
      </c>
      <c r="PI390" s="875" t="s">
        <v>399</v>
      </c>
      <c r="PJ390" s="875" t="s">
        <v>393</v>
      </c>
      <c r="PK390" s="875" t="s">
        <v>1030</v>
      </c>
      <c r="PL390" s="875" t="s">
        <v>1031</v>
      </c>
      <c r="PM390" s="875" t="s">
        <v>1027</v>
      </c>
      <c r="PN390" s="875" t="s">
        <v>395</v>
      </c>
      <c r="PO390" s="875" t="s">
        <v>1029</v>
      </c>
      <c r="PP390" s="875" t="s">
        <v>396</v>
      </c>
      <c r="PQ390" s="875" t="s">
        <v>397</v>
      </c>
      <c r="PR390" s="875" t="s">
        <v>398</v>
      </c>
      <c r="PS390" s="875" t="s">
        <v>399</v>
      </c>
      <c r="PT390" s="875" t="s">
        <v>393</v>
      </c>
      <c r="PU390" s="875" t="s">
        <v>1030</v>
      </c>
      <c r="PV390" s="875" t="s">
        <v>1031</v>
      </c>
      <c r="PW390" s="875" t="s">
        <v>1027</v>
      </c>
      <c r="PX390" s="875" t="s">
        <v>395</v>
      </c>
      <c r="PY390" s="875" t="s">
        <v>1029</v>
      </c>
      <c r="PZ390" s="875" t="s">
        <v>396</v>
      </c>
      <c r="QA390" s="875" t="s">
        <v>397</v>
      </c>
      <c r="QB390" s="875" t="s">
        <v>398</v>
      </c>
      <c r="QC390" s="875" t="s">
        <v>399</v>
      </c>
      <c r="QD390" s="875" t="s">
        <v>393</v>
      </c>
      <c r="QE390" s="875" t="s">
        <v>1030</v>
      </c>
      <c r="QF390" s="875" t="s">
        <v>1031</v>
      </c>
      <c r="QG390" s="875" t="s">
        <v>1027</v>
      </c>
      <c r="QH390" s="875" t="s">
        <v>395</v>
      </c>
      <c r="QI390" s="875" t="s">
        <v>1029</v>
      </c>
      <c r="QJ390" s="875" t="s">
        <v>396</v>
      </c>
      <c r="QK390" s="875" t="s">
        <v>397</v>
      </c>
      <c r="QL390" s="875" t="s">
        <v>398</v>
      </c>
      <c r="QM390" s="875" t="s">
        <v>399</v>
      </c>
      <c r="QN390" s="875" t="s">
        <v>393</v>
      </c>
      <c r="QO390" s="875" t="s">
        <v>1030</v>
      </c>
      <c r="QP390" s="875" t="s">
        <v>1031</v>
      </c>
      <c r="QQ390" s="875" t="s">
        <v>1027</v>
      </c>
      <c r="QR390" s="875" t="s">
        <v>395</v>
      </c>
      <c r="QS390" s="875" t="s">
        <v>1029</v>
      </c>
      <c r="QT390" s="875" t="s">
        <v>396</v>
      </c>
      <c r="QU390" s="875" t="s">
        <v>397</v>
      </c>
      <c r="QV390" s="875" t="s">
        <v>398</v>
      </c>
      <c r="QW390" s="875" t="s">
        <v>399</v>
      </c>
      <c r="QX390" s="875" t="s">
        <v>393</v>
      </c>
      <c r="QY390" s="875" t="s">
        <v>1030</v>
      </c>
      <c r="QZ390" s="875" t="s">
        <v>1031</v>
      </c>
      <c r="RA390" s="875" t="s">
        <v>1027</v>
      </c>
      <c r="RB390" s="875" t="s">
        <v>395</v>
      </c>
      <c r="RC390" s="875" t="s">
        <v>1029</v>
      </c>
      <c r="RD390" s="875" t="s">
        <v>396</v>
      </c>
      <c r="RE390" s="875" t="s">
        <v>397</v>
      </c>
      <c r="RF390" s="875" t="s">
        <v>398</v>
      </c>
      <c r="RG390" s="875" t="s">
        <v>399</v>
      </c>
      <c r="RH390" s="875" t="s">
        <v>393</v>
      </c>
      <c r="RI390" s="875" t="s">
        <v>1030</v>
      </c>
      <c r="RJ390" s="875" t="s">
        <v>1031</v>
      </c>
      <c r="RK390" s="875" t="s">
        <v>1027</v>
      </c>
      <c r="RL390" s="875" t="s">
        <v>395</v>
      </c>
      <c r="RM390" s="875" t="s">
        <v>1029</v>
      </c>
      <c r="RN390" s="875" t="s">
        <v>396</v>
      </c>
      <c r="RO390" s="875" t="s">
        <v>397</v>
      </c>
      <c r="RP390" s="875" t="s">
        <v>398</v>
      </c>
      <c r="RQ390" s="875" t="s">
        <v>399</v>
      </c>
      <c r="RR390" s="875" t="s">
        <v>393</v>
      </c>
      <c r="RS390" s="875" t="s">
        <v>1030</v>
      </c>
      <c r="RT390" s="875" t="s">
        <v>1031</v>
      </c>
      <c r="RU390" s="875" t="s">
        <v>1027</v>
      </c>
      <c r="RV390" s="875" t="s">
        <v>395</v>
      </c>
      <c r="RW390" s="875" t="s">
        <v>1029</v>
      </c>
      <c r="RX390" s="875" t="s">
        <v>396</v>
      </c>
      <c r="RY390" s="875" t="s">
        <v>397</v>
      </c>
      <c r="RZ390" s="875" t="s">
        <v>398</v>
      </c>
      <c r="SA390" s="875" t="s">
        <v>399</v>
      </c>
      <c r="SB390" s="875" t="s">
        <v>393</v>
      </c>
      <c r="SC390" s="875" t="s">
        <v>1030</v>
      </c>
      <c r="SD390" s="875" t="s">
        <v>1031</v>
      </c>
      <c r="SE390" s="875" t="s">
        <v>1027</v>
      </c>
      <c r="SF390" s="875" t="s">
        <v>395</v>
      </c>
      <c r="SG390" s="875" t="s">
        <v>1029</v>
      </c>
      <c r="SH390" s="875" t="s">
        <v>396</v>
      </c>
      <c r="SI390" s="875" t="s">
        <v>397</v>
      </c>
      <c r="SJ390" s="875" t="s">
        <v>398</v>
      </c>
      <c r="SK390" s="875" t="s">
        <v>399</v>
      </c>
      <c r="SL390" s="875" t="s">
        <v>393</v>
      </c>
      <c r="SM390" s="875" t="s">
        <v>1030</v>
      </c>
      <c r="SN390" s="875" t="s">
        <v>1031</v>
      </c>
      <c r="SO390" s="875" t="s">
        <v>1027</v>
      </c>
      <c r="SP390" s="875" t="s">
        <v>395</v>
      </c>
      <c r="SQ390" s="875" t="s">
        <v>1029</v>
      </c>
      <c r="SR390" s="875" t="s">
        <v>396</v>
      </c>
      <c r="SS390" s="875" t="s">
        <v>397</v>
      </c>
      <c r="ST390" s="875" t="s">
        <v>398</v>
      </c>
      <c r="SU390" s="875" t="s">
        <v>399</v>
      </c>
      <c r="SV390" s="875" t="s">
        <v>393</v>
      </c>
      <c r="SW390" s="875" t="s">
        <v>1030</v>
      </c>
      <c r="SX390" s="875" t="s">
        <v>1031</v>
      </c>
      <c r="SY390" s="875" t="s">
        <v>1027</v>
      </c>
      <c r="SZ390" s="875" t="s">
        <v>395</v>
      </c>
      <c r="TA390" s="875" t="s">
        <v>1029</v>
      </c>
      <c r="TB390" s="875" t="s">
        <v>396</v>
      </c>
      <c r="TC390" s="875" t="s">
        <v>397</v>
      </c>
      <c r="TD390" s="875" t="s">
        <v>398</v>
      </c>
      <c r="TE390" s="875" t="s">
        <v>399</v>
      </c>
      <c r="TF390" s="875" t="s">
        <v>393</v>
      </c>
      <c r="TG390" s="875" t="s">
        <v>1030</v>
      </c>
      <c r="TH390" s="875" t="s">
        <v>1031</v>
      </c>
      <c r="TI390" s="875" t="s">
        <v>1027</v>
      </c>
      <c r="TJ390" s="875" t="s">
        <v>395</v>
      </c>
      <c r="TK390" s="875" t="s">
        <v>1029</v>
      </c>
      <c r="TL390" s="875" t="s">
        <v>396</v>
      </c>
      <c r="TM390" s="875" t="s">
        <v>397</v>
      </c>
      <c r="TN390" s="875" t="s">
        <v>398</v>
      </c>
      <c r="TO390" s="875" t="s">
        <v>399</v>
      </c>
      <c r="TP390" s="875" t="s">
        <v>393</v>
      </c>
      <c r="TQ390" s="875" t="s">
        <v>1030</v>
      </c>
      <c r="TR390" s="875" t="s">
        <v>1031</v>
      </c>
      <c r="TS390" s="875" t="s">
        <v>1027</v>
      </c>
      <c r="TT390" s="875" t="s">
        <v>395</v>
      </c>
      <c r="TU390" s="875" t="s">
        <v>1029</v>
      </c>
      <c r="TV390" s="875" t="s">
        <v>396</v>
      </c>
      <c r="TW390" s="875" t="s">
        <v>397</v>
      </c>
      <c r="TX390" s="875" t="s">
        <v>398</v>
      </c>
      <c r="TY390" s="875" t="s">
        <v>399</v>
      </c>
      <c r="TZ390" s="875" t="s">
        <v>393</v>
      </c>
      <c r="UA390" s="875" t="s">
        <v>1030</v>
      </c>
      <c r="UB390" s="875" t="s">
        <v>1031</v>
      </c>
      <c r="UC390" s="875" t="s">
        <v>1027</v>
      </c>
      <c r="UD390" s="875" t="s">
        <v>395</v>
      </c>
      <c r="UE390" s="875" t="s">
        <v>1029</v>
      </c>
      <c r="UF390" s="875" t="s">
        <v>396</v>
      </c>
      <c r="UG390" s="875" t="s">
        <v>397</v>
      </c>
      <c r="UH390" s="875" t="s">
        <v>398</v>
      </c>
      <c r="UI390" s="875" t="s">
        <v>399</v>
      </c>
      <c r="UJ390" s="875" t="s">
        <v>393</v>
      </c>
      <c r="UK390" s="875" t="s">
        <v>1030</v>
      </c>
      <c r="UL390" s="875" t="s">
        <v>1031</v>
      </c>
      <c r="UM390" s="875" t="s">
        <v>1027</v>
      </c>
      <c r="UN390" s="875" t="s">
        <v>395</v>
      </c>
      <c r="UO390" s="875" t="s">
        <v>1029</v>
      </c>
      <c r="UP390" s="875" t="s">
        <v>396</v>
      </c>
      <c r="UQ390" s="875" t="s">
        <v>397</v>
      </c>
      <c r="UR390" s="875" t="s">
        <v>398</v>
      </c>
      <c r="US390" s="875" t="s">
        <v>399</v>
      </c>
      <c r="UT390" s="875" t="s">
        <v>393</v>
      </c>
      <c r="UU390" s="875" t="s">
        <v>1030</v>
      </c>
      <c r="UV390" s="875" t="s">
        <v>1031</v>
      </c>
      <c r="UW390" s="875" t="s">
        <v>1027</v>
      </c>
      <c r="UX390" s="875" t="s">
        <v>395</v>
      </c>
      <c r="UY390" s="875" t="s">
        <v>1029</v>
      </c>
      <c r="UZ390" s="875" t="s">
        <v>396</v>
      </c>
      <c r="VA390" s="875" t="s">
        <v>397</v>
      </c>
      <c r="VB390" s="875" t="s">
        <v>398</v>
      </c>
      <c r="VC390" s="875" t="s">
        <v>399</v>
      </c>
      <c r="VD390" s="875" t="s">
        <v>393</v>
      </c>
      <c r="VE390" s="875" t="s">
        <v>1030</v>
      </c>
      <c r="VF390" s="875" t="s">
        <v>1031</v>
      </c>
      <c r="VG390" s="875" t="s">
        <v>1027</v>
      </c>
      <c r="VH390" s="875" t="s">
        <v>395</v>
      </c>
      <c r="VI390" s="875" t="s">
        <v>1029</v>
      </c>
      <c r="VJ390" s="875" t="s">
        <v>396</v>
      </c>
      <c r="VK390" s="875" t="s">
        <v>397</v>
      </c>
      <c r="VL390" s="875" t="s">
        <v>398</v>
      </c>
      <c r="VM390" s="875" t="s">
        <v>399</v>
      </c>
      <c r="VN390" s="875" t="s">
        <v>393</v>
      </c>
      <c r="VO390" s="875" t="s">
        <v>1030</v>
      </c>
      <c r="VP390" s="875" t="s">
        <v>1031</v>
      </c>
      <c r="VQ390" s="875" t="s">
        <v>1027</v>
      </c>
      <c r="VR390" s="875" t="s">
        <v>395</v>
      </c>
      <c r="VS390" s="875" t="s">
        <v>1029</v>
      </c>
      <c r="VT390" s="875" t="s">
        <v>396</v>
      </c>
      <c r="VU390" s="875" t="s">
        <v>397</v>
      </c>
      <c r="VV390" s="875" t="s">
        <v>398</v>
      </c>
      <c r="VW390" s="875" t="s">
        <v>399</v>
      </c>
      <c r="VX390" s="875" t="s">
        <v>393</v>
      </c>
      <c r="VY390" s="875" t="s">
        <v>1030</v>
      </c>
      <c r="VZ390" s="875" t="s">
        <v>1031</v>
      </c>
      <c r="WA390" s="875" t="s">
        <v>1027</v>
      </c>
      <c r="WB390" s="875" t="s">
        <v>395</v>
      </c>
      <c r="WC390" s="875" t="s">
        <v>1029</v>
      </c>
      <c r="WD390" s="875" t="s">
        <v>396</v>
      </c>
      <c r="WE390" s="875" t="s">
        <v>397</v>
      </c>
      <c r="WF390" s="875" t="s">
        <v>398</v>
      </c>
      <c r="WG390" s="875" t="s">
        <v>399</v>
      </c>
      <c r="WH390" s="875" t="s">
        <v>393</v>
      </c>
      <c r="WI390" s="875" t="s">
        <v>1030</v>
      </c>
      <c r="WJ390" s="875" t="s">
        <v>1031</v>
      </c>
      <c r="WK390" s="875" t="s">
        <v>1027</v>
      </c>
      <c r="WL390" s="875" t="s">
        <v>395</v>
      </c>
      <c r="WM390" s="875" t="s">
        <v>1029</v>
      </c>
      <c r="WN390" s="875" t="s">
        <v>396</v>
      </c>
      <c r="WO390" s="875" t="s">
        <v>397</v>
      </c>
      <c r="WP390" s="875" t="s">
        <v>398</v>
      </c>
      <c r="WQ390" s="875" t="s">
        <v>399</v>
      </c>
      <c r="WR390" s="875" t="s">
        <v>393</v>
      </c>
      <c r="WS390" s="875" t="s">
        <v>1030</v>
      </c>
      <c r="WT390" s="875" t="s">
        <v>1031</v>
      </c>
      <c r="WU390" s="875" t="s">
        <v>1027</v>
      </c>
      <c r="WV390" s="875" t="s">
        <v>395</v>
      </c>
      <c r="WW390" s="875" t="s">
        <v>1029</v>
      </c>
      <c r="WX390" s="875" t="s">
        <v>396</v>
      </c>
      <c r="WY390" s="875" t="s">
        <v>397</v>
      </c>
      <c r="WZ390" s="875" t="s">
        <v>398</v>
      </c>
      <c r="XA390" s="875" t="s">
        <v>399</v>
      </c>
      <c r="XB390" s="875" t="s">
        <v>393</v>
      </c>
      <c r="XC390" s="875" t="s">
        <v>1030</v>
      </c>
      <c r="XD390" s="875" t="s">
        <v>1031</v>
      </c>
      <c r="XE390" s="875" t="s">
        <v>1027</v>
      </c>
      <c r="XF390" s="875" t="s">
        <v>395</v>
      </c>
      <c r="XG390" s="875" t="s">
        <v>1029</v>
      </c>
      <c r="XH390" s="875" t="s">
        <v>396</v>
      </c>
      <c r="XI390" s="875" t="s">
        <v>397</v>
      </c>
      <c r="XJ390" s="875" t="s">
        <v>398</v>
      </c>
      <c r="XK390" s="875" t="s">
        <v>399</v>
      </c>
      <c r="XL390" s="875" t="s">
        <v>393</v>
      </c>
      <c r="XM390" s="875" t="s">
        <v>1030</v>
      </c>
      <c r="XN390" s="875" t="s">
        <v>1031</v>
      </c>
      <c r="XO390" s="875" t="s">
        <v>1027</v>
      </c>
      <c r="XP390" s="875" t="s">
        <v>395</v>
      </c>
      <c r="XQ390" s="875" t="s">
        <v>1029</v>
      </c>
      <c r="XR390" s="875" t="s">
        <v>396</v>
      </c>
      <c r="XS390" s="875" t="s">
        <v>397</v>
      </c>
      <c r="XT390" s="875" t="s">
        <v>398</v>
      </c>
      <c r="XU390" s="875" t="s">
        <v>399</v>
      </c>
      <c r="XV390" s="875" t="s">
        <v>393</v>
      </c>
      <c r="XW390" s="875" t="s">
        <v>1030</v>
      </c>
      <c r="XX390" s="875" t="s">
        <v>1031</v>
      </c>
      <c r="XY390" s="875" t="s">
        <v>1027</v>
      </c>
      <c r="XZ390" s="875" t="s">
        <v>395</v>
      </c>
      <c r="YA390" s="875" t="s">
        <v>1029</v>
      </c>
      <c r="YB390" s="875" t="s">
        <v>396</v>
      </c>
      <c r="YC390" s="875" t="s">
        <v>397</v>
      </c>
      <c r="YD390" s="875" t="s">
        <v>398</v>
      </c>
      <c r="YE390" s="875" t="s">
        <v>399</v>
      </c>
      <c r="YF390" s="875" t="s">
        <v>393</v>
      </c>
      <c r="YG390" s="875" t="s">
        <v>1030</v>
      </c>
      <c r="YH390" s="875" t="s">
        <v>1031</v>
      </c>
      <c r="YI390" s="875" t="s">
        <v>1027</v>
      </c>
      <c r="YJ390" s="875" t="s">
        <v>395</v>
      </c>
      <c r="YK390" s="875" t="s">
        <v>1029</v>
      </c>
      <c r="YL390" s="875" t="s">
        <v>396</v>
      </c>
      <c r="YM390" s="875" t="s">
        <v>397</v>
      </c>
      <c r="YN390" s="875" t="s">
        <v>398</v>
      </c>
      <c r="YO390" s="875" t="s">
        <v>399</v>
      </c>
      <c r="YP390" s="875" t="s">
        <v>393</v>
      </c>
      <c r="YQ390" s="875" t="s">
        <v>1030</v>
      </c>
      <c r="YR390" s="875" t="s">
        <v>1031</v>
      </c>
      <c r="YS390" s="875" t="s">
        <v>1027</v>
      </c>
      <c r="YT390" s="875" t="s">
        <v>395</v>
      </c>
      <c r="YU390" s="875" t="s">
        <v>1029</v>
      </c>
      <c r="YV390" s="875" t="s">
        <v>396</v>
      </c>
      <c r="YW390" s="875" t="s">
        <v>397</v>
      </c>
      <c r="YX390" s="875" t="s">
        <v>398</v>
      </c>
      <c r="YY390" s="875" t="s">
        <v>399</v>
      </c>
      <c r="YZ390" s="875" t="s">
        <v>393</v>
      </c>
      <c r="ZA390" s="875" t="s">
        <v>1030</v>
      </c>
      <c r="ZB390" s="875" t="s">
        <v>1031</v>
      </c>
      <c r="ZC390" s="875" t="s">
        <v>1027</v>
      </c>
      <c r="ZD390" s="875" t="s">
        <v>395</v>
      </c>
      <c r="ZE390" s="875" t="s">
        <v>1029</v>
      </c>
      <c r="ZF390" s="875" t="s">
        <v>396</v>
      </c>
      <c r="ZG390" s="875" t="s">
        <v>397</v>
      </c>
      <c r="ZH390" s="875" t="s">
        <v>398</v>
      </c>
      <c r="ZI390" s="875" t="s">
        <v>399</v>
      </c>
      <c r="ZJ390" s="875" t="s">
        <v>393</v>
      </c>
      <c r="ZK390" s="875" t="s">
        <v>1030</v>
      </c>
      <c r="ZL390" s="875" t="s">
        <v>1031</v>
      </c>
      <c r="ZM390" s="875" t="s">
        <v>1027</v>
      </c>
      <c r="ZN390" s="875" t="s">
        <v>395</v>
      </c>
      <c r="ZO390" s="875" t="s">
        <v>1029</v>
      </c>
      <c r="ZP390" s="875" t="s">
        <v>396</v>
      </c>
      <c r="ZQ390" s="875" t="s">
        <v>397</v>
      </c>
      <c r="ZR390" s="875" t="s">
        <v>398</v>
      </c>
      <c r="ZS390" s="875" t="s">
        <v>399</v>
      </c>
      <c r="ZT390" s="875" t="s">
        <v>393</v>
      </c>
      <c r="ZU390" s="875" t="s">
        <v>1030</v>
      </c>
      <c r="ZV390" s="875" t="s">
        <v>1031</v>
      </c>
      <c r="ZW390" s="875" t="s">
        <v>1027</v>
      </c>
      <c r="ZX390" s="875" t="s">
        <v>395</v>
      </c>
      <c r="ZY390" s="875" t="s">
        <v>1029</v>
      </c>
      <c r="ZZ390" s="875" t="s">
        <v>396</v>
      </c>
      <c r="AAA390" s="875" t="s">
        <v>397</v>
      </c>
      <c r="AAB390" s="875" t="s">
        <v>398</v>
      </c>
      <c r="AAC390" s="875" t="s">
        <v>399</v>
      </c>
      <c r="AAD390" s="875" t="s">
        <v>393</v>
      </c>
      <c r="AAE390" s="875" t="s">
        <v>1030</v>
      </c>
      <c r="AAF390" s="875" t="s">
        <v>1031</v>
      </c>
      <c r="AAG390" s="875" t="s">
        <v>1027</v>
      </c>
      <c r="AAH390" s="875" t="s">
        <v>395</v>
      </c>
      <c r="AAI390" s="875" t="s">
        <v>1029</v>
      </c>
      <c r="AAJ390" s="875" t="s">
        <v>396</v>
      </c>
      <c r="AAK390" s="875" t="s">
        <v>397</v>
      </c>
      <c r="AAL390" s="875" t="s">
        <v>398</v>
      </c>
      <c r="AAM390" s="875" t="s">
        <v>399</v>
      </c>
      <c r="AAN390" s="875" t="s">
        <v>393</v>
      </c>
      <c r="AAO390" s="875" t="s">
        <v>1030</v>
      </c>
      <c r="AAP390" s="875" t="s">
        <v>1031</v>
      </c>
      <c r="AAQ390" s="875" t="s">
        <v>1027</v>
      </c>
      <c r="AAR390" s="875" t="s">
        <v>395</v>
      </c>
      <c r="AAS390" s="875" t="s">
        <v>1029</v>
      </c>
      <c r="AAT390" s="875" t="s">
        <v>396</v>
      </c>
      <c r="AAU390" s="875" t="s">
        <v>397</v>
      </c>
      <c r="AAV390" s="875" t="s">
        <v>398</v>
      </c>
      <c r="AAW390" s="875" t="s">
        <v>399</v>
      </c>
      <c r="AAX390" s="875" t="s">
        <v>393</v>
      </c>
      <c r="AAY390" s="875" t="s">
        <v>1030</v>
      </c>
      <c r="AAZ390" s="875" t="s">
        <v>1031</v>
      </c>
      <c r="ABA390" s="875" t="s">
        <v>1027</v>
      </c>
      <c r="ABB390" s="875" t="s">
        <v>395</v>
      </c>
      <c r="ABC390" s="875" t="s">
        <v>1029</v>
      </c>
      <c r="ABD390" s="875" t="s">
        <v>396</v>
      </c>
      <c r="ABE390" s="875" t="s">
        <v>397</v>
      </c>
      <c r="ABF390" s="875" t="s">
        <v>398</v>
      </c>
      <c r="ABG390" s="875" t="s">
        <v>399</v>
      </c>
      <c r="ABH390" s="875" t="s">
        <v>393</v>
      </c>
      <c r="ABI390" s="875" t="s">
        <v>1030</v>
      </c>
      <c r="ABJ390" s="875" t="s">
        <v>1031</v>
      </c>
      <c r="ABK390" s="875" t="s">
        <v>1027</v>
      </c>
      <c r="ABL390" s="875" t="s">
        <v>395</v>
      </c>
      <c r="ABM390" s="875" t="s">
        <v>1029</v>
      </c>
      <c r="ABN390" s="875" t="s">
        <v>396</v>
      </c>
      <c r="ABO390" s="875" t="s">
        <v>397</v>
      </c>
      <c r="ABP390" s="875" t="s">
        <v>398</v>
      </c>
      <c r="ABQ390" s="875" t="s">
        <v>399</v>
      </c>
      <c r="ABR390" s="875" t="s">
        <v>393</v>
      </c>
      <c r="ABS390" s="875" t="s">
        <v>1030</v>
      </c>
      <c r="ABT390" s="875" t="s">
        <v>1031</v>
      </c>
      <c r="ABU390" s="875" t="s">
        <v>1027</v>
      </c>
      <c r="ABV390" s="875" t="s">
        <v>395</v>
      </c>
      <c r="ABW390" s="875" t="s">
        <v>1029</v>
      </c>
      <c r="ABX390" s="875" t="s">
        <v>396</v>
      </c>
      <c r="ABY390" s="875" t="s">
        <v>397</v>
      </c>
      <c r="ABZ390" s="875" t="s">
        <v>398</v>
      </c>
      <c r="ACA390" s="875" t="s">
        <v>399</v>
      </c>
      <c r="ACB390" s="875" t="s">
        <v>393</v>
      </c>
      <c r="ACC390" s="875" t="s">
        <v>1030</v>
      </c>
      <c r="ACD390" s="875" t="s">
        <v>1031</v>
      </c>
      <c r="ACE390" s="875" t="s">
        <v>1027</v>
      </c>
      <c r="ACF390" s="875" t="s">
        <v>395</v>
      </c>
      <c r="ACG390" s="875" t="s">
        <v>1029</v>
      </c>
      <c r="ACH390" s="875" t="s">
        <v>396</v>
      </c>
      <c r="ACI390" s="875" t="s">
        <v>397</v>
      </c>
      <c r="ACJ390" s="875" t="s">
        <v>398</v>
      </c>
      <c r="ACK390" s="875" t="s">
        <v>399</v>
      </c>
      <c r="ACL390" s="875" t="s">
        <v>393</v>
      </c>
      <c r="ACM390" s="875" t="s">
        <v>1030</v>
      </c>
      <c r="ACN390" s="875" t="s">
        <v>1031</v>
      </c>
      <c r="ACO390" s="875" t="s">
        <v>1027</v>
      </c>
      <c r="ACP390" s="875" t="s">
        <v>395</v>
      </c>
      <c r="ACQ390" s="875" t="s">
        <v>1029</v>
      </c>
      <c r="ACR390" s="875" t="s">
        <v>396</v>
      </c>
      <c r="ACS390" s="875" t="s">
        <v>397</v>
      </c>
      <c r="ACT390" s="875" t="s">
        <v>398</v>
      </c>
      <c r="ACU390" s="875" t="s">
        <v>399</v>
      </c>
      <c r="ACV390" s="875" t="s">
        <v>393</v>
      </c>
      <c r="ACW390" s="875" t="s">
        <v>1030</v>
      </c>
      <c r="ACX390" s="875" t="s">
        <v>1031</v>
      </c>
      <c r="ACY390" s="875" t="s">
        <v>1027</v>
      </c>
      <c r="ACZ390" s="875" t="s">
        <v>395</v>
      </c>
      <c r="ADA390" s="875" t="s">
        <v>1029</v>
      </c>
      <c r="ADB390" s="875" t="s">
        <v>396</v>
      </c>
      <c r="ADC390" s="875" t="s">
        <v>397</v>
      </c>
      <c r="ADD390" s="875" t="s">
        <v>398</v>
      </c>
      <c r="ADE390" s="875" t="s">
        <v>399</v>
      </c>
      <c r="ADF390" s="875" t="s">
        <v>393</v>
      </c>
      <c r="ADG390" s="875" t="s">
        <v>1030</v>
      </c>
      <c r="ADH390" s="875" t="s">
        <v>1031</v>
      </c>
      <c r="ADI390" s="875" t="s">
        <v>1027</v>
      </c>
      <c r="ADJ390" s="875" t="s">
        <v>395</v>
      </c>
      <c r="ADK390" s="875" t="s">
        <v>1029</v>
      </c>
      <c r="ADL390" s="875" t="s">
        <v>396</v>
      </c>
      <c r="ADM390" s="875" t="s">
        <v>397</v>
      </c>
      <c r="ADN390" s="875" t="s">
        <v>398</v>
      </c>
      <c r="ADO390" s="875" t="s">
        <v>399</v>
      </c>
      <c r="ADP390" s="875" t="s">
        <v>393</v>
      </c>
      <c r="ADQ390" s="875" t="s">
        <v>1030</v>
      </c>
      <c r="ADR390" s="875" t="s">
        <v>1031</v>
      </c>
      <c r="ADS390" s="875" t="s">
        <v>1027</v>
      </c>
      <c r="ADT390" s="875" t="s">
        <v>395</v>
      </c>
      <c r="ADU390" s="875" t="s">
        <v>1029</v>
      </c>
      <c r="ADV390" s="875" t="s">
        <v>396</v>
      </c>
      <c r="ADW390" s="875" t="s">
        <v>397</v>
      </c>
      <c r="ADX390" s="875" t="s">
        <v>398</v>
      </c>
      <c r="ADY390" s="875" t="s">
        <v>399</v>
      </c>
      <c r="ADZ390" s="875" t="s">
        <v>393</v>
      </c>
      <c r="AEA390" s="875" t="s">
        <v>1030</v>
      </c>
      <c r="AEB390" s="875" t="s">
        <v>1031</v>
      </c>
      <c r="AEC390" s="875" t="s">
        <v>1027</v>
      </c>
      <c r="AED390" s="875" t="s">
        <v>395</v>
      </c>
      <c r="AEE390" s="875" t="s">
        <v>1029</v>
      </c>
      <c r="AEF390" s="875" t="s">
        <v>396</v>
      </c>
      <c r="AEG390" s="875" t="s">
        <v>397</v>
      </c>
      <c r="AEH390" s="875" t="s">
        <v>398</v>
      </c>
      <c r="AEI390" s="875" t="s">
        <v>399</v>
      </c>
      <c r="AEJ390" s="875" t="s">
        <v>393</v>
      </c>
      <c r="AEK390" s="875" t="s">
        <v>1030</v>
      </c>
      <c r="AEL390" s="875" t="s">
        <v>1031</v>
      </c>
      <c r="AEM390" s="875" t="s">
        <v>1027</v>
      </c>
      <c r="AEN390" s="875" t="s">
        <v>395</v>
      </c>
      <c r="AEO390" s="875" t="s">
        <v>1029</v>
      </c>
      <c r="AEP390" s="875" t="s">
        <v>396</v>
      </c>
      <c r="AEQ390" s="875" t="s">
        <v>397</v>
      </c>
      <c r="AER390" s="875" t="s">
        <v>398</v>
      </c>
      <c r="AES390" s="875" t="s">
        <v>399</v>
      </c>
      <c r="AET390" s="875" t="s">
        <v>393</v>
      </c>
      <c r="AEU390" s="875" t="s">
        <v>1030</v>
      </c>
      <c r="AEV390" s="875" t="s">
        <v>1031</v>
      </c>
      <c r="AEW390" s="875" t="s">
        <v>1027</v>
      </c>
      <c r="AEX390" s="875" t="s">
        <v>395</v>
      </c>
      <c r="AEY390" s="875" t="s">
        <v>1029</v>
      </c>
      <c r="AEZ390" s="875" t="s">
        <v>396</v>
      </c>
      <c r="AFA390" s="875" t="s">
        <v>397</v>
      </c>
      <c r="AFB390" s="875" t="s">
        <v>398</v>
      </c>
      <c r="AFC390" s="875" t="s">
        <v>399</v>
      </c>
      <c r="AFD390" s="875" t="s">
        <v>393</v>
      </c>
      <c r="AFE390" s="875" t="s">
        <v>1030</v>
      </c>
      <c r="AFF390" s="875" t="s">
        <v>1031</v>
      </c>
      <c r="AFG390" s="875" t="s">
        <v>1027</v>
      </c>
      <c r="AFH390" s="875" t="s">
        <v>395</v>
      </c>
      <c r="AFI390" s="875" t="s">
        <v>1029</v>
      </c>
      <c r="AFJ390" s="875" t="s">
        <v>396</v>
      </c>
      <c r="AFK390" s="875" t="s">
        <v>397</v>
      </c>
      <c r="AFL390" s="875" t="s">
        <v>398</v>
      </c>
      <c r="AFM390" s="875" t="s">
        <v>399</v>
      </c>
      <c r="AFN390" s="875" t="s">
        <v>393</v>
      </c>
      <c r="AFO390" s="875" t="s">
        <v>1030</v>
      </c>
      <c r="AFP390" s="875" t="s">
        <v>1031</v>
      </c>
      <c r="AFQ390" s="875" t="s">
        <v>1027</v>
      </c>
      <c r="AFR390" s="875" t="s">
        <v>395</v>
      </c>
      <c r="AFS390" s="875" t="s">
        <v>1029</v>
      </c>
      <c r="AFT390" s="875" t="s">
        <v>396</v>
      </c>
      <c r="AFU390" s="875" t="s">
        <v>397</v>
      </c>
      <c r="AFV390" s="875" t="s">
        <v>398</v>
      </c>
      <c r="AFW390" s="875" t="s">
        <v>399</v>
      </c>
      <c r="AFX390" s="875" t="s">
        <v>393</v>
      </c>
      <c r="AFY390" s="875" t="s">
        <v>1030</v>
      </c>
      <c r="AFZ390" s="875" t="s">
        <v>1031</v>
      </c>
      <c r="AGA390" s="875" t="s">
        <v>1027</v>
      </c>
      <c r="AGB390" s="875" t="s">
        <v>395</v>
      </c>
      <c r="AGC390" s="875" t="s">
        <v>1029</v>
      </c>
      <c r="AGD390" s="875" t="s">
        <v>396</v>
      </c>
      <c r="AGE390" s="875" t="s">
        <v>397</v>
      </c>
      <c r="AGF390" s="875" t="s">
        <v>398</v>
      </c>
      <c r="AGG390" s="875" t="s">
        <v>399</v>
      </c>
      <c r="AGH390" s="875" t="s">
        <v>393</v>
      </c>
      <c r="AGI390" s="875" t="s">
        <v>1030</v>
      </c>
      <c r="AGJ390" s="875" t="s">
        <v>1031</v>
      </c>
      <c r="AGK390" s="875" t="s">
        <v>1027</v>
      </c>
      <c r="AGL390" s="875" t="s">
        <v>395</v>
      </c>
      <c r="AGM390" s="875" t="s">
        <v>1029</v>
      </c>
      <c r="AGN390" s="875" t="s">
        <v>396</v>
      </c>
      <c r="AGO390" s="875" t="s">
        <v>397</v>
      </c>
      <c r="AGP390" s="875" t="s">
        <v>398</v>
      </c>
      <c r="AGQ390" s="875" t="s">
        <v>399</v>
      </c>
      <c r="AGR390" s="875" t="s">
        <v>393</v>
      </c>
      <c r="AGS390" s="875" t="s">
        <v>1030</v>
      </c>
      <c r="AGT390" s="875" t="s">
        <v>1031</v>
      </c>
      <c r="AGU390" s="875" t="s">
        <v>1027</v>
      </c>
      <c r="AGV390" s="875" t="s">
        <v>395</v>
      </c>
      <c r="AGW390" s="875" t="s">
        <v>1029</v>
      </c>
      <c r="AGX390" s="875" t="s">
        <v>396</v>
      </c>
      <c r="AGY390" s="875" t="s">
        <v>397</v>
      </c>
      <c r="AGZ390" s="875" t="s">
        <v>398</v>
      </c>
      <c r="AHA390" s="875" t="s">
        <v>399</v>
      </c>
      <c r="AHB390" s="875" t="s">
        <v>393</v>
      </c>
      <c r="AHC390" s="875" t="s">
        <v>1030</v>
      </c>
      <c r="AHD390" s="875" t="s">
        <v>1031</v>
      </c>
      <c r="AHE390" s="875" t="s">
        <v>1027</v>
      </c>
      <c r="AHF390" s="875" t="s">
        <v>395</v>
      </c>
      <c r="AHG390" s="875" t="s">
        <v>1029</v>
      </c>
      <c r="AHH390" s="875" t="s">
        <v>396</v>
      </c>
      <c r="AHI390" s="875" t="s">
        <v>397</v>
      </c>
      <c r="AHJ390" s="875" t="s">
        <v>398</v>
      </c>
      <c r="AHK390" s="875" t="s">
        <v>399</v>
      </c>
      <c r="AHL390" s="875" t="s">
        <v>393</v>
      </c>
      <c r="AHM390" s="875" t="s">
        <v>1030</v>
      </c>
      <c r="AHN390" s="875" t="s">
        <v>1031</v>
      </c>
      <c r="AHO390" s="875" t="s">
        <v>1027</v>
      </c>
      <c r="AHP390" s="875" t="s">
        <v>395</v>
      </c>
      <c r="AHQ390" s="875" t="s">
        <v>1029</v>
      </c>
      <c r="AHR390" s="875" t="s">
        <v>396</v>
      </c>
      <c r="AHS390" s="875" t="s">
        <v>397</v>
      </c>
      <c r="AHT390" s="875" t="s">
        <v>398</v>
      </c>
      <c r="AHU390" s="875" t="s">
        <v>399</v>
      </c>
      <c r="AHV390" s="875" t="s">
        <v>393</v>
      </c>
      <c r="AHW390" s="875" t="s">
        <v>1030</v>
      </c>
      <c r="AHX390" s="875" t="s">
        <v>1031</v>
      </c>
      <c r="AHY390" s="875" t="s">
        <v>1027</v>
      </c>
      <c r="AHZ390" s="875" t="s">
        <v>395</v>
      </c>
      <c r="AIA390" s="875" t="s">
        <v>1029</v>
      </c>
      <c r="AIB390" s="875" t="s">
        <v>396</v>
      </c>
      <c r="AIC390" s="875" t="s">
        <v>397</v>
      </c>
      <c r="AID390" s="875" t="s">
        <v>398</v>
      </c>
      <c r="AIE390" s="875" t="s">
        <v>399</v>
      </c>
      <c r="AIF390" s="875" t="s">
        <v>393</v>
      </c>
      <c r="AIG390" s="875" t="s">
        <v>1030</v>
      </c>
      <c r="AIH390" s="875" t="s">
        <v>1031</v>
      </c>
      <c r="AII390" s="875" t="s">
        <v>1027</v>
      </c>
      <c r="AIJ390" s="875" t="s">
        <v>395</v>
      </c>
      <c r="AIK390" s="875" t="s">
        <v>1029</v>
      </c>
      <c r="AIL390" s="875" t="s">
        <v>396</v>
      </c>
      <c r="AIM390" s="875" t="s">
        <v>397</v>
      </c>
      <c r="AIN390" s="875" t="s">
        <v>398</v>
      </c>
      <c r="AIO390" s="875" t="s">
        <v>399</v>
      </c>
      <c r="AIP390" s="875" t="s">
        <v>393</v>
      </c>
      <c r="AIQ390" s="875" t="s">
        <v>1030</v>
      </c>
      <c r="AIR390" s="875" t="s">
        <v>1031</v>
      </c>
      <c r="AIS390" s="875" t="s">
        <v>1027</v>
      </c>
      <c r="AIT390" s="875" t="s">
        <v>395</v>
      </c>
      <c r="AIU390" s="875" t="s">
        <v>1029</v>
      </c>
      <c r="AIV390" s="875" t="s">
        <v>396</v>
      </c>
      <c r="AIW390" s="875" t="s">
        <v>397</v>
      </c>
      <c r="AIX390" s="875" t="s">
        <v>398</v>
      </c>
      <c r="AIY390" s="875" t="s">
        <v>399</v>
      </c>
      <c r="AIZ390" s="875" t="s">
        <v>393</v>
      </c>
      <c r="AJA390" s="875" t="s">
        <v>1030</v>
      </c>
      <c r="AJB390" s="875" t="s">
        <v>1031</v>
      </c>
      <c r="AJC390" s="875" t="s">
        <v>1027</v>
      </c>
      <c r="AJD390" s="875" t="s">
        <v>395</v>
      </c>
      <c r="AJE390" s="875" t="s">
        <v>1029</v>
      </c>
      <c r="AJF390" s="875" t="s">
        <v>396</v>
      </c>
      <c r="AJG390" s="875" t="s">
        <v>397</v>
      </c>
      <c r="AJH390" s="875" t="s">
        <v>398</v>
      </c>
      <c r="AJI390" s="875" t="s">
        <v>399</v>
      </c>
      <c r="AJJ390" s="875" t="s">
        <v>393</v>
      </c>
      <c r="AJK390" s="875" t="s">
        <v>1030</v>
      </c>
      <c r="AJL390" s="875" t="s">
        <v>1031</v>
      </c>
      <c r="AJM390" s="875" t="s">
        <v>1027</v>
      </c>
      <c r="AJN390" s="875" t="s">
        <v>395</v>
      </c>
      <c r="AJO390" s="875" t="s">
        <v>1029</v>
      </c>
      <c r="AJP390" s="875" t="s">
        <v>396</v>
      </c>
      <c r="AJQ390" s="875" t="s">
        <v>397</v>
      </c>
      <c r="AJR390" s="875" t="s">
        <v>398</v>
      </c>
      <c r="AJS390" s="875" t="s">
        <v>399</v>
      </c>
      <c r="AJT390" s="875" t="s">
        <v>393</v>
      </c>
      <c r="AJU390" s="875" t="s">
        <v>1030</v>
      </c>
      <c r="AJV390" s="875" t="s">
        <v>1031</v>
      </c>
      <c r="AJW390" s="875" t="s">
        <v>1027</v>
      </c>
      <c r="AJX390" s="875" t="s">
        <v>395</v>
      </c>
      <c r="AJY390" s="875" t="s">
        <v>1029</v>
      </c>
      <c r="AJZ390" s="875" t="s">
        <v>396</v>
      </c>
      <c r="AKA390" s="875" t="s">
        <v>397</v>
      </c>
      <c r="AKB390" s="875" t="s">
        <v>398</v>
      </c>
      <c r="AKC390" s="875" t="s">
        <v>399</v>
      </c>
      <c r="AKD390" s="875" t="s">
        <v>393</v>
      </c>
      <c r="AKE390" s="875" t="s">
        <v>1030</v>
      </c>
      <c r="AKF390" s="875" t="s">
        <v>1031</v>
      </c>
      <c r="AKG390" s="875" t="s">
        <v>1027</v>
      </c>
      <c r="AKH390" s="875" t="s">
        <v>395</v>
      </c>
      <c r="AKI390" s="875" t="s">
        <v>1029</v>
      </c>
      <c r="AKJ390" s="875" t="s">
        <v>396</v>
      </c>
      <c r="AKK390" s="875" t="s">
        <v>397</v>
      </c>
      <c r="AKL390" s="875" t="s">
        <v>398</v>
      </c>
      <c r="AKM390" s="875" t="s">
        <v>399</v>
      </c>
      <c r="AKN390" s="875" t="s">
        <v>393</v>
      </c>
      <c r="AKO390" s="875" t="s">
        <v>1030</v>
      </c>
      <c r="AKP390" s="875" t="s">
        <v>1031</v>
      </c>
      <c r="AKQ390" s="875" t="s">
        <v>1027</v>
      </c>
      <c r="AKR390" s="875" t="s">
        <v>395</v>
      </c>
      <c r="AKS390" s="875" t="s">
        <v>1029</v>
      </c>
      <c r="AKT390" s="875" t="s">
        <v>396</v>
      </c>
      <c r="AKU390" s="875" t="s">
        <v>397</v>
      </c>
      <c r="AKV390" s="875" t="s">
        <v>398</v>
      </c>
      <c r="AKW390" s="875" t="s">
        <v>399</v>
      </c>
      <c r="AKX390" s="875" t="s">
        <v>393</v>
      </c>
      <c r="AKY390" s="875" t="s">
        <v>1030</v>
      </c>
      <c r="AKZ390" s="875" t="s">
        <v>1031</v>
      </c>
      <c r="ALA390" s="875" t="s">
        <v>1027</v>
      </c>
      <c r="ALB390" s="875" t="s">
        <v>395</v>
      </c>
      <c r="ALC390" s="875" t="s">
        <v>1029</v>
      </c>
      <c r="ALD390" s="875" t="s">
        <v>396</v>
      </c>
      <c r="ALE390" s="875" t="s">
        <v>397</v>
      </c>
      <c r="ALF390" s="875" t="s">
        <v>398</v>
      </c>
      <c r="ALG390" s="875" t="s">
        <v>399</v>
      </c>
      <c r="ALH390" s="875" t="s">
        <v>393</v>
      </c>
      <c r="ALI390" s="875" t="s">
        <v>1030</v>
      </c>
      <c r="ALJ390" s="875" t="s">
        <v>1031</v>
      </c>
      <c r="ALK390" s="875" t="s">
        <v>1027</v>
      </c>
      <c r="ALL390" s="875" t="s">
        <v>395</v>
      </c>
      <c r="ALM390" s="875" t="s">
        <v>1029</v>
      </c>
      <c r="ALN390" s="875" t="s">
        <v>396</v>
      </c>
      <c r="ALO390" s="875" t="s">
        <v>397</v>
      </c>
      <c r="ALP390" s="875" t="s">
        <v>398</v>
      </c>
      <c r="ALQ390" s="875" t="s">
        <v>399</v>
      </c>
      <c r="ALR390" s="875" t="s">
        <v>393</v>
      </c>
      <c r="ALS390" s="875" t="s">
        <v>1030</v>
      </c>
      <c r="ALT390" s="875" t="s">
        <v>1031</v>
      </c>
      <c r="ALU390" s="875" t="s">
        <v>1027</v>
      </c>
      <c r="ALV390" s="875" t="s">
        <v>395</v>
      </c>
      <c r="ALW390" s="875" t="s">
        <v>1029</v>
      </c>
      <c r="ALX390" s="875" t="s">
        <v>396</v>
      </c>
      <c r="ALY390" s="875" t="s">
        <v>397</v>
      </c>
      <c r="ALZ390" s="875" t="s">
        <v>398</v>
      </c>
      <c r="AMA390" s="875" t="s">
        <v>399</v>
      </c>
      <c r="AMB390" s="875" t="s">
        <v>393</v>
      </c>
      <c r="AMC390" s="875" t="s">
        <v>1030</v>
      </c>
      <c r="AMD390" s="875" t="s">
        <v>1031</v>
      </c>
      <c r="AME390" s="875" t="s">
        <v>1027</v>
      </c>
      <c r="AMF390" s="875" t="s">
        <v>395</v>
      </c>
      <c r="AMG390" s="875" t="s">
        <v>1029</v>
      </c>
      <c r="AMH390" s="875" t="s">
        <v>396</v>
      </c>
      <c r="AMI390" s="875" t="s">
        <v>397</v>
      </c>
      <c r="AMJ390" s="875" t="s">
        <v>398</v>
      </c>
      <c r="AMK390" s="875" t="s">
        <v>399</v>
      </c>
      <c r="AML390" s="875" t="s">
        <v>393</v>
      </c>
      <c r="AMM390" s="875" t="s">
        <v>1030</v>
      </c>
      <c r="AMN390" s="875" t="s">
        <v>1031</v>
      </c>
      <c r="AMO390" s="875" t="s">
        <v>1027</v>
      </c>
      <c r="AMP390" s="875" t="s">
        <v>395</v>
      </c>
      <c r="AMQ390" s="875" t="s">
        <v>1029</v>
      </c>
      <c r="AMR390" s="875" t="s">
        <v>396</v>
      </c>
      <c r="AMS390" s="875" t="s">
        <v>397</v>
      </c>
      <c r="AMT390" s="875" t="s">
        <v>398</v>
      </c>
      <c r="AMU390" s="875" t="s">
        <v>399</v>
      </c>
      <c r="AMV390" s="875" t="s">
        <v>393</v>
      </c>
      <c r="AMW390" s="875" t="s">
        <v>1030</v>
      </c>
      <c r="AMX390" s="875" t="s">
        <v>1031</v>
      </c>
      <c r="AMY390" s="875" t="s">
        <v>1027</v>
      </c>
      <c r="AMZ390" s="875" t="s">
        <v>395</v>
      </c>
      <c r="ANA390" s="875" t="s">
        <v>1029</v>
      </c>
      <c r="ANB390" s="875" t="s">
        <v>396</v>
      </c>
      <c r="ANC390" s="875" t="s">
        <v>397</v>
      </c>
      <c r="AND390" s="875" t="s">
        <v>398</v>
      </c>
      <c r="ANE390" s="875" t="s">
        <v>399</v>
      </c>
      <c r="ANF390" s="875" t="s">
        <v>393</v>
      </c>
      <c r="ANG390" s="875" t="s">
        <v>1030</v>
      </c>
      <c r="ANH390" s="875" t="s">
        <v>1031</v>
      </c>
      <c r="ANI390" s="875" t="s">
        <v>1027</v>
      </c>
      <c r="ANJ390" s="875" t="s">
        <v>395</v>
      </c>
      <c r="ANK390" s="875" t="s">
        <v>1029</v>
      </c>
      <c r="ANL390" s="875" t="s">
        <v>396</v>
      </c>
      <c r="ANM390" s="875" t="s">
        <v>397</v>
      </c>
      <c r="ANN390" s="875" t="s">
        <v>398</v>
      </c>
      <c r="ANO390" s="875" t="s">
        <v>399</v>
      </c>
      <c r="ANP390" s="875" t="s">
        <v>393</v>
      </c>
      <c r="ANQ390" s="875" t="s">
        <v>1030</v>
      </c>
      <c r="ANR390" s="875" t="s">
        <v>1031</v>
      </c>
      <c r="ANS390" s="875" t="s">
        <v>1027</v>
      </c>
      <c r="ANT390" s="875" t="s">
        <v>395</v>
      </c>
      <c r="ANU390" s="875" t="s">
        <v>1029</v>
      </c>
      <c r="ANV390" s="875" t="s">
        <v>396</v>
      </c>
      <c r="ANW390" s="875" t="s">
        <v>397</v>
      </c>
      <c r="ANX390" s="875" t="s">
        <v>398</v>
      </c>
      <c r="ANY390" s="875" t="s">
        <v>399</v>
      </c>
      <c r="ANZ390" s="875" t="s">
        <v>393</v>
      </c>
      <c r="AOA390" s="875" t="s">
        <v>1030</v>
      </c>
      <c r="AOB390" s="875" t="s">
        <v>1031</v>
      </c>
      <c r="AOC390" s="875" t="s">
        <v>1027</v>
      </c>
      <c r="AOD390" s="875" t="s">
        <v>395</v>
      </c>
      <c r="AOE390" s="875" t="s">
        <v>1029</v>
      </c>
      <c r="AOF390" s="875" t="s">
        <v>396</v>
      </c>
      <c r="AOG390" s="875" t="s">
        <v>397</v>
      </c>
      <c r="AOH390" s="875" t="s">
        <v>398</v>
      </c>
      <c r="AOI390" s="875" t="s">
        <v>399</v>
      </c>
      <c r="AOJ390" s="875" t="s">
        <v>393</v>
      </c>
      <c r="AOK390" s="875" t="s">
        <v>1030</v>
      </c>
      <c r="AOL390" s="875" t="s">
        <v>1031</v>
      </c>
      <c r="AOM390" s="875" t="s">
        <v>1027</v>
      </c>
      <c r="AON390" s="875" t="s">
        <v>395</v>
      </c>
      <c r="AOO390" s="875" t="s">
        <v>1029</v>
      </c>
      <c r="AOP390" s="875" t="s">
        <v>396</v>
      </c>
      <c r="AOQ390" s="875" t="s">
        <v>397</v>
      </c>
      <c r="AOR390" s="875" t="s">
        <v>398</v>
      </c>
      <c r="AOS390" s="875" t="s">
        <v>399</v>
      </c>
      <c r="AOT390" s="875" t="s">
        <v>393</v>
      </c>
      <c r="AOU390" s="875" t="s">
        <v>1030</v>
      </c>
      <c r="AOV390" s="875" t="s">
        <v>1031</v>
      </c>
      <c r="AOW390" s="875"/>
      <c r="AOY390" s="51"/>
      <c r="AOZ390" s="51"/>
      <c r="APA390" s="51"/>
      <c r="APB390" s="51"/>
      <c r="APC390" s="51"/>
      <c r="APD390" s="51"/>
      <c r="APE390" s="51"/>
      <c r="APF390" s="51"/>
      <c r="APG390" s="51"/>
      <c r="APH390" s="51"/>
      <c r="API390" s="51"/>
      <c r="APJ390" s="51"/>
    </row>
    <row r="391" spans="2:1102" hidden="1">
      <c r="B391" s="1000" t="s">
        <v>1053</v>
      </c>
      <c r="C391" s="1000"/>
      <c r="D391" s="836"/>
      <c r="E391" s="881" t="s">
        <v>1289</v>
      </c>
      <c r="F391" s="917"/>
      <c r="G391" s="881" t="s">
        <v>1290</v>
      </c>
      <c r="H391" s="881"/>
      <c r="I391" s="882" t="s">
        <v>1154</v>
      </c>
      <c r="J391" s="882" t="s">
        <v>1154</v>
      </c>
      <c r="K391" s="882" t="s">
        <v>1154</v>
      </c>
      <c r="L391" s="882" t="s">
        <v>1154</v>
      </c>
      <c r="M391" s="882" t="s">
        <v>1154</v>
      </c>
      <c r="N391" s="882" t="s">
        <v>1154</v>
      </c>
      <c r="O391" s="882" t="s">
        <v>1154</v>
      </c>
      <c r="P391" s="882" t="s">
        <v>1154</v>
      </c>
      <c r="Q391" s="882" t="s">
        <v>1154</v>
      </c>
      <c r="R391" s="882" t="s">
        <v>1154</v>
      </c>
      <c r="S391" s="882" t="s">
        <v>1154</v>
      </c>
      <c r="T391" s="882" t="s">
        <v>1154</v>
      </c>
      <c r="U391" s="882" t="s">
        <v>1154</v>
      </c>
      <c r="V391" s="882" t="s">
        <v>1154</v>
      </c>
      <c r="W391" s="882" t="s">
        <v>1154</v>
      </c>
      <c r="X391" s="882" t="s">
        <v>1154</v>
      </c>
      <c r="Y391" s="882" t="s">
        <v>1154</v>
      </c>
      <c r="Z391" s="882" t="s">
        <v>1154</v>
      </c>
      <c r="AA391" s="882" t="s">
        <v>1154</v>
      </c>
      <c r="AB391" s="882" t="s">
        <v>1154</v>
      </c>
      <c r="AC391" s="882" t="s">
        <v>1154</v>
      </c>
      <c r="AD391" s="882" t="s">
        <v>1154</v>
      </c>
      <c r="AE391" s="882" t="s">
        <v>1154</v>
      </c>
      <c r="AF391" s="882" t="s">
        <v>1154</v>
      </c>
      <c r="AG391" s="882" t="s">
        <v>1154</v>
      </c>
      <c r="AH391" s="882" t="s">
        <v>1154</v>
      </c>
      <c r="AI391" s="882" t="s">
        <v>1154</v>
      </c>
      <c r="AJ391" s="882" t="s">
        <v>1154</v>
      </c>
      <c r="AK391" s="882" t="s">
        <v>1154</v>
      </c>
      <c r="AL391" s="882" t="s">
        <v>1154</v>
      </c>
      <c r="AM391" s="882" t="s">
        <v>1154</v>
      </c>
      <c r="AN391" s="882" t="s">
        <v>1154</v>
      </c>
      <c r="AO391" s="882" t="s">
        <v>1154</v>
      </c>
      <c r="AP391" s="882" t="s">
        <v>1154</v>
      </c>
      <c r="AQ391" s="882" t="s">
        <v>1154</v>
      </c>
      <c r="AR391" s="882" t="s">
        <v>1154</v>
      </c>
      <c r="AS391" s="882" t="s">
        <v>1154</v>
      </c>
      <c r="AT391" s="882" t="s">
        <v>1154</v>
      </c>
      <c r="AU391" s="882" t="s">
        <v>1154</v>
      </c>
      <c r="AV391" s="882" t="s">
        <v>1154</v>
      </c>
      <c r="AW391" s="882" t="s">
        <v>1154</v>
      </c>
      <c r="AX391" s="882" t="s">
        <v>1154</v>
      </c>
      <c r="AY391" s="882" t="s">
        <v>1154</v>
      </c>
      <c r="AZ391" s="882" t="s">
        <v>1154</v>
      </c>
      <c r="BA391" s="882" t="s">
        <v>1154</v>
      </c>
      <c r="BB391" s="882" t="s">
        <v>1154</v>
      </c>
      <c r="BC391" s="882" t="s">
        <v>1154</v>
      </c>
      <c r="BD391" s="882" t="s">
        <v>1154</v>
      </c>
      <c r="BE391" s="882" t="s">
        <v>1154</v>
      </c>
      <c r="BF391" s="882" t="s">
        <v>1154</v>
      </c>
      <c r="BG391" s="882" t="s">
        <v>1154</v>
      </c>
      <c r="BH391" s="882" t="s">
        <v>1154</v>
      </c>
      <c r="BI391" s="882" t="s">
        <v>1154</v>
      </c>
      <c r="BJ391" s="882" t="s">
        <v>1154</v>
      </c>
      <c r="BK391" s="882" t="s">
        <v>1154</v>
      </c>
      <c r="BL391" s="882" t="s">
        <v>1154</v>
      </c>
      <c r="BM391" s="882" t="s">
        <v>1154</v>
      </c>
      <c r="BN391" s="882" t="s">
        <v>1154</v>
      </c>
      <c r="BO391" s="882" t="s">
        <v>1154</v>
      </c>
      <c r="BP391" s="882" t="s">
        <v>1154</v>
      </c>
      <c r="BQ391" s="882" t="s">
        <v>1154</v>
      </c>
      <c r="BR391" s="882" t="s">
        <v>1154</v>
      </c>
      <c r="BS391" s="882" t="s">
        <v>1154</v>
      </c>
      <c r="BT391" s="882" t="s">
        <v>1154</v>
      </c>
      <c r="BU391" s="882" t="s">
        <v>1154</v>
      </c>
      <c r="BV391" s="882" t="s">
        <v>1154</v>
      </c>
      <c r="BW391" s="882" t="s">
        <v>1154</v>
      </c>
      <c r="BX391" s="882" t="s">
        <v>1154</v>
      </c>
      <c r="BY391" s="882" t="s">
        <v>1154</v>
      </c>
      <c r="BZ391" s="882" t="s">
        <v>1154</v>
      </c>
      <c r="CA391" s="882" t="s">
        <v>1154</v>
      </c>
      <c r="CB391" s="882" t="s">
        <v>1154</v>
      </c>
      <c r="CC391" s="882" t="s">
        <v>1154</v>
      </c>
      <c r="CD391" s="882" t="s">
        <v>1154</v>
      </c>
      <c r="CE391" s="882" t="s">
        <v>1154</v>
      </c>
      <c r="CF391" s="882" t="s">
        <v>1154</v>
      </c>
      <c r="CG391" s="882" t="s">
        <v>1154</v>
      </c>
      <c r="CH391" s="882" t="s">
        <v>1154</v>
      </c>
      <c r="CI391" s="882" t="s">
        <v>1154</v>
      </c>
      <c r="CJ391" s="882" t="s">
        <v>1154</v>
      </c>
      <c r="CK391" s="882" t="s">
        <v>1154</v>
      </c>
      <c r="CL391" s="882" t="s">
        <v>1154</v>
      </c>
      <c r="CM391" s="882" t="s">
        <v>1154</v>
      </c>
      <c r="CN391" s="882" t="s">
        <v>1154</v>
      </c>
      <c r="CO391" s="882" t="s">
        <v>1154</v>
      </c>
      <c r="CP391" s="882" t="s">
        <v>1154</v>
      </c>
      <c r="CQ391" s="882" t="s">
        <v>1154</v>
      </c>
      <c r="CR391" s="882" t="s">
        <v>1154</v>
      </c>
      <c r="CS391" s="882" t="s">
        <v>1154</v>
      </c>
      <c r="CT391" s="882" t="s">
        <v>1154</v>
      </c>
      <c r="CU391" s="882" t="s">
        <v>1155</v>
      </c>
      <c r="CV391" s="882" t="s">
        <v>1155</v>
      </c>
      <c r="CW391" s="882" t="s">
        <v>1155</v>
      </c>
      <c r="CX391" s="882" t="s">
        <v>1155</v>
      </c>
      <c r="CY391" s="882" t="s">
        <v>1155</v>
      </c>
      <c r="CZ391" s="882" t="s">
        <v>1155</v>
      </c>
      <c r="DA391" s="882" t="s">
        <v>1155</v>
      </c>
      <c r="DB391" s="882" t="s">
        <v>1155</v>
      </c>
      <c r="DC391" s="882" t="s">
        <v>1155</v>
      </c>
      <c r="DD391" s="882" t="s">
        <v>1155</v>
      </c>
      <c r="DE391" s="882" t="s">
        <v>1155</v>
      </c>
      <c r="DF391" s="882" t="s">
        <v>1155</v>
      </c>
      <c r="DG391" s="882" t="s">
        <v>1155</v>
      </c>
      <c r="DH391" s="882" t="s">
        <v>1155</v>
      </c>
      <c r="DI391" s="882" t="s">
        <v>1155</v>
      </c>
      <c r="DJ391" s="882" t="s">
        <v>1155</v>
      </c>
      <c r="DK391" s="882" t="s">
        <v>1155</v>
      </c>
      <c r="DL391" s="882" t="s">
        <v>1155</v>
      </c>
      <c r="DM391" s="882" t="s">
        <v>1155</v>
      </c>
      <c r="DN391" s="882" t="s">
        <v>1155</v>
      </c>
      <c r="DO391" s="882" t="s">
        <v>1155</v>
      </c>
      <c r="DP391" s="882" t="s">
        <v>1155</v>
      </c>
      <c r="DQ391" s="882" t="s">
        <v>1155</v>
      </c>
      <c r="DR391" s="882" t="s">
        <v>1155</v>
      </c>
      <c r="DS391" s="882" t="s">
        <v>1155</v>
      </c>
      <c r="DT391" s="882" t="s">
        <v>1155</v>
      </c>
      <c r="DU391" s="882" t="s">
        <v>1155</v>
      </c>
      <c r="DV391" s="882" t="s">
        <v>1155</v>
      </c>
      <c r="DW391" s="882" t="s">
        <v>1155</v>
      </c>
      <c r="DX391" s="882" t="s">
        <v>1155</v>
      </c>
      <c r="DY391" s="882" t="s">
        <v>1155</v>
      </c>
      <c r="DZ391" s="882" t="s">
        <v>1155</v>
      </c>
      <c r="EA391" s="882" t="s">
        <v>1155</v>
      </c>
      <c r="EB391" s="882" t="s">
        <v>1155</v>
      </c>
      <c r="EC391" s="882" t="s">
        <v>1155</v>
      </c>
      <c r="ED391" s="882" t="s">
        <v>1155</v>
      </c>
      <c r="EE391" s="882" t="s">
        <v>1155</v>
      </c>
      <c r="EF391" s="882" t="s">
        <v>1155</v>
      </c>
      <c r="EG391" s="882" t="s">
        <v>1155</v>
      </c>
      <c r="EH391" s="882" t="s">
        <v>1155</v>
      </c>
      <c r="EI391" s="882" t="s">
        <v>1155</v>
      </c>
      <c r="EJ391" s="882" t="s">
        <v>1155</v>
      </c>
      <c r="EK391" s="882" t="s">
        <v>1155</v>
      </c>
      <c r="EL391" s="882" t="s">
        <v>1155</v>
      </c>
      <c r="EM391" s="882" t="s">
        <v>1155</v>
      </c>
      <c r="EN391" s="882" t="s">
        <v>1155</v>
      </c>
      <c r="EO391" s="882" t="s">
        <v>1155</v>
      </c>
      <c r="EP391" s="882" t="s">
        <v>1155</v>
      </c>
      <c r="EQ391" s="882" t="s">
        <v>1155</v>
      </c>
      <c r="ER391" s="882" t="s">
        <v>1155</v>
      </c>
      <c r="ES391" s="882" t="s">
        <v>1155</v>
      </c>
      <c r="ET391" s="882" t="s">
        <v>1155</v>
      </c>
      <c r="EU391" s="882" t="s">
        <v>1155</v>
      </c>
      <c r="EV391" s="882" t="s">
        <v>1155</v>
      </c>
      <c r="EW391" s="882" t="s">
        <v>1155</v>
      </c>
      <c r="EX391" s="882" t="s">
        <v>1155</v>
      </c>
      <c r="EY391" s="882" t="s">
        <v>1155</v>
      </c>
      <c r="EZ391" s="882" t="s">
        <v>1155</v>
      </c>
      <c r="FA391" s="882" t="s">
        <v>1155</v>
      </c>
      <c r="FB391" s="882" t="s">
        <v>1155</v>
      </c>
      <c r="FC391" s="882" t="s">
        <v>1155</v>
      </c>
      <c r="FD391" s="882" t="s">
        <v>1155</v>
      </c>
      <c r="FE391" s="882" t="s">
        <v>1155</v>
      </c>
      <c r="FF391" s="882" t="s">
        <v>1155</v>
      </c>
      <c r="FG391" s="882" t="s">
        <v>1155</v>
      </c>
      <c r="FH391" s="882" t="s">
        <v>1155</v>
      </c>
      <c r="FI391" s="882" t="s">
        <v>1155</v>
      </c>
      <c r="FJ391" s="882" t="s">
        <v>1155</v>
      </c>
      <c r="FK391" s="882" t="s">
        <v>1155</v>
      </c>
      <c r="FL391" s="882" t="s">
        <v>1155</v>
      </c>
      <c r="FM391" s="882" t="s">
        <v>1155</v>
      </c>
      <c r="FN391" s="882" t="s">
        <v>1155</v>
      </c>
      <c r="FO391" s="882" t="s">
        <v>1155</v>
      </c>
      <c r="FP391" s="882" t="s">
        <v>1155</v>
      </c>
      <c r="FQ391" s="882" t="s">
        <v>1155</v>
      </c>
      <c r="FR391" s="882" t="s">
        <v>1155</v>
      </c>
      <c r="FS391" s="882" t="s">
        <v>1155</v>
      </c>
      <c r="FT391" s="882" t="s">
        <v>1155</v>
      </c>
      <c r="FU391" s="882" t="s">
        <v>1155</v>
      </c>
      <c r="FV391" s="882" t="s">
        <v>1155</v>
      </c>
      <c r="FW391" s="882" t="s">
        <v>1155</v>
      </c>
      <c r="FX391" s="882" t="s">
        <v>1155</v>
      </c>
      <c r="FY391" s="882" t="s">
        <v>1155</v>
      </c>
      <c r="FZ391" s="882" t="s">
        <v>1155</v>
      </c>
      <c r="GA391" s="882" t="s">
        <v>1155</v>
      </c>
      <c r="GB391" s="882" t="s">
        <v>1155</v>
      </c>
      <c r="GC391" s="882" t="s">
        <v>1155</v>
      </c>
      <c r="GD391" s="882" t="s">
        <v>1155</v>
      </c>
      <c r="GE391" s="882" t="s">
        <v>1155</v>
      </c>
      <c r="GF391" s="882" t="s">
        <v>1155</v>
      </c>
      <c r="GG391" s="882" t="s">
        <v>1154</v>
      </c>
      <c r="GH391" s="882" t="s">
        <v>1154</v>
      </c>
      <c r="GI391" s="882" t="s">
        <v>1154</v>
      </c>
      <c r="GJ391" s="882" t="s">
        <v>1154</v>
      </c>
      <c r="GK391" s="882" t="s">
        <v>1154</v>
      </c>
      <c r="GL391" s="882" t="s">
        <v>1154</v>
      </c>
      <c r="GM391" s="882" t="s">
        <v>1154</v>
      </c>
      <c r="GN391" s="882" t="s">
        <v>1154</v>
      </c>
      <c r="GO391" s="882" t="s">
        <v>1154</v>
      </c>
      <c r="GP391" s="882" t="s">
        <v>1154</v>
      </c>
      <c r="GQ391" s="882" t="s">
        <v>1154</v>
      </c>
      <c r="GR391" s="882" t="s">
        <v>1154</v>
      </c>
      <c r="GS391" s="882" t="s">
        <v>1154</v>
      </c>
      <c r="GT391" s="882" t="s">
        <v>1154</v>
      </c>
      <c r="GU391" s="882" t="s">
        <v>1154</v>
      </c>
      <c r="GV391" s="882" t="s">
        <v>1154</v>
      </c>
      <c r="GW391" s="882" t="s">
        <v>1154</v>
      </c>
      <c r="GX391" s="882" t="s">
        <v>1154</v>
      </c>
      <c r="GY391" s="882" t="s">
        <v>1154</v>
      </c>
      <c r="GZ391" s="882" t="s">
        <v>1154</v>
      </c>
      <c r="HA391" s="882" t="s">
        <v>1154</v>
      </c>
      <c r="HB391" s="882" t="s">
        <v>1154</v>
      </c>
      <c r="HC391" s="882" t="s">
        <v>1154</v>
      </c>
      <c r="HD391" s="882" t="s">
        <v>1154</v>
      </c>
      <c r="HE391" s="882" t="s">
        <v>1154</v>
      </c>
      <c r="HF391" s="882" t="s">
        <v>1154</v>
      </c>
      <c r="HG391" s="882" t="s">
        <v>1154</v>
      </c>
      <c r="HH391" s="882" t="s">
        <v>1154</v>
      </c>
      <c r="HI391" s="882" t="s">
        <v>1154</v>
      </c>
      <c r="HJ391" s="882" t="s">
        <v>1154</v>
      </c>
      <c r="HK391" s="882" t="s">
        <v>1154</v>
      </c>
      <c r="HL391" s="882" t="s">
        <v>1154</v>
      </c>
      <c r="HM391" s="882" t="s">
        <v>1154</v>
      </c>
      <c r="HN391" s="882" t="s">
        <v>1154</v>
      </c>
      <c r="HO391" s="882" t="s">
        <v>1154</v>
      </c>
      <c r="HP391" s="882" t="s">
        <v>1154</v>
      </c>
      <c r="HQ391" s="882" t="s">
        <v>1154</v>
      </c>
      <c r="HR391" s="882" t="s">
        <v>1154</v>
      </c>
      <c r="HS391" s="882" t="s">
        <v>1154</v>
      </c>
      <c r="HT391" s="882" t="s">
        <v>1154</v>
      </c>
      <c r="HU391" s="882" t="s">
        <v>1154</v>
      </c>
      <c r="HV391" s="882" t="s">
        <v>1154</v>
      </c>
      <c r="HW391" s="882" t="s">
        <v>1154</v>
      </c>
      <c r="HX391" s="882" t="s">
        <v>1154</v>
      </c>
      <c r="HY391" s="882" t="s">
        <v>1154</v>
      </c>
      <c r="HZ391" s="882" t="s">
        <v>1154</v>
      </c>
      <c r="IA391" s="882" t="s">
        <v>1154</v>
      </c>
      <c r="IB391" s="882" t="s">
        <v>1154</v>
      </c>
      <c r="IC391" s="882" t="s">
        <v>1154</v>
      </c>
      <c r="ID391" s="882" t="s">
        <v>1154</v>
      </c>
      <c r="IE391" s="882" t="s">
        <v>1154</v>
      </c>
      <c r="IF391" s="882" t="s">
        <v>1154</v>
      </c>
      <c r="IG391" s="882" t="s">
        <v>1154</v>
      </c>
      <c r="IH391" s="882" t="s">
        <v>1154</v>
      </c>
      <c r="II391" s="882" t="s">
        <v>1154</v>
      </c>
      <c r="IJ391" s="882" t="s">
        <v>1154</v>
      </c>
      <c r="IK391" s="882" t="s">
        <v>1154</v>
      </c>
      <c r="IL391" s="882" t="s">
        <v>1154</v>
      </c>
      <c r="IM391" s="882" t="s">
        <v>1154</v>
      </c>
      <c r="IN391" s="882" t="s">
        <v>1154</v>
      </c>
      <c r="IO391" s="882" t="s">
        <v>1154</v>
      </c>
      <c r="IP391" s="882" t="s">
        <v>1154</v>
      </c>
      <c r="IQ391" s="882" t="s">
        <v>1154</v>
      </c>
      <c r="IR391" s="882" t="s">
        <v>1154</v>
      </c>
      <c r="IS391" s="882" t="s">
        <v>1154</v>
      </c>
      <c r="IT391" s="882" t="s">
        <v>1154</v>
      </c>
      <c r="IU391" s="882" t="s">
        <v>1154</v>
      </c>
      <c r="IV391" s="882" t="s">
        <v>1154</v>
      </c>
      <c r="IW391" s="882" t="s">
        <v>1154</v>
      </c>
      <c r="IX391" s="882" t="s">
        <v>1154</v>
      </c>
      <c r="IY391" s="882" t="s">
        <v>1154</v>
      </c>
      <c r="IZ391" s="882" t="s">
        <v>1154</v>
      </c>
      <c r="JA391" s="882" t="s">
        <v>1154</v>
      </c>
      <c r="JB391" s="882" t="s">
        <v>1154</v>
      </c>
      <c r="JC391" s="882" t="s">
        <v>1154</v>
      </c>
      <c r="JD391" s="882" t="s">
        <v>1154</v>
      </c>
      <c r="JE391" s="882" t="s">
        <v>1154</v>
      </c>
      <c r="JF391" s="882" t="s">
        <v>1154</v>
      </c>
      <c r="JG391" s="882" t="s">
        <v>1154</v>
      </c>
      <c r="JH391" s="882" t="s">
        <v>1154</v>
      </c>
      <c r="JI391" s="882" t="s">
        <v>1154</v>
      </c>
      <c r="JJ391" s="882" t="s">
        <v>1154</v>
      </c>
      <c r="JK391" s="882" t="s">
        <v>1154</v>
      </c>
      <c r="JL391" s="882" t="s">
        <v>1154</v>
      </c>
      <c r="JM391" s="882" t="s">
        <v>1154</v>
      </c>
      <c r="JN391" s="882" t="s">
        <v>1154</v>
      </c>
      <c r="JO391" s="882" t="s">
        <v>1154</v>
      </c>
      <c r="JP391" s="882" t="s">
        <v>1154</v>
      </c>
      <c r="JQ391" s="882" t="s">
        <v>1154</v>
      </c>
      <c r="JR391" s="882" t="s">
        <v>1154</v>
      </c>
      <c r="JS391" s="882" t="s">
        <v>1155</v>
      </c>
      <c r="JT391" s="882" t="s">
        <v>1155</v>
      </c>
      <c r="JU391" s="882" t="s">
        <v>1155</v>
      </c>
      <c r="JV391" s="882" t="s">
        <v>1155</v>
      </c>
      <c r="JW391" s="882" t="s">
        <v>1155</v>
      </c>
      <c r="JX391" s="882" t="s">
        <v>1155</v>
      </c>
      <c r="JY391" s="882" t="s">
        <v>1155</v>
      </c>
      <c r="JZ391" s="882" t="s">
        <v>1155</v>
      </c>
      <c r="KA391" s="882" t="s">
        <v>1155</v>
      </c>
      <c r="KB391" s="882" t="s">
        <v>1155</v>
      </c>
      <c r="KC391" s="882" t="s">
        <v>1155</v>
      </c>
      <c r="KD391" s="882" t="s">
        <v>1155</v>
      </c>
      <c r="KE391" s="882" t="s">
        <v>1155</v>
      </c>
      <c r="KF391" s="882" t="s">
        <v>1155</v>
      </c>
      <c r="KG391" s="882" t="s">
        <v>1155</v>
      </c>
      <c r="KH391" s="882" t="s">
        <v>1155</v>
      </c>
      <c r="KI391" s="882" t="s">
        <v>1155</v>
      </c>
      <c r="KJ391" s="882" t="s">
        <v>1155</v>
      </c>
      <c r="KK391" s="882" t="s">
        <v>1155</v>
      </c>
      <c r="KL391" s="882" t="s">
        <v>1155</v>
      </c>
      <c r="KM391" s="882" t="s">
        <v>1155</v>
      </c>
      <c r="KN391" s="882" t="s">
        <v>1155</v>
      </c>
      <c r="KO391" s="882" t="s">
        <v>1155</v>
      </c>
      <c r="KP391" s="882" t="s">
        <v>1155</v>
      </c>
      <c r="KQ391" s="882" t="s">
        <v>1155</v>
      </c>
      <c r="KR391" s="882" t="s">
        <v>1155</v>
      </c>
      <c r="KS391" s="882" t="s">
        <v>1155</v>
      </c>
      <c r="KT391" s="882" t="s">
        <v>1155</v>
      </c>
      <c r="KU391" s="882" t="s">
        <v>1155</v>
      </c>
      <c r="KV391" s="882" t="s">
        <v>1155</v>
      </c>
      <c r="KW391" s="882" t="s">
        <v>1155</v>
      </c>
      <c r="KX391" s="882" t="s">
        <v>1155</v>
      </c>
      <c r="KY391" s="882" t="s">
        <v>1155</v>
      </c>
      <c r="KZ391" s="882" t="s">
        <v>1155</v>
      </c>
      <c r="LA391" s="882" t="s">
        <v>1155</v>
      </c>
      <c r="LB391" s="882" t="s">
        <v>1155</v>
      </c>
      <c r="LC391" s="882" t="s">
        <v>1155</v>
      </c>
      <c r="LD391" s="882" t="s">
        <v>1155</v>
      </c>
      <c r="LE391" s="882" t="s">
        <v>1155</v>
      </c>
      <c r="LF391" s="882" t="s">
        <v>1155</v>
      </c>
      <c r="LG391" s="882" t="s">
        <v>1155</v>
      </c>
      <c r="LH391" s="882" t="s">
        <v>1155</v>
      </c>
      <c r="LI391" s="882" t="s">
        <v>1155</v>
      </c>
      <c r="LJ391" s="882" t="s">
        <v>1155</v>
      </c>
      <c r="LK391" s="882" t="s">
        <v>1155</v>
      </c>
      <c r="LL391" s="882" t="s">
        <v>1155</v>
      </c>
      <c r="LM391" s="882" t="s">
        <v>1155</v>
      </c>
      <c r="LN391" s="882" t="s">
        <v>1155</v>
      </c>
      <c r="LO391" s="882" t="s">
        <v>1155</v>
      </c>
      <c r="LP391" s="882" t="s">
        <v>1155</v>
      </c>
      <c r="LQ391" s="882" t="s">
        <v>1155</v>
      </c>
      <c r="LR391" s="882" t="s">
        <v>1155</v>
      </c>
      <c r="LS391" s="882" t="s">
        <v>1155</v>
      </c>
      <c r="LT391" s="882" t="s">
        <v>1155</v>
      </c>
      <c r="LU391" s="882" t="s">
        <v>1155</v>
      </c>
      <c r="LV391" s="882" t="s">
        <v>1155</v>
      </c>
      <c r="LW391" s="882" t="s">
        <v>1155</v>
      </c>
      <c r="LX391" s="882" t="s">
        <v>1155</v>
      </c>
      <c r="LY391" s="882" t="s">
        <v>1155</v>
      </c>
      <c r="LZ391" s="882" t="s">
        <v>1155</v>
      </c>
      <c r="MA391" s="882" t="s">
        <v>1155</v>
      </c>
      <c r="MB391" s="882" t="s">
        <v>1155</v>
      </c>
      <c r="MC391" s="882" t="s">
        <v>1155</v>
      </c>
      <c r="MD391" s="882" t="s">
        <v>1155</v>
      </c>
      <c r="ME391" s="882" t="s">
        <v>1155</v>
      </c>
      <c r="MF391" s="882" t="s">
        <v>1155</v>
      </c>
      <c r="MG391" s="882" t="s">
        <v>1155</v>
      </c>
      <c r="MH391" s="882" t="s">
        <v>1155</v>
      </c>
      <c r="MI391" s="882" t="s">
        <v>1155</v>
      </c>
      <c r="MJ391" s="882" t="s">
        <v>1155</v>
      </c>
      <c r="MK391" s="882" t="s">
        <v>1155</v>
      </c>
      <c r="ML391" s="882" t="s">
        <v>1155</v>
      </c>
      <c r="MM391" s="882" t="s">
        <v>1155</v>
      </c>
      <c r="MN391" s="882" t="s">
        <v>1155</v>
      </c>
      <c r="MO391" s="882" t="s">
        <v>1155</v>
      </c>
      <c r="MP391" s="882" t="s">
        <v>1155</v>
      </c>
      <c r="MQ391" s="882" t="s">
        <v>1155</v>
      </c>
      <c r="MR391" s="882" t="s">
        <v>1155</v>
      </c>
      <c r="MS391" s="882" t="s">
        <v>1155</v>
      </c>
      <c r="MT391" s="882" t="s">
        <v>1155</v>
      </c>
      <c r="MU391" s="882" t="s">
        <v>1155</v>
      </c>
      <c r="MV391" s="882" t="s">
        <v>1155</v>
      </c>
      <c r="MW391" s="882" t="s">
        <v>1155</v>
      </c>
      <c r="MX391" s="882" t="s">
        <v>1155</v>
      </c>
      <c r="MY391" s="882" t="s">
        <v>1155</v>
      </c>
      <c r="MZ391" s="882" t="s">
        <v>1155</v>
      </c>
      <c r="NA391" s="882" t="s">
        <v>1155</v>
      </c>
      <c r="NB391" s="882" t="s">
        <v>1155</v>
      </c>
      <c r="NC391" s="882" t="s">
        <v>1155</v>
      </c>
      <c r="ND391" s="882" t="s">
        <v>1155</v>
      </c>
      <c r="NE391" s="882" t="s">
        <v>1154</v>
      </c>
      <c r="NF391" s="882" t="s">
        <v>1154</v>
      </c>
      <c r="NG391" s="882" t="s">
        <v>1154</v>
      </c>
      <c r="NH391" s="882" t="s">
        <v>1154</v>
      </c>
      <c r="NI391" s="882" t="s">
        <v>1154</v>
      </c>
      <c r="NJ391" s="882" t="s">
        <v>1154</v>
      </c>
      <c r="NK391" s="882" t="s">
        <v>1154</v>
      </c>
      <c r="NL391" s="882" t="s">
        <v>1154</v>
      </c>
      <c r="NM391" s="882" t="s">
        <v>1154</v>
      </c>
      <c r="NN391" s="882" t="s">
        <v>1154</v>
      </c>
      <c r="NO391" s="882" t="s">
        <v>1154</v>
      </c>
      <c r="NP391" s="882" t="s">
        <v>1154</v>
      </c>
      <c r="NQ391" s="882" t="s">
        <v>1154</v>
      </c>
      <c r="NR391" s="882" t="s">
        <v>1154</v>
      </c>
      <c r="NS391" s="882" t="s">
        <v>1154</v>
      </c>
      <c r="NT391" s="882" t="s">
        <v>1154</v>
      </c>
      <c r="NU391" s="882" t="s">
        <v>1154</v>
      </c>
      <c r="NV391" s="882" t="s">
        <v>1154</v>
      </c>
      <c r="NW391" s="882" t="s">
        <v>1154</v>
      </c>
      <c r="NX391" s="882" t="s">
        <v>1154</v>
      </c>
      <c r="NY391" s="882" t="s">
        <v>1154</v>
      </c>
      <c r="NZ391" s="882" t="s">
        <v>1154</v>
      </c>
      <c r="OA391" s="882" t="s">
        <v>1154</v>
      </c>
      <c r="OB391" s="882" t="s">
        <v>1154</v>
      </c>
      <c r="OC391" s="882" t="s">
        <v>1154</v>
      </c>
      <c r="OD391" s="882" t="s">
        <v>1154</v>
      </c>
      <c r="OE391" s="882" t="s">
        <v>1154</v>
      </c>
      <c r="OF391" s="882" t="s">
        <v>1154</v>
      </c>
      <c r="OG391" s="882" t="s">
        <v>1154</v>
      </c>
      <c r="OH391" s="882" t="s">
        <v>1154</v>
      </c>
      <c r="OI391" s="882" t="s">
        <v>1154</v>
      </c>
      <c r="OJ391" s="882" t="s">
        <v>1154</v>
      </c>
      <c r="OK391" s="882" t="s">
        <v>1154</v>
      </c>
      <c r="OL391" s="882" t="s">
        <v>1154</v>
      </c>
      <c r="OM391" s="882" t="s">
        <v>1154</v>
      </c>
      <c r="ON391" s="882" t="s">
        <v>1154</v>
      </c>
      <c r="OO391" s="882" t="s">
        <v>1154</v>
      </c>
      <c r="OP391" s="882" t="s">
        <v>1154</v>
      </c>
      <c r="OQ391" s="882" t="s">
        <v>1154</v>
      </c>
      <c r="OR391" s="882" t="s">
        <v>1154</v>
      </c>
      <c r="OS391" s="882" t="s">
        <v>1154</v>
      </c>
      <c r="OT391" s="882" t="s">
        <v>1154</v>
      </c>
      <c r="OU391" s="882" t="s">
        <v>1154</v>
      </c>
      <c r="OV391" s="882" t="s">
        <v>1154</v>
      </c>
      <c r="OW391" s="882" t="s">
        <v>1154</v>
      </c>
      <c r="OX391" s="882" t="s">
        <v>1154</v>
      </c>
      <c r="OY391" s="882" t="s">
        <v>1154</v>
      </c>
      <c r="OZ391" s="882" t="s">
        <v>1154</v>
      </c>
      <c r="PA391" s="882" t="s">
        <v>1154</v>
      </c>
      <c r="PB391" s="882" t="s">
        <v>1154</v>
      </c>
      <c r="PC391" s="882" t="s">
        <v>1154</v>
      </c>
      <c r="PD391" s="882" t="s">
        <v>1154</v>
      </c>
      <c r="PE391" s="882" t="s">
        <v>1154</v>
      </c>
      <c r="PF391" s="882" t="s">
        <v>1154</v>
      </c>
      <c r="PG391" s="882" t="s">
        <v>1154</v>
      </c>
      <c r="PH391" s="882" t="s">
        <v>1154</v>
      </c>
      <c r="PI391" s="882" t="s">
        <v>1154</v>
      </c>
      <c r="PJ391" s="882" t="s">
        <v>1154</v>
      </c>
      <c r="PK391" s="882" t="s">
        <v>1154</v>
      </c>
      <c r="PL391" s="882" t="s">
        <v>1154</v>
      </c>
      <c r="PM391" s="882" t="s">
        <v>1154</v>
      </c>
      <c r="PN391" s="882" t="s">
        <v>1154</v>
      </c>
      <c r="PO391" s="882" t="s">
        <v>1154</v>
      </c>
      <c r="PP391" s="882" t="s">
        <v>1154</v>
      </c>
      <c r="PQ391" s="882" t="s">
        <v>1154</v>
      </c>
      <c r="PR391" s="882" t="s">
        <v>1154</v>
      </c>
      <c r="PS391" s="882" t="s">
        <v>1154</v>
      </c>
      <c r="PT391" s="882" t="s">
        <v>1154</v>
      </c>
      <c r="PU391" s="882" t="s">
        <v>1154</v>
      </c>
      <c r="PV391" s="882" t="s">
        <v>1154</v>
      </c>
      <c r="PW391" s="882" t="s">
        <v>1154</v>
      </c>
      <c r="PX391" s="882" t="s">
        <v>1154</v>
      </c>
      <c r="PY391" s="882" t="s">
        <v>1154</v>
      </c>
      <c r="PZ391" s="882" t="s">
        <v>1154</v>
      </c>
      <c r="QA391" s="882" t="s">
        <v>1154</v>
      </c>
      <c r="QB391" s="882" t="s">
        <v>1154</v>
      </c>
      <c r="QC391" s="882" t="s">
        <v>1154</v>
      </c>
      <c r="QD391" s="882" t="s">
        <v>1154</v>
      </c>
      <c r="QE391" s="882" t="s">
        <v>1154</v>
      </c>
      <c r="QF391" s="882" t="s">
        <v>1154</v>
      </c>
      <c r="QG391" s="882" t="s">
        <v>1154</v>
      </c>
      <c r="QH391" s="882" t="s">
        <v>1154</v>
      </c>
      <c r="QI391" s="882" t="s">
        <v>1154</v>
      </c>
      <c r="QJ391" s="882" t="s">
        <v>1154</v>
      </c>
      <c r="QK391" s="882" t="s">
        <v>1154</v>
      </c>
      <c r="QL391" s="882" t="s">
        <v>1154</v>
      </c>
      <c r="QM391" s="882" t="s">
        <v>1154</v>
      </c>
      <c r="QN391" s="882" t="s">
        <v>1154</v>
      </c>
      <c r="QO391" s="882" t="s">
        <v>1154</v>
      </c>
      <c r="QP391" s="882" t="s">
        <v>1154</v>
      </c>
      <c r="QQ391" s="882" t="s">
        <v>1155</v>
      </c>
      <c r="QR391" s="882" t="s">
        <v>1155</v>
      </c>
      <c r="QS391" s="882" t="s">
        <v>1155</v>
      </c>
      <c r="QT391" s="882" t="s">
        <v>1155</v>
      </c>
      <c r="QU391" s="882" t="s">
        <v>1155</v>
      </c>
      <c r="QV391" s="882" t="s">
        <v>1155</v>
      </c>
      <c r="QW391" s="882" t="s">
        <v>1155</v>
      </c>
      <c r="QX391" s="882" t="s">
        <v>1155</v>
      </c>
      <c r="QY391" s="882" t="s">
        <v>1155</v>
      </c>
      <c r="QZ391" s="882" t="s">
        <v>1155</v>
      </c>
      <c r="RA391" s="882" t="s">
        <v>1155</v>
      </c>
      <c r="RB391" s="882" t="s">
        <v>1155</v>
      </c>
      <c r="RC391" s="882" t="s">
        <v>1155</v>
      </c>
      <c r="RD391" s="882" t="s">
        <v>1155</v>
      </c>
      <c r="RE391" s="882" t="s">
        <v>1155</v>
      </c>
      <c r="RF391" s="882" t="s">
        <v>1155</v>
      </c>
      <c r="RG391" s="882" t="s">
        <v>1155</v>
      </c>
      <c r="RH391" s="882" t="s">
        <v>1155</v>
      </c>
      <c r="RI391" s="882" t="s">
        <v>1155</v>
      </c>
      <c r="RJ391" s="882" t="s">
        <v>1155</v>
      </c>
      <c r="RK391" s="882" t="s">
        <v>1155</v>
      </c>
      <c r="RL391" s="882" t="s">
        <v>1155</v>
      </c>
      <c r="RM391" s="882" t="s">
        <v>1155</v>
      </c>
      <c r="RN391" s="882" t="s">
        <v>1155</v>
      </c>
      <c r="RO391" s="882" t="s">
        <v>1155</v>
      </c>
      <c r="RP391" s="882" t="s">
        <v>1155</v>
      </c>
      <c r="RQ391" s="882" t="s">
        <v>1155</v>
      </c>
      <c r="RR391" s="882" t="s">
        <v>1155</v>
      </c>
      <c r="RS391" s="882" t="s">
        <v>1155</v>
      </c>
      <c r="RT391" s="882" t="s">
        <v>1155</v>
      </c>
      <c r="RU391" s="882" t="s">
        <v>1155</v>
      </c>
      <c r="RV391" s="882" t="s">
        <v>1155</v>
      </c>
      <c r="RW391" s="882" t="s">
        <v>1155</v>
      </c>
      <c r="RX391" s="882" t="s">
        <v>1155</v>
      </c>
      <c r="RY391" s="882" t="s">
        <v>1155</v>
      </c>
      <c r="RZ391" s="882" t="s">
        <v>1155</v>
      </c>
      <c r="SA391" s="882" t="s">
        <v>1155</v>
      </c>
      <c r="SB391" s="882" t="s">
        <v>1155</v>
      </c>
      <c r="SC391" s="882" t="s">
        <v>1155</v>
      </c>
      <c r="SD391" s="882" t="s">
        <v>1155</v>
      </c>
      <c r="SE391" s="882" t="s">
        <v>1155</v>
      </c>
      <c r="SF391" s="882" t="s">
        <v>1155</v>
      </c>
      <c r="SG391" s="882" t="s">
        <v>1155</v>
      </c>
      <c r="SH391" s="882" t="s">
        <v>1155</v>
      </c>
      <c r="SI391" s="882" t="s">
        <v>1155</v>
      </c>
      <c r="SJ391" s="882" t="s">
        <v>1155</v>
      </c>
      <c r="SK391" s="882" t="s">
        <v>1155</v>
      </c>
      <c r="SL391" s="882" t="s">
        <v>1155</v>
      </c>
      <c r="SM391" s="882" t="s">
        <v>1155</v>
      </c>
      <c r="SN391" s="882" t="s">
        <v>1155</v>
      </c>
      <c r="SO391" s="882" t="s">
        <v>1155</v>
      </c>
      <c r="SP391" s="882" t="s">
        <v>1155</v>
      </c>
      <c r="SQ391" s="882" t="s">
        <v>1155</v>
      </c>
      <c r="SR391" s="882" t="s">
        <v>1155</v>
      </c>
      <c r="SS391" s="882" t="s">
        <v>1155</v>
      </c>
      <c r="ST391" s="882" t="s">
        <v>1155</v>
      </c>
      <c r="SU391" s="882" t="s">
        <v>1155</v>
      </c>
      <c r="SV391" s="882" t="s">
        <v>1155</v>
      </c>
      <c r="SW391" s="882" t="s">
        <v>1155</v>
      </c>
      <c r="SX391" s="882" t="s">
        <v>1155</v>
      </c>
      <c r="SY391" s="882" t="s">
        <v>1155</v>
      </c>
      <c r="SZ391" s="882" t="s">
        <v>1155</v>
      </c>
      <c r="TA391" s="882" t="s">
        <v>1155</v>
      </c>
      <c r="TB391" s="882" t="s">
        <v>1155</v>
      </c>
      <c r="TC391" s="882" t="s">
        <v>1155</v>
      </c>
      <c r="TD391" s="882" t="s">
        <v>1155</v>
      </c>
      <c r="TE391" s="882" t="s">
        <v>1155</v>
      </c>
      <c r="TF391" s="882" t="s">
        <v>1155</v>
      </c>
      <c r="TG391" s="882" t="s">
        <v>1155</v>
      </c>
      <c r="TH391" s="882" t="s">
        <v>1155</v>
      </c>
      <c r="TI391" s="882" t="s">
        <v>1155</v>
      </c>
      <c r="TJ391" s="882" t="s">
        <v>1155</v>
      </c>
      <c r="TK391" s="882" t="s">
        <v>1155</v>
      </c>
      <c r="TL391" s="882" t="s">
        <v>1155</v>
      </c>
      <c r="TM391" s="882" t="s">
        <v>1155</v>
      </c>
      <c r="TN391" s="882" t="s">
        <v>1155</v>
      </c>
      <c r="TO391" s="882" t="s">
        <v>1155</v>
      </c>
      <c r="TP391" s="882" t="s">
        <v>1155</v>
      </c>
      <c r="TQ391" s="882" t="s">
        <v>1155</v>
      </c>
      <c r="TR391" s="882" t="s">
        <v>1155</v>
      </c>
      <c r="TS391" s="882" t="s">
        <v>1155</v>
      </c>
      <c r="TT391" s="882" t="s">
        <v>1155</v>
      </c>
      <c r="TU391" s="882" t="s">
        <v>1155</v>
      </c>
      <c r="TV391" s="882" t="s">
        <v>1155</v>
      </c>
      <c r="TW391" s="882" t="s">
        <v>1155</v>
      </c>
      <c r="TX391" s="882" t="s">
        <v>1155</v>
      </c>
      <c r="TY391" s="882" t="s">
        <v>1155</v>
      </c>
      <c r="TZ391" s="882" t="s">
        <v>1155</v>
      </c>
      <c r="UA391" s="882" t="s">
        <v>1155</v>
      </c>
      <c r="UB391" s="882" t="s">
        <v>1155</v>
      </c>
      <c r="UC391" s="882" t="s">
        <v>1154</v>
      </c>
      <c r="UD391" s="882" t="s">
        <v>1154</v>
      </c>
      <c r="UE391" s="882" t="s">
        <v>1154</v>
      </c>
      <c r="UF391" s="882" t="s">
        <v>1154</v>
      </c>
      <c r="UG391" s="882" t="s">
        <v>1154</v>
      </c>
      <c r="UH391" s="882" t="s">
        <v>1154</v>
      </c>
      <c r="UI391" s="882" t="s">
        <v>1154</v>
      </c>
      <c r="UJ391" s="882" t="s">
        <v>1154</v>
      </c>
      <c r="UK391" s="882" t="s">
        <v>1154</v>
      </c>
      <c r="UL391" s="882" t="s">
        <v>1154</v>
      </c>
      <c r="UM391" s="882" t="s">
        <v>1154</v>
      </c>
      <c r="UN391" s="882" t="s">
        <v>1154</v>
      </c>
      <c r="UO391" s="882" t="s">
        <v>1154</v>
      </c>
      <c r="UP391" s="882" t="s">
        <v>1154</v>
      </c>
      <c r="UQ391" s="882" t="s">
        <v>1154</v>
      </c>
      <c r="UR391" s="882" t="s">
        <v>1154</v>
      </c>
      <c r="US391" s="882" t="s">
        <v>1154</v>
      </c>
      <c r="UT391" s="882" t="s">
        <v>1154</v>
      </c>
      <c r="UU391" s="882" t="s">
        <v>1154</v>
      </c>
      <c r="UV391" s="882" t="s">
        <v>1154</v>
      </c>
      <c r="UW391" s="882" t="s">
        <v>1154</v>
      </c>
      <c r="UX391" s="882" t="s">
        <v>1154</v>
      </c>
      <c r="UY391" s="882" t="s">
        <v>1154</v>
      </c>
      <c r="UZ391" s="882" t="s">
        <v>1154</v>
      </c>
      <c r="VA391" s="882" t="s">
        <v>1154</v>
      </c>
      <c r="VB391" s="882" t="s">
        <v>1154</v>
      </c>
      <c r="VC391" s="882" t="s">
        <v>1154</v>
      </c>
      <c r="VD391" s="882" t="s">
        <v>1154</v>
      </c>
      <c r="VE391" s="882" t="s">
        <v>1154</v>
      </c>
      <c r="VF391" s="882" t="s">
        <v>1154</v>
      </c>
      <c r="VG391" s="882" t="s">
        <v>1154</v>
      </c>
      <c r="VH391" s="882" t="s">
        <v>1154</v>
      </c>
      <c r="VI391" s="882" t="s">
        <v>1154</v>
      </c>
      <c r="VJ391" s="882" t="s">
        <v>1154</v>
      </c>
      <c r="VK391" s="882" t="s">
        <v>1154</v>
      </c>
      <c r="VL391" s="882" t="s">
        <v>1154</v>
      </c>
      <c r="VM391" s="882" t="s">
        <v>1154</v>
      </c>
      <c r="VN391" s="882" t="s">
        <v>1154</v>
      </c>
      <c r="VO391" s="882" t="s">
        <v>1154</v>
      </c>
      <c r="VP391" s="882" t="s">
        <v>1154</v>
      </c>
      <c r="VQ391" s="882" t="s">
        <v>1154</v>
      </c>
      <c r="VR391" s="882" t="s">
        <v>1154</v>
      </c>
      <c r="VS391" s="882" t="s">
        <v>1154</v>
      </c>
      <c r="VT391" s="882" t="s">
        <v>1154</v>
      </c>
      <c r="VU391" s="882" t="s">
        <v>1154</v>
      </c>
      <c r="VV391" s="882" t="s">
        <v>1154</v>
      </c>
      <c r="VW391" s="882" t="s">
        <v>1154</v>
      </c>
      <c r="VX391" s="882" t="s">
        <v>1154</v>
      </c>
      <c r="VY391" s="882" t="s">
        <v>1154</v>
      </c>
      <c r="VZ391" s="882" t="s">
        <v>1154</v>
      </c>
      <c r="WA391" s="882" t="s">
        <v>1154</v>
      </c>
      <c r="WB391" s="882" t="s">
        <v>1154</v>
      </c>
      <c r="WC391" s="882" t="s">
        <v>1154</v>
      </c>
      <c r="WD391" s="882" t="s">
        <v>1154</v>
      </c>
      <c r="WE391" s="882" t="s">
        <v>1154</v>
      </c>
      <c r="WF391" s="882" t="s">
        <v>1154</v>
      </c>
      <c r="WG391" s="882" t="s">
        <v>1154</v>
      </c>
      <c r="WH391" s="882" t="s">
        <v>1154</v>
      </c>
      <c r="WI391" s="882" t="s">
        <v>1154</v>
      </c>
      <c r="WJ391" s="882" t="s">
        <v>1154</v>
      </c>
      <c r="WK391" s="882" t="s">
        <v>1154</v>
      </c>
      <c r="WL391" s="882" t="s">
        <v>1154</v>
      </c>
      <c r="WM391" s="882" t="s">
        <v>1154</v>
      </c>
      <c r="WN391" s="882" t="s">
        <v>1154</v>
      </c>
      <c r="WO391" s="882" t="s">
        <v>1154</v>
      </c>
      <c r="WP391" s="882" t="s">
        <v>1154</v>
      </c>
      <c r="WQ391" s="882" t="s">
        <v>1154</v>
      </c>
      <c r="WR391" s="882" t="s">
        <v>1154</v>
      </c>
      <c r="WS391" s="882" t="s">
        <v>1154</v>
      </c>
      <c r="WT391" s="882" t="s">
        <v>1154</v>
      </c>
      <c r="WU391" s="882" t="s">
        <v>1154</v>
      </c>
      <c r="WV391" s="882" t="s">
        <v>1154</v>
      </c>
      <c r="WW391" s="882" t="s">
        <v>1154</v>
      </c>
      <c r="WX391" s="882" t="s">
        <v>1154</v>
      </c>
      <c r="WY391" s="882" t="s">
        <v>1154</v>
      </c>
      <c r="WZ391" s="882" t="s">
        <v>1154</v>
      </c>
      <c r="XA391" s="882" t="s">
        <v>1154</v>
      </c>
      <c r="XB391" s="882" t="s">
        <v>1154</v>
      </c>
      <c r="XC391" s="882" t="s">
        <v>1154</v>
      </c>
      <c r="XD391" s="882" t="s">
        <v>1154</v>
      </c>
      <c r="XE391" s="882" t="s">
        <v>1154</v>
      </c>
      <c r="XF391" s="882" t="s">
        <v>1154</v>
      </c>
      <c r="XG391" s="882" t="s">
        <v>1154</v>
      </c>
      <c r="XH391" s="882" t="s">
        <v>1154</v>
      </c>
      <c r="XI391" s="882" t="s">
        <v>1154</v>
      </c>
      <c r="XJ391" s="882" t="s">
        <v>1154</v>
      </c>
      <c r="XK391" s="882" t="s">
        <v>1154</v>
      </c>
      <c r="XL391" s="882" t="s">
        <v>1154</v>
      </c>
      <c r="XM391" s="882" t="s">
        <v>1154</v>
      </c>
      <c r="XN391" s="882" t="s">
        <v>1154</v>
      </c>
      <c r="XO391" s="882" t="s">
        <v>1155</v>
      </c>
      <c r="XP391" s="882" t="s">
        <v>1155</v>
      </c>
      <c r="XQ391" s="882" t="s">
        <v>1155</v>
      </c>
      <c r="XR391" s="882" t="s">
        <v>1155</v>
      </c>
      <c r="XS391" s="882" t="s">
        <v>1155</v>
      </c>
      <c r="XT391" s="882" t="s">
        <v>1155</v>
      </c>
      <c r="XU391" s="882" t="s">
        <v>1155</v>
      </c>
      <c r="XV391" s="882" t="s">
        <v>1155</v>
      </c>
      <c r="XW391" s="882" t="s">
        <v>1155</v>
      </c>
      <c r="XX391" s="882" t="s">
        <v>1155</v>
      </c>
      <c r="XY391" s="882" t="s">
        <v>1155</v>
      </c>
      <c r="XZ391" s="882" t="s">
        <v>1155</v>
      </c>
      <c r="YA391" s="882" t="s">
        <v>1155</v>
      </c>
      <c r="YB391" s="882" t="s">
        <v>1155</v>
      </c>
      <c r="YC391" s="882" t="s">
        <v>1155</v>
      </c>
      <c r="YD391" s="882" t="s">
        <v>1155</v>
      </c>
      <c r="YE391" s="882" t="s">
        <v>1155</v>
      </c>
      <c r="YF391" s="882" t="s">
        <v>1155</v>
      </c>
      <c r="YG391" s="882" t="s">
        <v>1155</v>
      </c>
      <c r="YH391" s="882" t="s">
        <v>1155</v>
      </c>
      <c r="YI391" s="882" t="s">
        <v>1155</v>
      </c>
      <c r="YJ391" s="882" t="s">
        <v>1155</v>
      </c>
      <c r="YK391" s="882" t="s">
        <v>1155</v>
      </c>
      <c r="YL391" s="882" t="s">
        <v>1155</v>
      </c>
      <c r="YM391" s="882" t="s">
        <v>1155</v>
      </c>
      <c r="YN391" s="882" t="s">
        <v>1155</v>
      </c>
      <c r="YO391" s="882" t="s">
        <v>1155</v>
      </c>
      <c r="YP391" s="882" t="s">
        <v>1155</v>
      </c>
      <c r="YQ391" s="882" t="s">
        <v>1155</v>
      </c>
      <c r="YR391" s="882" t="s">
        <v>1155</v>
      </c>
      <c r="YS391" s="882" t="s">
        <v>1155</v>
      </c>
      <c r="YT391" s="882" t="s">
        <v>1155</v>
      </c>
      <c r="YU391" s="882" t="s">
        <v>1155</v>
      </c>
      <c r="YV391" s="882" t="s">
        <v>1155</v>
      </c>
      <c r="YW391" s="882" t="s">
        <v>1155</v>
      </c>
      <c r="YX391" s="882" t="s">
        <v>1155</v>
      </c>
      <c r="YY391" s="882" t="s">
        <v>1155</v>
      </c>
      <c r="YZ391" s="882" t="s">
        <v>1155</v>
      </c>
      <c r="ZA391" s="882" t="s">
        <v>1155</v>
      </c>
      <c r="ZB391" s="882" t="s">
        <v>1155</v>
      </c>
      <c r="ZC391" s="882" t="s">
        <v>1155</v>
      </c>
      <c r="ZD391" s="882" t="s">
        <v>1155</v>
      </c>
      <c r="ZE391" s="882" t="s">
        <v>1155</v>
      </c>
      <c r="ZF391" s="882" t="s">
        <v>1155</v>
      </c>
      <c r="ZG391" s="882" t="s">
        <v>1155</v>
      </c>
      <c r="ZH391" s="882" t="s">
        <v>1155</v>
      </c>
      <c r="ZI391" s="882" t="s">
        <v>1155</v>
      </c>
      <c r="ZJ391" s="882" t="s">
        <v>1155</v>
      </c>
      <c r="ZK391" s="882" t="s">
        <v>1155</v>
      </c>
      <c r="ZL391" s="882" t="s">
        <v>1155</v>
      </c>
      <c r="ZM391" s="882" t="s">
        <v>1155</v>
      </c>
      <c r="ZN391" s="882" t="s">
        <v>1155</v>
      </c>
      <c r="ZO391" s="882" t="s">
        <v>1155</v>
      </c>
      <c r="ZP391" s="882" t="s">
        <v>1155</v>
      </c>
      <c r="ZQ391" s="882" t="s">
        <v>1155</v>
      </c>
      <c r="ZR391" s="882" t="s">
        <v>1155</v>
      </c>
      <c r="ZS391" s="882" t="s">
        <v>1155</v>
      </c>
      <c r="ZT391" s="882" t="s">
        <v>1155</v>
      </c>
      <c r="ZU391" s="882" t="s">
        <v>1155</v>
      </c>
      <c r="ZV391" s="882" t="s">
        <v>1155</v>
      </c>
      <c r="ZW391" s="882" t="s">
        <v>1155</v>
      </c>
      <c r="ZX391" s="882" t="s">
        <v>1155</v>
      </c>
      <c r="ZY391" s="882" t="s">
        <v>1155</v>
      </c>
      <c r="ZZ391" s="882" t="s">
        <v>1155</v>
      </c>
      <c r="AAA391" s="882" t="s">
        <v>1155</v>
      </c>
      <c r="AAB391" s="882" t="s">
        <v>1155</v>
      </c>
      <c r="AAC391" s="882" t="s">
        <v>1155</v>
      </c>
      <c r="AAD391" s="882" t="s">
        <v>1155</v>
      </c>
      <c r="AAE391" s="882" t="s">
        <v>1155</v>
      </c>
      <c r="AAF391" s="882" t="s">
        <v>1155</v>
      </c>
      <c r="AAG391" s="882" t="s">
        <v>1155</v>
      </c>
      <c r="AAH391" s="882" t="s">
        <v>1155</v>
      </c>
      <c r="AAI391" s="882" t="s">
        <v>1155</v>
      </c>
      <c r="AAJ391" s="882" t="s">
        <v>1155</v>
      </c>
      <c r="AAK391" s="882" t="s">
        <v>1155</v>
      </c>
      <c r="AAL391" s="882" t="s">
        <v>1155</v>
      </c>
      <c r="AAM391" s="882" t="s">
        <v>1155</v>
      </c>
      <c r="AAN391" s="882" t="s">
        <v>1155</v>
      </c>
      <c r="AAO391" s="882" t="s">
        <v>1155</v>
      </c>
      <c r="AAP391" s="882" t="s">
        <v>1155</v>
      </c>
      <c r="AAQ391" s="882" t="s">
        <v>1155</v>
      </c>
      <c r="AAR391" s="882" t="s">
        <v>1155</v>
      </c>
      <c r="AAS391" s="882" t="s">
        <v>1155</v>
      </c>
      <c r="AAT391" s="882" t="s">
        <v>1155</v>
      </c>
      <c r="AAU391" s="882" t="s">
        <v>1155</v>
      </c>
      <c r="AAV391" s="882" t="s">
        <v>1155</v>
      </c>
      <c r="AAW391" s="882" t="s">
        <v>1155</v>
      </c>
      <c r="AAX391" s="882" t="s">
        <v>1155</v>
      </c>
      <c r="AAY391" s="882" t="s">
        <v>1155</v>
      </c>
      <c r="AAZ391" s="882" t="s">
        <v>1155</v>
      </c>
      <c r="ABA391" s="882" t="s">
        <v>1154</v>
      </c>
      <c r="ABB391" s="882" t="s">
        <v>1154</v>
      </c>
      <c r="ABC391" s="882" t="s">
        <v>1154</v>
      </c>
      <c r="ABD391" s="882" t="s">
        <v>1154</v>
      </c>
      <c r="ABE391" s="882" t="s">
        <v>1154</v>
      </c>
      <c r="ABF391" s="882" t="s">
        <v>1154</v>
      </c>
      <c r="ABG391" s="882" t="s">
        <v>1154</v>
      </c>
      <c r="ABH391" s="882" t="s">
        <v>1154</v>
      </c>
      <c r="ABI391" s="882" t="s">
        <v>1154</v>
      </c>
      <c r="ABJ391" s="882" t="s">
        <v>1154</v>
      </c>
      <c r="ABK391" s="882" t="s">
        <v>1154</v>
      </c>
      <c r="ABL391" s="882" t="s">
        <v>1154</v>
      </c>
      <c r="ABM391" s="882" t="s">
        <v>1154</v>
      </c>
      <c r="ABN391" s="882" t="s">
        <v>1154</v>
      </c>
      <c r="ABO391" s="882" t="s">
        <v>1154</v>
      </c>
      <c r="ABP391" s="882" t="s">
        <v>1154</v>
      </c>
      <c r="ABQ391" s="882" t="s">
        <v>1154</v>
      </c>
      <c r="ABR391" s="882" t="s">
        <v>1154</v>
      </c>
      <c r="ABS391" s="882" t="s">
        <v>1154</v>
      </c>
      <c r="ABT391" s="882" t="s">
        <v>1154</v>
      </c>
      <c r="ABU391" s="882" t="s">
        <v>1154</v>
      </c>
      <c r="ABV391" s="882" t="s">
        <v>1154</v>
      </c>
      <c r="ABW391" s="882" t="s">
        <v>1154</v>
      </c>
      <c r="ABX391" s="882" t="s">
        <v>1154</v>
      </c>
      <c r="ABY391" s="882" t="s">
        <v>1154</v>
      </c>
      <c r="ABZ391" s="882" t="s">
        <v>1154</v>
      </c>
      <c r="ACA391" s="882" t="s">
        <v>1154</v>
      </c>
      <c r="ACB391" s="882" t="s">
        <v>1154</v>
      </c>
      <c r="ACC391" s="882" t="s">
        <v>1154</v>
      </c>
      <c r="ACD391" s="882" t="s">
        <v>1154</v>
      </c>
      <c r="ACE391" s="882" t="s">
        <v>1154</v>
      </c>
      <c r="ACF391" s="882" t="s">
        <v>1154</v>
      </c>
      <c r="ACG391" s="882" t="s">
        <v>1154</v>
      </c>
      <c r="ACH391" s="882" t="s">
        <v>1154</v>
      </c>
      <c r="ACI391" s="882" t="s">
        <v>1154</v>
      </c>
      <c r="ACJ391" s="882" t="s">
        <v>1154</v>
      </c>
      <c r="ACK391" s="882" t="s">
        <v>1154</v>
      </c>
      <c r="ACL391" s="882" t="s">
        <v>1154</v>
      </c>
      <c r="ACM391" s="882" t="s">
        <v>1154</v>
      </c>
      <c r="ACN391" s="882" t="s">
        <v>1154</v>
      </c>
      <c r="ACO391" s="882" t="s">
        <v>1154</v>
      </c>
      <c r="ACP391" s="882" t="s">
        <v>1154</v>
      </c>
      <c r="ACQ391" s="882" t="s">
        <v>1154</v>
      </c>
      <c r="ACR391" s="882" t="s">
        <v>1154</v>
      </c>
      <c r="ACS391" s="882" t="s">
        <v>1154</v>
      </c>
      <c r="ACT391" s="882" t="s">
        <v>1154</v>
      </c>
      <c r="ACU391" s="882" t="s">
        <v>1154</v>
      </c>
      <c r="ACV391" s="882" t="s">
        <v>1154</v>
      </c>
      <c r="ACW391" s="882" t="s">
        <v>1154</v>
      </c>
      <c r="ACX391" s="882" t="s">
        <v>1154</v>
      </c>
      <c r="ACY391" s="882" t="s">
        <v>1154</v>
      </c>
      <c r="ACZ391" s="882" t="s">
        <v>1154</v>
      </c>
      <c r="ADA391" s="882" t="s">
        <v>1154</v>
      </c>
      <c r="ADB391" s="882" t="s">
        <v>1154</v>
      </c>
      <c r="ADC391" s="882" t="s">
        <v>1154</v>
      </c>
      <c r="ADD391" s="882" t="s">
        <v>1154</v>
      </c>
      <c r="ADE391" s="882" t="s">
        <v>1154</v>
      </c>
      <c r="ADF391" s="882" t="s">
        <v>1154</v>
      </c>
      <c r="ADG391" s="882" t="s">
        <v>1154</v>
      </c>
      <c r="ADH391" s="882" t="s">
        <v>1154</v>
      </c>
      <c r="ADI391" s="882" t="s">
        <v>1154</v>
      </c>
      <c r="ADJ391" s="882" t="s">
        <v>1154</v>
      </c>
      <c r="ADK391" s="882" t="s">
        <v>1154</v>
      </c>
      <c r="ADL391" s="882" t="s">
        <v>1154</v>
      </c>
      <c r="ADM391" s="882" t="s">
        <v>1154</v>
      </c>
      <c r="ADN391" s="882" t="s">
        <v>1154</v>
      </c>
      <c r="ADO391" s="882" t="s">
        <v>1154</v>
      </c>
      <c r="ADP391" s="882" t="s">
        <v>1154</v>
      </c>
      <c r="ADQ391" s="882" t="s">
        <v>1154</v>
      </c>
      <c r="ADR391" s="882" t="s">
        <v>1154</v>
      </c>
      <c r="ADS391" s="882" t="s">
        <v>1154</v>
      </c>
      <c r="ADT391" s="882" t="s">
        <v>1154</v>
      </c>
      <c r="ADU391" s="882" t="s">
        <v>1154</v>
      </c>
      <c r="ADV391" s="882" t="s">
        <v>1154</v>
      </c>
      <c r="ADW391" s="882" t="s">
        <v>1154</v>
      </c>
      <c r="ADX391" s="882" t="s">
        <v>1154</v>
      </c>
      <c r="ADY391" s="882" t="s">
        <v>1154</v>
      </c>
      <c r="ADZ391" s="882" t="s">
        <v>1154</v>
      </c>
      <c r="AEA391" s="882" t="s">
        <v>1154</v>
      </c>
      <c r="AEB391" s="882" t="s">
        <v>1154</v>
      </c>
      <c r="AEC391" s="882" t="s">
        <v>1154</v>
      </c>
      <c r="AED391" s="882" t="s">
        <v>1154</v>
      </c>
      <c r="AEE391" s="882" t="s">
        <v>1154</v>
      </c>
      <c r="AEF391" s="882" t="s">
        <v>1154</v>
      </c>
      <c r="AEG391" s="882" t="s">
        <v>1154</v>
      </c>
      <c r="AEH391" s="882" t="s">
        <v>1154</v>
      </c>
      <c r="AEI391" s="882" t="s">
        <v>1154</v>
      </c>
      <c r="AEJ391" s="882" t="s">
        <v>1154</v>
      </c>
      <c r="AEK391" s="882" t="s">
        <v>1154</v>
      </c>
      <c r="AEL391" s="882" t="s">
        <v>1154</v>
      </c>
      <c r="AEM391" s="882" t="s">
        <v>1155</v>
      </c>
      <c r="AEN391" s="882" t="s">
        <v>1155</v>
      </c>
      <c r="AEO391" s="882" t="s">
        <v>1155</v>
      </c>
      <c r="AEP391" s="882" t="s">
        <v>1155</v>
      </c>
      <c r="AEQ391" s="882" t="s">
        <v>1155</v>
      </c>
      <c r="AER391" s="882" t="s">
        <v>1155</v>
      </c>
      <c r="AES391" s="882" t="s">
        <v>1155</v>
      </c>
      <c r="AET391" s="882" t="s">
        <v>1155</v>
      </c>
      <c r="AEU391" s="882" t="s">
        <v>1155</v>
      </c>
      <c r="AEV391" s="882" t="s">
        <v>1155</v>
      </c>
      <c r="AEW391" s="882" t="s">
        <v>1155</v>
      </c>
      <c r="AEX391" s="882" t="s">
        <v>1155</v>
      </c>
      <c r="AEY391" s="882" t="s">
        <v>1155</v>
      </c>
      <c r="AEZ391" s="882" t="s">
        <v>1155</v>
      </c>
      <c r="AFA391" s="882" t="s">
        <v>1155</v>
      </c>
      <c r="AFB391" s="882" t="s">
        <v>1155</v>
      </c>
      <c r="AFC391" s="882" t="s">
        <v>1155</v>
      </c>
      <c r="AFD391" s="882" t="s">
        <v>1155</v>
      </c>
      <c r="AFE391" s="882" t="s">
        <v>1155</v>
      </c>
      <c r="AFF391" s="882" t="s">
        <v>1155</v>
      </c>
      <c r="AFG391" s="882" t="s">
        <v>1155</v>
      </c>
      <c r="AFH391" s="882" t="s">
        <v>1155</v>
      </c>
      <c r="AFI391" s="882" t="s">
        <v>1155</v>
      </c>
      <c r="AFJ391" s="882" t="s">
        <v>1155</v>
      </c>
      <c r="AFK391" s="882" t="s">
        <v>1155</v>
      </c>
      <c r="AFL391" s="882" t="s">
        <v>1155</v>
      </c>
      <c r="AFM391" s="882" t="s">
        <v>1155</v>
      </c>
      <c r="AFN391" s="882" t="s">
        <v>1155</v>
      </c>
      <c r="AFO391" s="882" t="s">
        <v>1155</v>
      </c>
      <c r="AFP391" s="882" t="s">
        <v>1155</v>
      </c>
      <c r="AFQ391" s="882" t="s">
        <v>1155</v>
      </c>
      <c r="AFR391" s="882" t="s">
        <v>1155</v>
      </c>
      <c r="AFS391" s="882" t="s">
        <v>1155</v>
      </c>
      <c r="AFT391" s="882" t="s">
        <v>1155</v>
      </c>
      <c r="AFU391" s="882" t="s">
        <v>1155</v>
      </c>
      <c r="AFV391" s="882" t="s">
        <v>1155</v>
      </c>
      <c r="AFW391" s="882" t="s">
        <v>1155</v>
      </c>
      <c r="AFX391" s="882" t="s">
        <v>1155</v>
      </c>
      <c r="AFY391" s="882" t="s">
        <v>1155</v>
      </c>
      <c r="AFZ391" s="882" t="s">
        <v>1155</v>
      </c>
      <c r="AGA391" s="882" t="s">
        <v>1155</v>
      </c>
      <c r="AGB391" s="882" t="s">
        <v>1155</v>
      </c>
      <c r="AGC391" s="882" t="s">
        <v>1155</v>
      </c>
      <c r="AGD391" s="882" t="s">
        <v>1155</v>
      </c>
      <c r="AGE391" s="882" t="s">
        <v>1155</v>
      </c>
      <c r="AGF391" s="882" t="s">
        <v>1155</v>
      </c>
      <c r="AGG391" s="882" t="s">
        <v>1155</v>
      </c>
      <c r="AGH391" s="882" t="s">
        <v>1155</v>
      </c>
      <c r="AGI391" s="882" t="s">
        <v>1155</v>
      </c>
      <c r="AGJ391" s="882" t="s">
        <v>1155</v>
      </c>
      <c r="AGK391" s="882" t="s">
        <v>1155</v>
      </c>
      <c r="AGL391" s="882" t="s">
        <v>1155</v>
      </c>
      <c r="AGM391" s="882" t="s">
        <v>1155</v>
      </c>
      <c r="AGN391" s="882" t="s">
        <v>1155</v>
      </c>
      <c r="AGO391" s="882" t="s">
        <v>1155</v>
      </c>
      <c r="AGP391" s="882" t="s">
        <v>1155</v>
      </c>
      <c r="AGQ391" s="882" t="s">
        <v>1155</v>
      </c>
      <c r="AGR391" s="882" t="s">
        <v>1155</v>
      </c>
      <c r="AGS391" s="882" t="s">
        <v>1155</v>
      </c>
      <c r="AGT391" s="882" t="s">
        <v>1155</v>
      </c>
      <c r="AGU391" s="882" t="s">
        <v>1155</v>
      </c>
      <c r="AGV391" s="882" t="s">
        <v>1155</v>
      </c>
      <c r="AGW391" s="882" t="s">
        <v>1155</v>
      </c>
      <c r="AGX391" s="882" t="s">
        <v>1155</v>
      </c>
      <c r="AGY391" s="882" t="s">
        <v>1155</v>
      </c>
      <c r="AGZ391" s="882" t="s">
        <v>1155</v>
      </c>
      <c r="AHA391" s="882" t="s">
        <v>1155</v>
      </c>
      <c r="AHB391" s="882" t="s">
        <v>1155</v>
      </c>
      <c r="AHC391" s="882" t="s">
        <v>1155</v>
      </c>
      <c r="AHD391" s="882" t="s">
        <v>1155</v>
      </c>
      <c r="AHE391" s="882" t="s">
        <v>1155</v>
      </c>
      <c r="AHF391" s="882" t="s">
        <v>1155</v>
      </c>
      <c r="AHG391" s="882" t="s">
        <v>1155</v>
      </c>
      <c r="AHH391" s="882" t="s">
        <v>1155</v>
      </c>
      <c r="AHI391" s="882" t="s">
        <v>1155</v>
      </c>
      <c r="AHJ391" s="882" t="s">
        <v>1155</v>
      </c>
      <c r="AHK391" s="882" t="s">
        <v>1155</v>
      </c>
      <c r="AHL391" s="882" t="s">
        <v>1155</v>
      </c>
      <c r="AHM391" s="882" t="s">
        <v>1155</v>
      </c>
      <c r="AHN391" s="882" t="s">
        <v>1155</v>
      </c>
      <c r="AHO391" s="882" t="s">
        <v>1155</v>
      </c>
      <c r="AHP391" s="882" t="s">
        <v>1155</v>
      </c>
      <c r="AHQ391" s="882" t="s">
        <v>1155</v>
      </c>
      <c r="AHR391" s="882" t="s">
        <v>1155</v>
      </c>
      <c r="AHS391" s="882" t="s">
        <v>1155</v>
      </c>
      <c r="AHT391" s="882" t="s">
        <v>1155</v>
      </c>
      <c r="AHU391" s="882" t="s">
        <v>1155</v>
      </c>
      <c r="AHV391" s="882" t="s">
        <v>1155</v>
      </c>
      <c r="AHW391" s="882" t="s">
        <v>1155</v>
      </c>
      <c r="AHX391" s="882" t="s">
        <v>1155</v>
      </c>
      <c r="AHY391" s="882" t="s">
        <v>1154</v>
      </c>
      <c r="AHZ391" s="882" t="s">
        <v>1154</v>
      </c>
      <c r="AIA391" s="882" t="s">
        <v>1154</v>
      </c>
      <c r="AIB391" s="882" t="s">
        <v>1154</v>
      </c>
      <c r="AIC391" s="882" t="s">
        <v>1154</v>
      </c>
      <c r="AID391" s="882" t="s">
        <v>1154</v>
      </c>
      <c r="AIE391" s="882" t="s">
        <v>1154</v>
      </c>
      <c r="AIF391" s="882" t="s">
        <v>1154</v>
      </c>
      <c r="AIG391" s="882" t="s">
        <v>1154</v>
      </c>
      <c r="AIH391" s="882" t="s">
        <v>1154</v>
      </c>
      <c r="AII391" s="882" t="s">
        <v>1154</v>
      </c>
      <c r="AIJ391" s="882" t="s">
        <v>1154</v>
      </c>
      <c r="AIK391" s="882" t="s">
        <v>1154</v>
      </c>
      <c r="AIL391" s="882" t="s">
        <v>1154</v>
      </c>
      <c r="AIM391" s="882" t="s">
        <v>1154</v>
      </c>
      <c r="AIN391" s="882" t="s">
        <v>1154</v>
      </c>
      <c r="AIO391" s="882" t="s">
        <v>1154</v>
      </c>
      <c r="AIP391" s="882" t="s">
        <v>1154</v>
      </c>
      <c r="AIQ391" s="882" t="s">
        <v>1154</v>
      </c>
      <c r="AIR391" s="882" t="s">
        <v>1154</v>
      </c>
      <c r="AIS391" s="882" t="s">
        <v>1154</v>
      </c>
      <c r="AIT391" s="882" t="s">
        <v>1154</v>
      </c>
      <c r="AIU391" s="882" t="s">
        <v>1154</v>
      </c>
      <c r="AIV391" s="882" t="s">
        <v>1154</v>
      </c>
      <c r="AIW391" s="882" t="s">
        <v>1154</v>
      </c>
      <c r="AIX391" s="882" t="s">
        <v>1154</v>
      </c>
      <c r="AIY391" s="882" t="s">
        <v>1154</v>
      </c>
      <c r="AIZ391" s="882" t="s">
        <v>1154</v>
      </c>
      <c r="AJA391" s="882" t="s">
        <v>1154</v>
      </c>
      <c r="AJB391" s="882" t="s">
        <v>1154</v>
      </c>
      <c r="AJC391" s="882" t="s">
        <v>1154</v>
      </c>
      <c r="AJD391" s="882" t="s">
        <v>1154</v>
      </c>
      <c r="AJE391" s="882" t="s">
        <v>1154</v>
      </c>
      <c r="AJF391" s="882" t="s">
        <v>1154</v>
      </c>
      <c r="AJG391" s="882" t="s">
        <v>1154</v>
      </c>
      <c r="AJH391" s="882" t="s">
        <v>1154</v>
      </c>
      <c r="AJI391" s="882" t="s">
        <v>1154</v>
      </c>
      <c r="AJJ391" s="882" t="s">
        <v>1154</v>
      </c>
      <c r="AJK391" s="882" t="s">
        <v>1154</v>
      </c>
      <c r="AJL391" s="882" t="s">
        <v>1154</v>
      </c>
      <c r="AJM391" s="882" t="s">
        <v>1154</v>
      </c>
      <c r="AJN391" s="882" t="s">
        <v>1154</v>
      </c>
      <c r="AJO391" s="882" t="s">
        <v>1154</v>
      </c>
      <c r="AJP391" s="882" t="s">
        <v>1154</v>
      </c>
      <c r="AJQ391" s="882" t="s">
        <v>1154</v>
      </c>
      <c r="AJR391" s="882" t="s">
        <v>1154</v>
      </c>
      <c r="AJS391" s="882" t="s">
        <v>1154</v>
      </c>
      <c r="AJT391" s="882" t="s">
        <v>1154</v>
      </c>
      <c r="AJU391" s="882" t="s">
        <v>1154</v>
      </c>
      <c r="AJV391" s="882" t="s">
        <v>1154</v>
      </c>
      <c r="AJW391" s="882" t="s">
        <v>1154</v>
      </c>
      <c r="AJX391" s="882" t="s">
        <v>1154</v>
      </c>
      <c r="AJY391" s="882" t="s">
        <v>1154</v>
      </c>
      <c r="AJZ391" s="882" t="s">
        <v>1154</v>
      </c>
      <c r="AKA391" s="882" t="s">
        <v>1154</v>
      </c>
      <c r="AKB391" s="882" t="s">
        <v>1154</v>
      </c>
      <c r="AKC391" s="882" t="s">
        <v>1154</v>
      </c>
      <c r="AKD391" s="882" t="s">
        <v>1154</v>
      </c>
      <c r="AKE391" s="882" t="s">
        <v>1154</v>
      </c>
      <c r="AKF391" s="882" t="s">
        <v>1154</v>
      </c>
      <c r="AKG391" s="882" t="s">
        <v>1154</v>
      </c>
      <c r="AKH391" s="882" t="s">
        <v>1154</v>
      </c>
      <c r="AKI391" s="882" t="s">
        <v>1154</v>
      </c>
      <c r="AKJ391" s="882" t="s">
        <v>1154</v>
      </c>
      <c r="AKK391" s="882" t="s">
        <v>1154</v>
      </c>
      <c r="AKL391" s="882" t="s">
        <v>1154</v>
      </c>
      <c r="AKM391" s="882" t="s">
        <v>1154</v>
      </c>
      <c r="AKN391" s="882" t="s">
        <v>1154</v>
      </c>
      <c r="AKO391" s="882" t="s">
        <v>1154</v>
      </c>
      <c r="AKP391" s="882" t="s">
        <v>1154</v>
      </c>
      <c r="AKQ391" s="882" t="s">
        <v>1154</v>
      </c>
      <c r="AKR391" s="882" t="s">
        <v>1154</v>
      </c>
      <c r="AKS391" s="882" t="s">
        <v>1154</v>
      </c>
      <c r="AKT391" s="882" t="s">
        <v>1154</v>
      </c>
      <c r="AKU391" s="882" t="s">
        <v>1154</v>
      </c>
      <c r="AKV391" s="882" t="s">
        <v>1154</v>
      </c>
      <c r="AKW391" s="882" t="s">
        <v>1154</v>
      </c>
      <c r="AKX391" s="882" t="s">
        <v>1154</v>
      </c>
      <c r="AKY391" s="882" t="s">
        <v>1154</v>
      </c>
      <c r="AKZ391" s="882" t="s">
        <v>1154</v>
      </c>
      <c r="ALA391" s="882" t="s">
        <v>1154</v>
      </c>
      <c r="ALB391" s="882" t="s">
        <v>1154</v>
      </c>
      <c r="ALC391" s="882" t="s">
        <v>1154</v>
      </c>
      <c r="ALD391" s="882" t="s">
        <v>1154</v>
      </c>
      <c r="ALE391" s="882" t="s">
        <v>1154</v>
      </c>
      <c r="ALF391" s="882" t="s">
        <v>1154</v>
      </c>
      <c r="ALG391" s="882" t="s">
        <v>1154</v>
      </c>
      <c r="ALH391" s="882" t="s">
        <v>1154</v>
      </c>
      <c r="ALI391" s="882" t="s">
        <v>1154</v>
      </c>
      <c r="ALJ391" s="882" t="s">
        <v>1154</v>
      </c>
      <c r="ALK391" s="882" t="s">
        <v>1155</v>
      </c>
      <c r="ALL391" s="882" t="s">
        <v>1155</v>
      </c>
      <c r="ALM391" s="882" t="s">
        <v>1155</v>
      </c>
      <c r="ALN391" s="882" t="s">
        <v>1155</v>
      </c>
      <c r="ALO391" s="882" t="s">
        <v>1155</v>
      </c>
      <c r="ALP391" s="882" t="s">
        <v>1155</v>
      </c>
      <c r="ALQ391" s="882" t="s">
        <v>1155</v>
      </c>
      <c r="ALR391" s="882" t="s">
        <v>1155</v>
      </c>
      <c r="ALS391" s="882" t="s">
        <v>1155</v>
      </c>
      <c r="ALT391" s="882" t="s">
        <v>1155</v>
      </c>
      <c r="ALU391" s="882" t="s">
        <v>1155</v>
      </c>
      <c r="ALV391" s="882" t="s">
        <v>1155</v>
      </c>
      <c r="ALW391" s="882" t="s">
        <v>1155</v>
      </c>
      <c r="ALX391" s="882" t="s">
        <v>1155</v>
      </c>
      <c r="ALY391" s="882" t="s">
        <v>1155</v>
      </c>
      <c r="ALZ391" s="882" t="s">
        <v>1155</v>
      </c>
      <c r="AMA391" s="882" t="s">
        <v>1155</v>
      </c>
      <c r="AMB391" s="882" t="s">
        <v>1155</v>
      </c>
      <c r="AMC391" s="882" t="s">
        <v>1155</v>
      </c>
      <c r="AMD391" s="882" t="s">
        <v>1155</v>
      </c>
      <c r="AME391" s="882" t="s">
        <v>1155</v>
      </c>
      <c r="AMF391" s="882" t="s">
        <v>1155</v>
      </c>
      <c r="AMG391" s="882" t="s">
        <v>1155</v>
      </c>
      <c r="AMH391" s="882" t="s">
        <v>1155</v>
      </c>
      <c r="AMI391" s="882" t="s">
        <v>1155</v>
      </c>
      <c r="AMJ391" s="882" t="s">
        <v>1155</v>
      </c>
      <c r="AMK391" s="882" t="s">
        <v>1155</v>
      </c>
      <c r="AML391" s="882" t="s">
        <v>1155</v>
      </c>
      <c r="AMM391" s="882" t="s">
        <v>1155</v>
      </c>
      <c r="AMN391" s="882" t="s">
        <v>1155</v>
      </c>
      <c r="AMO391" s="882" t="s">
        <v>1155</v>
      </c>
      <c r="AMP391" s="882" t="s">
        <v>1155</v>
      </c>
      <c r="AMQ391" s="882" t="s">
        <v>1155</v>
      </c>
      <c r="AMR391" s="882" t="s">
        <v>1155</v>
      </c>
      <c r="AMS391" s="882" t="s">
        <v>1155</v>
      </c>
      <c r="AMT391" s="882" t="s">
        <v>1155</v>
      </c>
      <c r="AMU391" s="882" t="s">
        <v>1155</v>
      </c>
      <c r="AMV391" s="882" t="s">
        <v>1155</v>
      </c>
      <c r="AMW391" s="882" t="s">
        <v>1155</v>
      </c>
      <c r="AMX391" s="882" t="s">
        <v>1155</v>
      </c>
      <c r="AMY391" s="882" t="s">
        <v>1155</v>
      </c>
      <c r="AMZ391" s="882" t="s">
        <v>1155</v>
      </c>
      <c r="ANA391" s="882" t="s">
        <v>1155</v>
      </c>
      <c r="ANB391" s="882" t="s">
        <v>1155</v>
      </c>
      <c r="ANC391" s="882" t="s">
        <v>1155</v>
      </c>
      <c r="AND391" s="882" t="s">
        <v>1155</v>
      </c>
      <c r="ANE391" s="882" t="s">
        <v>1155</v>
      </c>
      <c r="ANF391" s="882" t="s">
        <v>1155</v>
      </c>
      <c r="ANG391" s="882" t="s">
        <v>1155</v>
      </c>
      <c r="ANH391" s="882" t="s">
        <v>1155</v>
      </c>
      <c r="ANI391" s="882" t="s">
        <v>1155</v>
      </c>
      <c r="ANJ391" s="882" t="s">
        <v>1155</v>
      </c>
      <c r="ANK391" s="882" t="s">
        <v>1155</v>
      </c>
      <c r="ANL391" s="882" t="s">
        <v>1155</v>
      </c>
      <c r="ANM391" s="882" t="s">
        <v>1155</v>
      </c>
      <c r="ANN391" s="882" t="s">
        <v>1155</v>
      </c>
      <c r="ANO391" s="882" t="s">
        <v>1155</v>
      </c>
      <c r="ANP391" s="882" t="s">
        <v>1155</v>
      </c>
      <c r="ANQ391" s="882" t="s">
        <v>1155</v>
      </c>
      <c r="ANR391" s="882" t="s">
        <v>1155</v>
      </c>
      <c r="ANS391" s="882" t="s">
        <v>1155</v>
      </c>
      <c r="ANT391" s="882" t="s">
        <v>1155</v>
      </c>
      <c r="ANU391" s="882" t="s">
        <v>1155</v>
      </c>
      <c r="ANV391" s="882" t="s">
        <v>1155</v>
      </c>
      <c r="ANW391" s="882" t="s">
        <v>1155</v>
      </c>
      <c r="ANX391" s="882" t="s">
        <v>1155</v>
      </c>
      <c r="ANY391" s="882" t="s">
        <v>1155</v>
      </c>
      <c r="ANZ391" s="882" t="s">
        <v>1155</v>
      </c>
      <c r="AOA391" s="882" t="s">
        <v>1155</v>
      </c>
      <c r="AOB391" s="882" t="s">
        <v>1155</v>
      </c>
      <c r="AOC391" s="882" t="s">
        <v>1155</v>
      </c>
      <c r="AOD391" s="882" t="s">
        <v>1155</v>
      </c>
      <c r="AOE391" s="882" t="s">
        <v>1155</v>
      </c>
      <c r="AOF391" s="882" t="s">
        <v>1155</v>
      </c>
      <c r="AOG391" s="882" t="s">
        <v>1155</v>
      </c>
      <c r="AOH391" s="882" t="s">
        <v>1155</v>
      </c>
      <c r="AOI391" s="882" t="s">
        <v>1155</v>
      </c>
      <c r="AOJ391" s="882" t="s">
        <v>1155</v>
      </c>
      <c r="AOK391" s="882" t="s">
        <v>1155</v>
      </c>
      <c r="AOL391" s="882" t="s">
        <v>1155</v>
      </c>
      <c r="AOM391" s="882" t="s">
        <v>1155</v>
      </c>
      <c r="AON391" s="882" t="s">
        <v>1155</v>
      </c>
      <c r="AOO391" s="882" t="s">
        <v>1155</v>
      </c>
      <c r="AOP391" s="882" t="s">
        <v>1155</v>
      </c>
      <c r="AOQ391" s="882" t="s">
        <v>1155</v>
      </c>
      <c r="AOR391" s="882" t="s">
        <v>1155</v>
      </c>
      <c r="AOS391" s="882" t="s">
        <v>1155</v>
      </c>
      <c r="AOT391" s="882" t="s">
        <v>1155</v>
      </c>
      <c r="AOU391" s="882" t="s">
        <v>1155</v>
      </c>
      <c r="AOV391" s="882" t="s">
        <v>1155</v>
      </c>
      <c r="AOW391" s="882"/>
      <c r="AOY391" s="51"/>
      <c r="AOZ391" s="51"/>
      <c r="APA391" s="51"/>
      <c r="APB391" s="51"/>
      <c r="APC391" s="51"/>
      <c r="APD391" s="51"/>
      <c r="APE391" s="51"/>
      <c r="APF391" s="51"/>
      <c r="APG391" s="51"/>
      <c r="APH391" s="51"/>
      <c r="API391" s="51"/>
      <c r="APJ391" s="51"/>
    </row>
    <row r="392" spans="2:1102" hidden="1">
      <c r="B392" s="1000" t="s">
        <v>1053</v>
      </c>
      <c r="C392" s="1000"/>
      <c r="D392" s="836"/>
      <c r="E392" s="462" t="s">
        <v>907</v>
      </c>
      <c r="F392" s="462"/>
      <c r="G392" s="462" t="s">
        <v>65</v>
      </c>
      <c r="H392" s="462"/>
      <c r="I392" s="875" t="s">
        <v>1032</v>
      </c>
      <c r="J392" s="875" t="s">
        <v>1032</v>
      </c>
      <c r="K392" s="875" t="s">
        <v>1032</v>
      </c>
      <c r="L392" s="875" t="s">
        <v>1032</v>
      </c>
      <c r="M392" s="875" t="s">
        <v>1032</v>
      </c>
      <c r="N392" s="875" t="s">
        <v>1032</v>
      </c>
      <c r="O392" s="875" t="s">
        <v>1032</v>
      </c>
      <c r="P392" s="875" t="s">
        <v>1032</v>
      </c>
      <c r="Q392" s="875" t="s">
        <v>1032</v>
      </c>
      <c r="R392" s="875" t="s">
        <v>1032</v>
      </c>
      <c r="S392" s="875" t="s">
        <v>1123</v>
      </c>
      <c r="T392" s="875" t="s">
        <v>1123</v>
      </c>
      <c r="U392" s="875" t="s">
        <v>1123</v>
      </c>
      <c r="V392" s="875" t="s">
        <v>1123</v>
      </c>
      <c r="W392" s="875" t="s">
        <v>1123</v>
      </c>
      <c r="X392" s="875" t="s">
        <v>1123</v>
      </c>
      <c r="Y392" s="875" t="s">
        <v>1123</v>
      </c>
      <c r="Z392" s="875" t="s">
        <v>1123</v>
      </c>
      <c r="AA392" s="875" t="s">
        <v>1123</v>
      </c>
      <c r="AB392" s="875" t="s">
        <v>1123</v>
      </c>
      <c r="AC392" s="875" t="s">
        <v>457</v>
      </c>
      <c r="AD392" s="875" t="s">
        <v>457</v>
      </c>
      <c r="AE392" s="875" t="s">
        <v>457</v>
      </c>
      <c r="AF392" s="875" t="s">
        <v>457</v>
      </c>
      <c r="AG392" s="875" t="s">
        <v>457</v>
      </c>
      <c r="AH392" s="875" t="s">
        <v>457</v>
      </c>
      <c r="AI392" s="875" t="s">
        <v>457</v>
      </c>
      <c r="AJ392" s="875" t="s">
        <v>457</v>
      </c>
      <c r="AK392" s="875" t="s">
        <v>457</v>
      </c>
      <c r="AL392" s="875" t="s">
        <v>457</v>
      </c>
      <c r="AM392" s="875" t="s">
        <v>1124</v>
      </c>
      <c r="AN392" s="875" t="s">
        <v>1124</v>
      </c>
      <c r="AO392" s="875" t="s">
        <v>1124</v>
      </c>
      <c r="AP392" s="875" t="s">
        <v>1124</v>
      </c>
      <c r="AQ392" s="875" t="s">
        <v>1124</v>
      </c>
      <c r="AR392" s="875" t="s">
        <v>1124</v>
      </c>
      <c r="AS392" s="875" t="s">
        <v>1124</v>
      </c>
      <c r="AT392" s="875" t="s">
        <v>1124</v>
      </c>
      <c r="AU392" s="875" t="s">
        <v>1124</v>
      </c>
      <c r="AV392" s="875" t="s">
        <v>1124</v>
      </c>
      <c r="AW392" s="875" t="s">
        <v>1033</v>
      </c>
      <c r="AX392" s="875" t="s">
        <v>1033</v>
      </c>
      <c r="AY392" s="875" t="s">
        <v>1033</v>
      </c>
      <c r="AZ392" s="875" t="s">
        <v>1033</v>
      </c>
      <c r="BA392" s="875" t="s">
        <v>1033</v>
      </c>
      <c r="BB392" s="875" t="s">
        <v>1033</v>
      </c>
      <c r="BC392" s="875" t="s">
        <v>1033</v>
      </c>
      <c r="BD392" s="875" t="s">
        <v>1033</v>
      </c>
      <c r="BE392" s="875" t="s">
        <v>1033</v>
      </c>
      <c r="BF392" s="875" t="s">
        <v>1033</v>
      </c>
      <c r="BG392" s="875" t="s">
        <v>1125</v>
      </c>
      <c r="BH392" s="875" t="s">
        <v>1125</v>
      </c>
      <c r="BI392" s="875" t="s">
        <v>1125</v>
      </c>
      <c r="BJ392" s="875" t="s">
        <v>1125</v>
      </c>
      <c r="BK392" s="875" t="s">
        <v>1125</v>
      </c>
      <c r="BL392" s="875" t="s">
        <v>1125</v>
      </c>
      <c r="BM392" s="875" t="s">
        <v>1125</v>
      </c>
      <c r="BN392" s="875" t="s">
        <v>1125</v>
      </c>
      <c r="BO392" s="875" t="s">
        <v>1125</v>
      </c>
      <c r="BP392" s="875" t="s">
        <v>1125</v>
      </c>
      <c r="BQ392" s="875" t="s">
        <v>459</v>
      </c>
      <c r="BR392" s="875" t="s">
        <v>459</v>
      </c>
      <c r="BS392" s="875" t="s">
        <v>459</v>
      </c>
      <c r="BT392" s="875" t="s">
        <v>459</v>
      </c>
      <c r="BU392" s="875" t="s">
        <v>459</v>
      </c>
      <c r="BV392" s="875" t="s">
        <v>459</v>
      </c>
      <c r="BW392" s="875" t="s">
        <v>459</v>
      </c>
      <c r="BX392" s="875" t="s">
        <v>459</v>
      </c>
      <c r="BY392" s="875" t="s">
        <v>459</v>
      </c>
      <c r="BZ392" s="875" t="s">
        <v>459</v>
      </c>
      <c r="CA392" s="875" t="s">
        <v>1121</v>
      </c>
      <c r="CB392" s="875" t="s">
        <v>1121</v>
      </c>
      <c r="CC392" s="875" t="s">
        <v>1121</v>
      </c>
      <c r="CD392" s="875" t="s">
        <v>1121</v>
      </c>
      <c r="CE392" s="875" t="s">
        <v>1121</v>
      </c>
      <c r="CF392" s="875" t="s">
        <v>1121</v>
      </c>
      <c r="CG392" s="875" t="s">
        <v>1121</v>
      </c>
      <c r="CH392" s="875" t="s">
        <v>1121</v>
      </c>
      <c r="CI392" s="875" t="s">
        <v>1121</v>
      </c>
      <c r="CJ392" s="875" t="s">
        <v>1121</v>
      </c>
      <c r="CK392" s="875" t="s">
        <v>1122</v>
      </c>
      <c r="CL392" s="875" t="s">
        <v>1122</v>
      </c>
      <c r="CM392" s="875" t="s">
        <v>1122</v>
      </c>
      <c r="CN392" s="875" t="s">
        <v>1122</v>
      </c>
      <c r="CO392" s="875" t="s">
        <v>1122</v>
      </c>
      <c r="CP392" s="875" t="s">
        <v>1122</v>
      </c>
      <c r="CQ392" s="875" t="s">
        <v>1122</v>
      </c>
      <c r="CR392" s="875" t="s">
        <v>1122</v>
      </c>
      <c r="CS392" s="875" t="s">
        <v>1122</v>
      </c>
      <c r="CT392" s="875" t="s">
        <v>1122</v>
      </c>
      <c r="CU392" s="875" t="s">
        <v>1032</v>
      </c>
      <c r="CV392" s="875" t="s">
        <v>1032</v>
      </c>
      <c r="CW392" s="875" t="s">
        <v>1032</v>
      </c>
      <c r="CX392" s="875" t="s">
        <v>1032</v>
      </c>
      <c r="CY392" s="875" t="s">
        <v>1032</v>
      </c>
      <c r="CZ392" s="875" t="s">
        <v>1032</v>
      </c>
      <c r="DA392" s="875" t="s">
        <v>1032</v>
      </c>
      <c r="DB392" s="875" t="s">
        <v>1032</v>
      </c>
      <c r="DC392" s="875" t="s">
        <v>1032</v>
      </c>
      <c r="DD392" s="875" t="s">
        <v>1032</v>
      </c>
      <c r="DE392" s="875" t="s">
        <v>1123</v>
      </c>
      <c r="DF392" s="875" t="s">
        <v>1123</v>
      </c>
      <c r="DG392" s="875" t="s">
        <v>1123</v>
      </c>
      <c r="DH392" s="875" t="s">
        <v>1123</v>
      </c>
      <c r="DI392" s="875" t="s">
        <v>1123</v>
      </c>
      <c r="DJ392" s="875" t="s">
        <v>1123</v>
      </c>
      <c r="DK392" s="875" t="s">
        <v>1123</v>
      </c>
      <c r="DL392" s="875" t="s">
        <v>1123</v>
      </c>
      <c r="DM392" s="875" t="s">
        <v>1123</v>
      </c>
      <c r="DN392" s="875" t="s">
        <v>1123</v>
      </c>
      <c r="DO392" s="875" t="s">
        <v>457</v>
      </c>
      <c r="DP392" s="875" t="s">
        <v>457</v>
      </c>
      <c r="DQ392" s="875" t="s">
        <v>457</v>
      </c>
      <c r="DR392" s="875" t="s">
        <v>457</v>
      </c>
      <c r="DS392" s="875" t="s">
        <v>457</v>
      </c>
      <c r="DT392" s="875" t="s">
        <v>457</v>
      </c>
      <c r="DU392" s="875" t="s">
        <v>457</v>
      </c>
      <c r="DV392" s="875" t="s">
        <v>457</v>
      </c>
      <c r="DW392" s="875" t="s">
        <v>457</v>
      </c>
      <c r="DX392" s="875" t="s">
        <v>457</v>
      </c>
      <c r="DY392" s="875" t="s">
        <v>1124</v>
      </c>
      <c r="DZ392" s="875" t="s">
        <v>1124</v>
      </c>
      <c r="EA392" s="875" t="s">
        <v>1124</v>
      </c>
      <c r="EB392" s="875" t="s">
        <v>1124</v>
      </c>
      <c r="EC392" s="875" t="s">
        <v>1124</v>
      </c>
      <c r="ED392" s="875" t="s">
        <v>1124</v>
      </c>
      <c r="EE392" s="875" t="s">
        <v>1124</v>
      </c>
      <c r="EF392" s="875" t="s">
        <v>1124</v>
      </c>
      <c r="EG392" s="875" t="s">
        <v>1124</v>
      </c>
      <c r="EH392" s="875" t="s">
        <v>1124</v>
      </c>
      <c r="EI392" s="875" t="s">
        <v>1033</v>
      </c>
      <c r="EJ392" s="875" t="s">
        <v>1033</v>
      </c>
      <c r="EK392" s="875" t="s">
        <v>1033</v>
      </c>
      <c r="EL392" s="875" t="s">
        <v>1033</v>
      </c>
      <c r="EM392" s="875" t="s">
        <v>1033</v>
      </c>
      <c r="EN392" s="875" t="s">
        <v>1033</v>
      </c>
      <c r="EO392" s="875" t="s">
        <v>1033</v>
      </c>
      <c r="EP392" s="875" t="s">
        <v>1033</v>
      </c>
      <c r="EQ392" s="875" t="s">
        <v>1033</v>
      </c>
      <c r="ER392" s="875" t="s">
        <v>1033</v>
      </c>
      <c r="ES392" s="875" t="s">
        <v>1125</v>
      </c>
      <c r="ET392" s="875" t="s">
        <v>1125</v>
      </c>
      <c r="EU392" s="875" t="s">
        <v>1125</v>
      </c>
      <c r="EV392" s="875" t="s">
        <v>1125</v>
      </c>
      <c r="EW392" s="875" t="s">
        <v>1125</v>
      </c>
      <c r="EX392" s="875" t="s">
        <v>1125</v>
      </c>
      <c r="EY392" s="875" t="s">
        <v>1125</v>
      </c>
      <c r="EZ392" s="875" t="s">
        <v>1125</v>
      </c>
      <c r="FA392" s="875" t="s">
        <v>1125</v>
      </c>
      <c r="FB392" s="875" t="s">
        <v>1125</v>
      </c>
      <c r="FC392" s="875" t="s">
        <v>459</v>
      </c>
      <c r="FD392" s="875" t="s">
        <v>459</v>
      </c>
      <c r="FE392" s="875" t="s">
        <v>459</v>
      </c>
      <c r="FF392" s="875" t="s">
        <v>459</v>
      </c>
      <c r="FG392" s="875" t="s">
        <v>459</v>
      </c>
      <c r="FH392" s="875" t="s">
        <v>459</v>
      </c>
      <c r="FI392" s="875" t="s">
        <v>459</v>
      </c>
      <c r="FJ392" s="875" t="s">
        <v>459</v>
      </c>
      <c r="FK392" s="875" t="s">
        <v>459</v>
      </c>
      <c r="FL392" s="875" t="s">
        <v>459</v>
      </c>
      <c r="FM392" s="875" t="s">
        <v>1121</v>
      </c>
      <c r="FN392" s="875" t="s">
        <v>1121</v>
      </c>
      <c r="FO392" s="875" t="s">
        <v>1121</v>
      </c>
      <c r="FP392" s="875" t="s">
        <v>1121</v>
      </c>
      <c r="FQ392" s="875" t="s">
        <v>1121</v>
      </c>
      <c r="FR392" s="875" t="s">
        <v>1121</v>
      </c>
      <c r="FS392" s="875" t="s">
        <v>1121</v>
      </c>
      <c r="FT392" s="875" t="s">
        <v>1121</v>
      </c>
      <c r="FU392" s="875" t="s">
        <v>1121</v>
      </c>
      <c r="FV392" s="875" t="s">
        <v>1121</v>
      </c>
      <c r="FW392" s="875" t="s">
        <v>1122</v>
      </c>
      <c r="FX392" s="875" t="s">
        <v>1122</v>
      </c>
      <c r="FY392" s="875" t="s">
        <v>1122</v>
      </c>
      <c r="FZ392" s="875" t="s">
        <v>1122</v>
      </c>
      <c r="GA392" s="875" t="s">
        <v>1122</v>
      </c>
      <c r="GB392" s="875" t="s">
        <v>1122</v>
      </c>
      <c r="GC392" s="875" t="s">
        <v>1122</v>
      </c>
      <c r="GD392" s="875" t="s">
        <v>1122</v>
      </c>
      <c r="GE392" s="875" t="s">
        <v>1122</v>
      </c>
      <c r="GF392" s="875" t="s">
        <v>1122</v>
      </c>
      <c r="GG392" s="875" t="s">
        <v>1032</v>
      </c>
      <c r="GH392" s="875" t="s">
        <v>1032</v>
      </c>
      <c r="GI392" s="875" t="s">
        <v>1032</v>
      </c>
      <c r="GJ392" s="875" t="s">
        <v>1032</v>
      </c>
      <c r="GK392" s="875" t="s">
        <v>1032</v>
      </c>
      <c r="GL392" s="875" t="s">
        <v>1032</v>
      </c>
      <c r="GM392" s="875" t="s">
        <v>1032</v>
      </c>
      <c r="GN392" s="875" t="s">
        <v>1032</v>
      </c>
      <c r="GO392" s="875" t="s">
        <v>1032</v>
      </c>
      <c r="GP392" s="875" t="s">
        <v>1032</v>
      </c>
      <c r="GQ392" s="875" t="s">
        <v>1123</v>
      </c>
      <c r="GR392" s="875" t="s">
        <v>1123</v>
      </c>
      <c r="GS392" s="875" t="s">
        <v>1123</v>
      </c>
      <c r="GT392" s="875" t="s">
        <v>1123</v>
      </c>
      <c r="GU392" s="875" t="s">
        <v>1123</v>
      </c>
      <c r="GV392" s="875" t="s">
        <v>1123</v>
      </c>
      <c r="GW392" s="875" t="s">
        <v>1123</v>
      </c>
      <c r="GX392" s="875" t="s">
        <v>1123</v>
      </c>
      <c r="GY392" s="875" t="s">
        <v>1123</v>
      </c>
      <c r="GZ392" s="875" t="s">
        <v>1123</v>
      </c>
      <c r="HA392" s="875" t="s">
        <v>457</v>
      </c>
      <c r="HB392" s="875" t="s">
        <v>457</v>
      </c>
      <c r="HC392" s="875" t="s">
        <v>457</v>
      </c>
      <c r="HD392" s="875" t="s">
        <v>457</v>
      </c>
      <c r="HE392" s="875" t="s">
        <v>457</v>
      </c>
      <c r="HF392" s="875" t="s">
        <v>457</v>
      </c>
      <c r="HG392" s="875" t="s">
        <v>457</v>
      </c>
      <c r="HH392" s="875" t="s">
        <v>457</v>
      </c>
      <c r="HI392" s="875" t="s">
        <v>457</v>
      </c>
      <c r="HJ392" s="875" t="s">
        <v>457</v>
      </c>
      <c r="HK392" s="875" t="s">
        <v>1124</v>
      </c>
      <c r="HL392" s="875" t="s">
        <v>1124</v>
      </c>
      <c r="HM392" s="875" t="s">
        <v>1124</v>
      </c>
      <c r="HN392" s="875" t="s">
        <v>1124</v>
      </c>
      <c r="HO392" s="875" t="s">
        <v>1124</v>
      </c>
      <c r="HP392" s="875" t="s">
        <v>1124</v>
      </c>
      <c r="HQ392" s="875" t="s">
        <v>1124</v>
      </c>
      <c r="HR392" s="875" t="s">
        <v>1124</v>
      </c>
      <c r="HS392" s="875" t="s">
        <v>1124</v>
      </c>
      <c r="HT392" s="875" t="s">
        <v>1124</v>
      </c>
      <c r="HU392" s="875" t="s">
        <v>1033</v>
      </c>
      <c r="HV392" s="875" t="s">
        <v>1033</v>
      </c>
      <c r="HW392" s="875" t="s">
        <v>1033</v>
      </c>
      <c r="HX392" s="875" t="s">
        <v>1033</v>
      </c>
      <c r="HY392" s="875" t="s">
        <v>1033</v>
      </c>
      <c r="HZ392" s="875" t="s">
        <v>1033</v>
      </c>
      <c r="IA392" s="875" t="s">
        <v>1033</v>
      </c>
      <c r="IB392" s="875" t="s">
        <v>1033</v>
      </c>
      <c r="IC392" s="875" t="s">
        <v>1033</v>
      </c>
      <c r="ID392" s="875" t="s">
        <v>1033</v>
      </c>
      <c r="IE392" s="875" t="s">
        <v>1125</v>
      </c>
      <c r="IF392" s="875" t="s">
        <v>1125</v>
      </c>
      <c r="IG392" s="875" t="s">
        <v>1125</v>
      </c>
      <c r="IH392" s="875" t="s">
        <v>1125</v>
      </c>
      <c r="II392" s="875" t="s">
        <v>1125</v>
      </c>
      <c r="IJ392" s="875" t="s">
        <v>1125</v>
      </c>
      <c r="IK392" s="875" t="s">
        <v>1125</v>
      </c>
      <c r="IL392" s="875" t="s">
        <v>1125</v>
      </c>
      <c r="IM392" s="875" t="s">
        <v>1125</v>
      </c>
      <c r="IN392" s="875" t="s">
        <v>1125</v>
      </c>
      <c r="IO392" s="875" t="s">
        <v>459</v>
      </c>
      <c r="IP392" s="875" t="s">
        <v>459</v>
      </c>
      <c r="IQ392" s="875" t="s">
        <v>459</v>
      </c>
      <c r="IR392" s="875" t="s">
        <v>459</v>
      </c>
      <c r="IS392" s="875" t="s">
        <v>459</v>
      </c>
      <c r="IT392" s="875" t="s">
        <v>459</v>
      </c>
      <c r="IU392" s="875" t="s">
        <v>459</v>
      </c>
      <c r="IV392" s="875" t="s">
        <v>459</v>
      </c>
      <c r="IW392" s="875" t="s">
        <v>459</v>
      </c>
      <c r="IX392" s="875" t="s">
        <v>459</v>
      </c>
      <c r="IY392" s="875" t="s">
        <v>1121</v>
      </c>
      <c r="IZ392" s="875" t="s">
        <v>1121</v>
      </c>
      <c r="JA392" s="875" t="s">
        <v>1121</v>
      </c>
      <c r="JB392" s="875" t="s">
        <v>1121</v>
      </c>
      <c r="JC392" s="875" t="s">
        <v>1121</v>
      </c>
      <c r="JD392" s="875" t="s">
        <v>1121</v>
      </c>
      <c r="JE392" s="875" t="s">
        <v>1121</v>
      </c>
      <c r="JF392" s="875" t="s">
        <v>1121</v>
      </c>
      <c r="JG392" s="875" t="s">
        <v>1121</v>
      </c>
      <c r="JH392" s="875" t="s">
        <v>1121</v>
      </c>
      <c r="JI392" s="875" t="s">
        <v>1122</v>
      </c>
      <c r="JJ392" s="875" t="s">
        <v>1122</v>
      </c>
      <c r="JK392" s="875" t="s">
        <v>1122</v>
      </c>
      <c r="JL392" s="875" t="s">
        <v>1122</v>
      </c>
      <c r="JM392" s="875" t="s">
        <v>1122</v>
      </c>
      <c r="JN392" s="875" t="s">
        <v>1122</v>
      </c>
      <c r="JO392" s="875" t="s">
        <v>1122</v>
      </c>
      <c r="JP392" s="875" t="s">
        <v>1122</v>
      </c>
      <c r="JQ392" s="875" t="s">
        <v>1122</v>
      </c>
      <c r="JR392" s="875" t="s">
        <v>1122</v>
      </c>
      <c r="JS392" s="875" t="s">
        <v>1032</v>
      </c>
      <c r="JT392" s="875" t="s">
        <v>1032</v>
      </c>
      <c r="JU392" s="875" t="s">
        <v>1032</v>
      </c>
      <c r="JV392" s="875" t="s">
        <v>1032</v>
      </c>
      <c r="JW392" s="875" t="s">
        <v>1032</v>
      </c>
      <c r="JX392" s="875" t="s">
        <v>1032</v>
      </c>
      <c r="JY392" s="875" t="s">
        <v>1032</v>
      </c>
      <c r="JZ392" s="875" t="s">
        <v>1032</v>
      </c>
      <c r="KA392" s="875" t="s">
        <v>1032</v>
      </c>
      <c r="KB392" s="875" t="s">
        <v>1032</v>
      </c>
      <c r="KC392" s="875" t="s">
        <v>1123</v>
      </c>
      <c r="KD392" s="875" t="s">
        <v>1123</v>
      </c>
      <c r="KE392" s="875" t="s">
        <v>1123</v>
      </c>
      <c r="KF392" s="875" t="s">
        <v>1123</v>
      </c>
      <c r="KG392" s="875" t="s">
        <v>1123</v>
      </c>
      <c r="KH392" s="875" t="s">
        <v>1123</v>
      </c>
      <c r="KI392" s="875" t="s">
        <v>1123</v>
      </c>
      <c r="KJ392" s="875" t="s">
        <v>1123</v>
      </c>
      <c r="KK392" s="875" t="s">
        <v>1123</v>
      </c>
      <c r="KL392" s="875" t="s">
        <v>1123</v>
      </c>
      <c r="KM392" s="875" t="s">
        <v>457</v>
      </c>
      <c r="KN392" s="875" t="s">
        <v>457</v>
      </c>
      <c r="KO392" s="875" t="s">
        <v>457</v>
      </c>
      <c r="KP392" s="875" t="s">
        <v>457</v>
      </c>
      <c r="KQ392" s="875" t="s">
        <v>457</v>
      </c>
      <c r="KR392" s="875" t="s">
        <v>457</v>
      </c>
      <c r="KS392" s="875" t="s">
        <v>457</v>
      </c>
      <c r="KT392" s="875" t="s">
        <v>457</v>
      </c>
      <c r="KU392" s="875" t="s">
        <v>457</v>
      </c>
      <c r="KV392" s="875" t="s">
        <v>457</v>
      </c>
      <c r="KW392" s="875" t="s">
        <v>1124</v>
      </c>
      <c r="KX392" s="875" t="s">
        <v>1124</v>
      </c>
      <c r="KY392" s="875" t="s">
        <v>1124</v>
      </c>
      <c r="KZ392" s="875" t="s">
        <v>1124</v>
      </c>
      <c r="LA392" s="875" t="s">
        <v>1124</v>
      </c>
      <c r="LB392" s="875" t="s">
        <v>1124</v>
      </c>
      <c r="LC392" s="875" t="s">
        <v>1124</v>
      </c>
      <c r="LD392" s="875" t="s">
        <v>1124</v>
      </c>
      <c r="LE392" s="875" t="s">
        <v>1124</v>
      </c>
      <c r="LF392" s="875" t="s">
        <v>1124</v>
      </c>
      <c r="LG392" s="875" t="s">
        <v>1033</v>
      </c>
      <c r="LH392" s="875" t="s">
        <v>1033</v>
      </c>
      <c r="LI392" s="875" t="s">
        <v>1033</v>
      </c>
      <c r="LJ392" s="875" t="s">
        <v>1033</v>
      </c>
      <c r="LK392" s="875" t="s">
        <v>1033</v>
      </c>
      <c r="LL392" s="875" t="s">
        <v>1033</v>
      </c>
      <c r="LM392" s="875" t="s">
        <v>1033</v>
      </c>
      <c r="LN392" s="875" t="s">
        <v>1033</v>
      </c>
      <c r="LO392" s="875" t="s">
        <v>1033</v>
      </c>
      <c r="LP392" s="875" t="s">
        <v>1033</v>
      </c>
      <c r="LQ392" s="875" t="s">
        <v>1125</v>
      </c>
      <c r="LR392" s="875" t="s">
        <v>1125</v>
      </c>
      <c r="LS392" s="875" t="s">
        <v>1125</v>
      </c>
      <c r="LT392" s="875" t="s">
        <v>1125</v>
      </c>
      <c r="LU392" s="875" t="s">
        <v>1125</v>
      </c>
      <c r="LV392" s="875" t="s">
        <v>1125</v>
      </c>
      <c r="LW392" s="875" t="s">
        <v>1125</v>
      </c>
      <c r="LX392" s="875" t="s">
        <v>1125</v>
      </c>
      <c r="LY392" s="875" t="s">
        <v>1125</v>
      </c>
      <c r="LZ392" s="875" t="s">
        <v>1125</v>
      </c>
      <c r="MA392" s="875" t="s">
        <v>459</v>
      </c>
      <c r="MB392" s="875" t="s">
        <v>459</v>
      </c>
      <c r="MC392" s="875" t="s">
        <v>459</v>
      </c>
      <c r="MD392" s="875" t="s">
        <v>459</v>
      </c>
      <c r="ME392" s="875" t="s">
        <v>459</v>
      </c>
      <c r="MF392" s="875" t="s">
        <v>459</v>
      </c>
      <c r="MG392" s="875" t="s">
        <v>459</v>
      </c>
      <c r="MH392" s="875" t="s">
        <v>459</v>
      </c>
      <c r="MI392" s="875" t="s">
        <v>459</v>
      </c>
      <c r="MJ392" s="875" t="s">
        <v>459</v>
      </c>
      <c r="MK392" s="875" t="s">
        <v>1121</v>
      </c>
      <c r="ML392" s="875" t="s">
        <v>1121</v>
      </c>
      <c r="MM392" s="875" t="s">
        <v>1121</v>
      </c>
      <c r="MN392" s="875" t="s">
        <v>1121</v>
      </c>
      <c r="MO392" s="875" t="s">
        <v>1121</v>
      </c>
      <c r="MP392" s="875" t="s">
        <v>1121</v>
      </c>
      <c r="MQ392" s="875" t="s">
        <v>1121</v>
      </c>
      <c r="MR392" s="875" t="s">
        <v>1121</v>
      </c>
      <c r="MS392" s="875" t="s">
        <v>1121</v>
      </c>
      <c r="MT392" s="875" t="s">
        <v>1121</v>
      </c>
      <c r="MU392" s="875" t="s">
        <v>1122</v>
      </c>
      <c r="MV392" s="875" t="s">
        <v>1122</v>
      </c>
      <c r="MW392" s="875" t="s">
        <v>1122</v>
      </c>
      <c r="MX392" s="875" t="s">
        <v>1122</v>
      </c>
      <c r="MY392" s="875" t="s">
        <v>1122</v>
      </c>
      <c r="MZ392" s="875" t="s">
        <v>1122</v>
      </c>
      <c r="NA392" s="875" t="s">
        <v>1122</v>
      </c>
      <c r="NB392" s="875" t="s">
        <v>1122</v>
      </c>
      <c r="NC392" s="875" t="s">
        <v>1122</v>
      </c>
      <c r="ND392" s="875" t="s">
        <v>1122</v>
      </c>
      <c r="NE392" s="875" t="s">
        <v>1032</v>
      </c>
      <c r="NF392" s="875" t="s">
        <v>1032</v>
      </c>
      <c r="NG392" s="875" t="s">
        <v>1032</v>
      </c>
      <c r="NH392" s="875" t="s">
        <v>1032</v>
      </c>
      <c r="NI392" s="875" t="s">
        <v>1032</v>
      </c>
      <c r="NJ392" s="875" t="s">
        <v>1032</v>
      </c>
      <c r="NK392" s="875" t="s">
        <v>1032</v>
      </c>
      <c r="NL392" s="875" t="s">
        <v>1032</v>
      </c>
      <c r="NM392" s="875" t="s">
        <v>1032</v>
      </c>
      <c r="NN392" s="875" t="s">
        <v>1032</v>
      </c>
      <c r="NO392" s="875" t="s">
        <v>1123</v>
      </c>
      <c r="NP392" s="875" t="s">
        <v>1123</v>
      </c>
      <c r="NQ392" s="875" t="s">
        <v>1123</v>
      </c>
      <c r="NR392" s="875" t="s">
        <v>1123</v>
      </c>
      <c r="NS392" s="875" t="s">
        <v>1123</v>
      </c>
      <c r="NT392" s="875" t="s">
        <v>1123</v>
      </c>
      <c r="NU392" s="875" t="s">
        <v>1123</v>
      </c>
      <c r="NV392" s="875" t="s">
        <v>1123</v>
      </c>
      <c r="NW392" s="875" t="s">
        <v>1123</v>
      </c>
      <c r="NX392" s="875" t="s">
        <v>1123</v>
      </c>
      <c r="NY392" s="875" t="s">
        <v>457</v>
      </c>
      <c r="NZ392" s="875" t="s">
        <v>457</v>
      </c>
      <c r="OA392" s="875" t="s">
        <v>457</v>
      </c>
      <c r="OB392" s="875" t="s">
        <v>457</v>
      </c>
      <c r="OC392" s="875" t="s">
        <v>457</v>
      </c>
      <c r="OD392" s="875" t="s">
        <v>457</v>
      </c>
      <c r="OE392" s="875" t="s">
        <v>457</v>
      </c>
      <c r="OF392" s="875" t="s">
        <v>457</v>
      </c>
      <c r="OG392" s="875" t="s">
        <v>457</v>
      </c>
      <c r="OH392" s="875" t="s">
        <v>457</v>
      </c>
      <c r="OI392" s="875" t="s">
        <v>1124</v>
      </c>
      <c r="OJ392" s="875" t="s">
        <v>1124</v>
      </c>
      <c r="OK392" s="875" t="s">
        <v>1124</v>
      </c>
      <c r="OL392" s="875" t="s">
        <v>1124</v>
      </c>
      <c r="OM392" s="875" t="s">
        <v>1124</v>
      </c>
      <c r="ON392" s="875" t="s">
        <v>1124</v>
      </c>
      <c r="OO392" s="875" t="s">
        <v>1124</v>
      </c>
      <c r="OP392" s="875" t="s">
        <v>1124</v>
      </c>
      <c r="OQ392" s="875" t="s">
        <v>1124</v>
      </c>
      <c r="OR392" s="875" t="s">
        <v>1124</v>
      </c>
      <c r="OS392" s="875" t="s">
        <v>1033</v>
      </c>
      <c r="OT392" s="875" t="s">
        <v>1033</v>
      </c>
      <c r="OU392" s="875" t="s">
        <v>1033</v>
      </c>
      <c r="OV392" s="875" t="s">
        <v>1033</v>
      </c>
      <c r="OW392" s="875" t="s">
        <v>1033</v>
      </c>
      <c r="OX392" s="875" t="s">
        <v>1033</v>
      </c>
      <c r="OY392" s="875" t="s">
        <v>1033</v>
      </c>
      <c r="OZ392" s="875" t="s">
        <v>1033</v>
      </c>
      <c r="PA392" s="875" t="s">
        <v>1033</v>
      </c>
      <c r="PB392" s="875" t="s">
        <v>1033</v>
      </c>
      <c r="PC392" s="875" t="s">
        <v>1125</v>
      </c>
      <c r="PD392" s="875" t="s">
        <v>1125</v>
      </c>
      <c r="PE392" s="875" t="s">
        <v>1125</v>
      </c>
      <c r="PF392" s="875" t="s">
        <v>1125</v>
      </c>
      <c r="PG392" s="875" t="s">
        <v>1125</v>
      </c>
      <c r="PH392" s="875" t="s">
        <v>1125</v>
      </c>
      <c r="PI392" s="875" t="s">
        <v>1125</v>
      </c>
      <c r="PJ392" s="875" t="s">
        <v>1125</v>
      </c>
      <c r="PK392" s="875" t="s">
        <v>1125</v>
      </c>
      <c r="PL392" s="875" t="s">
        <v>1125</v>
      </c>
      <c r="PM392" s="875" t="s">
        <v>459</v>
      </c>
      <c r="PN392" s="875" t="s">
        <v>459</v>
      </c>
      <c r="PO392" s="875" t="s">
        <v>459</v>
      </c>
      <c r="PP392" s="875" t="s">
        <v>459</v>
      </c>
      <c r="PQ392" s="875" t="s">
        <v>459</v>
      </c>
      <c r="PR392" s="875" t="s">
        <v>459</v>
      </c>
      <c r="PS392" s="875" t="s">
        <v>459</v>
      </c>
      <c r="PT392" s="875" t="s">
        <v>459</v>
      </c>
      <c r="PU392" s="875" t="s">
        <v>459</v>
      </c>
      <c r="PV392" s="875" t="s">
        <v>459</v>
      </c>
      <c r="PW392" s="875" t="s">
        <v>1121</v>
      </c>
      <c r="PX392" s="875" t="s">
        <v>1121</v>
      </c>
      <c r="PY392" s="875" t="s">
        <v>1121</v>
      </c>
      <c r="PZ392" s="875" t="s">
        <v>1121</v>
      </c>
      <c r="QA392" s="875" t="s">
        <v>1121</v>
      </c>
      <c r="QB392" s="875" t="s">
        <v>1121</v>
      </c>
      <c r="QC392" s="875" t="s">
        <v>1121</v>
      </c>
      <c r="QD392" s="875" t="s">
        <v>1121</v>
      </c>
      <c r="QE392" s="875" t="s">
        <v>1121</v>
      </c>
      <c r="QF392" s="875" t="s">
        <v>1121</v>
      </c>
      <c r="QG392" s="875" t="s">
        <v>1122</v>
      </c>
      <c r="QH392" s="875" t="s">
        <v>1122</v>
      </c>
      <c r="QI392" s="875" t="s">
        <v>1122</v>
      </c>
      <c r="QJ392" s="875" t="s">
        <v>1122</v>
      </c>
      <c r="QK392" s="875" t="s">
        <v>1122</v>
      </c>
      <c r="QL392" s="875" t="s">
        <v>1122</v>
      </c>
      <c r="QM392" s="875" t="s">
        <v>1122</v>
      </c>
      <c r="QN392" s="875" t="s">
        <v>1122</v>
      </c>
      <c r="QO392" s="875" t="s">
        <v>1122</v>
      </c>
      <c r="QP392" s="875" t="s">
        <v>1122</v>
      </c>
      <c r="QQ392" s="875" t="s">
        <v>1032</v>
      </c>
      <c r="QR392" s="875" t="s">
        <v>1032</v>
      </c>
      <c r="QS392" s="875" t="s">
        <v>1032</v>
      </c>
      <c r="QT392" s="875" t="s">
        <v>1032</v>
      </c>
      <c r="QU392" s="875" t="s">
        <v>1032</v>
      </c>
      <c r="QV392" s="875" t="s">
        <v>1032</v>
      </c>
      <c r="QW392" s="875" t="s">
        <v>1032</v>
      </c>
      <c r="QX392" s="875" t="s">
        <v>1032</v>
      </c>
      <c r="QY392" s="875" t="s">
        <v>1032</v>
      </c>
      <c r="QZ392" s="875" t="s">
        <v>1032</v>
      </c>
      <c r="RA392" s="875" t="s">
        <v>1123</v>
      </c>
      <c r="RB392" s="875" t="s">
        <v>1123</v>
      </c>
      <c r="RC392" s="875" t="s">
        <v>1123</v>
      </c>
      <c r="RD392" s="875" t="s">
        <v>1123</v>
      </c>
      <c r="RE392" s="875" t="s">
        <v>1123</v>
      </c>
      <c r="RF392" s="875" t="s">
        <v>1123</v>
      </c>
      <c r="RG392" s="875" t="s">
        <v>1123</v>
      </c>
      <c r="RH392" s="875" t="s">
        <v>1123</v>
      </c>
      <c r="RI392" s="875" t="s">
        <v>1123</v>
      </c>
      <c r="RJ392" s="875" t="s">
        <v>1123</v>
      </c>
      <c r="RK392" s="875" t="s">
        <v>457</v>
      </c>
      <c r="RL392" s="875" t="s">
        <v>457</v>
      </c>
      <c r="RM392" s="875" t="s">
        <v>457</v>
      </c>
      <c r="RN392" s="875" t="s">
        <v>457</v>
      </c>
      <c r="RO392" s="875" t="s">
        <v>457</v>
      </c>
      <c r="RP392" s="875" t="s">
        <v>457</v>
      </c>
      <c r="RQ392" s="875" t="s">
        <v>457</v>
      </c>
      <c r="RR392" s="875" t="s">
        <v>457</v>
      </c>
      <c r="RS392" s="875" t="s">
        <v>457</v>
      </c>
      <c r="RT392" s="875" t="s">
        <v>457</v>
      </c>
      <c r="RU392" s="875" t="s">
        <v>1124</v>
      </c>
      <c r="RV392" s="875" t="s">
        <v>1124</v>
      </c>
      <c r="RW392" s="875" t="s">
        <v>1124</v>
      </c>
      <c r="RX392" s="875" t="s">
        <v>1124</v>
      </c>
      <c r="RY392" s="875" t="s">
        <v>1124</v>
      </c>
      <c r="RZ392" s="875" t="s">
        <v>1124</v>
      </c>
      <c r="SA392" s="875" t="s">
        <v>1124</v>
      </c>
      <c r="SB392" s="875" t="s">
        <v>1124</v>
      </c>
      <c r="SC392" s="875" t="s">
        <v>1124</v>
      </c>
      <c r="SD392" s="875" t="s">
        <v>1124</v>
      </c>
      <c r="SE392" s="875" t="s">
        <v>1033</v>
      </c>
      <c r="SF392" s="875" t="s">
        <v>1033</v>
      </c>
      <c r="SG392" s="875" t="s">
        <v>1033</v>
      </c>
      <c r="SH392" s="875" t="s">
        <v>1033</v>
      </c>
      <c r="SI392" s="875" t="s">
        <v>1033</v>
      </c>
      <c r="SJ392" s="875" t="s">
        <v>1033</v>
      </c>
      <c r="SK392" s="875" t="s">
        <v>1033</v>
      </c>
      <c r="SL392" s="875" t="s">
        <v>1033</v>
      </c>
      <c r="SM392" s="875" t="s">
        <v>1033</v>
      </c>
      <c r="SN392" s="875" t="s">
        <v>1033</v>
      </c>
      <c r="SO392" s="875" t="s">
        <v>1125</v>
      </c>
      <c r="SP392" s="875" t="s">
        <v>1125</v>
      </c>
      <c r="SQ392" s="875" t="s">
        <v>1125</v>
      </c>
      <c r="SR392" s="875" t="s">
        <v>1125</v>
      </c>
      <c r="SS392" s="875" t="s">
        <v>1125</v>
      </c>
      <c r="ST392" s="875" t="s">
        <v>1125</v>
      </c>
      <c r="SU392" s="875" t="s">
        <v>1125</v>
      </c>
      <c r="SV392" s="875" t="s">
        <v>1125</v>
      </c>
      <c r="SW392" s="875" t="s">
        <v>1125</v>
      </c>
      <c r="SX392" s="875" t="s">
        <v>1125</v>
      </c>
      <c r="SY392" s="875" t="s">
        <v>459</v>
      </c>
      <c r="SZ392" s="875" t="s">
        <v>459</v>
      </c>
      <c r="TA392" s="875" t="s">
        <v>459</v>
      </c>
      <c r="TB392" s="875" t="s">
        <v>459</v>
      </c>
      <c r="TC392" s="875" t="s">
        <v>459</v>
      </c>
      <c r="TD392" s="875" t="s">
        <v>459</v>
      </c>
      <c r="TE392" s="875" t="s">
        <v>459</v>
      </c>
      <c r="TF392" s="875" t="s">
        <v>459</v>
      </c>
      <c r="TG392" s="875" t="s">
        <v>459</v>
      </c>
      <c r="TH392" s="875" t="s">
        <v>459</v>
      </c>
      <c r="TI392" s="875" t="s">
        <v>1121</v>
      </c>
      <c r="TJ392" s="875" t="s">
        <v>1121</v>
      </c>
      <c r="TK392" s="875" t="s">
        <v>1121</v>
      </c>
      <c r="TL392" s="875" t="s">
        <v>1121</v>
      </c>
      <c r="TM392" s="875" t="s">
        <v>1121</v>
      </c>
      <c r="TN392" s="875" t="s">
        <v>1121</v>
      </c>
      <c r="TO392" s="875" t="s">
        <v>1121</v>
      </c>
      <c r="TP392" s="875" t="s">
        <v>1121</v>
      </c>
      <c r="TQ392" s="875" t="s">
        <v>1121</v>
      </c>
      <c r="TR392" s="875" t="s">
        <v>1121</v>
      </c>
      <c r="TS392" s="875" t="s">
        <v>1122</v>
      </c>
      <c r="TT392" s="875" t="s">
        <v>1122</v>
      </c>
      <c r="TU392" s="875" t="s">
        <v>1122</v>
      </c>
      <c r="TV392" s="875" t="s">
        <v>1122</v>
      </c>
      <c r="TW392" s="875" t="s">
        <v>1122</v>
      </c>
      <c r="TX392" s="875" t="s">
        <v>1122</v>
      </c>
      <c r="TY392" s="875" t="s">
        <v>1122</v>
      </c>
      <c r="TZ392" s="875" t="s">
        <v>1122</v>
      </c>
      <c r="UA392" s="875" t="s">
        <v>1122</v>
      </c>
      <c r="UB392" s="875" t="s">
        <v>1122</v>
      </c>
      <c r="UC392" s="875" t="s">
        <v>1032</v>
      </c>
      <c r="UD392" s="875" t="s">
        <v>1032</v>
      </c>
      <c r="UE392" s="875" t="s">
        <v>1032</v>
      </c>
      <c r="UF392" s="875" t="s">
        <v>1032</v>
      </c>
      <c r="UG392" s="875" t="s">
        <v>1032</v>
      </c>
      <c r="UH392" s="875" t="s">
        <v>1032</v>
      </c>
      <c r="UI392" s="875" t="s">
        <v>1032</v>
      </c>
      <c r="UJ392" s="875" t="s">
        <v>1032</v>
      </c>
      <c r="UK392" s="875" t="s">
        <v>1032</v>
      </c>
      <c r="UL392" s="875" t="s">
        <v>1032</v>
      </c>
      <c r="UM392" s="875" t="s">
        <v>1123</v>
      </c>
      <c r="UN392" s="875" t="s">
        <v>1123</v>
      </c>
      <c r="UO392" s="875" t="s">
        <v>1123</v>
      </c>
      <c r="UP392" s="875" t="s">
        <v>1123</v>
      </c>
      <c r="UQ392" s="875" t="s">
        <v>1123</v>
      </c>
      <c r="UR392" s="875" t="s">
        <v>1123</v>
      </c>
      <c r="US392" s="875" t="s">
        <v>1123</v>
      </c>
      <c r="UT392" s="875" t="s">
        <v>1123</v>
      </c>
      <c r="UU392" s="875" t="s">
        <v>1123</v>
      </c>
      <c r="UV392" s="875" t="s">
        <v>1123</v>
      </c>
      <c r="UW392" s="875" t="s">
        <v>457</v>
      </c>
      <c r="UX392" s="875" t="s">
        <v>457</v>
      </c>
      <c r="UY392" s="875" t="s">
        <v>457</v>
      </c>
      <c r="UZ392" s="875" t="s">
        <v>457</v>
      </c>
      <c r="VA392" s="875" t="s">
        <v>457</v>
      </c>
      <c r="VB392" s="875" t="s">
        <v>457</v>
      </c>
      <c r="VC392" s="875" t="s">
        <v>457</v>
      </c>
      <c r="VD392" s="875" t="s">
        <v>457</v>
      </c>
      <c r="VE392" s="875" t="s">
        <v>457</v>
      </c>
      <c r="VF392" s="875" t="s">
        <v>457</v>
      </c>
      <c r="VG392" s="875" t="s">
        <v>1124</v>
      </c>
      <c r="VH392" s="875" t="s">
        <v>1124</v>
      </c>
      <c r="VI392" s="875" t="s">
        <v>1124</v>
      </c>
      <c r="VJ392" s="875" t="s">
        <v>1124</v>
      </c>
      <c r="VK392" s="875" t="s">
        <v>1124</v>
      </c>
      <c r="VL392" s="875" t="s">
        <v>1124</v>
      </c>
      <c r="VM392" s="875" t="s">
        <v>1124</v>
      </c>
      <c r="VN392" s="875" t="s">
        <v>1124</v>
      </c>
      <c r="VO392" s="875" t="s">
        <v>1124</v>
      </c>
      <c r="VP392" s="875" t="s">
        <v>1124</v>
      </c>
      <c r="VQ392" s="875" t="s">
        <v>1033</v>
      </c>
      <c r="VR392" s="875" t="s">
        <v>1033</v>
      </c>
      <c r="VS392" s="875" t="s">
        <v>1033</v>
      </c>
      <c r="VT392" s="875" t="s">
        <v>1033</v>
      </c>
      <c r="VU392" s="875" t="s">
        <v>1033</v>
      </c>
      <c r="VV392" s="875" t="s">
        <v>1033</v>
      </c>
      <c r="VW392" s="875" t="s">
        <v>1033</v>
      </c>
      <c r="VX392" s="875" t="s">
        <v>1033</v>
      </c>
      <c r="VY392" s="875" t="s">
        <v>1033</v>
      </c>
      <c r="VZ392" s="875" t="s">
        <v>1033</v>
      </c>
      <c r="WA392" s="875" t="s">
        <v>1125</v>
      </c>
      <c r="WB392" s="875" t="s">
        <v>1125</v>
      </c>
      <c r="WC392" s="875" t="s">
        <v>1125</v>
      </c>
      <c r="WD392" s="875" t="s">
        <v>1125</v>
      </c>
      <c r="WE392" s="875" t="s">
        <v>1125</v>
      </c>
      <c r="WF392" s="875" t="s">
        <v>1125</v>
      </c>
      <c r="WG392" s="875" t="s">
        <v>1125</v>
      </c>
      <c r="WH392" s="875" t="s">
        <v>1125</v>
      </c>
      <c r="WI392" s="875" t="s">
        <v>1125</v>
      </c>
      <c r="WJ392" s="875" t="s">
        <v>1125</v>
      </c>
      <c r="WK392" s="875" t="s">
        <v>459</v>
      </c>
      <c r="WL392" s="875" t="s">
        <v>459</v>
      </c>
      <c r="WM392" s="875" t="s">
        <v>459</v>
      </c>
      <c r="WN392" s="875" t="s">
        <v>459</v>
      </c>
      <c r="WO392" s="875" t="s">
        <v>459</v>
      </c>
      <c r="WP392" s="875" t="s">
        <v>459</v>
      </c>
      <c r="WQ392" s="875" t="s">
        <v>459</v>
      </c>
      <c r="WR392" s="875" t="s">
        <v>459</v>
      </c>
      <c r="WS392" s="875" t="s">
        <v>459</v>
      </c>
      <c r="WT392" s="875" t="s">
        <v>459</v>
      </c>
      <c r="WU392" s="875" t="s">
        <v>1121</v>
      </c>
      <c r="WV392" s="875" t="s">
        <v>1121</v>
      </c>
      <c r="WW392" s="875" t="s">
        <v>1121</v>
      </c>
      <c r="WX392" s="875" t="s">
        <v>1121</v>
      </c>
      <c r="WY392" s="875" t="s">
        <v>1121</v>
      </c>
      <c r="WZ392" s="875" t="s">
        <v>1121</v>
      </c>
      <c r="XA392" s="875" t="s">
        <v>1121</v>
      </c>
      <c r="XB392" s="875" t="s">
        <v>1121</v>
      </c>
      <c r="XC392" s="875" t="s">
        <v>1121</v>
      </c>
      <c r="XD392" s="875" t="s">
        <v>1121</v>
      </c>
      <c r="XE392" s="875" t="s">
        <v>1122</v>
      </c>
      <c r="XF392" s="875" t="s">
        <v>1122</v>
      </c>
      <c r="XG392" s="875" t="s">
        <v>1122</v>
      </c>
      <c r="XH392" s="875" t="s">
        <v>1122</v>
      </c>
      <c r="XI392" s="875" t="s">
        <v>1122</v>
      </c>
      <c r="XJ392" s="875" t="s">
        <v>1122</v>
      </c>
      <c r="XK392" s="875" t="s">
        <v>1122</v>
      </c>
      <c r="XL392" s="875" t="s">
        <v>1122</v>
      </c>
      <c r="XM392" s="875" t="s">
        <v>1122</v>
      </c>
      <c r="XN392" s="875" t="s">
        <v>1122</v>
      </c>
      <c r="XO392" s="875" t="s">
        <v>1032</v>
      </c>
      <c r="XP392" s="875" t="s">
        <v>1032</v>
      </c>
      <c r="XQ392" s="875" t="s">
        <v>1032</v>
      </c>
      <c r="XR392" s="875" t="s">
        <v>1032</v>
      </c>
      <c r="XS392" s="875" t="s">
        <v>1032</v>
      </c>
      <c r="XT392" s="875" t="s">
        <v>1032</v>
      </c>
      <c r="XU392" s="875" t="s">
        <v>1032</v>
      </c>
      <c r="XV392" s="875" t="s">
        <v>1032</v>
      </c>
      <c r="XW392" s="875" t="s">
        <v>1032</v>
      </c>
      <c r="XX392" s="875" t="s">
        <v>1032</v>
      </c>
      <c r="XY392" s="875" t="s">
        <v>1123</v>
      </c>
      <c r="XZ392" s="875" t="s">
        <v>1123</v>
      </c>
      <c r="YA392" s="875" t="s">
        <v>1123</v>
      </c>
      <c r="YB392" s="875" t="s">
        <v>1123</v>
      </c>
      <c r="YC392" s="875" t="s">
        <v>1123</v>
      </c>
      <c r="YD392" s="875" t="s">
        <v>1123</v>
      </c>
      <c r="YE392" s="875" t="s">
        <v>1123</v>
      </c>
      <c r="YF392" s="875" t="s">
        <v>1123</v>
      </c>
      <c r="YG392" s="875" t="s">
        <v>1123</v>
      </c>
      <c r="YH392" s="875" t="s">
        <v>1123</v>
      </c>
      <c r="YI392" s="875" t="s">
        <v>457</v>
      </c>
      <c r="YJ392" s="875" t="s">
        <v>457</v>
      </c>
      <c r="YK392" s="875" t="s">
        <v>457</v>
      </c>
      <c r="YL392" s="875" t="s">
        <v>457</v>
      </c>
      <c r="YM392" s="875" t="s">
        <v>457</v>
      </c>
      <c r="YN392" s="875" t="s">
        <v>457</v>
      </c>
      <c r="YO392" s="875" t="s">
        <v>457</v>
      </c>
      <c r="YP392" s="875" t="s">
        <v>457</v>
      </c>
      <c r="YQ392" s="875" t="s">
        <v>457</v>
      </c>
      <c r="YR392" s="875" t="s">
        <v>457</v>
      </c>
      <c r="YS392" s="875" t="s">
        <v>1124</v>
      </c>
      <c r="YT392" s="875" t="s">
        <v>1124</v>
      </c>
      <c r="YU392" s="875" t="s">
        <v>1124</v>
      </c>
      <c r="YV392" s="875" t="s">
        <v>1124</v>
      </c>
      <c r="YW392" s="875" t="s">
        <v>1124</v>
      </c>
      <c r="YX392" s="875" t="s">
        <v>1124</v>
      </c>
      <c r="YY392" s="875" t="s">
        <v>1124</v>
      </c>
      <c r="YZ392" s="875" t="s">
        <v>1124</v>
      </c>
      <c r="ZA392" s="875" t="s">
        <v>1124</v>
      </c>
      <c r="ZB392" s="875" t="s">
        <v>1124</v>
      </c>
      <c r="ZC392" s="875" t="s">
        <v>1033</v>
      </c>
      <c r="ZD392" s="875" t="s">
        <v>1033</v>
      </c>
      <c r="ZE392" s="875" t="s">
        <v>1033</v>
      </c>
      <c r="ZF392" s="875" t="s">
        <v>1033</v>
      </c>
      <c r="ZG392" s="875" t="s">
        <v>1033</v>
      </c>
      <c r="ZH392" s="875" t="s">
        <v>1033</v>
      </c>
      <c r="ZI392" s="875" t="s">
        <v>1033</v>
      </c>
      <c r="ZJ392" s="875" t="s">
        <v>1033</v>
      </c>
      <c r="ZK392" s="875" t="s">
        <v>1033</v>
      </c>
      <c r="ZL392" s="875" t="s">
        <v>1033</v>
      </c>
      <c r="ZM392" s="875" t="s">
        <v>1125</v>
      </c>
      <c r="ZN392" s="875" t="s">
        <v>1125</v>
      </c>
      <c r="ZO392" s="875" t="s">
        <v>1125</v>
      </c>
      <c r="ZP392" s="875" t="s">
        <v>1125</v>
      </c>
      <c r="ZQ392" s="875" t="s">
        <v>1125</v>
      </c>
      <c r="ZR392" s="875" t="s">
        <v>1125</v>
      </c>
      <c r="ZS392" s="875" t="s">
        <v>1125</v>
      </c>
      <c r="ZT392" s="875" t="s">
        <v>1125</v>
      </c>
      <c r="ZU392" s="875" t="s">
        <v>1125</v>
      </c>
      <c r="ZV392" s="875" t="s">
        <v>1125</v>
      </c>
      <c r="ZW392" s="875" t="s">
        <v>459</v>
      </c>
      <c r="ZX392" s="875" t="s">
        <v>459</v>
      </c>
      <c r="ZY392" s="875" t="s">
        <v>459</v>
      </c>
      <c r="ZZ392" s="875" t="s">
        <v>459</v>
      </c>
      <c r="AAA392" s="875" t="s">
        <v>459</v>
      </c>
      <c r="AAB392" s="875" t="s">
        <v>459</v>
      </c>
      <c r="AAC392" s="875" t="s">
        <v>459</v>
      </c>
      <c r="AAD392" s="875" t="s">
        <v>459</v>
      </c>
      <c r="AAE392" s="875" t="s">
        <v>459</v>
      </c>
      <c r="AAF392" s="875" t="s">
        <v>459</v>
      </c>
      <c r="AAG392" s="875" t="s">
        <v>1121</v>
      </c>
      <c r="AAH392" s="875" t="s">
        <v>1121</v>
      </c>
      <c r="AAI392" s="875" t="s">
        <v>1121</v>
      </c>
      <c r="AAJ392" s="875" t="s">
        <v>1121</v>
      </c>
      <c r="AAK392" s="875" t="s">
        <v>1121</v>
      </c>
      <c r="AAL392" s="875" t="s">
        <v>1121</v>
      </c>
      <c r="AAM392" s="875" t="s">
        <v>1121</v>
      </c>
      <c r="AAN392" s="875" t="s">
        <v>1121</v>
      </c>
      <c r="AAO392" s="875" t="s">
        <v>1121</v>
      </c>
      <c r="AAP392" s="875" t="s">
        <v>1121</v>
      </c>
      <c r="AAQ392" s="875" t="s">
        <v>1122</v>
      </c>
      <c r="AAR392" s="875" t="s">
        <v>1122</v>
      </c>
      <c r="AAS392" s="875" t="s">
        <v>1122</v>
      </c>
      <c r="AAT392" s="875" t="s">
        <v>1122</v>
      </c>
      <c r="AAU392" s="875" t="s">
        <v>1122</v>
      </c>
      <c r="AAV392" s="875" t="s">
        <v>1122</v>
      </c>
      <c r="AAW392" s="875" t="s">
        <v>1122</v>
      </c>
      <c r="AAX392" s="875" t="s">
        <v>1122</v>
      </c>
      <c r="AAY392" s="875" t="s">
        <v>1122</v>
      </c>
      <c r="AAZ392" s="875" t="s">
        <v>1122</v>
      </c>
      <c r="ABA392" s="875" t="s">
        <v>1032</v>
      </c>
      <c r="ABB392" s="875" t="s">
        <v>1032</v>
      </c>
      <c r="ABC392" s="875" t="s">
        <v>1032</v>
      </c>
      <c r="ABD392" s="875" t="s">
        <v>1032</v>
      </c>
      <c r="ABE392" s="875" t="s">
        <v>1032</v>
      </c>
      <c r="ABF392" s="875" t="s">
        <v>1032</v>
      </c>
      <c r="ABG392" s="875" t="s">
        <v>1032</v>
      </c>
      <c r="ABH392" s="875" t="s">
        <v>1032</v>
      </c>
      <c r="ABI392" s="875" t="s">
        <v>1032</v>
      </c>
      <c r="ABJ392" s="875" t="s">
        <v>1032</v>
      </c>
      <c r="ABK392" s="875" t="s">
        <v>1123</v>
      </c>
      <c r="ABL392" s="875" t="s">
        <v>1123</v>
      </c>
      <c r="ABM392" s="875" t="s">
        <v>1123</v>
      </c>
      <c r="ABN392" s="875" t="s">
        <v>1123</v>
      </c>
      <c r="ABO392" s="875" t="s">
        <v>1123</v>
      </c>
      <c r="ABP392" s="875" t="s">
        <v>1123</v>
      </c>
      <c r="ABQ392" s="875" t="s">
        <v>1123</v>
      </c>
      <c r="ABR392" s="875" t="s">
        <v>1123</v>
      </c>
      <c r="ABS392" s="875" t="s">
        <v>1123</v>
      </c>
      <c r="ABT392" s="875" t="s">
        <v>1123</v>
      </c>
      <c r="ABU392" s="875" t="s">
        <v>457</v>
      </c>
      <c r="ABV392" s="875" t="s">
        <v>457</v>
      </c>
      <c r="ABW392" s="875" t="s">
        <v>457</v>
      </c>
      <c r="ABX392" s="875" t="s">
        <v>457</v>
      </c>
      <c r="ABY392" s="875" t="s">
        <v>457</v>
      </c>
      <c r="ABZ392" s="875" t="s">
        <v>457</v>
      </c>
      <c r="ACA392" s="875" t="s">
        <v>457</v>
      </c>
      <c r="ACB392" s="875" t="s">
        <v>457</v>
      </c>
      <c r="ACC392" s="875" t="s">
        <v>457</v>
      </c>
      <c r="ACD392" s="875" t="s">
        <v>457</v>
      </c>
      <c r="ACE392" s="875" t="s">
        <v>1124</v>
      </c>
      <c r="ACF392" s="875" t="s">
        <v>1124</v>
      </c>
      <c r="ACG392" s="875" t="s">
        <v>1124</v>
      </c>
      <c r="ACH392" s="875" t="s">
        <v>1124</v>
      </c>
      <c r="ACI392" s="875" t="s">
        <v>1124</v>
      </c>
      <c r="ACJ392" s="875" t="s">
        <v>1124</v>
      </c>
      <c r="ACK392" s="875" t="s">
        <v>1124</v>
      </c>
      <c r="ACL392" s="875" t="s">
        <v>1124</v>
      </c>
      <c r="ACM392" s="875" t="s">
        <v>1124</v>
      </c>
      <c r="ACN392" s="875" t="s">
        <v>1124</v>
      </c>
      <c r="ACO392" s="875" t="s">
        <v>1033</v>
      </c>
      <c r="ACP392" s="875" t="s">
        <v>1033</v>
      </c>
      <c r="ACQ392" s="875" t="s">
        <v>1033</v>
      </c>
      <c r="ACR392" s="875" t="s">
        <v>1033</v>
      </c>
      <c r="ACS392" s="875" t="s">
        <v>1033</v>
      </c>
      <c r="ACT392" s="875" t="s">
        <v>1033</v>
      </c>
      <c r="ACU392" s="875" t="s">
        <v>1033</v>
      </c>
      <c r="ACV392" s="875" t="s">
        <v>1033</v>
      </c>
      <c r="ACW392" s="875" t="s">
        <v>1033</v>
      </c>
      <c r="ACX392" s="875" t="s">
        <v>1033</v>
      </c>
      <c r="ACY392" s="875" t="s">
        <v>1125</v>
      </c>
      <c r="ACZ392" s="875" t="s">
        <v>1125</v>
      </c>
      <c r="ADA392" s="875" t="s">
        <v>1125</v>
      </c>
      <c r="ADB392" s="875" t="s">
        <v>1125</v>
      </c>
      <c r="ADC392" s="875" t="s">
        <v>1125</v>
      </c>
      <c r="ADD392" s="875" t="s">
        <v>1125</v>
      </c>
      <c r="ADE392" s="875" t="s">
        <v>1125</v>
      </c>
      <c r="ADF392" s="875" t="s">
        <v>1125</v>
      </c>
      <c r="ADG392" s="875" t="s">
        <v>1125</v>
      </c>
      <c r="ADH392" s="875" t="s">
        <v>1125</v>
      </c>
      <c r="ADI392" s="875" t="s">
        <v>459</v>
      </c>
      <c r="ADJ392" s="875" t="s">
        <v>459</v>
      </c>
      <c r="ADK392" s="875" t="s">
        <v>459</v>
      </c>
      <c r="ADL392" s="875" t="s">
        <v>459</v>
      </c>
      <c r="ADM392" s="875" t="s">
        <v>459</v>
      </c>
      <c r="ADN392" s="875" t="s">
        <v>459</v>
      </c>
      <c r="ADO392" s="875" t="s">
        <v>459</v>
      </c>
      <c r="ADP392" s="875" t="s">
        <v>459</v>
      </c>
      <c r="ADQ392" s="875" t="s">
        <v>459</v>
      </c>
      <c r="ADR392" s="875" t="s">
        <v>459</v>
      </c>
      <c r="ADS392" s="875" t="s">
        <v>1121</v>
      </c>
      <c r="ADT392" s="875" t="s">
        <v>1121</v>
      </c>
      <c r="ADU392" s="875" t="s">
        <v>1121</v>
      </c>
      <c r="ADV392" s="875" t="s">
        <v>1121</v>
      </c>
      <c r="ADW392" s="875" t="s">
        <v>1121</v>
      </c>
      <c r="ADX392" s="875" t="s">
        <v>1121</v>
      </c>
      <c r="ADY392" s="875" t="s">
        <v>1121</v>
      </c>
      <c r="ADZ392" s="875" t="s">
        <v>1121</v>
      </c>
      <c r="AEA392" s="875" t="s">
        <v>1121</v>
      </c>
      <c r="AEB392" s="875" t="s">
        <v>1121</v>
      </c>
      <c r="AEC392" s="875" t="s">
        <v>1122</v>
      </c>
      <c r="AED392" s="875" t="s">
        <v>1122</v>
      </c>
      <c r="AEE392" s="875" t="s">
        <v>1122</v>
      </c>
      <c r="AEF392" s="875" t="s">
        <v>1122</v>
      </c>
      <c r="AEG392" s="875" t="s">
        <v>1122</v>
      </c>
      <c r="AEH392" s="875" t="s">
        <v>1122</v>
      </c>
      <c r="AEI392" s="875" t="s">
        <v>1122</v>
      </c>
      <c r="AEJ392" s="875" t="s">
        <v>1122</v>
      </c>
      <c r="AEK392" s="875" t="s">
        <v>1122</v>
      </c>
      <c r="AEL392" s="875" t="s">
        <v>1122</v>
      </c>
      <c r="AEM392" s="875" t="s">
        <v>1032</v>
      </c>
      <c r="AEN392" s="875" t="s">
        <v>1032</v>
      </c>
      <c r="AEO392" s="875" t="s">
        <v>1032</v>
      </c>
      <c r="AEP392" s="875" t="s">
        <v>1032</v>
      </c>
      <c r="AEQ392" s="875" t="s">
        <v>1032</v>
      </c>
      <c r="AER392" s="875" t="s">
        <v>1032</v>
      </c>
      <c r="AES392" s="875" t="s">
        <v>1032</v>
      </c>
      <c r="AET392" s="875" t="s">
        <v>1032</v>
      </c>
      <c r="AEU392" s="875" t="s">
        <v>1032</v>
      </c>
      <c r="AEV392" s="875" t="s">
        <v>1032</v>
      </c>
      <c r="AEW392" s="875" t="s">
        <v>1123</v>
      </c>
      <c r="AEX392" s="875" t="s">
        <v>1123</v>
      </c>
      <c r="AEY392" s="875" t="s">
        <v>1123</v>
      </c>
      <c r="AEZ392" s="875" t="s">
        <v>1123</v>
      </c>
      <c r="AFA392" s="875" t="s">
        <v>1123</v>
      </c>
      <c r="AFB392" s="875" t="s">
        <v>1123</v>
      </c>
      <c r="AFC392" s="875" t="s">
        <v>1123</v>
      </c>
      <c r="AFD392" s="875" t="s">
        <v>1123</v>
      </c>
      <c r="AFE392" s="875" t="s">
        <v>1123</v>
      </c>
      <c r="AFF392" s="875" t="s">
        <v>1123</v>
      </c>
      <c r="AFG392" s="875" t="s">
        <v>457</v>
      </c>
      <c r="AFH392" s="875" t="s">
        <v>457</v>
      </c>
      <c r="AFI392" s="875" t="s">
        <v>457</v>
      </c>
      <c r="AFJ392" s="875" t="s">
        <v>457</v>
      </c>
      <c r="AFK392" s="875" t="s">
        <v>457</v>
      </c>
      <c r="AFL392" s="875" t="s">
        <v>457</v>
      </c>
      <c r="AFM392" s="875" t="s">
        <v>457</v>
      </c>
      <c r="AFN392" s="875" t="s">
        <v>457</v>
      </c>
      <c r="AFO392" s="875" t="s">
        <v>457</v>
      </c>
      <c r="AFP392" s="875" t="s">
        <v>457</v>
      </c>
      <c r="AFQ392" s="875" t="s">
        <v>1124</v>
      </c>
      <c r="AFR392" s="875" t="s">
        <v>1124</v>
      </c>
      <c r="AFS392" s="875" t="s">
        <v>1124</v>
      </c>
      <c r="AFT392" s="875" t="s">
        <v>1124</v>
      </c>
      <c r="AFU392" s="875" t="s">
        <v>1124</v>
      </c>
      <c r="AFV392" s="875" t="s">
        <v>1124</v>
      </c>
      <c r="AFW392" s="875" t="s">
        <v>1124</v>
      </c>
      <c r="AFX392" s="875" t="s">
        <v>1124</v>
      </c>
      <c r="AFY392" s="875" t="s">
        <v>1124</v>
      </c>
      <c r="AFZ392" s="875" t="s">
        <v>1124</v>
      </c>
      <c r="AGA392" s="875" t="s">
        <v>1033</v>
      </c>
      <c r="AGB392" s="875" t="s">
        <v>1033</v>
      </c>
      <c r="AGC392" s="875" t="s">
        <v>1033</v>
      </c>
      <c r="AGD392" s="875" t="s">
        <v>1033</v>
      </c>
      <c r="AGE392" s="875" t="s">
        <v>1033</v>
      </c>
      <c r="AGF392" s="875" t="s">
        <v>1033</v>
      </c>
      <c r="AGG392" s="875" t="s">
        <v>1033</v>
      </c>
      <c r="AGH392" s="875" t="s">
        <v>1033</v>
      </c>
      <c r="AGI392" s="875" t="s">
        <v>1033</v>
      </c>
      <c r="AGJ392" s="875" t="s">
        <v>1033</v>
      </c>
      <c r="AGK392" s="875" t="s">
        <v>1125</v>
      </c>
      <c r="AGL392" s="875" t="s">
        <v>1125</v>
      </c>
      <c r="AGM392" s="875" t="s">
        <v>1125</v>
      </c>
      <c r="AGN392" s="875" t="s">
        <v>1125</v>
      </c>
      <c r="AGO392" s="875" t="s">
        <v>1125</v>
      </c>
      <c r="AGP392" s="875" t="s">
        <v>1125</v>
      </c>
      <c r="AGQ392" s="875" t="s">
        <v>1125</v>
      </c>
      <c r="AGR392" s="875" t="s">
        <v>1125</v>
      </c>
      <c r="AGS392" s="875" t="s">
        <v>1125</v>
      </c>
      <c r="AGT392" s="875" t="s">
        <v>1125</v>
      </c>
      <c r="AGU392" s="875" t="s">
        <v>459</v>
      </c>
      <c r="AGV392" s="875" t="s">
        <v>459</v>
      </c>
      <c r="AGW392" s="875" t="s">
        <v>459</v>
      </c>
      <c r="AGX392" s="875" t="s">
        <v>459</v>
      </c>
      <c r="AGY392" s="875" t="s">
        <v>459</v>
      </c>
      <c r="AGZ392" s="875" t="s">
        <v>459</v>
      </c>
      <c r="AHA392" s="875" t="s">
        <v>459</v>
      </c>
      <c r="AHB392" s="875" t="s">
        <v>459</v>
      </c>
      <c r="AHC392" s="875" t="s">
        <v>459</v>
      </c>
      <c r="AHD392" s="875" t="s">
        <v>459</v>
      </c>
      <c r="AHE392" s="875" t="s">
        <v>1121</v>
      </c>
      <c r="AHF392" s="875" t="s">
        <v>1121</v>
      </c>
      <c r="AHG392" s="875" t="s">
        <v>1121</v>
      </c>
      <c r="AHH392" s="875" t="s">
        <v>1121</v>
      </c>
      <c r="AHI392" s="875" t="s">
        <v>1121</v>
      </c>
      <c r="AHJ392" s="875" t="s">
        <v>1121</v>
      </c>
      <c r="AHK392" s="875" t="s">
        <v>1121</v>
      </c>
      <c r="AHL392" s="875" t="s">
        <v>1121</v>
      </c>
      <c r="AHM392" s="875" t="s">
        <v>1121</v>
      </c>
      <c r="AHN392" s="875" t="s">
        <v>1121</v>
      </c>
      <c r="AHO392" s="875" t="s">
        <v>1122</v>
      </c>
      <c r="AHP392" s="875" t="s">
        <v>1122</v>
      </c>
      <c r="AHQ392" s="875" t="s">
        <v>1122</v>
      </c>
      <c r="AHR392" s="875" t="s">
        <v>1122</v>
      </c>
      <c r="AHS392" s="875" t="s">
        <v>1122</v>
      </c>
      <c r="AHT392" s="875" t="s">
        <v>1122</v>
      </c>
      <c r="AHU392" s="875" t="s">
        <v>1122</v>
      </c>
      <c r="AHV392" s="875" t="s">
        <v>1122</v>
      </c>
      <c r="AHW392" s="875" t="s">
        <v>1122</v>
      </c>
      <c r="AHX392" s="875" t="s">
        <v>1122</v>
      </c>
      <c r="AHY392" s="875" t="s">
        <v>1032</v>
      </c>
      <c r="AHZ392" s="875" t="s">
        <v>1032</v>
      </c>
      <c r="AIA392" s="875" t="s">
        <v>1032</v>
      </c>
      <c r="AIB392" s="875" t="s">
        <v>1032</v>
      </c>
      <c r="AIC392" s="875" t="s">
        <v>1032</v>
      </c>
      <c r="AID392" s="875" t="s">
        <v>1032</v>
      </c>
      <c r="AIE392" s="875" t="s">
        <v>1032</v>
      </c>
      <c r="AIF392" s="875" t="s">
        <v>1032</v>
      </c>
      <c r="AIG392" s="875" t="s">
        <v>1032</v>
      </c>
      <c r="AIH392" s="875" t="s">
        <v>1032</v>
      </c>
      <c r="AII392" s="875" t="s">
        <v>1123</v>
      </c>
      <c r="AIJ392" s="875" t="s">
        <v>1123</v>
      </c>
      <c r="AIK392" s="875" t="s">
        <v>1123</v>
      </c>
      <c r="AIL392" s="875" t="s">
        <v>1123</v>
      </c>
      <c r="AIM392" s="875" t="s">
        <v>1123</v>
      </c>
      <c r="AIN392" s="875" t="s">
        <v>1123</v>
      </c>
      <c r="AIO392" s="875" t="s">
        <v>1123</v>
      </c>
      <c r="AIP392" s="875" t="s">
        <v>1123</v>
      </c>
      <c r="AIQ392" s="875" t="s">
        <v>1123</v>
      </c>
      <c r="AIR392" s="875" t="s">
        <v>1123</v>
      </c>
      <c r="AIS392" s="875" t="s">
        <v>457</v>
      </c>
      <c r="AIT392" s="875" t="s">
        <v>457</v>
      </c>
      <c r="AIU392" s="875" t="s">
        <v>457</v>
      </c>
      <c r="AIV392" s="875" t="s">
        <v>457</v>
      </c>
      <c r="AIW392" s="875" t="s">
        <v>457</v>
      </c>
      <c r="AIX392" s="875" t="s">
        <v>457</v>
      </c>
      <c r="AIY392" s="875" t="s">
        <v>457</v>
      </c>
      <c r="AIZ392" s="875" t="s">
        <v>457</v>
      </c>
      <c r="AJA392" s="875" t="s">
        <v>457</v>
      </c>
      <c r="AJB392" s="875" t="s">
        <v>457</v>
      </c>
      <c r="AJC392" s="875" t="s">
        <v>1124</v>
      </c>
      <c r="AJD392" s="875" t="s">
        <v>1124</v>
      </c>
      <c r="AJE392" s="875" t="s">
        <v>1124</v>
      </c>
      <c r="AJF392" s="875" t="s">
        <v>1124</v>
      </c>
      <c r="AJG392" s="875" t="s">
        <v>1124</v>
      </c>
      <c r="AJH392" s="875" t="s">
        <v>1124</v>
      </c>
      <c r="AJI392" s="875" t="s">
        <v>1124</v>
      </c>
      <c r="AJJ392" s="875" t="s">
        <v>1124</v>
      </c>
      <c r="AJK392" s="875" t="s">
        <v>1124</v>
      </c>
      <c r="AJL392" s="875" t="s">
        <v>1124</v>
      </c>
      <c r="AJM392" s="875" t="s">
        <v>1033</v>
      </c>
      <c r="AJN392" s="875" t="s">
        <v>1033</v>
      </c>
      <c r="AJO392" s="875" t="s">
        <v>1033</v>
      </c>
      <c r="AJP392" s="875" t="s">
        <v>1033</v>
      </c>
      <c r="AJQ392" s="875" t="s">
        <v>1033</v>
      </c>
      <c r="AJR392" s="875" t="s">
        <v>1033</v>
      </c>
      <c r="AJS392" s="875" t="s">
        <v>1033</v>
      </c>
      <c r="AJT392" s="875" t="s">
        <v>1033</v>
      </c>
      <c r="AJU392" s="875" t="s">
        <v>1033</v>
      </c>
      <c r="AJV392" s="875" t="s">
        <v>1033</v>
      </c>
      <c r="AJW392" s="875" t="s">
        <v>1125</v>
      </c>
      <c r="AJX392" s="875" t="s">
        <v>1125</v>
      </c>
      <c r="AJY392" s="875" t="s">
        <v>1125</v>
      </c>
      <c r="AJZ392" s="875" t="s">
        <v>1125</v>
      </c>
      <c r="AKA392" s="875" t="s">
        <v>1125</v>
      </c>
      <c r="AKB392" s="875" t="s">
        <v>1125</v>
      </c>
      <c r="AKC392" s="875" t="s">
        <v>1125</v>
      </c>
      <c r="AKD392" s="875" t="s">
        <v>1125</v>
      </c>
      <c r="AKE392" s="875" t="s">
        <v>1125</v>
      </c>
      <c r="AKF392" s="875" t="s">
        <v>1125</v>
      </c>
      <c r="AKG392" s="875" t="s">
        <v>459</v>
      </c>
      <c r="AKH392" s="875" t="s">
        <v>459</v>
      </c>
      <c r="AKI392" s="875" t="s">
        <v>459</v>
      </c>
      <c r="AKJ392" s="875" t="s">
        <v>459</v>
      </c>
      <c r="AKK392" s="875" t="s">
        <v>459</v>
      </c>
      <c r="AKL392" s="875" t="s">
        <v>459</v>
      </c>
      <c r="AKM392" s="875" t="s">
        <v>459</v>
      </c>
      <c r="AKN392" s="875" t="s">
        <v>459</v>
      </c>
      <c r="AKO392" s="875" t="s">
        <v>459</v>
      </c>
      <c r="AKP392" s="875" t="s">
        <v>459</v>
      </c>
      <c r="AKQ392" s="875" t="s">
        <v>1121</v>
      </c>
      <c r="AKR392" s="875" t="s">
        <v>1121</v>
      </c>
      <c r="AKS392" s="875" t="s">
        <v>1121</v>
      </c>
      <c r="AKT392" s="875" t="s">
        <v>1121</v>
      </c>
      <c r="AKU392" s="875" t="s">
        <v>1121</v>
      </c>
      <c r="AKV392" s="875" t="s">
        <v>1121</v>
      </c>
      <c r="AKW392" s="875" t="s">
        <v>1121</v>
      </c>
      <c r="AKX392" s="875" t="s">
        <v>1121</v>
      </c>
      <c r="AKY392" s="875" t="s">
        <v>1121</v>
      </c>
      <c r="AKZ392" s="875" t="s">
        <v>1121</v>
      </c>
      <c r="ALA392" s="875" t="s">
        <v>1122</v>
      </c>
      <c r="ALB392" s="875" t="s">
        <v>1122</v>
      </c>
      <c r="ALC392" s="875" t="s">
        <v>1122</v>
      </c>
      <c r="ALD392" s="875" t="s">
        <v>1122</v>
      </c>
      <c r="ALE392" s="875" t="s">
        <v>1122</v>
      </c>
      <c r="ALF392" s="875" t="s">
        <v>1122</v>
      </c>
      <c r="ALG392" s="875" t="s">
        <v>1122</v>
      </c>
      <c r="ALH392" s="875" t="s">
        <v>1122</v>
      </c>
      <c r="ALI392" s="875" t="s">
        <v>1122</v>
      </c>
      <c r="ALJ392" s="875" t="s">
        <v>1122</v>
      </c>
      <c r="ALK392" s="875" t="s">
        <v>1032</v>
      </c>
      <c r="ALL392" s="875" t="s">
        <v>1032</v>
      </c>
      <c r="ALM392" s="875" t="s">
        <v>1032</v>
      </c>
      <c r="ALN392" s="875" t="s">
        <v>1032</v>
      </c>
      <c r="ALO392" s="875" t="s">
        <v>1032</v>
      </c>
      <c r="ALP392" s="875" t="s">
        <v>1032</v>
      </c>
      <c r="ALQ392" s="875" t="s">
        <v>1032</v>
      </c>
      <c r="ALR392" s="875" t="s">
        <v>1032</v>
      </c>
      <c r="ALS392" s="875" t="s">
        <v>1032</v>
      </c>
      <c r="ALT392" s="875" t="s">
        <v>1032</v>
      </c>
      <c r="ALU392" s="875" t="s">
        <v>1123</v>
      </c>
      <c r="ALV392" s="875" t="s">
        <v>1123</v>
      </c>
      <c r="ALW392" s="875" t="s">
        <v>1123</v>
      </c>
      <c r="ALX392" s="875" t="s">
        <v>1123</v>
      </c>
      <c r="ALY392" s="875" t="s">
        <v>1123</v>
      </c>
      <c r="ALZ392" s="875" t="s">
        <v>1123</v>
      </c>
      <c r="AMA392" s="875" t="s">
        <v>1123</v>
      </c>
      <c r="AMB392" s="875" t="s">
        <v>1123</v>
      </c>
      <c r="AMC392" s="875" t="s">
        <v>1123</v>
      </c>
      <c r="AMD392" s="875" t="s">
        <v>1123</v>
      </c>
      <c r="AME392" s="875" t="s">
        <v>457</v>
      </c>
      <c r="AMF392" s="875" t="s">
        <v>457</v>
      </c>
      <c r="AMG392" s="875" t="s">
        <v>457</v>
      </c>
      <c r="AMH392" s="875" t="s">
        <v>457</v>
      </c>
      <c r="AMI392" s="875" t="s">
        <v>457</v>
      </c>
      <c r="AMJ392" s="875" t="s">
        <v>457</v>
      </c>
      <c r="AMK392" s="875" t="s">
        <v>457</v>
      </c>
      <c r="AML392" s="875" t="s">
        <v>457</v>
      </c>
      <c r="AMM392" s="875" t="s">
        <v>457</v>
      </c>
      <c r="AMN392" s="875" t="s">
        <v>457</v>
      </c>
      <c r="AMO392" s="875" t="s">
        <v>1124</v>
      </c>
      <c r="AMP392" s="875" t="s">
        <v>1124</v>
      </c>
      <c r="AMQ392" s="875" t="s">
        <v>1124</v>
      </c>
      <c r="AMR392" s="875" t="s">
        <v>1124</v>
      </c>
      <c r="AMS392" s="875" t="s">
        <v>1124</v>
      </c>
      <c r="AMT392" s="875" t="s">
        <v>1124</v>
      </c>
      <c r="AMU392" s="875" t="s">
        <v>1124</v>
      </c>
      <c r="AMV392" s="875" t="s">
        <v>1124</v>
      </c>
      <c r="AMW392" s="875" t="s">
        <v>1124</v>
      </c>
      <c r="AMX392" s="875" t="s">
        <v>1124</v>
      </c>
      <c r="AMY392" s="875" t="s">
        <v>1033</v>
      </c>
      <c r="AMZ392" s="875" t="s">
        <v>1033</v>
      </c>
      <c r="ANA392" s="875" t="s">
        <v>1033</v>
      </c>
      <c r="ANB392" s="875" t="s">
        <v>1033</v>
      </c>
      <c r="ANC392" s="875" t="s">
        <v>1033</v>
      </c>
      <c r="AND392" s="875" t="s">
        <v>1033</v>
      </c>
      <c r="ANE392" s="875" t="s">
        <v>1033</v>
      </c>
      <c r="ANF392" s="875" t="s">
        <v>1033</v>
      </c>
      <c r="ANG392" s="875" t="s">
        <v>1033</v>
      </c>
      <c r="ANH392" s="875" t="s">
        <v>1033</v>
      </c>
      <c r="ANI392" s="875" t="s">
        <v>1125</v>
      </c>
      <c r="ANJ392" s="875" t="s">
        <v>1125</v>
      </c>
      <c r="ANK392" s="875" t="s">
        <v>1125</v>
      </c>
      <c r="ANL392" s="875" t="s">
        <v>1125</v>
      </c>
      <c r="ANM392" s="875" t="s">
        <v>1125</v>
      </c>
      <c r="ANN392" s="875" t="s">
        <v>1125</v>
      </c>
      <c r="ANO392" s="875" t="s">
        <v>1125</v>
      </c>
      <c r="ANP392" s="875" t="s">
        <v>1125</v>
      </c>
      <c r="ANQ392" s="875" t="s">
        <v>1125</v>
      </c>
      <c r="ANR392" s="875" t="s">
        <v>1125</v>
      </c>
      <c r="ANS392" s="875" t="s">
        <v>459</v>
      </c>
      <c r="ANT392" s="875" t="s">
        <v>459</v>
      </c>
      <c r="ANU392" s="875" t="s">
        <v>459</v>
      </c>
      <c r="ANV392" s="875" t="s">
        <v>459</v>
      </c>
      <c r="ANW392" s="875" t="s">
        <v>459</v>
      </c>
      <c r="ANX392" s="875" t="s">
        <v>459</v>
      </c>
      <c r="ANY392" s="875" t="s">
        <v>459</v>
      </c>
      <c r="ANZ392" s="875" t="s">
        <v>459</v>
      </c>
      <c r="AOA392" s="875" t="s">
        <v>459</v>
      </c>
      <c r="AOB392" s="875" t="s">
        <v>459</v>
      </c>
      <c r="AOC392" s="875" t="s">
        <v>1121</v>
      </c>
      <c r="AOD392" s="875" t="s">
        <v>1121</v>
      </c>
      <c r="AOE392" s="875" t="s">
        <v>1121</v>
      </c>
      <c r="AOF392" s="875" t="s">
        <v>1121</v>
      </c>
      <c r="AOG392" s="875" t="s">
        <v>1121</v>
      </c>
      <c r="AOH392" s="875" t="s">
        <v>1121</v>
      </c>
      <c r="AOI392" s="875" t="s">
        <v>1121</v>
      </c>
      <c r="AOJ392" s="875" t="s">
        <v>1121</v>
      </c>
      <c r="AOK392" s="875" t="s">
        <v>1121</v>
      </c>
      <c r="AOL392" s="875" t="s">
        <v>1121</v>
      </c>
      <c r="AOM392" s="875" t="s">
        <v>1122</v>
      </c>
      <c r="AON392" s="875" t="s">
        <v>1122</v>
      </c>
      <c r="AOO392" s="875" t="s">
        <v>1122</v>
      </c>
      <c r="AOP392" s="875" t="s">
        <v>1122</v>
      </c>
      <c r="AOQ392" s="875" t="s">
        <v>1122</v>
      </c>
      <c r="AOR392" s="875" t="s">
        <v>1122</v>
      </c>
      <c r="AOS392" s="875" t="s">
        <v>1122</v>
      </c>
      <c r="AOT392" s="875" t="s">
        <v>1122</v>
      </c>
      <c r="AOU392" s="875" t="s">
        <v>1122</v>
      </c>
      <c r="AOV392" s="875" t="s">
        <v>1122</v>
      </c>
      <c r="AOW392" s="875"/>
      <c r="AOY392" s="51"/>
      <c r="AOZ392" s="51"/>
      <c r="APA392" s="51"/>
      <c r="APB392" s="51"/>
      <c r="APC392" s="51"/>
      <c r="APD392" s="51"/>
      <c r="APE392" s="51"/>
      <c r="APF392" s="51"/>
      <c r="APG392" s="51"/>
      <c r="APH392" s="51"/>
      <c r="API392" s="51"/>
      <c r="APJ392" s="51"/>
    </row>
    <row r="393" spans="2:1102" ht="63.75" hidden="1">
      <c r="B393" s="1000" t="s">
        <v>1053</v>
      </c>
      <c r="C393" s="1000"/>
      <c r="D393" s="836"/>
      <c r="E393" s="891" t="s">
        <v>1034</v>
      </c>
      <c r="F393" s="885"/>
      <c r="G393" s="885" t="s">
        <v>65</v>
      </c>
      <c r="H393" s="885"/>
      <c r="I393" s="968" t="str">
        <f>I$389&amp;I$390&amp;I$392&amp;I$391&amp;I$394</f>
        <v>EPbijeenkomstA1055QH;nd</v>
      </c>
      <c r="J393" s="968" t="str">
        <f t="shared" ref="J393:BT393" si="111">J$389&amp;J$390&amp;J$392&amp;J$391&amp;J$394</f>
        <v>EPkantoorA1055QH;nd</v>
      </c>
      <c r="K393" s="968" t="str">
        <f t="shared" si="111"/>
        <v>EPkinderopvangA1055QH;nd</v>
      </c>
      <c r="L393" s="968" t="str">
        <f t="shared" si="111"/>
        <v>EPlogiesA1055QH;nd</v>
      </c>
      <c r="M393" s="968" t="str">
        <f t="shared" si="111"/>
        <v>EPonderwijsA1055QH;nd</v>
      </c>
      <c r="N393" s="968" t="str">
        <f t="shared" si="111"/>
        <v>EPsportA1055QH;nd</v>
      </c>
      <c r="O393" s="968" t="str">
        <f t="shared" si="111"/>
        <v>EPwinkelA1055QH;nd</v>
      </c>
      <c r="P393" s="968" t="str">
        <f t="shared" si="111"/>
        <v>EPwoningA1055QH;nd</v>
      </c>
      <c r="Q393" s="968" t="str">
        <f t="shared" si="111"/>
        <v>EPzorg met bedA1055QH;nd</v>
      </c>
      <c r="R393" s="968" t="str">
        <f t="shared" si="111"/>
        <v>EPzorg overigA1055QH;nd</v>
      </c>
      <c r="S393" s="968" t="str">
        <f t="shared" si="111"/>
        <v>EPbijeenkomstA2b055QH;nd</v>
      </c>
      <c r="T393" s="968" t="str">
        <f t="shared" si="111"/>
        <v>EPkantoorA2b055QH;nd</v>
      </c>
      <c r="U393" s="968" t="str">
        <f t="shared" si="111"/>
        <v>EPkinderopvangA2b055QH;nd</v>
      </c>
      <c r="V393" s="968" t="str">
        <f t="shared" si="111"/>
        <v>EPlogiesA2b055QH;nd</v>
      </c>
      <c r="W393" s="968" t="str">
        <f t="shared" si="111"/>
        <v>EPonderwijsA2b055QH;nd</v>
      </c>
      <c r="X393" s="968" t="str">
        <f t="shared" si="111"/>
        <v>EPsportA2b055QH;nd</v>
      </c>
      <c r="Y393" s="968" t="str">
        <f t="shared" si="111"/>
        <v>EPwinkelA2b055QH;nd</v>
      </c>
      <c r="Z393" s="968" t="str">
        <f t="shared" si="111"/>
        <v>EPwoningA2b055QH;nd</v>
      </c>
      <c r="AA393" s="968" t="str">
        <f t="shared" si="111"/>
        <v>EPzorg met bedA2b055QH;nd</v>
      </c>
      <c r="AB393" s="968" t="str">
        <f t="shared" si="111"/>
        <v>EPzorg overigA2b055QH;nd</v>
      </c>
      <c r="AC393" s="968" t="str">
        <f t="shared" si="111"/>
        <v>EPbijeenkomstC1055QH;nd</v>
      </c>
      <c r="AD393" s="968" t="str">
        <f t="shared" si="111"/>
        <v>EPkantoorC1055QH;nd</v>
      </c>
      <c r="AE393" s="968" t="str">
        <f t="shared" si="111"/>
        <v>EPkinderopvangC1055QH;nd</v>
      </c>
      <c r="AF393" s="968" t="str">
        <f t="shared" si="111"/>
        <v>EPlogiesC1055QH;nd</v>
      </c>
      <c r="AG393" s="968" t="str">
        <f t="shared" si="111"/>
        <v>EPonderwijsC1055QH;nd</v>
      </c>
      <c r="AH393" s="968" t="str">
        <f t="shared" si="111"/>
        <v>EPsportC1055QH;nd</v>
      </c>
      <c r="AI393" s="968" t="str">
        <f t="shared" si="111"/>
        <v>EPwinkelC1055QH;nd</v>
      </c>
      <c r="AJ393" s="968" t="str">
        <f t="shared" si="111"/>
        <v>EPwoningC1055QH;nd</v>
      </c>
      <c r="AK393" s="968" t="str">
        <f t="shared" si="111"/>
        <v>EPzorg met bedC1055QH;nd</v>
      </c>
      <c r="AL393" s="968" t="str">
        <f t="shared" si="111"/>
        <v>EPzorg overigC1055QH;nd</v>
      </c>
      <c r="AM393" s="968" t="str">
        <f t="shared" si="111"/>
        <v>EPbijeenkomstC2a055QH;nd</v>
      </c>
      <c r="AN393" s="968" t="str">
        <f t="shared" si="111"/>
        <v>EPkantoorC2a055QH;nd</v>
      </c>
      <c r="AO393" s="968" t="str">
        <f t="shared" si="111"/>
        <v>EPkinderopvangC2a055QH;nd</v>
      </c>
      <c r="AP393" s="968" t="str">
        <f t="shared" si="111"/>
        <v>EPlogiesC2a055QH;nd</v>
      </c>
      <c r="AQ393" s="968" t="str">
        <f t="shared" si="111"/>
        <v>EPonderwijsC2a055QH;nd</v>
      </c>
      <c r="AR393" s="968" t="str">
        <f t="shared" si="111"/>
        <v>EPsportC2a055QH;nd</v>
      </c>
      <c r="AS393" s="968" t="str">
        <f t="shared" si="111"/>
        <v>EPwinkelC2a055QH;nd</v>
      </c>
      <c r="AT393" s="968" t="str">
        <f t="shared" si="111"/>
        <v>EPwoningC2a055QH;nd</v>
      </c>
      <c r="AU393" s="968" t="str">
        <f t="shared" si="111"/>
        <v>EPzorg met bedC2a055QH;nd</v>
      </c>
      <c r="AV393" s="968" t="str">
        <f t="shared" si="111"/>
        <v>EPzorg overigC2a055QH;nd</v>
      </c>
      <c r="AW393" s="968" t="str">
        <f t="shared" si="111"/>
        <v>EPbijeenkomstC3b055QH;nd</v>
      </c>
      <c r="AX393" s="968" t="str">
        <f t="shared" si="111"/>
        <v>EPkantoorC3b055QH;nd</v>
      </c>
      <c r="AY393" s="968" t="str">
        <f t="shared" si="111"/>
        <v>EPkinderopvangC3b055QH;nd</v>
      </c>
      <c r="AZ393" s="968" t="str">
        <f t="shared" si="111"/>
        <v>EPlogiesC3b055QH;nd</v>
      </c>
      <c r="BA393" s="968" t="str">
        <f t="shared" si="111"/>
        <v>EPonderwijsC3b055QH;nd</v>
      </c>
      <c r="BB393" s="968" t="str">
        <f t="shared" si="111"/>
        <v>EPsportC3b055QH;nd</v>
      </c>
      <c r="BC393" s="968" t="str">
        <f t="shared" si="111"/>
        <v>EPwinkelC3b055QH;nd</v>
      </c>
      <c r="BD393" s="968" t="str">
        <f t="shared" si="111"/>
        <v>EPwoningC3b055QH;nd</v>
      </c>
      <c r="BE393" s="968" t="str">
        <f t="shared" si="111"/>
        <v>EPzorg met bedC3b055QH;nd</v>
      </c>
      <c r="BF393" s="968" t="str">
        <f t="shared" si="111"/>
        <v>EPzorg overigC3b055QH;nd</v>
      </c>
      <c r="BG393" s="968" t="str">
        <f t="shared" si="111"/>
        <v>EPbijeenkomstC4c055QH;nd</v>
      </c>
      <c r="BH393" s="968" t="str">
        <f t="shared" si="111"/>
        <v>EPkantoorC4c055QH;nd</v>
      </c>
      <c r="BI393" s="968" t="str">
        <f t="shared" si="111"/>
        <v>EPkinderopvangC4c055QH;nd</v>
      </c>
      <c r="BJ393" s="968" t="str">
        <f t="shared" si="111"/>
        <v>EPlogiesC4c055QH;nd</v>
      </c>
      <c r="BK393" s="968" t="str">
        <f t="shared" si="111"/>
        <v>EPonderwijsC4c055QH;nd</v>
      </c>
      <c r="BL393" s="968" t="str">
        <f t="shared" si="111"/>
        <v>EPsportC4c055QH;nd</v>
      </c>
      <c r="BM393" s="968" t="str">
        <f t="shared" si="111"/>
        <v>EPwinkelC4c055QH;nd</v>
      </c>
      <c r="BN393" s="968" t="str">
        <f t="shared" si="111"/>
        <v>EPwoningC4c055QH;nd</v>
      </c>
      <c r="BO393" s="968" t="str">
        <f t="shared" si="111"/>
        <v>EPzorg met bedC4c055QH;nd</v>
      </c>
      <c r="BP393" s="968" t="str">
        <f t="shared" si="111"/>
        <v>EPzorg overigC4c055QH;nd</v>
      </c>
      <c r="BQ393" s="968" t="str">
        <f t="shared" si="111"/>
        <v>EPbijeenkomstD1055QH;nd</v>
      </c>
      <c r="BR393" s="968" t="str">
        <f t="shared" si="111"/>
        <v>EPkantoorD1055QH;nd</v>
      </c>
      <c r="BS393" s="968" t="str">
        <f t="shared" si="111"/>
        <v>EPkinderopvangD1055QH;nd</v>
      </c>
      <c r="BT393" s="968" t="str">
        <f t="shared" si="111"/>
        <v>EPlogiesD1055QH;nd</v>
      </c>
      <c r="BU393" s="968" t="str">
        <f t="shared" ref="BU393:EF393" si="112">BU$389&amp;BU$390&amp;BU$392&amp;BU$391&amp;BU$394</f>
        <v>EPonderwijsD1055QH;nd</v>
      </c>
      <c r="BV393" s="968" t="str">
        <f t="shared" si="112"/>
        <v>EPsportD1055QH;nd</v>
      </c>
      <c r="BW393" s="968" t="str">
        <f t="shared" si="112"/>
        <v>EPwinkelD1055QH;nd</v>
      </c>
      <c r="BX393" s="968" t="str">
        <f t="shared" si="112"/>
        <v>EPwoningD1055QH;nd</v>
      </c>
      <c r="BY393" s="968" t="str">
        <f t="shared" si="112"/>
        <v>EPzorg met bedD1055QH;nd</v>
      </c>
      <c r="BZ393" s="968" t="str">
        <f t="shared" si="112"/>
        <v>EPzorg overigD1055QH;nd</v>
      </c>
      <c r="CA393" s="968" t="str">
        <f t="shared" si="112"/>
        <v>EPbijeenkomstD4a055QH;nd</v>
      </c>
      <c r="CB393" s="968" t="str">
        <f t="shared" si="112"/>
        <v>EPkantoorD4a055QH;nd</v>
      </c>
      <c r="CC393" s="968" t="str">
        <f t="shared" si="112"/>
        <v>EPkinderopvangD4a055QH;nd</v>
      </c>
      <c r="CD393" s="968" t="str">
        <f t="shared" si="112"/>
        <v>EPlogiesD4a055QH;nd</v>
      </c>
      <c r="CE393" s="968" t="str">
        <f t="shared" si="112"/>
        <v>EPonderwijsD4a055QH;nd</v>
      </c>
      <c r="CF393" s="968" t="str">
        <f t="shared" si="112"/>
        <v>EPsportD4a055QH;nd</v>
      </c>
      <c r="CG393" s="968" t="str">
        <f t="shared" si="112"/>
        <v>EPwinkelD4a055QH;nd</v>
      </c>
      <c r="CH393" s="968" t="str">
        <f t="shared" si="112"/>
        <v>EPwoningD4a055QH;nd</v>
      </c>
      <c r="CI393" s="968" t="str">
        <f t="shared" si="112"/>
        <v>EPzorg met bedD4a055QH;nd</v>
      </c>
      <c r="CJ393" s="968" t="str">
        <f t="shared" si="112"/>
        <v>EPzorg overigD4a055QH;nd</v>
      </c>
      <c r="CK393" s="968" t="str">
        <f t="shared" si="112"/>
        <v>EPbijeenkomstD5a055QH;nd</v>
      </c>
      <c r="CL393" s="968" t="str">
        <f t="shared" si="112"/>
        <v>EPkantoorD5a055QH;nd</v>
      </c>
      <c r="CM393" s="968" t="str">
        <f t="shared" si="112"/>
        <v>EPkinderopvangD5a055QH;nd</v>
      </c>
      <c r="CN393" s="968" t="str">
        <f t="shared" si="112"/>
        <v>EPlogiesD5a055QH;nd</v>
      </c>
      <c r="CO393" s="968" t="str">
        <f t="shared" si="112"/>
        <v>EPonderwijsD5a055QH;nd</v>
      </c>
      <c r="CP393" s="968" t="str">
        <f t="shared" si="112"/>
        <v>EPsportD5a055QH;nd</v>
      </c>
      <c r="CQ393" s="968" t="str">
        <f t="shared" si="112"/>
        <v>EPwinkelD5a055QH;nd</v>
      </c>
      <c r="CR393" s="968" t="str">
        <f t="shared" si="112"/>
        <v>EPwoningD5a055QH;nd</v>
      </c>
      <c r="CS393" s="968" t="str">
        <f t="shared" si="112"/>
        <v>EPzorg met bedD5a055QH;nd</v>
      </c>
      <c r="CT393" s="968" t="str">
        <f t="shared" si="112"/>
        <v>EPzorg overigD5a055QH;nd</v>
      </c>
      <c r="CU393" s="968" t="str">
        <f t="shared" si="112"/>
        <v>EPbijeenkomstA1450QH;nd</v>
      </c>
      <c r="CV393" s="968" t="str">
        <f t="shared" si="112"/>
        <v>EPkantoorA1450QH;nd</v>
      </c>
      <c r="CW393" s="968" t="str">
        <f t="shared" si="112"/>
        <v>EPkinderopvangA1450QH;nd</v>
      </c>
      <c r="CX393" s="968" t="str">
        <f t="shared" si="112"/>
        <v>EPlogiesA1450QH;nd</v>
      </c>
      <c r="CY393" s="968" t="str">
        <f t="shared" si="112"/>
        <v>EPonderwijsA1450QH;nd</v>
      </c>
      <c r="CZ393" s="968" t="str">
        <f t="shared" si="112"/>
        <v>EPsportA1450QH;nd</v>
      </c>
      <c r="DA393" s="968" t="str">
        <f t="shared" si="112"/>
        <v>EPwinkelA1450QH;nd</v>
      </c>
      <c r="DB393" s="968" t="str">
        <f t="shared" si="112"/>
        <v>EPwoningA1450QH;nd</v>
      </c>
      <c r="DC393" s="968" t="str">
        <f t="shared" si="112"/>
        <v>EPzorg met bedA1450QH;nd</v>
      </c>
      <c r="DD393" s="968" t="str">
        <f t="shared" si="112"/>
        <v>EPzorg overigA1450QH;nd</v>
      </c>
      <c r="DE393" s="968" t="str">
        <f t="shared" si="112"/>
        <v>EPbijeenkomstA2b450QH;nd</v>
      </c>
      <c r="DF393" s="968" t="str">
        <f t="shared" si="112"/>
        <v>EPkantoorA2b450QH;nd</v>
      </c>
      <c r="DG393" s="968" t="str">
        <f t="shared" si="112"/>
        <v>EPkinderopvangA2b450QH;nd</v>
      </c>
      <c r="DH393" s="968" t="str">
        <f t="shared" si="112"/>
        <v>EPlogiesA2b450QH;nd</v>
      </c>
      <c r="DI393" s="968" t="str">
        <f t="shared" si="112"/>
        <v>EPonderwijsA2b450QH;nd</v>
      </c>
      <c r="DJ393" s="968" t="str">
        <f t="shared" si="112"/>
        <v>EPsportA2b450QH;nd</v>
      </c>
      <c r="DK393" s="968" t="str">
        <f t="shared" si="112"/>
        <v>EPwinkelA2b450QH;nd</v>
      </c>
      <c r="DL393" s="968" t="str">
        <f t="shared" si="112"/>
        <v>EPwoningA2b450QH;nd</v>
      </c>
      <c r="DM393" s="968" t="str">
        <f t="shared" si="112"/>
        <v>EPzorg met bedA2b450QH;nd</v>
      </c>
      <c r="DN393" s="968" t="str">
        <f t="shared" si="112"/>
        <v>EPzorg overigA2b450QH;nd</v>
      </c>
      <c r="DO393" s="968" t="str">
        <f t="shared" si="112"/>
        <v>EPbijeenkomstC1450QH;nd</v>
      </c>
      <c r="DP393" s="968" t="str">
        <f t="shared" si="112"/>
        <v>EPkantoorC1450QH;nd</v>
      </c>
      <c r="DQ393" s="968" t="str">
        <f t="shared" si="112"/>
        <v>EPkinderopvangC1450QH;nd</v>
      </c>
      <c r="DR393" s="968" t="str">
        <f t="shared" si="112"/>
        <v>EPlogiesC1450QH;nd</v>
      </c>
      <c r="DS393" s="968" t="str">
        <f t="shared" si="112"/>
        <v>EPonderwijsC1450QH;nd</v>
      </c>
      <c r="DT393" s="968" t="str">
        <f t="shared" si="112"/>
        <v>EPsportC1450QH;nd</v>
      </c>
      <c r="DU393" s="968" t="str">
        <f t="shared" si="112"/>
        <v>EPwinkelC1450QH;nd</v>
      </c>
      <c r="DV393" s="968" t="str">
        <f t="shared" si="112"/>
        <v>EPwoningC1450QH;nd</v>
      </c>
      <c r="DW393" s="968" t="str">
        <f t="shared" si="112"/>
        <v>EPzorg met bedC1450QH;nd</v>
      </c>
      <c r="DX393" s="968" t="str">
        <f t="shared" si="112"/>
        <v>EPzorg overigC1450QH;nd</v>
      </c>
      <c r="DY393" s="968" t="str">
        <f t="shared" si="112"/>
        <v>EPbijeenkomstC2a450QH;nd</v>
      </c>
      <c r="DZ393" s="968" t="str">
        <f t="shared" si="112"/>
        <v>EPkantoorC2a450QH;nd</v>
      </c>
      <c r="EA393" s="968" t="str">
        <f t="shared" si="112"/>
        <v>EPkinderopvangC2a450QH;nd</v>
      </c>
      <c r="EB393" s="968" t="str">
        <f t="shared" si="112"/>
        <v>EPlogiesC2a450QH;nd</v>
      </c>
      <c r="EC393" s="968" t="str">
        <f t="shared" si="112"/>
        <v>EPonderwijsC2a450QH;nd</v>
      </c>
      <c r="ED393" s="968" t="str">
        <f t="shared" si="112"/>
        <v>EPsportC2a450QH;nd</v>
      </c>
      <c r="EE393" s="968" t="str">
        <f t="shared" si="112"/>
        <v>EPwinkelC2a450QH;nd</v>
      </c>
      <c r="EF393" s="968" t="str">
        <f t="shared" si="112"/>
        <v>EPwoningC2a450QH;nd</v>
      </c>
      <c r="EG393" s="968" t="str">
        <f t="shared" ref="EG393:GR393" si="113">EG$389&amp;EG$390&amp;EG$392&amp;EG$391&amp;EG$394</f>
        <v>EPzorg met bedC2a450QH;nd</v>
      </c>
      <c r="EH393" s="968" t="str">
        <f t="shared" si="113"/>
        <v>EPzorg overigC2a450QH;nd</v>
      </c>
      <c r="EI393" s="968" t="str">
        <f t="shared" si="113"/>
        <v>EPbijeenkomstC3b450QH;nd</v>
      </c>
      <c r="EJ393" s="968" t="str">
        <f t="shared" si="113"/>
        <v>EPkantoorC3b450QH;nd</v>
      </c>
      <c r="EK393" s="968" t="str">
        <f t="shared" si="113"/>
        <v>EPkinderopvangC3b450QH;nd</v>
      </c>
      <c r="EL393" s="968" t="str">
        <f t="shared" si="113"/>
        <v>EPlogiesC3b450QH;nd</v>
      </c>
      <c r="EM393" s="968" t="str">
        <f t="shared" si="113"/>
        <v>EPonderwijsC3b450QH;nd</v>
      </c>
      <c r="EN393" s="968" t="str">
        <f t="shared" si="113"/>
        <v>EPsportC3b450QH;nd</v>
      </c>
      <c r="EO393" s="968" t="str">
        <f t="shared" si="113"/>
        <v>EPwinkelC3b450QH;nd</v>
      </c>
      <c r="EP393" s="968" t="str">
        <f t="shared" si="113"/>
        <v>EPwoningC3b450QH;nd</v>
      </c>
      <c r="EQ393" s="968" t="str">
        <f t="shared" si="113"/>
        <v>EPzorg met bedC3b450QH;nd</v>
      </c>
      <c r="ER393" s="968" t="str">
        <f t="shared" si="113"/>
        <v>EPzorg overigC3b450QH;nd</v>
      </c>
      <c r="ES393" s="968" t="str">
        <f t="shared" si="113"/>
        <v>EPbijeenkomstC4c450QH;nd</v>
      </c>
      <c r="ET393" s="968" t="str">
        <f t="shared" si="113"/>
        <v>EPkantoorC4c450QH;nd</v>
      </c>
      <c r="EU393" s="968" t="str">
        <f t="shared" si="113"/>
        <v>EPkinderopvangC4c450QH;nd</v>
      </c>
      <c r="EV393" s="968" t="str">
        <f t="shared" si="113"/>
        <v>EPlogiesC4c450QH;nd</v>
      </c>
      <c r="EW393" s="968" t="str">
        <f t="shared" si="113"/>
        <v>EPonderwijsC4c450QH;nd</v>
      </c>
      <c r="EX393" s="968" t="str">
        <f t="shared" si="113"/>
        <v>EPsportC4c450QH;nd</v>
      </c>
      <c r="EY393" s="968" t="str">
        <f t="shared" si="113"/>
        <v>EPwinkelC4c450QH;nd</v>
      </c>
      <c r="EZ393" s="968" t="str">
        <f t="shared" si="113"/>
        <v>EPwoningC4c450QH;nd</v>
      </c>
      <c r="FA393" s="968" t="str">
        <f t="shared" si="113"/>
        <v>EPzorg met bedC4c450QH;nd</v>
      </c>
      <c r="FB393" s="968" t="str">
        <f t="shared" si="113"/>
        <v>EPzorg overigC4c450QH;nd</v>
      </c>
      <c r="FC393" s="968" t="str">
        <f t="shared" si="113"/>
        <v>EPbijeenkomstD1450QH;nd</v>
      </c>
      <c r="FD393" s="968" t="str">
        <f t="shared" si="113"/>
        <v>EPkantoorD1450QH;nd</v>
      </c>
      <c r="FE393" s="968" t="str">
        <f t="shared" si="113"/>
        <v>EPkinderopvangD1450QH;nd</v>
      </c>
      <c r="FF393" s="968" t="str">
        <f t="shared" si="113"/>
        <v>EPlogiesD1450QH;nd</v>
      </c>
      <c r="FG393" s="968" t="str">
        <f t="shared" si="113"/>
        <v>EPonderwijsD1450QH;nd</v>
      </c>
      <c r="FH393" s="968" t="str">
        <f t="shared" si="113"/>
        <v>EPsportD1450QH;nd</v>
      </c>
      <c r="FI393" s="968" t="str">
        <f t="shared" si="113"/>
        <v>EPwinkelD1450QH;nd</v>
      </c>
      <c r="FJ393" s="968" t="str">
        <f t="shared" si="113"/>
        <v>EPwoningD1450QH;nd</v>
      </c>
      <c r="FK393" s="968" t="str">
        <f t="shared" si="113"/>
        <v>EPzorg met bedD1450QH;nd</v>
      </c>
      <c r="FL393" s="968" t="str">
        <f t="shared" si="113"/>
        <v>EPzorg overigD1450QH;nd</v>
      </c>
      <c r="FM393" s="968" t="str">
        <f t="shared" si="113"/>
        <v>EPbijeenkomstD4a450QH;nd</v>
      </c>
      <c r="FN393" s="968" t="str">
        <f t="shared" si="113"/>
        <v>EPkantoorD4a450QH;nd</v>
      </c>
      <c r="FO393" s="968" t="str">
        <f t="shared" si="113"/>
        <v>EPkinderopvangD4a450QH;nd</v>
      </c>
      <c r="FP393" s="968" t="str">
        <f t="shared" si="113"/>
        <v>EPlogiesD4a450QH;nd</v>
      </c>
      <c r="FQ393" s="968" t="str">
        <f t="shared" si="113"/>
        <v>EPonderwijsD4a450QH;nd</v>
      </c>
      <c r="FR393" s="968" t="str">
        <f t="shared" si="113"/>
        <v>EPsportD4a450QH;nd</v>
      </c>
      <c r="FS393" s="968" t="str">
        <f t="shared" si="113"/>
        <v>EPwinkelD4a450QH;nd</v>
      </c>
      <c r="FT393" s="968" t="str">
        <f t="shared" si="113"/>
        <v>EPwoningD4a450QH;nd</v>
      </c>
      <c r="FU393" s="968" t="str">
        <f t="shared" si="113"/>
        <v>EPzorg met bedD4a450QH;nd</v>
      </c>
      <c r="FV393" s="968" t="str">
        <f t="shared" si="113"/>
        <v>EPzorg overigD4a450QH;nd</v>
      </c>
      <c r="FW393" s="968" t="str">
        <f t="shared" si="113"/>
        <v>EPbijeenkomstD5a450QH;nd</v>
      </c>
      <c r="FX393" s="968" t="str">
        <f t="shared" si="113"/>
        <v>EPkantoorD5a450QH;nd</v>
      </c>
      <c r="FY393" s="968" t="str">
        <f t="shared" si="113"/>
        <v>EPkinderopvangD5a450QH;nd</v>
      </c>
      <c r="FZ393" s="968" t="str">
        <f t="shared" si="113"/>
        <v>EPlogiesD5a450QH;nd</v>
      </c>
      <c r="GA393" s="968" t="str">
        <f t="shared" si="113"/>
        <v>EPonderwijsD5a450QH;nd</v>
      </c>
      <c r="GB393" s="968" t="str">
        <f t="shared" si="113"/>
        <v>EPsportD5a450QH;nd</v>
      </c>
      <c r="GC393" s="968" t="str">
        <f t="shared" si="113"/>
        <v>EPwinkelD5a450QH;nd</v>
      </c>
      <c r="GD393" s="968" t="str">
        <f t="shared" si="113"/>
        <v>EPwoningD5a450QH;nd</v>
      </c>
      <c r="GE393" s="968" t="str">
        <f t="shared" si="113"/>
        <v>EPzorg met bedD5a450QH;nd</v>
      </c>
      <c r="GF393" s="968" t="str">
        <f t="shared" si="113"/>
        <v>EPzorg overigD5a450QH;nd</v>
      </c>
      <c r="GG393" s="968" t="str">
        <f t="shared" si="113"/>
        <v>MWAbijeenkomstA1055QH;nd</v>
      </c>
      <c r="GH393" s="968" t="str">
        <f t="shared" si="113"/>
        <v>MWAkantoorA1055QH;nd</v>
      </c>
      <c r="GI393" s="968" t="str">
        <f t="shared" si="113"/>
        <v>MWAkinderopvangA1055QH;nd</v>
      </c>
      <c r="GJ393" s="968" t="str">
        <f t="shared" si="113"/>
        <v>MWAlogiesA1055QH;nd</v>
      </c>
      <c r="GK393" s="968" t="str">
        <f t="shared" si="113"/>
        <v>MWAonderwijsA1055QH;nd</v>
      </c>
      <c r="GL393" s="968" t="str">
        <f t="shared" si="113"/>
        <v>MWAsportA1055QH;nd</v>
      </c>
      <c r="GM393" s="968" t="str">
        <f t="shared" si="113"/>
        <v>MWAwinkelA1055QH;nd</v>
      </c>
      <c r="GN393" s="968" t="str">
        <f t="shared" si="113"/>
        <v>MWAwoningA1055QH;nd</v>
      </c>
      <c r="GO393" s="968" t="str">
        <f t="shared" si="113"/>
        <v>MWAzorg met bedA1055QH;nd</v>
      </c>
      <c r="GP393" s="968" t="str">
        <f t="shared" si="113"/>
        <v>MWAzorg overigA1055QH;nd</v>
      </c>
      <c r="GQ393" s="968" t="str">
        <f t="shared" si="113"/>
        <v>MWAbijeenkomstA2b055QH;nd</v>
      </c>
      <c r="GR393" s="968" t="str">
        <f t="shared" si="113"/>
        <v>MWAkantoorA2b055QH;nd</v>
      </c>
      <c r="GS393" s="968" t="str">
        <f t="shared" ref="GS393:JD393" si="114">GS$389&amp;GS$390&amp;GS$392&amp;GS$391&amp;GS$394</f>
        <v>MWAkinderopvangA2b055QH;nd</v>
      </c>
      <c r="GT393" s="968" t="str">
        <f t="shared" si="114"/>
        <v>MWAlogiesA2b055QH;nd</v>
      </c>
      <c r="GU393" s="968" t="str">
        <f t="shared" si="114"/>
        <v>MWAonderwijsA2b055QH;nd</v>
      </c>
      <c r="GV393" s="968" t="str">
        <f t="shared" si="114"/>
        <v>MWAsportA2b055QH;nd</v>
      </c>
      <c r="GW393" s="968" t="str">
        <f t="shared" si="114"/>
        <v>MWAwinkelA2b055QH;nd</v>
      </c>
      <c r="GX393" s="968" t="str">
        <f t="shared" si="114"/>
        <v>MWAwoningA2b055QH;nd</v>
      </c>
      <c r="GY393" s="968" t="str">
        <f t="shared" si="114"/>
        <v>MWAzorg met bedA2b055QH;nd</v>
      </c>
      <c r="GZ393" s="968" t="str">
        <f t="shared" si="114"/>
        <v>MWAzorg overigA2b055QH;nd</v>
      </c>
      <c r="HA393" s="968" t="str">
        <f t="shared" si="114"/>
        <v>MWAbijeenkomstC1055QH;nd</v>
      </c>
      <c r="HB393" s="968" t="str">
        <f t="shared" si="114"/>
        <v>MWAkantoorC1055QH;nd</v>
      </c>
      <c r="HC393" s="968" t="str">
        <f t="shared" si="114"/>
        <v>MWAkinderopvangC1055QH;nd</v>
      </c>
      <c r="HD393" s="968" t="str">
        <f t="shared" si="114"/>
        <v>MWAlogiesC1055QH;nd</v>
      </c>
      <c r="HE393" s="968" t="str">
        <f t="shared" si="114"/>
        <v>MWAonderwijsC1055QH;nd</v>
      </c>
      <c r="HF393" s="968" t="str">
        <f t="shared" si="114"/>
        <v>MWAsportC1055QH;nd</v>
      </c>
      <c r="HG393" s="968" t="str">
        <f t="shared" si="114"/>
        <v>MWAwinkelC1055QH;nd</v>
      </c>
      <c r="HH393" s="968" t="str">
        <f t="shared" si="114"/>
        <v>MWAwoningC1055QH;nd</v>
      </c>
      <c r="HI393" s="968" t="str">
        <f t="shared" si="114"/>
        <v>MWAzorg met bedC1055QH;nd</v>
      </c>
      <c r="HJ393" s="968" t="str">
        <f t="shared" si="114"/>
        <v>MWAzorg overigC1055QH;nd</v>
      </c>
      <c r="HK393" s="968" t="str">
        <f t="shared" si="114"/>
        <v>MWAbijeenkomstC2a055QH;nd</v>
      </c>
      <c r="HL393" s="968" t="str">
        <f t="shared" si="114"/>
        <v>MWAkantoorC2a055QH;nd</v>
      </c>
      <c r="HM393" s="968" t="str">
        <f t="shared" si="114"/>
        <v>MWAkinderopvangC2a055QH;nd</v>
      </c>
      <c r="HN393" s="968" t="str">
        <f t="shared" si="114"/>
        <v>MWAlogiesC2a055QH;nd</v>
      </c>
      <c r="HO393" s="968" t="str">
        <f t="shared" si="114"/>
        <v>MWAonderwijsC2a055QH;nd</v>
      </c>
      <c r="HP393" s="968" t="str">
        <f t="shared" si="114"/>
        <v>MWAsportC2a055QH;nd</v>
      </c>
      <c r="HQ393" s="968" t="str">
        <f t="shared" si="114"/>
        <v>MWAwinkelC2a055QH;nd</v>
      </c>
      <c r="HR393" s="968" t="str">
        <f t="shared" si="114"/>
        <v>MWAwoningC2a055QH;nd</v>
      </c>
      <c r="HS393" s="968" t="str">
        <f t="shared" si="114"/>
        <v>MWAzorg met bedC2a055QH;nd</v>
      </c>
      <c r="HT393" s="968" t="str">
        <f t="shared" si="114"/>
        <v>MWAzorg overigC2a055QH;nd</v>
      </c>
      <c r="HU393" s="968" t="str">
        <f t="shared" si="114"/>
        <v>MWAbijeenkomstC3b055QH;nd</v>
      </c>
      <c r="HV393" s="968" t="str">
        <f t="shared" si="114"/>
        <v>MWAkantoorC3b055QH;nd</v>
      </c>
      <c r="HW393" s="968" t="str">
        <f t="shared" si="114"/>
        <v>MWAkinderopvangC3b055QH;nd</v>
      </c>
      <c r="HX393" s="968" t="str">
        <f t="shared" si="114"/>
        <v>MWAlogiesC3b055QH;nd</v>
      </c>
      <c r="HY393" s="968" t="str">
        <f t="shared" si="114"/>
        <v>MWAonderwijsC3b055QH;nd</v>
      </c>
      <c r="HZ393" s="968" t="str">
        <f t="shared" si="114"/>
        <v>MWAsportC3b055QH;nd</v>
      </c>
      <c r="IA393" s="968" t="str">
        <f t="shared" si="114"/>
        <v>MWAwinkelC3b055QH;nd</v>
      </c>
      <c r="IB393" s="968" t="str">
        <f t="shared" si="114"/>
        <v>MWAwoningC3b055QH;nd</v>
      </c>
      <c r="IC393" s="968" t="str">
        <f t="shared" si="114"/>
        <v>MWAzorg met bedC3b055QH;nd</v>
      </c>
      <c r="ID393" s="968" t="str">
        <f t="shared" si="114"/>
        <v>MWAzorg overigC3b055QH;nd</v>
      </c>
      <c r="IE393" s="968" t="str">
        <f t="shared" si="114"/>
        <v>MWAbijeenkomstC4c055QH;nd</v>
      </c>
      <c r="IF393" s="968" t="str">
        <f t="shared" si="114"/>
        <v>MWAkantoorC4c055QH;nd</v>
      </c>
      <c r="IG393" s="968" t="str">
        <f t="shared" si="114"/>
        <v>MWAkinderopvangC4c055QH;nd</v>
      </c>
      <c r="IH393" s="968" t="str">
        <f t="shared" si="114"/>
        <v>MWAlogiesC4c055QH;nd</v>
      </c>
      <c r="II393" s="968" t="str">
        <f t="shared" si="114"/>
        <v>MWAonderwijsC4c055QH;nd</v>
      </c>
      <c r="IJ393" s="968" t="str">
        <f t="shared" si="114"/>
        <v>MWAsportC4c055QH;nd</v>
      </c>
      <c r="IK393" s="968" t="str">
        <f t="shared" si="114"/>
        <v>MWAwinkelC4c055QH;nd</v>
      </c>
      <c r="IL393" s="968" t="str">
        <f t="shared" si="114"/>
        <v>MWAwoningC4c055QH;nd</v>
      </c>
      <c r="IM393" s="968" t="str">
        <f t="shared" si="114"/>
        <v>MWAzorg met bedC4c055QH;nd</v>
      </c>
      <c r="IN393" s="968" t="str">
        <f t="shared" si="114"/>
        <v>MWAzorg overigC4c055QH;nd</v>
      </c>
      <c r="IO393" s="968" t="str">
        <f t="shared" si="114"/>
        <v>MWAbijeenkomstD1055QH;nd</v>
      </c>
      <c r="IP393" s="968" t="str">
        <f t="shared" si="114"/>
        <v>MWAkantoorD1055QH;nd</v>
      </c>
      <c r="IQ393" s="968" t="str">
        <f t="shared" si="114"/>
        <v>MWAkinderopvangD1055QH;nd</v>
      </c>
      <c r="IR393" s="968" t="str">
        <f t="shared" si="114"/>
        <v>MWAlogiesD1055QH;nd</v>
      </c>
      <c r="IS393" s="968" t="str">
        <f t="shared" si="114"/>
        <v>MWAonderwijsD1055QH;nd</v>
      </c>
      <c r="IT393" s="968" t="str">
        <f t="shared" si="114"/>
        <v>MWAsportD1055QH;nd</v>
      </c>
      <c r="IU393" s="968" t="str">
        <f t="shared" si="114"/>
        <v>MWAwinkelD1055QH;nd</v>
      </c>
      <c r="IV393" s="968" t="str">
        <f t="shared" si="114"/>
        <v>MWAwoningD1055QH;nd</v>
      </c>
      <c r="IW393" s="968" t="str">
        <f t="shared" si="114"/>
        <v>MWAzorg met bedD1055QH;nd</v>
      </c>
      <c r="IX393" s="968" t="str">
        <f t="shared" si="114"/>
        <v>MWAzorg overigD1055QH;nd</v>
      </c>
      <c r="IY393" s="968" t="str">
        <f t="shared" si="114"/>
        <v>MWAbijeenkomstD4a055QH;nd</v>
      </c>
      <c r="IZ393" s="968" t="str">
        <f t="shared" si="114"/>
        <v>MWAkantoorD4a055QH;nd</v>
      </c>
      <c r="JA393" s="968" t="str">
        <f t="shared" si="114"/>
        <v>MWAkinderopvangD4a055QH;nd</v>
      </c>
      <c r="JB393" s="968" t="str">
        <f t="shared" si="114"/>
        <v>MWAlogiesD4a055QH;nd</v>
      </c>
      <c r="JC393" s="968" t="str">
        <f t="shared" si="114"/>
        <v>MWAonderwijsD4a055QH;nd</v>
      </c>
      <c r="JD393" s="968" t="str">
        <f t="shared" si="114"/>
        <v>MWAsportD4a055QH;nd</v>
      </c>
      <c r="JE393" s="968" t="str">
        <f t="shared" ref="JE393:LP393" si="115">JE$389&amp;JE$390&amp;JE$392&amp;JE$391&amp;JE$394</f>
        <v>MWAwinkelD4a055QH;nd</v>
      </c>
      <c r="JF393" s="968" t="str">
        <f t="shared" si="115"/>
        <v>MWAwoningD4a055QH;nd</v>
      </c>
      <c r="JG393" s="968" t="str">
        <f t="shared" si="115"/>
        <v>MWAzorg met bedD4a055QH;nd</v>
      </c>
      <c r="JH393" s="968" t="str">
        <f t="shared" si="115"/>
        <v>MWAzorg overigD4a055QH;nd</v>
      </c>
      <c r="JI393" s="968" t="str">
        <f t="shared" si="115"/>
        <v>MWAbijeenkomstD5a055QH;nd</v>
      </c>
      <c r="JJ393" s="968" t="str">
        <f t="shared" si="115"/>
        <v>MWAkantoorD5a055QH;nd</v>
      </c>
      <c r="JK393" s="968" t="str">
        <f t="shared" si="115"/>
        <v>MWAkinderopvangD5a055QH;nd</v>
      </c>
      <c r="JL393" s="968" t="str">
        <f t="shared" si="115"/>
        <v>MWAlogiesD5a055QH;nd</v>
      </c>
      <c r="JM393" s="968" t="str">
        <f t="shared" si="115"/>
        <v>MWAonderwijsD5a055QH;nd</v>
      </c>
      <c r="JN393" s="968" t="str">
        <f t="shared" si="115"/>
        <v>MWAsportD5a055QH;nd</v>
      </c>
      <c r="JO393" s="968" t="str">
        <f t="shared" si="115"/>
        <v>MWAwinkelD5a055QH;nd</v>
      </c>
      <c r="JP393" s="968" t="str">
        <f t="shared" si="115"/>
        <v>MWAwoningD5a055QH;nd</v>
      </c>
      <c r="JQ393" s="968" t="str">
        <f t="shared" si="115"/>
        <v>MWAzorg met bedD5a055QH;nd</v>
      </c>
      <c r="JR393" s="968" t="str">
        <f t="shared" si="115"/>
        <v>MWAzorg overigD5a055QH;nd</v>
      </c>
      <c r="JS393" s="968" t="str">
        <f t="shared" si="115"/>
        <v>MWAbijeenkomstA1450QH;nd</v>
      </c>
      <c r="JT393" s="968" t="str">
        <f t="shared" si="115"/>
        <v>MWAkantoorA1450QH;nd</v>
      </c>
      <c r="JU393" s="968" t="str">
        <f t="shared" si="115"/>
        <v>MWAkinderopvangA1450QH;nd</v>
      </c>
      <c r="JV393" s="968" t="str">
        <f t="shared" si="115"/>
        <v>MWAlogiesA1450QH;nd</v>
      </c>
      <c r="JW393" s="968" t="str">
        <f t="shared" si="115"/>
        <v>MWAonderwijsA1450QH;nd</v>
      </c>
      <c r="JX393" s="968" t="str">
        <f t="shared" si="115"/>
        <v>MWAsportA1450QH;nd</v>
      </c>
      <c r="JY393" s="968" t="str">
        <f t="shared" si="115"/>
        <v>MWAwinkelA1450QH;nd</v>
      </c>
      <c r="JZ393" s="968" t="str">
        <f t="shared" si="115"/>
        <v>MWAwoningA1450QH;nd</v>
      </c>
      <c r="KA393" s="968" t="str">
        <f t="shared" si="115"/>
        <v>MWAzorg met bedA1450QH;nd</v>
      </c>
      <c r="KB393" s="968" t="str">
        <f t="shared" si="115"/>
        <v>MWAzorg overigA1450QH;nd</v>
      </c>
      <c r="KC393" s="968" t="str">
        <f t="shared" si="115"/>
        <v>MWAbijeenkomstA2b450QH;nd</v>
      </c>
      <c r="KD393" s="968" t="str">
        <f t="shared" si="115"/>
        <v>MWAkantoorA2b450QH;nd</v>
      </c>
      <c r="KE393" s="968" t="str">
        <f t="shared" si="115"/>
        <v>MWAkinderopvangA2b450QH;nd</v>
      </c>
      <c r="KF393" s="968" t="str">
        <f t="shared" si="115"/>
        <v>MWAlogiesA2b450QH;nd</v>
      </c>
      <c r="KG393" s="968" t="str">
        <f t="shared" si="115"/>
        <v>MWAonderwijsA2b450QH;nd</v>
      </c>
      <c r="KH393" s="968" t="str">
        <f t="shared" si="115"/>
        <v>MWAsportA2b450QH;nd</v>
      </c>
      <c r="KI393" s="968" t="str">
        <f t="shared" si="115"/>
        <v>MWAwinkelA2b450QH;nd</v>
      </c>
      <c r="KJ393" s="968" t="str">
        <f t="shared" si="115"/>
        <v>MWAwoningA2b450QH;nd</v>
      </c>
      <c r="KK393" s="968" t="str">
        <f t="shared" si="115"/>
        <v>MWAzorg met bedA2b450QH;nd</v>
      </c>
      <c r="KL393" s="968" t="str">
        <f t="shared" si="115"/>
        <v>MWAzorg overigA2b450QH;nd</v>
      </c>
      <c r="KM393" s="968" t="str">
        <f t="shared" si="115"/>
        <v>MWAbijeenkomstC1450QH;nd</v>
      </c>
      <c r="KN393" s="968" t="str">
        <f t="shared" si="115"/>
        <v>MWAkantoorC1450QH;nd</v>
      </c>
      <c r="KO393" s="968" t="str">
        <f t="shared" si="115"/>
        <v>MWAkinderopvangC1450QH;nd</v>
      </c>
      <c r="KP393" s="968" t="str">
        <f t="shared" si="115"/>
        <v>MWAlogiesC1450QH;nd</v>
      </c>
      <c r="KQ393" s="968" t="str">
        <f t="shared" si="115"/>
        <v>MWAonderwijsC1450QH;nd</v>
      </c>
      <c r="KR393" s="968" t="str">
        <f t="shared" si="115"/>
        <v>MWAsportC1450QH;nd</v>
      </c>
      <c r="KS393" s="968" t="str">
        <f t="shared" si="115"/>
        <v>MWAwinkelC1450QH;nd</v>
      </c>
      <c r="KT393" s="968" t="str">
        <f t="shared" si="115"/>
        <v>MWAwoningC1450QH;nd</v>
      </c>
      <c r="KU393" s="968" t="str">
        <f t="shared" si="115"/>
        <v>MWAzorg met bedC1450QH;nd</v>
      </c>
      <c r="KV393" s="968" t="str">
        <f t="shared" si="115"/>
        <v>MWAzorg overigC1450QH;nd</v>
      </c>
      <c r="KW393" s="968" t="str">
        <f t="shared" si="115"/>
        <v>MWAbijeenkomstC2a450QH;nd</v>
      </c>
      <c r="KX393" s="968" t="str">
        <f t="shared" si="115"/>
        <v>MWAkantoorC2a450QH;nd</v>
      </c>
      <c r="KY393" s="968" t="str">
        <f t="shared" si="115"/>
        <v>MWAkinderopvangC2a450QH;nd</v>
      </c>
      <c r="KZ393" s="968" t="str">
        <f t="shared" si="115"/>
        <v>MWAlogiesC2a450QH;nd</v>
      </c>
      <c r="LA393" s="968" t="str">
        <f t="shared" si="115"/>
        <v>MWAonderwijsC2a450QH;nd</v>
      </c>
      <c r="LB393" s="968" t="str">
        <f t="shared" si="115"/>
        <v>MWAsportC2a450QH;nd</v>
      </c>
      <c r="LC393" s="968" t="str">
        <f t="shared" si="115"/>
        <v>MWAwinkelC2a450QH;nd</v>
      </c>
      <c r="LD393" s="968" t="str">
        <f t="shared" si="115"/>
        <v>MWAwoningC2a450QH;nd</v>
      </c>
      <c r="LE393" s="968" t="str">
        <f t="shared" si="115"/>
        <v>MWAzorg met bedC2a450QH;nd</v>
      </c>
      <c r="LF393" s="968" t="str">
        <f t="shared" si="115"/>
        <v>MWAzorg overigC2a450QH;nd</v>
      </c>
      <c r="LG393" s="968" t="str">
        <f t="shared" si="115"/>
        <v>MWAbijeenkomstC3b450QH;nd</v>
      </c>
      <c r="LH393" s="968" t="str">
        <f t="shared" si="115"/>
        <v>MWAkantoorC3b450QH;nd</v>
      </c>
      <c r="LI393" s="968" t="str">
        <f t="shared" si="115"/>
        <v>MWAkinderopvangC3b450QH;nd</v>
      </c>
      <c r="LJ393" s="968" t="str">
        <f t="shared" si="115"/>
        <v>MWAlogiesC3b450QH;nd</v>
      </c>
      <c r="LK393" s="968" t="str">
        <f t="shared" si="115"/>
        <v>MWAonderwijsC3b450QH;nd</v>
      </c>
      <c r="LL393" s="968" t="str">
        <f t="shared" si="115"/>
        <v>MWAsportC3b450QH;nd</v>
      </c>
      <c r="LM393" s="968" t="str">
        <f t="shared" si="115"/>
        <v>MWAwinkelC3b450QH;nd</v>
      </c>
      <c r="LN393" s="968" t="str">
        <f t="shared" si="115"/>
        <v>MWAwoningC3b450QH;nd</v>
      </c>
      <c r="LO393" s="968" t="str">
        <f t="shared" si="115"/>
        <v>MWAzorg met bedC3b450QH;nd</v>
      </c>
      <c r="LP393" s="968" t="str">
        <f t="shared" si="115"/>
        <v>MWAzorg overigC3b450QH;nd</v>
      </c>
      <c r="LQ393" s="968" t="str">
        <f t="shared" ref="LQ393:OB393" si="116">LQ$389&amp;LQ$390&amp;LQ$392&amp;LQ$391&amp;LQ$394</f>
        <v>MWAbijeenkomstC4c450QH;nd</v>
      </c>
      <c r="LR393" s="968" t="str">
        <f t="shared" si="116"/>
        <v>MWAkantoorC4c450QH;nd</v>
      </c>
      <c r="LS393" s="968" t="str">
        <f t="shared" si="116"/>
        <v>MWAkinderopvangC4c450QH;nd</v>
      </c>
      <c r="LT393" s="968" t="str">
        <f t="shared" si="116"/>
        <v>MWAlogiesC4c450QH;nd</v>
      </c>
      <c r="LU393" s="968" t="str">
        <f t="shared" si="116"/>
        <v>MWAonderwijsC4c450QH;nd</v>
      </c>
      <c r="LV393" s="968" t="str">
        <f t="shared" si="116"/>
        <v>MWAsportC4c450QH;nd</v>
      </c>
      <c r="LW393" s="968" t="str">
        <f t="shared" si="116"/>
        <v>MWAwinkelC4c450QH;nd</v>
      </c>
      <c r="LX393" s="968" t="str">
        <f t="shared" si="116"/>
        <v>MWAwoningC4c450QH;nd</v>
      </c>
      <c r="LY393" s="968" t="str">
        <f t="shared" si="116"/>
        <v>MWAzorg met bedC4c450QH;nd</v>
      </c>
      <c r="LZ393" s="968" t="str">
        <f t="shared" si="116"/>
        <v>MWAzorg overigC4c450QH;nd</v>
      </c>
      <c r="MA393" s="968" t="str">
        <f t="shared" si="116"/>
        <v>MWAbijeenkomstD1450QH;nd</v>
      </c>
      <c r="MB393" s="968" t="str">
        <f t="shared" si="116"/>
        <v>MWAkantoorD1450QH;nd</v>
      </c>
      <c r="MC393" s="968" t="str">
        <f t="shared" si="116"/>
        <v>MWAkinderopvangD1450QH;nd</v>
      </c>
      <c r="MD393" s="968" t="str">
        <f t="shared" si="116"/>
        <v>MWAlogiesD1450QH;nd</v>
      </c>
      <c r="ME393" s="968" t="str">
        <f t="shared" si="116"/>
        <v>MWAonderwijsD1450QH;nd</v>
      </c>
      <c r="MF393" s="968" t="str">
        <f t="shared" si="116"/>
        <v>MWAsportD1450QH;nd</v>
      </c>
      <c r="MG393" s="968" t="str">
        <f t="shared" si="116"/>
        <v>MWAwinkelD1450QH;nd</v>
      </c>
      <c r="MH393" s="968" t="str">
        <f t="shared" si="116"/>
        <v>MWAwoningD1450QH;nd</v>
      </c>
      <c r="MI393" s="968" t="str">
        <f t="shared" si="116"/>
        <v>MWAzorg met bedD1450QH;nd</v>
      </c>
      <c r="MJ393" s="968" t="str">
        <f t="shared" si="116"/>
        <v>MWAzorg overigD1450QH;nd</v>
      </c>
      <c r="MK393" s="968" t="str">
        <f t="shared" si="116"/>
        <v>MWAbijeenkomstD4a450QH;nd</v>
      </c>
      <c r="ML393" s="968" t="str">
        <f t="shared" si="116"/>
        <v>MWAkantoorD4a450QH;nd</v>
      </c>
      <c r="MM393" s="968" t="str">
        <f t="shared" si="116"/>
        <v>MWAkinderopvangD4a450QH;nd</v>
      </c>
      <c r="MN393" s="968" t="str">
        <f t="shared" si="116"/>
        <v>MWAlogiesD4a450QH;nd</v>
      </c>
      <c r="MO393" s="968" t="str">
        <f t="shared" si="116"/>
        <v>MWAonderwijsD4a450QH;nd</v>
      </c>
      <c r="MP393" s="968" t="str">
        <f t="shared" si="116"/>
        <v>MWAsportD4a450QH;nd</v>
      </c>
      <c r="MQ393" s="968" t="str">
        <f t="shared" si="116"/>
        <v>MWAwinkelD4a450QH;nd</v>
      </c>
      <c r="MR393" s="968" t="str">
        <f t="shared" si="116"/>
        <v>MWAwoningD4a450QH;nd</v>
      </c>
      <c r="MS393" s="968" t="str">
        <f t="shared" si="116"/>
        <v>MWAzorg met bedD4a450QH;nd</v>
      </c>
      <c r="MT393" s="968" t="str">
        <f t="shared" si="116"/>
        <v>MWAzorg overigD4a450QH;nd</v>
      </c>
      <c r="MU393" s="968" t="str">
        <f t="shared" si="116"/>
        <v>MWAbijeenkomstD5a450QH;nd</v>
      </c>
      <c r="MV393" s="968" t="str">
        <f t="shared" si="116"/>
        <v>MWAkantoorD5a450QH;nd</v>
      </c>
      <c r="MW393" s="968" t="str">
        <f t="shared" si="116"/>
        <v>MWAkinderopvangD5a450QH;nd</v>
      </c>
      <c r="MX393" s="968" t="str">
        <f t="shared" si="116"/>
        <v>MWAlogiesD5a450QH;nd</v>
      </c>
      <c r="MY393" s="968" t="str">
        <f t="shared" si="116"/>
        <v>MWAonderwijsD5a450QH;nd</v>
      </c>
      <c r="MZ393" s="968" t="str">
        <f t="shared" si="116"/>
        <v>MWAsportD5a450QH;nd</v>
      </c>
      <c r="NA393" s="968" t="str">
        <f t="shared" si="116"/>
        <v>MWAwinkelD5a450QH;nd</v>
      </c>
      <c r="NB393" s="968" t="str">
        <f t="shared" si="116"/>
        <v>MWAwoningD5a450QH;nd</v>
      </c>
      <c r="NC393" s="968" t="str">
        <f t="shared" si="116"/>
        <v>MWAzorg met bedD5a450QH;nd</v>
      </c>
      <c r="ND393" s="968" t="str">
        <f t="shared" si="116"/>
        <v>MWAzorg overigD5a450QH;nd</v>
      </c>
      <c r="NE393" s="968" t="str">
        <f t="shared" si="116"/>
        <v>EPbijeenkomstA1055QC;nd</v>
      </c>
      <c r="NF393" s="968" t="str">
        <f t="shared" si="116"/>
        <v>EPkantoorA1055QC;nd</v>
      </c>
      <c r="NG393" s="968" t="str">
        <f t="shared" si="116"/>
        <v>EPkinderopvangA1055QC;nd</v>
      </c>
      <c r="NH393" s="968" t="str">
        <f t="shared" si="116"/>
        <v>EPlogiesA1055QC;nd</v>
      </c>
      <c r="NI393" s="968" t="str">
        <f t="shared" si="116"/>
        <v>EPonderwijsA1055QC;nd</v>
      </c>
      <c r="NJ393" s="968" t="str">
        <f t="shared" si="116"/>
        <v>EPsportA1055QC;nd</v>
      </c>
      <c r="NK393" s="968" t="str">
        <f t="shared" si="116"/>
        <v>EPwinkelA1055QC;nd</v>
      </c>
      <c r="NL393" s="968" t="str">
        <f t="shared" si="116"/>
        <v>EPwoningA1055QC;nd</v>
      </c>
      <c r="NM393" s="968" t="str">
        <f t="shared" si="116"/>
        <v>EPzorg met bedA1055QC;nd</v>
      </c>
      <c r="NN393" s="968" t="str">
        <f t="shared" si="116"/>
        <v>EPzorg overigA1055QC;nd</v>
      </c>
      <c r="NO393" s="968" t="str">
        <f t="shared" si="116"/>
        <v>EPbijeenkomstA2b055QC;nd</v>
      </c>
      <c r="NP393" s="968" t="str">
        <f t="shared" si="116"/>
        <v>EPkantoorA2b055QC;nd</v>
      </c>
      <c r="NQ393" s="968" t="str">
        <f t="shared" si="116"/>
        <v>EPkinderopvangA2b055QC;nd</v>
      </c>
      <c r="NR393" s="968" t="str">
        <f t="shared" si="116"/>
        <v>EPlogiesA2b055QC;nd</v>
      </c>
      <c r="NS393" s="968" t="str">
        <f t="shared" si="116"/>
        <v>EPonderwijsA2b055QC;nd</v>
      </c>
      <c r="NT393" s="968" t="str">
        <f t="shared" si="116"/>
        <v>EPsportA2b055QC;nd</v>
      </c>
      <c r="NU393" s="968" t="str">
        <f t="shared" si="116"/>
        <v>EPwinkelA2b055QC;nd</v>
      </c>
      <c r="NV393" s="968" t="str">
        <f t="shared" si="116"/>
        <v>EPwoningA2b055QC;nd</v>
      </c>
      <c r="NW393" s="968" t="str">
        <f t="shared" si="116"/>
        <v>EPzorg met bedA2b055QC;nd</v>
      </c>
      <c r="NX393" s="968" t="str">
        <f t="shared" si="116"/>
        <v>EPzorg overigA2b055QC;nd</v>
      </c>
      <c r="NY393" s="968" t="str">
        <f t="shared" si="116"/>
        <v>EPbijeenkomstC1055QC;nd</v>
      </c>
      <c r="NZ393" s="968" t="str">
        <f t="shared" si="116"/>
        <v>EPkantoorC1055QC;nd</v>
      </c>
      <c r="OA393" s="968" t="str">
        <f t="shared" si="116"/>
        <v>EPkinderopvangC1055QC;nd</v>
      </c>
      <c r="OB393" s="968" t="str">
        <f t="shared" si="116"/>
        <v>EPlogiesC1055QC;nd</v>
      </c>
      <c r="OC393" s="968" t="str">
        <f t="shared" ref="OC393:QN393" si="117">OC$389&amp;OC$390&amp;OC$392&amp;OC$391&amp;OC$394</f>
        <v>EPonderwijsC1055QC;nd</v>
      </c>
      <c r="OD393" s="968" t="str">
        <f t="shared" si="117"/>
        <v>EPsportC1055QC;nd</v>
      </c>
      <c r="OE393" s="968" t="str">
        <f t="shared" si="117"/>
        <v>EPwinkelC1055QC;nd</v>
      </c>
      <c r="OF393" s="968" t="str">
        <f t="shared" si="117"/>
        <v>EPwoningC1055QC;nd</v>
      </c>
      <c r="OG393" s="968" t="str">
        <f t="shared" si="117"/>
        <v>EPzorg met bedC1055QC;nd</v>
      </c>
      <c r="OH393" s="968" t="str">
        <f t="shared" si="117"/>
        <v>EPzorg overigC1055QC;nd</v>
      </c>
      <c r="OI393" s="968" t="str">
        <f t="shared" si="117"/>
        <v>EPbijeenkomstC2a055QC;nd</v>
      </c>
      <c r="OJ393" s="968" t="str">
        <f t="shared" si="117"/>
        <v>EPkantoorC2a055QC;nd</v>
      </c>
      <c r="OK393" s="968" t="str">
        <f t="shared" si="117"/>
        <v>EPkinderopvangC2a055QC;nd</v>
      </c>
      <c r="OL393" s="968" t="str">
        <f t="shared" si="117"/>
        <v>EPlogiesC2a055QC;nd</v>
      </c>
      <c r="OM393" s="968" t="str">
        <f t="shared" si="117"/>
        <v>EPonderwijsC2a055QC;nd</v>
      </c>
      <c r="ON393" s="968" t="str">
        <f t="shared" si="117"/>
        <v>EPsportC2a055QC;nd</v>
      </c>
      <c r="OO393" s="968" t="str">
        <f t="shared" si="117"/>
        <v>EPwinkelC2a055QC;nd</v>
      </c>
      <c r="OP393" s="968" t="str">
        <f t="shared" si="117"/>
        <v>EPwoningC2a055QC;nd</v>
      </c>
      <c r="OQ393" s="968" t="str">
        <f t="shared" si="117"/>
        <v>EPzorg met bedC2a055QC;nd</v>
      </c>
      <c r="OR393" s="968" t="str">
        <f t="shared" si="117"/>
        <v>EPzorg overigC2a055QC;nd</v>
      </c>
      <c r="OS393" s="968" t="str">
        <f t="shared" si="117"/>
        <v>EPbijeenkomstC3b055QC;nd</v>
      </c>
      <c r="OT393" s="968" t="str">
        <f t="shared" si="117"/>
        <v>EPkantoorC3b055QC;nd</v>
      </c>
      <c r="OU393" s="968" t="str">
        <f t="shared" si="117"/>
        <v>EPkinderopvangC3b055QC;nd</v>
      </c>
      <c r="OV393" s="968" t="str">
        <f t="shared" si="117"/>
        <v>EPlogiesC3b055QC;nd</v>
      </c>
      <c r="OW393" s="968" t="str">
        <f t="shared" si="117"/>
        <v>EPonderwijsC3b055QC;nd</v>
      </c>
      <c r="OX393" s="968" t="str">
        <f t="shared" si="117"/>
        <v>EPsportC3b055QC;nd</v>
      </c>
      <c r="OY393" s="968" t="str">
        <f t="shared" si="117"/>
        <v>EPwinkelC3b055QC;nd</v>
      </c>
      <c r="OZ393" s="968" t="str">
        <f t="shared" si="117"/>
        <v>EPwoningC3b055QC;nd</v>
      </c>
      <c r="PA393" s="968" t="str">
        <f t="shared" si="117"/>
        <v>EPzorg met bedC3b055QC;nd</v>
      </c>
      <c r="PB393" s="968" t="str">
        <f t="shared" si="117"/>
        <v>EPzorg overigC3b055QC;nd</v>
      </c>
      <c r="PC393" s="968" t="str">
        <f t="shared" si="117"/>
        <v>EPbijeenkomstC4c055QC;nd</v>
      </c>
      <c r="PD393" s="968" t="str">
        <f t="shared" si="117"/>
        <v>EPkantoorC4c055QC;nd</v>
      </c>
      <c r="PE393" s="968" t="str">
        <f t="shared" si="117"/>
        <v>EPkinderopvangC4c055QC;nd</v>
      </c>
      <c r="PF393" s="968" t="str">
        <f t="shared" si="117"/>
        <v>EPlogiesC4c055QC;nd</v>
      </c>
      <c r="PG393" s="968" t="str">
        <f t="shared" si="117"/>
        <v>EPonderwijsC4c055QC;nd</v>
      </c>
      <c r="PH393" s="968" t="str">
        <f t="shared" si="117"/>
        <v>EPsportC4c055QC;nd</v>
      </c>
      <c r="PI393" s="968" t="str">
        <f t="shared" si="117"/>
        <v>EPwinkelC4c055QC;nd</v>
      </c>
      <c r="PJ393" s="968" t="str">
        <f t="shared" si="117"/>
        <v>EPwoningC4c055QC;nd</v>
      </c>
      <c r="PK393" s="968" t="str">
        <f t="shared" si="117"/>
        <v>EPzorg met bedC4c055QC;nd</v>
      </c>
      <c r="PL393" s="968" t="str">
        <f t="shared" si="117"/>
        <v>EPzorg overigC4c055QC;nd</v>
      </c>
      <c r="PM393" s="968" t="str">
        <f t="shared" si="117"/>
        <v>EPbijeenkomstD1055QC;nd</v>
      </c>
      <c r="PN393" s="968" t="str">
        <f t="shared" si="117"/>
        <v>EPkantoorD1055QC;nd</v>
      </c>
      <c r="PO393" s="968" t="str">
        <f t="shared" si="117"/>
        <v>EPkinderopvangD1055QC;nd</v>
      </c>
      <c r="PP393" s="968" t="str">
        <f t="shared" si="117"/>
        <v>EPlogiesD1055QC;nd</v>
      </c>
      <c r="PQ393" s="968" t="str">
        <f t="shared" si="117"/>
        <v>EPonderwijsD1055QC;nd</v>
      </c>
      <c r="PR393" s="968" t="str">
        <f t="shared" si="117"/>
        <v>EPsportD1055QC;nd</v>
      </c>
      <c r="PS393" s="968" t="str">
        <f t="shared" si="117"/>
        <v>EPwinkelD1055QC;nd</v>
      </c>
      <c r="PT393" s="968" t="str">
        <f t="shared" si="117"/>
        <v>EPwoningD1055QC;nd</v>
      </c>
      <c r="PU393" s="968" t="str">
        <f t="shared" si="117"/>
        <v>EPzorg met bedD1055QC;nd</v>
      </c>
      <c r="PV393" s="968" t="str">
        <f t="shared" si="117"/>
        <v>EPzorg overigD1055QC;nd</v>
      </c>
      <c r="PW393" s="968" t="str">
        <f t="shared" si="117"/>
        <v>EPbijeenkomstD4a055QC;nd</v>
      </c>
      <c r="PX393" s="968" t="str">
        <f t="shared" si="117"/>
        <v>EPkantoorD4a055QC;nd</v>
      </c>
      <c r="PY393" s="968" t="str">
        <f t="shared" si="117"/>
        <v>EPkinderopvangD4a055QC;nd</v>
      </c>
      <c r="PZ393" s="968" t="str">
        <f t="shared" si="117"/>
        <v>EPlogiesD4a055QC;nd</v>
      </c>
      <c r="QA393" s="968" t="str">
        <f t="shared" si="117"/>
        <v>EPonderwijsD4a055QC;nd</v>
      </c>
      <c r="QB393" s="968" t="str">
        <f t="shared" si="117"/>
        <v>EPsportD4a055QC;nd</v>
      </c>
      <c r="QC393" s="968" t="str">
        <f t="shared" si="117"/>
        <v>EPwinkelD4a055QC;nd</v>
      </c>
      <c r="QD393" s="968" t="str">
        <f t="shared" si="117"/>
        <v>EPwoningD4a055QC;nd</v>
      </c>
      <c r="QE393" s="968" t="str">
        <f t="shared" si="117"/>
        <v>EPzorg met bedD4a055QC;nd</v>
      </c>
      <c r="QF393" s="968" t="str">
        <f t="shared" si="117"/>
        <v>EPzorg overigD4a055QC;nd</v>
      </c>
      <c r="QG393" s="968" t="str">
        <f t="shared" si="117"/>
        <v>EPbijeenkomstD5a055QC;nd</v>
      </c>
      <c r="QH393" s="968" t="str">
        <f t="shared" si="117"/>
        <v>EPkantoorD5a055QC;nd</v>
      </c>
      <c r="QI393" s="968" t="str">
        <f t="shared" si="117"/>
        <v>EPkinderopvangD5a055QC;nd</v>
      </c>
      <c r="QJ393" s="968" t="str">
        <f t="shared" si="117"/>
        <v>EPlogiesD5a055QC;nd</v>
      </c>
      <c r="QK393" s="968" t="str">
        <f t="shared" si="117"/>
        <v>EPonderwijsD5a055QC;nd</v>
      </c>
      <c r="QL393" s="968" t="str">
        <f t="shared" si="117"/>
        <v>EPsportD5a055QC;nd</v>
      </c>
      <c r="QM393" s="968" t="str">
        <f t="shared" si="117"/>
        <v>EPwinkelD5a055QC;nd</v>
      </c>
      <c r="QN393" s="968" t="str">
        <f t="shared" si="117"/>
        <v>EPwoningD5a055QC;nd</v>
      </c>
      <c r="QO393" s="968" t="str">
        <f t="shared" ref="QO393:SZ393" si="118">QO$389&amp;QO$390&amp;QO$392&amp;QO$391&amp;QO$394</f>
        <v>EPzorg met bedD5a055QC;nd</v>
      </c>
      <c r="QP393" s="968" t="str">
        <f t="shared" si="118"/>
        <v>EPzorg overigD5a055QC;nd</v>
      </c>
      <c r="QQ393" s="968" t="str">
        <f t="shared" si="118"/>
        <v>EPbijeenkomstA1450QC;nd</v>
      </c>
      <c r="QR393" s="968" t="str">
        <f t="shared" si="118"/>
        <v>EPkantoorA1450QC;nd</v>
      </c>
      <c r="QS393" s="968" t="str">
        <f t="shared" si="118"/>
        <v>EPkinderopvangA1450QC;nd</v>
      </c>
      <c r="QT393" s="968" t="str">
        <f t="shared" si="118"/>
        <v>EPlogiesA1450QC;nd</v>
      </c>
      <c r="QU393" s="968" t="str">
        <f t="shared" si="118"/>
        <v>EPonderwijsA1450QC;nd</v>
      </c>
      <c r="QV393" s="968" t="str">
        <f t="shared" si="118"/>
        <v>EPsportA1450QC;nd</v>
      </c>
      <c r="QW393" s="968" t="str">
        <f t="shared" si="118"/>
        <v>EPwinkelA1450QC;nd</v>
      </c>
      <c r="QX393" s="968" t="str">
        <f t="shared" si="118"/>
        <v>EPwoningA1450QC;nd</v>
      </c>
      <c r="QY393" s="968" t="str">
        <f t="shared" si="118"/>
        <v>EPzorg met bedA1450QC;nd</v>
      </c>
      <c r="QZ393" s="968" t="str">
        <f t="shared" si="118"/>
        <v>EPzorg overigA1450QC;nd</v>
      </c>
      <c r="RA393" s="968" t="str">
        <f t="shared" si="118"/>
        <v>EPbijeenkomstA2b450QC;nd</v>
      </c>
      <c r="RB393" s="968" t="str">
        <f t="shared" si="118"/>
        <v>EPkantoorA2b450QC;nd</v>
      </c>
      <c r="RC393" s="968" t="str">
        <f t="shared" si="118"/>
        <v>EPkinderopvangA2b450QC;nd</v>
      </c>
      <c r="RD393" s="968" t="str">
        <f t="shared" si="118"/>
        <v>EPlogiesA2b450QC;nd</v>
      </c>
      <c r="RE393" s="968" t="str">
        <f t="shared" si="118"/>
        <v>EPonderwijsA2b450QC;nd</v>
      </c>
      <c r="RF393" s="968" t="str">
        <f t="shared" si="118"/>
        <v>EPsportA2b450QC;nd</v>
      </c>
      <c r="RG393" s="968" t="str">
        <f t="shared" si="118"/>
        <v>EPwinkelA2b450QC;nd</v>
      </c>
      <c r="RH393" s="968" t="str">
        <f t="shared" si="118"/>
        <v>EPwoningA2b450QC;nd</v>
      </c>
      <c r="RI393" s="968" t="str">
        <f t="shared" si="118"/>
        <v>EPzorg met bedA2b450QC;nd</v>
      </c>
      <c r="RJ393" s="968" t="str">
        <f t="shared" si="118"/>
        <v>EPzorg overigA2b450QC;nd</v>
      </c>
      <c r="RK393" s="968" t="str">
        <f t="shared" si="118"/>
        <v>EPbijeenkomstC1450QC;nd</v>
      </c>
      <c r="RL393" s="968" t="str">
        <f t="shared" si="118"/>
        <v>EPkantoorC1450QC;nd</v>
      </c>
      <c r="RM393" s="968" t="str">
        <f t="shared" si="118"/>
        <v>EPkinderopvangC1450QC;nd</v>
      </c>
      <c r="RN393" s="968" t="str">
        <f t="shared" si="118"/>
        <v>EPlogiesC1450QC;nd</v>
      </c>
      <c r="RO393" s="968" t="str">
        <f t="shared" si="118"/>
        <v>EPonderwijsC1450QC;nd</v>
      </c>
      <c r="RP393" s="968" t="str">
        <f t="shared" si="118"/>
        <v>EPsportC1450QC;nd</v>
      </c>
      <c r="RQ393" s="968" t="str">
        <f t="shared" si="118"/>
        <v>EPwinkelC1450QC;nd</v>
      </c>
      <c r="RR393" s="968" t="str">
        <f t="shared" si="118"/>
        <v>EPwoningC1450QC;nd</v>
      </c>
      <c r="RS393" s="968" t="str">
        <f t="shared" si="118"/>
        <v>EPzorg met bedC1450QC;nd</v>
      </c>
      <c r="RT393" s="968" t="str">
        <f t="shared" si="118"/>
        <v>EPzorg overigC1450QC;nd</v>
      </c>
      <c r="RU393" s="968" t="str">
        <f t="shared" si="118"/>
        <v>EPbijeenkomstC2a450QC;nd</v>
      </c>
      <c r="RV393" s="968" t="str">
        <f t="shared" si="118"/>
        <v>EPkantoorC2a450QC;nd</v>
      </c>
      <c r="RW393" s="968" t="str">
        <f t="shared" si="118"/>
        <v>EPkinderopvangC2a450QC;nd</v>
      </c>
      <c r="RX393" s="968" t="str">
        <f t="shared" si="118"/>
        <v>EPlogiesC2a450QC;nd</v>
      </c>
      <c r="RY393" s="968" t="str">
        <f t="shared" si="118"/>
        <v>EPonderwijsC2a450QC;nd</v>
      </c>
      <c r="RZ393" s="968" t="str">
        <f t="shared" si="118"/>
        <v>EPsportC2a450QC;nd</v>
      </c>
      <c r="SA393" s="968" t="str">
        <f t="shared" si="118"/>
        <v>EPwinkelC2a450QC;nd</v>
      </c>
      <c r="SB393" s="968" t="str">
        <f t="shared" si="118"/>
        <v>EPwoningC2a450QC;nd</v>
      </c>
      <c r="SC393" s="968" t="str">
        <f t="shared" si="118"/>
        <v>EPzorg met bedC2a450QC;nd</v>
      </c>
      <c r="SD393" s="968" t="str">
        <f t="shared" si="118"/>
        <v>EPzorg overigC2a450QC;nd</v>
      </c>
      <c r="SE393" s="968" t="str">
        <f t="shared" si="118"/>
        <v>EPbijeenkomstC3b450QC;nd</v>
      </c>
      <c r="SF393" s="968" t="str">
        <f t="shared" si="118"/>
        <v>EPkantoorC3b450QC;nd</v>
      </c>
      <c r="SG393" s="968" t="str">
        <f t="shared" si="118"/>
        <v>EPkinderopvangC3b450QC;nd</v>
      </c>
      <c r="SH393" s="968" t="str">
        <f t="shared" si="118"/>
        <v>EPlogiesC3b450QC;nd</v>
      </c>
      <c r="SI393" s="968" t="str">
        <f t="shared" si="118"/>
        <v>EPonderwijsC3b450QC;nd</v>
      </c>
      <c r="SJ393" s="968" t="str">
        <f t="shared" si="118"/>
        <v>EPsportC3b450QC;nd</v>
      </c>
      <c r="SK393" s="968" t="str">
        <f t="shared" si="118"/>
        <v>EPwinkelC3b450QC;nd</v>
      </c>
      <c r="SL393" s="968" t="str">
        <f t="shared" si="118"/>
        <v>EPwoningC3b450QC;nd</v>
      </c>
      <c r="SM393" s="968" t="str">
        <f t="shared" si="118"/>
        <v>EPzorg met bedC3b450QC;nd</v>
      </c>
      <c r="SN393" s="968" t="str">
        <f t="shared" si="118"/>
        <v>EPzorg overigC3b450QC;nd</v>
      </c>
      <c r="SO393" s="968" t="str">
        <f t="shared" si="118"/>
        <v>EPbijeenkomstC4c450QC;nd</v>
      </c>
      <c r="SP393" s="968" t="str">
        <f t="shared" si="118"/>
        <v>EPkantoorC4c450QC;nd</v>
      </c>
      <c r="SQ393" s="968" t="str">
        <f t="shared" si="118"/>
        <v>EPkinderopvangC4c450QC;nd</v>
      </c>
      <c r="SR393" s="968" t="str">
        <f t="shared" si="118"/>
        <v>EPlogiesC4c450QC;nd</v>
      </c>
      <c r="SS393" s="968" t="str">
        <f t="shared" si="118"/>
        <v>EPonderwijsC4c450QC;nd</v>
      </c>
      <c r="ST393" s="968" t="str">
        <f t="shared" si="118"/>
        <v>EPsportC4c450QC;nd</v>
      </c>
      <c r="SU393" s="968" t="str">
        <f t="shared" si="118"/>
        <v>EPwinkelC4c450QC;nd</v>
      </c>
      <c r="SV393" s="968" t="str">
        <f t="shared" si="118"/>
        <v>EPwoningC4c450QC;nd</v>
      </c>
      <c r="SW393" s="968" t="str">
        <f t="shared" si="118"/>
        <v>EPzorg met bedC4c450QC;nd</v>
      </c>
      <c r="SX393" s="968" t="str">
        <f t="shared" si="118"/>
        <v>EPzorg overigC4c450QC;nd</v>
      </c>
      <c r="SY393" s="968" t="str">
        <f t="shared" si="118"/>
        <v>EPbijeenkomstD1450QC;nd</v>
      </c>
      <c r="SZ393" s="968" t="str">
        <f t="shared" si="118"/>
        <v>EPkantoorD1450QC;nd</v>
      </c>
      <c r="TA393" s="968" t="str">
        <f t="shared" ref="TA393:VL393" si="119">TA$389&amp;TA$390&amp;TA$392&amp;TA$391&amp;TA$394</f>
        <v>EPkinderopvangD1450QC;nd</v>
      </c>
      <c r="TB393" s="968" t="str">
        <f t="shared" si="119"/>
        <v>EPlogiesD1450QC;nd</v>
      </c>
      <c r="TC393" s="968" t="str">
        <f t="shared" si="119"/>
        <v>EPonderwijsD1450QC;nd</v>
      </c>
      <c r="TD393" s="968" t="str">
        <f t="shared" si="119"/>
        <v>EPsportD1450QC;nd</v>
      </c>
      <c r="TE393" s="968" t="str">
        <f t="shared" si="119"/>
        <v>EPwinkelD1450QC;nd</v>
      </c>
      <c r="TF393" s="968" t="str">
        <f t="shared" si="119"/>
        <v>EPwoningD1450QC;nd</v>
      </c>
      <c r="TG393" s="968" t="str">
        <f t="shared" si="119"/>
        <v>EPzorg met bedD1450QC;nd</v>
      </c>
      <c r="TH393" s="968" t="str">
        <f t="shared" si="119"/>
        <v>EPzorg overigD1450QC;nd</v>
      </c>
      <c r="TI393" s="968" t="str">
        <f t="shared" si="119"/>
        <v>EPbijeenkomstD4a450QC;nd</v>
      </c>
      <c r="TJ393" s="968" t="str">
        <f t="shared" si="119"/>
        <v>EPkantoorD4a450QC;nd</v>
      </c>
      <c r="TK393" s="968" t="str">
        <f t="shared" si="119"/>
        <v>EPkinderopvangD4a450QC;nd</v>
      </c>
      <c r="TL393" s="968" t="str">
        <f t="shared" si="119"/>
        <v>EPlogiesD4a450QC;nd</v>
      </c>
      <c r="TM393" s="968" t="str">
        <f t="shared" si="119"/>
        <v>EPonderwijsD4a450QC;nd</v>
      </c>
      <c r="TN393" s="968" t="str">
        <f t="shared" si="119"/>
        <v>EPsportD4a450QC;nd</v>
      </c>
      <c r="TO393" s="968" t="str">
        <f t="shared" si="119"/>
        <v>EPwinkelD4a450QC;nd</v>
      </c>
      <c r="TP393" s="968" t="str">
        <f t="shared" si="119"/>
        <v>EPwoningD4a450QC;nd</v>
      </c>
      <c r="TQ393" s="968" t="str">
        <f t="shared" si="119"/>
        <v>EPzorg met bedD4a450QC;nd</v>
      </c>
      <c r="TR393" s="968" t="str">
        <f t="shared" si="119"/>
        <v>EPzorg overigD4a450QC;nd</v>
      </c>
      <c r="TS393" s="968" t="str">
        <f t="shared" si="119"/>
        <v>EPbijeenkomstD5a450QC;nd</v>
      </c>
      <c r="TT393" s="968" t="str">
        <f t="shared" si="119"/>
        <v>EPkantoorD5a450QC;nd</v>
      </c>
      <c r="TU393" s="968" t="str">
        <f t="shared" si="119"/>
        <v>EPkinderopvangD5a450QC;nd</v>
      </c>
      <c r="TV393" s="968" t="str">
        <f t="shared" si="119"/>
        <v>EPlogiesD5a450QC;nd</v>
      </c>
      <c r="TW393" s="968" t="str">
        <f t="shared" si="119"/>
        <v>EPonderwijsD5a450QC;nd</v>
      </c>
      <c r="TX393" s="968" t="str">
        <f t="shared" si="119"/>
        <v>EPsportD5a450QC;nd</v>
      </c>
      <c r="TY393" s="968" t="str">
        <f t="shared" si="119"/>
        <v>EPwinkelD5a450QC;nd</v>
      </c>
      <c r="TZ393" s="968" t="str">
        <f t="shared" si="119"/>
        <v>EPwoningD5a450QC;nd</v>
      </c>
      <c r="UA393" s="968" t="str">
        <f t="shared" si="119"/>
        <v>EPzorg met bedD5a450QC;nd</v>
      </c>
      <c r="UB393" s="968" t="str">
        <f t="shared" si="119"/>
        <v>EPzorg overigD5a450QC;nd</v>
      </c>
      <c r="UC393" s="968" t="str">
        <f t="shared" si="119"/>
        <v>MWAbijeenkomstA1055QC;nd</v>
      </c>
      <c r="UD393" s="968" t="str">
        <f t="shared" si="119"/>
        <v>MWAkantoorA1055QC;nd</v>
      </c>
      <c r="UE393" s="968" t="str">
        <f t="shared" si="119"/>
        <v>MWAkinderopvangA1055QC;nd</v>
      </c>
      <c r="UF393" s="968" t="str">
        <f t="shared" si="119"/>
        <v>MWAlogiesA1055QC;nd</v>
      </c>
      <c r="UG393" s="968" t="str">
        <f t="shared" si="119"/>
        <v>MWAonderwijsA1055QC;nd</v>
      </c>
      <c r="UH393" s="968" t="str">
        <f t="shared" si="119"/>
        <v>MWAsportA1055QC;nd</v>
      </c>
      <c r="UI393" s="968" t="str">
        <f t="shared" si="119"/>
        <v>MWAwinkelA1055QC;nd</v>
      </c>
      <c r="UJ393" s="968" t="str">
        <f t="shared" si="119"/>
        <v>MWAwoningA1055QC;nd</v>
      </c>
      <c r="UK393" s="968" t="str">
        <f t="shared" si="119"/>
        <v>MWAzorg met bedA1055QC;nd</v>
      </c>
      <c r="UL393" s="968" t="str">
        <f t="shared" si="119"/>
        <v>MWAzorg overigA1055QC;nd</v>
      </c>
      <c r="UM393" s="968" t="str">
        <f t="shared" si="119"/>
        <v>MWAbijeenkomstA2b055QC;nd</v>
      </c>
      <c r="UN393" s="968" t="str">
        <f t="shared" si="119"/>
        <v>MWAkantoorA2b055QC;nd</v>
      </c>
      <c r="UO393" s="968" t="str">
        <f t="shared" si="119"/>
        <v>MWAkinderopvangA2b055QC;nd</v>
      </c>
      <c r="UP393" s="968" t="str">
        <f t="shared" si="119"/>
        <v>MWAlogiesA2b055QC;nd</v>
      </c>
      <c r="UQ393" s="968" t="str">
        <f t="shared" si="119"/>
        <v>MWAonderwijsA2b055QC;nd</v>
      </c>
      <c r="UR393" s="968" t="str">
        <f t="shared" si="119"/>
        <v>MWAsportA2b055QC;nd</v>
      </c>
      <c r="US393" s="968" t="str">
        <f t="shared" si="119"/>
        <v>MWAwinkelA2b055QC;nd</v>
      </c>
      <c r="UT393" s="968" t="str">
        <f t="shared" si="119"/>
        <v>MWAwoningA2b055QC;nd</v>
      </c>
      <c r="UU393" s="968" t="str">
        <f t="shared" si="119"/>
        <v>MWAzorg met bedA2b055QC;nd</v>
      </c>
      <c r="UV393" s="968" t="str">
        <f t="shared" si="119"/>
        <v>MWAzorg overigA2b055QC;nd</v>
      </c>
      <c r="UW393" s="968" t="str">
        <f t="shared" si="119"/>
        <v>MWAbijeenkomstC1055QC;nd</v>
      </c>
      <c r="UX393" s="968" t="str">
        <f t="shared" si="119"/>
        <v>MWAkantoorC1055QC;nd</v>
      </c>
      <c r="UY393" s="968" t="str">
        <f t="shared" si="119"/>
        <v>MWAkinderopvangC1055QC;nd</v>
      </c>
      <c r="UZ393" s="968" t="str">
        <f t="shared" si="119"/>
        <v>MWAlogiesC1055QC;nd</v>
      </c>
      <c r="VA393" s="968" t="str">
        <f t="shared" si="119"/>
        <v>MWAonderwijsC1055QC;nd</v>
      </c>
      <c r="VB393" s="968" t="str">
        <f t="shared" si="119"/>
        <v>MWAsportC1055QC;nd</v>
      </c>
      <c r="VC393" s="968" t="str">
        <f t="shared" si="119"/>
        <v>MWAwinkelC1055QC;nd</v>
      </c>
      <c r="VD393" s="968" t="str">
        <f t="shared" si="119"/>
        <v>MWAwoningC1055QC;nd</v>
      </c>
      <c r="VE393" s="968" t="str">
        <f t="shared" si="119"/>
        <v>MWAzorg met bedC1055QC;nd</v>
      </c>
      <c r="VF393" s="968" t="str">
        <f t="shared" si="119"/>
        <v>MWAzorg overigC1055QC;nd</v>
      </c>
      <c r="VG393" s="968" t="str">
        <f t="shared" si="119"/>
        <v>MWAbijeenkomstC2a055QC;nd</v>
      </c>
      <c r="VH393" s="968" t="str">
        <f t="shared" si="119"/>
        <v>MWAkantoorC2a055QC;nd</v>
      </c>
      <c r="VI393" s="968" t="str">
        <f t="shared" si="119"/>
        <v>MWAkinderopvangC2a055QC;nd</v>
      </c>
      <c r="VJ393" s="968" t="str">
        <f t="shared" si="119"/>
        <v>MWAlogiesC2a055QC;nd</v>
      </c>
      <c r="VK393" s="968" t="str">
        <f t="shared" si="119"/>
        <v>MWAonderwijsC2a055QC;nd</v>
      </c>
      <c r="VL393" s="968" t="str">
        <f t="shared" si="119"/>
        <v>MWAsportC2a055QC;nd</v>
      </c>
      <c r="VM393" s="968" t="str">
        <f t="shared" ref="VM393:XX393" si="120">VM$389&amp;VM$390&amp;VM$392&amp;VM$391&amp;VM$394</f>
        <v>MWAwinkelC2a055QC;nd</v>
      </c>
      <c r="VN393" s="968" t="str">
        <f t="shared" si="120"/>
        <v>MWAwoningC2a055QC;nd</v>
      </c>
      <c r="VO393" s="968" t="str">
        <f t="shared" si="120"/>
        <v>MWAzorg met bedC2a055QC;nd</v>
      </c>
      <c r="VP393" s="968" t="str">
        <f t="shared" si="120"/>
        <v>MWAzorg overigC2a055QC;nd</v>
      </c>
      <c r="VQ393" s="968" t="str">
        <f t="shared" si="120"/>
        <v>MWAbijeenkomstC3b055QC;nd</v>
      </c>
      <c r="VR393" s="968" t="str">
        <f t="shared" si="120"/>
        <v>MWAkantoorC3b055QC;nd</v>
      </c>
      <c r="VS393" s="968" t="str">
        <f t="shared" si="120"/>
        <v>MWAkinderopvangC3b055QC;nd</v>
      </c>
      <c r="VT393" s="968" t="str">
        <f t="shared" si="120"/>
        <v>MWAlogiesC3b055QC;nd</v>
      </c>
      <c r="VU393" s="968" t="str">
        <f t="shared" si="120"/>
        <v>MWAonderwijsC3b055QC;nd</v>
      </c>
      <c r="VV393" s="968" t="str">
        <f t="shared" si="120"/>
        <v>MWAsportC3b055QC;nd</v>
      </c>
      <c r="VW393" s="968" t="str">
        <f t="shared" si="120"/>
        <v>MWAwinkelC3b055QC;nd</v>
      </c>
      <c r="VX393" s="968" t="str">
        <f t="shared" si="120"/>
        <v>MWAwoningC3b055QC;nd</v>
      </c>
      <c r="VY393" s="968" t="str">
        <f t="shared" si="120"/>
        <v>MWAzorg met bedC3b055QC;nd</v>
      </c>
      <c r="VZ393" s="968" t="str">
        <f t="shared" si="120"/>
        <v>MWAzorg overigC3b055QC;nd</v>
      </c>
      <c r="WA393" s="968" t="str">
        <f t="shared" si="120"/>
        <v>MWAbijeenkomstC4c055QC;nd</v>
      </c>
      <c r="WB393" s="968" t="str">
        <f t="shared" si="120"/>
        <v>MWAkantoorC4c055QC;nd</v>
      </c>
      <c r="WC393" s="968" t="str">
        <f t="shared" si="120"/>
        <v>MWAkinderopvangC4c055QC;nd</v>
      </c>
      <c r="WD393" s="968" t="str">
        <f t="shared" si="120"/>
        <v>MWAlogiesC4c055QC;nd</v>
      </c>
      <c r="WE393" s="968" t="str">
        <f t="shared" si="120"/>
        <v>MWAonderwijsC4c055QC;nd</v>
      </c>
      <c r="WF393" s="968" t="str">
        <f t="shared" si="120"/>
        <v>MWAsportC4c055QC;nd</v>
      </c>
      <c r="WG393" s="968" t="str">
        <f t="shared" si="120"/>
        <v>MWAwinkelC4c055QC;nd</v>
      </c>
      <c r="WH393" s="968" t="str">
        <f t="shared" si="120"/>
        <v>MWAwoningC4c055QC;nd</v>
      </c>
      <c r="WI393" s="968" t="str">
        <f t="shared" si="120"/>
        <v>MWAzorg met bedC4c055QC;nd</v>
      </c>
      <c r="WJ393" s="968" t="str">
        <f t="shared" si="120"/>
        <v>MWAzorg overigC4c055QC;nd</v>
      </c>
      <c r="WK393" s="968" t="str">
        <f t="shared" si="120"/>
        <v>MWAbijeenkomstD1055QC;nd</v>
      </c>
      <c r="WL393" s="968" t="str">
        <f t="shared" si="120"/>
        <v>MWAkantoorD1055QC;nd</v>
      </c>
      <c r="WM393" s="968" t="str">
        <f t="shared" si="120"/>
        <v>MWAkinderopvangD1055QC;nd</v>
      </c>
      <c r="WN393" s="968" t="str">
        <f t="shared" si="120"/>
        <v>MWAlogiesD1055QC;nd</v>
      </c>
      <c r="WO393" s="968" t="str">
        <f t="shared" si="120"/>
        <v>MWAonderwijsD1055QC;nd</v>
      </c>
      <c r="WP393" s="968" t="str">
        <f t="shared" si="120"/>
        <v>MWAsportD1055QC;nd</v>
      </c>
      <c r="WQ393" s="968" t="str">
        <f t="shared" si="120"/>
        <v>MWAwinkelD1055QC;nd</v>
      </c>
      <c r="WR393" s="968" t="str">
        <f t="shared" si="120"/>
        <v>MWAwoningD1055QC;nd</v>
      </c>
      <c r="WS393" s="968" t="str">
        <f t="shared" si="120"/>
        <v>MWAzorg met bedD1055QC;nd</v>
      </c>
      <c r="WT393" s="968" t="str">
        <f t="shared" si="120"/>
        <v>MWAzorg overigD1055QC;nd</v>
      </c>
      <c r="WU393" s="968" t="str">
        <f t="shared" si="120"/>
        <v>MWAbijeenkomstD4a055QC;nd</v>
      </c>
      <c r="WV393" s="968" t="str">
        <f t="shared" si="120"/>
        <v>MWAkantoorD4a055QC;nd</v>
      </c>
      <c r="WW393" s="968" t="str">
        <f t="shared" si="120"/>
        <v>MWAkinderopvangD4a055QC;nd</v>
      </c>
      <c r="WX393" s="968" t="str">
        <f t="shared" si="120"/>
        <v>MWAlogiesD4a055QC;nd</v>
      </c>
      <c r="WY393" s="968" t="str">
        <f t="shared" si="120"/>
        <v>MWAonderwijsD4a055QC;nd</v>
      </c>
      <c r="WZ393" s="968" t="str">
        <f t="shared" si="120"/>
        <v>MWAsportD4a055QC;nd</v>
      </c>
      <c r="XA393" s="968" t="str">
        <f t="shared" si="120"/>
        <v>MWAwinkelD4a055QC;nd</v>
      </c>
      <c r="XB393" s="968" t="str">
        <f t="shared" si="120"/>
        <v>MWAwoningD4a055QC;nd</v>
      </c>
      <c r="XC393" s="968" t="str">
        <f t="shared" si="120"/>
        <v>MWAzorg met bedD4a055QC;nd</v>
      </c>
      <c r="XD393" s="968" t="str">
        <f t="shared" si="120"/>
        <v>MWAzorg overigD4a055QC;nd</v>
      </c>
      <c r="XE393" s="968" t="str">
        <f t="shared" si="120"/>
        <v>MWAbijeenkomstD5a055QC;nd</v>
      </c>
      <c r="XF393" s="968" t="str">
        <f t="shared" si="120"/>
        <v>MWAkantoorD5a055QC;nd</v>
      </c>
      <c r="XG393" s="968" t="str">
        <f t="shared" si="120"/>
        <v>MWAkinderopvangD5a055QC;nd</v>
      </c>
      <c r="XH393" s="968" t="str">
        <f t="shared" si="120"/>
        <v>MWAlogiesD5a055QC;nd</v>
      </c>
      <c r="XI393" s="968" t="str">
        <f t="shared" si="120"/>
        <v>MWAonderwijsD5a055QC;nd</v>
      </c>
      <c r="XJ393" s="968" t="str">
        <f t="shared" si="120"/>
        <v>MWAsportD5a055QC;nd</v>
      </c>
      <c r="XK393" s="968" t="str">
        <f t="shared" si="120"/>
        <v>MWAwinkelD5a055QC;nd</v>
      </c>
      <c r="XL393" s="968" t="str">
        <f t="shared" si="120"/>
        <v>MWAwoningD5a055QC;nd</v>
      </c>
      <c r="XM393" s="968" t="str">
        <f t="shared" si="120"/>
        <v>MWAzorg met bedD5a055QC;nd</v>
      </c>
      <c r="XN393" s="968" t="str">
        <f t="shared" si="120"/>
        <v>MWAzorg overigD5a055QC;nd</v>
      </c>
      <c r="XO393" s="968" t="str">
        <f t="shared" si="120"/>
        <v>MWAbijeenkomstA1450QC;nd</v>
      </c>
      <c r="XP393" s="968" t="str">
        <f t="shared" si="120"/>
        <v>MWAkantoorA1450QC;nd</v>
      </c>
      <c r="XQ393" s="968" t="str">
        <f t="shared" si="120"/>
        <v>MWAkinderopvangA1450QC;nd</v>
      </c>
      <c r="XR393" s="968" t="str">
        <f t="shared" si="120"/>
        <v>MWAlogiesA1450QC;nd</v>
      </c>
      <c r="XS393" s="968" t="str">
        <f t="shared" si="120"/>
        <v>MWAonderwijsA1450QC;nd</v>
      </c>
      <c r="XT393" s="968" t="str">
        <f t="shared" si="120"/>
        <v>MWAsportA1450QC;nd</v>
      </c>
      <c r="XU393" s="968" t="str">
        <f t="shared" si="120"/>
        <v>MWAwinkelA1450QC;nd</v>
      </c>
      <c r="XV393" s="968" t="str">
        <f t="shared" si="120"/>
        <v>MWAwoningA1450QC;nd</v>
      </c>
      <c r="XW393" s="968" t="str">
        <f t="shared" si="120"/>
        <v>MWAzorg met bedA1450QC;nd</v>
      </c>
      <c r="XX393" s="968" t="str">
        <f t="shared" si="120"/>
        <v>MWAzorg overigA1450QC;nd</v>
      </c>
      <c r="XY393" s="968" t="str">
        <f t="shared" ref="XY393:AAJ393" si="121">XY$389&amp;XY$390&amp;XY$392&amp;XY$391&amp;XY$394</f>
        <v>MWAbijeenkomstA2b450QC;nd</v>
      </c>
      <c r="XZ393" s="968" t="str">
        <f t="shared" si="121"/>
        <v>MWAkantoorA2b450QC;nd</v>
      </c>
      <c r="YA393" s="968" t="str">
        <f t="shared" si="121"/>
        <v>MWAkinderopvangA2b450QC;nd</v>
      </c>
      <c r="YB393" s="968" t="str">
        <f t="shared" si="121"/>
        <v>MWAlogiesA2b450QC;nd</v>
      </c>
      <c r="YC393" s="968" t="str">
        <f t="shared" si="121"/>
        <v>MWAonderwijsA2b450QC;nd</v>
      </c>
      <c r="YD393" s="968" t="str">
        <f t="shared" si="121"/>
        <v>MWAsportA2b450QC;nd</v>
      </c>
      <c r="YE393" s="968" t="str">
        <f t="shared" si="121"/>
        <v>MWAwinkelA2b450QC;nd</v>
      </c>
      <c r="YF393" s="968" t="str">
        <f t="shared" si="121"/>
        <v>MWAwoningA2b450QC;nd</v>
      </c>
      <c r="YG393" s="968" t="str">
        <f t="shared" si="121"/>
        <v>MWAzorg met bedA2b450QC;nd</v>
      </c>
      <c r="YH393" s="968" t="str">
        <f t="shared" si="121"/>
        <v>MWAzorg overigA2b450QC;nd</v>
      </c>
      <c r="YI393" s="968" t="str">
        <f t="shared" si="121"/>
        <v>MWAbijeenkomstC1450QC;nd</v>
      </c>
      <c r="YJ393" s="968" t="str">
        <f t="shared" si="121"/>
        <v>MWAkantoorC1450QC;nd</v>
      </c>
      <c r="YK393" s="968" t="str">
        <f t="shared" si="121"/>
        <v>MWAkinderopvangC1450QC;nd</v>
      </c>
      <c r="YL393" s="968" t="str">
        <f t="shared" si="121"/>
        <v>MWAlogiesC1450QC;nd</v>
      </c>
      <c r="YM393" s="968" t="str">
        <f t="shared" si="121"/>
        <v>MWAonderwijsC1450QC;nd</v>
      </c>
      <c r="YN393" s="968" t="str">
        <f t="shared" si="121"/>
        <v>MWAsportC1450QC;nd</v>
      </c>
      <c r="YO393" s="968" t="str">
        <f t="shared" si="121"/>
        <v>MWAwinkelC1450QC;nd</v>
      </c>
      <c r="YP393" s="968" t="str">
        <f t="shared" si="121"/>
        <v>MWAwoningC1450QC;nd</v>
      </c>
      <c r="YQ393" s="968" t="str">
        <f t="shared" si="121"/>
        <v>MWAzorg met bedC1450QC;nd</v>
      </c>
      <c r="YR393" s="968" t="str">
        <f t="shared" si="121"/>
        <v>MWAzorg overigC1450QC;nd</v>
      </c>
      <c r="YS393" s="968" t="str">
        <f t="shared" si="121"/>
        <v>MWAbijeenkomstC2a450QC;nd</v>
      </c>
      <c r="YT393" s="968" t="str">
        <f t="shared" si="121"/>
        <v>MWAkantoorC2a450QC;nd</v>
      </c>
      <c r="YU393" s="968" t="str">
        <f t="shared" si="121"/>
        <v>MWAkinderopvangC2a450QC;nd</v>
      </c>
      <c r="YV393" s="968" t="str">
        <f t="shared" si="121"/>
        <v>MWAlogiesC2a450QC;nd</v>
      </c>
      <c r="YW393" s="968" t="str">
        <f t="shared" si="121"/>
        <v>MWAonderwijsC2a450QC;nd</v>
      </c>
      <c r="YX393" s="968" t="str">
        <f t="shared" si="121"/>
        <v>MWAsportC2a450QC;nd</v>
      </c>
      <c r="YY393" s="968" t="str">
        <f t="shared" si="121"/>
        <v>MWAwinkelC2a450QC;nd</v>
      </c>
      <c r="YZ393" s="968" t="str">
        <f t="shared" si="121"/>
        <v>MWAwoningC2a450QC;nd</v>
      </c>
      <c r="ZA393" s="968" t="str">
        <f t="shared" si="121"/>
        <v>MWAzorg met bedC2a450QC;nd</v>
      </c>
      <c r="ZB393" s="968" t="str">
        <f t="shared" si="121"/>
        <v>MWAzorg overigC2a450QC;nd</v>
      </c>
      <c r="ZC393" s="968" t="str">
        <f t="shared" si="121"/>
        <v>MWAbijeenkomstC3b450QC;nd</v>
      </c>
      <c r="ZD393" s="968" t="str">
        <f t="shared" si="121"/>
        <v>MWAkantoorC3b450QC;nd</v>
      </c>
      <c r="ZE393" s="968" t="str">
        <f t="shared" si="121"/>
        <v>MWAkinderopvangC3b450QC;nd</v>
      </c>
      <c r="ZF393" s="968" t="str">
        <f t="shared" si="121"/>
        <v>MWAlogiesC3b450QC;nd</v>
      </c>
      <c r="ZG393" s="968" t="str">
        <f t="shared" si="121"/>
        <v>MWAonderwijsC3b450QC;nd</v>
      </c>
      <c r="ZH393" s="968" t="str">
        <f t="shared" si="121"/>
        <v>MWAsportC3b450QC;nd</v>
      </c>
      <c r="ZI393" s="968" t="str">
        <f t="shared" si="121"/>
        <v>MWAwinkelC3b450QC;nd</v>
      </c>
      <c r="ZJ393" s="968" t="str">
        <f t="shared" si="121"/>
        <v>MWAwoningC3b450QC;nd</v>
      </c>
      <c r="ZK393" s="968" t="str">
        <f t="shared" si="121"/>
        <v>MWAzorg met bedC3b450QC;nd</v>
      </c>
      <c r="ZL393" s="968" t="str">
        <f t="shared" si="121"/>
        <v>MWAzorg overigC3b450QC;nd</v>
      </c>
      <c r="ZM393" s="968" t="str">
        <f t="shared" si="121"/>
        <v>MWAbijeenkomstC4c450QC;nd</v>
      </c>
      <c r="ZN393" s="968" t="str">
        <f t="shared" si="121"/>
        <v>MWAkantoorC4c450QC;nd</v>
      </c>
      <c r="ZO393" s="968" t="str">
        <f t="shared" si="121"/>
        <v>MWAkinderopvangC4c450QC;nd</v>
      </c>
      <c r="ZP393" s="968" t="str">
        <f t="shared" si="121"/>
        <v>MWAlogiesC4c450QC;nd</v>
      </c>
      <c r="ZQ393" s="968" t="str">
        <f t="shared" si="121"/>
        <v>MWAonderwijsC4c450QC;nd</v>
      </c>
      <c r="ZR393" s="968" t="str">
        <f t="shared" si="121"/>
        <v>MWAsportC4c450QC;nd</v>
      </c>
      <c r="ZS393" s="968" t="str">
        <f t="shared" si="121"/>
        <v>MWAwinkelC4c450QC;nd</v>
      </c>
      <c r="ZT393" s="968" t="str">
        <f t="shared" si="121"/>
        <v>MWAwoningC4c450QC;nd</v>
      </c>
      <c r="ZU393" s="968" t="str">
        <f t="shared" si="121"/>
        <v>MWAzorg met bedC4c450QC;nd</v>
      </c>
      <c r="ZV393" s="968" t="str">
        <f t="shared" si="121"/>
        <v>MWAzorg overigC4c450QC;nd</v>
      </c>
      <c r="ZW393" s="968" t="str">
        <f t="shared" si="121"/>
        <v>MWAbijeenkomstD1450QC;nd</v>
      </c>
      <c r="ZX393" s="968" t="str">
        <f t="shared" si="121"/>
        <v>MWAkantoorD1450QC;nd</v>
      </c>
      <c r="ZY393" s="968" t="str">
        <f t="shared" si="121"/>
        <v>MWAkinderopvangD1450QC;nd</v>
      </c>
      <c r="ZZ393" s="968" t="str">
        <f t="shared" si="121"/>
        <v>MWAlogiesD1450QC;nd</v>
      </c>
      <c r="AAA393" s="968" t="str">
        <f t="shared" si="121"/>
        <v>MWAonderwijsD1450QC;nd</v>
      </c>
      <c r="AAB393" s="968" t="str">
        <f t="shared" si="121"/>
        <v>MWAsportD1450QC;nd</v>
      </c>
      <c r="AAC393" s="968" t="str">
        <f t="shared" si="121"/>
        <v>MWAwinkelD1450QC;nd</v>
      </c>
      <c r="AAD393" s="968" t="str">
        <f t="shared" si="121"/>
        <v>MWAwoningD1450QC;nd</v>
      </c>
      <c r="AAE393" s="968" t="str">
        <f t="shared" si="121"/>
        <v>MWAzorg met bedD1450QC;nd</v>
      </c>
      <c r="AAF393" s="968" t="str">
        <f t="shared" si="121"/>
        <v>MWAzorg overigD1450QC;nd</v>
      </c>
      <c r="AAG393" s="968" t="str">
        <f t="shared" si="121"/>
        <v>MWAbijeenkomstD4a450QC;nd</v>
      </c>
      <c r="AAH393" s="968" t="str">
        <f t="shared" si="121"/>
        <v>MWAkantoorD4a450QC;nd</v>
      </c>
      <c r="AAI393" s="968" t="str">
        <f t="shared" si="121"/>
        <v>MWAkinderopvangD4a450QC;nd</v>
      </c>
      <c r="AAJ393" s="968" t="str">
        <f t="shared" si="121"/>
        <v>MWAlogiesD4a450QC;nd</v>
      </c>
      <c r="AAK393" s="968" t="str">
        <f t="shared" ref="AAK393:ACV393" si="122">AAK$389&amp;AAK$390&amp;AAK$392&amp;AAK$391&amp;AAK$394</f>
        <v>MWAonderwijsD4a450QC;nd</v>
      </c>
      <c r="AAL393" s="968" t="str">
        <f t="shared" si="122"/>
        <v>MWAsportD4a450QC;nd</v>
      </c>
      <c r="AAM393" s="968" t="str">
        <f t="shared" si="122"/>
        <v>MWAwinkelD4a450QC;nd</v>
      </c>
      <c r="AAN393" s="968" t="str">
        <f t="shared" si="122"/>
        <v>MWAwoningD4a450QC;nd</v>
      </c>
      <c r="AAO393" s="968" t="str">
        <f t="shared" si="122"/>
        <v>MWAzorg met bedD4a450QC;nd</v>
      </c>
      <c r="AAP393" s="968" t="str">
        <f t="shared" si="122"/>
        <v>MWAzorg overigD4a450QC;nd</v>
      </c>
      <c r="AAQ393" s="968" t="str">
        <f t="shared" si="122"/>
        <v>MWAbijeenkomstD5a450QC;nd</v>
      </c>
      <c r="AAR393" s="968" t="str">
        <f t="shared" si="122"/>
        <v>MWAkantoorD5a450QC;nd</v>
      </c>
      <c r="AAS393" s="968" t="str">
        <f t="shared" si="122"/>
        <v>MWAkinderopvangD5a450QC;nd</v>
      </c>
      <c r="AAT393" s="968" t="str">
        <f t="shared" si="122"/>
        <v>MWAlogiesD5a450QC;nd</v>
      </c>
      <c r="AAU393" s="968" t="str">
        <f t="shared" si="122"/>
        <v>MWAonderwijsD5a450QC;nd</v>
      </c>
      <c r="AAV393" s="968" t="str">
        <f t="shared" si="122"/>
        <v>MWAsportD5a450QC;nd</v>
      </c>
      <c r="AAW393" s="968" t="str">
        <f t="shared" si="122"/>
        <v>MWAwinkelD5a450QC;nd</v>
      </c>
      <c r="AAX393" s="968" t="str">
        <f t="shared" si="122"/>
        <v>MWAwoningD5a450QC;nd</v>
      </c>
      <c r="AAY393" s="968" t="str">
        <f t="shared" si="122"/>
        <v>MWAzorg met bedD5a450QC;nd</v>
      </c>
      <c r="AAZ393" s="968" t="str">
        <f t="shared" si="122"/>
        <v>MWAzorg overigD5a450QC;nd</v>
      </c>
      <c r="ABA393" s="968" t="str">
        <f t="shared" si="122"/>
        <v>EPbijeenkomstA1055Ehc;nd;EP</v>
      </c>
      <c r="ABB393" s="968" t="str">
        <f t="shared" si="122"/>
        <v>EPkantoorA1055Ehc;nd;EP</v>
      </c>
      <c r="ABC393" s="968" t="str">
        <f t="shared" si="122"/>
        <v>EPkinderopvangA1055Ehc;nd;EP</v>
      </c>
      <c r="ABD393" s="968" t="str">
        <f t="shared" si="122"/>
        <v>EPlogiesA1055Ehc;nd;EP</v>
      </c>
      <c r="ABE393" s="968" t="str">
        <f t="shared" si="122"/>
        <v>EPonderwijsA1055Ehc;nd;EP</v>
      </c>
      <c r="ABF393" s="968" t="str">
        <f t="shared" si="122"/>
        <v>EPsportA1055Ehc;nd;EP</v>
      </c>
      <c r="ABG393" s="968" t="str">
        <f t="shared" si="122"/>
        <v>EPwinkelA1055Ehc;nd;EP</v>
      </c>
      <c r="ABH393" s="968" t="str">
        <f t="shared" si="122"/>
        <v>EPwoningA1055Ehc;nd;EP</v>
      </c>
      <c r="ABI393" s="968" t="str">
        <f t="shared" si="122"/>
        <v>EPzorg met bedA1055Ehc;nd;EP</v>
      </c>
      <c r="ABJ393" s="968" t="str">
        <f t="shared" si="122"/>
        <v>EPzorg overigA1055Ehc;nd;EP</v>
      </c>
      <c r="ABK393" s="968" t="str">
        <f t="shared" si="122"/>
        <v>EPbijeenkomstA2b055Ehc;nd;EP</v>
      </c>
      <c r="ABL393" s="968" t="str">
        <f t="shared" si="122"/>
        <v>EPkantoorA2b055Ehc;nd;EP</v>
      </c>
      <c r="ABM393" s="968" t="str">
        <f t="shared" si="122"/>
        <v>EPkinderopvangA2b055Ehc;nd;EP</v>
      </c>
      <c r="ABN393" s="968" t="str">
        <f t="shared" si="122"/>
        <v>EPlogiesA2b055Ehc;nd;EP</v>
      </c>
      <c r="ABO393" s="968" t="str">
        <f t="shared" si="122"/>
        <v>EPonderwijsA2b055Ehc;nd;EP</v>
      </c>
      <c r="ABP393" s="968" t="str">
        <f t="shared" si="122"/>
        <v>EPsportA2b055Ehc;nd;EP</v>
      </c>
      <c r="ABQ393" s="968" t="str">
        <f t="shared" si="122"/>
        <v>EPwinkelA2b055Ehc;nd;EP</v>
      </c>
      <c r="ABR393" s="968" t="str">
        <f t="shared" si="122"/>
        <v>EPwoningA2b055Ehc;nd;EP</v>
      </c>
      <c r="ABS393" s="968" t="str">
        <f t="shared" si="122"/>
        <v>EPzorg met bedA2b055Ehc;nd;EP</v>
      </c>
      <c r="ABT393" s="968" t="str">
        <f t="shared" si="122"/>
        <v>EPzorg overigA2b055Ehc;nd;EP</v>
      </c>
      <c r="ABU393" s="968" t="str">
        <f t="shared" si="122"/>
        <v>EPbijeenkomstC1055Ehc;nd;EP</v>
      </c>
      <c r="ABV393" s="968" t="str">
        <f t="shared" si="122"/>
        <v>EPkantoorC1055Ehc;nd;EP</v>
      </c>
      <c r="ABW393" s="968" t="str">
        <f t="shared" si="122"/>
        <v>EPkinderopvangC1055Ehc;nd;EP</v>
      </c>
      <c r="ABX393" s="968" t="str">
        <f t="shared" si="122"/>
        <v>EPlogiesC1055Ehc;nd;EP</v>
      </c>
      <c r="ABY393" s="968" t="str">
        <f t="shared" si="122"/>
        <v>EPonderwijsC1055Ehc;nd;EP</v>
      </c>
      <c r="ABZ393" s="968" t="str">
        <f t="shared" si="122"/>
        <v>EPsportC1055Ehc;nd;EP</v>
      </c>
      <c r="ACA393" s="968" t="str">
        <f t="shared" si="122"/>
        <v>EPwinkelC1055Ehc;nd;EP</v>
      </c>
      <c r="ACB393" s="968" t="str">
        <f t="shared" si="122"/>
        <v>EPwoningC1055Ehc;nd;EP</v>
      </c>
      <c r="ACC393" s="968" t="str">
        <f t="shared" si="122"/>
        <v>EPzorg met bedC1055Ehc;nd;EP</v>
      </c>
      <c r="ACD393" s="968" t="str">
        <f t="shared" si="122"/>
        <v>EPzorg overigC1055Ehc;nd;EP</v>
      </c>
      <c r="ACE393" s="968" t="str">
        <f t="shared" si="122"/>
        <v>EPbijeenkomstC2a055Ehc;nd;EP</v>
      </c>
      <c r="ACF393" s="968" t="str">
        <f t="shared" si="122"/>
        <v>EPkantoorC2a055Ehc;nd;EP</v>
      </c>
      <c r="ACG393" s="968" t="str">
        <f t="shared" si="122"/>
        <v>EPkinderopvangC2a055Ehc;nd;EP</v>
      </c>
      <c r="ACH393" s="968" t="str">
        <f t="shared" si="122"/>
        <v>EPlogiesC2a055Ehc;nd;EP</v>
      </c>
      <c r="ACI393" s="968" t="str">
        <f t="shared" si="122"/>
        <v>EPonderwijsC2a055Ehc;nd;EP</v>
      </c>
      <c r="ACJ393" s="968" t="str">
        <f t="shared" si="122"/>
        <v>EPsportC2a055Ehc;nd;EP</v>
      </c>
      <c r="ACK393" s="968" t="str">
        <f t="shared" si="122"/>
        <v>EPwinkelC2a055Ehc;nd;EP</v>
      </c>
      <c r="ACL393" s="968" t="str">
        <f t="shared" si="122"/>
        <v>EPwoningC2a055Ehc;nd;EP</v>
      </c>
      <c r="ACM393" s="968" t="str">
        <f t="shared" si="122"/>
        <v>EPzorg met bedC2a055Ehc;nd;EP</v>
      </c>
      <c r="ACN393" s="968" t="str">
        <f t="shared" si="122"/>
        <v>EPzorg overigC2a055Ehc;nd;EP</v>
      </c>
      <c r="ACO393" s="968" t="str">
        <f t="shared" si="122"/>
        <v>EPbijeenkomstC3b055Ehc;nd;EP</v>
      </c>
      <c r="ACP393" s="968" t="str">
        <f t="shared" si="122"/>
        <v>EPkantoorC3b055Ehc;nd;EP</v>
      </c>
      <c r="ACQ393" s="968" t="str">
        <f t="shared" si="122"/>
        <v>EPkinderopvangC3b055Ehc;nd;EP</v>
      </c>
      <c r="ACR393" s="968" t="str">
        <f t="shared" si="122"/>
        <v>EPlogiesC3b055Ehc;nd;EP</v>
      </c>
      <c r="ACS393" s="968" t="str">
        <f t="shared" si="122"/>
        <v>EPonderwijsC3b055Ehc;nd;EP</v>
      </c>
      <c r="ACT393" s="968" t="str">
        <f t="shared" si="122"/>
        <v>EPsportC3b055Ehc;nd;EP</v>
      </c>
      <c r="ACU393" s="968" t="str">
        <f t="shared" si="122"/>
        <v>EPwinkelC3b055Ehc;nd;EP</v>
      </c>
      <c r="ACV393" s="968" t="str">
        <f t="shared" si="122"/>
        <v>EPwoningC3b055Ehc;nd;EP</v>
      </c>
      <c r="ACW393" s="968" t="str">
        <f t="shared" ref="ACW393:AFH393" si="123">ACW$389&amp;ACW$390&amp;ACW$392&amp;ACW$391&amp;ACW$394</f>
        <v>EPzorg met bedC3b055Ehc;nd;EP</v>
      </c>
      <c r="ACX393" s="968" t="str">
        <f t="shared" si="123"/>
        <v>EPzorg overigC3b055Ehc;nd;EP</v>
      </c>
      <c r="ACY393" s="968" t="str">
        <f t="shared" si="123"/>
        <v>EPbijeenkomstC4c055Ehc;nd;EP</v>
      </c>
      <c r="ACZ393" s="968" t="str">
        <f t="shared" si="123"/>
        <v>EPkantoorC4c055Ehc;nd;EP</v>
      </c>
      <c r="ADA393" s="968" t="str">
        <f t="shared" si="123"/>
        <v>EPkinderopvangC4c055Ehc;nd;EP</v>
      </c>
      <c r="ADB393" s="968" t="str">
        <f t="shared" si="123"/>
        <v>EPlogiesC4c055Ehc;nd;EP</v>
      </c>
      <c r="ADC393" s="968" t="str">
        <f t="shared" si="123"/>
        <v>EPonderwijsC4c055Ehc;nd;EP</v>
      </c>
      <c r="ADD393" s="968" t="str">
        <f t="shared" si="123"/>
        <v>EPsportC4c055Ehc;nd;EP</v>
      </c>
      <c r="ADE393" s="968" t="str">
        <f t="shared" si="123"/>
        <v>EPwinkelC4c055Ehc;nd;EP</v>
      </c>
      <c r="ADF393" s="968" t="str">
        <f t="shared" si="123"/>
        <v>EPwoningC4c055Ehc;nd;EP</v>
      </c>
      <c r="ADG393" s="968" t="str">
        <f t="shared" si="123"/>
        <v>EPzorg met bedC4c055Ehc;nd;EP</v>
      </c>
      <c r="ADH393" s="968" t="str">
        <f t="shared" si="123"/>
        <v>EPzorg overigC4c055Ehc;nd;EP</v>
      </c>
      <c r="ADI393" s="968" t="str">
        <f t="shared" si="123"/>
        <v>EPbijeenkomstD1055Ehc;nd;EP</v>
      </c>
      <c r="ADJ393" s="968" t="str">
        <f t="shared" si="123"/>
        <v>EPkantoorD1055Ehc;nd;EP</v>
      </c>
      <c r="ADK393" s="968" t="str">
        <f t="shared" si="123"/>
        <v>EPkinderopvangD1055Ehc;nd;EP</v>
      </c>
      <c r="ADL393" s="968" t="str">
        <f t="shared" si="123"/>
        <v>EPlogiesD1055Ehc;nd;EP</v>
      </c>
      <c r="ADM393" s="968" t="str">
        <f t="shared" si="123"/>
        <v>EPonderwijsD1055Ehc;nd;EP</v>
      </c>
      <c r="ADN393" s="968" t="str">
        <f t="shared" si="123"/>
        <v>EPsportD1055Ehc;nd;EP</v>
      </c>
      <c r="ADO393" s="968" t="str">
        <f t="shared" si="123"/>
        <v>EPwinkelD1055Ehc;nd;EP</v>
      </c>
      <c r="ADP393" s="968" t="str">
        <f t="shared" si="123"/>
        <v>EPwoningD1055Ehc;nd;EP</v>
      </c>
      <c r="ADQ393" s="968" t="str">
        <f t="shared" si="123"/>
        <v>EPzorg met bedD1055Ehc;nd;EP</v>
      </c>
      <c r="ADR393" s="968" t="str">
        <f t="shared" si="123"/>
        <v>EPzorg overigD1055Ehc;nd;EP</v>
      </c>
      <c r="ADS393" s="968" t="str">
        <f t="shared" si="123"/>
        <v>EPbijeenkomstD4a055Ehc;nd;EP</v>
      </c>
      <c r="ADT393" s="968" t="str">
        <f t="shared" si="123"/>
        <v>EPkantoorD4a055Ehc;nd;EP</v>
      </c>
      <c r="ADU393" s="968" t="str">
        <f t="shared" si="123"/>
        <v>EPkinderopvangD4a055Ehc;nd;EP</v>
      </c>
      <c r="ADV393" s="968" t="str">
        <f t="shared" si="123"/>
        <v>EPlogiesD4a055Ehc;nd;EP</v>
      </c>
      <c r="ADW393" s="968" t="str">
        <f t="shared" si="123"/>
        <v>EPonderwijsD4a055Ehc;nd;EP</v>
      </c>
      <c r="ADX393" s="968" t="str">
        <f t="shared" si="123"/>
        <v>EPsportD4a055Ehc;nd;EP</v>
      </c>
      <c r="ADY393" s="968" t="str">
        <f t="shared" si="123"/>
        <v>EPwinkelD4a055Ehc;nd;EP</v>
      </c>
      <c r="ADZ393" s="968" t="str">
        <f t="shared" si="123"/>
        <v>EPwoningD4a055Ehc;nd;EP</v>
      </c>
      <c r="AEA393" s="968" t="str">
        <f t="shared" si="123"/>
        <v>EPzorg met bedD4a055Ehc;nd;EP</v>
      </c>
      <c r="AEB393" s="968" t="str">
        <f t="shared" si="123"/>
        <v>EPzorg overigD4a055Ehc;nd;EP</v>
      </c>
      <c r="AEC393" s="968" t="str">
        <f t="shared" si="123"/>
        <v>EPbijeenkomstD5a055Ehc;nd;EP</v>
      </c>
      <c r="AED393" s="968" t="str">
        <f t="shared" si="123"/>
        <v>EPkantoorD5a055Ehc;nd;EP</v>
      </c>
      <c r="AEE393" s="968" t="str">
        <f t="shared" si="123"/>
        <v>EPkinderopvangD5a055Ehc;nd;EP</v>
      </c>
      <c r="AEF393" s="968" t="str">
        <f t="shared" si="123"/>
        <v>EPlogiesD5a055Ehc;nd;EP</v>
      </c>
      <c r="AEG393" s="968" t="str">
        <f t="shared" si="123"/>
        <v>EPonderwijsD5a055Ehc;nd;EP</v>
      </c>
      <c r="AEH393" s="968" t="str">
        <f t="shared" si="123"/>
        <v>EPsportD5a055Ehc;nd;EP</v>
      </c>
      <c r="AEI393" s="968" t="str">
        <f t="shared" si="123"/>
        <v>EPwinkelD5a055Ehc;nd;EP</v>
      </c>
      <c r="AEJ393" s="968" t="str">
        <f t="shared" si="123"/>
        <v>EPwoningD5a055Ehc;nd;EP</v>
      </c>
      <c r="AEK393" s="968" t="str">
        <f t="shared" si="123"/>
        <v>EPzorg met bedD5a055Ehc;nd;EP</v>
      </c>
      <c r="AEL393" s="968" t="str">
        <f t="shared" si="123"/>
        <v>EPzorg overigD5a055Ehc;nd;EP</v>
      </c>
      <c r="AEM393" s="968" t="str">
        <f t="shared" si="123"/>
        <v>EPbijeenkomstA1450Ehc;nd;EP</v>
      </c>
      <c r="AEN393" s="968" t="str">
        <f t="shared" si="123"/>
        <v>EPkantoorA1450Ehc;nd;EP</v>
      </c>
      <c r="AEO393" s="968" t="str">
        <f t="shared" si="123"/>
        <v>EPkinderopvangA1450Ehc;nd;EP</v>
      </c>
      <c r="AEP393" s="968" t="str">
        <f t="shared" si="123"/>
        <v>EPlogiesA1450Ehc;nd;EP</v>
      </c>
      <c r="AEQ393" s="968" t="str">
        <f t="shared" si="123"/>
        <v>EPonderwijsA1450Ehc;nd;EP</v>
      </c>
      <c r="AER393" s="968" t="str">
        <f t="shared" si="123"/>
        <v>EPsportA1450Ehc;nd;EP</v>
      </c>
      <c r="AES393" s="968" t="str">
        <f t="shared" si="123"/>
        <v>EPwinkelA1450Ehc;nd;EP</v>
      </c>
      <c r="AET393" s="968" t="str">
        <f t="shared" si="123"/>
        <v>EPwoningA1450Ehc;nd;EP</v>
      </c>
      <c r="AEU393" s="968" t="str">
        <f t="shared" si="123"/>
        <v>EPzorg met bedA1450Ehc;nd;EP</v>
      </c>
      <c r="AEV393" s="968" t="str">
        <f t="shared" si="123"/>
        <v>EPzorg overigA1450Ehc;nd;EP</v>
      </c>
      <c r="AEW393" s="968" t="str">
        <f t="shared" si="123"/>
        <v>EPbijeenkomstA2b450Ehc;nd;EP</v>
      </c>
      <c r="AEX393" s="968" t="str">
        <f t="shared" si="123"/>
        <v>EPkantoorA2b450Ehc;nd;EP</v>
      </c>
      <c r="AEY393" s="968" t="str">
        <f t="shared" si="123"/>
        <v>EPkinderopvangA2b450Ehc;nd;EP</v>
      </c>
      <c r="AEZ393" s="968" t="str">
        <f t="shared" si="123"/>
        <v>EPlogiesA2b450Ehc;nd;EP</v>
      </c>
      <c r="AFA393" s="968" t="str">
        <f t="shared" si="123"/>
        <v>EPonderwijsA2b450Ehc;nd;EP</v>
      </c>
      <c r="AFB393" s="968" t="str">
        <f t="shared" si="123"/>
        <v>EPsportA2b450Ehc;nd;EP</v>
      </c>
      <c r="AFC393" s="968" t="str">
        <f t="shared" si="123"/>
        <v>EPwinkelA2b450Ehc;nd;EP</v>
      </c>
      <c r="AFD393" s="968" t="str">
        <f t="shared" si="123"/>
        <v>EPwoningA2b450Ehc;nd;EP</v>
      </c>
      <c r="AFE393" s="968" t="str">
        <f t="shared" si="123"/>
        <v>EPzorg met bedA2b450Ehc;nd;EP</v>
      </c>
      <c r="AFF393" s="968" t="str">
        <f t="shared" si="123"/>
        <v>EPzorg overigA2b450Ehc;nd;EP</v>
      </c>
      <c r="AFG393" s="968" t="str">
        <f t="shared" si="123"/>
        <v>EPbijeenkomstC1450Ehc;nd;EP</v>
      </c>
      <c r="AFH393" s="968" t="str">
        <f t="shared" si="123"/>
        <v>EPkantoorC1450Ehc;nd;EP</v>
      </c>
      <c r="AFI393" s="968" t="str">
        <f t="shared" ref="AFI393:AHT393" si="124">AFI$389&amp;AFI$390&amp;AFI$392&amp;AFI$391&amp;AFI$394</f>
        <v>EPkinderopvangC1450Ehc;nd;EP</v>
      </c>
      <c r="AFJ393" s="968" t="str">
        <f t="shared" si="124"/>
        <v>EPlogiesC1450Ehc;nd;EP</v>
      </c>
      <c r="AFK393" s="968" t="str">
        <f t="shared" si="124"/>
        <v>EPonderwijsC1450Ehc;nd;EP</v>
      </c>
      <c r="AFL393" s="968" t="str">
        <f t="shared" si="124"/>
        <v>EPsportC1450Ehc;nd;EP</v>
      </c>
      <c r="AFM393" s="968" t="str">
        <f t="shared" si="124"/>
        <v>EPwinkelC1450Ehc;nd;EP</v>
      </c>
      <c r="AFN393" s="968" t="str">
        <f t="shared" si="124"/>
        <v>EPwoningC1450Ehc;nd;EP</v>
      </c>
      <c r="AFO393" s="968" t="str">
        <f t="shared" si="124"/>
        <v>EPzorg met bedC1450Ehc;nd;EP</v>
      </c>
      <c r="AFP393" s="968" t="str">
        <f t="shared" si="124"/>
        <v>EPzorg overigC1450Ehc;nd;EP</v>
      </c>
      <c r="AFQ393" s="968" t="str">
        <f t="shared" si="124"/>
        <v>EPbijeenkomstC2a450Ehc;nd;EP</v>
      </c>
      <c r="AFR393" s="968" t="str">
        <f t="shared" si="124"/>
        <v>EPkantoorC2a450Ehc;nd;EP</v>
      </c>
      <c r="AFS393" s="968" t="str">
        <f t="shared" si="124"/>
        <v>EPkinderopvangC2a450Ehc;nd;EP</v>
      </c>
      <c r="AFT393" s="968" t="str">
        <f t="shared" si="124"/>
        <v>EPlogiesC2a450Ehc;nd;EP</v>
      </c>
      <c r="AFU393" s="968" t="str">
        <f t="shared" si="124"/>
        <v>EPonderwijsC2a450Ehc;nd;EP</v>
      </c>
      <c r="AFV393" s="968" t="str">
        <f t="shared" si="124"/>
        <v>EPsportC2a450Ehc;nd;EP</v>
      </c>
      <c r="AFW393" s="968" t="str">
        <f t="shared" si="124"/>
        <v>EPwinkelC2a450Ehc;nd;EP</v>
      </c>
      <c r="AFX393" s="968" t="str">
        <f t="shared" si="124"/>
        <v>EPwoningC2a450Ehc;nd;EP</v>
      </c>
      <c r="AFY393" s="968" t="str">
        <f t="shared" si="124"/>
        <v>EPzorg met bedC2a450Ehc;nd;EP</v>
      </c>
      <c r="AFZ393" s="968" t="str">
        <f t="shared" si="124"/>
        <v>EPzorg overigC2a450Ehc;nd;EP</v>
      </c>
      <c r="AGA393" s="968" t="str">
        <f t="shared" si="124"/>
        <v>EPbijeenkomstC3b450Ehc;nd;EP</v>
      </c>
      <c r="AGB393" s="968" t="str">
        <f t="shared" si="124"/>
        <v>EPkantoorC3b450Ehc;nd;EP</v>
      </c>
      <c r="AGC393" s="968" t="str">
        <f t="shared" si="124"/>
        <v>EPkinderopvangC3b450Ehc;nd;EP</v>
      </c>
      <c r="AGD393" s="968" t="str">
        <f t="shared" si="124"/>
        <v>EPlogiesC3b450Ehc;nd;EP</v>
      </c>
      <c r="AGE393" s="968" t="str">
        <f t="shared" si="124"/>
        <v>EPonderwijsC3b450Ehc;nd;EP</v>
      </c>
      <c r="AGF393" s="968" t="str">
        <f t="shared" si="124"/>
        <v>EPsportC3b450Ehc;nd;EP</v>
      </c>
      <c r="AGG393" s="968" t="str">
        <f t="shared" si="124"/>
        <v>EPwinkelC3b450Ehc;nd;EP</v>
      </c>
      <c r="AGH393" s="968" t="str">
        <f t="shared" si="124"/>
        <v>EPwoningC3b450Ehc;nd;EP</v>
      </c>
      <c r="AGI393" s="968" t="str">
        <f t="shared" si="124"/>
        <v>EPzorg met bedC3b450Ehc;nd;EP</v>
      </c>
      <c r="AGJ393" s="968" t="str">
        <f t="shared" si="124"/>
        <v>EPzorg overigC3b450Ehc;nd;EP</v>
      </c>
      <c r="AGK393" s="968" t="str">
        <f t="shared" si="124"/>
        <v>EPbijeenkomstC4c450Ehc;nd;EP</v>
      </c>
      <c r="AGL393" s="968" t="str">
        <f t="shared" si="124"/>
        <v>EPkantoorC4c450Ehc;nd;EP</v>
      </c>
      <c r="AGM393" s="968" t="str">
        <f t="shared" si="124"/>
        <v>EPkinderopvangC4c450Ehc;nd;EP</v>
      </c>
      <c r="AGN393" s="968" t="str">
        <f t="shared" si="124"/>
        <v>EPlogiesC4c450Ehc;nd;EP</v>
      </c>
      <c r="AGO393" s="968" t="str">
        <f t="shared" si="124"/>
        <v>EPonderwijsC4c450Ehc;nd;EP</v>
      </c>
      <c r="AGP393" s="968" t="str">
        <f t="shared" si="124"/>
        <v>EPsportC4c450Ehc;nd;EP</v>
      </c>
      <c r="AGQ393" s="968" t="str">
        <f t="shared" si="124"/>
        <v>EPwinkelC4c450Ehc;nd;EP</v>
      </c>
      <c r="AGR393" s="968" t="str">
        <f t="shared" si="124"/>
        <v>EPwoningC4c450Ehc;nd;EP</v>
      </c>
      <c r="AGS393" s="968" t="str">
        <f t="shared" si="124"/>
        <v>EPzorg met bedC4c450Ehc;nd;EP</v>
      </c>
      <c r="AGT393" s="968" t="str">
        <f t="shared" si="124"/>
        <v>EPzorg overigC4c450Ehc;nd;EP</v>
      </c>
      <c r="AGU393" s="968" t="str">
        <f t="shared" si="124"/>
        <v>EPbijeenkomstD1450Ehc;nd;EP</v>
      </c>
      <c r="AGV393" s="968" t="str">
        <f t="shared" si="124"/>
        <v>EPkantoorD1450Ehc;nd;EP</v>
      </c>
      <c r="AGW393" s="968" t="str">
        <f t="shared" si="124"/>
        <v>EPkinderopvangD1450Ehc;nd;EP</v>
      </c>
      <c r="AGX393" s="968" t="str">
        <f t="shared" si="124"/>
        <v>EPlogiesD1450Ehc;nd;EP</v>
      </c>
      <c r="AGY393" s="968" t="str">
        <f t="shared" si="124"/>
        <v>EPonderwijsD1450Ehc;nd;EP</v>
      </c>
      <c r="AGZ393" s="968" t="str">
        <f t="shared" si="124"/>
        <v>EPsportD1450Ehc;nd;EP</v>
      </c>
      <c r="AHA393" s="968" t="str">
        <f t="shared" si="124"/>
        <v>EPwinkelD1450Ehc;nd;EP</v>
      </c>
      <c r="AHB393" s="968" t="str">
        <f t="shared" si="124"/>
        <v>EPwoningD1450Ehc;nd;EP</v>
      </c>
      <c r="AHC393" s="968" t="str">
        <f t="shared" si="124"/>
        <v>EPzorg met bedD1450Ehc;nd;EP</v>
      </c>
      <c r="AHD393" s="968" t="str">
        <f t="shared" si="124"/>
        <v>EPzorg overigD1450Ehc;nd;EP</v>
      </c>
      <c r="AHE393" s="968" t="str">
        <f t="shared" si="124"/>
        <v>EPbijeenkomstD4a450Ehc;nd;EP</v>
      </c>
      <c r="AHF393" s="968" t="str">
        <f t="shared" si="124"/>
        <v>EPkantoorD4a450Ehc;nd;EP</v>
      </c>
      <c r="AHG393" s="968" t="str">
        <f t="shared" si="124"/>
        <v>EPkinderopvangD4a450Ehc;nd;EP</v>
      </c>
      <c r="AHH393" s="968" t="str">
        <f t="shared" si="124"/>
        <v>EPlogiesD4a450Ehc;nd;EP</v>
      </c>
      <c r="AHI393" s="968" t="str">
        <f t="shared" si="124"/>
        <v>EPonderwijsD4a450Ehc;nd;EP</v>
      </c>
      <c r="AHJ393" s="968" t="str">
        <f t="shared" si="124"/>
        <v>EPsportD4a450Ehc;nd;EP</v>
      </c>
      <c r="AHK393" s="968" t="str">
        <f t="shared" si="124"/>
        <v>EPwinkelD4a450Ehc;nd;EP</v>
      </c>
      <c r="AHL393" s="968" t="str">
        <f t="shared" si="124"/>
        <v>EPwoningD4a450Ehc;nd;EP</v>
      </c>
      <c r="AHM393" s="968" t="str">
        <f t="shared" si="124"/>
        <v>EPzorg met bedD4a450Ehc;nd;EP</v>
      </c>
      <c r="AHN393" s="968" t="str">
        <f t="shared" si="124"/>
        <v>EPzorg overigD4a450Ehc;nd;EP</v>
      </c>
      <c r="AHO393" s="968" t="str">
        <f t="shared" si="124"/>
        <v>EPbijeenkomstD5a450Ehc;nd;EP</v>
      </c>
      <c r="AHP393" s="968" t="str">
        <f t="shared" si="124"/>
        <v>EPkantoorD5a450Ehc;nd;EP</v>
      </c>
      <c r="AHQ393" s="968" t="str">
        <f t="shared" si="124"/>
        <v>EPkinderopvangD5a450Ehc;nd;EP</v>
      </c>
      <c r="AHR393" s="968" t="str">
        <f t="shared" si="124"/>
        <v>EPlogiesD5a450Ehc;nd;EP</v>
      </c>
      <c r="AHS393" s="968" t="str">
        <f t="shared" si="124"/>
        <v>EPonderwijsD5a450Ehc;nd;EP</v>
      </c>
      <c r="AHT393" s="968" t="str">
        <f t="shared" si="124"/>
        <v>EPsportD5a450Ehc;nd;EP</v>
      </c>
      <c r="AHU393" s="968" t="str">
        <f t="shared" ref="AHU393:AKF393" si="125">AHU$389&amp;AHU$390&amp;AHU$392&amp;AHU$391&amp;AHU$394</f>
        <v>EPwinkelD5a450Ehc;nd;EP</v>
      </c>
      <c r="AHV393" s="968" t="str">
        <f t="shared" si="125"/>
        <v>EPwoningD5a450Ehc;nd;EP</v>
      </c>
      <c r="AHW393" s="968" t="str">
        <f t="shared" si="125"/>
        <v>EPzorg met bedD5a450Ehc;nd;EP</v>
      </c>
      <c r="AHX393" s="968" t="str">
        <f t="shared" si="125"/>
        <v>EPzorg overigD5a450Ehc;nd;EP</v>
      </c>
      <c r="AHY393" s="968" t="str">
        <f t="shared" si="125"/>
        <v>MWAbijeenkomstA1055Ehc;nd;EP</v>
      </c>
      <c r="AHZ393" s="968" t="str">
        <f t="shared" si="125"/>
        <v>MWAkantoorA1055Ehc;nd;EP</v>
      </c>
      <c r="AIA393" s="968" t="str">
        <f t="shared" si="125"/>
        <v>MWAkinderopvangA1055Ehc;nd;EP</v>
      </c>
      <c r="AIB393" s="968" t="str">
        <f t="shared" si="125"/>
        <v>MWAlogiesA1055Ehc;nd;EP</v>
      </c>
      <c r="AIC393" s="968" t="str">
        <f t="shared" si="125"/>
        <v>MWAonderwijsA1055Ehc;nd;EP</v>
      </c>
      <c r="AID393" s="968" t="str">
        <f t="shared" si="125"/>
        <v>MWAsportA1055Ehc;nd;EP</v>
      </c>
      <c r="AIE393" s="968" t="str">
        <f t="shared" si="125"/>
        <v>MWAwinkelA1055Ehc;nd;EP</v>
      </c>
      <c r="AIF393" s="968" t="str">
        <f t="shared" si="125"/>
        <v>MWAwoningA1055Ehc;nd;EP</v>
      </c>
      <c r="AIG393" s="968" t="str">
        <f t="shared" si="125"/>
        <v>MWAzorg met bedA1055Ehc;nd;EP</v>
      </c>
      <c r="AIH393" s="968" t="str">
        <f t="shared" si="125"/>
        <v>MWAzorg overigA1055Ehc;nd;EP</v>
      </c>
      <c r="AII393" s="968" t="str">
        <f t="shared" si="125"/>
        <v>MWAbijeenkomstA2b055Ehc;nd;EP</v>
      </c>
      <c r="AIJ393" s="968" t="str">
        <f t="shared" si="125"/>
        <v>MWAkantoorA2b055Ehc;nd;EP</v>
      </c>
      <c r="AIK393" s="968" t="str">
        <f t="shared" si="125"/>
        <v>MWAkinderopvangA2b055Ehc;nd;EP</v>
      </c>
      <c r="AIL393" s="968" t="str">
        <f t="shared" si="125"/>
        <v>MWAlogiesA2b055Ehc;nd;EP</v>
      </c>
      <c r="AIM393" s="968" t="str">
        <f t="shared" si="125"/>
        <v>MWAonderwijsA2b055Ehc;nd;EP</v>
      </c>
      <c r="AIN393" s="968" t="str">
        <f t="shared" si="125"/>
        <v>MWAsportA2b055Ehc;nd;EP</v>
      </c>
      <c r="AIO393" s="968" t="str">
        <f t="shared" si="125"/>
        <v>MWAwinkelA2b055Ehc;nd;EP</v>
      </c>
      <c r="AIP393" s="968" t="str">
        <f t="shared" si="125"/>
        <v>MWAwoningA2b055Ehc;nd;EP</v>
      </c>
      <c r="AIQ393" s="968" t="str">
        <f t="shared" si="125"/>
        <v>MWAzorg met bedA2b055Ehc;nd;EP</v>
      </c>
      <c r="AIR393" s="968" t="str">
        <f t="shared" si="125"/>
        <v>MWAzorg overigA2b055Ehc;nd;EP</v>
      </c>
      <c r="AIS393" s="968" t="str">
        <f t="shared" si="125"/>
        <v>MWAbijeenkomstC1055Ehc;nd;EP</v>
      </c>
      <c r="AIT393" s="968" t="str">
        <f t="shared" si="125"/>
        <v>MWAkantoorC1055Ehc;nd;EP</v>
      </c>
      <c r="AIU393" s="968" t="str">
        <f t="shared" si="125"/>
        <v>MWAkinderopvangC1055Ehc;nd;EP</v>
      </c>
      <c r="AIV393" s="968" t="str">
        <f t="shared" si="125"/>
        <v>MWAlogiesC1055Ehc;nd;EP</v>
      </c>
      <c r="AIW393" s="968" t="str">
        <f t="shared" si="125"/>
        <v>MWAonderwijsC1055Ehc;nd;EP</v>
      </c>
      <c r="AIX393" s="968" t="str">
        <f t="shared" si="125"/>
        <v>MWAsportC1055Ehc;nd;EP</v>
      </c>
      <c r="AIY393" s="968" t="str">
        <f t="shared" si="125"/>
        <v>MWAwinkelC1055Ehc;nd;EP</v>
      </c>
      <c r="AIZ393" s="968" t="str">
        <f t="shared" si="125"/>
        <v>MWAwoningC1055Ehc;nd;EP</v>
      </c>
      <c r="AJA393" s="968" t="str">
        <f t="shared" si="125"/>
        <v>MWAzorg met bedC1055Ehc;nd;EP</v>
      </c>
      <c r="AJB393" s="968" t="str">
        <f t="shared" si="125"/>
        <v>MWAzorg overigC1055Ehc;nd;EP</v>
      </c>
      <c r="AJC393" s="968" t="str">
        <f t="shared" si="125"/>
        <v>MWAbijeenkomstC2a055Ehc;nd;EP</v>
      </c>
      <c r="AJD393" s="968" t="str">
        <f t="shared" si="125"/>
        <v>MWAkantoorC2a055Ehc;nd;EP</v>
      </c>
      <c r="AJE393" s="968" t="str">
        <f t="shared" si="125"/>
        <v>MWAkinderopvangC2a055Ehc;nd;EP</v>
      </c>
      <c r="AJF393" s="968" t="str">
        <f t="shared" si="125"/>
        <v>MWAlogiesC2a055Ehc;nd;EP</v>
      </c>
      <c r="AJG393" s="968" t="str">
        <f t="shared" si="125"/>
        <v>MWAonderwijsC2a055Ehc;nd;EP</v>
      </c>
      <c r="AJH393" s="968" t="str">
        <f t="shared" si="125"/>
        <v>MWAsportC2a055Ehc;nd;EP</v>
      </c>
      <c r="AJI393" s="968" t="str">
        <f t="shared" si="125"/>
        <v>MWAwinkelC2a055Ehc;nd;EP</v>
      </c>
      <c r="AJJ393" s="968" t="str">
        <f t="shared" si="125"/>
        <v>MWAwoningC2a055Ehc;nd;EP</v>
      </c>
      <c r="AJK393" s="968" t="str">
        <f t="shared" si="125"/>
        <v>MWAzorg met bedC2a055Ehc;nd;EP</v>
      </c>
      <c r="AJL393" s="968" t="str">
        <f t="shared" si="125"/>
        <v>MWAzorg overigC2a055Ehc;nd;EP</v>
      </c>
      <c r="AJM393" s="968" t="str">
        <f t="shared" si="125"/>
        <v>MWAbijeenkomstC3b055Ehc;nd;EP</v>
      </c>
      <c r="AJN393" s="968" t="str">
        <f t="shared" si="125"/>
        <v>MWAkantoorC3b055Ehc;nd;EP</v>
      </c>
      <c r="AJO393" s="968" t="str">
        <f t="shared" si="125"/>
        <v>MWAkinderopvangC3b055Ehc;nd;EP</v>
      </c>
      <c r="AJP393" s="968" t="str">
        <f t="shared" si="125"/>
        <v>MWAlogiesC3b055Ehc;nd;EP</v>
      </c>
      <c r="AJQ393" s="968" t="str">
        <f t="shared" si="125"/>
        <v>MWAonderwijsC3b055Ehc;nd;EP</v>
      </c>
      <c r="AJR393" s="968" t="str">
        <f t="shared" si="125"/>
        <v>MWAsportC3b055Ehc;nd;EP</v>
      </c>
      <c r="AJS393" s="968" t="str">
        <f t="shared" si="125"/>
        <v>MWAwinkelC3b055Ehc;nd;EP</v>
      </c>
      <c r="AJT393" s="968" t="str">
        <f t="shared" si="125"/>
        <v>MWAwoningC3b055Ehc;nd;EP</v>
      </c>
      <c r="AJU393" s="968" t="str">
        <f t="shared" si="125"/>
        <v>MWAzorg met bedC3b055Ehc;nd;EP</v>
      </c>
      <c r="AJV393" s="968" t="str">
        <f t="shared" si="125"/>
        <v>MWAzorg overigC3b055Ehc;nd;EP</v>
      </c>
      <c r="AJW393" s="968" t="str">
        <f t="shared" si="125"/>
        <v>MWAbijeenkomstC4c055Ehc;nd;EP</v>
      </c>
      <c r="AJX393" s="968" t="str">
        <f t="shared" si="125"/>
        <v>MWAkantoorC4c055Ehc;nd;EP</v>
      </c>
      <c r="AJY393" s="968" t="str">
        <f t="shared" si="125"/>
        <v>MWAkinderopvangC4c055Ehc;nd;EP</v>
      </c>
      <c r="AJZ393" s="968" t="str">
        <f t="shared" si="125"/>
        <v>MWAlogiesC4c055Ehc;nd;EP</v>
      </c>
      <c r="AKA393" s="968" t="str">
        <f t="shared" si="125"/>
        <v>MWAonderwijsC4c055Ehc;nd;EP</v>
      </c>
      <c r="AKB393" s="968" t="str">
        <f t="shared" si="125"/>
        <v>MWAsportC4c055Ehc;nd;EP</v>
      </c>
      <c r="AKC393" s="968" t="str">
        <f t="shared" si="125"/>
        <v>MWAwinkelC4c055Ehc;nd;EP</v>
      </c>
      <c r="AKD393" s="968" t="str">
        <f t="shared" si="125"/>
        <v>MWAwoningC4c055Ehc;nd;EP</v>
      </c>
      <c r="AKE393" s="968" t="str">
        <f t="shared" si="125"/>
        <v>MWAzorg met bedC4c055Ehc;nd;EP</v>
      </c>
      <c r="AKF393" s="968" t="str">
        <f t="shared" si="125"/>
        <v>MWAzorg overigC4c055Ehc;nd;EP</v>
      </c>
      <c r="AKG393" s="968" t="str">
        <f t="shared" ref="AKG393:AMR393" si="126">AKG$389&amp;AKG$390&amp;AKG$392&amp;AKG$391&amp;AKG$394</f>
        <v>MWAbijeenkomstD1055Ehc;nd;EP</v>
      </c>
      <c r="AKH393" s="968" t="str">
        <f t="shared" si="126"/>
        <v>MWAkantoorD1055Ehc;nd;EP</v>
      </c>
      <c r="AKI393" s="968" t="str">
        <f t="shared" si="126"/>
        <v>MWAkinderopvangD1055Ehc;nd;EP</v>
      </c>
      <c r="AKJ393" s="968" t="str">
        <f t="shared" si="126"/>
        <v>MWAlogiesD1055Ehc;nd;EP</v>
      </c>
      <c r="AKK393" s="968" t="str">
        <f t="shared" si="126"/>
        <v>MWAonderwijsD1055Ehc;nd;EP</v>
      </c>
      <c r="AKL393" s="968" t="str">
        <f t="shared" si="126"/>
        <v>MWAsportD1055Ehc;nd;EP</v>
      </c>
      <c r="AKM393" s="968" t="str">
        <f t="shared" si="126"/>
        <v>MWAwinkelD1055Ehc;nd;EP</v>
      </c>
      <c r="AKN393" s="968" t="str">
        <f t="shared" si="126"/>
        <v>MWAwoningD1055Ehc;nd;EP</v>
      </c>
      <c r="AKO393" s="968" t="str">
        <f t="shared" si="126"/>
        <v>MWAzorg met bedD1055Ehc;nd;EP</v>
      </c>
      <c r="AKP393" s="968" t="str">
        <f t="shared" si="126"/>
        <v>MWAzorg overigD1055Ehc;nd;EP</v>
      </c>
      <c r="AKQ393" s="968" t="str">
        <f t="shared" si="126"/>
        <v>MWAbijeenkomstD4a055Ehc;nd;EP</v>
      </c>
      <c r="AKR393" s="968" t="str">
        <f t="shared" si="126"/>
        <v>MWAkantoorD4a055Ehc;nd;EP</v>
      </c>
      <c r="AKS393" s="968" t="str">
        <f t="shared" si="126"/>
        <v>MWAkinderopvangD4a055Ehc;nd;EP</v>
      </c>
      <c r="AKT393" s="968" t="str">
        <f t="shared" si="126"/>
        <v>MWAlogiesD4a055Ehc;nd;EP</v>
      </c>
      <c r="AKU393" s="968" t="str">
        <f t="shared" si="126"/>
        <v>MWAonderwijsD4a055Ehc;nd;EP</v>
      </c>
      <c r="AKV393" s="968" t="str">
        <f t="shared" si="126"/>
        <v>MWAsportD4a055Ehc;nd;EP</v>
      </c>
      <c r="AKW393" s="968" t="str">
        <f t="shared" si="126"/>
        <v>MWAwinkelD4a055Ehc;nd;EP</v>
      </c>
      <c r="AKX393" s="968" t="str">
        <f t="shared" si="126"/>
        <v>MWAwoningD4a055Ehc;nd;EP</v>
      </c>
      <c r="AKY393" s="968" t="str">
        <f t="shared" si="126"/>
        <v>MWAzorg met bedD4a055Ehc;nd;EP</v>
      </c>
      <c r="AKZ393" s="968" t="str">
        <f t="shared" si="126"/>
        <v>MWAzorg overigD4a055Ehc;nd;EP</v>
      </c>
      <c r="ALA393" s="968" t="str">
        <f t="shared" si="126"/>
        <v>MWAbijeenkomstD5a055Ehc;nd;EP</v>
      </c>
      <c r="ALB393" s="968" t="str">
        <f t="shared" si="126"/>
        <v>MWAkantoorD5a055Ehc;nd;EP</v>
      </c>
      <c r="ALC393" s="968" t="str">
        <f t="shared" si="126"/>
        <v>MWAkinderopvangD5a055Ehc;nd;EP</v>
      </c>
      <c r="ALD393" s="968" t="str">
        <f t="shared" si="126"/>
        <v>MWAlogiesD5a055Ehc;nd;EP</v>
      </c>
      <c r="ALE393" s="968" t="str">
        <f t="shared" si="126"/>
        <v>MWAonderwijsD5a055Ehc;nd;EP</v>
      </c>
      <c r="ALF393" s="968" t="str">
        <f t="shared" si="126"/>
        <v>MWAsportD5a055Ehc;nd;EP</v>
      </c>
      <c r="ALG393" s="968" t="str">
        <f t="shared" si="126"/>
        <v>MWAwinkelD5a055Ehc;nd;EP</v>
      </c>
      <c r="ALH393" s="968" t="str">
        <f t="shared" si="126"/>
        <v>MWAwoningD5a055Ehc;nd;EP</v>
      </c>
      <c r="ALI393" s="968" t="str">
        <f t="shared" si="126"/>
        <v>MWAzorg met bedD5a055Ehc;nd;EP</v>
      </c>
      <c r="ALJ393" s="968" t="str">
        <f t="shared" si="126"/>
        <v>MWAzorg overigD5a055Ehc;nd;EP</v>
      </c>
      <c r="ALK393" s="968" t="str">
        <f t="shared" si="126"/>
        <v>MWAbijeenkomstA1450Ehc;nd;EP</v>
      </c>
      <c r="ALL393" s="968" t="str">
        <f t="shared" si="126"/>
        <v>MWAkantoorA1450Ehc;nd;EP</v>
      </c>
      <c r="ALM393" s="968" t="str">
        <f t="shared" si="126"/>
        <v>MWAkinderopvangA1450Ehc;nd;EP</v>
      </c>
      <c r="ALN393" s="968" t="str">
        <f t="shared" si="126"/>
        <v>MWAlogiesA1450Ehc;nd;EP</v>
      </c>
      <c r="ALO393" s="968" t="str">
        <f t="shared" si="126"/>
        <v>MWAonderwijsA1450Ehc;nd;EP</v>
      </c>
      <c r="ALP393" s="968" t="str">
        <f t="shared" si="126"/>
        <v>MWAsportA1450Ehc;nd;EP</v>
      </c>
      <c r="ALQ393" s="968" t="str">
        <f t="shared" si="126"/>
        <v>MWAwinkelA1450Ehc;nd;EP</v>
      </c>
      <c r="ALR393" s="968" t="str">
        <f t="shared" si="126"/>
        <v>MWAwoningA1450Ehc;nd;EP</v>
      </c>
      <c r="ALS393" s="968" t="str">
        <f t="shared" si="126"/>
        <v>MWAzorg met bedA1450Ehc;nd;EP</v>
      </c>
      <c r="ALT393" s="968" t="str">
        <f t="shared" si="126"/>
        <v>MWAzorg overigA1450Ehc;nd;EP</v>
      </c>
      <c r="ALU393" s="968" t="str">
        <f t="shared" si="126"/>
        <v>MWAbijeenkomstA2b450Ehc;nd;EP</v>
      </c>
      <c r="ALV393" s="968" t="str">
        <f t="shared" si="126"/>
        <v>MWAkantoorA2b450Ehc;nd;EP</v>
      </c>
      <c r="ALW393" s="968" t="str">
        <f t="shared" si="126"/>
        <v>MWAkinderopvangA2b450Ehc;nd;EP</v>
      </c>
      <c r="ALX393" s="968" t="str">
        <f t="shared" si="126"/>
        <v>MWAlogiesA2b450Ehc;nd;EP</v>
      </c>
      <c r="ALY393" s="968" t="str">
        <f t="shared" si="126"/>
        <v>MWAonderwijsA2b450Ehc;nd;EP</v>
      </c>
      <c r="ALZ393" s="968" t="str">
        <f t="shared" si="126"/>
        <v>MWAsportA2b450Ehc;nd;EP</v>
      </c>
      <c r="AMA393" s="968" t="str">
        <f t="shared" si="126"/>
        <v>MWAwinkelA2b450Ehc;nd;EP</v>
      </c>
      <c r="AMB393" s="968" t="str">
        <f t="shared" si="126"/>
        <v>MWAwoningA2b450Ehc;nd;EP</v>
      </c>
      <c r="AMC393" s="968" t="str">
        <f t="shared" si="126"/>
        <v>MWAzorg met bedA2b450Ehc;nd;EP</v>
      </c>
      <c r="AMD393" s="968" t="str">
        <f t="shared" si="126"/>
        <v>MWAzorg overigA2b450Ehc;nd;EP</v>
      </c>
      <c r="AME393" s="968" t="str">
        <f t="shared" si="126"/>
        <v>MWAbijeenkomstC1450Ehc;nd;EP</v>
      </c>
      <c r="AMF393" s="968" t="str">
        <f t="shared" si="126"/>
        <v>MWAkantoorC1450Ehc;nd;EP</v>
      </c>
      <c r="AMG393" s="968" t="str">
        <f t="shared" si="126"/>
        <v>MWAkinderopvangC1450Ehc;nd;EP</v>
      </c>
      <c r="AMH393" s="968" t="str">
        <f t="shared" si="126"/>
        <v>MWAlogiesC1450Ehc;nd;EP</v>
      </c>
      <c r="AMI393" s="968" t="str">
        <f t="shared" si="126"/>
        <v>MWAonderwijsC1450Ehc;nd;EP</v>
      </c>
      <c r="AMJ393" s="968" t="str">
        <f t="shared" si="126"/>
        <v>MWAsportC1450Ehc;nd;EP</v>
      </c>
      <c r="AMK393" s="968" t="str">
        <f t="shared" si="126"/>
        <v>MWAwinkelC1450Ehc;nd;EP</v>
      </c>
      <c r="AML393" s="968" t="str">
        <f t="shared" si="126"/>
        <v>MWAwoningC1450Ehc;nd;EP</v>
      </c>
      <c r="AMM393" s="968" t="str">
        <f t="shared" si="126"/>
        <v>MWAzorg met bedC1450Ehc;nd;EP</v>
      </c>
      <c r="AMN393" s="968" t="str">
        <f t="shared" si="126"/>
        <v>MWAzorg overigC1450Ehc;nd;EP</v>
      </c>
      <c r="AMO393" s="968" t="str">
        <f t="shared" si="126"/>
        <v>MWAbijeenkomstC2a450Ehc;nd;EP</v>
      </c>
      <c r="AMP393" s="968" t="str">
        <f t="shared" si="126"/>
        <v>MWAkantoorC2a450Ehc;nd;EP</v>
      </c>
      <c r="AMQ393" s="968" t="str">
        <f t="shared" si="126"/>
        <v>MWAkinderopvangC2a450Ehc;nd;EP</v>
      </c>
      <c r="AMR393" s="968" t="str">
        <f t="shared" si="126"/>
        <v>MWAlogiesC2a450Ehc;nd;EP</v>
      </c>
      <c r="AMS393" s="968" t="str">
        <f t="shared" ref="AMS393:AOV393" si="127">AMS$389&amp;AMS$390&amp;AMS$392&amp;AMS$391&amp;AMS$394</f>
        <v>MWAonderwijsC2a450Ehc;nd;EP</v>
      </c>
      <c r="AMT393" s="968" t="str">
        <f t="shared" si="127"/>
        <v>MWAsportC2a450Ehc;nd;EP</v>
      </c>
      <c r="AMU393" s="968" t="str">
        <f t="shared" si="127"/>
        <v>MWAwinkelC2a450Ehc;nd;EP</v>
      </c>
      <c r="AMV393" s="968" t="str">
        <f t="shared" si="127"/>
        <v>MWAwoningC2a450Ehc;nd;EP</v>
      </c>
      <c r="AMW393" s="968" t="str">
        <f t="shared" si="127"/>
        <v>MWAzorg met bedC2a450Ehc;nd;EP</v>
      </c>
      <c r="AMX393" s="968" t="str">
        <f t="shared" si="127"/>
        <v>MWAzorg overigC2a450Ehc;nd;EP</v>
      </c>
      <c r="AMY393" s="968" t="str">
        <f t="shared" si="127"/>
        <v>MWAbijeenkomstC3b450Ehc;nd;EP</v>
      </c>
      <c r="AMZ393" s="968" t="str">
        <f t="shared" si="127"/>
        <v>MWAkantoorC3b450Ehc;nd;EP</v>
      </c>
      <c r="ANA393" s="968" t="str">
        <f t="shared" si="127"/>
        <v>MWAkinderopvangC3b450Ehc;nd;EP</v>
      </c>
      <c r="ANB393" s="968" t="str">
        <f t="shared" si="127"/>
        <v>MWAlogiesC3b450Ehc;nd;EP</v>
      </c>
      <c r="ANC393" s="968" t="str">
        <f t="shared" si="127"/>
        <v>MWAonderwijsC3b450Ehc;nd;EP</v>
      </c>
      <c r="AND393" s="968" t="str">
        <f t="shared" si="127"/>
        <v>MWAsportC3b450Ehc;nd;EP</v>
      </c>
      <c r="ANE393" s="968" t="str">
        <f t="shared" si="127"/>
        <v>MWAwinkelC3b450Ehc;nd;EP</v>
      </c>
      <c r="ANF393" s="968" t="str">
        <f t="shared" si="127"/>
        <v>MWAwoningC3b450Ehc;nd;EP</v>
      </c>
      <c r="ANG393" s="968" t="str">
        <f t="shared" si="127"/>
        <v>MWAzorg met bedC3b450Ehc;nd;EP</v>
      </c>
      <c r="ANH393" s="968" t="str">
        <f t="shared" si="127"/>
        <v>MWAzorg overigC3b450Ehc;nd;EP</v>
      </c>
      <c r="ANI393" s="968" t="str">
        <f t="shared" si="127"/>
        <v>MWAbijeenkomstC4c450Ehc;nd;EP</v>
      </c>
      <c r="ANJ393" s="968" t="str">
        <f t="shared" si="127"/>
        <v>MWAkantoorC4c450Ehc;nd;EP</v>
      </c>
      <c r="ANK393" s="968" t="str">
        <f t="shared" si="127"/>
        <v>MWAkinderopvangC4c450Ehc;nd;EP</v>
      </c>
      <c r="ANL393" s="968" t="str">
        <f t="shared" si="127"/>
        <v>MWAlogiesC4c450Ehc;nd;EP</v>
      </c>
      <c r="ANM393" s="968" t="str">
        <f t="shared" si="127"/>
        <v>MWAonderwijsC4c450Ehc;nd;EP</v>
      </c>
      <c r="ANN393" s="968" t="str">
        <f t="shared" si="127"/>
        <v>MWAsportC4c450Ehc;nd;EP</v>
      </c>
      <c r="ANO393" s="968" t="str">
        <f t="shared" si="127"/>
        <v>MWAwinkelC4c450Ehc;nd;EP</v>
      </c>
      <c r="ANP393" s="968" t="str">
        <f t="shared" si="127"/>
        <v>MWAwoningC4c450Ehc;nd;EP</v>
      </c>
      <c r="ANQ393" s="968" t="str">
        <f t="shared" si="127"/>
        <v>MWAzorg met bedC4c450Ehc;nd;EP</v>
      </c>
      <c r="ANR393" s="968" t="str">
        <f t="shared" si="127"/>
        <v>MWAzorg overigC4c450Ehc;nd;EP</v>
      </c>
      <c r="ANS393" s="968" t="str">
        <f t="shared" si="127"/>
        <v>MWAbijeenkomstD1450Ehc;nd;EP</v>
      </c>
      <c r="ANT393" s="968" t="str">
        <f t="shared" si="127"/>
        <v>MWAkantoorD1450Ehc;nd;EP</v>
      </c>
      <c r="ANU393" s="968" t="str">
        <f t="shared" si="127"/>
        <v>MWAkinderopvangD1450Ehc;nd;EP</v>
      </c>
      <c r="ANV393" s="968" t="str">
        <f t="shared" si="127"/>
        <v>MWAlogiesD1450Ehc;nd;EP</v>
      </c>
      <c r="ANW393" s="968" t="str">
        <f t="shared" si="127"/>
        <v>MWAonderwijsD1450Ehc;nd;EP</v>
      </c>
      <c r="ANX393" s="968" t="str">
        <f t="shared" si="127"/>
        <v>MWAsportD1450Ehc;nd;EP</v>
      </c>
      <c r="ANY393" s="968" t="str">
        <f t="shared" si="127"/>
        <v>MWAwinkelD1450Ehc;nd;EP</v>
      </c>
      <c r="ANZ393" s="968" t="str">
        <f t="shared" si="127"/>
        <v>MWAwoningD1450Ehc;nd;EP</v>
      </c>
      <c r="AOA393" s="968" t="str">
        <f t="shared" si="127"/>
        <v>MWAzorg met bedD1450Ehc;nd;EP</v>
      </c>
      <c r="AOB393" s="968" t="str">
        <f t="shared" si="127"/>
        <v>MWAzorg overigD1450Ehc;nd;EP</v>
      </c>
      <c r="AOC393" s="968" t="str">
        <f t="shared" si="127"/>
        <v>MWAbijeenkomstD4a450Ehc;nd;EP</v>
      </c>
      <c r="AOD393" s="968" t="str">
        <f t="shared" si="127"/>
        <v>MWAkantoorD4a450Ehc;nd;EP</v>
      </c>
      <c r="AOE393" s="968" t="str">
        <f t="shared" si="127"/>
        <v>MWAkinderopvangD4a450Ehc;nd;EP</v>
      </c>
      <c r="AOF393" s="968" t="str">
        <f t="shared" si="127"/>
        <v>MWAlogiesD4a450Ehc;nd;EP</v>
      </c>
      <c r="AOG393" s="968" t="str">
        <f t="shared" si="127"/>
        <v>MWAonderwijsD4a450Ehc;nd;EP</v>
      </c>
      <c r="AOH393" s="968" t="str">
        <f t="shared" si="127"/>
        <v>MWAsportD4a450Ehc;nd;EP</v>
      </c>
      <c r="AOI393" s="968" t="str">
        <f t="shared" si="127"/>
        <v>MWAwinkelD4a450Ehc;nd;EP</v>
      </c>
      <c r="AOJ393" s="968" t="str">
        <f t="shared" si="127"/>
        <v>MWAwoningD4a450Ehc;nd;EP</v>
      </c>
      <c r="AOK393" s="968" t="str">
        <f t="shared" si="127"/>
        <v>MWAzorg met bedD4a450Ehc;nd;EP</v>
      </c>
      <c r="AOL393" s="968" t="str">
        <f t="shared" si="127"/>
        <v>MWAzorg overigD4a450Ehc;nd;EP</v>
      </c>
      <c r="AOM393" s="968" t="str">
        <f t="shared" si="127"/>
        <v>MWAbijeenkomstD5a450Ehc;nd;EP</v>
      </c>
      <c r="AON393" s="968" t="str">
        <f t="shared" si="127"/>
        <v>MWAkantoorD5a450Ehc;nd;EP</v>
      </c>
      <c r="AOO393" s="968" t="str">
        <f t="shared" si="127"/>
        <v>MWAkinderopvangD5a450Ehc;nd;EP</v>
      </c>
      <c r="AOP393" s="968" t="str">
        <f t="shared" si="127"/>
        <v>MWAlogiesD5a450Ehc;nd;EP</v>
      </c>
      <c r="AOQ393" s="968" t="str">
        <f t="shared" si="127"/>
        <v>MWAonderwijsD5a450Ehc;nd;EP</v>
      </c>
      <c r="AOR393" s="968" t="str">
        <f t="shared" si="127"/>
        <v>MWAsportD5a450Ehc;nd;EP</v>
      </c>
      <c r="AOS393" s="968" t="str">
        <f t="shared" si="127"/>
        <v>MWAwinkelD5a450Ehc;nd;EP</v>
      </c>
      <c r="AOT393" s="968" t="str">
        <f t="shared" si="127"/>
        <v>MWAwoningD5a450Ehc;nd;EP</v>
      </c>
      <c r="AOU393" s="968" t="str">
        <f t="shared" si="127"/>
        <v>MWAzorg met bedD5a450Ehc;nd;EP</v>
      </c>
      <c r="AOV393" s="968" t="str">
        <f t="shared" si="127"/>
        <v>MWAzorg overigD5a450Ehc;nd;EP</v>
      </c>
      <c r="AOW393" s="886"/>
      <c r="AOY393" s="51"/>
      <c r="AOZ393" s="51"/>
      <c r="APA393" s="51"/>
      <c r="APB393" s="51"/>
      <c r="APC393" s="51"/>
      <c r="APD393" s="51"/>
      <c r="APE393" s="51"/>
      <c r="APF393" s="51"/>
      <c r="APG393" s="51"/>
      <c r="APH393" s="51"/>
      <c r="API393" s="51"/>
      <c r="APJ393" s="51"/>
    </row>
    <row r="394" spans="2:1102" hidden="1">
      <c r="B394" s="1000" t="s">
        <v>1053</v>
      </c>
      <c r="C394" s="1000"/>
      <c r="D394" s="836"/>
      <c r="E394" s="892" t="s">
        <v>1060</v>
      </c>
      <c r="F394" s="462"/>
      <c r="G394" s="462" t="s">
        <v>65</v>
      </c>
      <c r="H394" s="462"/>
      <c r="I394" s="875" t="s">
        <v>803</v>
      </c>
      <c r="J394" s="875" t="s">
        <v>803</v>
      </c>
      <c r="K394" s="875" t="s">
        <v>803</v>
      </c>
      <c r="L394" s="875" t="s">
        <v>803</v>
      </c>
      <c r="M394" s="875" t="s">
        <v>803</v>
      </c>
      <c r="N394" s="875" t="s">
        <v>803</v>
      </c>
      <c r="O394" s="875" t="s">
        <v>803</v>
      </c>
      <c r="P394" s="875" t="s">
        <v>803</v>
      </c>
      <c r="Q394" s="875" t="s">
        <v>803</v>
      </c>
      <c r="R394" s="875" t="s">
        <v>803</v>
      </c>
      <c r="S394" s="875" t="s">
        <v>803</v>
      </c>
      <c r="T394" s="875" t="s">
        <v>803</v>
      </c>
      <c r="U394" s="875" t="s">
        <v>803</v>
      </c>
      <c r="V394" s="875" t="s">
        <v>803</v>
      </c>
      <c r="W394" s="875" t="s">
        <v>803</v>
      </c>
      <c r="X394" s="875" t="s">
        <v>803</v>
      </c>
      <c r="Y394" s="875" t="s">
        <v>803</v>
      </c>
      <c r="Z394" s="875" t="s">
        <v>803</v>
      </c>
      <c r="AA394" s="875" t="s">
        <v>803</v>
      </c>
      <c r="AB394" s="875" t="s">
        <v>803</v>
      </c>
      <c r="AC394" s="875" t="s">
        <v>803</v>
      </c>
      <c r="AD394" s="875" t="s">
        <v>803</v>
      </c>
      <c r="AE394" s="875" t="s">
        <v>803</v>
      </c>
      <c r="AF394" s="875" t="s">
        <v>803</v>
      </c>
      <c r="AG394" s="875" t="s">
        <v>803</v>
      </c>
      <c r="AH394" s="875" t="s">
        <v>803</v>
      </c>
      <c r="AI394" s="875" t="s">
        <v>803</v>
      </c>
      <c r="AJ394" s="875" t="s">
        <v>803</v>
      </c>
      <c r="AK394" s="875" t="s">
        <v>803</v>
      </c>
      <c r="AL394" s="875" t="s">
        <v>803</v>
      </c>
      <c r="AM394" s="875" t="s">
        <v>803</v>
      </c>
      <c r="AN394" s="875" t="s">
        <v>803</v>
      </c>
      <c r="AO394" s="875" t="s">
        <v>803</v>
      </c>
      <c r="AP394" s="875" t="s">
        <v>803</v>
      </c>
      <c r="AQ394" s="875" t="s">
        <v>803</v>
      </c>
      <c r="AR394" s="875" t="s">
        <v>803</v>
      </c>
      <c r="AS394" s="875" t="s">
        <v>803</v>
      </c>
      <c r="AT394" s="875" t="s">
        <v>803</v>
      </c>
      <c r="AU394" s="875" t="s">
        <v>803</v>
      </c>
      <c r="AV394" s="875" t="s">
        <v>803</v>
      </c>
      <c r="AW394" s="875" t="s">
        <v>803</v>
      </c>
      <c r="AX394" s="875" t="s">
        <v>803</v>
      </c>
      <c r="AY394" s="875" t="s">
        <v>803</v>
      </c>
      <c r="AZ394" s="875" t="s">
        <v>803</v>
      </c>
      <c r="BA394" s="875" t="s">
        <v>803</v>
      </c>
      <c r="BB394" s="875" t="s">
        <v>803</v>
      </c>
      <c r="BC394" s="875" t="s">
        <v>803</v>
      </c>
      <c r="BD394" s="875" t="s">
        <v>803</v>
      </c>
      <c r="BE394" s="875" t="s">
        <v>803</v>
      </c>
      <c r="BF394" s="875" t="s">
        <v>803</v>
      </c>
      <c r="BG394" s="875" t="s">
        <v>803</v>
      </c>
      <c r="BH394" s="875" t="s">
        <v>803</v>
      </c>
      <c r="BI394" s="875" t="s">
        <v>803</v>
      </c>
      <c r="BJ394" s="875" t="s">
        <v>803</v>
      </c>
      <c r="BK394" s="875" t="s">
        <v>803</v>
      </c>
      <c r="BL394" s="875" t="s">
        <v>803</v>
      </c>
      <c r="BM394" s="875" t="s">
        <v>803</v>
      </c>
      <c r="BN394" s="875" t="s">
        <v>803</v>
      </c>
      <c r="BO394" s="875" t="s">
        <v>803</v>
      </c>
      <c r="BP394" s="875" t="s">
        <v>803</v>
      </c>
      <c r="BQ394" s="875" t="s">
        <v>803</v>
      </c>
      <c r="BR394" s="875" t="s">
        <v>803</v>
      </c>
      <c r="BS394" s="875" t="s">
        <v>803</v>
      </c>
      <c r="BT394" s="875" t="s">
        <v>803</v>
      </c>
      <c r="BU394" s="875" t="s">
        <v>803</v>
      </c>
      <c r="BV394" s="875" t="s">
        <v>803</v>
      </c>
      <c r="BW394" s="875" t="s">
        <v>803</v>
      </c>
      <c r="BX394" s="875" t="s">
        <v>803</v>
      </c>
      <c r="BY394" s="875" t="s">
        <v>803</v>
      </c>
      <c r="BZ394" s="875" t="s">
        <v>803</v>
      </c>
      <c r="CA394" s="875" t="s">
        <v>803</v>
      </c>
      <c r="CB394" s="875" t="s">
        <v>803</v>
      </c>
      <c r="CC394" s="875" t="s">
        <v>803</v>
      </c>
      <c r="CD394" s="875" t="s">
        <v>803</v>
      </c>
      <c r="CE394" s="875" t="s">
        <v>803</v>
      </c>
      <c r="CF394" s="875" t="s">
        <v>803</v>
      </c>
      <c r="CG394" s="875" t="s">
        <v>803</v>
      </c>
      <c r="CH394" s="875" t="s">
        <v>803</v>
      </c>
      <c r="CI394" s="875" t="s">
        <v>803</v>
      </c>
      <c r="CJ394" s="875" t="s">
        <v>803</v>
      </c>
      <c r="CK394" s="875" t="s">
        <v>803</v>
      </c>
      <c r="CL394" s="875" t="s">
        <v>803</v>
      </c>
      <c r="CM394" s="875" t="s">
        <v>803</v>
      </c>
      <c r="CN394" s="875" t="s">
        <v>803</v>
      </c>
      <c r="CO394" s="875" t="s">
        <v>803</v>
      </c>
      <c r="CP394" s="875" t="s">
        <v>803</v>
      </c>
      <c r="CQ394" s="875" t="s">
        <v>803</v>
      </c>
      <c r="CR394" s="875" t="s">
        <v>803</v>
      </c>
      <c r="CS394" s="875" t="s">
        <v>803</v>
      </c>
      <c r="CT394" s="875" t="s">
        <v>803</v>
      </c>
      <c r="CU394" s="875" t="s">
        <v>803</v>
      </c>
      <c r="CV394" s="875" t="s">
        <v>803</v>
      </c>
      <c r="CW394" s="875" t="s">
        <v>803</v>
      </c>
      <c r="CX394" s="875" t="s">
        <v>803</v>
      </c>
      <c r="CY394" s="875" t="s">
        <v>803</v>
      </c>
      <c r="CZ394" s="875" t="s">
        <v>803</v>
      </c>
      <c r="DA394" s="875" t="s">
        <v>803</v>
      </c>
      <c r="DB394" s="875" t="s">
        <v>803</v>
      </c>
      <c r="DC394" s="875" t="s">
        <v>803</v>
      </c>
      <c r="DD394" s="875" t="s">
        <v>803</v>
      </c>
      <c r="DE394" s="875" t="s">
        <v>803</v>
      </c>
      <c r="DF394" s="875" t="s">
        <v>803</v>
      </c>
      <c r="DG394" s="875" t="s">
        <v>803</v>
      </c>
      <c r="DH394" s="875" t="s">
        <v>803</v>
      </c>
      <c r="DI394" s="875" t="s">
        <v>803</v>
      </c>
      <c r="DJ394" s="875" t="s">
        <v>803</v>
      </c>
      <c r="DK394" s="875" t="s">
        <v>803</v>
      </c>
      <c r="DL394" s="875" t="s">
        <v>803</v>
      </c>
      <c r="DM394" s="875" t="s">
        <v>803</v>
      </c>
      <c r="DN394" s="875" t="s">
        <v>803</v>
      </c>
      <c r="DO394" s="875" t="s">
        <v>803</v>
      </c>
      <c r="DP394" s="875" t="s">
        <v>803</v>
      </c>
      <c r="DQ394" s="875" t="s">
        <v>803</v>
      </c>
      <c r="DR394" s="875" t="s">
        <v>803</v>
      </c>
      <c r="DS394" s="875" t="s">
        <v>803</v>
      </c>
      <c r="DT394" s="875" t="s">
        <v>803</v>
      </c>
      <c r="DU394" s="875" t="s">
        <v>803</v>
      </c>
      <c r="DV394" s="875" t="s">
        <v>803</v>
      </c>
      <c r="DW394" s="875" t="s">
        <v>803</v>
      </c>
      <c r="DX394" s="875" t="s">
        <v>803</v>
      </c>
      <c r="DY394" s="875" t="s">
        <v>803</v>
      </c>
      <c r="DZ394" s="875" t="s">
        <v>803</v>
      </c>
      <c r="EA394" s="875" t="s">
        <v>803</v>
      </c>
      <c r="EB394" s="875" t="s">
        <v>803</v>
      </c>
      <c r="EC394" s="875" t="s">
        <v>803</v>
      </c>
      <c r="ED394" s="875" t="s">
        <v>803</v>
      </c>
      <c r="EE394" s="875" t="s">
        <v>803</v>
      </c>
      <c r="EF394" s="875" t="s">
        <v>803</v>
      </c>
      <c r="EG394" s="875" t="s">
        <v>803</v>
      </c>
      <c r="EH394" s="875" t="s">
        <v>803</v>
      </c>
      <c r="EI394" s="875" t="s">
        <v>803</v>
      </c>
      <c r="EJ394" s="875" t="s">
        <v>803</v>
      </c>
      <c r="EK394" s="875" t="s">
        <v>803</v>
      </c>
      <c r="EL394" s="875" t="s">
        <v>803</v>
      </c>
      <c r="EM394" s="875" t="s">
        <v>803</v>
      </c>
      <c r="EN394" s="875" t="s">
        <v>803</v>
      </c>
      <c r="EO394" s="875" t="s">
        <v>803</v>
      </c>
      <c r="EP394" s="875" t="s">
        <v>803</v>
      </c>
      <c r="EQ394" s="875" t="s">
        <v>803</v>
      </c>
      <c r="ER394" s="875" t="s">
        <v>803</v>
      </c>
      <c r="ES394" s="875" t="s">
        <v>803</v>
      </c>
      <c r="ET394" s="875" t="s">
        <v>803</v>
      </c>
      <c r="EU394" s="875" t="s">
        <v>803</v>
      </c>
      <c r="EV394" s="875" t="s">
        <v>803</v>
      </c>
      <c r="EW394" s="875" t="s">
        <v>803</v>
      </c>
      <c r="EX394" s="875" t="s">
        <v>803</v>
      </c>
      <c r="EY394" s="875" t="s">
        <v>803</v>
      </c>
      <c r="EZ394" s="875" t="s">
        <v>803</v>
      </c>
      <c r="FA394" s="875" t="s">
        <v>803</v>
      </c>
      <c r="FB394" s="875" t="s">
        <v>803</v>
      </c>
      <c r="FC394" s="875" t="s">
        <v>803</v>
      </c>
      <c r="FD394" s="875" t="s">
        <v>803</v>
      </c>
      <c r="FE394" s="875" t="s">
        <v>803</v>
      </c>
      <c r="FF394" s="875" t="s">
        <v>803</v>
      </c>
      <c r="FG394" s="875" t="s">
        <v>803</v>
      </c>
      <c r="FH394" s="875" t="s">
        <v>803</v>
      </c>
      <c r="FI394" s="875" t="s">
        <v>803</v>
      </c>
      <c r="FJ394" s="875" t="s">
        <v>803</v>
      </c>
      <c r="FK394" s="875" t="s">
        <v>803</v>
      </c>
      <c r="FL394" s="875" t="s">
        <v>803</v>
      </c>
      <c r="FM394" s="875" t="s">
        <v>803</v>
      </c>
      <c r="FN394" s="875" t="s">
        <v>803</v>
      </c>
      <c r="FO394" s="875" t="s">
        <v>803</v>
      </c>
      <c r="FP394" s="875" t="s">
        <v>803</v>
      </c>
      <c r="FQ394" s="875" t="s">
        <v>803</v>
      </c>
      <c r="FR394" s="875" t="s">
        <v>803</v>
      </c>
      <c r="FS394" s="875" t="s">
        <v>803</v>
      </c>
      <c r="FT394" s="875" t="s">
        <v>803</v>
      </c>
      <c r="FU394" s="875" t="s">
        <v>803</v>
      </c>
      <c r="FV394" s="875" t="s">
        <v>803</v>
      </c>
      <c r="FW394" s="875" t="s">
        <v>803</v>
      </c>
      <c r="FX394" s="875" t="s">
        <v>803</v>
      </c>
      <c r="FY394" s="875" t="s">
        <v>803</v>
      </c>
      <c r="FZ394" s="875" t="s">
        <v>803</v>
      </c>
      <c r="GA394" s="875" t="s">
        <v>803</v>
      </c>
      <c r="GB394" s="875" t="s">
        <v>803</v>
      </c>
      <c r="GC394" s="875" t="s">
        <v>803</v>
      </c>
      <c r="GD394" s="875" t="s">
        <v>803</v>
      </c>
      <c r="GE394" s="875" t="s">
        <v>803</v>
      </c>
      <c r="GF394" s="875" t="s">
        <v>803</v>
      </c>
      <c r="GG394" s="875" t="s">
        <v>803</v>
      </c>
      <c r="GH394" s="875" t="s">
        <v>803</v>
      </c>
      <c r="GI394" s="875" t="s">
        <v>803</v>
      </c>
      <c r="GJ394" s="875" t="s">
        <v>803</v>
      </c>
      <c r="GK394" s="875" t="s">
        <v>803</v>
      </c>
      <c r="GL394" s="875" t="s">
        <v>803</v>
      </c>
      <c r="GM394" s="875" t="s">
        <v>803</v>
      </c>
      <c r="GN394" s="875" t="s">
        <v>803</v>
      </c>
      <c r="GO394" s="875" t="s">
        <v>803</v>
      </c>
      <c r="GP394" s="875" t="s">
        <v>803</v>
      </c>
      <c r="GQ394" s="875" t="s">
        <v>803</v>
      </c>
      <c r="GR394" s="875" t="s">
        <v>803</v>
      </c>
      <c r="GS394" s="875" t="s">
        <v>803</v>
      </c>
      <c r="GT394" s="875" t="s">
        <v>803</v>
      </c>
      <c r="GU394" s="875" t="s">
        <v>803</v>
      </c>
      <c r="GV394" s="875" t="s">
        <v>803</v>
      </c>
      <c r="GW394" s="875" t="s">
        <v>803</v>
      </c>
      <c r="GX394" s="875" t="s">
        <v>803</v>
      </c>
      <c r="GY394" s="875" t="s">
        <v>803</v>
      </c>
      <c r="GZ394" s="875" t="s">
        <v>803</v>
      </c>
      <c r="HA394" s="875" t="s">
        <v>803</v>
      </c>
      <c r="HB394" s="875" t="s">
        <v>803</v>
      </c>
      <c r="HC394" s="875" t="s">
        <v>803</v>
      </c>
      <c r="HD394" s="875" t="s">
        <v>803</v>
      </c>
      <c r="HE394" s="875" t="s">
        <v>803</v>
      </c>
      <c r="HF394" s="875" t="s">
        <v>803</v>
      </c>
      <c r="HG394" s="875" t="s">
        <v>803</v>
      </c>
      <c r="HH394" s="875" t="s">
        <v>803</v>
      </c>
      <c r="HI394" s="875" t="s">
        <v>803</v>
      </c>
      <c r="HJ394" s="875" t="s">
        <v>803</v>
      </c>
      <c r="HK394" s="875" t="s">
        <v>803</v>
      </c>
      <c r="HL394" s="875" t="s">
        <v>803</v>
      </c>
      <c r="HM394" s="875" t="s">
        <v>803</v>
      </c>
      <c r="HN394" s="875" t="s">
        <v>803</v>
      </c>
      <c r="HO394" s="875" t="s">
        <v>803</v>
      </c>
      <c r="HP394" s="875" t="s">
        <v>803</v>
      </c>
      <c r="HQ394" s="875" t="s">
        <v>803</v>
      </c>
      <c r="HR394" s="875" t="s">
        <v>803</v>
      </c>
      <c r="HS394" s="875" t="s">
        <v>803</v>
      </c>
      <c r="HT394" s="875" t="s">
        <v>803</v>
      </c>
      <c r="HU394" s="875" t="s">
        <v>803</v>
      </c>
      <c r="HV394" s="875" t="s">
        <v>803</v>
      </c>
      <c r="HW394" s="875" t="s">
        <v>803</v>
      </c>
      <c r="HX394" s="875" t="s">
        <v>803</v>
      </c>
      <c r="HY394" s="875" t="s">
        <v>803</v>
      </c>
      <c r="HZ394" s="875" t="s">
        <v>803</v>
      </c>
      <c r="IA394" s="875" t="s">
        <v>803</v>
      </c>
      <c r="IB394" s="875" t="s">
        <v>803</v>
      </c>
      <c r="IC394" s="875" t="s">
        <v>803</v>
      </c>
      <c r="ID394" s="875" t="s">
        <v>803</v>
      </c>
      <c r="IE394" s="875" t="s">
        <v>803</v>
      </c>
      <c r="IF394" s="875" t="s">
        <v>803</v>
      </c>
      <c r="IG394" s="875" t="s">
        <v>803</v>
      </c>
      <c r="IH394" s="875" t="s">
        <v>803</v>
      </c>
      <c r="II394" s="875" t="s">
        <v>803</v>
      </c>
      <c r="IJ394" s="875" t="s">
        <v>803</v>
      </c>
      <c r="IK394" s="875" t="s">
        <v>803</v>
      </c>
      <c r="IL394" s="875" t="s">
        <v>803</v>
      </c>
      <c r="IM394" s="875" t="s">
        <v>803</v>
      </c>
      <c r="IN394" s="875" t="s">
        <v>803</v>
      </c>
      <c r="IO394" s="875" t="s">
        <v>803</v>
      </c>
      <c r="IP394" s="875" t="s">
        <v>803</v>
      </c>
      <c r="IQ394" s="875" t="s">
        <v>803</v>
      </c>
      <c r="IR394" s="875" t="s">
        <v>803</v>
      </c>
      <c r="IS394" s="875" t="s">
        <v>803</v>
      </c>
      <c r="IT394" s="875" t="s">
        <v>803</v>
      </c>
      <c r="IU394" s="875" t="s">
        <v>803</v>
      </c>
      <c r="IV394" s="875" t="s">
        <v>803</v>
      </c>
      <c r="IW394" s="875" t="s">
        <v>803</v>
      </c>
      <c r="IX394" s="875" t="s">
        <v>803</v>
      </c>
      <c r="IY394" s="875" t="s">
        <v>803</v>
      </c>
      <c r="IZ394" s="875" t="s">
        <v>803</v>
      </c>
      <c r="JA394" s="875" t="s">
        <v>803</v>
      </c>
      <c r="JB394" s="875" t="s">
        <v>803</v>
      </c>
      <c r="JC394" s="875" t="s">
        <v>803</v>
      </c>
      <c r="JD394" s="875" t="s">
        <v>803</v>
      </c>
      <c r="JE394" s="875" t="s">
        <v>803</v>
      </c>
      <c r="JF394" s="875" t="s">
        <v>803</v>
      </c>
      <c r="JG394" s="875" t="s">
        <v>803</v>
      </c>
      <c r="JH394" s="875" t="s">
        <v>803</v>
      </c>
      <c r="JI394" s="875" t="s">
        <v>803</v>
      </c>
      <c r="JJ394" s="875" t="s">
        <v>803</v>
      </c>
      <c r="JK394" s="875" t="s">
        <v>803</v>
      </c>
      <c r="JL394" s="875" t="s">
        <v>803</v>
      </c>
      <c r="JM394" s="875" t="s">
        <v>803</v>
      </c>
      <c r="JN394" s="875" t="s">
        <v>803</v>
      </c>
      <c r="JO394" s="875" t="s">
        <v>803</v>
      </c>
      <c r="JP394" s="875" t="s">
        <v>803</v>
      </c>
      <c r="JQ394" s="875" t="s">
        <v>803</v>
      </c>
      <c r="JR394" s="875" t="s">
        <v>803</v>
      </c>
      <c r="JS394" s="875" t="s">
        <v>803</v>
      </c>
      <c r="JT394" s="875" t="s">
        <v>803</v>
      </c>
      <c r="JU394" s="875" t="s">
        <v>803</v>
      </c>
      <c r="JV394" s="875" t="s">
        <v>803</v>
      </c>
      <c r="JW394" s="875" t="s">
        <v>803</v>
      </c>
      <c r="JX394" s="875" t="s">
        <v>803</v>
      </c>
      <c r="JY394" s="875" t="s">
        <v>803</v>
      </c>
      <c r="JZ394" s="875" t="s">
        <v>803</v>
      </c>
      <c r="KA394" s="875" t="s">
        <v>803</v>
      </c>
      <c r="KB394" s="875" t="s">
        <v>803</v>
      </c>
      <c r="KC394" s="875" t="s">
        <v>803</v>
      </c>
      <c r="KD394" s="875" t="s">
        <v>803</v>
      </c>
      <c r="KE394" s="875" t="s">
        <v>803</v>
      </c>
      <c r="KF394" s="875" t="s">
        <v>803</v>
      </c>
      <c r="KG394" s="875" t="s">
        <v>803</v>
      </c>
      <c r="KH394" s="875" t="s">
        <v>803</v>
      </c>
      <c r="KI394" s="875" t="s">
        <v>803</v>
      </c>
      <c r="KJ394" s="875" t="s">
        <v>803</v>
      </c>
      <c r="KK394" s="875" t="s">
        <v>803</v>
      </c>
      <c r="KL394" s="875" t="s">
        <v>803</v>
      </c>
      <c r="KM394" s="875" t="s">
        <v>803</v>
      </c>
      <c r="KN394" s="875" t="s">
        <v>803</v>
      </c>
      <c r="KO394" s="875" t="s">
        <v>803</v>
      </c>
      <c r="KP394" s="875" t="s">
        <v>803</v>
      </c>
      <c r="KQ394" s="875" t="s">
        <v>803</v>
      </c>
      <c r="KR394" s="875" t="s">
        <v>803</v>
      </c>
      <c r="KS394" s="875" t="s">
        <v>803</v>
      </c>
      <c r="KT394" s="875" t="s">
        <v>803</v>
      </c>
      <c r="KU394" s="875" t="s">
        <v>803</v>
      </c>
      <c r="KV394" s="875" t="s">
        <v>803</v>
      </c>
      <c r="KW394" s="875" t="s">
        <v>803</v>
      </c>
      <c r="KX394" s="875" t="s">
        <v>803</v>
      </c>
      <c r="KY394" s="875" t="s">
        <v>803</v>
      </c>
      <c r="KZ394" s="875" t="s">
        <v>803</v>
      </c>
      <c r="LA394" s="875" t="s">
        <v>803</v>
      </c>
      <c r="LB394" s="875" t="s">
        <v>803</v>
      </c>
      <c r="LC394" s="875" t="s">
        <v>803</v>
      </c>
      <c r="LD394" s="875" t="s">
        <v>803</v>
      </c>
      <c r="LE394" s="875" t="s">
        <v>803</v>
      </c>
      <c r="LF394" s="875" t="s">
        <v>803</v>
      </c>
      <c r="LG394" s="875" t="s">
        <v>803</v>
      </c>
      <c r="LH394" s="875" t="s">
        <v>803</v>
      </c>
      <c r="LI394" s="875" t="s">
        <v>803</v>
      </c>
      <c r="LJ394" s="875" t="s">
        <v>803</v>
      </c>
      <c r="LK394" s="875" t="s">
        <v>803</v>
      </c>
      <c r="LL394" s="875" t="s">
        <v>803</v>
      </c>
      <c r="LM394" s="875" t="s">
        <v>803</v>
      </c>
      <c r="LN394" s="875" t="s">
        <v>803</v>
      </c>
      <c r="LO394" s="875" t="s">
        <v>803</v>
      </c>
      <c r="LP394" s="875" t="s">
        <v>803</v>
      </c>
      <c r="LQ394" s="875" t="s">
        <v>803</v>
      </c>
      <c r="LR394" s="875" t="s">
        <v>803</v>
      </c>
      <c r="LS394" s="875" t="s">
        <v>803</v>
      </c>
      <c r="LT394" s="875" t="s">
        <v>803</v>
      </c>
      <c r="LU394" s="875" t="s">
        <v>803</v>
      </c>
      <c r="LV394" s="875" t="s">
        <v>803</v>
      </c>
      <c r="LW394" s="875" t="s">
        <v>803</v>
      </c>
      <c r="LX394" s="875" t="s">
        <v>803</v>
      </c>
      <c r="LY394" s="875" t="s">
        <v>803</v>
      </c>
      <c r="LZ394" s="875" t="s">
        <v>803</v>
      </c>
      <c r="MA394" s="875" t="s">
        <v>803</v>
      </c>
      <c r="MB394" s="875" t="s">
        <v>803</v>
      </c>
      <c r="MC394" s="875" t="s">
        <v>803</v>
      </c>
      <c r="MD394" s="875" t="s">
        <v>803</v>
      </c>
      <c r="ME394" s="875" t="s">
        <v>803</v>
      </c>
      <c r="MF394" s="875" t="s">
        <v>803</v>
      </c>
      <c r="MG394" s="875" t="s">
        <v>803</v>
      </c>
      <c r="MH394" s="875" t="s">
        <v>803</v>
      </c>
      <c r="MI394" s="875" t="s">
        <v>803</v>
      </c>
      <c r="MJ394" s="875" t="s">
        <v>803</v>
      </c>
      <c r="MK394" s="875" t="s">
        <v>803</v>
      </c>
      <c r="ML394" s="875" t="s">
        <v>803</v>
      </c>
      <c r="MM394" s="875" t="s">
        <v>803</v>
      </c>
      <c r="MN394" s="875" t="s">
        <v>803</v>
      </c>
      <c r="MO394" s="875" t="s">
        <v>803</v>
      </c>
      <c r="MP394" s="875" t="s">
        <v>803</v>
      </c>
      <c r="MQ394" s="875" t="s">
        <v>803</v>
      </c>
      <c r="MR394" s="875" t="s">
        <v>803</v>
      </c>
      <c r="MS394" s="875" t="s">
        <v>803</v>
      </c>
      <c r="MT394" s="875" t="s">
        <v>803</v>
      </c>
      <c r="MU394" s="875" t="s">
        <v>803</v>
      </c>
      <c r="MV394" s="875" t="s">
        <v>803</v>
      </c>
      <c r="MW394" s="875" t="s">
        <v>803</v>
      </c>
      <c r="MX394" s="875" t="s">
        <v>803</v>
      </c>
      <c r="MY394" s="875" t="s">
        <v>803</v>
      </c>
      <c r="MZ394" s="875" t="s">
        <v>803</v>
      </c>
      <c r="NA394" s="875" t="s">
        <v>803</v>
      </c>
      <c r="NB394" s="875" t="s">
        <v>803</v>
      </c>
      <c r="NC394" s="875" t="s">
        <v>803</v>
      </c>
      <c r="ND394" s="875" t="s">
        <v>803</v>
      </c>
      <c r="NE394" s="875" t="s">
        <v>804</v>
      </c>
      <c r="NF394" s="875" t="s">
        <v>804</v>
      </c>
      <c r="NG394" s="875" t="s">
        <v>804</v>
      </c>
      <c r="NH394" s="875" t="s">
        <v>804</v>
      </c>
      <c r="NI394" s="875" t="s">
        <v>804</v>
      </c>
      <c r="NJ394" s="875" t="s">
        <v>804</v>
      </c>
      <c r="NK394" s="875" t="s">
        <v>804</v>
      </c>
      <c r="NL394" s="875" t="s">
        <v>804</v>
      </c>
      <c r="NM394" s="875" t="s">
        <v>804</v>
      </c>
      <c r="NN394" s="875" t="s">
        <v>804</v>
      </c>
      <c r="NO394" s="875" t="s">
        <v>804</v>
      </c>
      <c r="NP394" s="875" t="s">
        <v>804</v>
      </c>
      <c r="NQ394" s="875" t="s">
        <v>804</v>
      </c>
      <c r="NR394" s="875" t="s">
        <v>804</v>
      </c>
      <c r="NS394" s="875" t="s">
        <v>804</v>
      </c>
      <c r="NT394" s="875" t="s">
        <v>804</v>
      </c>
      <c r="NU394" s="875" t="s">
        <v>804</v>
      </c>
      <c r="NV394" s="875" t="s">
        <v>804</v>
      </c>
      <c r="NW394" s="875" t="s">
        <v>804</v>
      </c>
      <c r="NX394" s="875" t="s">
        <v>804</v>
      </c>
      <c r="NY394" s="875" t="s">
        <v>804</v>
      </c>
      <c r="NZ394" s="875" t="s">
        <v>804</v>
      </c>
      <c r="OA394" s="875" t="s">
        <v>804</v>
      </c>
      <c r="OB394" s="875" t="s">
        <v>804</v>
      </c>
      <c r="OC394" s="875" t="s">
        <v>804</v>
      </c>
      <c r="OD394" s="875" t="s">
        <v>804</v>
      </c>
      <c r="OE394" s="875" t="s">
        <v>804</v>
      </c>
      <c r="OF394" s="875" t="s">
        <v>804</v>
      </c>
      <c r="OG394" s="875" t="s">
        <v>804</v>
      </c>
      <c r="OH394" s="875" t="s">
        <v>804</v>
      </c>
      <c r="OI394" s="875" t="s">
        <v>804</v>
      </c>
      <c r="OJ394" s="875" t="s">
        <v>804</v>
      </c>
      <c r="OK394" s="875" t="s">
        <v>804</v>
      </c>
      <c r="OL394" s="875" t="s">
        <v>804</v>
      </c>
      <c r="OM394" s="875" t="s">
        <v>804</v>
      </c>
      <c r="ON394" s="875" t="s">
        <v>804</v>
      </c>
      <c r="OO394" s="875" t="s">
        <v>804</v>
      </c>
      <c r="OP394" s="875" t="s">
        <v>804</v>
      </c>
      <c r="OQ394" s="875" t="s">
        <v>804</v>
      </c>
      <c r="OR394" s="875" t="s">
        <v>804</v>
      </c>
      <c r="OS394" s="875" t="s">
        <v>804</v>
      </c>
      <c r="OT394" s="875" t="s">
        <v>804</v>
      </c>
      <c r="OU394" s="875" t="s">
        <v>804</v>
      </c>
      <c r="OV394" s="875" t="s">
        <v>804</v>
      </c>
      <c r="OW394" s="875" t="s">
        <v>804</v>
      </c>
      <c r="OX394" s="875" t="s">
        <v>804</v>
      </c>
      <c r="OY394" s="875" t="s">
        <v>804</v>
      </c>
      <c r="OZ394" s="875" t="s">
        <v>804</v>
      </c>
      <c r="PA394" s="875" t="s">
        <v>804</v>
      </c>
      <c r="PB394" s="875" t="s">
        <v>804</v>
      </c>
      <c r="PC394" s="875" t="s">
        <v>804</v>
      </c>
      <c r="PD394" s="875" t="s">
        <v>804</v>
      </c>
      <c r="PE394" s="875" t="s">
        <v>804</v>
      </c>
      <c r="PF394" s="875" t="s">
        <v>804</v>
      </c>
      <c r="PG394" s="875" t="s">
        <v>804</v>
      </c>
      <c r="PH394" s="875" t="s">
        <v>804</v>
      </c>
      <c r="PI394" s="875" t="s">
        <v>804</v>
      </c>
      <c r="PJ394" s="875" t="s">
        <v>804</v>
      </c>
      <c r="PK394" s="875" t="s">
        <v>804</v>
      </c>
      <c r="PL394" s="875" t="s">
        <v>804</v>
      </c>
      <c r="PM394" s="875" t="s">
        <v>804</v>
      </c>
      <c r="PN394" s="875" t="s">
        <v>804</v>
      </c>
      <c r="PO394" s="875" t="s">
        <v>804</v>
      </c>
      <c r="PP394" s="875" t="s">
        <v>804</v>
      </c>
      <c r="PQ394" s="875" t="s">
        <v>804</v>
      </c>
      <c r="PR394" s="875" t="s">
        <v>804</v>
      </c>
      <c r="PS394" s="875" t="s">
        <v>804</v>
      </c>
      <c r="PT394" s="875" t="s">
        <v>804</v>
      </c>
      <c r="PU394" s="875" t="s">
        <v>804</v>
      </c>
      <c r="PV394" s="875" t="s">
        <v>804</v>
      </c>
      <c r="PW394" s="875" t="s">
        <v>804</v>
      </c>
      <c r="PX394" s="875" t="s">
        <v>804</v>
      </c>
      <c r="PY394" s="875" t="s">
        <v>804</v>
      </c>
      <c r="PZ394" s="875" t="s">
        <v>804</v>
      </c>
      <c r="QA394" s="875" t="s">
        <v>804</v>
      </c>
      <c r="QB394" s="875" t="s">
        <v>804</v>
      </c>
      <c r="QC394" s="875" t="s">
        <v>804</v>
      </c>
      <c r="QD394" s="875" t="s">
        <v>804</v>
      </c>
      <c r="QE394" s="875" t="s">
        <v>804</v>
      </c>
      <c r="QF394" s="875" t="s">
        <v>804</v>
      </c>
      <c r="QG394" s="875" t="s">
        <v>804</v>
      </c>
      <c r="QH394" s="875" t="s">
        <v>804</v>
      </c>
      <c r="QI394" s="875" t="s">
        <v>804</v>
      </c>
      <c r="QJ394" s="875" t="s">
        <v>804</v>
      </c>
      <c r="QK394" s="875" t="s">
        <v>804</v>
      </c>
      <c r="QL394" s="875" t="s">
        <v>804</v>
      </c>
      <c r="QM394" s="875" t="s">
        <v>804</v>
      </c>
      <c r="QN394" s="875" t="s">
        <v>804</v>
      </c>
      <c r="QO394" s="875" t="s">
        <v>804</v>
      </c>
      <c r="QP394" s="875" t="s">
        <v>804</v>
      </c>
      <c r="QQ394" s="875" t="s">
        <v>804</v>
      </c>
      <c r="QR394" s="875" t="s">
        <v>804</v>
      </c>
      <c r="QS394" s="875" t="s">
        <v>804</v>
      </c>
      <c r="QT394" s="875" t="s">
        <v>804</v>
      </c>
      <c r="QU394" s="875" t="s">
        <v>804</v>
      </c>
      <c r="QV394" s="875" t="s">
        <v>804</v>
      </c>
      <c r="QW394" s="875" t="s">
        <v>804</v>
      </c>
      <c r="QX394" s="875" t="s">
        <v>804</v>
      </c>
      <c r="QY394" s="875" t="s">
        <v>804</v>
      </c>
      <c r="QZ394" s="875" t="s">
        <v>804</v>
      </c>
      <c r="RA394" s="875" t="s">
        <v>804</v>
      </c>
      <c r="RB394" s="875" t="s">
        <v>804</v>
      </c>
      <c r="RC394" s="875" t="s">
        <v>804</v>
      </c>
      <c r="RD394" s="875" t="s">
        <v>804</v>
      </c>
      <c r="RE394" s="875" t="s">
        <v>804</v>
      </c>
      <c r="RF394" s="875" t="s">
        <v>804</v>
      </c>
      <c r="RG394" s="875" t="s">
        <v>804</v>
      </c>
      <c r="RH394" s="875" t="s">
        <v>804</v>
      </c>
      <c r="RI394" s="875" t="s">
        <v>804</v>
      </c>
      <c r="RJ394" s="875" t="s">
        <v>804</v>
      </c>
      <c r="RK394" s="875" t="s">
        <v>804</v>
      </c>
      <c r="RL394" s="875" t="s">
        <v>804</v>
      </c>
      <c r="RM394" s="875" t="s">
        <v>804</v>
      </c>
      <c r="RN394" s="875" t="s">
        <v>804</v>
      </c>
      <c r="RO394" s="875" t="s">
        <v>804</v>
      </c>
      <c r="RP394" s="875" t="s">
        <v>804</v>
      </c>
      <c r="RQ394" s="875" t="s">
        <v>804</v>
      </c>
      <c r="RR394" s="875" t="s">
        <v>804</v>
      </c>
      <c r="RS394" s="875" t="s">
        <v>804</v>
      </c>
      <c r="RT394" s="875" t="s">
        <v>804</v>
      </c>
      <c r="RU394" s="875" t="s">
        <v>804</v>
      </c>
      <c r="RV394" s="875" t="s">
        <v>804</v>
      </c>
      <c r="RW394" s="875" t="s">
        <v>804</v>
      </c>
      <c r="RX394" s="875" t="s">
        <v>804</v>
      </c>
      <c r="RY394" s="875" t="s">
        <v>804</v>
      </c>
      <c r="RZ394" s="875" t="s">
        <v>804</v>
      </c>
      <c r="SA394" s="875" t="s">
        <v>804</v>
      </c>
      <c r="SB394" s="875" t="s">
        <v>804</v>
      </c>
      <c r="SC394" s="875" t="s">
        <v>804</v>
      </c>
      <c r="SD394" s="875" t="s">
        <v>804</v>
      </c>
      <c r="SE394" s="875" t="s">
        <v>804</v>
      </c>
      <c r="SF394" s="875" t="s">
        <v>804</v>
      </c>
      <c r="SG394" s="875" t="s">
        <v>804</v>
      </c>
      <c r="SH394" s="875" t="s">
        <v>804</v>
      </c>
      <c r="SI394" s="875" t="s">
        <v>804</v>
      </c>
      <c r="SJ394" s="875" t="s">
        <v>804</v>
      </c>
      <c r="SK394" s="875" t="s">
        <v>804</v>
      </c>
      <c r="SL394" s="875" t="s">
        <v>804</v>
      </c>
      <c r="SM394" s="875" t="s">
        <v>804</v>
      </c>
      <c r="SN394" s="875" t="s">
        <v>804</v>
      </c>
      <c r="SO394" s="875" t="s">
        <v>804</v>
      </c>
      <c r="SP394" s="875" t="s">
        <v>804</v>
      </c>
      <c r="SQ394" s="875" t="s">
        <v>804</v>
      </c>
      <c r="SR394" s="875" t="s">
        <v>804</v>
      </c>
      <c r="SS394" s="875" t="s">
        <v>804</v>
      </c>
      <c r="ST394" s="875" t="s">
        <v>804</v>
      </c>
      <c r="SU394" s="875" t="s">
        <v>804</v>
      </c>
      <c r="SV394" s="875" t="s">
        <v>804</v>
      </c>
      <c r="SW394" s="875" t="s">
        <v>804</v>
      </c>
      <c r="SX394" s="875" t="s">
        <v>804</v>
      </c>
      <c r="SY394" s="875" t="s">
        <v>804</v>
      </c>
      <c r="SZ394" s="875" t="s">
        <v>804</v>
      </c>
      <c r="TA394" s="875" t="s">
        <v>804</v>
      </c>
      <c r="TB394" s="875" t="s">
        <v>804</v>
      </c>
      <c r="TC394" s="875" t="s">
        <v>804</v>
      </c>
      <c r="TD394" s="875" t="s">
        <v>804</v>
      </c>
      <c r="TE394" s="875" t="s">
        <v>804</v>
      </c>
      <c r="TF394" s="875" t="s">
        <v>804</v>
      </c>
      <c r="TG394" s="875" t="s">
        <v>804</v>
      </c>
      <c r="TH394" s="875" t="s">
        <v>804</v>
      </c>
      <c r="TI394" s="875" t="s">
        <v>804</v>
      </c>
      <c r="TJ394" s="875" t="s">
        <v>804</v>
      </c>
      <c r="TK394" s="875" t="s">
        <v>804</v>
      </c>
      <c r="TL394" s="875" t="s">
        <v>804</v>
      </c>
      <c r="TM394" s="875" t="s">
        <v>804</v>
      </c>
      <c r="TN394" s="875" t="s">
        <v>804</v>
      </c>
      <c r="TO394" s="875" t="s">
        <v>804</v>
      </c>
      <c r="TP394" s="875" t="s">
        <v>804</v>
      </c>
      <c r="TQ394" s="875" t="s">
        <v>804</v>
      </c>
      <c r="TR394" s="875" t="s">
        <v>804</v>
      </c>
      <c r="TS394" s="875" t="s">
        <v>804</v>
      </c>
      <c r="TT394" s="875" t="s">
        <v>804</v>
      </c>
      <c r="TU394" s="875" t="s">
        <v>804</v>
      </c>
      <c r="TV394" s="875" t="s">
        <v>804</v>
      </c>
      <c r="TW394" s="875" t="s">
        <v>804</v>
      </c>
      <c r="TX394" s="875" t="s">
        <v>804</v>
      </c>
      <c r="TY394" s="875" t="s">
        <v>804</v>
      </c>
      <c r="TZ394" s="875" t="s">
        <v>804</v>
      </c>
      <c r="UA394" s="875" t="s">
        <v>804</v>
      </c>
      <c r="UB394" s="875" t="s">
        <v>804</v>
      </c>
      <c r="UC394" s="875" t="s">
        <v>804</v>
      </c>
      <c r="UD394" s="875" t="s">
        <v>804</v>
      </c>
      <c r="UE394" s="875" t="s">
        <v>804</v>
      </c>
      <c r="UF394" s="875" t="s">
        <v>804</v>
      </c>
      <c r="UG394" s="875" t="s">
        <v>804</v>
      </c>
      <c r="UH394" s="875" t="s">
        <v>804</v>
      </c>
      <c r="UI394" s="875" t="s">
        <v>804</v>
      </c>
      <c r="UJ394" s="875" t="s">
        <v>804</v>
      </c>
      <c r="UK394" s="875" t="s">
        <v>804</v>
      </c>
      <c r="UL394" s="875" t="s">
        <v>804</v>
      </c>
      <c r="UM394" s="875" t="s">
        <v>804</v>
      </c>
      <c r="UN394" s="875" t="s">
        <v>804</v>
      </c>
      <c r="UO394" s="875" t="s">
        <v>804</v>
      </c>
      <c r="UP394" s="875" t="s">
        <v>804</v>
      </c>
      <c r="UQ394" s="875" t="s">
        <v>804</v>
      </c>
      <c r="UR394" s="875" t="s">
        <v>804</v>
      </c>
      <c r="US394" s="875" t="s">
        <v>804</v>
      </c>
      <c r="UT394" s="875" t="s">
        <v>804</v>
      </c>
      <c r="UU394" s="875" t="s">
        <v>804</v>
      </c>
      <c r="UV394" s="875" t="s">
        <v>804</v>
      </c>
      <c r="UW394" s="875" t="s">
        <v>804</v>
      </c>
      <c r="UX394" s="875" t="s">
        <v>804</v>
      </c>
      <c r="UY394" s="875" t="s">
        <v>804</v>
      </c>
      <c r="UZ394" s="875" t="s">
        <v>804</v>
      </c>
      <c r="VA394" s="875" t="s">
        <v>804</v>
      </c>
      <c r="VB394" s="875" t="s">
        <v>804</v>
      </c>
      <c r="VC394" s="875" t="s">
        <v>804</v>
      </c>
      <c r="VD394" s="875" t="s">
        <v>804</v>
      </c>
      <c r="VE394" s="875" t="s">
        <v>804</v>
      </c>
      <c r="VF394" s="875" t="s">
        <v>804</v>
      </c>
      <c r="VG394" s="875" t="s">
        <v>804</v>
      </c>
      <c r="VH394" s="875" t="s">
        <v>804</v>
      </c>
      <c r="VI394" s="875" t="s">
        <v>804</v>
      </c>
      <c r="VJ394" s="875" t="s">
        <v>804</v>
      </c>
      <c r="VK394" s="875" t="s">
        <v>804</v>
      </c>
      <c r="VL394" s="875" t="s">
        <v>804</v>
      </c>
      <c r="VM394" s="875" t="s">
        <v>804</v>
      </c>
      <c r="VN394" s="875" t="s">
        <v>804</v>
      </c>
      <c r="VO394" s="875" t="s">
        <v>804</v>
      </c>
      <c r="VP394" s="875" t="s">
        <v>804</v>
      </c>
      <c r="VQ394" s="875" t="s">
        <v>804</v>
      </c>
      <c r="VR394" s="875" t="s">
        <v>804</v>
      </c>
      <c r="VS394" s="875" t="s">
        <v>804</v>
      </c>
      <c r="VT394" s="875" t="s">
        <v>804</v>
      </c>
      <c r="VU394" s="875" t="s">
        <v>804</v>
      </c>
      <c r="VV394" s="875" t="s">
        <v>804</v>
      </c>
      <c r="VW394" s="875" t="s">
        <v>804</v>
      </c>
      <c r="VX394" s="875" t="s">
        <v>804</v>
      </c>
      <c r="VY394" s="875" t="s">
        <v>804</v>
      </c>
      <c r="VZ394" s="875" t="s">
        <v>804</v>
      </c>
      <c r="WA394" s="875" t="s">
        <v>804</v>
      </c>
      <c r="WB394" s="875" t="s">
        <v>804</v>
      </c>
      <c r="WC394" s="875" t="s">
        <v>804</v>
      </c>
      <c r="WD394" s="875" t="s">
        <v>804</v>
      </c>
      <c r="WE394" s="875" t="s">
        <v>804</v>
      </c>
      <c r="WF394" s="875" t="s">
        <v>804</v>
      </c>
      <c r="WG394" s="875" t="s">
        <v>804</v>
      </c>
      <c r="WH394" s="875" t="s">
        <v>804</v>
      </c>
      <c r="WI394" s="875" t="s">
        <v>804</v>
      </c>
      <c r="WJ394" s="875" t="s">
        <v>804</v>
      </c>
      <c r="WK394" s="875" t="s">
        <v>804</v>
      </c>
      <c r="WL394" s="875" t="s">
        <v>804</v>
      </c>
      <c r="WM394" s="875" t="s">
        <v>804</v>
      </c>
      <c r="WN394" s="875" t="s">
        <v>804</v>
      </c>
      <c r="WO394" s="875" t="s">
        <v>804</v>
      </c>
      <c r="WP394" s="875" t="s">
        <v>804</v>
      </c>
      <c r="WQ394" s="875" t="s">
        <v>804</v>
      </c>
      <c r="WR394" s="875" t="s">
        <v>804</v>
      </c>
      <c r="WS394" s="875" t="s">
        <v>804</v>
      </c>
      <c r="WT394" s="875" t="s">
        <v>804</v>
      </c>
      <c r="WU394" s="875" t="s">
        <v>804</v>
      </c>
      <c r="WV394" s="875" t="s">
        <v>804</v>
      </c>
      <c r="WW394" s="875" t="s">
        <v>804</v>
      </c>
      <c r="WX394" s="875" t="s">
        <v>804</v>
      </c>
      <c r="WY394" s="875" t="s">
        <v>804</v>
      </c>
      <c r="WZ394" s="875" t="s">
        <v>804</v>
      </c>
      <c r="XA394" s="875" t="s">
        <v>804</v>
      </c>
      <c r="XB394" s="875" t="s">
        <v>804</v>
      </c>
      <c r="XC394" s="875" t="s">
        <v>804</v>
      </c>
      <c r="XD394" s="875" t="s">
        <v>804</v>
      </c>
      <c r="XE394" s="875" t="s">
        <v>804</v>
      </c>
      <c r="XF394" s="875" t="s">
        <v>804</v>
      </c>
      <c r="XG394" s="875" t="s">
        <v>804</v>
      </c>
      <c r="XH394" s="875" t="s">
        <v>804</v>
      </c>
      <c r="XI394" s="875" t="s">
        <v>804</v>
      </c>
      <c r="XJ394" s="875" t="s">
        <v>804</v>
      </c>
      <c r="XK394" s="875" t="s">
        <v>804</v>
      </c>
      <c r="XL394" s="875" t="s">
        <v>804</v>
      </c>
      <c r="XM394" s="875" t="s">
        <v>804</v>
      </c>
      <c r="XN394" s="875" t="s">
        <v>804</v>
      </c>
      <c r="XO394" s="875" t="s">
        <v>804</v>
      </c>
      <c r="XP394" s="875" t="s">
        <v>804</v>
      </c>
      <c r="XQ394" s="875" t="s">
        <v>804</v>
      </c>
      <c r="XR394" s="875" t="s">
        <v>804</v>
      </c>
      <c r="XS394" s="875" t="s">
        <v>804</v>
      </c>
      <c r="XT394" s="875" t="s">
        <v>804</v>
      </c>
      <c r="XU394" s="875" t="s">
        <v>804</v>
      </c>
      <c r="XV394" s="875" t="s">
        <v>804</v>
      </c>
      <c r="XW394" s="875" t="s">
        <v>804</v>
      </c>
      <c r="XX394" s="875" t="s">
        <v>804</v>
      </c>
      <c r="XY394" s="875" t="s">
        <v>804</v>
      </c>
      <c r="XZ394" s="875" t="s">
        <v>804</v>
      </c>
      <c r="YA394" s="875" t="s">
        <v>804</v>
      </c>
      <c r="YB394" s="875" t="s">
        <v>804</v>
      </c>
      <c r="YC394" s="875" t="s">
        <v>804</v>
      </c>
      <c r="YD394" s="875" t="s">
        <v>804</v>
      </c>
      <c r="YE394" s="875" t="s">
        <v>804</v>
      </c>
      <c r="YF394" s="875" t="s">
        <v>804</v>
      </c>
      <c r="YG394" s="875" t="s">
        <v>804</v>
      </c>
      <c r="YH394" s="875" t="s">
        <v>804</v>
      </c>
      <c r="YI394" s="875" t="s">
        <v>804</v>
      </c>
      <c r="YJ394" s="875" t="s">
        <v>804</v>
      </c>
      <c r="YK394" s="875" t="s">
        <v>804</v>
      </c>
      <c r="YL394" s="875" t="s">
        <v>804</v>
      </c>
      <c r="YM394" s="875" t="s">
        <v>804</v>
      </c>
      <c r="YN394" s="875" t="s">
        <v>804</v>
      </c>
      <c r="YO394" s="875" t="s">
        <v>804</v>
      </c>
      <c r="YP394" s="875" t="s">
        <v>804</v>
      </c>
      <c r="YQ394" s="875" t="s">
        <v>804</v>
      </c>
      <c r="YR394" s="875" t="s">
        <v>804</v>
      </c>
      <c r="YS394" s="875" t="s">
        <v>804</v>
      </c>
      <c r="YT394" s="875" t="s">
        <v>804</v>
      </c>
      <c r="YU394" s="875" t="s">
        <v>804</v>
      </c>
      <c r="YV394" s="875" t="s">
        <v>804</v>
      </c>
      <c r="YW394" s="875" t="s">
        <v>804</v>
      </c>
      <c r="YX394" s="875" t="s">
        <v>804</v>
      </c>
      <c r="YY394" s="875" t="s">
        <v>804</v>
      </c>
      <c r="YZ394" s="875" t="s">
        <v>804</v>
      </c>
      <c r="ZA394" s="875" t="s">
        <v>804</v>
      </c>
      <c r="ZB394" s="875" t="s">
        <v>804</v>
      </c>
      <c r="ZC394" s="875" t="s">
        <v>804</v>
      </c>
      <c r="ZD394" s="875" t="s">
        <v>804</v>
      </c>
      <c r="ZE394" s="875" t="s">
        <v>804</v>
      </c>
      <c r="ZF394" s="875" t="s">
        <v>804</v>
      </c>
      <c r="ZG394" s="875" t="s">
        <v>804</v>
      </c>
      <c r="ZH394" s="875" t="s">
        <v>804</v>
      </c>
      <c r="ZI394" s="875" t="s">
        <v>804</v>
      </c>
      <c r="ZJ394" s="875" t="s">
        <v>804</v>
      </c>
      <c r="ZK394" s="875" t="s">
        <v>804</v>
      </c>
      <c r="ZL394" s="875" t="s">
        <v>804</v>
      </c>
      <c r="ZM394" s="875" t="s">
        <v>804</v>
      </c>
      <c r="ZN394" s="875" t="s">
        <v>804</v>
      </c>
      <c r="ZO394" s="875" t="s">
        <v>804</v>
      </c>
      <c r="ZP394" s="875" t="s">
        <v>804</v>
      </c>
      <c r="ZQ394" s="875" t="s">
        <v>804</v>
      </c>
      <c r="ZR394" s="875" t="s">
        <v>804</v>
      </c>
      <c r="ZS394" s="875" t="s">
        <v>804</v>
      </c>
      <c r="ZT394" s="875" t="s">
        <v>804</v>
      </c>
      <c r="ZU394" s="875" t="s">
        <v>804</v>
      </c>
      <c r="ZV394" s="875" t="s">
        <v>804</v>
      </c>
      <c r="ZW394" s="875" t="s">
        <v>804</v>
      </c>
      <c r="ZX394" s="875" t="s">
        <v>804</v>
      </c>
      <c r="ZY394" s="875" t="s">
        <v>804</v>
      </c>
      <c r="ZZ394" s="875" t="s">
        <v>804</v>
      </c>
      <c r="AAA394" s="875" t="s">
        <v>804</v>
      </c>
      <c r="AAB394" s="875" t="s">
        <v>804</v>
      </c>
      <c r="AAC394" s="875" t="s">
        <v>804</v>
      </c>
      <c r="AAD394" s="875" t="s">
        <v>804</v>
      </c>
      <c r="AAE394" s="875" t="s">
        <v>804</v>
      </c>
      <c r="AAF394" s="875" t="s">
        <v>804</v>
      </c>
      <c r="AAG394" s="875" t="s">
        <v>804</v>
      </c>
      <c r="AAH394" s="875" t="s">
        <v>804</v>
      </c>
      <c r="AAI394" s="875" t="s">
        <v>804</v>
      </c>
      <c r="AAJ394" s="875" t="s">
        <v>804</v>
      </c>
      <c r="AAK394" s="875" t="s">
        <v>804</v>
      </c>
      <c r="AAL394" s="875" t="s">
        <v>804</v>
      </c>
      <c r="AAM394" s="875" t="s">
        <v>804</v>
      </c>
      <c r="AAN394" s="875" t="s">
        <v>804</v>
      </c>
      <c r="AAO394" s="875" t="s">
        <v>804</v>
      </c>
      <c r="AAP394" s="875" t="s">
        <v>804</v>
      </c>
      <c r="AAQ394" s="875" t="s">
        <v>804</v>
      </c>
      <c r="AAR394" s="875" t="s">
        <v>804</v>
      </c>
      <c r="AAS394" s="875" t="s">
        <v>804</v>
      </c>
      <c r="AAT394" s="875" t="s">
        <v>804</v>
      </c>
      <c r="AAU394" s="875" t="s">
        <v>804</v>
      </c>
      <c r="AAV394" s="875" t="s">
        <v>804</v>
      </c>
      <c r="AAW394" s="875" t="s">
        <v>804</v>
      </c>
      <c r="AAX394" s="875" t="s">
        <v>804</v>
      </c>
      <c r="AAY394" s="875" t="s">
        <v>804</v>
      </c>
      <c r="AAZ394" s="875" t="s">
        <v>804</v>
      </c>
      <c r="ABA394" s="875" t="s">
        <v>1186</v>
      </c>
      <c r="ABB394" s="875" t="s">
        <v>1186</v>
      </c>
      <c r="ABC394" s="875" t="s">
        <v>1186</v>
      </c>
      <c r="ABD394" s="875" t="s">
        <v>1186</v>
      </c>
      <c r="ABE394" s="875" t="s">
        <v>1186</v>
      </c>
      <c r="ABF394" s="875" t="s">
        <v>1186</v>
      </c>
      <c r="ABG394" s="875" t="s">
        <v>1186</v>
      </c>
      <c r="ABH394" s="875" t="s">
        <v>1186</v>
      </c>
      <c r="ABI394" s="875" t="s">
        <v>1186</v>
      </c>
      <c r="ABJ394" s="875" t="s">
        <v>1186</v>
      </c>
      <c r="ABK394" s="875" t="s">
        <v>1186</v>
      </c>
      <c r="ABL394" s="875" t="s">
        <v>1186</v>
      </c>
      <c r="ABM394" s="875" t="s">
        <v>1186</v>
      </c>
      <c r="ABN394" s="875" t="s">
        <v>1186</v>
      </c>
      <c r="ABO394" s="875" t="s">
        <v>1186</v>
      </c>
      <c r="ABP394" s="875" t="s">
        <v>1186</v>
      </c>
      <c r="ABQ394" s="875" t="s">
        <v>1186</v>
      </c>
      <c r="ABR394" s="875" t="s">
        <v>1186</v>
      </c>
      <c r="ABS394" s="875" t="s">
        <v>1186</v>
      </c>
      <c r="ABT394" s="875" t="s">
        <v>1186</v>
      </c>
      <c r="ABU394" s="875" t="s">
        <v>1186</v>
      </c>
      <c r="ABV394" s="875" t="s">
        <v>1186</v>
      </c>
      <c r="ABW394" s="875" t="s">
        <v>1186</v>
      </c>
      <c r="ABX394" s="875" t="s">
        <v>1186</v>
      </c>
      <c r="ABY394" s="875" t="s">
        <v>1186</v>
      </c>
      <c r="ABZ394" s="875" t="s">
        <v>1186</v>
      </c>
      <c r="ACA394" s="875" t="s">
        <v>1186</v>
      </c>
      <c r="ACB394" s="875" t="s">
        <v>1186</v>
      </c>
      <c r="ACC394" s="875" t="s">
        <v>1186</v>
      </c>
      <c r="ACD394" s="875" t="s">
        <v>1186</v>
      </c>
      <c r="ACE394" s="875" t="s">
        <v>1186</v>
      </c>
      <c r="ACF394" s="875" t="s">
        <v>1186</v>
      </c>
      <c r="ACG394" s="875" t="s">
        <v>1186</v>
      </c>
      <c r="ACH394" s="875" t="s">
        <v>1186</v>
      </c>
      <c r="ACI394" s="875" t="s">
        <v>1186</v>
      </c>
      <c r="ACJ394" s="875" t="s">
        <v>1186</v>
      </c>
      <c r="ACK394" s="875" t="s">
        <v>1186</v>
      </c>
      <c r="ACL394" s="875" t="s">
        <v>1186</v>
      </c>
      <c r="ACM394" s="875" t="s">
        <v>1186</v>
      </c>
      <c r="ACN394" s="875" t="s">
        <v>1186</v>
      </c>
      <c r="ACO394" s="875" t="s">
        <v>1186</v>
      </c>
      <c r="ACP394" s="875" t="s">
        <v>1186</v>
      </c>
      <c r="ACQ394" s="875" t="s">
        <v>1186</v>
      </c>
      <c r="ACR394" s="875" t="s">
        <v>1186</v>
      </c>
      <c r="ACS394" s="875" t="s">
        <v>1186</v>
      </c>
      <c r="ACT394" s="875" t="s">
        <v>1186</v>
      </c>
      <c r="ACU394" s="875" t="s">
        <v>1186</v>
      </c>
      <c r="ACV394" s="875" t="s">
        <v>1186</v>
      </c>
      <c r="ACW394" s="875" t="s">
        <v>1186</v>
      </c>
      <c r="ACX394" s="875" t="s">
        <v>1186</v>
      </c>
      <c r="ACY394" s="875" t="s">
        <v>1186</v>
      </c>
      <c r="ACZ394" s="875" t="s">
        <v>1186</v>
      </c>
      <c r="ADA394" s="875" t="s">
        <v>1186</v>
      </c>
      <c r="ADB394" s="875" t="s">
        <v>1186</v>
      </c>
      <c r="ADC394" s="875" t="s">
        <v>1186</v>
      </c>
      <c r="ADD394" s="875" t="s">
        <v>1186</v>
      </c>
      <c r="ADE394" s="875" t="s">
        <v>1186</v>
      </c>
      <c r="ADF394" s="875" t="s">
        <v>1186</v>
      </c>
      <c r="ADG394" s="875" t="s">
        <v>1186</v>
      </c>
      <c r="ADH394" s="875" t="s">
        <v>1186</v>
      </c>
      <c r="ADI394" s="875" t="s">
        <v>1186</v>
      </c>
      <c r="ADJ394" s="875" t="s">
        <v>1186</v>
      </c>
      <c r="ADK394" s="875" t="s">
        <v>1186</v>
      </c>
      <c r="ADL394" s="875" t="s">
        <v>1186</v>
      </c>
      <c r="ADM394" s="875" t="s">
        <v>1186</v>
      </c>
      <c r="ADN394" s="875" t="s">
        <v>1186</v>
      </c>
      <c r="ADO394" s="875" t="s">
        <v>1186</v>
      </c>
      <c r="ADP394" s="875" t="s">
        <v>1186</v>
      </c>
      <c r="ADQ394" s="875" t="s">
        <v>1186</v>
      </c>
      <c r="ADR394" s="875" t="s">
        <v>1186</v>
      </c>
      <c r="ADS394" s="875" t="s">
        <v>1186</v>
      </c>
      <c r="ADT394" s="875" t="s">
        <v>1186</v>
      </c>
      <c r="ADU394" s="875" t="s">
        <v>1186</v>
      </c>
      <c r="ADV394" s="875" t="s">
        <v>1186</v>
      </c>
      <c r="ADW394" s="875" t="s">
        <v>1186</v>
      </c>
      <c r="ADX394" s="875" t="s">
        <v>1186</v>
      </c>
      <c r="ADY394" s="875" t="s">
        <v>1186</v>
      </c>
      <c r="ADZ394" s="875" t="s">
        <v>1186</v>
      </c>
      <c r="AEA394" s="875" t="s">
        <v>1186</v>
      </c>
      <c r="AEB394" s="875" t="s">
        <v>1186</v>
      </c>
      <c r="AEC394" s="875" t="s">
        <v>1186</v>
      </c>
      <c r="AED394" s="875" t="s">
        <v>1186</v>
      </c>
      <c r="AEE394" s="875" t="s">
        <v>1186</v>
      </c>
      <c r="AEF394" s="875" t="s">
        <v>1186</v>
      </c>
      <c r="AEG394" s="875" t="s">
        <v>1186</v>
      </c>
      <c r="AEH394" s="875" t="s">
        <v>1186</v>
      </c>
      <c r="AEI394" s="875" t="s">
        <v>1186</v>
      </c>
      <c r="AEJ394" s="875" t="s">
        <v>1186</v>
      </c>
      <c r="AEK394" s="875" t="s">
        <v>1186</v>
      </c>
      <c r="AEL394" s="875" t="s">
        <v>1186</v>
      </c>
      <c r="AEM394" s="875" t="s">
        <v>1186</v>
      </c>
      <c r="AEN394" s="875" t="s">
        <v>1186</v>
      </c>
      <c r="AEO394" s="875" t="s">
        <v>1186</v>
      </c>
      <c r="AEP394" s="875" t="s">
        <v>1186</v>
      </c>
      <c r="AEQ394" s="875" t="s">
        <v>1186</v>
      </c>
      <c r="AER394" s="875" t="s">
        <v>1186</v>
      </c>
      <c r="AES394" s="875" t="s">
        <v>1186</v>
      </c>
      <c r="AET394" s="875" t="s">
        <v>1186</v>
      </c>
      <c r="AEU394" s="875" t="s">
        <v>1186</v>
      </c>
      <c r="AEV394" s="875" t="s">
        <v>1186</v>
      </c>
      <c r="AEW394" s="875" t="s">
        <v>1186</v>
      </c>
      <c r="AEX394" s="875" t="s">
        <v>1186</v>
      </c>
      <c r="AEY394" s="875" t="s">
        <v>1186</v>
      </c>
      <c r="AEZ394" s="875" t="s">
        <v>1186</v>
      </c>
      <c r="AFA394" s="875" t="s">
        <v>1186</v>
      </c>
      <c r="AFB394" s="875" t="s">
        <v>1186</v>
      </c>
      <c r="AFC394" s="875" t="s">
        <v>1186</v>
      </c>
      <c r="AFD394" s="875" t="s">
        <v>1186</v>
      </c>
      <c r="AFE394" s="875" t="s">
        <v>1186</v>
      </c>
      <c r="AFF394" s="875" t="s">
        <v>1186</v>
      </c>
      <c r="AFG394" s="875" t="s">
        <v>1186</v>
      </c>
      <c r="AFH394" s="875" t="s">
        <v>1186</v>
      </c>
      <c r="AFI394" s="875" t="s">
        <v>1186</v>
      </c>
      <c r="AFJ394" s="875" t="s">
        <v>1186</v>
      </c>
      <c r="AFK394" s="875" t="s">
        <v>1186</v>
      </c>
      <c r="AFL394" s="875" t="s">
        <v>1186</v>
      </c>
      <c r="AFM394" s="875" t="s">
        <v>1186</v>
      </c>
      <c r="AFN394" s="875" t="s">
        <v>1186</v>
      </c>
      <c r="AFO394" s="875" t="s">
        <v>1186</v>
      </c>
      <c r="AFP394" s="875" t="s">
        <v>1186</v>
      </c>
      <c r="AFQ394" s="875" t="s">
        <v>1186</v>
      </c>
      <c r="AFR394" s="875" t="s">
        <v>1186</v>
      </c>
      <c r="AFS394" s="875" t="s">
        <v>1186</v>
      </c>
      <c r="AFT394" s="875" t="s">
        <v>1186</v>
      </c>
      <c r="AFU394" s="875" t="s">
        <v>1186</v>
      </c>
      <c r="AFV394" s="875" t="s">
        <v>1186</v>
      </c>
      <c r="AFW394" s="875" t="s">
        <v>1186</v>
      </c>
      <c r="AFX394" s="875" t="s">
        <v>1186</v>
      </c>
      <c r="AFY394" s="875" t="s">
        <v>1186</v>
      </c>
      <c r="AFZ394" s="875" t="s">
        <v>1186</v>
      </c>
      <c r="AGA394" s="875" t="s">
        <v>1186</v>
      </c>
      <c r="AGB394" s="875" t="s">
        <v>1186</v>
      </c>
      <c r="AGC394" s="875" t="s">
        <v>1186</v>
      </c>
      <c r="AGD394" s="875" t="s">
        <v>1186</v>
      </c>
      <c r="AGE394" s="875" t="s">
        <v>1186</v>
      </c>
      <c r="AGF394" s="875" t="s">
        <v>1186</v>
      </c>
      <c r="AGG394" s="875" t="s">
        <v>1186</v>
      </c>
      <c r="AGH394" s="875" t="s">
        <v>1186</v>
      </c>
      <c r="AGI394" s="875" t="s">
        <v>1186</v>
      </c>
      <c r="AGJ394" s="875" t="s">
        <v>1186</v>
      </c>
      <c r="AGK394" s="875" t="s">
        <v>1186</v>
      </c>
      <c r="AGL394" s="875" t="s">
        <v>1186</v>
      </c>
      <c r="AGM394" s="875" t="s">
        <v>1186</v>
      </c>
      <c r="AGN394" s="875" t="s">
        <v>1186</v>
      </c>
      <c r="AGO394" s="875" t="s">
        <v>1186</v>
      </c>
      <c r="AGP394" s="875" t="s">
        <v>1186</v>
      </c>
      <c r="AGQ394" s="875" t="s">
        <v>1186</v>
      </c>
      <c r="AGR394" s="875" t="s">
        <v>1186</v>
      </c>
      <c r="AGS394" s="875" t="s">
        <v>1186</v>
      </c>
      <c r="AGT394" s="875" t="s">
        <v>1186</v>
      </c>
      <c r="AGU394" s="875" t="s">
        <v>1186</v>
      </c>
      <c r="AGV394" s="875" t="s">
        <v>1186</v>
      </c>
      <c r="AGW394" s="875" t="s">
        <v>1186</v>
      </c>
      <c r="AGX394" s="875" t="s">
        <v>1186</v>
      </c>
      <c r="AGY394" s="875" t="s">
        <v>1186</v>
      </c>
      <c r="AGZ394" s="875" t="s">
        <v>1186</v>
      </c>
      <c r="AHA394" s="875" t="s">
        <v>1186</v>
      </c>
      <c r="AHB394" s="875" t="s">
        <v>1186</v>
      </c>
      <c r="AHC394" s="875" t="s">
        <v>1186</v>
      </c>
      <c r="AHD394" s="875" t="s">
        <v>1186</v>
      </c>
      <c r="AHE394" s="875" t="s">
        <v>1186</v>
      </c>
      <c r="AHF394" s="875" t="s">
        <v>1186</v>
      </c>
      <c r="AHG394" s="875" t="s">
        <v>1186</v>
      </c>
      <c r="AHH394" s="875" t="s">
        <v>1186</v>
      </c>
      <c r="AHI394" s="875" t="s">
        <v>1186</v>
      </c>
      <c r="AHJ394" s="875" t="s">
        <v>1186</v>
      </c>
      <c r="AHK394" s="875" t="s">
        <v>1186</v>
      </c>
      <c r="AHL394" s="875" t="s">
        <v>1186</v>
      </c>
      <c r="AHM394" s="875" t="s">
        <v>1186</v>
      </c>
      <c r="AHN394" s="875" t="s">
        <v>1186</v>
      </c>
      <c r="AHO394" s="875" t="s">
        <v>1186</v>
      </c>
      <c r="AHP394" s="875" t="s">
        <v>1186</v>
      </c>
      <c r="AHQ394" s="875" t="s">
        <v>1186</v>
      </c>
      <c r="AHR394" s="875" t="s">
        <v>1186</v>
      </c>
      <c r="AHS394" s="875" t="s">
        <v>1186</v>
      </c>
      <c r="AHT394" s="875" t="s">
        <v>1186</v>
      </c>
      <c r="AHU394" s="875" t="s">
        <v>1186</v>
      </c>
      <c r="AHV394" s="875" t="s">
        <v>1186</v>
      </c>
      <c r="AHW394" s="875" t="s">
        <v>1186</v>
      </c>
      <c r="AHX394" s="875" t="s">
        <v>1186</v>
      </c>
      <c r="AHY394" s="875" t="s">
        <v>1186</v>
      </c>
      <c r="AHZ394" s="875" t="s">
        <v>1186</v>
      </c>
      <c r="AIA394" s="875" t="s">
        <v>1186</v>
      </c>
      <c r="AIB394" s="875" t="s">
        <v>1186</v>
      </c>
      <c r="AIC394" s="875" t="s">
        <v>1186</v>
      </c>
      <c r="AID394" s="875" t="s">
        <v>1186</v>
      </c>
      <c r="AIE394" s="875" t="s">
        <v>1186</v>
      </c>
      <c r="AIF394" s="875" t="s">
        <v>1186</v>
      </c>
      <c r="AIG394" s="875" t="s">
        <v>1186</v>
      </c>
      <c r="AIH394" s="875" t="s">
        <v>1186</v>
      </c>
      <c r="AII394" s="875" t="s">
        <v>1186</v>
      </c>
      <c r="AIJ394" s="875" t="s">
        <v>1186</v>
      </c>
      <c r="AIK394" s="875" t="s">
        <v>1186</v>
      </c>
      <c r="AIL394" s="875" t="s">
        <v>1186</v>
      </c>
      <c r="AIM394" s="875" t="s">
        <v>1186</v>
      </c>
      <c r="AIN394" s="875" t="s">
        <v>1186</v>
      </c>
      <c r="AIO394" s="875" t="s">
        <v>1186</v>
      </c>
      <c r="AIP394" s="875" t="s">
        <v>1186</v>
      </c>
      <c r="AIQ394" s="875" t="s">
        <v>1186</v>
      </c>
      <c r="AIR394" s="875" t="s">
        <v>1186</v>
      </c>
      <c r="AIS394" s="875" t="s">
        <v>1186</v>
      </c>
      <c r="AIT394" s="875" t="s">
        <v>1186</v>
      </c>
      <c r="AIU394" s="875" t="s">
        <v>1186</v>
      </c>
      <c r="AIV394" s="875" t="s">
        <v>1186</v>
      </c>
      <c r="AIW394" s="875" t="s">
        <v>1186</v>
      </c>
      <c r="AIX394" s="875" t="s">
        <v>1186</v>
      </c>
      <c r="AIY394" s="875" t="s">
        <v>1186</v>
      </c>
      <c r="AIZ394" s="875" t="s">
        <v>1186</v>
      </c>
      <c r="AJA394" s="875" t="s">
        <v>1186</v>
      </c>
      <c r="AJB394" s="875" t="s">
        <v>1186</v>
      </c>
      <c r="AJC394" s="875" t="s">
        <v>1186</v>
      </c>
      <c r="AJD394" s="875" t="s">
        <v>1186</v>
      </c>
      <c r="AJE394" s="875" t="s">
        <v>1186</v>
      </c>
      <c r="AJF394" s="875" t="s">
        <v>1186</v>
      </c>
      <c r="AJG394" s="875" t="s">
        <v>1186</v>
      </c>
      <c r="AJH394" s="875" t="s">
        <v>1186</v>
      </c>
      <c r="AJI394" s="875" t="s">
        <v>1186</v>
      </c>
      <c r="AJJ394" s="875" t="s">
        <v>1186</v>
      </c>
      <c r="AJK394" s="875" t="s">
        <v>1186</v>
      </c>
      <c r="AJL394" s="875" t="s">
        <v>1186</v>
      </c>
      <c r="AJM394" s="875" t="s">
        <v>1186</v>
      </c>
      <c r="AJN394" s="875" t="s">
        <v>1186</v>
      </c>
      <c r="AJO394" s="875" t="s">
        <v>1186</v>
      </c>
      <c r="AJP394" s="875" t="s">
        <v>1186</v>
      </c>
      <c r="AJQ394" s="875" t="s">
        <v>1186</v>
      </c>
      <c r="AJR394" s="875" t="s">
        <v>1186</v>
      </c>
      <c r="AJS394" s="875" t="s">
        <v>1186</v>
      </c>
      <c r="AJT394" s="875" t="s">
        <v>1186</v>
      </c>
      <c r="AJU394" s="875" t="s">
        <v>1186</v>
      </c>
      <c r="AJV394" s="875" t="s">
        <v>1186</v>
      </c>
      <c r="AJW394" s="875" t="s">
        <v>1186</v>
      </c>
      <c r="AJX394" s="875" t="s">
        <v>1186</v>
      </c>
      <c r="AJY394" s="875" t="s">
        <v>1186</v>
      </c>
      <c r="AJZ394" s="875" t="s">
        <v>1186</v>
      </c>
      <c r="AKA394" s="875" t="s">
        <v>1186</v>
      </c>
      <c r="AKB394" s="875" t="s">
        <v>1186</v>
      </c>
      <c r="AKC394" s="875" t="s">
        <v>1186</v>
      </c>
      <c r="AKD394" s="875" t="s">
        <v>1186</v>
      </c>
      <c r="AKE394" s="875" t="s">
        <v>1186</v>
      </c>
      <c r="AKF394" s="875" t="s">
        <v>1186</v>
      </c>
      <c r="AKG394" s="875" t="s">
        <v>1186</v>
      </c>
      <c r="AKH394" s="875" t="s">
        <v>1186</v>
      </c>
      <c r="AKI394" s="875" t="s">
        <v>1186</v>
      </c>
      <c r="AKJ394" s="875" t="s">
        <v>1186</v>
      </c>
      <c r="AKK394" s="875" t="s">
        <v>1186</v>
      </c>
      <c r="AKL394" s="875" t="s">
        <v>1186</v>
      </c>
      <c r="AKM394" s="875" t="s">
        <v>1186</v>
      </c>
      <c r="AKN394" s="875" t="s">
        <v>1186</v>
      </c>
      <c r="AKO394" s="875" t="s">
        <v>1186</v>
      </c>
      <c r="AKP394" s="875" t="s">
        <v>1186</v>
      </c>
      <c r="AKQ394" s="875" t="s">
        <v>1186</v>
      </c>
      <c r="AKR394" s="875" t="s">
        <v>1186</v>
      </c>
      <c r="AKS394" s="875" t="s">
        <v>1186</v>
      </c>
      <c r="AKT394" s="875" t="s">
        <v>1186</v>
      </c>
      <c r="AKU394" s="875" t="s">
        <v>1186</v>
      </c>
      <c r="AKV394" s="875" t="s">
        <v>1186</v>
      </c>
      <c r="AKW394" s="875" t="s">
        <v>1186</v>
      </c>
      <c r="AKX394" s="875" t="s">
        <v>1186</v>
      </c>
      <c r="AKY394" s="875" t="s">
        <v>1186</v>
      </c>
      <c r="AKZ394" s="875" t="s">
        <v>1186</v>
      </c>
      <c r="ALA394" s="875" t="s">
        <v>1186</v>
      </c>
      <c r="ALB394" s="875" t="s">
        <v>1186</v>
      </c>
      <c r="ALC394" s="875" t="s">
        <v>1186</v>
      </c>
      <c r="ALD394" s="875" t="s">
        <v>1186</v>
      </c>
      <c r="ALE394" s="875" t="s">
        <v>1186</v>
      </c>
      <c r="ALF394" s="875" t="s">
        <v>1186</v>
      </c>
      <c r="ALG394" s="875" t="s">
        <v>1186</v>
      </c>
      <c r="ALH394" s="875" t="s">
        <v>1186</v>
      </c>
      <c r="ALI394" s="875" t="s">
        <v>1186</v>
      </c>
      <c r="ALJ394" s="875" t="s">
        <v>1186</v>
      </c>
      <c r="ALK394" s="875" t="s">
        <v>1186</v>
      </c>
      <c r="ALL394" s="875" t="s">
        <v>1186</v>
      </c>
      <c r="ALM394" s="875" t="s">
        <v>1186</v>
      </c>
      <c r="ALN394" s="875" t="s">
        <v>1186</v>
      </c>
      <c r="ALO394" s="875" t="s">
        <v>1186</v>
      </c>
      <c r="ALP394" s="875" t="s">
        <v>1186</v>
      </c>
      <c r="ALQ394" s="875" t="s">
        <v>1186</v>
      </c>
      <c r="ALR394" s="875" t="s">
        <v>1186</v>
      </c>
      <c r="ALS394" s="875" t="s">
        <v>1186</v>
      </c>
      <c r="ALT394" s="875" t="s">
        <v>1186</v>
      </c>
      <c r="ALU394" s="875" t="s">
        <v>1186</v>
      </c>
      <c r="ALV394" s="875" t="s">
        <v>1186</v>
      </c>
      <c r="ALW394" s="875" t="s">
        <v>1186</v>
      </c>
      <c r="ALX394" s="875" t="s">
        <v>1186</v>
      </c>
      <c r="ALY394" s="875" t="s">
        <v>1186</v>
      </c>
      <c r="ALZ394" s="875" t="s">
        <v>1186</v>
      </c>
      <c r="AMA394" s="875" t="s">
        <v>1186</v>
      </c>
      <c r="AMB394" s="875" t="s">
        <v>1186</v>
      </c>
      <c r="AMC394" s="875" t="s">
        <v>1186</v>
      </c>
      <c r="AMD394" s="875" t="s">
        <v>1186</v>
      </c>
      <c r="AME394" s="875" t="s">
        <v>1186</v>
      </c>
      <c r="AMF394" s="875" t="s">
        <v>1186</v>
      </c>
      <c r="AMG394" s="875" t="s">
        <v>1186</v>
      </c>
      <c r="AMH394" s="875" t="s">
        <v>1186</v>
      </c>
      <c r="AMI394" s="875" t="s">
        <v>1186</v>
      </c>
      <c r="AMJ394" s="875" t="s">
        <v>1186</v>
      </c>
      <c r="AMK394" s="875" t="s">
        <v>1186</v>
      </c>
      <c r="AML394" s="875" t="s">
        <v>1186</v>
      </c>
      <c r="AMM394" s="875" t="s">
        <v>1186</v>
      </c>
      <c r="AMN394" s="875" t="s">
        <v>1186</v>
      </c>
      <c r="AMO394" s="875" t="s">
        <v>1186</v>
      </c>
      <c r="AMP394" s="875" t="s">
        <v>1186</v>
      </c>
      <c r="AMQ394" s="875" t="s">
        <v>1186</v>
      </c>
      <c r="AMR394" s="875" t="s">
        <v>1186</v>
      </c>
      <c r="AMS394" s="875" t="s">
        <v>1186</v>
      </c>
      <c r="AMT394" s="875" t="s">
        <v>1186</v>
      </c>
      <c r="AMU394" s="875" t="s">
        <v>1186</v>
      </c>
      <c r="AMV394" s="875" t="s">
        <v>1186</v>
      </c>
      <c r="AMW394" s="875" t="s">
        <v>1186</v>
      </c>
      <c r="AMX394" s="875" t="s">
        <v>1186</v>
      </c>
      <c r="AMY394" s="875" t="s">
        <v>1186</v>
      </c>
      <c r="AMZ394" s="875" t="s">
        <v>1186</v>
      </c>
      <c r="ANA394" s="875" t="s">
        <v>1186</v>
      </c>
      <c r="ANB394" s="875" t="s">
        <v>1186</v>
      </c>
      <c r="ANC394" s="875" t="s">
        <v>1186</v>
      </c>
      <c r="AND394" s="875" t="s">
        <v>1186</v>
      </c>
      <c r="ANE394" s="875" t="s">
        <v>1186</v>
      </c>
      <c r="ANF394" s="875" t="s">
        <v>1186</v>
      </c>
      <c r="ANG394" s="875" t="s">
        <v>1186</v>
      </c>
      <c r="ANH394" s="875" t="s">
        <v>1186</v>
      </c>
      <c r="ANI394" s="875" t="s">
        <v>1186</v>
      </c>
      <c r="ANJ394" s="875" t="s">
        <v>1186</v>
      </c>
      <c r="ANK394" s="875" t="s">
        <v>1186</v>
      </c>
      <c r="ANL394" s="875" t="s">
        <v>1186</v>
      </c>
      <c r="ANM394" s="875" t="s">
        <v>1186</v>
      </c>
      <c r="ANN394" s="875" t="s">
        <v>1186</v>
      </c>
      <c r="ANO394" s="875" t="s">
        <v>1186</v>
      </c>
      <c r="ANP394" s="875" t="s">
        <v>1186</v>
      </c>
      <c r="ANQ394" s="875" t="s">
        <v>1186</v>
      </c>
      <c r="ANR394" s="875" t="s">
        <v>1186</v>
      </c>
      <c r="ANS394" s="875" t="s">
        <v>1186</v>
      </c>
      <c r="ANT394" s="875" t="s">
        <v>1186</v>
      </c>
      <c r="ANU394" s="875" t="s">
        <v>1186</v>
      </c>
      <c r="ANV394" s="875" t="s">
        <v>1186</v>
      </c>
      <c r="ANW394" s="875" t="s">
        <v>1186</v>
      </c>
      <c r="ANX394" s="875" t="s">
        <v>1186</v>
      </c>
      <c r="ANY394" s="875" t="s">
        <v>1186</v>
      </c>
      <c r="ANZ394" s="875" t="s">
        <v>1186</v>
      </c>
      <c r="AOA394" s="875" t="s">
        <v>1186</v>
      </c>
      <c r="AOB394" s="875" t="s">
        <v>1186</v>
      </c>
      <c r="AOC394" s="875" t="s">
        <v>1186</v>
      </c>
      <c r="AOD394" s="875" t="s">
        <v>1186</v>
      </c>
      <c r="AOE394" s="875" t="s">
        <v>1186</v>
      </c>
      <c r="AOF394" s="875" t="s">
        <v>1186</v>
      </c>
      <c r="AOG394" s="875" t="s">
        <v>1186</v>
      </c>
      <c r="AOH394" s="875" t="s">
        <v>1186</v>
      </c>
      <c r="AOI394" s="875" t="s">
        <v>1186</v>
      </c>
      <c r="AOJ394" s="875" t="s">
        <v>1186</v>
      </c>
      <c r="AOK394" s="875" t="s">
        <v>1186</v>
      </c>
      <c r="AOL394" s="875" t="s">
        <v>1186</v>
      </c>
      <c r="AOM394" s="875" t="s">
        <v>1186</v>
      </c>
      <c r="AON394" s="875" t="s">
        <v>1186</v>
      </c>
      <c r="AOO394" s="875" t="s">
        <v>1186</v>
      </c>
      <c r="AOP394" s="875" t="s">
        <v>1186</v>
      </c>
      <c r="AOQ394" s="875" t="s">
        <v>1186</v>
      </c>
      <c r="AOR394" s="875" t="s">
        <v>1186</v>
      </c>
      <c r="AOS394" s="875" t="s">
        <v>1186</v>
      </c>
      <c r="AOT394" s="875" t="s">
        <v>1186</v>
      </c>
      <c r="AOU394" s="875" t="s">
        <v>1186</v>
      </c>
      <c r="AOV394" s="875" t="s">
        <v>1186</v>
      </c>
      <c r="AOW394" s="887"/>
      <c r="AOY394" s="51"/>
      <c r="AOZ394" s="51"/>
      <c r="APA394" s="51"/>
      <c r="APB394" s="51"/>
      <c r="APC394" s="51"/>
      <c r="APD394" s="51"/>
      <c r="APE394" s="51"/>
      <c r="APF394" s="51"/>
      <c r="APG394" s="51"/>
      <c r="APH394" s="51"/>
      <c r="API394" s="51"/>
      <c r="APJ394" s="51"/>
    </row>
    <row r="395" spans="2:1102" hidden="1">
      <c r="B395" s="1000" t="s">
        <v>1053</v>
      </c>
      <c r="C395" s="1000"/>
      <c r="D395" s="836"/>
      <c r="E395" s="892" t="s">
        <v>1035</v>
      </c>
      <c r="F395" s="462"/>
      <c r="G395" s="462" t="s">
        <v>65</v>
      </c>
      <c r="H395" s="462"/>
      <c r="I395" s="875">
        <v>43.635414499940097</v>
      </c>
      <c r="J395" s="875">
        <v>36.496289559095231</v>
      </c>
      <c r="K395" s="875">
        <v>112.34580964400379</v>
      </c>
      <c r="L395" s="875">
        <v>51.308341220233089</v>
      </c>
      <c r="M395" s="875">
        <v>136.2285835250164</v>
      </c>
      <c r="N395" s="875">
        <v>7.6919818652661283</v>
      </c>
      <c r="O395" s="875">
        <v>17.62339393127759</v>
      </c>
      <c r="P395" s="875">
        <v>63.676500046527728</v>
      </c>
      <c r="Q395" s="875">
        <v>216.02907031540801</v>
      </c>
      <c r="R395" s="875">
        <v>42.508187025919597</v>
      </c>
      <c r="S395" s="875">
        <v>40.410446417569958</v>
      </c>
      <c r="T395" s="875">
        <v>32.22466039298817</v>
      </c>
      <c r="U395" s="875">
        <v>101.76471271618919</v>
      </c>
      <c r="V395" s="875">
        <v>46.431268831004829</v>
      </c>
      <c r="W395" s="875">
        <v>121.8676673346479</v>
      </c>
      <c r="X395" s="875">
        <v>6.9343266167494733</v>
      </c>
      <c r="Y395" s="875">
        <v>16.28840681353098</v>
      </c>
      <c r="Z395" s="875">
        <v>59.17371821570169</v>
      </c>
      <c r="AA395" s="875">
        <v>190.20875353042479</v>
      </c>
      <c r="AB395" s="875">
        <v>38.102081221775158</v>
      </c>
      <c r="AC395" s="875">
        <v>44.189931184687509</v>
      </c>
      <c r="AD395" s="875">
        <v>36.931773355865431</v>
      </c>
      <c r="AE395" s="875">
        <v>113.3983348310891</v>
      </c>
      <c r="AF395" s="875">
        <v>51.935791660407048</v>
      </c>
      <c r="AG395" s="875">
        <v>136.7135336651684</v>
      </c>
      <c r="AH395" s="875">
        <v>7.7947970019669759</v>
      </c>
      <c r="AI395" s="875">
        <v>18.024966354371649</v>
      </c>
      <c r="AJ395" s="875">
        <v>52.241817060046777</v>
      </c>
      <c r="AK395" s="875">
        <v>216.20070221577689</v>
      </c>
      <c r="AL395" s="875">
        <v>42.846162629880688</v>
      </c>
      <c r="AM395" s="875">
        <v>39.061058822234628</v>
      </c>
      <c r="AN395" s="875">
        <v>30.183506574892501</v>
      </c>
      <c r="AO395" s="875">
        <v>96.582231665640677</v>
      </c>
      <c r="AP395" s="875">
        <v>44.245946128468283</v>
      </c>
      <c r="AQ395" s="875">
        <v>113.90918984755</v>
      </c>
      <c r="AR395" s="875">
        <v>6.5963005194209963</v>
      </c>
      <c r="AS395" s="875">
        <v>15.85199416390989</v>
      </c>
      <c r="AT395" s="875">
        <v>46.535781844279192</v>
      </c>
      <c r="AU395" s="875">
        <v>175.45491219783199</v>
      </c>
      <c r="AV395" s="875">
        <v>35.884255451348857</v>
      </c>
      <c r="AW395" s="875">
        <v>34.870301507755613</v>
      </c>
      <c r="AX395" s="875">
        <v>24.724368226192102</v>
      </c>
      <c r="AY395" s="875">
        <v>82.889013114697121</v>
      </c>
      <c r="AZ395" s="875">
        <v>37.910003995846481</v>
      </c>
      <c r="BA395" s="875">
        <v>95.301570176636716</v>
      </c>
      <c r="BB395" s="875">
        <v>5.6109789483697607</v>
      </c>
      <c r="BC395" s="875">
        <v>14.12923835524558</v>
      </c>
      <c r="BD395" s="875">
        <v>43.816366111629279</v>
      </c>
      <c r="BE395" s="875">
        <v>142.03635915277951</v>
      </c>
      <c r="BF395" s="875">
        <v>30.208483335997069</v>
      </c>
      <c r="BG395" s="875">
        <v>32.529343286503092</v>
      </c>
      <c r="BH395" s="875">
        <v>21.684486890897329</v>
      </c>
      <c r="BI395" s="875">
        <v>75.289070897737943</v>
      </c>
      <c r="BJ395" s="875">
        <v>34.422817462747481</v>
      </c>
      <c r="BK395" s="875">
        <v>84.986266509611283</v>
      </c>
      <c r="BL395" s="875">
        <v>5.0659443950833118</v>
      </c>
      <c r="BM395" s="875">
        <v>13.17729638441579</v>
      </c>
      <c r="BN395" s="875">
        <v>38.399067136138306</v>
      </c>
      <c r="BO395" s="875">
        <v>123.3644095870835</v>
      </c>
      <c r="BP395" s="875">
        <v>27.071905354816419</v>
      </c>
      <c r="BQ395" s="875">
        <v>19.522385938745881</v>
      </c>
      <c r="BR395" s="875">
        <v>6.0686597172054304</v>
      </c>
      <c r="BS395" s="875">
        <v>33.00599638781344</v>
      </c>
      <c r="BT395" s="875">
        <v>15.760609143118771</v>
      </c>
      <c r="BU395" s="875">
        <v>32.181876535193943</v>
      </c>
      <c r="BV395" s="875">
        <v>1.886238929569436</v>
      </c>
      <c r="BW395" s="875">
        <v>7.9065172681261391</v>
      </c>
      <c r="BX395" s="875">
        <v>30.44104393382651</v>
      </c>
      <c r="BY395" s="875">
        <v>28.584557590141401</v>
      </c>
      <c r="BZ395" s="875">
        <v>10.48013793839719</v>
      </c>
      <c r="CA395" s="875">
        <v>19.522385938745881</v>
      </c>
      <c r="CB395" s="875">
        <v>6.0686607416303531</v>
      </c>
      <c r="CC395" s="875">
        <v>33.00599638781344</v>
      </c>
      <c r="CD395" s="875">
        <v>15.760609143118771</v>
      </c>
      <c r="CE395" s="875">
        <v>32.181876535193943</v>
      </c>
      <c r="CF395" s="875">
        <v>1.8862400244006881</v>
      </c>
      <c r="CG395" s="875">
        <v>7.9065172681261391</v>
      </c>
      <c r="CH395" s="875">
        <v>29.21098639699256</v>
      </c>
      <c r="CI395" s="875">
        <v>28.584557590141401</v>
      </c>
      <c r="CJ395" s="875">
        <v>10.48013793839719</v>
      </c>
      <c r="CK395" s="875">
        <v>17.430472932635229</v>
      </c>
      <c r="CL395" s="875">
        <v>2.9870607791839472</v>
      </c>
      <c r="CM395" s="875">
        <v>26.456658766875051</v>
      </c>
      <c r="CN395" s="875">
        <v>12.51635445500855</v>
      </c>
      <c r="CO395" s="875">
        <v>22.09390180325062</v>
      </c>
      <c r="CP395" s="875">
        <v>1.446670633520724</v>
      </c>
      <c r="CQ395" s="875">
        <v>6.9971554575794563</v>
      </c>
      <c r="CR395" s="875">
        <v>24.455015311417132</v>
      </c>
      <c r="CS395" s="875">
        <v>11.64883330409522</v>
      </c>
      <c r="CT395" s="875">
        <v>7.513629983523554</v>
      </c>
      <c r="CU395" s="875">
        <v>42.710901486500163</v>
      </c>
      <c r="CV395" s="875">
        <v>33.625213786704457</v>
      </c>
      <c r="CW395" s="875">
        <v>118.0686589917777</v>
      </c>
      <c r="CX395" s="875">
        <v>52.720259409833623</v>
      </c>
      <c r="CY395" s="875">
        <v>145.44884520645931</v>
      </c>
      <c r="CZ395" s="875">
        <v>11.630208719998439</v>
      </c>
      <c r="DA395" s="875">
        <v>6.2066305746315198</v>
      </c>
      <c r="DB395" s="875">
        <v>58.70741390596659</v>
      </c>
      <c r="DC395" s="875">
        <v>209.85185426075211</v>
      </c>
      <c r="DD395" s="875">
        <v>39.716267113229662</v>
      </c>
      <c r="DE395" s="875">
        <v>39.081740806751618</v>
      </c>
      <c r="DF395" s="875">
        <v>28.801468035598798</v>
      </c>
      <c r="DG395" s="875">
        <v>106.376224130759</v>
      </c>
      <c r="DH395" s="875">
        <v>47.165305669959302</v>
      </c>
      <c r="DI395" s="875">
        <v>129.71076477523181</v>
      </c>
      <c r="DJ395" s="875">
        <v>5.8293856133370836</v>
      </c>
      <c r="DK395" s="875">
        <v>4.7288812368577604</v>
      </c>
      <c r="DL395" s="875">
        <v>54.296727921807467</v>
      </c>
      <c r="DM395" s="875">
        <v>181.0075935666151</v>
      </c>
      <c r="DN395" s="875">
        <v>34.775039515369258</v>
      </c>
      <c r="DO395" s="875">
        <v>43.330309611357869</v>
      </c>
      <c r="DP395" s="875">
        <v>34.133136890343437</v>
      </c>
      <c r="DQ395" s="875">
        <v>119.223570134206</v>
      </c>
      <c r="DR395" s="875">
        <v>53.448945855378092</v>
      </c>
      <c r="DS395" s="875">
        <v>145.90126454443791</v>
      </c>
      <c r="DT395" s="875">
        <v>6.769243704030095</v>
      </c>
      <c r="DU395" s="875">
        <v>6.5654808480344489</v>
      </c>
      <c r="DV395" s="875">
        <v>47.535545115808517</v>
      </c>
      <c r="DW395" s="875">
        <v>209.86908794426051</v>
      </c>
      <c r="DX395" s="875">
        <v>40.07372639235016</v>
      </c>
      <c r="DY395" s="875">
        <v>37.546917940531671</v>
      </c>
      <c r="DZ395" s="875">
        <v>26.489505645621481</v>
      </c>
      <c r="EA395" s="875">
        <v>100.69673435631189</v>
      </c>
      <c r="EB395" s="875">
        <v>44.643446223711479</v>
      </c>
      <c r="EC395" s="875">
        <v>120.87448514084291</v>
      </c>
      <c r="ED395" s="875">
        <v>5.4728674390313596</v>
      </c>
      <c r="EE395" s="875">
        <v>4.1814782968089199</v>
      </c>
      <c r="EF395" s="875">
        <v>41.997907861149592</v>
      </c>
      <c r="EG395" s="875">
        <v>163.9713729996927</v>
      </c>
      <c r="EH395" s="875">
        <v>32.264246824455817</v>
      </c>
      <c r="EI395" s="875">
        <v>32.819516056350473</v>
      </c>
      <c r="EJ395" s="875">
        <v>20.279365589145659</v>
      </c>
      <c r="EK395" s="875">
        <v>85.498052256920815</v>
      </c>
      <c r="EL395" s="875">
        <v>37.449278831083213</v>
      </c>
      <c r="EM395" s="875">
        <v>100.3522471482291</v>
      </c>
      <c r="EN395" s="875">
        <v>4.4102928451583328</v>
      </c>
      <c r="EO395" s="875">
        <v>2.2546108356176999</v>
      </c>
      <c r="EP395" s="875">
        <v>39.379134935443837</v>
      </c>
      <c r="EQ395" s="875">
        <v>126.834337540899</v>
      </c>
      <c r="ER395" s="875">
        <v>25.907060928328129</v>
      </c>
      <c r="ES395" s="875">
        <v>30.190790255683421</v>
      </c>
      <c r="ET395" s="875">
        <v>16.844162957450429</v>
      </c>
      <c r="EU395" s="875">
        <v>77.038896969943906</v>
      </c>
      <c r="EV395" s="875">
        <v>33.464580952753309</v>
      </c>
      <c r="EW395" s="875">
        <v>88.932482882412799</v>
      </c>
      <c r="EX395" s="875">
        <v>3.818777446757387</v>
      </c>
      <c r="EY395" s="875">
        <v>1.1924590009166181</v>
      </c>
      <c r="EZ395" s="875">
        <v>34.127819382615648</v>
      </c>
      <c r="FA395" s="875">
        <v>106.47420147399269</v>
      </c>
      <c r="FB395" s="875">
        <v>22.39065444700482</v>
      </c>
      <c r="FC395" s="875">
        <v>15.046328012589321</v>
      </c>
      <c r="FD395" s="875">
        <v>-2.2949565858916698</v>
      </c>
      <c r="FE395" s="875">
        <v>28.76316034654306</v>
      </c>
      <c r="FF395" s="875">
        <v>11.03259240923</v>
      </c>
      <c r="FG395" s="875">
        <v>27.70283636106257</v>
      </c>
      <c r="FH395" s="875">
        <v>0.39018593936781881</v>
      </c>
      <c r="FI395" s="875">
        <v>-4.9309102802047908</v>
      </c>
      <c r="FJ395" s="875">
        <v>26.383395827791912</v>
      </c>
      <c r="FK395" s="875">
        <v>-4.7603474573688367E-2</v>
      </c>
      <c r="FL395" s="875">
        <v>2.694584647619092</v>
      </c>
      <c r="FM395" s="875">
        <v>15.046328012589321</v>
      </c>
      <c r="FN395" s="875">
        <v>-2.2949565858916698</v>
      </c>
      <c r="FO395" s="875">
        <v>28.76316034654306</v>
      </c>
      <c r="FP395" s="875">
        <v>11.03259240923</v>
      </c>
      <c r="FQ395" s="875">
        <v>27.70283636106257</v>
      </c>
      <c r="FR395" s="875">
        <v>0.39018593936781881</v>
      </c>
      <c r="FS395" s="875">
        <v>-4.9309102802047908</v>
      </c>
      <c r="FT395" s="875">
        <v>25.179527871318211</v>
      </c>
      <c r="FU395" s="875">
        <v>-4.7603474573688367E-2</v>
      </c>
      <c r="FV395" s="875">
        <v>2.694584647619092</v>
      </c>
      <c r="FW395" s="875">
        <v>12.86426082772147</v>
      </c>
      <c r="FX395" s="875">
        <v>-5.1965237486451938</v>
      </c>
      <c r="FY395" s="875">
        <v>21.629574485095361</v>
      </c>
      <c r="FZ395" s="875">
        <v>7.6631555966297267</v>
      </c>
      <c r="GA395" s="875">
        <v>16.40604270589391</v>
      </c>
      <c r="GB395" s="875">
        <v>-8.3289626011782331E-2</v>
      </c>
      <c r="GC395" s="875">
        <v>-5.7015565179940744</v>
      </c>
      <c r="GD395" s="875">
        <v>20.586832558763621</v>
      </c>
      <c r="GE395" s="875">
        <v>-14.34937195257932</v>
      </c>
      <c r="GF395" s="875">
        <v>-0.25670718718717961</v>
      </c>
      <c r="GG395" s="875">
        <v>31.393350441072219</v>
      </c>
      <c r="GH395" s="875">
        <v>26.16061258373751</v>
      </c>
      <c r="GI395" s="875">
        <v>79.532699361489179</v>
      </c>
      <c r="GJ395" s="875">
        <v>36.9393466358975</v>
      </c>
      <c r="GK395" s="875">
        <v>95.927843134532296</v>
      </c>
      <c r="GL395" s="875">
        <v>5.3525314012252192</v>
      </c>
      <c r="GM395" s="875">
        <v>15.617362395049909</v>
      </c>
      <c r="GN395" s="875">
        <v>19.31280519575915</v>
      </c>
      <c r="GO395" s="875">
        <v>157.9867966375617</v>
      </c>
      <c r="GP395" s="875">
        <v>30.566714259987361</v>
      </c>
      <c r="GQ395" s="875">
        <v>29.151708447922289</v>
      </c>
      <c r="GR395" s="875">
        <v>23.179233584499158</v>
      </c>
      <c r="GS395" s="875">
        <v>72.010977615996666</v>
      </c>
      <c r="GT395" s="875">
        <v>33.526903414270848</v>
      </c>
      <c r="GU395" s="875">
        <v>85.702438219493587</v>
      </c>
      <c r="GV395" s="875">
        <v>4.7924354997011172</v>
      </c>
      <c r="GW395" s="875">
        <v>14.71437814883031</v>
      </c>
      <c r="GX395" s="875">
        <v>18.270476843839479</v>
      </c>
      <c r="GY395" s="875">
        <v>139.47566927064759</v>
      </c>
      <c r="GZ395" s="875">
        <v>27.499810245188321</v>
      </c>
      <c r="HA395" s="875">
        <v>31.72100354547899</v>
      </c>
      <c r="HB395" s="875">
        <v>26.396793390598269</v>
      </c>
      <c r="HC395" s="875">
        <v>79.992612381190895</v>
      </c>
      <c r="HD395" s="875">
        <v>37.281613010808456</v>
      </c>
      <c r="HE395" s="875">
        <v>95.697845799436124</v>
      </c>
      <c r="HF395" s="875">
        <v>5.4310827066150802</v>
      </c>
      <c r="HG395" s="875">
        <v>15.822314250910051</v>
      </c>
      <c r="HH395" s="875">
        <v>16.744269779586649</v>
      </c>
      <c r="HI395" s="875">
        <v>156.97492541345511</v>
      </c>
      <c r="HJ395" s="875">
        <v>30.675293776366448</v>
      </c>
      <c r="HK395" s="875">
        <v>28.140874147199039</v>
      </c>
      <c r="HL395" s="875">
        <v>21.698666785831382</v>
      </c>
      <c r="HM395" s="875">
        <v>68.109593813941473</v>
      </c>
      <c r="HN395" s="875">
        <v>31.859972182589011</v>
      </c>
      <c r="HO395" s="875">
        <v>79.605433338155407</v>
      </c>
      <c r="HP395" s="875">
        <v>4.5413692618329096</v>
      </c>
      <c r="HQ395" s="875">
        <v>14.38508454489391</v>
      </c>
      <c r="HR395" s="875">
        <v>15.428956663357861</v>
      </c>
      <c r="HS395" s="875">
        <v>127.8496984058948</v>
      </c>
      <c r="HT395" s="875">
        <v>25.87595538126773</v>
      </c>
      <c r="HU395" s="875">
        <v>25.207704314743669</v>
      </c>
      <c r="HV395" s="875">
        <v>17.961028030823261</v>
      </c>
      <c r="HW395" s="875">
        <v>58.505495896144531</v>
      </c>
      <c r="HX395" s="875">
        <v>27.369058141477581</v>
      </c>
      <c r="HY395" s="875">
        <v>66.560569677101768</v>
      </c>
      <c r="HZ395" s="875">
        <v>3.8150925914839839</v>
      </c>
      <c r="IA395" s="875">
        <v>13.17409108980417</v>
      </c>
      <c r="IB395" s="875">
        <v>14.80050450700071</v>
      </c>
      <c r="IC395" s="875">
        <v>104.0235932309203</v>
      </c>
      <c r="ID395" s="875">
        <v>22.0569958799733</v>
      </c>
      <c r="IE395" s="875">
        <v>23.591903560574831</v>
      </c>
      <c r="IF395" s="875">
        <v>15.887316233586009</v>
      </c>
      <c r="IG395" s="875">
        <v>53.085255818415199</v>
      </c>
      <c r="IH395" s="875">
        <v>24.974922135407368</v>
      </c>
      <c r="II395" s="875">
        <v>59.346501883285278</v>
      </c>
      <c r="IJ395" s="875">
        <v>3.4110592817934879</v>
      </c>
      <c r="IK395" s="875">
        <v>12.54287345884798</v>
      </c>
      <c r="IL395" s="875">
        <v>13.52734330552421</v>
      </c>
      <c r="IM395" s="875">
        <v>90.982537570308324</v>
      </c>
      <c r="IN395" s="875">
        <v>19.902552757183411</v>
      </c>
      <c r="IO395" s="875">
        <v>14.334444435313349</v>
      </c>
      <c r="IP395" s="875">
        <v>4.5120268256396834</v>
      </c>
      <c r="IQ395" s="875">
        <v>23.168346669697961</v>
      </c>
      <c r="IR395" s="875">
        <v>11.17119131992596</v>
      </c>
      <c r="IS395" s="875">
        <v>20.596924853961049</v>
      </c>
      <c r="IT395" s="875">
        <v>1.0532294715205439</v>
      </c>
      <c r="IU395" s="875">
        <v>8.7116551106479658</v>
      </c>
      <c r="IV395" s="875">
        <v>11.63229876615185</v>
      </c>
      <c r="IW395" s="875">
        <v>20.562158922974469</v>
      </c>
      <c r="IX395" s="875">
        <v>8.1562948453588682</v>
      </c>
      <c r="IY395" s="875">
        <v>14.334444435313349</v>
      </c>
      <c r="IZ395" s="875">
        <v>4.5120269956020218</v>
      </c>
      <c r="JA395" s="875">
        <v>23.168346499110719</v>
      </c>
      <c r="JB395" s="875">
        <v>11.171191813051159</v>
      </c>
      <c r="JC395" s="875">
        <v>20.596924810037329</v>
      </c>
      <c r="JD395" s="875">
        <v>1.0532294715205439</v>
      </c>
      <c r="JE395" s="875">
        <v>8.7116552982295943</v>
      </c>
      <c r="JF395" s="875">
        <v>11.34806444481988</v>
      </c>
      <c r="JG395" s="875">
        <v>20.562158922974469</v>
      </c>
      <c r="JH395" s="875">
        <v>8.1562948453588682</v>
      </c>
      <c r="JI395" s="875">
        <v>13.094716827481101</v>
      </c>
      <c r="JJ395" s="875">
        <v>2.885921541418806</v>
      </c>
      <c r="JK395" s="875">
        <v>19.085763739253292</v>
      </c>
      <c r="JL395" s="875">
        <v>9.1830473817650624</v>
      </c>
      <c r="JM395" s="875">
        <v>14.421342883641859</v>
      </c>
      <c r="JN395" s="875">
        <v>0.72790253888367196</v>
      </c>
      <c r="JO395" s="875">
        <v>8.2057047465771706</v>
      </c>
      <c r="JP395" s="875">
        <v>10.27434866857166</v>
      </c>
      <c r="JQ395" s="875">
        <v>10.45662562334685</v>
      </c>
      <c r="JR395" s="875">
        <v>6.4597089359697657</v>
      </c>
      <c r="JS395" s="875">
        <v>34.465343883498463</v>
      </c>
      <c r="JT395" s="875">
        <v>25.684289306414239</v>
      </c>
      <c r="JU395" s="875">
        <v>87.666117383563773</v>
      </c>
      <c r="JV395" s="875">
        <v>41.463004715139782</v>
      </c>
      <c r="JW395" s="875">
        <v>106.20571576952359</v>
      </c>
      <c r="JX395" s="875">
        <v>4.2649415329127214</v>
      </c>
      <c r="JY395" s="875">
        <v>8.0691133013577687</v>
      </c>
      <c r="JZ395" s="875">
        <v>15.48299933535359</v>
      </c>
      <c r="KA395" s="875">
        <v>162.29326461720109</v>
      </c>
      <c r="KB395" s="875">
        <v>30.97294155606275</v>
      </c>
      <c r="KC395" s="875">
        <v>31.835686298206578</v>
      </c>
      <c r="KD395" s="875">
        <v>22.150170465730451</v>
      </c>
      <c r="KE395" s="875">
        <v>79.301541141429098</v>
      </c>
      <c r="KF395" s="875">
        <v>37.340622148732592</v>
      </c>
      <c r="KG395" s="875">
        <v>94.985532778357225</v>
      </c>
      <c r="KH395" s="875">
        <v>3.6777683449289609</v>
      </c>
      <c r="KI395" s="875">
        <v>6.9159014380378192</v>
      </c>
      <c r="KJ395" s="875">
        <v>14.477652114059961</v>
      </c>
      <c r="KK395" s="875">
        <v>140.53314486299601</v>
      </c>
      <c r="KL395" s="875">
        <v>27.376592569410111</v>
      </c>
      <c r="KM395" s="875">
        <v>34.855563432586983</v>
      </c>
      <c r="KN395" s="875">
        <v>26.000129665083911</v>
      </c>
      <c r="KO395" s="875">
        <v>88.261388154056249</v>
      </c>
      <c r="KP395" s="875">
        <v>41.915038828973877</v>
      </c>
      <c r="KQ395" s="875">
        <v>106.0356297797493</v>
      </c>
      <c r="KR395" s="875">
        <v>4.3447561543693984</v>
      </c>
      <c r="KS395" s="875">
        <v>8.3474050892906337</v>
      </c>
      <c r="KT395" s="875">
        <v>13.021111580183669</v>
      </c>
      <c r="KU395" s="875">
        <v>161.22807727274039</v>
      </c>
      <c r="KV395" s="875">
        <v>31.162695155369281</v>
      </c>
      <c r="KW395" s="875">
        <v>30.677378417130249</v>
      </c>
      <c r="KX395" s="875">
        <v>20.410025449794901</v>
      </c>
      <c r="KY395" s="875">
        <v>75.056143989317547</v>
      </c>
      <c r="KZ395" s="875">
        <v>35.396048356929207</v>
      </c>
      <c r="LA395" s="875">
        <v>88.325007273005468</v>
      </c>
      <c r="LB395" s="875">
        <v>3.4132189271554711</v>
      </c>
      <c r="LC395" s="875">
        <v>6.4912578240291676</v>
      </c>
      <c r="LD395" s="875">
        <v>11.75823952153103</v>
      </c>
      <c r="LE395" s="875">
        <v>126.877535656329</v>
      </c>
      <c r="LF395" s="875">
        <v>25.500351573259149</v>
      </c>
      <c r="LG395" s="875">
        <v>27.252299496059589</v>
      </c>
      <c r="LH395" s="875">
        <v>15.846683144966169</v>
      </c>
      <c r="LI395" s="875">
        <v>64.184347707343051</v>
      </c>
      <c r="LJ395" s="875">
        <v>30.042716428391181</v>
      </c>
      <c r="LK395" s="875">
        <v>73.711773594591079</v>
      </c>
      <c r="LL395" s="875">
        <v>2.652565493352756</v>
      </c>
      <c r="LM395" s="875">
        <v>4.9765408218120379</v>
      </c>
      <c r="LN395" s="875">
        <v>11.15982798856253</v>
      </c>
      <c r="LO395" s="875">
        <v>98.866674477331927</v>
      </c>
      <c r="LP395" s="875">
        <v>20.87416203594622</v>
      </c>
      <c r="LQ395" s="875">
        <v>25.345757747011501</v>
      </c>
      <c r="LR395" s="875">
        <v>13.308628015249299</v>
      </c>
      <c r="LS395" s="875">
        <v>58.10601231670946</v>
      </c>
      <c r="LT395" s="875">
        <v>27.066744531072171</v>
      </c>
      <c r="LU395" s="875">
        <v>65.542259883326452</v>
      </c>
      <c r="LV395" s="875">
        <v>2.2303862343529999</v>
      </c>
      <c r="LW395" s="875">
        <v>4.1416329379432852</v>
      </c>
      <c r="LX395" s="875">
        <v>9.9627490748294694</v>
      </c>
      <c r="LY395" s="875">
        <v>83.419651724321241</v>
      </c>
      <c r="LZ395" s="875">
        <v>18.305269780947249</v>
      </c>
      <c r="MA395" s="875">
        <v>14.09288365831965</v>
      </c>
      <c r="MB395" s="875">
        <v>-1.3247440146448191</v>
      </c>
      <c r="MC395" s="875">
        <v>22.708401926189321</v>
      </c>
      <c r="MD395" s="875">
        <v>9.7002134703370988</v>
      </c>
      <c r="ME395" s="875">
        <v>19.208439674511531</v>
      </c>
      <c r="MF395" s="875">
        <v>-0.20982346639228039</v>
      </c>
      <c r="MG395" s="875">
        <v>-0.76933852611572884</v>
      </c>
      <c r="MH395" s="875">
        <v>8.1759528195632623</v>
      </c>
      <c r="MI395" s="875">
        <v>9.0170219953295702E-2</v>
      </c>
      <c r="MJ395" s="875">
        <v>3.531438087976674</v>
      </c>
      <c r="MK395" s="875">
        <v>14.09288365831965</v>
      </c>
      <c r="ML395" s="875">
        <v>-1.3247440146448191</v>
      </c>
      <c r="MM395" s="875">
        <v>22.708401926189321</v>
      </c>
      <c r="MN395" s="875">
        <v>9.7002134703370988</v>
      </c>
      <c r="MO395" s="875">
        <v>19.208439674511531</v>
      </c>
      <c r="MP395" s="875">
        <v>-0.20982346639228039</v>
      </c>
      <c r="MQ395" s="875">
        <v>-0.76933852611572884</v>
      </c>
      <c r="MR395" s="875">
        <v>7.9048601010615984</v>
      </c>
      <c r="MS395" s="875">
        <v>9.0170219953295702E-2</v>
      </c>
      <c r="MT395" s="875">
        <v>3.531438087976674</v>
      </c>
      <c r="MU395" s="875">
        <v>12.57826268075206</v>
      </c>
      <c r="MV395" s="875">
        <v>-3.343787313559436</v>
      </c>
      <c r="MW395" s="875">
        <v>17.756392459421519</v>
      </c>
      <c r="MX395" s="875">
        <v>7.2672108874877503</v>
      </c>
      <c r="MY395" s="875">
        <v>12.01070581411593</v>
      </c>
      <c r="MZ395" s="875">
        <v>-0.54251393246947766</v>
      </c>
      <c r="NA395" s="875">
        <v>-1.3661062346359549</v>
      </c>
      <c r="NB395" s="875">
        <v>6.8835753096879957</v>
      </c>
      <c r="NC395" s="875">
        <v>-10.394685003827909</v>
      </c>
      <c r="ND395" s="875">
        <v>1.4446700413344531</v>
      </c>
      <c r="NE395" s="875">
        <v>-999.21123951827019</v>
      </c>
      <c r="NF395" s="875">
        <v>101872.82393185511</v>
      </c>
      <c r="NG395" s="875">
        <v>-78.856101771738324</v>
      </c>
      <c r="NH395" s="875">
        <v>25139.879829955</v>
      </c>
      <c r="NI395" s="875">
        <v>-180.22689145258551</v>
      </c>
      <c r="NJ395" s="875">
        <v>-4160.2570761892875</v>
      </c>
      <c r="NK395" s="875">
        <v>-10854.286414632779</v>
      </c>
      <c r="NL395" s="875">
        <v>-29637.606659358418</v>
      </c>
      <c r="NM395" s="875">
        <v>7885.9769838320599</v>
      </c>
      <c r="NN395" s="875">
        <v>-51354.659185520934</v>
      </c>
      <c r="NO395" s="875">
        <v>-2184.3212790055359</v>
      </c>
      <c r="NP395" s="875">
        <v>139594.23593933581</v>
      </c>
      <c r="NQ395" s="875">
        <v>-2639.303096495325</v>
      </c>
      <c r="NR395" s="875">
        <v>17600.46098134563</v>
      </c>
      <c r="NS395" s="875">
        <v>-127.5435237453561</v>
      </c>
      <c r="NT395" s="875">
        <v>-1690.465865568993</v>
      </c>
      <c r="NU395" s="875">
        <v>-14493.97226417092</v>
      </c>
      <c r="NV395" s="875">
        <v>-33980.947797479042</v>
      </c>
      <c r="NW395" s="875">
        <v>8674.9090018432253</v>
      </c>
      <c r="NX395" s="875">
        <v>-42217.363371553343</v>
      </c>
      <c r="NY395" s="875">
        <v>-720.99848399396672</v>
      </c>
      <c r="NZ395" s="875">
        <v>110415.9820154441</v>
      </c>
      <c r="OA395" s="875">
        <v>-1260.471060868967</v>
      </c>
      <c r="OB395" s="875">
        <v>15068.203863414619</v>
      </c>
      <c r="OC395" s="875">
        <v>-68.170015718390715</v>
      </c>
      <c r="OD395" s="875">
        <v>-1572.806051232737</v>
      </c>
      <c r="OE395" s="875">
        <v>-19619.710350231551</v>
      </c>
      <c r="OF395" s="875">
        <v>-35419.014182916741</v>
      </c>
      <c r="OG395" s="875">
        <v>9869.5246546108938</v>
      </c>
      <c r="OH395" s="875">
        <v>-37311.056539936217</v>
      </c>
      <c r="OI395" s="875">
        <v>-1388.3814655800941</v>
      </c>
      <c r="OJ395" s="875">
        <v>112928.246185845</v>
      </c>
      <c r="OK395" s="875">
        <v>-2440.1830244483649</v>
      </c>
      <c r="OL395" s="875">
        <v>14307.46878240287</v>
      </c>
      <c r="OM395" s="875">
        <v>-221.2228705308938</v>
      </c>
      <c r="ON395" s="875">
        <v>-4208.7889396313176</v>
      </c>
      <c r="OO395" s="875">
        <v>-15976.99389548933</v>
      </c>
      <c r="OP395" s="875">
        <v>-33845.095754626927</v>
      </c>
      <c r="OQ395" s="875">
        <v>6979.0449807795594</v>
      </c>
      <c r="OR395" s="875">
        <v>-58595.833749239937</v>
      </c>
      <c r="OS395" s="875">
        <v>-1785.9497055737399</v>
      </c>
      <c r="OT395" s="875">
        <v>117969.5912239047</v>
      </c>
      <c r="OU395" s="875">
        <v>-840.72856183143472</v>
      </c>
      <c r="OV395" s="875">
        <v>10399.58661653683</v>
      </c>
      <c r="OW395" s="875">
        <v>-12159.14762945336</v>
      </c>
      <c r="OX395" s="875">
        <v>-1732.671614349606</v>
      </c>
      <c r="OY395" s="875">
        <v>-17965.201577790911</v>
      </c>
      <c r="OZ395" s="875">
        <v>-36804.548617589302</v>
      </c>
      <c r="PA395" s="875">
        <v>8920.73934063462</v>
      </c>
      <c r="PB395" s="875">
        <v>-49745.987452821057</v>
      </c>
      <c r="PC395" s="875">
        <v>-2143.5835043533421</v>
      </c>
      <c r="PD395" s="875">
        <v>121577.7811745646</v>
      </c>
      <c r="PE395" s="875">
        <v>-376.63217635865527</v>
      </c>
      <c r="PF395" s="875">
        <v>8774.4296247777438</v>
      </c>
      <c r="PG395" s="875">
        <v>-19938.286134494148</v>
      </c>
      <c r="PH395" s="875">
        <v>-1700.067336608249</v>
      </c>
      <c r="PI395" s="875">
        <v>-16069.56307398786</v>
      </c>
      <c r="PJ395" s="875">
        <v>-33031.396853820333</v>
      </c>
      <c r="PK395" s="875">
        <v>4160.7858193616667</v>
      </c>
      <c r="PL395" s="875">
        <v>-37986.533139109153</v>
      </c>
      <c r="PM395" s="875">
        <v>-5106.0317448804744</v>
      </c>
      <c r="PN395" s="875">
        <v>133878.25105191139</v>
      </c>
      <c r="PO395" s="875">
        <v>419.49324427171979</v>
      </c>
      <c r="PP395" s="875">
        <v>9659.4640595916371</v>
      </c>
      <c r="PQ395" s="875">
        <v>-13302.557605312721</v>
      </c>
      <c r="PR395" s="875">
        <v>-86.283655409951265</v>
      </c>
      <c r="PS395" s="875">
        <v>-18148.085255459649</v>
      </c>
      <c r="PT395" s="875">
        <v>-9805.8902706838235</v>
      </c>
      <c r="PU395" s="875">
        <v>-7350.1329388262293</v>
      </c>
      <c r="PV395" s="875">
        <v>-59499.394606111833</v>
      </c>
      <c r="PW395" s="875">
        <v>-4456.4704465667282</v>
      </c>
      <c r="PX395" s="875">
        <v>126966.4266641346</v>
      </c>
      <c r="PY395" s="875">
        <v>1242.815100811622</v>
      </c>
      <c r="PZ395" s="875">
        <v>14455.157945561699</v>
      </c>
      <c r="QA395" s="875">
        <v>-13302.557605312721</v>
      </c>
      <c r="QB395" s="875">
        <v>-86.28290890298544</v>
      </c>
      <c r="QC395" s="875">
        <v>-17808.04673200797</v>
      </c>
      <c r="QD395" s="875">
        <v>-8860.738794255547</v>
      </c>
      <c r="QE395" s="875">
        <v>-7350.1329388262293</v>
      </c>
      <c r="QF395" s="875">
        <v>-42435.511998658818</v>
      </c>
      <c r="QG395" s="875">
        <v>-3546.252848741487</v>
      </c>
      <c r="QH395" s="875">
        <v>105900.5600948049</v>
      </c>
      <c r="QI395" s="875">
        <v>2218.468036936411</v>
      </c>
      <c r="QJ395" s="875">
        <v>9754.0771252907689</v>
      </c>
      <c r="QK395" s="875">
        <v>-8843.3175989442534</v>
      </c>
      <c r="QL395" s="875">
        <v>-121.46108383586611</v>
      </c>
      <c r="QM395" s="875">
        <v>-17578.609574086979</v>
      </c>
      <c r="QN395" s="875">
        <v>-9958.9483461723958</v>
      </c>
      <c r="QO395" s="875">
        <v>-16847.160417318639</v>
      </c>
      <c r="QP395" s="875">
        <v>-71727.106910668605</v>
      </c>
      <c r="QQ395" s="875">
        <v>21568.680368493871</v>
      </c>
      <c r="QR395" s="875">
        <v>-6489.7255332929617</v>
      </c>
      <c r="QS395" s="875">
        <v>1777.0862203300751</v>
      </c>
      <c r="QT395" s="875">
        <v>-11793.44288662796</v>
      </c>
      <c r="QU395" s="875">
        <v>847.64820834817351</v>
      </c>
      <c r="QV395" s="875">
        <v>726.69366280808526</v>
      </c>
      <c r="QW395" s="875">
        <v>-4698.8670741899014</v>
      </c>
      <c r="QX395" s="875">
        <v>-1983.241198380834</v>
      </c>
      <c r="QY395" s="875">
        <v>-9180.1118553671804</v>
      </c>
      <c r="QZ395" s="875">
        <v>-17047.301109855471</v>
      </c>
      <c r="RA395" s="875">
        <v>22466.700827426659</v>
      </c>
      <c r="RB395" s="875">
        <v>-4897.2234370803972</v>
      </c>
      <c r="RC395" s="875">
        <v>1225.7378264794579</v>
      </c>
      <c r="RD395" s="875">
        <v>-12406.79398742064</v>
      </c>
      <c r="RE395" s="875">
        <v>669.20285078807524</v>
      </c>
      <c r="RF395" s="875">
        <v>1628.766611484147</v>
      </c>
      <c r="RG395" s="875">
        <v>-5032.0007592476486</v>
      </c>
      <c r="RH395" s="875">
        <v>-2782.2064771083642</v>
      </c>
      <c r="RI395" s="875">
        <v>-3125.1875278368179</v>
      </c>
      <c r="RJ395" s="875">
        <v>-20607.67563907486</v>
      </c>
      <c r="RK395" s="875">
        <v>23454.730195813128</v>
      </c>
      <c r="RL395" s="875">
        <v>-4448.600007585801</v>
      </c>
      <c r="RM395" s="875">
        <v>1999.059858760364</v>
      </c>
      <c r="RN395" s="875">
        <v>-7989.7815174431826</v>
      </c>
      <c r="RO395" s="875">
        <v>1094.708043464766</v>
      </c>
      <c r="RP395" s="875">
        <v>2734.6775552093691</v>
      </c>
      <c r="RQ395" s="875">
        <v>-5055.179838393201</v>
      </c>
      <c r="RR395" s="875">
        <v>-3012.305225225487</v>
      </c>
      <c r="RS395" s="875">
        <v>-8220.6840790383012</v>
      </c>
      <c r="RT395" s="875">
        <v>-16607.814175733842</v>
      </c>
      <c r="RU395" s="875">
        <v>21158.25291580211</v>
      </c>
      <c r="RV395" s="875">
        <v>-4612.2951715912141</v>
      </c>
      <c r="RW395" s="875">
        <v>2245.6469507291072</v>
      </c>
      <c r="RX395" s="875">
        <v>-13407.220738022161</v>
      </c>
      <c r="RY395" s="875">
        <v>0.93723961300683112</v>
      </c>
      <c r="RZ395" s="875">
        <v>2004.4516300478681</v>
      </c>
      <c r="SA395" s="875">
        <v>-4804.3725793613039</v>
      </c>
      <c r="SB395" s="875">
        <v>-3756.759564436813</v>
      </c>
      <c r="SC395" s="875">
        <v>-3502.421455552696</v>
      </c>
      <c r="SD395" s="875">
        <v>-18487.55340024257</v>
      </c>
      <c r="SE395" s="875">
        <v>20403.638516916541</v>
      </c>
      <c r="SF395" s="875">
        <v>-3982.9999735880579</v>
      </c>
      <c r="SG395" s="875">
        <v>3397.2643043967591</v>
      </c>
      <c r="SH395" s="875">
        <v>60.097331123838181</v>
      </c>
      <c r="SI395" s="875">
        <v>695.57735310239616</v>
      </c>
      <c r="SJ395" s="875">
        <v>928.77226189559326</v>
      </c>
      <c r="SK395" s="875">
        <v>-5142.3434543524336</v>
      </c>
      <c r="SL395" s="875">
        <v>-3401.5325387784851</v>
      </c>
      <c r="SM395" s="875">
        <v>-1686.2484621361421</v>
      </c>
      <c r="SN395" s="875">
        <v>-6487.2903915614525</v>
      </c>
      <c r="SO395" s="875">
        <v>23824.695035208671</v>
      </c>
      <c r="SP395" s="875">
        <v>-4355.9382572591676</v>
      </c>
      <c r="SQ395" s="875">
        <v>3329.5593696118849</v>
      </c>
      <c r="SR395" s="875">
        <v>-17662.869143175019</v>
      </c>
      <c r="SS395" s="875">
        <v>327.51047371558451</v>
      </c>
      <c r="ST395" s="875">
        <v>1129.355629418641</v>
      </c>
      <c r="SU395" s="875">
        <v>-4620.4989667680902</v>
      </c>
      <c r="SV395" s="875">
        <v>-4257.9602710455783</v>
      </c>
      <c r="SW395" s="875">
        <v>-9337.4851308093657</v>
      </c>
      <c r="SX395" s="875">
        <v>-8403.0903498393218</v>
      </c>
      <c r="SY395" s="875">
        <v>36468.591372896713</v>
      </c>
      <c r="SZ395" s="875">
        <v>-7396.9253133212969</v>
      </c>
      <c r="TA395" s="875">
        <v>6935.439915123311</v>
      </c>
      <c r="TB395" s="875">
        <v>-37191.741909273122</v>
      </c>
      <c r="TC395" s="875">
        <v>-287.23279549363002</v>
      </c>
      <c r="TD395" s="875">
        <v>10956.759355765091</v>
      </c>
      <c r="TE395" s="875">
        <v>-9146.4330112121606</v>
      </c>
      <c r="TF395" s="875">
        <v>549.63097337242505</v>
      </c>
      <c r="TG395" s="875">
        <v>18044.525551649502</v>
      </c>
      <c r="TH395" s="875">
        <v>-8797.3735181194934</v>
      </c>
      <c r="TI395" s="875">
        <v>36468.591372896713</v>
      </c>
      <c r="TJ395" s="875">
        <v>-7396.9253133212969</v>
      </c>
      <c r="TK395" s="875">
        <v>6935.439915123311</v>
      </c>
      <c r="TL395" s="875">
        <v>-37191.741909273122</v>
      </c>
      <c r="TM395" s="875">
        <v>-287.23279549363002</v>
      </c>
      <c r="TN395" s="875">
        <v>10956.759355765091</v>
      </c>
      <c r="TO395" s="875">
        <v>-9146.4330112121606</v>
      </c>
      <c r="TP395" s="875">
        <v>780.11896327121974</v>
      </c>
      <c r="TQ395" s="875">
        <v>18044.525551649502</v>
      </c>
      <c r="TR395" s="875">
        <v>-8797.3735181194934</v>
      </c>
      <c r="TS395" s="875">
        <v>37106.100439106063</v>
      </c>
      <c r="TT395" s="875">
        <v>-4308.7504928129047</v>
      </c>
      <c r="TU395" s="875">
        <v>9153.2960608074609</v>
      </c>
      <c r="TV395" s="875">
        <v>-34502.868387381277</v>
      </c>
      <c r="TW395" s="875">
        <v>-2709.1004177134259</v>
      </c>
      <c r="TX395" s="875">
        <v>456.23569456990998</v>
      </c>
      <c r="TY395" s="875">
        <v>-9066.6246605812867</v>
      </c>
      <c r="TZ395" s="875">
        <v>1358.145943451239</v>
      </c>
      <c r="UA395" s="875">
        <v>78159.540898856474</v>
      </c>
      <c r="UB395" s="875">
        <v>-13336.08322866152</v>
      </c>
      <c r="UC395" s="875">
        <v>-7.1566619609750006</v>
      </c>
      <c r="UD395" s="875">
        <v>-34412.777176850323</v>
      </c>
      <c r="UE395" s="875">
        <v>-3840.2039576792331</v>
      </c>
      <c r="UF395" s="875">
        <v>-33405.249934862557</v>
      </c>
      <c r="UG395" s="875">
        <v>-1579.475480180585</v>
      </c>
      <c r="UH395" s="875">
        <v>-359.56214796170872</v>
      </c>
      <c r="UI395" s="875">
        <v>-19712.742383826699</v>
      </c>
      <c r="UJ395" s="875">
        <v>-42172.777989147253</v>
      </c>
      <c r="UK395" s="875">
        <v>-2273.6332255541902</v>
      </c>
      <c r="UL395" s="875">
        <v>-17377.795113203229</v>
      </c>
      <c r="UM395" s="875">
        <v>2153.4976937159549</v>
      </c>
      <c r="UN395" s="875">
        <v>-60518.361764137037</v>
      </c>
      <c r="UO395" s="875">
        <v>3407.5724784876452</v>
      </c>
      <c r="UP395" s="875">
        <v>-35576.296651883291</v>
      </c>
      <c r="UQ395" s="875">
        <v>-3673.9666807918929</v>
      </c>
      <c r="UR395" s="875">
        <v>-299.52037353311329</v>
      </c>
      <c r="US395" s="875">
        <v>-18390.99387222475</v>
      </c>
      <c r="UT395" s="875">
        <v>-64393.298960823719</v>
      </c>
      <c r="UU395" s="875">
        <v>-28.676725497272049</v>
      </c>
      <c r="UV395" s="875">
        <v>-44146.423325695243</v>
      </c>
      <c r="UW395" s="875">
        <v>-7.0471238446662507</v>
      </c>
      <c r="UX395" s="875">
        <v>-38727.586522823571</v>
      </c>
      <c r="UY395" s="875">
        <v>4129.7968005447919</v>
      </c>
      <c r="UZ395" s="875">
        <v>-32796.927860556483</v>
      </c>
      <c r="VA395" s="875">
        <v>-1487.6688884563821</v>
      </c>
      <c r="VB395" s="875">
        <v>-544.28367864182985</v>
      </c>
      <c r="VC395" s="875">
        <v>-21758.83824327157</v>
      </c>
      <c r="VD395" s="875">
        <v>-51057.472337439889</v>
      </c>
      <c r="VE395" s="875">
        <v>16586.169027389191</v>
      </c>
      <c r="VF395" s="875">
        <v>-68340.947956523669</v>
      </c>
      <c r="VG395" s="875">
        <v>2478.2783575926792</v>
      </c>
      <c r="VH395" s="875">
        <v>-37163.94309985912</v>
      </c>
      <c r="VI395" s="875">
        <v>7581.7752271337658</v>
      </c>
      <c r="VJ395" s="875">
        <v>-34671.3423218635</v>
      </c>
      <c r="VK395" s="875">
        <v>-4452.107240174324</v>
      </c>
      <c r="VL395" s="875">
        <v>-365.87048468056952</v>
      </c>
      <c r="VM395" s="875">
        <v>-19263.979164040938</v>
      </c>
      <c r="VN395" s="875">
        <v>-27937.13973844186</v>
      </c>
      <c r="VO395" s="875">
        <v>-26.837158504439721</v>
      </c>
      <c r="VP395" s="875">
        <v>-16844.195733982011</v>
      </c>
      <c r="VQ395" s="875">
        <v>5332.5436073795681</v>
      </c>
      <c r="VR395" s="875">
        <v>-34919.071687451062</v>
      </c>
      <c r="VS395" s="875">
        <v>-4817.008507266276</v>
      </c>
      <c r="VT395" s="875">
        <v>-37868.925561157703</v>
      </c>
      <c r="VU395" s="875">
        <v>-916.20695689278739</v>
      </c>
      <c r="VV395" s="875">
        <v>-281.25872932778839</v>
      </c>
      <c r="VW395" s="875">
        <v>-20312.783728997128</v>
      </c>
      <c r="VX395" s="875">
        <v>-36496.261391112937</v>
      </c>
      <c r="VY395" s="875">
        <v>-102.2065827047338</v>
      </c>
      <c r="VZ395" s="875">
        <v>-67104.346316235227</v>
      </c>
      <c r="WA395" s="875">
        <v>-7.3851704575346568</v>
      </c>
      <c r="WB395" s="875">
        <v>-35751.772313682093</v>
      </c>
      <c r="WC395" s="875">
        <v>-3362.5439032728068</v>
      </c>
      <c r="WD395" s="875">
        <v>-32967.866108941424</v>
      </c>
      <c r="WE395" s="875">
        <v>-3781.6669971421702</v>
      </c>
      <c r="WF395" s="875">
        <v>-310.4313747026286</v>
      </c>
      <c r="WG395" s="875">
        <v>-21340.35978597925</v>
      </c>
      <c r="WH395" s="875">
        <v>-21811.423868172329</v>
      </c>
      <c r="WI395" s="875">
        <v>-11.3705616461927</v>
      </c>
      <c r="WJ395" s="875">
        <v>-76885.745817573683</v>
      </c>
      <c r="WK395" s="875">
        <v>6573.5047325103033</v>
      </c>
      <c r="WL395" s="875">
        <v>-38018.015295117068</v>
      </c>
      <c r="WM395" s="875">
        <v>-2424.428231710865</v>
      </c>
      <c r="WN395" s="875">
        <v>-30359.34422653223</v>
      </c>
      <c r="WO395" s="875">
        <v>-24633.70693897067</v>
      </c>
      <c r="WP395" s="875">
        <v>-496.42561728271062</v>
      </c>
      <c r="WQ395" s="875">
        <v>-19873.126023985289</v>
      </c>
      <c r="WR395" s="875">
        <v>-30443.046137166119</v>
      </c>
      <c r="WS395" s="875">
        <v>16417.365138061719</v>
      </c>
      <c r="WT395" s="875">
        <v>-26777.511104669891</v>
      </c>
      <c r="WU395" s="875">
        <v>6661.3396940580942</v>
      </c>
      <c r="WV395" s="875">
        <v>-49969.094608258347</v>
      </c>
      <c r="WW395" s="875">
        <v>-2424.428231710865</v>
      </c>
      <c r="WX395" s="875">
        <v>-28327.977027003541</v>
      </c>
      <c r="WY395" s="875">
        <v>-25297.081827014019</v>
      </c>
      <c r="WZ395" s="875">
        <v>-496.42561728271062</v>
      </c>
      <c r="XA395" s="875">
        <v>-19873.126023985289</v>
      </c>
      <c r="XB395" s="875">
        <v>-24056.559407848541</v>
      </c>
      <c r="XC395" s="875">
        <v>16417.365138061719</v>
      </c>
      <c r="XD395" s="875">
        <v>-31407.291884859969</v>
      </c>
      <c r="XE395" s="875">
        <v>9164.0940612603208</v>
      </c>
      <c r="XF395" s="875">
        <v>-37930.102164750519</v>
      </c>
      <c r="XG395" s="875">
        <v>-706.55311064130967</v>
      </c>
      <c r="XH395" s="875">
        <v>-34582.379952091542</v>
      </c>
      <c r="XI395" s="875">
        <v>-33801.681874131173</v>
      </c>
      <c r="XJ395" s="875">
        <v>-325.986240793479</v>
      </c>
      <c r="XK395" s="875">
        <v>-27521.59437465731</v>
      </c>
      <c r="XL395" s="875">
        <v>-25652.073636285331</v>
      </c>
      <c r="XM395" s="875">
        <v>76445.71565388341</v>
      </c>
      <c r="XN395" s="875">
        <v>-84462.346608543958</v>
      </c>
      <c r="XO395" s="875">
        <v>92.368125355718945</v>
      </c>
      <c r="XP395" s="875">
        <v>-6931.7401400316194</v>
      </c>
      <c r="XQ395" s="875">
        <v>16.940434302700339</v>
      </c>
      <c r="XR395" s="875">
        <v>0.7331014895386303</v>
      </c>
      <c r="XS395" s="875">
        <v>1974.205939613729</v>
      </c>
      <c r="XT395" s="875">
        <v>2.8724924405306962</v>
      </c>
      <c r="XU395" s="875">
        <v>-11.212047438642941</v>
      </c>
      <c r="XV395" s="875">
        <v>20598.63963877282</v>
      </c>
      <c r="XW395" s="875">
        <v>-597.01964907122829</v>
      </c>
      <c r="XX395" s="875">
        <v>8376.3675587502767</v>
      </c>
      <c r="XY395" s="875">
        <v>161.89146823685601</v>
      </c>
      <c r="XZ395" s="875">
        <v>-7796.7080525698366</v>
      </c>
      <c r="YA395" s="875">
        <v>2506.8054090084279</v>
      </c>
      <c r="YB395" s="875">
        <v>1.3149424487293659</v>
      </c>
      <c r="YC395" s="875">
        <v>1652.5245682517821</v>
      </c>
      <c r="YD395" s="875">
        <v>3.30478261515387</v>
      </c>
      <c r="YE395" s="875">
        <v>-10.378546168801821</v>
      </c>
      <c r="YF395" s="875">
        <v>24038.71651384257</v>
      </c>
      <c r="YG395" s="875">
        <v>68.923025731395313</v>
      </c>
      <c r="YH395" s="875">
        <v>10053.02070034206</v>
      </c>
      <c r="YI395" s="875">
        <v>91.209654633480682</v>
      </c>
      <c r="YJ395" s="875">
        <v>-2.648908367517282</v>
      </c>
      <c r="YK395" s="875">
        <v>13.794268262604611</v>
      </c>
      <c r="YL395" s="875">
        <v>9.9291404268390462</v>
      </c>
      <c r="YM395" s="875">
        <v>2023.855993610892</v>
      </c>
      <c r="YN395" s="875">
        <v>2.5732960534672</v>
      </c>
      <c r="YO395" s="875">
        <v>-12.89192524948762</v>
      </c>
      <c r="YP395" s="875">
        <v>25493.1036229973</v>
      </c>
      <c r="YQ395" s="875">
        <v>-498.9549998814644</v>
      </c>
      <c r="YR395" s="875">
        <v>7705.7104742653692</v>
      </c>
      <c r="YS395" s="875">
        <v>129.21815497943669</v>
      </c>
      <c r="YT395" s="875">
        <v>-7887.6827611238623</v>
      </c>
      <c r="YU395" s="875">
        <v>4757.8302012222257</v>
      </c>
      <c r="YV395" s="875">
        <v>1.577980560487158</v>
      </c>
      <c r="YW395" s="875">
        <v>2114.127719821925</v>
      </c>
      <c r="YX395" s="875">
        <v>3.351416283821135</v>
      </c>
      <c r="YY395" s="875">
        <v>-9.2399779411678544</v>
      </c>
      <c r="YZ395" s="875">
        <v>23324.680982992151</v>
      </c>
      <c r="ZA395" s="875">
        <v>148.3736991394963</v>
      </c>
      <c r="ZB395" s="875">
        <v>8792.1662972329068</v>
      </c>
      <c r="ZC395" s="875">
        <v>561.373285179037</v>
      </c>
      <c r="ZD395" s="875">
        <v>-8081.4743741846332</v>
      </c>
      <c r="ZE395" s="875">
        <v>8650.4693789476732</v>
      </c>
      <c r="ZF395" s="875">
        <v>-541.82097847833029</v>
      </c>
      <c r="ZG395" s="875">
        <v>1764.905239878796</v>
      </c>
      <c r="ZH395" s="875">
        <v>4.3168752026717758</v>
      </c>
      <c r="ZI395" s="875">
        <v>-8.0313724213890616</v>
      </c>
      <c r="ZJ395" s="875">
        <v>28499.538452370081</v>
      </c>
      <c r="ZK395" s="875">
        <v>833.98929114323687</v>
      </c>
      <c r="ZL395" s="875">
        <v>12788.160605880939</v>
      </c>
      <c r="ZM395" s="875">
        <v>1243.154355537559</v>
      </c>
      <c r="ZN395" s="875">
        <v>-8615.6563577647867</v>
      </c>
      <c r="ZO395" s="875">
        <v>3573.9974377100739</v>
      </c>
      <c r="ZP395" s="875">
        <v>-855.64368658040166</v>
      </c>
      <c r="ZQ395" s="875">
        <v>1456.9461006011711</v>
      </c>
      <c r="ZR395" s="875">
        <v>5.2393843374083477</v>
      </c>
      <c r="ZS395" s="875">
        <v>-6.0873796171270014</v>
      </c>
      <c r="ZT395" s="875">
        <v>31009.499044489221</v>
      </c>
      <c r="ZU395" s="875">
        <v>3123.713522058918</v>
      </c>
      <c r="ZV395" s="875">
        <v>10056.898443701541</v>
      </c>
      <c r="ZW395" s="875">
        <v>6179.3688454801659</v>
      </c>
      <c r="ZX395" s="875">
        <v>-13839.293589719569</v>
      </c>
      <c r="ZY395" s="875">
        <v>8673.6562881235295</v>
      </c>
      <c r="ZZ395" s="875">
        <v>-24073.078712885381</v>
      </c>
      <c r="AAA395" s="875">
        <v>-683.01459285259534</v>
      </c>
      <c r="AAB395" s="875">
        <v>7.2883293820276887</v>
      </c>
      <c r="AAC395" s="875">
        <v>-14.380937942773009</v>
      </c>
      <c r="AAD395" s="875">
        <v>28370.70163534789</v>
      </c>
      <c r="AAE395" s="875">
        <v>-10463.56644392248</v>
      </c>
      <c r="AAF395" s="875">
        <v>16851.814780889508</v>
      </c>
      <c r="AAG395" s="875">
        <v>6179.3688454801659</v>
      </c>
      <c r="AAH395" s="875">
        <v>-13839.293589719569</v>
      </c>
      <c r="AAI395" s="875">
        <v>8673.6562881235295</v>
      </c>
      <c r="AAJ395" s="875">
        <v>-24073.078712885381</v>
      </c>
      <c r="AAK395" s="875">
        <v>-683.01459285259534</v>
      </c>
      <c r="AAL395" s="875">
        <v>7.2883293820276887</v>
      </c>
      <c r="AAM395" s="875">
        <v>-14.380937942773009</v>
      </c>
      <c r="AAN395" s="875">
        <v>20883.309353720579</v>
      </c>
      <c r="AAO395" s="875">
        <v>-10463.56644392248</v>
      </c>
      <c r="AAP395" s="875">
        <v>16851.814780889508</v>
      </c>
      <c r="AAQ395" s="875">
        <v>33556.592864526443</v>
      </c>
      <c r="AAR395" s="875">
        <v>-15211.26800743431</v>
      </c>
      <c r="AAS395" s="875">
        <v>7804.2573947447909</v>
      </c>
      <c r="AAT395" s="875">
        <v>-27572.32568786509</v>
      </c>
      <c r="AAU395" s="875">
        <v>1075.7866669576231</v>
      </c>
      <c r="AAV395" s="875">
        <v>14.3270776088634</v>
      </c>
      <c r="AAW395" s="875">
        <v>-6.9799957070784204</v>
      </c>
      <c r="AAX395" s="875">
        <v>24208.963727962418</v>
      </c>
      <c r="AAY395" s="875">
        <v>-37.225763610885707</v>
      </c>
      <c r="AAZ395" s="875">
        <v>-3.51903752315167</v>
      </c>
      <c r="ABA395" s="875">
        <v>59.92680394166198</v>
      </c>
      <c r="ABB395" s="875">
        <v>53.10091798845847</v>
      </c>
      <c r="ABC395" s="875">
        <v>121.0054763882857</v>
      </c>
      <c r="ABD395" s="875">
        <v>60.5522697566701</v>
      </c>
      <c r="ABE395" s="875">
        <v>136.15129207647669</v>
      </c>
      <c r="ABF395" s="875">
        <v>19.227717060489091</v>
      </c>
      <c r="ABG395" s="875">
        <v>45.881777463370142</v>
      </c>
      <c r="ABH395" s="875">
        <v>63.234354846620583</v>
      </c>
      <c r="ABI395" s="875">
        <v>243.4131714688927</v>
      </c>
      <c r="ABJ395" s="875">
        <v>58.232376059042558</v>
      </c>
      <c r="ABK395" s="875">
        <v>59.92680394166198</v>
      </c>
      <c r="ABL395" s="875">
        <v>53.10091798845847</v>
      </c>
      <c r="ABM395" s="875">
        <v>121.0054763882857</v>
      </c>
      <c r="ABN395" s="875">
        <v>60.5522697566701</v>
      </c>
      <c r="ABO395" s="875">
        <v>136.15129207647669</v>
      </c>
      <c r="ABP395" s="875">
        <v>19.227717060489091</v>
      </c>
      <c r="ABQ395" s="875">
        <v>45.881777463370142</v>
      </c>
      <c r="ABR395" s="875">
        <v>63.234354846620583</v>
      </c>
      <c r="ABS395" s="875">
        <v>243.4131714688927</v>
      </c>
      <c r="ABT395" s="875">
        <v>58.232376059042558</v>
      </c>
      <c r="ABU395" s="875">
        <v>59.92680394166198</v>
      </c>
      <c r="ABV395" s="875">
        <v>53.10091798845847</v>
      </c>
      <c r="ABW395" s="875">
        <v>121.0054763882857</v>
      </c>
      <c r="ABX395" s="875">
        <v>60.5522697566701</v>
      </c>
      <c r="ABY395" s="875">
        <v>136.15129207647669</v>
      </c>
      <c r="ABZ395" s="875">
        <v>19.227717060489091</v>
      </c>
      <c r="ACA395" s="875">
        <v>45.881777463370142</v>
      </c>
      <c r="ACB395" s="875">
        <v>63.234354846620583</v>
      </c>
      <c r="ACC395" s="875">
        <v>243.4131714688927</v>
      </c>
      <c r="ACD395" s="875">
        <v>58.232376059042558</v>
      </c>
      <c r="ACE395" s="875">
        <v>59.92680394166198</v>
      </c>
      <c r="ACF395" s="875">
        <v>53.10091798845847</v>
      </c>
      <c r="ACG395" s="875">
        <v>121.0054763882857</v>
      </c>
      <c r="ACH395" s="875">
        <v>60.5522697566701</v>
      </c>
      <c r="ACI395" s="875">
        <v>136.15129207647669</v>
      </c>
      <c r="ACJ395" s="875">
        <v>19.227717060489091</v>
      </c>
      <c r="ACK395" s="875">
        <v>45.881777463370142</v>
      </c>
      <c r="ACL395" s="875">
        <v>63.234354846620583</v>
      </c>
      <c r="ACM395" s="875">
        <v>243.4131714688927</v>
      </c>
      <c r="ACN395" s="875">
        <v>58.232376059042558</v>
      </c>
      <c r="ACO395" s="875">
        <v>59.92680394166198</v>
      </c>
      <c r="ACP395" s="875">
        <v>53.10091798845847</v>
      </c>
      <c r="ACQ395" s="875">
        <v>121.0054763882857</v>
      </c>
      <c r="ACR395" s="875">
        <v>60.5522697566701</v>
      </c>
      <c r="ACS395" s="875">
        <v>136.15129207647669</v>
      </c>
      <c r="ACT395" s="875">
        <v>19.227717060489091</v>
      </c>
      <c r="ACU395" s="875">
        <v>45.881777463370142</v>
      </c>
      <c r="ACV395" s="875">
        <v>63.234354846620583</v>
      </c>
      <c r="ACW395" s="875">
        <v>243.4131714688927</v>
      </c>
      <c r="ACX395" s="875">
        <v>58.232376059042558</v>
      </c>
      <c r="ACY395" s="875">
        <v>59.92680394166198</v>
      </c>
      <c r="ACZ395" s="875">
        <v>53.10091798845847</v>
      </c>
      <c r="ADA395" s="875">
        <v>121.0054763882857</v>
      </c>
      <c r="ADB395" s="875">
        <v>60.5522697566701</v>
      </c>
      <c r="ADC395" s="875">
        <v>136.15129207647669</v>
      </c>
      <c r="ADD395" s="875">
        <v>19.227717060489091</v>
      </c>
      <c r="ADE395" s="875">
        <v>45.881777463370142</v>
      </c>
      <c r="ADF395" s="875">
        <v>63.234354846620583</v>
      </c>
      <c r="ADG395" s="875">
        <v>243.4131714688927</v>
      </c>
      <c r="ADH395" s="875">
        <v>58.232376059042558</v>
      </c>
      <c r="ADI395" s="875">
        <v>59.92680394166198</v>
      </c>
      <c r="ADJ395" s="875">
        <v>53.10091798845847</v>
      </c>
      <c r="ADK395" s="875">
        <v>121.0054763882857</v>
      </c>
      <c r="ADL395" s="875">
        <v>60.5522697566701</v>
      </c>
      <c r="ADM395" s="875">
        <v>136.15129207647669</v>
      </c>
      <c r="ADN395" s="875">
        <v>19.227717060489091</v>
      </c>
      <c r="ADO395" s="875">
        <v>45.881777463370142</v>
      </c>
      <c r="ADP395" s="875">
        <v>63.234354846620583</v>
      </c>
      <c r="ADQ395" s="875">
        <v>243.4131714688927</v>
      </c>
      <c r="ADR395" s="875">
        <v>58.232376059042558</v>
      </c>
      <c r="ADS395" s="875">
        <v>59.92680394166198</v>
      </c>
      <c r="ADT395" s="875">
        <v>53.10091798845847</v>
      </c>
      <c r="ADU395" s="875">
        <v>121.0054763882857</v>
      </c>
      <c r="ADV395" s="875">
        <v>60.5522697566701</v>
      </c>
      <c r="ADW395" s="875">
        <v>136.15129207647669</v>
      </c>
      <c r="ADX395" s="875">
        <v>19.227717060489091</v>
      </c>
      <c r="ADY395" s="875">
        <v>45.881777463370142</v>
      </c>
      <c r="ADZ395" s="875">
        <v>63.234354846620583</v>
      </c>
      <c r="AEA395" s="875">
        <v>243.4131714688927</v>
      </c>
      <c r="AEB395" s="875">
        <v>58.232376059042558</v>
      </c>
      <c r="AEC395" s="875">
        <v>59.92680394166198</v>
      </c>
      <c r="AED395" s="875">
        <v>53.10091798845847</v>
      </c>
      <c r="AEE395" s="875">
        <v>121.0054763882857</v>
      </c>
      <c r="AEF395" s="875">
        <v>60.5522697566701</v>
      </c>
      <c r="AEG395" s="875">
        <v>136.15129207647669</v>
      </c>
      <c r="AEH395" s="875">
        <v>19.227717060489091</v>
      </c>
      <c r="AEI395" s="875">
        <v>45.881777463370142</v>
      </c>
      <c r="AEJ395" s="875">
        <v>63.234354846620583</v>
      </c>
      <c r="AEK395" s="875">
        <v>243.4131714688927</v>
      </c>
      <c r="AEL395" s="875">
        <v>58.232376059042558</v>
      </c>
      <c r="AEM395" s="875">
        <v>49.975442681529813</v>
      </c>
      <c r="AEN395" s="875">
        <v>42.656006159297377</v>
      </c>
      <c r="AEO395" s="875">
        <v>119.57132957679831</v>
      </c>
      <c r="AEP395" s="875">
        <v>54.569844221871122</v>
      </c>
      <c r="AEQ395" s="875">
        <v>141.67141644103759</v>
      </c>
      <c r="AER395" s="875">
        <v>10.48197959167795</v>
      </c>
      <c r="AES395" s="875">
        <v>27.9837044442184</v>
      </c>
      <c r="AET395" s="875">
        <v>49.013505099701533</v>
      </c>
      <c r="AEU395" s="875">
        <v>239.16705399243429</v>
      </c>
      <c r="AEV395" s="875">
        <v>48.394142176183507</v>
      </c>
      <c r="AEW395" s="875">
        <v>49.975442681529813</v>
      </c>
      <c r="AEX395" s="875">
        <v>42.656006159297377</v>
      </c>
      <c r="AEY395" s="875">
        <v>119.57132957679831</v>
      </c>
      <c r="AEZ395" s="875">
        <v>54.569844221871122</v>
      </c>
      <c r="AFA395" s="875">
        <v>141.67141644103759</v>
      </c>
      <c r="AFB395" s="875">
        <v>10.48197959167795</v>
      </c>
      <c r="AFC395" s="875">
        <v>27.9837044442184</v>
      </c>
      <c r="AFD395" s="875">
        <v>49.013505099701533</v>
      </c>
      <c r="AFE395" s="875">
        <v>239.16705399243429</v>
      </c>
      <c r="AFF395" s="875">
        <v>48.394142176183507</v>
      </c>
      <c r="AFG395" s="875">
        <v>49.975442681529813</v>
      </c>
      <c r="AFH395" s="875">
        <v>42.656006159297377</v>
      </c>
      <c r="AFI395" s="875">
        <v>119.57132957679831</v>
      </c>
      <c r="AFJ395" s="875">
        <v>54.569844221871122</v>
      </c>
      <c r="AFK395" s="875">
        <v>141.67141644103759</v>
      </c>
      <c r="AFL395" s="875">
        <v>10.48197959167795</v>
      </c>
      <c r="AFM395" s="875">
        <v>27.9837044442184</v>
      </c>
      <c r="AFN395" s="875">
        <v>49.013505099701533</v>
      </c>
      <c r="AFO395" s="875">
        <v>239.16705399243429</v>
      </c>
      <c r="AFP395" s="875">
        <v>48.394142176183507</v>
      </c>
      <c r="AFQ395" s="875">
        <v>49.975442681529813</v>
      </c>
      <c r="AFR395" s="875">
        <v>42.656006159297377</v>
      </c>
      <c r="AFS395" s="875">
        <v>119.57132957679831</v>
      </c>
      <c r="AFT395" s="875">
        <v>54.569844221871122</v>
      </c>
      <c r="AFU395" s="875">
        <v>141.67141644103759</v>
      </c>
      <c r="AFV395" s="875">
        <v>10.48197959167795</v>
      </c>
      <c r="AFW395" s="875">
        <v>27.9837044442184</v>
      </c>
      <c r="AFX395" s="875">
        <v>49.013505099701533</v>
      </c>
      <c r="AFY395" s="875">
        <v>239.16705399243429</v>
      </c>
      <c r="AFZ395" s="875">
        <v>48.394142176183507</v>
      </c>
      <c r="AGA395" s="875">
        <v>49.975442681529813</v>
      </c>
      <c r="AGB395" s="875">
        <v>42.656006159297377</v>
      </c>
      <c r="AGC395" s="875">
        <v>119.57132957679831</v>
      </c>
      <c r="AGD395" s="875">
        <v>54.569844221871122</v>
      </c>
      <c r="AGE395" s="875">
        <v>141.67141644103759</v>
      </c>
      <c r="AGF395" s="875">
        <v>10.48197959167795</v>
      </c>
      <c r="AGG395" s="875">
        <v>27.9837044442184</v>
      </c>
      <c r="AGH395" s="875">
        <v>49.013505099701533</v>
      </c>
      <c r="AGI395" s="875">
        <v>239.16705399243429</v>
      </c>
      <c r="AGJ395" s="875">
        <v>48.394142176183507</v>
      </c>
      <c r="AGK395" s="875">
        <v>49.975442681529813</v>
      </c>
      <c r="AGL395" s="875">
        <v>42.656006159297377</v>
      </c>
      <c r="AGM395" s="875">
        <v>119.57132957679831</v>
      </c>
      <c r="AGN395" s="875">
        <v>54.569844221871122</v>
      </c>
      <c r="AGO395" s="875">
        <v>141.67141644103759</v>
      </c>
      <c r="AGP395" s="875">
        <v>10.48197959167795</v>
      </c>
      <c r="AGQ395" s="875">
        <v>27.9837044442184</v>
      </c>
      <c r="AGR395" s="875">
        <v>49.013505099701533</v>
      </c>
      <c r="AGS395" s="875">
        <v>239.16705399243429</v>
      </c>
      <c r="AGT395" s="875">
        <v>48.394142176183507</v>
      </c>
      <c r="AGU395" s="875">
        <v>49.975442681529813</v>
      </c>
      <c r="AGV395" s="875">
        <v>42.656006159297377</v>
      </c>
      <c r="AGW395" s="875">
        <v>119.57132957679831</v>
      </c>
      <c r="AGX395" s="875">
        <v>54.569844221871122</v>
      </c>
      <c r="AGY395" s="875">
        <v>141.67141644103759</v>
      </c>
      <c r="AGZ395" s="875">
        <v>10.48197959167795</v>
      </c>
      <c r="AHA395" s="875">
        <v>27.9837044442184</v>
      </c>
      <c r="AHB395" s="875">
        <v>49.013505099701533</v>
      </c>
      <c r="AHC395" s="875">
        <v>239.16705399243429</v>
      </c>
      <c r="AHD395" s="875">
        <v>48.394142176183507</v>
      </c>
      <c r="AHE395" s="875">
        <v>49.975442681529813</v>
      </c>
      <c r="AHF395" s="875">
        <v>42.656006159297377</v>
      </c>
      <c r="AHG395" s="875">
        <v>119.57132957679831</v>
      </c>
      <c r="AHH395" s="875">
        <v>54.569844221871122</v>
      </c>
      <c r="AHI395" s="875">
        <v>141.67141644103759</v>
      </c>
      <c r="AHJ395" s="875">
        <v>10.48197959167795</v>
      </c>
      <c r="AHK395" s="875">
        <v>27.9837044442184</v>
      </c>
      <c r="AHL395" s="875">
        <v>49.013505099701533</v>
      </c>
      <c r="AHM395" s="875">
        <v>239.16705399243429</v>
      </c>
      <c r="AHN395" s="875">
        <v>48.394142176183507</v>
      </c>
      <c r="AHO395" s="875">
        <v>49.975442681529813</v>
      </c>
      <c r="AHP395" s="875">
        <v>42.656006159297377</v>
      </c>
      <c r="AHQ395" s="875">
        <v>119.57132957679831</v>
      </c>
      <c r="AHR395" s="875">
        <v>54.569844221871122</v>
      </c>
      <c r="AHS395" s="875">
        <v>141.67141644103759</v>
      </c>
      <c r="AHT395" s="875">
        <v>10.48197959167795</v>
      </c>
      <c r="AHU395" s="875">
        <v>27.9837044442184</v>
      </c>
      <c r="AHV395" s="875">
        <v>49.013505099701533</v>
      </c>
      <c r="AHW395" s="875">
        <v>239.16705399243429</v>
      </c>
      <c r="AHX395" s="875">
        <v>48.394142176183507</v>
      </c>
      <c r="AHY395" s="875">
        <v>41.16839551673295</v>
      </c>
      <c r="AHZ395" s="875">
        <v>37.042235999025728</v>
      </c>
      <c r="AIA395" s="875">
        <v>81.418662652982221</v>
      </c>
      <c r="AIB395" s="875">
        <v>42.151469826075832</v>
      </c>
      <c r="AIC395" s="875">
        <v>92.098625686313369</v>
      </c>
      <c r="AID395" s="875">
        <v>13.12861558372308</v>
      </c>
      <c r="AIE395" s="875">
        <v>33.450753219968952</v>
      </c>
      <c r="AIF395" s="875">
        <v>37.768132768601333</v>
      </c>
      <c r="AIG395" s="875">
        <v>170.78409793612829</v>
      </c>
      <c r="AIH395" s="875">
        <v>39.937780934885353</v>
      </c>
      <c r="AII395" s="875">
        <v>41.16839551673295</v>
      </c>
      <c r="AIJ395" s="875">
        <v>37.042235999025728</v>
      </c>
      <c r="AIK395" s="875">
        <v>81.418662652982221</v>
      </c>
      <c r="AIL395" s="875">
        <v>42.151469826075832</v>
      </c>
      <c r="AIM395" s="875">
        <v>92.098625686313369</v>
      </c>
      <c r="AIN395" s="875">
        <v>13.12861558372308</v>
      </c>
      <c r="AIO395" s="875">
        <v>33.450753219968952</v>
      </c>
      <c r="AIP395" s="875">
        <v>37.768132768601333</v>
      </c>
      <c r="AIQ395" s="875">
        <v>170.78409793612829</v>
      </c>
      <c r="AIR395" s="875">
        <v>39.937780934885353</v>
      </c>
      <c r="AIS395" s="875">
        <v>41.16839551673295</v>
      </c>
      <c r="AIT395" s="875">
        <v>37.042235999025728</v>
      </c>
      <c r="AIU395" s="875">
        <v>81.418662652982221</v>
      </c>
      <c r="AIV395" s="875">
        <v>42.151469826075832</v>
      </c>
      <c r="AIW395" s="875">
        <v>92.098625686313369</v>
      </c>
      <c r="AIX395" s="875">
        <v>13.12861558372308</v>
      </c>
      <c r="AIY395" s="875">
        <v>33.450753219968952</v>
      </c>
      <c r="AIZ395" s="875">
        <v>37.768132768601333</v>
      </c>
      <c r="AJA395" s="875">
        <v>170.78409793612829</v>
      </c>
      <c r="AJB395" s="875">
        <v>39.937780934885353</v>
      </c>
      <c r="AJC395" s="875">
        <v>41.16839551673295</v>
      </c>
      <c r="AJD395" s="875">
        <v>37.042235999025728</v>
      </c>
      <c r="AJE395" s="875">
        <v>81.418662652982221</v>
      </c>
      <c r="AJF395" s="875">
        <v>42.151469826075832</v>
      </c>
      <c r="AJG395" s="875">
        <v>92.098625686313369</v>
      </c>
      <c r="AJH395" s="875">
        <v>13.12861558372308</v>
      </c>
      <c r="AJI395" s="875">
        <v>33.450753219968952</v>
      </c>
      <c r="AJJ395" s="875">
        <v>37.768132768601333</v>
      </c>
      <c r="AJK395" s="875">
        <v>170.78409793612829</v>
      </c>
      <c r="AJL395" s="875">
        <v>39.937780934885353</v>
      </c>
      <c r="AJM395" s="875">
        <v>41.16839551673295</v>
      </c>
      <c r="AJN395" s="875">
        <v>37.042235999025728</v>
      </c>
      <c r="AJO395" s="875">
        <v>81.418662652982221</v>
      </c>
      <c r="AJP395" s="875">
        <v>42.151469826075832</v>
      </c>
      <c r="AJQ395" s="875">
        <v>92.098625686313369</v>
      </c>
      <c r="AJR395" s="875">
        <v>13.12861558372308</v>
      </c>
      <c r="AJS395" s="875">
        <v>33.450753219968952</v>
      </c>
      <c r="AJT395" s="875">
        <v>37.768132768601333</v>
      </c>
      <c r="AJU395" s="875">
        <v>170.78409793612829</v>
      </c>
      <c r="AJV395" s="875">
        <v>39.937780934885353</v>
      </c>
      <c r="AJW395" s="875">
        <v>41.16839551673295</v>
      </c>
      <c r="AJX395" s="875">
        <v>37.042235999025728</v>
      </c>
      <c r="AJY395" s="875">
        <v>81.418662652982221</v>
      </c>
      <c r="AJZ395" s="875">
        <v>42.151469826075832</v>
      </c>
      <c r="AKA395" s="875">
        <v>92.098625686313369</v>
      </c>
      <c r="AKB395" s="875">
        <v>13.12861558372308</v>
      </c>
      <c r="AKC395" s="875">
        <v>33.450753219968952</v>
      </c>
      <c r="AKD395" s="875">
        <v>37.768132768601333</v>
      </c>
      <c r="AKE395" s="875">
        <v>170.78409793612829</v>
      </c>
      <c r="AKF395" s="875">
        <v>39.937780934885353</v>
      </c>
      <c r="AKG395" s="875">
        <v>41.16839551673295</v>
      </c>
      <c r="AKH395" s="875">
        <v>37.042235999025728</v>
      </c>
      <c r="AKI395" s="875">
        <v>81.418662652982221</v>
      </c>
      <c r="AKJ395" s="875">
        <v>42.151469826075832</v>
      </c>
      <c r="AKK395" s="875">
        <v>92.098625686313369</v>
      </c>
      <c r="AKL395" s="875">
        <v>13.12861558372308</v>
      </c>
      <c r="AKM395" s="875">
        <v>33.450753219968952</v>
      </c>
      <c r="AKN395" s="875">
        <v>37.768132768601333</v>
      </c>
      <c r="AKO395" s="875">
        <v>170.78409793612829</v>
      </c>
      <c r="AKP395" s="875">
        <v>39.937780934885353</v>
      </c>
      <c r="AKQ395" s="875">
        <v>41.16839551673295</v>
      </c>
      <c r="AKR395" s="875">
        <v>37.042235999025728</v>
      </c>
      <c r="AKS395" s="875">
        <v>81.418662652982221</v>
      </c>
      <c r="AKT395" s="875">
        <v>42.151469826075832</v>
      </c>
      <c r="AKU395" s="875">
        <v>92.098625686313369</v>
      </c>
      <c r="AKV395" s="875">
        <v>13.12861558372308</v>
      </c>
      <c r="AKW395" s="875">
        <v>33.450753219968952</v>
      </c>
      <c r="AKX395" s="875">
        <v>37.768132768601333</v>
      </c>
      <c r="AKY395" s="875">
        <v>170.78409793612829</v>
      </c>
      <c r="AKZ395" s="875">
        <v>39.937780934885353</v>
      </c>
      <c r="ALA395" s="875">
        <v>41.16839551673295</v>
      </c>
      <c r="ALB395" s="875">
        <v>37.042235999025728</v>
      </c>
      <c r="ALC395" s="875">
        <v>81.418662652982221</v>
      </c>
      <c r="ALD395" s="875">
        <v>42.151469826075832</v>
      </c>
      <c r="ALE395" s="875">
        <v>92.098625686313369</v>
      </c>
      <c r="ALF395" s="875">
        <v>13.12861558372308</v>
      </c>
      <c r="ALG395" s="875">
        <v>33.450753219968952</v>
      </c>
      <c r="ALH395" s="875">
        <v>37.768132768601333</v>
      </c>
      <c r="ALI395" s="875">
        <v>170.78409793612829</v>
      </c>
      <c r="ALJ395" s="875">
        <v>39.937780934885353</v>
      </c>
      <c r="ALK395" s="875">
        <v>36.271117967715711</v>
      </c>
      <c r="ALL395" s="875">
        <v>29.111300349329849</v>
      </c>
      <c r="ALM395" s="875">
        <v>85.332813142882216</v>
      </c>
      <c r="ALN395" s="875">
        <v>39.926310867294987</v>
      </c>
      <c r="ALO395" s="875">
        <v>101.3098864320141</v>
      </c>
      <c r="ALP395" s="875">
        <v>5.0176457282873521</v>
      </c>
      <c r="ALQ395" s="875">
        <v>19.222641868354291</v>
      </c>
      <c r="ALR395" s="875">
        <v>22.734365911237489</v>
      </c>
      <c r="ALS395" s="875">
        <v>179.50286910052171</v>
      </c>
      <c r="ALT395" s="875">
        <v>34.382524388399929</v>
      </c>
      <c r="ALU395" s="875">
        <v>36.271117967715711</v>
      </c>
      <c r="ALV395" s="875">
        <v>29.111300349329849</v>
      </c>
      <c r="ALW395" s="875">
        <v>85.332813142882216</v>
      </c>
      <c r="ALX395" s="875">
        <v>39.926310867294987</v>
      </c>
      <c r="ALY395" s="875">
        <v>101.3098864320141</v>
      </c>
      <c r="ALZ395" s="875">
        <v>5.0176457282873521</v>
      </c>
      <c r="AMA395" s="875">
        <v>19.222641868354291</v>
      </c>
      <c r="AMB395" s="875">
        <v>22.734365911237489</v>
      </c>
      <c r="AMC395" s="875">
        <v>179.50286910052171</v>
      </c>
      <c r="AMD395" s="875">
        <v>34.382524388399929</v>
      </c>
      <c r="AME395" s="875">
        <v>36.271117967715711</v>
      </c>
      <c r="AMF395" s="875">
        <v>29.111300349329849</v>
      </c>
      <c r="AMG395" s="875">
        <v>85.332813142882216</v>
      </c>
      <c r="AMH395" s="875">
        <v>39.926310867294987</v>
      </c>
      <c r="AMI395" s="875">
        <v>101.3098864320141</v>
      </c>
      <c r="AMJ395" s="875">
        <v>5.0176457282873521</v>
      </c>
      <c r="AMK395" s="875">
        <v>19.222641868354291</v>
      </c>
      <c r="AML395" s="875">
        <v>22.734365911237489</v>
      </c>
      <c r="AMM395" s="875">
        <v>179.50286910052171</v>
      </c>
      <c r="AMN395" s="875">
        <v>34.382524388399929</v>
      </c>
      <c r="AMO395" s="875">
        <v>36.271117967715711</v>
      </c>
      <c r="AMP395" s="875">
        <v>29.111300349329849</v>
      </c>
      <c r="AMQ395" s="875">
        <v>85.332813142882216</v>
      </c>
      <c r="AMR395" s="875">
        <v>39.926310867294987</v>
      </c>
      <c r="AMS395" s="875">
        <v>101.3098864320141</v>
      </c>
      <c r="AMT395" s="875">
        <v>5.0176457282873521</v>
      </c>
      <c r="AMU395" s="875">
        <v>19.222641868354291</v>
      </c>
      <c r="AMV395" s="875">
        <v>22.734365911237489</v>
      </c>
      <c r="AMW395" s="875">
        <v>179.50286910052171</v>
      </c>
      <c r="AMX395" s="875">
        <v>34.382524388399929</v>
      </c>
      <c r="AMY395" s="875">
        <v>36.271117967715711</v>
      </c>
      <c r="AMZ395" s="875">
        <v>29.111300349329849</v>
      </c>
      <c r="ANA395" s="875">
        <v>85.332813142882216</v>
      </c>
      <c r="ANB395" s="875">
        <v>39.926310867294987</v>
      </c>
      <c r="ANC395" s="875">
        <v>101.3098864320141</v>
      </c>
      <c r="AND395" s="875">
        <v>5.0176457282873521</v>
      </c>
      <c r="ANE395" s="875">
        <v>19.222641868354291</v>
      </c>
      <c r="ANF395" s="875">
        <v>22.734365911237489</v>
      </c>
      <c r="ANG395" s="875">
        <v>179.50286910052171</v>
      </c>
      <c r="ANH395" s="875">
        <v>34.382524388399929</v>
      </c>
      <c r="ANI395" s="875">
        <v>36.271117967715711</v>
      </c>
      <c r="ANJ395" s="875">
        <v>29.111300349329849</v>
      </c>
      <c r="ANK395" s="875">
        <v>85.332813142882216</v>
      </c>
      <c r="ANL395" s="875">
        <v>39.926310867294987</v>
      </c>
      <c r="ANM395" s="875">
        <v>101.3098864320141</v>
      </c>
      <c r="ANN395" s="875">
        <v>5.0176457282873521</v>
      </c>
      <c r="ANO395" s="875">
        <v>19.222641868354291</v>
      </c>
      <c r="ANP395" s="875">
        <v>22.734365911237489</v>
      </c>
      <c r="ANQ395" s="875">
        <v>179.50286910052171</v>
      </c>
      <c r="ANR395" s="875">
        <v>34.382524388399929</v>
      </c>
      <c r="ANS395" s="875">
        <v>36.271117967715711</v>
      </c>
      <c r="ANT395" s="875">
        <v>29.111300349329849</v>
      </c>
      <c r="ANU395" s="875">
        <v>85.332813142882216</v>
      </c>
      <c r="ANV395" s="875">
        <v>39.926310867294987</v>
      </c>
      <c r="ANW395" s="875">
        <v>101.3098864320141</v>
      </c>
      <c r="ANX395" s="875">
        <v>5.0176457282873521</v>
      </c>
      <c r="ANY395" s="875">
        <v>19.222641868354291</v>
      </c>
      <c r="ANZ395" s="875">
        <v>22.734365911237489</v>
      </c>
      <c r="AOA395" s="875">
        <v>179.50286910052171</v>
      </c>
      <c r="AOB395" s="875">
        <v>34.382524388399929</v>
      </c>
      <c r="AOC395" s="875">
        <v>36.271117967715711</v>
      </c>
      <c r="AOD395" s="875">
        <v>29.111300349329849</v>
      </c>
      <c r="AOE395" s="875">
        <v>85.332813142882216</v>
      </c>
      <c r="AOF395" s="875">
        <v>39.926310867294987</v>
      </c>
      <c r="AOG395" s="875">
        <v>101.3098864320141</v>
      </c>
      <c r="AOH395" s="875">
        <v>5.0176457282873521</v>
      </c>
      <c r="AOI395" s="875">
        <v>19.222641868354291</v>
      </c>
      <c r="AOJ395" s="875">
        <v>22.734365911237489</v>
      </c>
      <c r="AOK395" s="875">
        <v>179.50286910052171</v>
      </c>
      <c r="AOL395" s="875">
        <v>34.382524388399929</v>
      </c>
      <c r="AOM395" s="875">
        <v>36.271117967715711</v>
      </c>
      <c r="AON395" s="875">
        <v>29.111300349329849</v>
      </c>
      <c r="AOO395" s="875">
        <v>85.332813142882216</v>
      </c>
      <c r="AOP395" s="875">
        <v>39.926310867294987</v>
      </c>
      <c r="AOQ395" s="875">
        <v>101.3098864320141</v>
      </c>
      <c r="AOR395" s="875">
        <v>5.0176457282873521</v>
      </c>
      <c r="AOS395" s="875">
        <v>19.222641868354291</v>
      </c>
      <c r="AOT395" s="875">
        <v>22.734365911237489</v>
      </c>
      <c r="AOU395" s="875">
        <v>179.50286910052171</v>
      </c>
      <c r="AOV395" s="875">
        <v>34.382524388399929</v>
      </c>
      <c r="AOW395" s="887"/>
    </row>
    <row r="396" spans="2:1102" hidden="1">
      <c r="B396" s="1000" t="s">
        <v>1053</v>
      </c>
      <c r="C396" s="1000"/>
      <c r="D396" s="836"/>
      <c r="E396" s="892" t="s">
        <v>1036</v>
      </c>
      <c r="F396" s="462"/>
      <c r="G396" s="462" t="s">
        <v>65</v>
      </c>
      <c r="H396" s="462"/>
      <c r="I396" s="875">
        <v>49.728766916235202</v>
      </c>
      <c r="J396" s="875">
        <v>52.495198989007783</v>
      </c>
      <c r="K396" s="875">
        <v>40.62955312956494</v>
      </c>
      <c r="L396" s="875">
        <v>56.896172470556102</v>
      </c>
      <c r="M396" s="875">
        <v>41.468083369095893</v>
      </c>
      <c r="N396" s="875">
        <v>29.436693163044641</v>
      </c>
      <c r="O396" s="875">
        <v>44.880355299360467</v>
      </c>
      <c r="P396" s="875">
        <v>43.709659324613007</v>
      </c>
      <c r="Q396" s="875">
        <v>67.191688035043427</v>
      </c>
      <c r="R396" s="875">
        <v>49.474859259023518</v>
      </c>
      <c r="S396" s="875">
        <v>49.766484552764481</v>
      </c>
      <c r="T396" s="875">
        <v>52.475443387709937</v>
      </c>
      <c r="U396" s="875">
        <v>40.723955339187782</v>
      </c>
      <c r="V396" s="875">
        <v>57.077726923275279</v>
      </c>
      <c r="W396" s="875">
        <v>41.94905794527164</v>
      </c>
      <c r="X396" s="875">
        <v>29.468240371078618</v>
      </c>
      <c r="Y396" s="875">
        <v>44.854305401759973</v>
      </c>
      <c r="Z396" s="875">
        <v>43.884515276324038</v>
      </c>
      <c r="AA396" s="875">
        <v>67.308796188146104</v>
      </c>
      <c r="AB396" s="875">
        <v>49.66711296489234</v>
      </c>
      <c r="AC396" s="875">
        <v>50.132080699396049</v>
      </c>
      <c r="AD396" s="875">
        <v>53.136462475830029</v>
      </c>
      <c r="AE396" s="875">
        <v>42.203480539657747</v>
      </c>
      <c r="AF396" s="875">
        <v>57.305862539837683</v>
      </c>
      <c r="AG396" s="875">
        <v>42.701522584757448</v>
      </c>
      <c r="AH396" s="875">
        <v>29.599616712660971</v>
      </c>
      <c r="AI396" s="875">
        <v>45.060252025796451</v>
      </c>
      <c r="AJ396" s="875">
        <v>44.780908669041928</v>
      </c>
      <c r="AK396" s="875">
        <v>71.012635694448704</v>
      </c>
      <c r="AL396" s="875">
        <v>50.176334560656443</v>
      </c>
      <c r="AM396" s="875">
        <v>50.125204126961343</v>
      </c>
      <c r="AN396" s="875">
        <v>52.99887938495867</v>
      </c>
      <c r="AO396" s="875">
        <v>42.252470408247127</v>
      </c>
      <c r="AP396" s="875">
        <v>57.542112579134368</v>
      </c>
      <c r="AQ396" s="875">
        <v>43.428241662817577</v>
      </c>
      <c r="AR396" s="875">
        <v>29.61332224245087</v>
      </c>
      <c r="AS396" s="875">
        <v>44.983125499282949</v>
      </c>
      <c r="AT396" s="875">
        <v>44.952132275339899</v>
      </c>
      <c r="AU396" s="875">
        <v>71.057439838692702</v>
      </c>
      <c r="AV396" s="875">
        <v>50.374097705279013</v>
      </c>
      <c r="AW396" s="875">
        <v>50.112728276458377</v>
      </c>
      <c r="AX396" s="875">
        <v>52.841525714716518</v>
      </c>
      <c r="AY396" s="875">
        <v>42.210999033410907</v>
      </c>
      <c r="AZ396" s="875">
        <v>57.702328679833947</v>
      </c>
      <c r="BA396" s="875">
        <v>43.953777414069023</v>
      </c>
      <c r="BB396" s="875">
        <v>29.623993631202101</v>
      </c>
      <c r="BC396" s="875">
        <v>44.906213811577473</v>
      </c>
      <c r="BD396" s="875">
        <v>45.036034986248893</v>
      </c>
      <c r="BE396" s="875">
        <v>71.243351654696227</v>
      </c>
      <c r="BF396" s="875">
        <v>50.522614200038532</v>
      </c>
      <c r="BG396" s="875">
        <v>50.094218684019957</v>
      </c>
      <c r="BH396" s="875">
        <v>52.765537279215593</v>
      </c>
      <c r="BI396" s="875">
        <v>42.212524715927493</v>
      </c>
      <c r="BJ396" s="875">
        <v>57.786303981618133</v>
      </c>
      <c r="BK396" s="875">
        <v>44.252575301161407</v>
      </c>
      <c r="BL396" s="875">
        <v>29.630412119047939</v>
      </c>
      <c r="BM396" s="875">
        <v>44.851897539255823</v>
      </c>
      <c r="BN396" s="875">
        <v>45.168381177462813</v>
      </c>
      <c r="BO396" s="875">
        <v>71.392101476859921</v>
      </c>
      <c r="BP396" s="875">
        <v>50.584323071117183</v>
      </c>
      <c r="BQ396" s="875">
        <v>49.928172917468387</v>
      </c>
      <c r="BR396" s="875">
        <v>51.693779975370717</v>
      </c>
      <c r="BS396" s="875">
        <v>41.175703777340502</v>
      </c>
      <c r="BT396" s="875">
        <v>57.650793202272482</v>
      </c>
      <c r="BU396" s="875">
        <v>43.639241048073487</v>
      </c>
      <c r="BV396" s="875">
        <v>29.62522652250551</v>
      </c>
      <c r="BW396" s="875">
        <v>44.584028454051918</v>
      </c>
      <c r="BX396" s="875">
        <v>45.708075821075347</v>
      </c>
      <c r="BY396" s="875">
        <v>72.047875752683424</v>
      </c>
      <c r="BZ396" s="875">
        <v>50.358194621202408</v>
      </c>
      <c r="CA396" s="875">
        <v>49.928172917468387</v>
      </c>
      <c r="CB396" s="875">
        <v>51.693779307808391</v>
      </c>
      <c r="CC396" s="875">
        <v>41.175703777340502</v>
      </c>
      <c r="CD396" s="875">
        <v>57.650793202272482</v>
      </c>
      <c r="CE396" s="875">
        <v>43.639241048073487</v>
      </c>
      <c r="CF396" s="875">
        <v>29.625225804922501</v>
      </c>
      <c r="CG396" s="875">
        <v>44.584028454051918</v>
      </c>
      <c r="CH396" s="875">
        <v>45.6831489219825</v>
      </c>
      <c r="CI396" s="875">
        <v>72.047875752683424</v>
      </c>
      <c r="CJ396" s="875">
        <v>50.358194621202408</v>
      </c>
      <c r="CK396" s="875">
        <v>49.943119687900207</v>
      </c>
      <c r="CL396" s="875">
        <v>51.748471610955541</v>
      </c>
      <c r="CM396" s="875">
        <v>41.236511370759203</v>
      </c>
      <c r="CN396" s="875">
        <v>57.794762503581588</v>
      </c>
      <c r="CO396" s="875">
        <v>44.276471892439737</v>
      </c>
      <c r="CP396" s="875">
        <v>29.64571792893403</v>
      </c>
      <c r="CQ396" s="875">
        <v>44.548925537481601</v>
      </c>
      <c r="CR396" s="875">
        <v>45.683813213785143</v>
      </c>
      <c r="CS396" s="875">
        <v>70.741785294919822</v>
      </c>
      <c r="CT396" s="875">
        <v>50.537256700688559</v>
      </c>
      <c r="CU396" s="875">
        <v>53.801366893548519</v>
      </c>
      <c r="CV396" s="875">
        <v>55.156184006030479</v>
      </c>
      <c r="CW396" s="875">
        <v>42.229893507255262</v>
      </c>
      <c r="CX396" s="875">
        <v>59.915723259088978</v>
      </c>
      <c r="CY396" s="875">
        <v>41.859936144603132</v>
      </c>
      <c r="CZ396" s="875">
        <v>52.107111847708708</v>
      </c>
      <c r="DA396" s="875">
        <v>48.841344404086207</v>
      </c>
      <c r="DB396" s="875">
        <v>42.491511639228847</v>
      </c>
      <c r="DC396" s="875">
        <v>74.042792547948167</v>
      </c>
      <c r="DD396" s="875">
        <v>52.251195467593327</v>
      </c>
      <c r="DE396" s="875">
        <v>53.87699571113987</v>
      </c>
      <c r="DF396" s="875">
        <v>55.21130406493085</v>
      </c>
      <c r="DG396" s="875">
        <v>42.429639903012017</v>
      </c>
      <c r="DH396" s="875">
        <v>60.226830775979742</v>
      </c>
      <c r="DI396" s="875">
        <v>42.548201253372831</v>
      </c>
      <c r="DJ396" s="875">
        <v>29.826782956551821</v>
      </c>
      <c r="DK396" s="875">
        <v>48.802137353382207</v>
      </c>
      <c r="DL396" s="875">
        <v>42.649110948716697</v>
      </c>
      <c r="DM396" s="875">
        <v>74.481347067308192</v>
      </c>
      <c r="DN396" s="875">
        <v>52.498231534637092</v>
      </c>
      <c r="DO396" s="875">
        <v>54.260397484510193</v>
      </c>
      <c r="DP396" s="875">
        <v>55.831062387641992</v>
      </c>
      <c r="DQ396" s="875">
        <v>43.965951666799917</v>
      </c>
      <c r="DR396" s="875">
        <v>60.358915397932272</v>
      </c>
      <c r="DS396" s="875">
        <v>43.23339338737739</v>
      </c>
      <c r="DT396" s="875">
        <v>29.933035784488919</v>
      </c>
      <c r="DU396" s="875">
        <v>49.064345912518021</v>
      </c>
      <c r="DV396" s="875">
        <v>43.492182436594398</v>
      </c>
      <c r="DW396" s="875">
        <v>78.40407939365241</v>
      </c>
      <c r="DX396" s="875">
        <v>53.031071815970023</v>
      </c>
      <c r="DY396" s="875">
        <v>54.308194258248463</v>
      </c>
      <c r="DZ396" s="875">
        <v>55.822332809289577</v>
      </c>
      <c r="EA396" s="875">
        <v>44.141617125898662</v>
      </c>
      <c r="EB396" s="875">
        <v>60.785891202772653</v>
      </c>
      <c r="EC396" s="875">
        <v>44.300615044472863</v>
      </c>
      <c r="ED396" s="875">
        <v>29.98284663909082</v>
      </c>
      <c r="EE396" s="875">
        <v>48.967789181424052</v>
      </c>
      <c r="EF396" s="875">
        <v>43.610719843463237</v>
      </c>
      <c r="EG396" s="875">
        <v>79.043914888491756</v>
      </c>
      <c r="EH396" s="875">
        <v>53.312832566008503</v>
      </c>
      <c r="EI396" s="875">
        <v>54.334072276583917</v>
      </c>
      <c r="EJ396" s="875">
        <v>55.783730352330068</v>
      </c>
      <c r="EK396" s="875">
        <v>44.257055707962103</v>
      </c>
      <c r="EL396" s="875">
        <v>61.107873245863793</v>
      </c>
      <c r="EM396" s="875">
        <v>45.154207046248423</v>
      </c>
      <c r="EN396" s="875">
        <v>30.022577446796522</v>
      </c>
      <c r="EO396" s="875">
        <v>48.876602140546119</v>
      </c>
      <c r="EP396" s="875">
        <v>43.6656109982911</v>
      </c>
      <c r="EQ396" s="875">
        <v>79.370547294038218</v>
      </c>
      <c r="ER396" s="875">
        <v>53.522359441576057</v>
      </c>
      <c r="ES396" s="875">
        <v>54.343726514018172</v>
      </c>
      <c r="ET396" s="875">
        <v>55.752161897376247</v>
      </c>
      <c r="EU396" s="875">
        <v>44.315973203346452</v>
      </c>
      <c r="EV396" s="875">
        <v>61.280071556766067</v>
      </c>
      <c r="EW396" s="875">
        <v>45.625575169589332</v>
      </c>
      <c r="EX396" s="875">
        <v>30.045266053319441</v>
      </c>
      <c r="EY396" s="875">
        <v>48.820470187433493</v>
      </c>
      <c r="EZ396" s="875">
        <v>43.76430452457074</v>
      </c>
      <c r="FA396" s="875">
        <v>79.417421073498033</v>
      </c>
      <c r="FB396" s="875">
        <v>53.627384559518099</v>
      </c>
      <c r="FC396" s="875">
        <v>54.47909429389194</v>
      </c>
      <c r="FD396" s="875">
        <v>55.284132546027202</v>
      </c>
      <c r="FE396" s="875">
        <v>44.144365021929147</v>
      </c>
      <c r="FF396" s="875">
        <v>61.9635837431045</v>
      </c>
      <c r="FG396" s="875">
        <v>46.3883502592372</v>
      </c>
      <c r="FH396" s="875">
        <v>30.121746019144162</v>
      </c>
      <c r="FI396" s="875">
        <v>48.557044100516983</v>
      </c>
      <c r="FJ396" s="875">
        <v>44.240156448996807</v>
      </c>
      <c r="FK396" s="875">
        <v>79.995920842838501</v>
      </c>
      <c r="FL396" s="875">
        <v>53.931874415706218</v>
      </c>
      <c r="FM396" s="875">
        <v>54.47909429389194</v>
      </c>
      <c r="FN396" s="875">
        <v>55.284132546027202</v>
      </c>
      <c r="FO396" s="875">
        <v>44.144365021929147</v>
      </c>
      <c r="FP396" s="875">
        <v>61.9635837431045</v>
      </c>
      <c r="FQ396" s="875">
        <v>46.3883502592372</v>
      </c>
      <c r="FR396" s="875">
        <v>30.121746019144162</v>
      </c>
      <c r="FS396" s="875">
        <v>48.557044100516983</v>
      </c>
      <c r="FT396" s="875">
        <v>44.223150889855532</v>
      </c>
      <c r="FU396" s="875">
        <v>79.995920842838501</v>
      </c>
      <c r="FV396" s="875">
        <v>53.931874415706218</v>
      </c>
      <c r="FW396" s="875">
        <v>54.436010639698758</v>
      </c>
      <c r="FX396" s="875">
        <v>55.236355058026419</v>
      </c>
      <c r="FY396" s="875">
        <v>44.155986616636163</v>
      </c>
      <c r="FZ396" s="875">
        <v>62.102437875629469</v>
      </c>
      <c r="GA396" s="875">
        <v>47.355567466307008</v>
      </c>
      <c r="GB396" s="875">
        <v>30.152918601276799</v>
      </c>
      <c r="GC396" s="875">
        <v>48.454545334713707</v>
      </c>
      <c r="GD396" s="875">
        <v>44.181885911856703</v>
      </c>
      <c r="GE396" s="875">
        <v>76.802152495421666</v>
      </c>
      <c r="GF396" s="875">
        <v>54.029752233773017</v>
      </c>
      <c r="GG396" s="875">
        <v>35.769519029263712</v>
      </c>
      <c r="GH396" s="875">
        <v>37.436901483763343</v>
      </c>
      <c r="GI396" s="875">
        <v>29.553315472981801</v>
      </c>
      <c r="GJ396" s="875">
        <v>41.149876759062828</v>
      </c>
      <c r="GK396" s="875">
        <v>30.124260201097758</v>
      </c>
      <c r="GL396" s="875">
        <v>21.637236381787371</v>
      </c>
      <c r="GM396" s="875">
        <v>31.740142970673752</v>
      </c>
      <c r="GN396" s="875">
        <v>30.73907789736192</v>
      </c>
      <c r="GO396" s="875">
        <v>49.899992661470463</v>
      </c>
      <c r="GP396" s="875">
        <v>35.64178833273607</v>
      </c>
      <c r="GQ396" s="875">
        <v>35.776218289228702</v>
      </c>
      <c r="GR396" s="875">
        <v>37.399433925253668</v>
      </c>
      <c r="GS396" s="875">
        <v>29.612515576907288</v>
      </c>
      <c r="GT396" s="875">
        <v>41.240642259207483</v>
      </c>
      <c r="GU396" s="875">
        <v>30.440079141544651</v>
      </c>
      <c r="GV396" s="875">
        <v>21.670767346108551</v>
      </c>
      <c r="GW396" s="875">
        <v>31.706960901582601</v>
      </c>
      <c r="GX396" s="875">
        <v>30.783533702405219</v>
      </c>
      <c r="GY396" s="875">
        <v>49.911218928398867</v>
      </c>
      <c r="GZ396" s="875">
        <v>35.758817525161277</v>
      </c>
      <c r="HA396" s="875">
        <v>36.051221172069077</v>
      </c>
      <c r="HB396" s="875">
        <v>37.860342045254342</v>
      </c>
      <c r="HC396" s="875">
        <v>30.713946598966778</v>
      </c>
      <c r="HD396" s="875">
        <v>41.458092298703058</v>
      </c>
      <c r="HE396" s="875">
        <v>31.127423546181909</v>
      </c>
      <c r="HF396" s="875">
        <v>21.743101424974181</v>
      </c>
      <c r="HG396" s="875">
        <v>31.868856919229518</v>
      </c>
      <c r="HH396" s="875">
        <v>30.971698093993929</v>
      </c>
      <c r="HI396" s="875">
        <v>52.946766669698867</v>
      </c>
      <c r="HJ396" s="875">
        <v>36.149955187813553</v>
      </c>
      <c r="HK396" s="875">
        <v>36.022662123632863</v>
      </c>
      <c r="HL396" s="875">
        <v>37.738087747503798</v>
      </c>
      <c r="HM396" s="875">
        <v>30.654805831971981</v>
      </c>
      <c r="HN396" s="875">
        <v>41.567592718801393</v>
      </c>
      <c r="HO396" s="875">
        <v>31.56490688614187</v>
      </c>
      <c r="HP396" s="875">
        <v>21.775620096038558</v>
      </c>
      <c r="HQ396" s="875">
        <v>31.78864681179747</v>
      </c>
      <c r="HR396" s="875">
        <v>31.011971752195699</v>
      </c>
      <c r="HS396" s="875">
        <v>52.776817406527151</v>
      </c>
      <c r="HT396" s="875">
        <v>36.238905254808657</v>
      </c>
      <c r="HU396" s="875">
        <v>36.002366215956847</v>
      </c>
      <c r="HV396" s="875">
        <v>37.598412071845338</v>
      </c>
      <c r="HW396" s="875">
        <v>30.628300823129351</v>
      </c>
      <c r="HX396" s="875">
        <v>41.713594941311143</v>
      </c>
      <c r="HY396" s="875">
        <v>31.83672623874401</v>
      </c>
      <c r="HZ396" s="875">
        <v>21.80190644224114</v>
      </c>
      <c r="IA396" s="875">
        <v>31.744605043142119</v>
      </c>
      <c r="IB396" s="875">
        <v>31.03610914714578</v>
      </c>
      <c r="IC396" s="875">
        <v>52.44868778133916</v>
      </c>
      <c r="ID396" s="875">
        <v>36.271498669166078</v>
      </c>
      <c r="IE396" s="875">
        <v>35.98129494447749</v>
      </c>
      <c r="IF396" s="875">
        <v>37.520845652768003</v>
      </c>
      <c r="IG396" s="875">
        <v>30.625269874480178</v>
      </c>
      <c r="IH396" s="875">
        <v>41.700309676948052</v>
      </c>
      <c r="II396" s="875">
        <v>31.97339519027631</v>
      </c>
      <c r="IJ396" s="875">
        <v>21.81552323282914</v>
      </c>
      <c r="IK396" s="875">
        <v>31.702606198222679</v>
      </c>
      <c r="IL396" s="875">
        <v>31.085527895103439</v>
      </c>
      <c r="IM396" s="875">
        <v>52.415211091502997</v>
      </c>
      <c r="IN396" s="875">
        <v>36.284811872620672</v>
      </c>
      <c r="IO396" s="875">
        <v>35.721820954915117</v>
      </c>
      <c r="IP396" s="875">
        <v>36.661046049307537</v>
      </c>
      <c r="IQ396" s="875">
        <v>29.845774225675541</v>
      </c>
      <c r="IR396" s="875">
        <v>41.619090161801182</v>
      </c>
      <c r="IS396" s="875">
        <v>31.436723255484129</v>
      </c>
      <c r="IT396" s="875">
        <v>21.85549882806697</v>
      </c>
      <c r="IU396" s="875">
        <v>31.461726029400939</v>
      </c>
      <c r="IV396" s="875">
        <v>31.21184757750088</v>
      </c>
      <c r="IW396" s="875">
        <v>51.581990512710142</v>
      </c>
      <c r="IX396" s="875">
        <v>36.069767952963367</v>
      </c>
      <c r="IY396" s="875">
        <v>35.721820954915117</v>
      </c>
      <c r="IZ396" s="875">
        <v>36.661045956790367</v>
      </c>
      <c r="JA396" s="875">
        <v>29.845774423459151</v>
      </c>
      <c r="JB396" s="875">
        <v>41.619089832887518</v>
      </c>
      <c r="JC396" s="875">
        <v>31.43672330134115</v>
      </c>
      <c r="JD396" s="875">
        <v>21.85549882806697</v>
      </c>
      <c r="JE396" s="875">
        <v>31.4617259363404</v>
      </c>
      <c r="JF396" s="875">
        <v>31.208842910072399</v>
      </c>
      <c r="JG396" s="875">
        <v>51.581990512710142</v>
      </c>
      <c r="JH396" s="875">
        <v>36.069767952963367</v>
      </c>
      <c r="JI396" s="875">
        <v>35.686578757084114</v>
      </c>
      <c r="JJ396" s="875">
        <v>36.568610434364629</v>
      </c>
      <c r="JK396" s="875">
        <v>29.778702351909651</v>
      </c>
      <c r="JL396" s="875">
        <v>41.630416125394753</v>
      </c>
      <c r="JM396" s="875">
        <v>31.723206940454428</v>
      </c>
      <c r="JN396" s="875">
        <v>21.875942717924641</v>
      </c>
      <c r="JO396" s="875">
        <v>31.440876441684122</v>
      </c>
      <c r="JP396" s="875">
        <v>31.21805223883289</v>
      </c>
      <c r="JQ396" s="875">
        <v>49.570748597194942</v>
      </c>
      <c r="JR396" s="875">
        <v>36.082536388254972</v>
      </c>
      <c r="JS396" s="875">
        <v>39.017343742354683</v>
      </c>
      <c r="JT396" s="875">
        <v>40.276709403243721</v>
      </c>
      <c r="JU396" s="875">
        <v>30.78225905799767</v>
      </c>
      <c r="JV396" s="875">
        <v>44.204166200412793</v>
      </c>
      <c r="JW396" s="875">
        <v>30.379364618979821</v>
      </c>
      <c r="JX396" s="875">
        <v>22.025536298537489</v>
      </c>
      <c r="JY396" s="875">
        <v>36.646817679737843</v>
      </c>
      <c r="JZ396" s="875">
        <v>28.97918168555244</v>
      </c>
      <c r="KA396" s="875">
        <v>56.609782156680772</v>
      </c>
      <c r="KB396" s="875">
        <v>38.40534481360671</v>
      </c>
      <c r="KC396" s="875">
        <v>39.092117048682823</v>
      </c>
      <c r="KD396" s="875">
        <v>40.349572789789541</v>
      </c>
      <c r="KE396" s="875">
        <v>30.94615778774266</v>
      </c>
      <c r="KF396" s="875">
        <v>44.468340763034817</v>
      </c>
      <c r="KG396" s="875">
        <v>30.84576426487223</v>
      </c>
      <c r="KH396" s="875">
        <v>22.061491794368031</v>
      </c>
      <c r="KI396" s="875">
        <v>36.652305166377992</v>
      </c>
      <c r="KJ396" s="875">
        <v>29.021869510356801</v>
      </c>
      <c r="KK396" s="875">
        <v>57.095461285969328</v>
      </c>
      <c r="KL396" s="875">
        <v>38.611503417810532</v>
      </c>
      <c r="KM396" s="875">
        <v>39.322456849083053</v>
      </c>
      <c r="KN396" s="875">
        <v>40.726852008416508</v>
      </c>
      <c r="KO396" s="875">
        <v>31.981759169264279</v>
      </c>
      <c r="KP396" s="875">
        <v>44.524847976492907</v>
      </c>
      <c r="KQ396" s="875">
        <v>31.446663850162889</v>
      </c>
      <c r="KR396" s="875">
        <v>22.138823043574568</v>
      </c>
      <c r="KS396" s="875">
        <v>36.782880421293363</v>
      </c>
      <c r="KT396" s="875">
        <v>29.189579443106211</v>
      </c>
      <c r="KU396" s="875">
        <v>60.093391524671468</v>
      </c>
      <c r="KV396" s="875">
        <v>38.937517597391221</v>
      </c>
      <c r="KW396" s="875">
        <v>39.390308159497593</v>
      </c>
      <c r="KX396" s="875">
        <v>40.77998838753274</v>
      </c>
      <c r="KY396" s="875">
        <v>32.125821037062813</v>
      </c>
      <c r="KZ396" s="875">
        <v>44.885187489209997</v>
      </c>
      <c r="LA396" s="875">
        <v>32.131218520403728</v>
      </c>
      <c r="LB396" s="875">
        <v>22.174066768386972</v>
      </c>
      <c r="LC396" s="875">
        <v>36.768000359119021</v>
      </c>
      <c r="LD396" s="875">
        <v>29.224608675181521</v>
      </c>
      <c r="LE396" s="875">
        <v>60.713892914961853</v>
      </c>
      <c r="LF396" s="875">
        <v>39.183380054270913</v>
      </c>
      <c r="LG396" s="875">
        <v>39.442254973086982</v>
      </c>
      <c r="LH396" s="875">
        <v>40.80884218449043</v>
      </c>
      <c r="LI396" s="875">
        <v>32.262163060633313</v>
      </c>
      <c r="LJ396" s="875">
        <v>45.184136945653819</v>
      </c>
      <c r="LK396" s="875">
        <v>32.711069868054167</v>
      </c>
      <c r="LL396" s="875">
        <v>22.201812231807509</v>
      </c>
      <c r="LM396" s="875">
        <v>36.754490305863797</v>
      </c>
      <c r="LN396" s="875">
        <v>29.242893830225249</v>
      </c>
      <c r="LO396" s="875">
        <v>61.015103966434218</v>
      </c>
      <c r="LP396" s="875">
        <v>39.375353077538598</v>
      </c>
      <c r="LQ396" s="875">
        <v>39.468645873217852</v>
      </c>
      <c r="LR396" s="875">
        <v>40.823965991347798</v>
      </c>
      <c r="LS396" s="875">
        <v>32.340336676169237</v>
      </c>
      <c r="LT396" s="875">
        <v>45.336754784700886</v>
      </c>
      <c r="LU396" s="875">
        <v>33.044723398072769</v>
      </c>
      <c r="LV396" s="875">
        <v>22.216441236513941</v>
      </c>
      <c r="LW396" s="875">
        <v>36.743660277041627</v>
      </c>
      <c r="LX396" s="875">
        <v>29.27542536265889</v>
      </c>
      <c r="LY396" s="875">
        <v>61.16059993926185</v>
      </c>
      <c r="LZ396" s="875">
        <v>39.474622691025203</v>
      </c>
      <c r="MA396" s="875">
        <v>39.591672681393753</v>
      </c>
      <c r="MB396" s="875">
        <v>40.675885264868953</v>
      </c>
      <c r="MC396" s="875">
        <v>32.398501964350402</v>
      </c>
      <c r="MD396" s="875">
        <v>46.113424105599456</v>
      </c>
      <c r="ME396" s="875">
        <v>34.090254642420042</v>
      </c>
      <c r="MF396" s="875">
        <v>22.254274011028389</v>
      </c>
      <c r="MG396" s="875">
        <v>36.648555442186527</v>
      </c>
      <c r="MH396" s="875">
        <v>29.374340521775942</v>
      </c>
      <c r="MI396" s="875">
        <v>59.28999300445426</v>
      </c>
      <c r="MJ396" s="875">
        <v>39.857780547626952</v>
      </c>
      <c r="MK396" s="875">
        <v>39.591672681393753</v>
      </c>
      <c r="ML396" s="875">
        <v>40.675885264868953</v>
      </c>
      <c r="MM396" s="875">
        <v>32.398501964350402</v>
      </c>
      <c r="MN396" s="875">
        <v>46.113424105599456</v>
      </c>
      <c r="MO396" s="875">
        <v>34.090254642420042</v>
      </c>
      <c r="MP396" s="875">
        <v>22.254274011028389</v>
      </c>
      <c r="MQ396" s="875">
        <v>36.648555442186527</v>
      </c>
      <c r="MR396" s="875">
        <v>29.37539770013478</v>
      </c>
      <c r="MS396" s="875">
        <v>59.28999300445426</v>
      </c>
      <c r="MT396" s="875">
        <v>39.857780547626952</v>
      </c>
      <c r="MU396" s="875">
        <v>39.6105751741772</v>
      </c>
      <c r="MV396" s="875">
        <v>40.698715797442958</v>
      </c>
      <c r="MW396" s="875">
        <v>32.439883093969073</v>
      </c>
      <c r="MX396" s="875">
        <v>46.271635466145462</v>
      </c>
      <c r="MY396" s="875">
        <v>34.586340976238169</v>
      </c>
      <c r="MZ396" s="875">
        <v>22.273049701424469</v>
      </c>
      <c r="NA396" s="875">
        <v>36.626015653843822</v>
      </c>
      <c r="NB396" s="875">
        <v>29.380411842662561</v>
      </c>
      <c r="NC396" s="875">
        <v>57.7396366563557</v>
      </c>
      <c r="ND396" s="875">
        <v>39.967166725047633</v>
      </c>
      <c r="NE396" s="875">
        <v>301.48729518445401</v>
      </c>
      <c r="NF396" s="875">
        <v>-1.6424120715437629</v>
      </c>
      <c r="NG396" s="875">
        <v>2696.3860903449031</v>
      </c>
      <c r="NH396" s="875">
        <v>-5.100029648874559E-3</v>
      </c>
      <c r="NI396" s="875">
        <v>6.4917511329740428E-7</v>
      </c>
      <c r="NJ396" s="875">
        <v>-5.860506358284976E-7</v>
      </c>
      <c r="NK396" s="875">
        <v>410.06492116266702</v>
      </c>
      <c r="NL396" s="875">
        <v>-5.3938071767979663</v>
      </c>
      <c r="NM396" s="875">
        <v>0.17155933106350621</v>
      </c>
      <c r="NN396" s="875">
        <v>-2.8764504820557911E-3</v>
      </c>
      <c r="NO396" s="875">
        <v>1489.2771041978399</v>
      </c>
      <c r="NP396" s="875">
        <v>-1.809163346639217</v>
      </c>
      <c r="NQ396" s="875">
        <v>4580.4190763765992</v>
      </c>
      <c r="NR396" s="875">
        <v>-4.5283072165515298E-3</v>
      </c>
      <c r="NS396" s="875">
        <v>2.5825325965380259E-6</v>
      </c>
      <c r="NT396" s="875">
        <v>429.78740432060653</v>
      </c>
      <c r="NU396" s="875">
        <v>675.87498000846313</v>
      </c>
      <c r="NV396" s="875">
        <v>-6.0644134638882417</v>
      </c>
      <c r="NW396" s="875">
        <v>0.14707729850089929</v>
      </c>
      <c r="NX396" s="875">
        <v>-1.816257995091963E-3</v>
      </c>
      <c r="NY396" s="875">
        <v>189.55875115088821</v>
      </c>
      <c r="NZ396" s="875">
        <v>-1.6450726014196191</v>
      </c>
      <c r="OA396" s="875">
        <v>5239.848412961288</v>
      </c>
      <c r="OB396" s="875">
        <v>-5.5674264130850673E-3</v>
      </c>
      <c r="OC396" s="875">
        <v>-79.363899146682741</v>
      </c>
      <c r="OD396" s="875">
        <v>337.30671072636528</v>
      </c>
      <c r="OE396" s="875">
        <v>-18114.78066056225</v>
      </c>
      <c r="OF396" s="875">
        <v>-9.8733265575143321</v>
      </c>
      <c r="OG396" s="875">
        <v>0.18778099368656501</v>
      </c>
      <c r="OH396" s="875">
        <v>-3.2595592827692321E-3</v>
      </c>
      <c r="OI396" s="875">
        <v>866.09742966095018</v>
      </c>
      <c r="OJ396" s="875">
        <v>-1.7704821894223499</v>
      </c>
      <c r="OK396" s="875">
        <v>4615.3479939221606</v>
      </c>
      <c r="OL396" s="875">
        <v>-6.0618869309644998E-3</v>
      </c>
      <c r="OM396" s="875">
        <v>5.7528760579199863E-7</v>
      </c>
      <c r="ON396" s="875">
        <v>-5.1240375322207215E-7</v>
      </c>
      <c r="OO396" s="875">
        <v>738.45215708116916</v>
      </c>
      <c r="OP396" s="875">
        <v>-7.2030309899352032</v>
      </c>
      <c r="OQ396" s="875">
        <v>0.1287505368227756</v>
      </c>
      <c r="OR396" s="875">
        <v>-1.8879640584169701E-3</v>
      </c>
      <c r="OS396" s="875">
        <v>1673.791451185931</v>
      </c>
      <c r="OT396" s="875">
        <v>-1.7398946005032121</v>
      </c>
      <c r="OU396" s="875">
        <v>4963.8343331381157</v>
      </c>
      <c r="OV396" s="875">
        <v>-6.7959010467619207E-3</v>
      </c>
      <c r="OW396" s="875">
        <v>-12790.15031841334</v>
      </c>
      <c r="OX396" s="875">
        <v>463.95556336118341</v>
      </c>
      <c r="OY396" s="875">
        <v>1039.362561691951</v>
      </c>
      <c r="OZ396" s="875">
        <v>-7.1936277069951169</v>
      </c>
      <c r="PA396" s="875">
        <v>0.79625685913002142</v>
      </c>
      <c r="PB396" s="875">
        <v>-1.2818602901388219E-3</v>
      </c>
      <c r="PC396" s="875">
        <v>2486.198723515151</v>
      </c>
      <c r="PD396" s="875">
        <v>-1.7083576548387049</v>
      </c>
      <c r="PE396" s="875">
        <v>3983.478127253431</v>
      </c>
      <c r="PF396" s="875">
        <v>-6.6047354427006041E-3</v>
      </c>
      <c r="PG396" s="875">
        <v>1.5727943978732801E-6</v>
      </c>
      <c r="PH396" s="875">
        <v>499.6027349978682</v>
      </c>
      <c r="PI396" s="875">
        <v>1001.334773984049</v>
      </c>
      <c r="PJ396" s="875">
        <v>-7.9105897651268959</v>
      </c>
      <c r="PK396" s="875">
        <v>0.49529351955974638</v>
      </c>
      <c r="PL396" s="875">
        <v>-1.048975440541962E-3</v>
      </c>
      <c r="PM396" s="875">
        <v>6267.1990516155056</v>
      </c>
      <c r="PN396" s="875">
        <v>-2.2365625549804689</v>
      </c>
      <c r="PO396" s="875">
        <v>4497.4584003133523</v>
      </c>
      <c r="PP396" s="875">
        <v>-5.0743824243118197E-3</v>
      </c>
      <c r="PQ396" s="875">
        <v>-10624.472269440759</v>
      </c>
      <c r="PR396" s="875">
        <v>61.535908514096839</v>
      </c>
      <c r="PS396" s="875">
        <v>1263.217958417833</v>
      </c>
      <c r="PT396" s="875">
        <v>-12324.51839279008</v>
      </c>
      <c r="PU396" s="875">
        <v>2.9961573962974462</v>
      </c>
      <c r="PV396" s="875">
        <v>-2.053396292121085E-3</v>
      </c>
      <c r="PW396" s="875">
        <v>6095.6765219857061</v>
      </c>
      <c r="PX396" s="875">
        <v>-2.227624262912574</v>
      </c>
      <c r="PY396" s="875">
        <v>6949.979902505921</v>
      </c>
      <c r="PZ396" s="875">
        <v>-5.0730470979278002E-3</v>
      </c>
      <c r="QA396" s="875">
        <v>-10624.472269440759</v>
      </c>
      <c r="QB396" s="875">
        <v>61.535560715488728</v>
      </c>
      <c r="QC396" s="875">
        <v>1068.842810575039</v>
      </c>
      <c r="QD396" s="875">
        <v>-12365.701259411981</v>
      </c>
      <c r="QE396" s="875">
        <v>2.9961573962974462</v>
      </c>
      <c r="QF396" s="875">
        <v>-2.054728378236787E-3</v>
      </c>
      <c r="QG396" s="875">
        <v>4930.7275884053952</v>
      </c>
      <c r="QH396" s="875">
        <v>-2.3054473899620409</v>
      </c>
      <c r="QI396" s="875">
        <v>6271.3782624736759</v>
      </c>
      <c r="QJ396" s="875">
        <v>-4.7332641491647492E-3</v>
      </c>
      <c r="QK396" s="875">
        <v>371.84578866965671</v>
      </c>
      <c r="QL396" s="875">
        <v>94.914378023452102</v>
      </c>
      <c r="QM396" s="875">
        <v>1091.546102307075</v>
      </c>
      <c r="QN396" s="875">
        <v>-9022.6724264002605</v>
      </c>
      <c r="QO396" s="875">
        <v>2.437137799123632</v>
      </c>
      <c r="QP396" s="875">
        <v>-1.396129177259512E-3</v>
      </c>
      <c r="QQ396" s="875">
        <v>0.7108391113577528</v>
      </c>
      <c r="QR396" s="875">
        <v>-0.43340461552221909</v>
      </c>
      <c r="QS396" s="875">
        <v>3408.8698315437268</v>
      </c>
      <c r="QT396" s="875">
        <v>-1.7849389650109429E-3</v>
      </c>
      <c r="QU396" s="875">
        <v>-845.60536551299504</v>
      </c>
      <c r="QV396" s="875">
        <v>620.819799644608</v>
      </c>
      <c r="QW396" s="875">
        <v>243.96886551710799</v>
      </c>
      <c r="QX396" s="875">
        <v>-0.2164980181760445</v>
      </c>
      <c r="QY396" s="875">
        <v>0.80028512901750792</v>
      </c>
      <c r="QZ396" s="875">
        <v>-1.2104859435115331E-4</v>
      </c>
      <c r="RA396" s="875">
        <v>0.77545212361528337</v>
      </c>
      <c r="RB396" s="875">
        <v>-0.42352155951832382</v>
      </c>
      <c r="RC396" s="875">
        <v>3428.4193180256138</v>
      </c>
      <c r="RD396" s="875">
        <v>-1.7691704500282009E-3</v>
      </c>
      <c r="RE396" s="875">
        <v>-666.89424191441731</v>
      </c>
      <c r="RF396" s="875">
        <v>9.1655240866360334E-4</v>
      </c>
      <c r="RG396" s="875">
        <v>246.6406658917173</v>
      </c>
      <c r="RH396" s="875">
        <v>-0.22800748337136889</v>
      </c>
      <c r="RI396" s="875">
        <v>0.81056721336572179</v>
      </c>
      <c r="RJ396" s="875">
        <v>-7.799689635489034E-5</v>
      </c>
      <c r="RK396" s="875">
        <v>0.67538507677591053</v>
      </c>
      <c r="RL396" s="875">
        <v>-0.43803792828337879</v>
      </c>
      <c r="RM396" s="875">
        <v>2817.503329519066</v>
      </c>
      <c r="RN396" s="875">
        <v>-2.2177638387187791E-3</v>
      </c>
      <c r="RO396" s="875">
        <v>-1092.692919361077</v>
      </c>
      <c r="RP396" s="875">
        <v>1.197409368284172E-3</v>
      </c>
      <c r="RQ396" s="875">
        <v>280.2234278500311</v>
      </c>
      <c r="RR396" s="875">
        <v>-0.27393651853886031</v>
      </c>
      <c r="RS396" s="875">
        <v>0.85111611155990385</v>
      </c>
      <c r="RT396" s="875">
        <v>-1.512479107056053E-4</v>
      </c>
      <c r="RU396" s="875">
        <v>0.75048100710503396</v>
      </c>
      <c r="RV396" s="875">
        <v>-0.42607770013372881</v>
      </c>
      <c r="RW396" s="875">
        <v>3607.1035881346961</v>
      </c>
      <c r="RX396" s="875">
        <v>-2.4069673132815369E-3</v>
      </c>
      <c r="RY396" s="875">
        <v>2.431145910798556</v>
      </c>
      <c r="RZ396" s="875">
        <v>1.1167893838177931E-3</v>
      </c>
      <c r="SA396" s="875">
        <v>237.08210956025019</v>
      </c>
      <c r="SB396" s="875">
        <v>-0.2601904990638097</v>
      </c>
      <c r="SC396" s="875">
        <v>0.7418755807315015</v>
      </c>
      <c r="SD396" s="875">
        <v>-7.3083162749441722E-5</v>
      </c>
      <c r="SE396" s="875">
        <v>0.81084487223047441</v>
      </c>
      <c r="SF396" s="875">
        <v>-0.40174014992869977</v>
      </c>
      <c r="SG396" s="875">
        <v>5243.8046900847648</v>
      </c>
      <c r="SH396" s="875">
        <v>-1.099577226654228E-2</v>
      </c>
      <c r="SI396" s="875">
        <v>-692.11718023608671</v>
      </c>
      <c r="SJ396" s="875">
        <v>1.0342477033182429E-3</v>
      </c>
      <c r="SK396" s="875">
        <v>263.59523594719718</v>
      </c>
      <c r="SL396" s="875">
        <v>-0.26869638198279222</v>
      </c>
      <c r="SM396" s="875">
        <v>1.204523514188903</v>
      </c>
      <c r="SN396" s="875">
        <v>-5877.1909947905133</v>
      </c>
      <c r="SO396" s="875">
        <v>0.83838783226813496</v>
      </c>
      <c r="SP396" s="875">
        <v>-0.38706324509718071</v>
      </c>
      <c r="SQ396" s="875">
        <v>6040.9768848474214</v>
      </c>
      <c r="SR396" s="875">
        <v>-2.3713191281558642E-3</v>
      </c>
      <c r="SS396" s="875">
        <v>-638.50524676059263</v>
      </c>
      <c r="ST396" s="875">
        <v>-27.477406790329159</v>
      </c>
      <c r="SU396" s="875">
        <v>225.9103312067127</v>
      </c>
      <c r="SV396" s="875">
        <v>-0.2780780145148955</v>
      </c>
      <c r="SW396" s="875">
        <v>0.99442288264254708</v>
      </c>
      <c r="SX396" s="875">
        <v>-7639.6802291547974</v>
      </c>
      <c r="SY396" s="875">
        <v>1.2402275853066129</v>
      </c>
      <c r="SZ396" s="875">
        <v>-0.7088368139231136</v>
      </c>
      <c r="TA396" s="875">
        <v>11640.600693218939</v>
      </c>
      <c r="TB396" s="875">
        <v>-2.2908383084190428E-3</v>
      </c>
      <c r="TC396" s="875">
        <v>-4.9620292162393123E-2</v>
      </c>
      <c r="TD396" s="875">
        <v>-2.8641260474894681E-2</v>
      </c>
      <c r="TE396" s="875">
        <v>871.43888969098009</v>
      </c>
      <c r="TF396" s="875">
        <v>-0.9021700371809287</v>
      </c>
      <c r="TG396" s="875">
        <v>4.368510633133269</v>
      </c>
      <c r="TH396" s="875">
        <v>-7788.2642864900045</v>
      </c>
      <c r="TI396" s="875">
        <v>1.2402275853066129</v>
      </c>
      <c r="TJ396" s="875">
        <v>-0.7088368139231136</v>
      </c>
      <c r="TK396" s="875">
        <v>11640.600693218939</v>
      </c>
      <c r="TL396" s="875">
        <v>-2.2908383084190428E-3</v>
      </c>
      <c r="TM396" s="875">
        <v>-4.9620292162393123E-2</v>
      </c>
      <c r="TN396" s="875">
        <v>-2.8641260474894681E-2</v>
      </c>
      <c r="TO396" s="875">
        <v>871.43888969098009</v>
      </c>
      <c r="TP396" s="875">
        <v>-0.9157255168933206</v>
      </c>
      <c r="TQ396" s="875">
        <v>4.368510633133269</v>
      </c>
      <c r="TR396" s="875">
        <v>-7788.2642864900045</v>
      </c>
      <c r="TS396" s="875">
        <v>1.2805199507777361</v>
      </c>
      <c r="TT396" s="875">
        <v>-0.58207945234946745</v>
      </c>
      <c r="TU396" s="875">
        <v>14507.185416315269</v>
      </c>
      <c r="TV396" s="875">
        <v>-1.673373996528556E-3</v>
      </c>
      <c r="TW396" s="875">
        <v>-0.1117684296233114</v>
      </c>
      <c r="TX396" s="875">
        <v>8.4613309427951583E-4</v>
      </c>
      <c r="TY396" s="875">
        <v>833.837943513911</v>
      </c>
      <c r="TZ396" s="875">
        <v>-0.88415222537544846</v>
      </c>
      <c r="UA396" s="875">
        <v>2.080157207711848</v>
      </c>
      <c r="UB396" s="875">
        <v>-2.5002024654333051E-5</v>
      </c>
      <c r="UC396" s="875">
        <v>1.43163154158814</v>
      </c>
      <c r="UD396" s="875">
        <v>-0.33475306352859963</v>
      </c>
      <c r="UE396" s="875">
        <v>353.5845131544886</v>
      </c>
      <c r="UF396" s="875">
        <v>-4.2017871321586321E-4</v>
      </c>
      <c r="UG396" s="875">
        <v>-4269.5893062314371</v>
      </c>
      <c r="UH396" s="875">
        <v>364.72490608134962</v>
      </c>
      <c r="UI396" s="875">
        <v>1598.8207278653369</v>
      </c>
      <c r="UJ396" s="875">
        <v>8178.1174580283714</v>
      </c>
      <c r="UK396" s="875">
        <v>4.7283706895888153</v>
      </c>
      <c r="UL396" s="875">
        <v>-17718.258873621031</v>
      </c>
      <c r="UM396" s="875">
        <v>1.421698371036543</v>
      </c>
      <c r="UN396" s="875">
        <v>30525.51005252824</v>
      </c>
      <c r="UO396" s="875">
        <v>5044.0719617631084</v>
      </c>
      <c r="UP396" s="875">
        <v>-2.5480134736976281E-4</v>
      </c>
      <c r="UQ396" s="875">
        <v>-5083.6099051692336</v>
      </c>
      <c r="UR396" s="875">
        <v>304.97401545787091</v>
      </c>
      <c r="US396" s="875">
        <v>1485.125442649738</v>
      </c>
      <c r="UT396" s="875">
        <v>-13.84601161476709</v>
      </c>
      <c r="UU396" s="875">
        <v>5.3410212790746838</v>
      </c>
      <c r="UV396" s="875">
        <v>-5.4128127054814746E-6</v>
      </c>
      <c r="UW396" s="875">
        <v>1.368258906932365</v>
      </c>
      <c r="UX396" s="875">
        <v>-0.34990937653455367</v>
      </c>
      <c r="UY396" s="875">
        <v>4163.1554288934649</v>
      </c>
      <c r="UZ396" s="875">
        <v>-7.2474358077893506E-4</v>
      </c>
      <c r="VA396" s="875">
        <v>-6578.4408004918178</v>
      </c>
      <c r="VB396" s="875">
        <v>549.4440999922482</v>
      </c>
      <c r="VC396" s="875">
        <v>1947.6956392447739</v>
      </c>
      <c r="VD396" s="875">
        <v>-18.060492883887392</v>
      </c>
      <c r="VE396" s="875">
        <v>1.30337565914729</v>
      </c>
      <c r="VF396" s="875">
        <v>-5.0337523767301246E-6</v>
      </c>
      <c r="VG396" s="875">
        <v>1.4277003409883799</v>
      </c>
      <c r="VH396" s="875">
        <v>-0.31916237934585973</v>
      </c>
      <c r="VI396" s="875">
        <v>8747.8740808228486</v>
      </c>
      <c r="VJ396" s="875">
        <v>-4.5022089108584241E-4</v>
      </c>
      <c r="VK396" s="875">
        <v>-5879.1563037027181</v>
      </c>
      <c r="VL396" s="875">
        <v>371.43367365677642</v>
      </c>
      <c r="VM396" s="875">
        <v>1472.533176447731</v>
      </c>
      <c r="VN396" s="875">
        <v>7734.6557226992036</v>
      </c>
      <c r="VO396" s="875">
        <v>3.410501226525974</v>
      </c>
      <c r="VP396" s="875">
        <v>-19666.480832851961</v>
      </c>
      <c r="VQ396" s="875">
        <v>1.64722969165754</v>
      </c>
      <c r="VR396" s="875">
        <v>-0.31754640810327711</v>
      </c>
      <c r="VS396" s="875">
        <v>3747.3410267175</v>
      </c>
      <c r="VT396" s="875">
        <v>-4.9983959281885897E-4</v>
      </c>
      <c r="VU396" s="875">
        <v>5.9346579325777533</v>
      </c>
      <c r="VV396" s="875">
        <v>287.13837855675132</v>
      </c>
      <c r="VW396" s="875">
        <v>1881.1704934525469</v>
      </c>
      <c r="VX396" s="875">
        <v>-30.242734272782489</v>
      </c>
      <c r="VY396" s="875">
        <v>2.6748627029602221</v>
      </c>
      <c r="VZ396" s="875">
        <v>-9.0750982077316574E-6</v>
      </c>
      <c r="WA396" s="875">
        <v>1.6914654222676579</v>
      </c>
      <c r="WB396" s="875">
        <v>-0.34218345665019378</v>
      </c>
      <c r="WC396" s="875">
        <v>3858.2778294688692</v>
      </c>
      <c r="WD396" s="875">
        <v>-4.0318941666051808E-4</v>
      </c>
      <c r="WE396" s="875">
        <v>5.4889107877934098</v>
      </c>
      <c r="WF396" s="875">
        <v>316.57721059531258</v>
      </c>
      <c r="WG396" s="875">
        <v>1657.4609882903751</v>
      </c>
      <c r="WH396" s="875">
        <v>5223.5906980456493</v>
      </c>
      <c r="WI396" s="875">
        <v>1.962373155572918</v>
      </c>
      <c r="WJ396" s="875">
        <v>-9.9990653831118566E-6</v>
      </c>
      <c r="WK396" s="875">
        <v>3.4741590822585802</v>
      </c>
      <c r="WL396" s="875">
        <v>-0.56084475471456519</v>
      </c>
      <c r="WM396" s="875">
        <v>4182.0545691499892</v>
      </c>
      <c r="WN396" s="875">
        <v>-5.277384782840643E-4</v>
      </c>
      <c r="WO396" s="875">
        <v>-1.3332634292823241E-2</v>
      </c>
      <c r="WP396" s="875">
        <v>503.53291458309849</v>
      </c>
      <c r="WQ396" s="875">
        <v>1609.8697455617889</v>
      </c>
      <c r="WR396" s="875">
        <v>-22783.08301380901</v>
      </c>
      <c r="WS396" s="875">
        <v>3.3272804448720201</v>
      </c>
      <c r="WT396" s="875">
        <v>-23723.906724192289</v>
      </c>
      <c r="WU396" s="875">
        <v>3.4690133165584069</v>
      </c>
      <c r="WV396" s="875">
        <v>-0.56079047925444425</v>
      </c>
      <c r="WW396" s="875">
        <v>4182.0545691499892</v>
      </c>
      <c r="WX396" s="875">
        <v>-5.28330530640012E-4</v>
      </c>
      <c r="WY396" s="875">
        <v>-1.3330293604117961E-2</v>
      </c>
      <c r="WZ396" s="875">
        <v>503.53291458309849</v>
      </c>
      <c r="XA396" s="875">
        <v>1609.8697455617889</v>
      </c>
      <c r="XB396" s="875">
        <v>-21568.275714222091</v>
      </c>
      <c r="XC396" s="875">
        <v>3.3272804448720201</v>
      </c>
      <c r="XD396" s="875">
        <v>-24542.755554244432</v>
      </c>
      <c r="XE396" s="875">
        <v>3.268904760228394</v>
      </c>
      <c r="XF396" s="875">
        <v>-0.47837556447926732</v>
      </c>
      <c r="XG396" s="875">
        <v>4131.608013709164</v>
      </c>
      <c r="XH396" s="875">
        <v>-5.4448753320440768E-4</v>
      </c>
      <c r="XI396" s="875">
        <v>-6.7457995069207188E-2</v>
      </c>
      <c r="XJ396" s="875">
        <v>334.13473877129491</v>
      </c>
      <c r="XK396" s="875">
        <v>2289.8711952346912</v>
      </c>
      <c r="XL396" s="875">
        <v>-21247.360173051991</v>
      </c>
      <c r="XM396" s="875">
        <v>3.2215565165630862</v>
      </c>
      <c r="XN396" s="875">
        <v>-7.5000589950474235E-5</v>
      </c>
      <c r="XO396" s="875">
        <v>3.6034655446920291E-2</v>
      </c>
      <c r="XP396" s="875">
        <v>-0.28239706939186959</v>
      </c>
      <c r="XQ396" s="875">
        <v>-2.675531525786376E-6</v>
      </c>
      <c r="XR396" s="875">
        <v>-7.1087481836718067E-3</v>
      </c>
      <c r="XS396" s="875">
        <v>-1971.8859732172641</v>
      </c>
      <c r="XT396" s="875">
        <v>-4.4944812622365084E-3</v>
      </c>
      <c r="XU396" s="875">
        <v>10.72731612211453</v>
      </c>
      <c r="XV396" s="875">
        <v>-1.827425045089603</v>
      </c>
      <c r="XW396" s="875">
        <v>1.5015201510876239</v>
      </c>
      <c r="XX396" s="875">
        <v>9230.9119633632654</v>
      </c>
      <c r="XY396" s="875">
        <v>4.3485091778932103E-2</v>
      </c>
      <c r="XZ396" s="875">
        <v>-0.28778786433515052</v>
      </c>
      <c r="YA396" s="875">
        <v>-6.0155659463162418E-7</v>
      </c>
      <c r="YB396" s="875">
        <v>-7.6177255219045973E-3</v>
      </c>
      <c r="YC396" s="875">
        <v>-1650.035548205145</v>
      </c>
      <c r="YD396" s="875">
        <v>-4.957037188634883E-3</v>
      </c>
      <c r="YE396" s="875">
        <v>10.005229089386161</v>
      </c>
      <c r="YF396" s="875">
        <v>-2.125379309996184</v>
      </c>
      <c r="YG396" s="875">
        <v>1.2915864510085311</v>
      </c>
      <c r="YH396" s="875">
        <v>10379.115024248869</v>
      </c>
      <c r="YI396" s="875">
        <v>2.9695243294694779E-2</v>
      </c>
      <c r="YJ396" s="875">
        <v>-0.29571921002478457</v>
      </c>
      <c r="YK396" s="875">
        <v>-1.5734239070382E-6</v>
      </c>
      <c r="YL396" s="875">
        <v>-7.3729408800837669E-3</v>
      </c>
      <c r="YM396" s="875">
        <v>-2021.345051393303</v>
      </c>
      <c r="YN396" s="875">
        <v>-6.3596784583624406E-3</v>
      </c>
      <c r="YO396" s="875">
        <v>12.55405399764739</v>
      </c>
      <c r="YP396" s="875">
        <v>-2.5912796007713519</v>
      </c>
      <c r="YQ396" s="875">
        <v>1.637839683651968</v>
      </c>
      <c r="YR396" s="875">
        <v>8087.7243188607408</v>
      </c>
      <c r="YS396" s="875">
        <v>4.3970979813481033E-2</v>
      </c>
      <c r="YT396" s="875">
        <v>-0.28577686682915637</v>
      </c>
      <c r="YU396" s="875">
        <v>-6.2251039090703959E-7</v>
      </c>
      <c r="YV396" s="875">
        <v>-1.0036473594079691E-2</v>
      </c>
      <c r="YW396" s="875">
        <v>-2111.442945626563</v>
      </c>
      <c r="YX396" s="875">
        <v>-5.8020374031264206E-3</v>
      </c>
      <c r="YY396" s="875">
        <v>9.1365588743792596</v>
      </c>
      <c r="YZ396" s="875">
        <v>-2.6985543619809582</v>
      </c>
      <c r="ZA396" s="875">
        <v>1.0373164514873581</v>
      </c>
      <c r="ZB396" s="875">
        <v>9027.5223033022612</v>
      </c>
      <c r="ZC396" s="875">
        <v>5.6558436304857768E-2</v>
      </c>
      <c r="ZD396" s="875">
        <v>-0.30137982100731248</v>
      </c>
      <c r="ZE396" s="875">
        <v>-7.2526319840751335E-7</v>
      </c>
      <c r="ZF396" s="875">
        <v>-1.1099258413614361E-2</v>
      </c>
      <c r="ZG396" s="875">
        <v>-1761.9159987559251</v>
      </c>
      <c r="ZH396" s="875">
        <v>-7.4151069305434421E-3</v>
      </c>
      <c r="ZI396" s="875">
        <v>8.3099477547357505</v>
      </c>
      <c r="ZJ396" s="875">
        <v>-2.77125831469428</v>
      </c>
      <c r="ZK396" s="875">
        <v>1.0199285621999521</v>
      </c>
      <c r="ZL396" s="875">
        <v>15722.941428545049</v>
      </c>
      <c r="ZM396" s="875">
        <v>6.4781128297730584E-2</v>
      </c>
      <c r="ZN396" s="875">
        <v>-0.31149136179180409</v>
      </c>
      <c r="ZO396" s="875">
        <v>4693.738837391501</v>
      </c>
      <c r="ZP396" s="875">
        <v>-1.084577237534903E-2</v>
      </c>
      <c r="ZQ396" s="875">
        <v>-1453.800426977491</v>
      </c>
      <c r="ZR396" s="875">
        <v>-9.2754668581260385E-3</v>
      </c>
      <c r="ZS396" s="875">
        <v>6.6963189822856881</v>
      </c>
      <c r="ZT396" s="875">
        <v>-2.8961830482867921</v>
      </c>
      <c r="ZU396" s="875">
        <v>0.80253741291764569</v>
      </c>
      <c r="ZV396" s="875">
        <v>10675.007617699979</v>
      </c>
      <c r="ZW396" s="875">
        <v>0.13641355099155389</v>
      </c>
      <c r="ZX396" s="875">
        <v>-0.48251569262883631</v>
      </c>
      <c r="ZY396" s="875">
        <v>8382.8160749052659</v>
      </c>
      <c r="ZZ396" s="875">
        <v>-2.29278601891224E-3</v>
      </c>
      <c r="AAA396" s="875">
        <v>-6.2541826129215966E-2</v>
      </c>
      <c r="AAB396" s="875">
        <v>-4.2024821855361792E-2</v>
      </c>
      <c r="AAC396" s="875">
        <v>14.84879203870857</v>
      </c>
      <c r="AAD396" s="875">
        <v>-9.0653572813295575</v>
      </c>
      <c r="AAE396" s="875">
        <v>10454.544558999391</v>
      </c>
      <c r="AAF396" s="875">
        <v>17326.973594502349</v>
      </c>
      <c r="AAG396" s="875">
        <v>0.13641355099155389</v>
      </c>
      <c r="AAH396" s="875">
        <v>-0.48251569262883631</v>
      </c>
      <c r="AAI396" s="875">
        <v>8382.8160749052659</v>
      </c>
      <c r="AAJ396" s="875">
        <v>-2.29278601891224E-3</v>
      </c>
      <c r="AAK396" s="875">
        <v>-6.2541826129215966E-2</v>
      </c>
      <c r="AAL396" s="875">
        <v>-4.2024821855361792E-2</v>
      </c>
      <c r="AAM396" s="875">
        <v>14.84879203870857</v>
      </c>
      <c r="AAN396" s="875">
        <v>-9.3099648338000076</v>
      </c>
      <c r="AAO396" s="875">
        <v>10454.544558999391</v>
      </c>
      <c r="AAP396" s="875">
        <v>17326.973594502349</v>
      </c>
      <c r="AAQ396" s="875">
        <v>0.15130596967628041</v>
      </c>
      <c r="AAR396" s="875">
        <v>-0.46056002769110238</v>
      </c>
      <c r="AAS396" s="875">
        <v>6321.1924998390896</v>
      </c>
      <c r="AAT396" s="875">
        <v>-2.0795192281225111E-3</v>
      </c>
      <c r="AAU396" s="875">
        <v>-0.1153225912413656</v>
      </c>
      <c r="AAV396" s="875">
        <v>-5.0042533449114981E-2</v>
      </c>
      <c r="AAW396" s="875">
        <v>8.712526508123279</v>
      </c>
      <c r="AAX396" s="875">
        <v>-10.240875527732181</v>
      </c>
      <c r="AAY396" s="875">
        <v>24.17186906041097</v>
      </c>
      <c r="AAZ396" s="875">
        <v>-1.166047608529916E-4</v>
      </c>
      <c r="ABA396" s="875">
        <v>47.015624304344612</v>
      </c>
      <c r="ABB396" s="875">
        <v>53.741669205319347</v>
      </c>
      <c r="ABC396" s="875">
        <v>42.455837851452578</v>
      </c>
      <c r="ABD396" s="875">
        <v>63.905561077034747</v>
      </c>
      <c r="ABE396" s="875">
        <v>49.191319581572436</v>
      </c>
      <c r="ABF396" s="875">
        <v>52.871722335977971</v>
      </c>
      <c r="ABG396" s="875">
        <v>43.868291404546227</v>
      </c>
      <c r="ABH396" s="875">
        <v>45.676347057749382</v>
      </c>
      <c r="ABI396" s="875">
        <v>70.471244492436725</v>
      </c>
      <c r="ABJ396" s="875">
        <v>51.304348693382387</v>
      </c>
      <c r="ABK396" s="875">
        <v>47.015624304344612</v>
      </c>
      <c r="ABL396" s="875">
        <v>53.741669205319347</v>
      </c>
      <c r="ABM396" s="875">
        <v>42.455837851452578</v>
      </c>
      <c r="ABN396" s="875">
        <v>63.905561077034747</v>
      </c>
      <c r="ABO396" s="875">
        <v>49.191319581572436</v>
      </c>
      <c r="ABP396" s="875">
        <v>52.871722335977971</v>
      </c>
      <c r="ABQ396" s="875">
        <v>43.868291404546227</v>
      </c>
      <c r="ABR396" s="875">
        <v>45.676347057749382</v>
      </c>
      <c r="ABS396" s="875">
        <v>70.471244492436725</v>
      </c>
      <c r="ABT396" s="875">
        <v>51.304348693382387</v>
      </c>
      <c r="ABU396" s="875">
        <v>47.015624304344612</v>
      </c>
      <c r="ABV396" s="875">
        <v>53.741669205319347</v>
      </c>
      <c r="ABW396" s="875">
        <v>42.455837851452578</v>
      </c>
      <c r="ABX396" s="875">
        <v>63.905561077034747</v>
      </c>
      <c r="ABY396" s="875">
        <v>49.191319581572436</v>
      </c>
      <c r="ABZ396" s="875">
        <v>52.871722335977971</v>
      </c>
      <c r="ACA396" s="875">
        <v>43.868291404546227</v>
      </c>
      <c r="ACB396" s="875">
        <v>45.676347057749382</v>
      </c>
      <c r="ACC396" s="875">
        <v>70.471244492436725</v>
      </c>
      <c r="ACD396" s="875">
        <v>51.304348693382387</v>
      </c>
      <c r="ACE396" s="875">
        <v>47.015624304344612</v>
      </c>
      <c r="ACF396" s="875">
        <v>53.741669205319347</v>
      </c>
      <c r="ACG396" s="875">
        <v>42.455837851452578</v>
      </c>
      <c r="ACH396" s="875">
        <v>63.905561077034747</v>
      </c>
      <c r="ACI396" s="875">
        <v>49.191319581572436</v>
      </c>
      <c r="ACJ396" s="875">
        <v>52.871722335977971</v>
      </c>
      <c r="ACK396" s="875">
        <v>43.868291404546227</v>
      </c>
      <c r="ACL396" s="875">
        <v>45.676347057749382</v>
      </c>
      <c r="ACM396" s="875">
        <v>70.471244492436725</v>
      </c>
      <c r="ACN396" s="875">
        <v>51.304348693382387</v>
      </c>
      <c r="ACO396" s="875">
        <v>47.015624304344612</v>
      </c>
      <c r="ACP396" s="875">
        <v>53.741669205319347</v>
      </c>
      <c r="ACQ396" s="875">
        <v>42.455837851452578</v>
      </c>
      <c r="ACR396" s="875">
        <v>63.905561077034747</v>
      </c>
      <c r="ACS396" s="875">
        <v>49.191319581572436</v>
      </c>
      <c r="ACT396" s="875">
        <v>52.871722335977971</v>
      </c>
      <c r="ACU396" s="875">
        <v>43.868291404546227</v>
      </c>
      <c r="ACV396" s="875">
        <v>45.676347057749382</v>
      </c>
      <c r="ACW396" s="875">
        <v>70.471244492436725</v>
      </c>
      <c r="ACX396" s="875">
        <v>51.304348693382387</v>
      </c>
      <c r="ACY396" s="875">
        <v>47.015624304344612</v>
      </c>
      <c r="ACZ396" s="875">
        <v>53.741669205319347</v>
      </c>
      <c r="ADA396" s="875">
        <v>42.455837851452578</v>
      </c>
      <c r="ADB396" s="875">
        <v>63.905561077034747</v>
      </c>
      <c r="ADC396" s="875">
        <v>49.191319581572436</v>
      </c>
      <c r="ADD396" s="875">
        <v>52.871722335977971</v>
      </c>
      <c r="ADE396" s="875">
        <v>43.868291404546227</v>
      </c>
      <c r="ADF396" s="875">
        <v>45.676347057749382</v>
      </c>
      <c r="ADG396" s="875">
        <v>70.471244492436725</v>
      </c>
      <c r="ADH396" s="875">
        <v>51.304348693382387</v>
      </c>
      <c r="ADI396" s="875">
        <v>47.015624304344612</v>
      </c>
      <c r="ADJ396" s="875">
        <v>53.741669205319347</v>
      </c>
      <c r="ADK396" s="875">
        <v>42.455837851452578</v>
      </c>
      <c r="ADL396" s="875">
        <v>63.905561077034747</v>
      </c>
      <c r="ADM396" s="875">
        <v>49.191319581572436</v>
      </c>
      <c r="ADN396" s="875">
        <v>52.871722335977971</v>
      </c>
      <c r="ADO396" s="875">
        <v>43.868291404546227</v>
      </c>
      <c r="ADP396" s="875">
        <v>45.676347057749382</v>
      </c>
      <c r="ADQ396" s="875">
        <v>70.471244492436725</v>
      </c>
      <c r="ADR396" s="875">
        <v>51.304348693382387</v>
      </c>
      <c r="ADS396" s="875">
        <v>47.015624304344612</v>
      </c>
      <c r="ADT396" s="875">
        <v>53.741669205319347</v>
      </c>
      <c r="ADU396" s="875">
        <v>42.455837851452578</v>
      </c>
      <c r="ADV396" s="875">
        <v>63.905561077034747</v>
      </c>
      <c r="ADW396" s="875">
        <v>49.191319581572436</v>
      </c>
      <c r="ADX396" s="875">
        <v>52.871722335977971</v>
      </c>
      <c r="ADY396" s="875">
        <v>43.868291404546227</v>
      </c>
      <c r="ADZ396" s="875">
        <v>45.676347057749382</v>
      </c>
      <c r="AEA396" s="875">
        <v>70.471244492436725</v>
      </c>
      <c r="AEB396" s="875">
        <v>51.304348693382387</v>
      </c>
      <c r="AEC396" s="875">
        <v>47.015624304344612</v>
      </c>
      <c r="AED396" s="875">
        <v>53.741669205319347</v>
      </c>
      <c r="AEE396" s="875">
        <v>42.455837851452578</v>
      </c>
      <c r="AEF396" s="875">
        <v>63.905561077034747</v>
      </c>
      <c r="AEG396" s="875">
        <v>49.191319581572436</v>
      </c>
      <c r="AEH396" s="875">
        <v>52.871722335977971</v>
      </c>
      <c r="AEI396" s="875">
        <v>43.868291404546227</v>
      </c>
      <c r="AEJ396" s="875">
        <v>45.676347057749382</v>
      </c>
      <c r="AEK396" s="875">
        <v>70.471244492436725</v>
      </c>
      <c r="AEL396" s="875">
        <v>51.304348693382387</v>
      </c>
      <c r="AEM396" s="875">
        <v>53.147556146894352</v>
      </c>
      <c r="AEN396" s="875">
        <v>57.033779271453319</v>
      </c>
      <c r="AEO396" s="875">
        <v>45.186265266983703</v>
      </c>
      <c r="AEP396" s="875">
        <v>68.561894355871019</v>
      </c>
      <c r="AEQ396" s="875">
        <v>50.153129478134638</v>
      </c>
      <c r="AER396" s="875">
        <v>53.588736986008428</v>
      </c>
      <c r="AES396" s="875">
        <v>49.184851630887778</v>
      </c>
      <c r="AET396" s="875">
        <v>44.732475617038418</v>
      </c>
      <c r="AEU396" s="875">
        <v>76.489940468016513</v>
      </c>
      <c r="AEV396" s="875">
        <v>56.167780266322787</v>
      </c>
      <c r="AEW396" s="875">
        <v>53.147556146894352</v>
      </c>
      <c r="AEX396" s="875">
        <v>57.033779271453319</v>
      </c>
      <c r="AEY396" s="875">
        <v>45.186265266983703</v>
      </c>
      <c r="AEZ396" s="875">
        <v>68.561894355871019</v>
      </c>
      <c r="AFA396" s="875">
        <v>50.153129478134638</v>
      </c>
      <c r="AFB396" s="875">
        <v>53.588736986008428</v>
      </c>
      <c r="AFC396" s="875">
        <v>49.184851630887778</v>
      </c>
      <c r="AFD396" s="875">
        <v>44.732475617038418</v>
      </c>
      <c r="AFE396" s="875">
        <v>76.489940468016513</v>
      </c>
      <c r="AFF396" s="875">
        <v>56.167780266322787</v>
      </c>
      <c r="AFG396" s="875">
        <v>53.147556146894352</v>
      </c>
      <c r="AFH396" s="875">
        <v>57.033779271453319</v>
      </c>
      <c r="AFI396" s="875">
        <v>45.186265266983703</v>
      </c>
      <c r="AFJ396" s="875">
        <v>68.561894355871019</v>
      </c>
      <c r="AFK396" s="875">
        <v>50.153129478134638</v>
      </c>
      <c r="AFL396" s="875">
        <v>53.588736986008428</v>
      </c>
      <c r="AFM396" s="875">
        <v>49.184851630887778</v>
      </c>
      <c r="AFN396" s="875">
        <v>44.732475617038418</v>
      </c>
      <c r="AFO396" s="875">
        <v>76.489940468016513</v>
      </c>
      <c r="AFP396" s="875">
        <v>56.167780266322787</v>
      </c>
      <c r="AFQ396" s="875">
        <v>53.147556146894352</v>
      </c>
      <c r="AFR396" s="875">
        <v>57.033779271453319</v>
      </c>
      <c r="AFS396" s="875">
        <v>45.186265266983703</v>
      </c>
      <c r="AFT396" s="875">
        <v>68.561894355871019</v>
      </c>
      <c r="AFU396" s="875">
        <v>50.153129478134638</v>
      </c>
      <c r="AFV396" s="875">
        <v>53.588736986008428</v>
      </c>
      <c r="AFW396" s="875">
        <v>49.184851630887778</v>
      </c>
      <c r="AFX396" s="875">
        <v>44.732475617038418</v>
      </c>
      <c r="AFY396" s="875">
        <v>76.489940468016513</v>
      </c>
      <c r="AFZ396" s="875">
        <v>56.167780266322787</v>
      </c>
      <c r="AGA396" s="875">
        <v>53.147556146894352</v>
      </c>
      <c r="AGB396" s="875">
        <v>57.033779271453319</v>
      </c>
      <c r="AGC396" s="875">
        <v>45.186265266983703</v>
      </c>
      <c r="AGD396" s="875">
        <v>68.561894355871019</v>
      </c>
      <c r="AGE396" s="875">
        <v>50.153129478134638</v>
      </c>
      <c r="AGF396" s="875">
        <v>53.588736986008428</v>
      </c>
      <c r="AGG396" s="875">
        <v>49.184851630887778</v>
      </c>
      <c r="AGH396" s="875">
        <v>44.732475617038418</v>
      </c>
      <c r="AGI396" s="875">
        <v>76.489940468016513</v>
      </c>
      <c r="AGJ396" s="875">
        <v>56.167780266322787</v>
      </c>
      <c r="AGK396" s="875">
        <v>53.147556146894352</v>
      </c>
      <c r="AGL396" s="875">
        <v>57.033779271453319</v>
      </c>
      <c r="AGM396" s="875">
        <v>45.186265266983703</v>
      </c>
      <c r="AGN396" s="875">
        <v>68.561894355871019</v>
      </c>
      <c r="AGO396" s="875">
        <v>50.153129478134638</v>
      </c>
      <c r="AGP396" s="875">
        <v>53.588736986008428</v>
      </c>
      <c r="AGQ396" s="875">
        <v>49.184851630887778</v>
      </c>
      <c r="AGR396" s="875">
        <v>44.732475617038418</v>
      </c>
      <c r="AGS396" s="875">
        <v>76.489940468016513</v>
      </c>
      <c r="AGT396" s="875">
        <v>56.167780266322787</v>
      </c>
      <c r="AGU396" s="875">
        <v>53.147556146894352</v>
      </c>
      <c r="AGV396" s="875">
        <v>57.033779271453319</v>
      </c>
      <c r="AGW396" s="875">
        <v>45.186265266983703</v>
      </c>
      <c r="AGX396" s="875">
        <v>68.561894355871019</v>
      </c>
      <c r="AGY396" s="875">
        <v>50.153129478134638</v>
      </c>
      <c r="AGZ396" s="875">
        <v>53.588736986008428</v>
      </c>
      <c r="AHA396" s="875">
        <v>49.184851630887778</v>
      </c>
      <c r="AHB396" s="875">
        <v>44.732475617038418</v>
      </c>
      <c r="AHC396" s="875">
        <v>76.489940468016513</v>
      </c>
      <c r="AHD396" s="875">
        <v>56.167780266322787</v>
      </c>
      <c r="AHE396" s="875">
        <v>53.147556146894352</v>
      </c>
      <c r="AHF396" s="875">
        <v>57.033779271453319</v>
      </c>
      <c r="AHG396" s="875">
        <v>45.186265266983703</v>
      </c>
      <c r="AHH396" s="875">
        <v>68.561894355871019</v>
      </c>
      <c r="AHI396" s="875">
        <v>50.153129478134638</v>
      </c>
      <c r="AHJ396" s="875">
        <v>53.588736986008428</v>
      </c>
      <c r="AHK396" s="875">
        <v>49.184851630887778</v>
      </c>
      <c r="AHL396" s="875">
        <v>44.732475617038418</v>
      </c>
      <c r="AHM396" s="875">
        <v>76.489940468016513</v>
      </c>
      <c r="AHN396" s="875">
        <v>56.167780266322787</v>
      </c>
      <c r="AHO396" s="875">
        <v>53.147556146894352</v>
      </c>
      <c r="AHP396" s="875">
        <v>57.033779271453319</v>
      </c>
      <c r="AHQ396" s="875">
        <v>45.186265266983703</v>
      </c>
      <c r="AHR396" s="875">
        <v>68.561894355871019</v>
      </c>
      <c r="AHS396" s="875">
        <v>50.153129478134638</v>
      </c>
      <c r="AHT396" s="875">
        <v>53.588736986008428</v>
      </c>
      <c r="AHU396" s="875">
        <v>49.184851630887778</v>
      </c>
      <c r="AHV396" s="875">
        <v>44.732475617038418</v>
      </c>
      <c r="AHW396" s="875">
        <v>76.489940468016513</v>
      </c>
      <c r="AHX396" s="875">
        <v>56.167780266322787</v>
      </c>
      <c r="AHY396" s="875">
        <v>33.038683912405702</v>
      </c>
      <c r="AHZ396" s="875">
        <v>37.208681898922123</v>
      </c>
      <c r="AIA396" s="875">
        <v>31.214396576726539</v>
      </c>
      <c r="AIB396" s="875">
        <v>44.715598658472388</v>
      </c>
      <c r="AIC396" s="875">
        <v>35.578850856624108</v>
      </c>
      <c r="AID396" s="875">
        <v>38.095064420435719</v>
      </c>
      <c r="AIE396" s="875">
        <v>29.74958152298839</v>
      </c>
      <c r="AIF396" s="875">
        <v>31.28069142547136</v>
      </c>
      <c r="AIG396" s="875">
        <v>51.589482488550892</v>
      </c>
      <c r="AIH396" s="875">
        <v>36.000282256550427</v>
      </c>
      <c r="AII396" s="875">
        <v>33.038683912405702</v>
      </c>
      <c r="AIJ396" s="875">
        <v>37.208681898922123</v>
      </c>
      <c r="AIK396" s="875">
        <v>31.214396576726539</v>
      </c>
      <c r="AIL396" s="875">
        <v>44.715598658472388</v>
      </c>
      <c r="AIM396" s="875">
        <v>35.578850856624108</v>
      </c>
      <c r="AIN396" s="875">
        <v>38.095064420435719</v>
      </c>
      <c r="AIO396" s="875">
        <v>29.74958152298839</v>
      </c>
      <c r="AIP396" s="875">
        <v>31.28069142547136</v>
      </c>
      <c r="AIQ396" s="875">
        <v>51.589482488550892</v>
      </c>
      <c r="AIR396" s="875">
        <v>36.000282256550427</v>
      </c>
      <c r="AIS396" s="875">
        <v>33.038683912405702</v>
      </c>
      <c r="AIT396" s="875">
        <v>37.208681898922123</v>
      </c>
      <c r="AIU396" s="875">
        <v>31.214396576726539</v>
      </c>
      <c r="AIV396" s="875">
        <v>44.715598658472388</v>
      </c>
      <c r="AIW396" s="875">
        <v>35.578850856624108</v>
      </c>
      <c r="AIX396" s="875">
        <v>38.095064420435719</v>
      </c>
      <c r="AIY396" s="875">
        <v>29.74958152298839</v>
      </c>
      <c r="AIZ396" s="875">
        <v>31.28069142547136</v>
      </c>
      <c r="AJA396" s="875">
        <v>51.589482488550892</v>
      </c>
      <c r="AJB396" s="875">
        <v>36.000282256550427</v>
      </c>
      <c r="AJC396" s="875">
        <v>33.038683912405702</v>
      </c>
      <c r="AJD396" s="875">
        <v>37.208681898922123</v>
      </c>
      <c r="AJE396" s="875">
        <v>31.214396576726539</v>
      </c>
      <c r="AJF396" s="875">
        <v>44.715598658472388</v>
      </c>
      <c r="AJG396" s="875">
        <v>35.578850856624108</v>
      </c>
      <c r="AJH396" s="875">
        <v>38.095064420435719</v>
      </c>
      <c r="AJI396" s="875">
        <v>29.74958152298839</v>
      </c>
      <c r="AJJ396" s="875">
        <v>31.28069142547136</v>
      </c>
      <c r="AJK396" s="875">
        <v>51.589482488550892</v>
      </c>
      <c r="AJL396" s="875">
        <v>36.000282256550427</v>
      </c>
      <c r="AJM396" s="875">
        <v>33.038683912405702</v>
      </c>
      <c r="AJN396" s="875">
        <v>37.208681898922123</v>
      </c>
      <c r="AJO396" s="875">
        <v>31.214396576726539</v>
      </c>
      <c r="AJP396" s="875">
        <v>44.715598658472388</v>
      </c>
      <c r="AJQ396" s="875">
        <v>35.578850856624108</v>
      </c>
      <c r="AJR396" s="875">
        <v>38.095064420435719</v>
      </c>
      <c r="AJS396" s="875">
        <v>29.74958152298839</v>
      </c>
      <c r="AJT396" s="875">
        <v>31.28069142547136</v>
      </c>
      <c r="AJU396" s="875">
        <v>51.589482488550892</v>
      </c>
      <c r="AJV396" s="875">
        <v>36.000282256550427</v>
      </c>
      <c r="AJW396" s="875">
        <v>33.038683912405702</v>
      </c>
      <c r="AJX396" s="875">
        <v>37.208681898922123</v>
      </c>
      <c r="AJY396" s="875">
        <v>31.214396576726539</v>
      </c>
      <c r="AJZ396" s="875">
        <v>44.715598658472388</v>
      </c>
      <c r="AKA396" s="875">
        <v>35.578850856624108</v>
      </c>
      <c r="AKB396" s="875">
        <v>38.095064420435719</v>
      </c>
      <c r="AKC396" s="875">
        <v>29.74958152298839</v>
      </c>
      <c r="AKD396" s="875">
        <v>31.28069142547136</v>
      </c>
      <c r="AKE396" s="875">
        <v>51.589482488550892</v>
      </c>
      <c r="AKF396" s="875">
        <v>36.000282256550427</v>
      </c>
      <c r="AKG396" s="875">
        <v>33.038683912405702</v>
      </c>
      <c r="AKH396" s="875">
        <v>37.208681898922123</v>
      </c>
      <c r="AKI396" s="875">
        <v>31.214396576726539</v>
      </c>
      <c r="AKJ396" s="875">
        <v>44.715598658472388</v>
      </c>
      <c r="AKK396" s="875">
        <v>35.578850856624108</v>
      </c>
      <c r="AKL396" s="875">
        <v>38.095064420435719</v>
      </c>
      <c r="AKM396" s="875">
        <v>29.74958152298839</v>
      </c>
      <c r="AKN396" s="875">
        <v>31.28069142547136</v>
      </c>
      <c r="AKO396" s="875">
        <v>51.589482488550892</v>
      </c>
      <c r="AKP396" s="875">
        <v>36.000282256550427</v>
      </c>
      <c r="AKQ396" s="875">
        <v>33.038683912405702</v>
      </c>
      <c r="AKR396" s="875">
        <v>37.208681898922123</v>
      </c>
      <c r="AKS396" s="875">
        <v>31.214396576726539</v>
      </c>
      <c r="AKT396" s="875">
        <v>44.715598658472388</v>
      </c>
      <c r="AKU396" s="875">
        <v>35.578850856624108</v>
      </c>
      <c r="AKV396" s="875">
        <v>38.095064420435719</v>
      </c>
      <c r="AKW396" s="875">
        <v>29.74958152298839</v>
      </c>
      <c r="AKX396" s="875">
        <v>31.28069142547136</v>
      </c>
      <c r="AKY396" s="875">
        <v>51.589482488550892</v>
      </c>
      <c r="AKZ396" s="875">
        <v>36.000282256550427</v>
      </c>
      <c r="ALA396" s="875">
        <v>33.038683912405702</v>
      </c>
      <c r="ALB396" s="875">
        <v>37.208681898922123</v>
      </c>
      <c r="ALC396" s="875">
        <v>31.214396576726539</v>
      </c>
      <c r="ALD396" s="875">
        <v>44.715598658472388</v>
      </c>
      <c r="ALE396" s="875">
        <v>35.578850856624108</v>
      </c>
      <c r="ALF396" s="875">
        <v>38.095064420435719</v>
      </c>
      <c r="ALG396" s="875">
        <v>29.74958152298839</v>
      </c>
      <c r="ALH396" s="875">
        <v>31.28069142547136</v>
      </c>
      <c r="ALI396" s="875">
        <v>51.589482488550892</v>
      </c>
      <c r="ALJ396" s="875">
        <v>36.000282256550427</v>
      </c>
      <c r="ALK396" s="875">
        <v>38.600196353356182</v>
      </c>
      <c r="ALL396" s="875">
        <v>41.486738184531077</v>
      </c>
      <c r="ALM396" s="875">
        <v>32.858439493964518</v>
      </c>
      <c r="ALN396" s="875">
        <v>49.958128964928541</v>
      </c>
      <c r="ALO396" s="875">
        <v>36.033952393806317</v>
      </c>
      <c r="ALP396" s="875">
        <v>39.265772433358812</v>
      </c>
      <c r="ALQ396" s="875">
        <v>36.632974834107117</v>
      </c>
      <c r="ALR396" s="875">
        <v>29.119901082093719</v>
      </c>
      <c r="ALS396" s="875">
        <v>57.736311632943803</v>
      </c>
      <c r="ALT396" s="875">
        <v>40.964635003423624</v>
      </c>
      <c r="ALU396" s="875">
        <v>38.600196353356182</v>
      </c>
      <c r="ALV396" s="875">
        <v>41.486738184531077</v>
      </c>
      <c r="ALW396" s="875">
        <v>32.858439493964518</v>
      </c>
      <c r="ALX396" s="875">
        <v>49.958128964928541</v>
      </c>
      <c r="ALY396" s="875">
        <v>36.033952393806317</v>
      </c>
      <c r="ALZ396" s="875">
        <v>39.265772433358812</v>
      </c>
      <c r="AMA396" s="875">
        <v>36.632974834107117</v>
      </c>
      <c r="AMB396" s="875">
        <v>29.119901082093719</v>
      </c>
      <c r="AMC396" s="875">
        <v>57.736311632943803</v>
      </c>
      <c r="AMD396" s="875">
        <v>40.964635003423624</v>
      </c>
      <c r="AME396" s="875">
        <v>38.600196353356182</v>
      </c>
      <c r="AMF396" s="875">
        <v>41.486738184531077</v>
      </c>
      <c r="AMG396" s="875">
        <v>32.858439493964518</v>
      </c>
      <c r="AMH396" s="875">
        <v>49.958128964928541</v>
      </c>
      <c r="AMI396" s="875">
        <v>36.033952393806317</v>
      </c>
      <c r="AMJ396" s="875">
        <v>39.265772433358812</v>
      </c>
      <c r="AMK396" s="875">
        <v>36.632974834107117</v>
      </c>
      <c r="AML396" s="875">
        <v>29.119901082093719</v>
      </c>
      <c r="AMM396" s="875">
        <v>57.736311632943803</v>
      </c>
      <c r="AMN396" s="875">
        <v>40.964635003423624</v>
      </c>
      <c r="AMO396" s="875">
        <v>38.600196353356182</v>
      </c>
      <c r="AMP396" s="875">
        <v>41.486738184531077</v>
      </c>
      <c r="AMQ396" s="875">
        <v>32.858439493964518</v>
      </c>
      <c r="AMR396" s="875">
        <v>49.958128964928541</v>
      </c>
      <c r="AMS396" s="875">
        <v>36.033952393806317</v>
      </c>
      <c r="AMT396" s="875">
        <v>39.265772433358812</v>
      </c>
      <c r="AMU396" s="875">
        <v>36.632974834107117</v>
      </c>
      <c r="AMV396" s="875">
        <v>29.119901082093719</v>
      </c>
      <c r="AMW396" s="875">
        <v>57.736311632943803</v>
      </c>
      <c r="AMX396" s="875">
        <v>40.964635003423624</v>
      </c>
      <c r="AMY396" s="875">
        <v>38.600196353356182</v>
      </c>
      <c r="AMZ396" s="875">
        <v>41.486738184531077</v>
      </c>
      <c r="ANA396" s="875">
        <v>32.858439493964518</v>
      </c>
      <c r="ANB396" s="875">
        <v>49.958128964928541</v>
      </c>
      <c r="ANC396" s="875">
        <v>36.033952393806317</v>
      </c>
      <c r="AND396" s="875">
        <v>39.265772433358812</v>
      </c>
      <c r="ANE396" s="875">
        <v>36.632974834107117</v>
      </c>
      <c r="ANF396" s="875">
        <v>29.119901082093719</v>
      </c>
      <c r="ANG396" s="875">
        <v>57.736311632943803</v>
      </c>
      <c r="ANH396" s="875">
        <v>40.964635003423624</v>
      </c>
      <c r="ANI396" s="875">
        <v>38.600196353356182</v>
      </c>
      <c r="ANJ396" s="875">
        <v>41.486738184531077</v>
      </c>
      <c r="ANK396" s="875">
        <v>32.858439493964518</v>
      </c>
      <c r="ANL396" s="875">
        <v>49.958128964928541</v>
      </c>
      <c r="ANM396" s="875">
        <v>36.033952393806317</v>
      </c>
      <c r="ANN396" s="875">
        <v>39.265772433358812</v>
      </c>
      <c r="ANO396" s="875">
        <v>36.632974834107117</v>
      </c>
      <c r="ANP396" s="875">
        <v>29.119901082093719</v>
      </c>
      <c r="ANQ396" s="875">
        <v>57.736311632943803</v>
      </c>
      <c r="ANR396" s="875">
        <v>40.964635003423624</v>
      </c>
      <c r="ANS396" s="875">
        <v>38.600196353356182</v>
      </c>
      <c r="ANT396" s="875">
        <v>41.486738184531077</v>
      </c>
      <c r="ANU396" s="875">
        <v>32.858439493964518</v>
      </c>
      <c r="ANV396" s="875">
        <v>49.958128964928541</v>
      </c>
      <c r="ANW396" s="875">
        <v>36.033952393806317</v>
      </c>
      <c r="ANX396" s="875">
        <v>39.265772433358812</v>
      </c>
      <c r="ANY396" s="875">
        <v>36.632974834107117</v>
      </c>
      <c r="ANZ396" s="875">
        <v>29.119901082093719</v>
      </c>
      <c r="AOA396" s="875">
        <v>57.736311632943803</v>
      </c>
      <c r="AOB396" s="875">
        <v>40.964635003423624</v>
      </c>
      <c r="AOC396" s="875">
        <v>38.600196353356182</v>
      </c>
      <c r="AOD396" s="875">
        <v>41.486738184531077</v>
      </c>
      <c r="AOE396" s="875">
        <v>32.858439493964518</v>
      </c>
      <c r="AOF396" s="875">
        <v>49.958128964928541</v>
      </c>
      <c r="AOG396" s="875">
        <v>36.033952393806317</v>
      </c>
      <c r="AOH396" s="875">
        <v>39.265772433358812</v>
      </c>
      <c r="AOI396" s="875">
        <v>36.632974834107117</v>
      </c>
      <c r="AOJ396" s="875">
        <v>29.119901082093719</v>
      </c>
      <c r="AOK396" s="875">
        <v>57.736311632943803</v>
      </c>
      <c r="AOL396" s="875">
        <v>40.964635003423624</v>
      </c>
      <c r="AOM396" s="875">
        <v>38.600196353356182</v>
      </c>
      <c r="AON396" s="875">
        <v>41.486738184531077</v>
      </c>
      <c r="AOO396" s="875">
        <v>32.858439493964518</v>
      </c>
      <c r="AOP396" s="875">
        <v>49.958128964928541</v>
      </c>
      <c r="AOQ396" s="875">
        <v>36.033952393806317</v>
      </c>
      <c r="AOR396" s="875">
        <v>39.265772433358812</v>
      </c>
      <c r="AOS396" s="875">
        <v>36.632974834107117</v>
      </c>
      <c r="AOT396" s="875">
        <v>29.119901082093719</v>
      </c>
      <c r="AOU396" s="875">
        <v>57.736311632943803</v>
      </c>
      <c r="AOV396" s="875">
        <v>40.964635003423624</v>
      </c>
      <c r="AOW396" s="887"/>
    </row>
    <row r="397" spans="2:1102" hidden="1">
      <c r="B397" s="1000" t="s">
        <v>1053</v>
      </c>
      <c r="C397" s="1000"/>
      <c r="D397" s="836"/>
      <c r="E397" s="892" t="s">
        <v>1038</v>
      </c>
      <c r="F397" s="462"/>
      <c r="G397" s="462" t="s">
        <v>65</v>
      </c>
      <c r="H397" s="462"/>
      <c r="I397" s="875"/>
      <c r="J397" s="875"/>
      <c r="K397" s="875"/>
      <c r="L397" s="875"/>
      <c r="M397" s="875"/>
      <c r="N397" s="875"/>
      <c r="O397" s="875"/>
      <c r="P397" s="875"/>
      <c r="Q397" s="875"/>
      <c r="R397" s="875"/>
      <c r="S397" s="875"/>
      <c r="T397" s="875"/>
      <c r="U397" s="875"/>
      <c r="V397" s="875"/>
      <c r="W397" s="875"/>
      <c r="X397" s="875"/>
      <c r="Y397" s="875"/>
      <c r="Z397" s="875"/>
      <c r="AA397" s="875"/>
      <c r="AB397" s="875"/>
      <c r="AC397" s="875"/>
      <c r="AD397" s="875"/>
      <c r="AE397" s="875"/>
      <c r="AF397" s="875"/>
      <c r="AG397" s="875"/>
      <c r="AH397" s="875"/>
      <c r="AI397" s="875"/>
      <c r="AJ397" s="875"/>
      <c r="AK397" s="875"/>
      <c r="AL397" s="875"/>
      <c r="AM397" s="875"/>
      <c r="AN397" s="875"/>
      <c r="AO397" s="875"/>
      <c r="AP397" s="875"/>
      <c r="AQ397" s="875"/>
      <c r="AR397" s="875"/>
      <c r="AS397" s="875"/>
      <c r="AT397" s="875"/>
      <c r="AU397" s="875"/>
      <c r="AV397" s="875"/>
      <c r="AW397" s="875"/>
      <c r="AX397" s="875"/>
      <c r="AY397" s="875"/>
      <c r="AZ397" s="875"/>
      <c r="BA397" s="875"/>
      <c r="BB397" s="875"/>
      <c r="BC397" s="875"/>
      <c r="BD397" s="875"/>
      <c r="BE397" s="875"/>
      <c r="BF397" s="875"/>
      <c r="BG397" s="875"/>
      <c r="BH397" s="875"/>
      <c r="BI397" s="875"/>
      <c r="BJ397" s="875"/>
      <c r="BK397" s="875"/>
      <c r="BL397" s="875"/>
      <c r="BM397" s="875"/>
      <c r="BN397" s="875"/>
      <c r="BO397" s="875"/>
      <c r="BP397" s="875"/>
      <c r="BQ397" s="875"/>
      <c r="BR397" s="875"/>
      <c r="BS397" s="875"/>
      <c r="BT397" s="875"/>
      <c r="BU397" s="875"/>
      <c r="BV397" s="875"/>
      <c r="BW397" s="875"/>
      <c r="BX397" s="875"/>
      <c r="BY397" s="875"/>
      <c r="BZ397" s="875"/>
      <c r="CA397" s="875"/>
      <c r="CB397" s="875"/>
      <c r="CC397" s="875"/>
      <c r="CD397" s="875"/>
      <c r="CE397" s="875"/>
      <c r="CF397" s="875"/>
      <c r="CG397" s="875"/>
      <c r="CH397" s="875"/>
      <c r="CI397" s="875"/>
      <c r="CJ397" s="875"/>
      <c r="CK397" s="875"/>
      <c r="CL397" s="875"/>
      <c r="CM397" s="875"/>
      <c r="CN397" s="875"/>
      <c r="CO397" s="875"/>
      <c r="CP397" s="875"/>
      <c r="CQ397" s="875"/>
      <c r="CR397" s="875"/>
      <c r="CS397" s="875"/>
      <c r="CT397" s="875"/>
      <c r="CU397" s="875"/>
      <c r="CV397" s="875"/>
      <c r="CW397" s="875"/>
      <c r="CX397" s="875"/>
      <c r="CY397" s="875"/>
      <c r="CZ397" s="875"/>
      <c r="DA397" s="875"/>
      <c r="DB397" s="875"/>
      <c r="DC397" s="875"/>
      <c r="DD397" s="875"/>
      <c r="DE397" s="875"/>
      <c r="DF397" s="875"/>
      <c r="DG397" s="875"/>
      <c r="DH397" s="875"/>
      <c r="DI397" s="875"/>
      <c r="DJ397" s="875"/>
      <c r="DK397" s="875"/>
      <c r="DL397" s="875"/>
      <c r="DM397" s="875"/>
      <c r="DN397" s="875"/>
      <c r="DO397" s="875"/>
      <c r="DP397" s="875"/>
      <c r="DQ397" s="875"/>
      <c r="DR397" s="875"/>
      <c r="DS397" s="875"/>
      <c r="DT397" s="875"/>
      <c r="DU397" s="875"/>
      <c r="DV397" s="875"/>
      <c r="DW397" s="875"/>
      <c r="DX397" s="875"/>
      <c r="DY397" s="875"/>
      <c r="DZ397" s="875"/>
      <c r="EA397" s="875"/>
      <c r="EB397" s="875"/>
      <c r="EC397" s="875"/>
      <c r="ED397" s="875"/>
      <c r="EE397" s="875"/>
      <c r="EF397" s="875"/>
      <c r="EG397" s="875"/>
      <c r="EH397" s="875"/>
      <c r="EI397" s="875"/>
      <c r="EJ397" s="875"/>
      <c r="EK397" s="875"/>
      <c r="EL397" s="875"/>
      <c r="EM397" s="875"/>
      <c r="EN397" s="875"/>
      <c r="EO397" s="875"/>
      <c r="EP397" s="875"/>
      <c r="EQ397" s="875"/>
      <c r="ER397" s="875"/>
      <c r="ES397" s="875"/>
      <c r="ET397" s="875"/>
      <c r="EU397" s="875"/>
      <c r="EV397" s="875"/>
      <c r="EW397" s="875"/>
      <c r="EX397" s="875"/>
      <c r="EY397" s="875"/>
      <c r="EZ397" s="875"/>
      <c r="FA397" s="875"/>
      <c r="FB397" s="875"/>
      <c r="FC397" s="875"/>
      <c r="FD397" s="875"/>
      <c r="FE397" s="875"/>
      <c r="FF397" s="875"/>
      <c r="FG397" s="875"/>
      <c r="FH397" s="875"/>
      <c r="FI397" s="875"/>
      <c r="FJ397" s="875"/>
      <c r="FK397" s="875"/>
      <c r="FL397" s="875"/>
      <c r="FM397" s="875"/>
      <c r="FN397" s="875"/>
      <c r="FO397" s="875"/>
      <c r="FP397" s="875"/>
      <c r="FQ397" s="875"/>
      <c r="FR397" s="875"/>
      <c r="FS397" s="875"/>
      <c r="FT397" s="875"/>
      <c r="FU397" s="875"/>
      <c r="FV397" s="875"/>
      <c r="FW397" s="875"/>
      <c r="FX397" s="875"/>
      <c r="FY397" s="875"/>
      <c r="FZ397" s="875"/>
      <c r="GA397" s="875"/>
      <c r="GB397" s="875"/>
      <c r="GC397" s="875"/>
      <c r="GD397" s="875"/>
      <c r="GE397" s="875"/>
      <c r="GF397" s="875"/>
      <c r="GG397" s="875"/>
      <c r="GH397" s="875"/>
      <c r="GI397" s="875"/>
      <c r="GJ397" s="875"/>
      <c r="GK397" s="875"/>
      <c r="GL397" s="875"/>
      <c r="GM397" s="875"/>
      <c r="GN397" s="875"/>
      <c r="GO397" s="875"/>
      <c r="GP397" s="875"/>
      <c r="GQ397" s="875"/>
      <c r="GR397" s="875"/>
      <c r="GS397" s="875"/>
      <c r="GT397" s="875"/>
      <c r="GU397" s="875"/>
      <c r="GV397" s="875"/>
      <c r="GW397" s="875"/>
      <c r="GX397" s="875"/>
      <c r="GY397" s="875"/>
      <c r="GZ397" s="875"/>
      <c r="HA397" s="875"/>
      <c r="HB397" s="875"/>
      <c r="HC397" s="875"/>
      <c r="HD397" s="875"/>
      <c r="HE397" s="875"/>
      <c r="HF397" s="875"/>
      <c r="HG397" s="875"/>
      <c r="HH397" s="875"/>
      <c r="HI397" s="875"/>
      <c r="HJ397" s="875"/>
      <c r="HK397" s="875"/>
      <c r="HL397" s="875"/>
      <c r="HM397" s="875"/>
      <c r="HN397" s="875"/>
      <c r="HO397" s="875"/>
      <c r="HP397" s="875"/>
      <c r="HQ397" s="875"/>
      <c r="HR397" s="875"/>
      <c r="HS397" s="875"/>
      <c r="HT397" s="875"/>
      <c r="HU397" s="875"/>
      <c r="HV397" s="875"/>
      <c r="HW397" s="875"/>
      <c r="HX397" s="875"/>
      <c r="HY397" s="875"/>
      <c r="HZ397" s="875"/>
      <c r="IA397" s="875"/>
      <c r="IB397" s="875"/>
      <c r="IC397" s="875"/>
      <c r="ID397" s="875"/>
      <c r="IE397" s="875"/>
      <c r="IF397" s="875"/>
      <c r="IG397" s="875"/>
      <c r="IH397" s="875"/>
      <c r="II397" s="875"/>
      <c r="IJ397" s="875"/>
      <c r="IK397" s="875"/>
      <c r="IL397" s="875"/>
      <c r="IM397" s="875"/>
      <c r="IN397" s="875"/>
      <c r="IO397" s="875"/>
      <c r="IP397" s="875"/>
      <c r="IQ397" s="875"/>
      <c r="IR397" s="875"/>
      <c r="IS397" s="875"/>
      <c r="IT397" s="875"/>
      <c r="IU397" s="875"/>
      <c r="IV397" s="875"/>
      <c r="IW397" s="875"/>
      <c r="IX397" s="875"/>
      <c r="IY397" s="875"/>
      <c r="IZ397" s="875"/>
      <c r="JA397" s="875"/>
      <c r="JB397" s="875"/>
      <c r="JC397" s="875"/>
      <c r="JD397" s="875"/>
      <c r="JE397" s="875"/>
      <c r="JF397" s="875"/>
      <c r="JG397" s="875"/>
      <c r="JH397" s="875"/>
      <c r="JI397" s="875"/>
      <c r="JJ397" s="875"/>
      <c r="JK397" s="875"/>
      <c r="JL397" s="875"/>
      <c r="JM397" s="875"/>
      <c r="JN397" s="875"/>
      <c r="JO397" s="875"/>
      <c r="JP397" s="875"/>
      <c r="JQ397" s="875"/>
      <c r="JR397" s="875"/>
      <c r="JS397" s="875"/>
      <c r="JT397" s="875"/>
      <c r="JU397" s="875"/>
      <c r="JV397" s="875"/>
      <c r="JW397" s="875"/>
      <c r="JX397" s="875"/>
      <c r="JY397" s="875"/>
      <c r="JZ397" s="875"/>
      <c r="KA397" s="875"/>
      <c r="KB397" s="875"/>
      <c r="KC397" s="875"/>
      <c r="KD397" s="875"/>
      <c r="KE397" s="875"/>
      <c r="KF397" s="875"/>
      <c r="KG397" s="875"/>
      <c r="KH397" s="875"/>
      <c r="KI397" s="875"/>
      <c r="KJ397" s="875"/>
      <c r="KK397" s="875"/>
      <c r="KL397" s="875"/>
      <c r="KM397" s="875"/>
      <c r="KN397" s="875"/>
      <c r="KO397" s="875"/>
      <c r="KP397" s="875"/>
      <c r="KQ397" s="875"/>
      <c r="KR397" s="875"/>
      <c r="KS397" s="875"/>
      <c r="KT397" s="875"/>
      <c r="KU397" s="875"/>
      <c r="KV397" s="875"/>
      <c r="KW397" s="875"/>
      <c r="KX397" s="875"/>
      <c r="KY397" s="875"/>
      <c r="KZ397" s="875"/>
      <c r="LA397" s="875"/>
      <c r="LB397" s="875"/>
      <c r="LC397" s="875"/>
      <c r="LD397" s="875"/>
      <c r="LE397" s="875"/>
      <c r="LF397" s="875"/>
      <c r="LG397" s="875"/>
      <c r="LH397" s="875"/>
      <c r="LI397" s="875"/>
      <c r="LJ397" s="875"/>
      <c r="LK397" s="875"/>
      <c r="LL397" s="875"/>
      <c r="LM397" s="875"/>
      <c r="LN397" s="875"/>
      <c r="LO397" s="875"/>
      <c r="LP397" s="875"/>
      <c r="LQ397" s="875"/>
      <c r="LR397" s="875"/>
      <c r="LS397" s="875"/>
      <c r="LT397" s="875"/>
      <c r="LU397" s="875"/>
      <c r="LV397" s="875"/>
      <c r="LW397" s="875"/>
      <c r="LX397" s="875"/>
      <c r="LY397" s="875"/>
      <c r="LZ397" s="875"/>
      <c r="MA397" s="875"/>
      <c r="MB397" s="875"/>
      <c r="MC397" s="875"/>
      <c r="MD397" s="875"/>
      <c r="ME397" s="875"/>
      <c r="MF397" s="875"/>
      <c r="MG397" s="875"/>
      <c r="MH397" s="875"/>
      <c r="MI397" s="875"/>
      <c r="MJ397" s="875"/>
      <c r="MK397" s="875"/>
      <c r="ML397" s="875"/>
      <c r="MM397" s="875"/>
      <c r="MN397" s="875"/>
      <c r="MO397" s="875"/>
      <c r="MP397" s="875"/>
      <c r="MQ397" s="875"/>
      <c r="MR397" s="875"/>
      <c r="MS397" s="875"/>
      <c r="MT397" s="875"/>
      <c r="MU397" s="875"/>
      <c r="MV397" s="875"/>
      <c r="MW397" s="875"/>
      <c r="MX397" s="875"/>
      <c r="MY397" s="875"/>
      <c r="MZ397" s="875"/>
      <c r="NA397" s="875"/>
      <c r="NB397" s="875"/>
      <c r="NC397" s="875"/>
      <c r="ND397" s="875"/>
      <c r="NE397" s="875">
        <v>-6006.9573375120544</v>
      </c>
      <c r="NF397" s="875">
        <v>11.63417836225554</v>
      </c>
      <c r="NG397" s="875">
        <v>-7675.0835458727242</v>
      </c>
      <c r="NH397" s="875">
        <v>22741.591513880969</v>
      </c>
      <c r="NI397" s="875">
        <v>153.0226443763944</v>
      </c>
      <c r="NJ397" s="875">
        <v>-4680.5148584656181</v>
      </c>
      <c r="NK397" s="875">
        <v>26.315538316998079</v>
      </c>
      <c r="NL397" s="875">
        <v>-27.011714798615341</v>
      </c>
      <c r="NM397" s="875">
        <v>21305.45009903581</v>
      </c>
      <c r="NN397" s="875">
        <v>9.0378880742457124</v>
      </c>
      <c r="NO397" s="875">
        <v>-10544.158637225881</v>
      </c>
      <c r="NP397" s="875">
        <v>12.26433950626839</v>
      </c>
      <c r="NQ397" s="875">
        <v>-13286.753506457721</v>
      </c>
      <c r="NR397" s="875">
        <v>19289.089232313239</v>
      </c>
      <c r="NS397" s="875">
        <v>132.77155097104091</v>
      </c>
      <c r="NT397" s="875">
        <v>-2756.6820566248498</v>
      </c>
      <c r="NU397" s="875">
        <v>26.69858773719654</v>
      </c>
      <c r="NV397" s="875">
        <v>-23.967927830675571</v>
      </c>
      <c r="NW397" s="875">
        <v>21693.701046918581</v>
      </c>
      <c r="NX397" s="875">
        <v>9.5805955848593563</v>
      </c>
      <c r="NY397" s="875">
        <v>-4654.064341525077</v>
      </c>
      <c r="NZ397" s="875">
        <v>11.197855511017719</v>
      </c>
      <c r="OA397" s="875">
        <v>-13461.737936807949</v>
      </c>
      <c r="OB397" s="875">
        <v>15595.841647700039</v>
      </c>
      <c r="OC397" s="875">
        <v>152.98036521925471</v>
      </c>
      <c r="OD397" s="875">
        <v>-1984.046340779204</v>
      </c>
      <c r="OE397" s="875">
        <v>25.504868301926962</v>
      </c>
      <c r="OF397" s="875">
        <v>-25.42372386208643</v>
      </c>
      <c r="OG397" s="875">
        <v>19590.000521732582</v>
      </c>
      <c r="OH397" s="875">
        <v>8.9791591962919419</v>
      </c>
      <c r="OI397" s="875">
        <v>-8188.0387974784981</v>
      </c>
      <c r="OJ397" s="875">
        <v>12.710294759338471</v>
      </c>
      <c r="OK397" s="875">
        <v>-15103.637062014021</v>
      </c>
      <c r="OL397" s="875">
        <v>15030.9257356822</v>
      </c>
      <c r="OM397" s="875">
        <v>227.77130826747239</v>
      </c>
      <c r="ON397" s="875">
        <v>-4948.3011845975361</v>
      </c>
      <c r="OO397" s="875">
        <v>27.179400141671039</v>
      </c>
      <c r="OP397" s="875">
        <v>-28.289319409048019</v>
      </c>
      <c r="OQ397" s="875">
        <v>16494.537706104798</v>
      </c>
      <c r="OR397" s="875">
        <v>10.21988119397713</v>
      </c>
      <c r="OS397" s="875">
        <v>-12915.59509214934</v>
      </c>
      <c r="OT397" s="875">
        <v>14.449781392291399</v>
      </c>
      <c r="OU397" s="875">
        <v>-14961.911801647149</v>
      </c>
      <c r="OV397" s="875">
        <v>11220.38801766494</v>
      </c>
      <c r="OW397" s="875">
        <v>17129.320503605231</v>
      </c>
      <c r="OX397" s="875">
        <v>-2959.0925354076139</v>
      </c>
      <c r="OY397" s="875">
        <v>26.58862584238242</v>
      </c>
      <c r="OZ397" s="875">
        <v>-28.072290014494651</v>
      </c>
      <c r="PA397" s="875">
        <v>17818.711068684839</v>
      </c>
      <c r="PB397" s="875">
        <v>10.567730880653389</v>
      </c>
      <c r="PC397" s="875">
        <v>-16407.606079097561</v>
      </c>
      <c r="PD397" s="875">
        <v>15.712400662157981</v>
      </c>
      <c r="PE397" s="875">
        <v>-12800.309917482051</v>
      </c>
      <c r="PF397" s="875">
        <v>9536.0570723625442</v>
      </c>
      <c r="PG397" s="875">
        <v>13511.15612184111</v>
      </c>
      <c r="PH397" s="875">
        <v>-3030.2179099411619</v>
      </c>
      <c r="PI397" s="875">
        <v>27.54757495935317</v>
      </c>
      <c r="PJ397" s="875">
        <v>-30.087432226119191</v>
      </c>
      <c r="PK397" s="875">
        <v>16489.092070078161</v>
      </c>
      <c r="PL397" s="875">
        <v>11.317159316699589</v>
      </c>
      <c r="PM397" s="875">
        <v>-24472.559266106549</v>
      </c>
      <c r="PN397" s="875">
        <v>19.76278889624097</v>
      </c>
      <c r="PO397" s="875">
        <v>-15514.7452662126</v>
      </c>
      <c r="PP397" s="875">
        <v>11882.186699564019</v>
      </c>
      <c r="PQ397" s="875">
        <v>16833.710230316039</v>
      </c>
      <c r="PR397" s="875">
        <v>27.680905898671121</v>
      </c>
      <c r="PS397" s="875">
        <v>28.818202048819899</v>
      </c>
      <c r="PT397" s="875">
        <v>-20.006482052260669</v>
      </c>
      <c r="PU397" s="875">
        <v>7281.991054984881</v>
      </c>
      <c r="PV397" s="875">
        <v>15.211250242261171</v>
      </c>
      <c r="PW397" s="875">
        <v>-25793.80530793342</v>
      </c>
      <c r="PX397" s="875">
        <v>19.759261924849689</v>
      </c>
      <c r="PY397" s="875">
        <v>-24689.41487519017</v>
      </c>
      <c r="PZ397" s="875">
        <v>19073.79914659723</v>
      </c>
      <c r="QA397" s="875">
        <v>16833.710230316039</v>
      </c>
      <c r="QB397" s="875">
        <v>27.68050681310476</v>
      </c>
      <c r="QC397" s="875">
        <v>28.819961270639961</v>
      </c>
      <c r="QD397" s="875">
        <v>-20.202163992569378</v>
      </c>
      <c r="QE397" s="875">
        <v>7281.991054984881</v>
      </c>
      <c r="QF397" s="875">
        <v>15.211334346595541</v>
      </c>
      <c r="QG397" s="875">
        <v>-22098.84535601443</v>
      </c>
      <c r="QH397" s="875">
        <v>22.24821358652213</v>
      </c>
      <c r="QI397" s="875">
        <v>-25392.89340909545</v>
      </c>
      <c r="QJ397" s="875">
        <v>12863.858570584431</v>
      </c>
      <c r="QK397" s="875">
        <v>5856.8707313851864</v>
      </c>
      <c r="QL397" s="875">
        <v>29.48756325000468</v>
      </c>
      <c r="QM397" s="875">
        <v>29.734827926297829</v>
      </c>
      <c r="QN397" s="875">
        <v>-22.660002007957679</v>
      </c>
      <c r="QO397" s="875">
        <v>16811.727584233398</v>
      </c>
      <c r="QP397" s="875">
        <v>16.881338780943711</v>
      </c>
      <c r="QQ397" s="875">
        <v>-21568.04015901703</v>
      </c>
      <c r="QR397" s="875">
        <v>10.136574047713131</v>
      </c>
      <c r="QS397" s="875">
        <v>-8842.8306729707147</v>
      </c>
      <c r="QT397" s="875">
        <v>11793.923464232759</v>
      </c>
      <c r="QU397" s="875">
        <v>-0.29734093165068348</v>
      </c>
      <c r="QV397" s="875">
        <v>-5603.1265202408804</v>
      </c>
      <c r="QW397" s="875">
        <v>12.9396621419383</v>
      </c>
      <c r="QX397" s="875">
        <v>-15.718915372301529</v>
      </c>
      <c r="QY397" s="875">
        <v>9178.3977973920173</v>
      </c>
      <c r="QZ397" s="875">
        <v>5.419141732387188</v>
      </c>
      <c r="RA397" s="875">
        <v>-22466.043653143559</v>
      </c>
      <c r="RB397" s="875">
        <v>11.142453695753611</v>
      </c>
      <c r="RC397" s="875">
        <v>-8803.85682464399</v>
      </c>
      <c r="RD397" s="875">
        <v>12407.330138615431</v>
      </c>
      <c r="RE397" s="875">
        <v>-0.3964208553988996</v>
      </c>
      <c r="RF397" s="875">
        <v>-1627.9289121734089</v>
      </c>
      <c r="RG397" s="875">
        <v>13.360534454002391</v>
      </c>
      <c r="RH397" s="875">
        <v>-23.494164001953699</v>
      </c>
      <c r="RI397" s="875">
        <v>8518.3640577928782</v>
      </c>
      <c r="RJ397" s="875">
        <v>6.0110032355123373</v>
      </c>
      <c r="RK397" s="875">
        <v>-23454.086114898379</v>
      </c>
      <c r="RL397" s="875">
        <v>9.673243182036666</v>
      </c>
      <c r="RM397" s="875">
        <v>-7536.7913093863544</v>
      </c>
      <c r="RN397" s="875">
        <v>7990.2102508213129</v>
      </c>
      <c r="RO397" s="875">
        <v>-0.30654839667699652</v>
      </c>
      <c r="RP397" s="875">
        <v>-2733.8914898548769</v>
      </c>
      <c r="RQ397" s="875">
        <v>12.55960947883389</v>
      </c>
      <c r="RR397" s="875">
        <v>-38.604961564841084</v>
      </c>
      <c r="RS397" s="875">
        <v>8218.8667077621321</v>
      </c>
      <c r="RT397" s="875">
        <v>5.2248093784955438</v>
      </c>
      <c r="RU397" s="875">
        <v>-21157.517938339839</v>
      </c>
      <c r="RV397" s="875">
        <v>11.366066824883649</v>
      </c>
      <c r="RW397" s="875">
        <v>-10597.68648299294</v>
      </c>
      <c r="RX397" s="875">
        <v>13407.72771479609</v>
      </c>
      <c r="RY397" s="875">
        <v>-0.4337528884701744</v>
      </c>
      <c r="RZ397" s="875">
        <v>-2003.616320437535</v>
      </c>
      <c r="SA397" s="875">
        <v>13.351763607653719</v>
      </c>
      <c r="SB397" s="875">
        <v>-43.44856211031788</v>
      </c>
      <c r="SC397" s="875">
        <v>7800.7569537354639</v>
      </c>
      <c r="SD397" s="875">
        <v>6.1765637619114599</v>
      </c>
      <c r="SE397" s="875">
        <v>-20402.761741586699</v>
      </c>
      <c r="SF397" s="875">
        <v>13.00199407863367</v>
      </c>
      <c r="SG397" s="875">
        <v>-14283.34883408112</v>
      </c>
      <c r="SH397" s="875">
        <v>-0.68359396161248553</v>
      </c>
      <c r="SI397" s="875">
        <v>-0.98943943496506337</v>
      </c>
      <c r="SJ397" s="875">
        <v>-927.88655936202963</v>
      </c>
      <c r="SK397" s="875">
        <v>13.93704758275326</v>
      </c>
      <c r="SL397" s="875">
        <v>-42.973152183243599</v>
      </c>
      <c r="SM397" s="875">
        <v>7833.027876561524</v>
      </c>
      <c r="SN397" s="875">
        <v>6.5994164867528156</v>
      </c>
      <c r="SO397" s="875">
        <v>-23823.710465770138</v>
      </c>
      <c r="SP397" s="875">
        <v>14.1404225882892</v>
      </c>
      <c r="SQ397" s="875">
        <v>-16875.577730206689</v>
      </c>
      <c r="SR397" s="875">
        <v>17663.227989094019</v>
      </c>
      <c r="SS397" s="875">
        <v>-1.5441086206373891</v>
      </c>
      <c r="ST397" s="875">
        <v>-1101.0509425357991</v>
      </c>
      <c r="SU397" s="875">
        <v>14.350701319144889</v>
      </c>
      <c r="SV397" s="875">
        <v>-44.025473734081437</v>
      </c>
      <c r="SW397" s="875">
        <v>9335.5739672798427</v>
      </c>
      <c r="SX397" s="875">
        <v>7.1461799368759262</v>
      </c>
      <c r="SY397" s="875">
        <v>-36467.432874863953</v>
      </c>
      <c r="SZ397" s="875">
        <v>17.489257965995101</v>
      </c>
      <c r="TA397" s="875">
        <v>-34117.545335226998</v>
      </c>
      <c r="TB397" s="875">
        <v>37158.836354354084</v>
      </c>
      <c r="TC397" s="875">
        <v>-14.03813206517701</v>
      </c>
      <c r="TD397" s="875">
        <v>-10955.71112053616</v>
      </c>
      <c r="TE397" s="875">
        <v>15.665806788037189</v>
      </c>
      <c r="TF397" s="875">
        <v>-5517.3332340042734</v>
      </c>
      <c r="TG397" s="875">
        <v>15884.991708026169</v>
      </c>
      <c r="TH397" s="875">
        <v>9.8291524723258998</v>
      </c>
      <c r="TI397" s="875">
        <v>-36467.432874863953</v>
      </c>
      <c r="TJ397" s="875">
        <v>17.489257965995101</v>
      </c>
      <c r="TK397" s="875">
        <v>-34117.545335226998</v>
      </c>
      <c r="TL397" s="875">
        <v>37158.836354354084</v>
      </c>
      <c r="TM397" s="875">
        <v>-14.03813206517701</v>
      </c>
      <c r="TN397" s="875">
        <v>-10955.71112053616</v>
      </c>
      <c r="TO397" s="875">
        <v>15.665806788037189</v>
      </c>
      <c r="TP397" s="875">
        <v>-8125.2402413497803</v>
      </c>
      <c r="TQ397" s="875">
        <v>15884.991708026169</v>
      </c>
      <c r="TR397" s="875">
        <v>9.8291524723258998</v>
      </c>
      <c r="TS397" s="875">
        <v>-37104.635455872878</v>
      </c>
      <c r="TT397" s="875">
        <v>20.12959337181201</v>
      </c>
      <c r="TU397" s="875">
        <v>-41010.140718723167</v>
      </c>
      <c r="TV397" s="875">
        <v>34472.879585994342</v>
      </c>
      <c r="TW397" s="875">
        <v>-23.910908083244429</v>
      </c>
      <c r="TX397" s="875">
        <v>-455.13902703094612</v>
      </c>
      <c r="TY397" s="875">
        <v>16.514698693717921</v>
      </c>
      <c r="TZ397" s="875">
        <v>-8843.5020053659573</v>
      </c>
      <c r="UA397" s="875">
        <v>-1.3413349331162181</v>
      </c>
      <c r="UB397" s="875">
        <v>11.797724446703681</v>
      </c>
      <c r="UC397" s="875">
        <v>10.402648284700559</v>
      </c>
      <c r="UD397" s="875">
        <v>42.076286417027873</v>
      </c>
      <c r="UE397" s="875">
        <v>-24.541773565341099</v>
      </c>
      <c r="UF397" s="875">
        <v>33402.870898525733</v>
      </c>
      <c r="UG397" s="875">
        <v>-4.2532708472253056</v>
      </c>
      <c r="UH397" s="875">
        <v>-2.82224411850197</v>
      </c>
      <c r="UI397" s="875">
        <v>24.401055638995171</v>
      </c>
      <c r="UJ397" s="875">
        <v>17344.923483537608</v>
      </c>
      <c r="UK397" s="875">
        <v>2169.411297412792</v>
      </c>
      <c r="UL397" s="875">
        <v>11.143596934544099</v>
      </c>
      <c r="UM397" s="875">
        <v>-2149.8070367289092</v>
      </c>
      <c r="UN397" s="875">
        <v>36.675952890363973</v>
      </c>
      <c r="UO397" s="875">
        <v>-8449.1228967851566</v>
      </c>
      <c r="UP397" s="875">
        <v>35563.865605509192</v>
      </c>
      <c r="UQ397" s="875">
        <v>-4.7796112311418009</v>
      </c>
      <c r="UR397" s="875">
        <v>-3.0891156542606919</v>
      </c>
      <c r="US397" s="875">
        <v>25.681203656637809</v>
      </c>
      <c r="UT397" s="875">
        <v>31048.749229956229</v>
      </c>
      <c r="UU397" s="875">
        <v>-0.76720721939605518</v>
      </c>
      <c r="UV397" s="875">
        <v>12.37827428825492</v>
      </c>
      <c r="UW397" s="875">
        <v>10.4404006553552</v>
      </c>
      <c r="UX397" s="875">
        <v>45.290172142463952</v>
      </c>
      <c r="UY397" s="875">
        <v>-8290.7788074126602</v>
      </c>
      <c r="UZ397" s="875">
        <v>32793.922290413117</v>
      </c>
      <c r="VA397" s="875">
        <v>-5.0015932744443861</v>
      </c>
      <c r="VB397" s="875">
        <v>-2.8392091985833279</v>
      </c>
      <c r="VC397" s="875">
        <v>24.270544642106969</v>
      </c>
      <c r="VD397" s="875">
        <v>24217.464574938222</v>
      </c>
      <c r="VE397" s="875">
        <v>19370.66479096876</v>
      </c>
      <c r="VF397" s="875">
        <v>11.29935809985119</v>
      </c>
      <c r="VG397" s="875">
        <v>-2474.4302716924508</v>
      </c>
      <c r="VH397" s="875">
        <v>39.164056304137013</v>
      </c>
      <c r="VI397" s="875">
        <v>-16326.86702403842</v>
      </c>
      <c r="VJ397" s="875">
        <v>34665.175772114781</v>
      </c>
      <c r="VK397" s="875">
        <v>-5.085174145985933</v>
      </c>
      <c r="VL397" s="875">
        <v>-3.1880756095124552</v>
      </c>
      <c r="VM397" s="875">
        <v>25.990315410131078</v>
      </c>
      <c r="VN397" s="875">
        <v>-80.750950288967729</v>
      </c>
      <c r="VO397" s="875">
        <v>-0.90649120376715575</v>
      </c>
      <c r="VP397" s="875">
        <v>11.93175169740282</v>
      </c>
      <c r="VQ397" s="875">
        <v>-5328.6159657606877</v>
      </c>
      <c r="VR397" s="875">
        <v>46.247155630385727</v>
      </c>
      <c r="VS397" s="875">
        <v>-12921.461756857931</v>
      </c>
      <c r="VT397" s="875">
        <v>37856.826440077988</v>
      </c>
      <c r="VU397" s="875">
        <v>-7.1978742357500316</v>
      </c>
      <c r="VV397" s="875">
        <v>-3.4605979210085209</v>
      </c>
      <c r="VW397" s="875">
        <v>27.682466872920472</v>
      </c>
      <c r="VX397" s="875">
        <v>-98.035954293268844</v>
      </c>
      <c r="VY397" s="875">
        <v>-1.0315244394074949</v>
      </c>
      <c r="VZ397" s="875">
        <v>12.38465984401569</v>
      </c>
      <c r="WA397" s="875">
        <v>11.009820188606851</v>
      </c>
      <c r="WB397" s="875">
        <v>53.556074783742552</v>
      </c>
      <c r="WC397" s="875">
        <v>-16180.95151220427</v>
      </c>
      <c r="WD397" s="875">
        <v>32941.888398346091</v>
      </c>
      <c r="WE397" s="875">
        <v>-7.0589087317947872</v>
      </c>
      <c r="WF397" s="875">
        <v>-3.720778330121139</v>
      </c>
      <c r="WG397" s="875">
        <v>28.032510011287041</v>
      </c>
      <c r="WH397" s="875">
        <v>-100.3711636450499</v>
      </c>
      <c r="WI397" s="875">
        <v>-1.166807243257451</v>
      </c>
      <c r="WJ397" s="875">
        <v>12.307468621994939</v>
      </c>
      <c r="WK397" s="875">
        <v>-6571.1098587469287</v>
      </c>
      <c r="WL397" s="875">
        <v>44.595611978945392</v>
      </c>
      <c r="WM397" s="875">
        <v>-19073.66889887103</v>
      </c>
      <c r="WN397" s="875">
        <v>27345.32042425737</v>
      </c>
      <c r="WO397" s="875">
        <v>-13.401695060151811</v>
      </c>
      <c r="WP397" s="875">
        <v>-4.4220699489725908</v>
      </c>
      <c r="WQ397" s="875">
        <v>29.480949257212089</v>
      </c>
      <c r="WR397" s="875">
        <v>22678.80998698909</v>
      </c>
      <c r="WS397" s="875">
        <v>0.41985313048644501</v>
      </c>
      <c r="WT397" s="875">
        <v>15.279808527131181</v>
      </c>
      <c r="WU397" s="875">
        <v>-6658.9391900348519</v>
      </c>
      <c r="WV397" s="875">
        <v>44.55765136256943</v>
      </c>
      <c r="WW397" s="875">
        <v>-19073.66889887103</v>
      </c>
      <c r="WX397" s="875">
        <v>25238.444210410191</v>
      </c>
      <c r="WY397" s="875">
        <v>-13.402889935700861</v>
      </c>
      <c r="WZ397" s="875">
        <v>-4.4220699489725908</v>
      </c>
      <c r="XA397" s="875">
        <v>29.480949257212089</v>
      </c>
      <c r="XB397" s="875">
        <v>19626.337782694991</v>
      </c>
      <c r="XC397" s="875">
        <v>0.41985313048644501</v>
      </c>
      <c r="XD397" s="875">
        <v>15.280033427240561</v>
      </c>
      <c r="XE397" s="875">
        <v>-9161.2796990999504</v>
      </c>
      <c r="XF397" s="875">
        <v>44.206023124687668</v>
      </c>
      <c r="XG397" s="875">
        <v>-20987.51589408061</v>
      </c>
      <c r="XH397" s="875">
        <v>29737.08811510729</v>
      </c>
      <c r="XI397" s="875">
        <v>-13.79305672459007</v>
      </c>
      <c r="XJ397" s="875">
        <v>-5.4014156248699274</v>
      </c>
      <c r="XK397" s="875">
        <v>30.18600853669124</v>
      </c>
      <c r="XL397" s="875">
        <v>19187.71080731738</v>
      </c>
      <c r="XM397" s="875">
        <v>-1.5681049788693899</v>
      </c>
      <c r="XN397" s="875">
        <v>16.557550115346721</v>
      </c>
      <c r="XO397" s="875">
        <v>-91.599614019401997</v>
      </c>
      <c r="XP397" s="875">
        <v>5.6538503208103963</v>
      </c>
      <c r="XQ397" s="875">
        <v>-16.37640841338688</v>
      </c>
      <c r="XR397" s="875">
        <v>-0.4098811687106183</v>
      </c>
      <c r="XS397" s="875">
        <v>-0.54845559853518344</v>
      </c>
      <c r="XT397" s="875">
        <v>-2.1905557715429218</v>
      </c>
      <c r="XU397" s="875">
        <v>6.9344016080021706</v>
      </c>
      <c r="XV397" s="875">
        <v>-53877.714201029114</v>
      </c>
      <c r="XW397" s="875">
        <v>2847.6940121801981</v>
      </c>
      <c r="XX397" s="875">
        <v>-17605.352471433049</v>
      </c>
      <c r="XY397" s="875">
        <v>-161.0726390503221</v>
      </c>
      <c r="XZ397" s="875">
        <v>6.0829384732055836</v>
      </c>
      <c r="YA397" s="875">
        <v>-2506.190588946296</v>
      </c>
      <c r="YB397" s="875">
        <v>-0.50879949733072627</v>
      </c>
      <c r="YC397" s="875">
        <v>-0.60508032897867092</v>
      </c>
      <c r="YD397" s="875">
        <v>-2.592419778516605</v>
      </c>
      <c r="YE397" s="875">
        <v>7.18321563068596</v>
      </c>
      <c r="YF397" s="875">
        <v>-62688.916389867547</v>
      </c>
      <c r="YG397" s="875">
        <v>1779.7278598181811</v>
      </c>
      <c r="YH397" s="875">
        <v>-20430.08125214816</v>
      </c>
      <c r="YI397" s="875">
        <v>-90.449087951144023</v>
      </c>
      <c r="YJ397" s="875">
        <v>5.439194388089085</v>
      </c>
      <c r="YK397" s="875">
        <v>-13.270936636698719</v>
      </c>
      <c r="YL397" s="875">
        <v>-0.39413899251018492</v>
      </c>
      <c r="YM397" s="875">
        <v>-0.60607108578789337</v>
      </c>
      <c r="YN397" s="875">
        <v>-1.905360229218833</v>
      </c>
      <c r="YO397" s="875">
        <v>6.8029219893711774</v>
      </c>
      <c r="YP397" s="875">
        <v>-63734.364043062269</v>
      </c>
      <c r="YQ397" s="875">
        <v>1873.849230722177</v>
      </c>
      <c r="YR397" s="875">
        <v>-15791.54503175581</v>
      </c>
      <c r="YS397" s="875">
        <v>-128.39812281382109</v>
      </c>
      <c r="YT397" s="875">
        <v>6.1014748306716049</v>
      </c>
      <c r="YU397" s="875">
        <v>-4757.1395287857104</v>
      </c>
      <c r="YV397" s="875">
        <v>-0.52944586581470654</v>
      </c>
      <c r="YW397" s="875">
        <v>-0.68176812741492054</v>
      </c>
      <c r="YX397" s="875">
        <v>-2.6373890392972861</v>
      </c>
      <c r="YY397" s="875">
        <v>7.1935613831099108</v>
      </c>
      <c r="YZ397" s="875">
        <v>-65211.744312678653</v>
      </c>
      <c r="ZA397" s="875">
        <v>1475.9159371661499</v>
      </c>
      <c r="ZB397" s="875">
        <v>-17817.54228260411</v>
      </c>
      <c r="ZC397" s="875">
        <v>-560.46374035757754</v>
      </c>
      <c r="ZD397" s="875">
        <v>6.8724419923329121</v>
      </c>
      <c r="ZE397" s="875">
        <v>-8649.5666273058014</v>
      </c>
      <c r="ZF397" s="875">
        <v>-0.72763700642671714</v>
      </c>
      <c r="ZG397" s="875">
        <v>-0.96107512032543985</v>
      </c>
      <c r="ZH397" s="875">
        <v>-3.5604966853069402</v>
      </c>
      <c r="ZI397" s="875">
        <v>7.541005394921461</v>
      </c>
      <c r="ZJ397" s="875">
        <v>-72898.836780035635</v>
      </c>
      <c r="ZK397" s="875">
        <v>2178.0835245744661</v>
      </c>
      <c r="ZL397" s="875">
        <v>-28508.72843664137</v>
      </c>
      <c r="ZM397" s="875">
        <v>-1242.191542727541</v>
      </c>
      <c r="ZN397" s="875">
        <v>7.3819904186912817</v>
      </c>
      <c r="ZO397" s="875">
        <v>-8266.7029902946924</v>
      </c>
      <c r="ZP397" s="875">
        <v>-0.87555022146932182</v>
      </c>
      <c r="ZQ397" s="875">
        <v>-1.1603993137883679</v>
      </c>
      <c r="ZR397" s="875">
        <v>-4.4542665626817426</v>
      </c>
      <c r="ZS397" s="875">
        <v>7.7181162626777944</v>
      </c>
      <c r="ZT397" s="875">
        <v>-78686.631078919876</v>
      </c>
      <c r="ZU397" s="875">
        <v>3631.5674761590822</v>
      </c>
      <c r="ZV397" s="875">
        <v>-20729.38497940038</v>
      </c>
      <c r="ZW397" s="875">
        <v>-6178.1740191751696</v>
      </c>
      <c r="ZX397" s="875">
        <v>9.35576030211997</v>
      </c>
      <c r="ZY397" s="875">
        <v>-17054.329354147379</v>
      </c>
      <c r="ZZ397" s="875">
        <v>20819.36220573862</v>
      </c>
      <c r="AAA397" s="875">
        <v>-210.1542801889008</v>
      </c>
      <c r="AAB397" s="875">
        <v>-6.3028115590689664</v>
      </c>
      <c r="AAC397" s="875">
        <v>8.2567668528693332</v>
      </c>
      <c r="AAD397" s="875">
        <v>-69737.846855030759</v>
      </c>
      <c r="AAE397" s="875">
        <v>-0.80243781805970482</v>
      </c>
      <c r="AAF397" s="875">
        <v>-34175.468576761567</v>
      </c>
      <c r="AAG397" s="875">
        <v>-6178.1740191751696</v>
      </c>
      <c r="AAH397" s="875">
        <v>9.35576030211997</v>
      </c>
      <c r="AAI397" s="875">
        <v>-17054.329354147379</v>
      </c>
      <c r="AAJ397" s="875">
        <v>20819.36220573862</v>
      </c>
      <c r="AAK397" s="875">
        <v>-210.1542801889008</v>
      </c>
      <c r="AAL397" s="875">
        <v>-6.3028115590689664</v>
      </c>
      <c r="AAM397" s="875">
        <v>8.2567668528693332</v>
      </c>
      <c r="AAN397" s="875">
        <v>-59457.509092194457</v>
      </c>
      <c r="AAO397" s="875">
        <v>-0.80243781805970482</v>
      </c>
      <c r="AAP397" s="875">
        <v>-34175.468576761567</v>
      </c>
      <c r="AAQ397" s="875">
        <v>-33555.334737133533</v>
      </c>
      <c r="AAR397" s="875">
        <v>10.53264690892242</v>
      </c>
      <c r="AAS397" s="875">
        <v>-27249.81745809612</v>
      </c>
      <c r="AAT397" s="875">
        <v>23363.70871892188</v>
      </c>
      <c r="AAU397" s="875">
        <v>-5253.5749641371431</v>
      </c>
      <c r="AAV397" s="875">
        <v>-13.28704858322515</v>
      </c>
      <c r="AAW397" s="875">
        <v>8.6690968861658213</v>
      </c>
      <c r="AAX397" s="875">
        <v>-74660.284297801278</v>
      </c>
      <c r="AAY397" s="875">
        <v>0.45892098085872868</v>
      </c>
      <c r="AAZ397" s="875">
        <v>6.6311565318694088</v>
      </c>
      <c r="ABA397" s="875"/>
      <c r="ABB397" s="875"/>
      <c r="ABC397" s="875"/>
      <c r="ABD397" s="875"/>
      <c r="ABE397" s="875"/>
      <c r="ABF397" s="875"/>
      <c r="ABG397" s="875"/>
      <c r="ABH397" s="875"/>
      <c r="ABI397" s="875"/>
      <c r="ABJ397" s="875"/>
      <c r="ABK397" s="875"/>
      <c r="ABL397" s="875"/>
      <c r="ABM397" s="875"/>
      <c r="ABN397" s="875"/>
      <c r="ABO397" s="875"/>
      <c r="ABP397" s="875"/>
      <c r="ABQ397" s="875"/>
      <c r="ABR397" s="875"/>
      <c r="ABS397" s="875"/>
      <c r="ABT397" s="875"/>
      <c r="ABU397" s="875"/>
      <c r="ABV397" s="875"/>
      <c r="ABW397" s="875"/>
      <c r="ABX397" s="875"/>
      <c r="ABY397" s="875"/>
      <c r="ABZ397" s="875"/>
      <c r="ACA397" s="875"/>
      <c r="ACB397" s="875"/>
      <c r="ACC397" s="875"/>
      <c r="ACD397" s="875"/>
      <c r="ACE397" s="875"/>
      <c r="ACF397" s="875"/>
      <c r="ACG397" s="875"/>
      <c r="ACH397" s="875"/>
      <c r="ACI397" s="875"/>
      <c r="ACJ397" s="875"/>
      <c r="ACK397" s="875"/>
      <c r="ACL397" s="875"/>
      <c r="ACM397" s="875"/>
      <c r="ACN397" s="875"/>
      <c r="ACO397" s="875"/>
      <c r="ACP397" s="875"/>
      <c r="ACQ397" s="875"/>
      <c r="ACR397" s="875"/>
      <c r="ACS397" s="875"/>
      <c r="ACT397" s="875"/>
      <c r="ACU397" s="875"/>
      <c r="ACV397" s="875"/>
      <c r="ACW397" s="875"/>
      <c r="ACX397" s="875"/>
      <c r="ACY397" s="875"/>
      <c r="ACZ397" s="875"/>
      <c r="ADA397" s="875"/>
      <c r="ADB397" s="875"/>
      <c r="ADC397" s="875"/>
      <c r="ADD397" s="875"/>
      <c r="ADE397" s="875"/>
      <c r="ADF397" s="875"/>
      <c r="ADG397" s="875"/>
      <c r="ADH397" s="875"/>
      <c r="ADI397" s="875"/>
      <c r="ADJ397" s="875"/>
      <c r="ADK397" s="875"/>
      <c r="ADL397" s="875"/>
      <c r="ADM397" s="875"/>
      <c r="ADN397" s="875"/>
      <c r="ADO397" s="875"/>
      <c r="ADP397" s="875"/>
      <c r="ADQ397" s="875"/>
      <c r="ADR397" s="875"/>
      <c r="ADS397" s="875"/>
      <c r="ADT397" s="875"/>
      <c r="ADU397" s="875"/>
      <c r="ADV397" s="875"/>
      <c r="ADW397" s="875"/>
      <c r="ADX397" s="875"/>
      <c r="ADY397" s="875"/>
      <c r="ADZ397" s="875"/>
      <c r="AEA397" s="875"/>
      <c r="AEB397" s="875"/>
      <c r="AEC397" s="875"/>
      <c r="AED397" s="875"/>
      <c r="AEE397" s="875"/>
      <c r="AEF397" s="875"/>
      <c r="AEG397" s="875"/>
      <c r="AEH397" s="875"/>
      <c r="AEI397" s="875"/>
      <c r="AEJ397" s="875"/>
      <c r="AEK397" s="875"/>
      <c r="AEL397" s="875"/>
      <c r="AEM397" s="875"/>
      <c r="AEN397" s="875"/>
      <c r="AEO397" s="875"/>
      <c r="AEP397" s="875"/>
      <c r="AEQ397" s="875"/>
      <c r="AER397" s="875"/>
      <c r="AES397" s="875"/>
      <c r="AET397" s="875"/>
      <c r="AEU397" s="875"/>
      <c r="AEV397" s="875"/>
      <c r="AEW397" s="875"/>
      <c r="AEX397" s="875"/>
      <c r="AEY397" s="875"/>
      <c r="AEZ397" s="875"/>
      <c r="AFA397" s="875"/>
      <c r="AFB397" s="875"/>
      <c r="AFC397" s="875"/>
      <c r="AFD397" s="875"/>
      <c r="AFE397" s="875"/>
      <c r="AFF397" s="875"/>
      <c r="AFG397" s="875"/>
      <c r="AFH397" s="875"/>
      <c r="AFI397" s="875"/>
      <c r="AFJ397" s="875"/>
      <c r="AFK397" s="875"/>
      <c r="AFL397" s="875"/>
      <c r="AFM397" s="875"/>
      <c r="AFN397" s="875"/>
      <c r="AFO397" s="875"/>
      <c r="AFP397" s="875"/>
      <c r="AFQ397" s="875"/>
      <c r="AFR397" s="875"/>
      <c r="AFS397" s="875"/>
      <c r="AFT397" s="875"/>
      <c r="AFU397" s="875"/>
      <c r="AFV397" s="875"/>
      <c r="AFW397" s="875"/>
      <c r="AFX397" s="875"/>
      <c r="AFY397" s="875"/>
      <c r="AFZ397" s="875"/>
      <c r="AGA397" s="875"/>
      <c r="AGB397" s="875"/>
      <c r="AGC397" s="875"/>
      <c r="AGD397" s="875"/>
      <c r="AGE397" s="875"/>
      <c r="AGF397" s="875"/>
      <c r="AGG397" s="875"/>
      <c r="AGH397" s="875"/>
      <c r="AGI397" s="875"/>
      <c r="AGJ397" s="875"/>
      <c r="AGK397" s="875"/>
      <c r="AGL397" s="875"/>
      <c r="AGM397" s="875"/>
      <c r="AGN397" s="875"/>
      <c r="AGO397" s="875"/>
      <c r="AGP397" s="875"/>
      <c r="AGQ397" s="875"/>
      <c r="AGR397" s="875"/>
      <c r="AGS397" s="875"/>
      <c r="AGT397" s="875"/>
      <c r="AGU397" s="875"/>
      <c r="AGV397" s="875"/>
      <c r="AGW397" s="875"/>
      <c r="AGX397" s="875"/>
      <c r="AGY397" s="875"/>
      <c r="AGZ397" s="875"/>
      <c r="AHA397" s="875"/>
      <c r="AHB397" s="875"/>
      <c r="AHC397" s="875"/>
      <c r="AHD397" s="875"/>
      <c r="AHE397" s="875"/>
      <c r="AHF397" s="875"/>
      <c r="AHG397" s="875"/>
      <c r="AHH397" s="875"/>
      <c r="AHI397" s="875"/>
      <c r="AHJ397" s="875"/>
      <c r="AHK397" s="875"/>
      <c r="AHL397" s="875"/>
      <c r="AHM397" s="875"/>
      <c r="AHN397" s="875"/>
      <c r="AHO397" s="875"/>
      <c r="AHP397" s="875"/>
      <c r="AHQ397" s="875"/>
      <c r="AHR397" s="875"/>
      <c r="AHS397" s="875"/>
      <c r="AHT397" s="875"/>
      <c r="AHU397" s="875"/>
      <c r="AHV397" s="875"/>
      <c r="AHW397" s="875"/>
      <c r="AHX397" s="875"/>
      <c r="AHY397" s="875"/>
      <c r="AHZ397" s="875"/>
      <c r="AIA397" s="875"/>
      <c r="AIB397" s="875"/>
      <c r="AIC397" s="875"/>
      <c r="AID397" s="875"/>
      <c r="AIE397" s="875"/>
      <c r="AIF397" s="875"/>
      <c r="AIG397" s="875"/>
      <c r="AIH397" s="875"/>
      <c r="AII397" s="875"/>
      <c r="AIJ397" s="875"/>
      <c r="AIK397" s="875"/>
      <c r="AIL397" s="875"/>
      <c r="AIM397" s="875"/>
      <c r="AIN397" s="875"/>
      <c r="AIO397" s="875"/>
      <c r="AIP397" s="875"/>
      <c r="AIQ397" s="875"/>
      <c r="AIR397" s="875"/>
      <c r="AIS397" s="875"/>
      <c r="AIT397" s="875"/>
      <c r="AIU397" s="875"/>
      <c r="AIV397" s="875"/>
      <c r="AIW397" s="875"/>
      <c r="AIX397" s="875"/>
      <c r="AIY397" s="875"/>
      <c r="AIZ397" s="875"/>
      <c r="AJA397" s="875"/>
      <c r="AJB397" s="875"/>
      <c r="AJC397" s="875"/>
      <c r="AJD397" s="875"/>
      <c r="AJE397" s="875"/>
      <c r="AJF397" s="875"/>
      <c r="AJG397" s="875"/>
      <c r="AJH397" s="875"/>
      <c r="AJI397" s="875"/>
      <c r="AJJ397" s="875"/>
      <c r="AJK397" s="875"/>
      <c r="AJL397" s="875"/>
      <c r="AJM397" s="875"/>
      <c r="AJN397" s="875"/>
      <c r="AJO397" s="875"/>
      <c r="AJP397" s="875"/>
      <c r="AJQ397" s="875"/>
      <c r="AJR397" s="875"/>
      <c r="AJS397" s="875"/>
      <c r="AJT397" s="875"/>
      <c r="AJU397" s="875"/>
      <c r="AJV397" s="875"/>
      <c r="AJW397" s="875"/>
      <c r="AJX397" s="875"/>
      <c r="AJY397" s="875"/>
      <c r="AJZ397" s="875"/>
      <c r="AKA397" s="875"/>
      <c r="AKB397" s="875"/>
      <c r="AKC397" s="875"/>
      <c r="AKD397" s="875"/>
      <c r="AKE397" s="875"/>
      <c r="AKF397" s="875"/>
      <c r="AKG397" s="875"/>
      <c r="AKH397" s="875"/>
      <c r="AKI397" s="875"/>
      <c r="AKJ397" s="875"/>
      <c r="AKK397" s="875"/>
      <c r="AKL397" s="875"/>
      <c r="AKM397" s="875"/>
      <c r="AKN397" s="875"/>
      <c r="AKO397" s="875"/>
      <c r="AKP397" s="875"/>
      <c r="AKQ397" s="875"/>
      <c r="AKR397" s="875"/>
      <c r="AKS397" s="875"/>
      <c r="AKT397" s="875"/>
      <c r="AKU397" s="875"/>
      <c r="AKV397" s="875"/>
      <c r="AKW397" s="875"/>
      <c r="AKX397" s="875"/>
      <c r="AKY397" s="875"/>
      <c r="AKZ397" s="875"/>
      <c r="ALA397" s="875"/>
      <c r="ALB397" s="875"/>
      <c r="ALC397" s="875"/>
      <c r="ALD397" s="875"/>
      <c r="ALE397" s="875"/>
      <c r="ALF397" s="875"/>
      <c r="ALG397" s="875"/>
      <c r="ALH397" s="875"/>
      <c r="ALI397" s="875"/>
      <c r="ALJ397" s="875"/>
      <c r="ALK397" s="875"/>
      <c r="ALL397" s="875"/>
      <c r="ALM397" s="875"/>
      <c r="ALN397" s="875"/>
      <c r="ALO397" s="875"/>
      <c r="ALP397" s="875"/>
      <c r="ALQ397" s="875"/>
      <c r="ALR397" s="875"/>
      <c r="ALS397" s="875"/>
      <c r="ALT397" s="875"/>
      <c r="ALU397" s="875"/>
      <c r="ALV397" s="875"/>
      <c r="ALW397" s="875"/>
      <c r="ALX397" s="875"/>
      <c r="ALY397" s="875"/>
      <c r="ALZ397" s="875"/>
      <c r="AMA397" s="875"/>
      <c r="AMB397" s="875"/>
      <c r="AMC397" s="875"/>
      <c r="AMD397" s="875"/>
      <c r="AME397" s="875"/>
      <c r="AMF397" s="875"/>
      <c r="AMG397" s="875"/>
      <c r="AMH397" s="875"/>
      <c r="AMI397" s="875"/>
      <c r="AMJ397" s="875"/>
      <c r="AMK397" s="875"/>
      <c r="AML397" s="875"/>
      <c r="AMM397" s="875"/>
      <c r="AMN397" s="875"/>
      <c r="AMO397" s="875"/>
      <c r="AMP397" s="875"/>
      <c r="AMQ397" s="875"/>
      <c r="AMR397" s="875"/>
      <c r="AMS397" s="875"/>
      <c r="AMT397" s="875"/>
      <c r="AMU397" s="875"/>
      <c r="AMV397" s="875"/>
      <c r="AMW397" s="875"/>
      <c r="AMX397" s="875"/>
      <c r="AMY397" s="875"/>
      <c r="AMZ397" s="875"/>
      <c r="ANA397" s="875"/>
      <c r="ANB397" s="875"/>
      <c r="ANC397" s="875"/>
      <c r="AND397" s="875"/>
      <c r="ANE397" s="875"/>
      <c r="ANF397" s="875"/>
      <c r="ANG397" s="875"/>
      <c r="ANH397" s="875"/>
      <c r="ANI397" s="875"/>
      <c r="ANJ397" s="875"/>
      <c r="ANK397" s="875"/>
      <c r="ANL397" s="875"/>
      <c r="ANM397" s="875"/>
      <c r="ANN397" s="875"/>
      <c r="ANO397" s="875"/>
      <c r="ANP397" s="875"/>
      <c r="ANQ397" s="875"/>
      <c r="ANR397" s="875"/>
      <c r="ANS397" s="875"/>
      <c r="ANT397" s="875"/>
      <c r="ANU397" s="875"/>
      <c r="ANV397" s="875"/>
      <c r="ANW397" s="875"/>
      <c r="ANX397" s="875"/>
      <c r="ANY397" s="875"/>
      <c r="ANZ397" s="875"/>
      <c r="AOA397" s="875"/>
      <c r="AOB397" s="875"/>
      <c r="AOC397" s="875"/>
      <c r="AOD397" s="875"/>
      <c r="AOE397" s="875"/>
      <c r="AOF397" s="875"/>
      <c r="AOG397" s="875"/>
      <c r="AOH397" s="875"/>
      <c r="AOI397" s="875"/>
      <c r="AOJ397" s="875"/>
      <c r="AOK397" s="875"/>
      <c r="AOL397" s="875"/>
      <c r="AOM397" s="875"/>
      <c r="AON397" s="875"/>
      <c r="AOO397" s="875"/>
      <c r="AOP397" s="875"/>
      <c r="AOQ397" s="875"/>
      <c r="AOR397" s="875"/>
      <c r="AOS397" s="875"/>
      <c r="AOT397" s="875"/>
      <c r="AOU397" s="875"/>
      <c r="AOV397" s="875"/>
      <c r="AOW397" s="887"/>
    </row>
    <row r="398" spans="2:1102" hidden="1">
      <c r="B398" s="1000" t="s">
        <v>1053</v>
      </c>
      <c r="C398" s="1000"/>
      <c r="D398" s="836"/>
      <c r="E398" s="892" t="s">
        <v>1040</v>
      </c>
      <c r="F398" s="462"/>
      <c r="G398" s="462" t="s">
        <v>65</v>
      </c>
      <c r="H398" s="462"/>
      <c r="I398" s="875"/>
      <c r="J398" s="875"/>
      <c r="K398" s="875"/>
      <c r="L398" s="875"/>
      <c r="M398" s="875"/>
      <c r="N398" s="875"/>
      <c r="O398" s="875"/>
      <c r="P398" s="875"/>
      <c r="Q398" s="875"/>
      <c r="R398" s="875"/>
      <c r="S398" s="875"/>
      <c r="T398" s="875"/>
      <c r="U398" s="875"/>
      <c r="V398" s="875"/>
      <c r="W398" s="875"/>
      <c r="X398" s="875"/>
      <c r="Y398" s="875"/>
      <c r="Z398" s="875"/>
      <c r="AA398" s="875"/>
      <c r="AB398" s="875"/>
      <c r="AC398" s="875"/>
      <c r="AD398" s="875"/>
      <c r="AE398" s="875"/>
      <c r="AF398" s="875"/>
      <c r="AG398" s="875"/>
      <c r="AH398" s="875"/>
      <c r="AI398" s="875"/>
      <c r="AJ398" s="875"/>
      <c r="AK398" s="875"/>
      <c r="AL398" s="875"/>
      <c r="AM398" s="875"/>
      <c r="AN398" s="875"/>
      <c r="AO398" s="875"/>
      <c r="AP398" s="875"/>
      <c r="AQ398" s="875"/>
      <c r="AR398" s="875"/>
      <c r="AS398" s="875"/>
      <c r="AT398" s="875"/>
      <c r="AU398" s="875"/>
      <c r="AV398" s="875"/>
      <c r="AW398" s="875"/>
      <c r="AX398" s="875"/>
      <c r="AY398" s="875"/>
      <c r="AZ398" s="875"/>
      <c r="BA398" s="875"/>
      <c r="BB398" s="875"/>
      <c r="BC398" s="875"/>
      <c r="BD398" s="875"/>
      <c r="BE398" s="875"/>
      <c r="BF398" s="875"/>
      <c r="BG398" s="875"/>
      <c r="BH398" s="875"/>
      <c r="BI398" s="875"/>
      <c r="BJ398" s="875"/>
      <c r="BK398" s="875"/>
      <c r="BL398" s="875"/>
      <c r="BM398" s="875"/>
      <c r="BN398" s="875"/>
      <c r="BO398" s="875"/>
      <c r="BP398" s="875"/>
      <c r="BQ398" s="875"/>
      <c r="BR398" s="875"/>
      <c r="BS398" s="875"/>
      <c r="BT398" s="875"/>
      <c r="BU398" s="875"/>
      <c r="BV398" s="875"/>
      <c r="BW398" s="875"/>
      <c r="BX398" s="875"/>
      <c r="BY398" s="875"/>
      <c r="BZ398" s="875"/>
      <c r="CA398" s="875"/>
      <c r="CB398" s="875"/>
      <c r="CC398" s="875"/>
      <c r="CD398" s="875"/>
      <c r="CE398" s="875"/>
      <c r="CF398" s="875"/>
      <c r="CG398" s="875"/>
      <c r="CH398" s="875"/>
      <c r="CI398" s="875"/>
      <c r="CJ398" s="875"/>
      <c r="CK398" s="875"/>
      <c r="CL398" s="875"/>
      <c r="CM398" s="875"/>
      <c r="CN398" s="875"/>
      <c r="CO398" s="875"/>
      <c r="CP398" s="875"/>
      <c r="CQ398" s="875"/>
      <c r="CR398" s="875"/>
      <c r="CS398" s="875"/>
      <c r="CT398" s="875"/>
      <c r="CU398" s="875"/>
      <c r="CV398" s="875"/>
      <c r="CW398" s="875"/>
      <c r="CX398" s="875"/>
      <c r="CY398" s="875"/>
      <c r="CZ398" s="875"/>
      <c r="DA398" s="875"/>
      <c r="DB398" s="875"/>
      <c r="DC398" s="875"/>
      <c r="DD398" s="875"/>
      <c r="DE398" s="875"/>
      <c r="DF398" s="875"/>
      <c r="DG398" s="875"/>
      <c r="DH398" s="875"/>
      <c r="DI398" s="875"/>
      <c r="DJ398" s="875"/>
      <c r="DK398" s="875"/>
      <c r="DL398" s="875"/>
      <c r="DM398" s="875"/>
      <c r="DN398" s="875"/>
      <c r="DO398" s="875"/>
      <c r="DP398" s="875"/>
      <c r="DQ398" s="875"/>
      <c r="DR398" s="875"/>
      <c r="DS398" s="875"/>
      <c r="DT398" s="875"/>
      <c r="DU398" s="875"/>
      <c r="DV398" s="875"/>
      <c r="DW398" s="875"/>
      <c r="DX398" s="875"/>
      <c r="DY398" s="875"/>
      <c r="DZ398" s="875"/>
      <c r="EA398" s="875"/>
      <c r="EB398" s="875"/>
      <c r="EC398" s="875"/>
      <c r="ED398" s="875"/>
      <c r="EE398" s="875"/>
      <c r="EF398" s="875"/>
      <c r="EG398" s="875"/>
      <c r="EH398" s="875"/>
      <c r="EI398" s="875"/>
      <c r="EJ398" s="875"/>
      <c r="EK398" s="875"/>
      <c r="EL398" s="875"/>
      <c r="EM398" s="875"/>
      <c r="EN398" s="875"/>
      <c r="EO398" s="875"/>
      <c r="EP398" s="875"/>
      <c r="EQ398" s="875"/>
      <c r="ER398" s="875"/>
      <c r="ES398" s="875"/>
      <c r="ET398" s="875"/>
      <c r="EU398" s="875"/>
      <c r="EV398" s="875"/>
      <c r="EW398" s="875"/>
      <c r="EX398" s="875"/>
      <c r="EY398" s="875"/>
      <c r="EZ398" s="875"/>
      <c r="FA398" s="875"/>
      <c r="FB398" s="875"/>
      <c r="FC398" s="875"/>
      <c r="FD398" s="875"/>
      <c r="FE398" s="875"/>
      <c r="FF398" s="875"/>
      <c r="FG398" s="875"/>
      <c r="FH398" s="875"/>
      <c r="FI398" s="875"/>
      <c r="FJ398" s="875"/>
      <c r="FK398" s="875"/>
      <c r="FL398" s="875"/>
      <c r="FM398" s="875"/>
      <c r="FN398" s="875"/>
      <c r="FO398" s="875"/>
      <c r="FP398" s="875"/>
      <c r="FQ398" s="875"/>
      <c r="FR398" s="875"/>
      <c r="FS398" s="875"/>
      <c r="FT398" s="875"/>
      <c r="FU398" s="875"/>
      <c r="FV398" s="875"/>
      <c r="FW398" s="875"/>
      <c r="FX398" s="875"/>
      <c r="FY398" s="875"/>
      <c r="FZ398" s="875"/>
      <c r="GA398" s="875"/>
      <c r="GB398" s="875"/>
      <c r="GC398" s="875"/>
      <c r="GD398" s="875"/>
      <c r="GE398" s="875"/>
      <c r="GF398" s="875"/>
      <c r="GG398" s="875"/>
      <c r="GH398" s="875"/>
      <c r="GI398" s="875"/>
      <c r="GJ398" s="875"/>
      <c r="GK398" s="875"/>
      <c r="GL398" s="875"/>
      <c r="GM398" s="875"/>
      <c r="GN398" s="875"/>
      <c r="GO398" s="875"/>
      <c r="GP398" s="875"/>
      <c r="GQ398" s="875"/>
      <c r="GR398" s="875"/>
      <c r="GS398" s="875"/>
      <c r="GT398" s="875"/>
      <c r="GU398" s="875"/>
      <c r="GV398" s="875"/>
      <c r="GW398" s="875"/>
      <c r="GX398" s="875"/>
      <c r="GY398" s="875"/>
      <c r="GZ398" s="875"/>
      <c r="HA398" s="875"/>
      <c r="HB398" s="875"/>
      <c r="HC398" s="875"/>
      <c r="HD398" s="875"/>
      <c r="HE398" s="875"/>
      <c r="HF398" s="875"/>
      <c r="HG398" s="875"/>
      <c r="HH398" s="875"/>
      <c r="HI398" s="875"/>
      <c r="HJ398" s="875"/>
      <c r="HK398" s="875"/>
      <c r="HL398" s="875"/>
      <c r="HM398" s="875"/>
      <c r="HN398" s="875"/>
      <c r="HO398" s="875"/>
      <c r="HP398" s="875"/>
      <c r="HQ398" s="875"/>
      <c r="HR398" s="875"/>
      <c r="HS398" s="875"/>
      <c r="HT398" s="875"/>
      <c r="HU398" s="875"/>
      <c r="HV398" s="875"/>
      <c r="HW398" s="875"/>
      <c r="HX398" s="875"/>
      <c r="HY398" s="875"/>
      <c r="HZ398" s="875"/>
      <c r="IA398" s="875"/>
      <c r="IB398" s="875"/>
      <c r="IC398" s="875"/>
      <c r="ID398" s="875"/>
      <c r="IE398" s="875"/>
      <c r="IF398" s="875"/>
      <c r="IG398" s="875"/>
      <c r="IH398" s="875"/>
      <c r="II398" s="875"/>
      <c r="IJ398" s="875"/>
      <c r="IK398" s="875"/>
      <c r="IL398" s="875"/>
      <c r="IM398" s="875"/>
      <c r="IN398" s="875"/>
      <c r="IO398" s="875"/>
      <c r="IP398" s="875"/>
      <c r="IQ398" s="875"/>
      <c r="IR398" s="875"/>
      <c r="IS398" s="875"/>
      <c r="IT398" s="875"/>
      <c r="IU398" s="875"/>
      <c r="IV398" s="875"/>
      <c r="IW398" s="875"/>
      <c r="IX398" s="875"/>
      <c r="IY398" s="875"/>
      <c r="IZ398" s="875"/>
      <c r="JA398" s="875"/>
      <c r="JB398" s="875"/>
      <c r="JC398" s="875"/>
      <c r="JD398" s="875"/>
      <c r="JE398" s="875"/>
      <c r="JF398" s="875"/>
      <c r="JG398" s="875"/>
      <c r="JH398" s="875"/>
      <c r="JI398" s="875"/>
      <c r="JJ398" s="875"/>
      <c r="JK398" s="875"/>
      <c r="JL398" s="875"/>
      <c r="JM398" s="875"/>
      <c r="JN398" s="875"/>
      <c r="JO398" s="875"/>
      <c r="JP398" s="875"/>
      <c r="JQ398" s="875"/>
      <c r="JR398" s="875"/>
      <c r="JS398" s="875"/>
      <c r="JT398" s="875"/>
      <c r="JU398" s="875"/>
      <c r="JV398" s="875"/>
      <c r="JW398" s="875"/>
      <c r="JX398" s="875"/>
      <c r="JY398" s="875"/>
      <c r="JZ398" s="875"/>
      <c r="KA398" s="875"/>
      <c r="KB398" s="875"/>
      <c r="KC398" s="875"/>
      <c r="KD398" s="875"/>
      <c r="KE398" s="875"/>
      <c r="KF398" s="875"/>
      <c r="KG398" s="875"/>
      <c r="KH398" s="875"/>
      <c r="KI398" s="875"/>
      <c r="KJ398" s="875"/>
      <c r="KK398" s="875"/>
      <c r="KL398" s="875"/>
      <c r="KM398" s="875"/>
      <c r="KN398" s="875"/>
      <c r="KO398" s="875"/>
      <c r="KP398" s="875"/>
      <c r="KQ398" s="875"/>
      <c r="KR398" s="875"/>
      <c r="KS398" s="875"/>
      <c r="KT398" s="875"/>
      <c r="KU398" s="875"/>
      <c r="KV398" s="875"/>
      <c r="KW398" s="875"/>
      <c r="KX398" s="875"/>
      <c r="KY398" s="875"/>
      <c r="KZ398" s="875"/>
      <c r="LA398" s="875"/>
      <c r="LB398" s="875"/>
      <c r="LC398" s="875"/>
      <c r="LD398" s="875"/>
      <c r="LE398" s="875"/>
      <c r="LF398" s="875"/>
      <c r="LG398" s="875"/>
      <c r="LH398" s="875"/>
      <c r="LI398" s="875"/>
      <c r="LJ398" s="875"/>
      <c r="LK398" s="875"/>
      <c r="LL398" s="875"/>
      <c r="LM398" s="875"/>
      <c r="LN398" s="875"/>
      <c r="LO398" s="875"/>
      <c r="LP398" s="875"/>
      <c r="LQ398" s="875"/>
      <c r="LR398" s="875"/>
      <c r="LS398" s="875"/>
      <c r="LT398" s="875"/>
      <c r="LU398" s="875"/>
      <c r="LV398" s="875"/>
      <c r="LW398" s="875"/>
      <c r="LX398" s="875"/>
      <c r="LY398" s="875"/>
      <c r="LZ398" s="875"/>
      <c r="MA398" s="875"/>
      <c r="MB398" s="875"/>
      <c r="MC398" s="875"/>
      <c r="MD398" s="875"/>
      <c r="ME398" s="875"/>
      <c r="MF398" s="875"/>
      <c r="MG398" s="875"/>
      <c r="MH398" s="875"/>
      <c r="MI398" s="875"/>
      <c r="MJ398" s="875"/>
      <c r="MK398" s="875"/>
      <c r="ML398" s="875"/>
      <c r="MM398" s="875"/>
      <c r="MN398" s="875"/>
      <c r="MO398" s="875"/>
      <c r="MP398" s="875"/>
      <c r="MQ398" s="875"/>
      <c r="MR398" s="875"/>
      <c r="MS398" s="875"/>
      <c r="MT398" s="875"/>
      <c r="MU398" s="875"/>
      <c r="MV398" s="875"/>
      <c r="MW398" s="875"/>
      <c r="MX398" s="875"/>
      <c r="MY398" s="875"/>
      <c r="MZ398" s="875"/>
      <c r="NA398" s="875"/>
      <c r="NB398" s="875"/>
      <c r="NC398" s="875"/>
      <c r="ND398" s="875"/>
      <c r="NE398" s="875">
        <v>6706.7332524985732</v>
      </c>
      <c r="NF398" s="875">
        <v>113498.2173885954</v>
      </c>
      <c r="NG398" s="875">
        <v>5060.1176542312351</v>
      </c>
      <c r="NH398" s="875">
        <v>23044.606331788251</v>
      </c>
      <c r="NI398" s="875">
        <v>30.906676469069101</v>
      </c>
      <c r="NJ398" s="875">
        <v>8842.3456285878201</v>
      </c>
      <c r="NK398" s="875">
        <v>10434.92390287371</v>
      </c>
      <c r="NL398" s="875">
        <v>29669.558399940899</v>
      </c>
      <c r="NM398" s="875">
        <v>15840.259437218119</v>
      </c>
      <c r="NN398" s="875">
        <v>51349.516636854387</v>
      </c>
      <c r="NO398" s="875">
        <v>11241.336456895629</v>
      </c>
      <c r="NP398" s="875">
        <v>127240.2769810429</v>
      </c>
      <c r="NQ398" s="875">
        <v>11349.08435590322</v>
      </c>
      <c r="NR398" s="875">
        <v>20858.344324417609</v>
      </c>
      <c r="NS398" s="875">
        <v>-0.95910043971014358</v>
      </c>
      <c r="NT398" s="875">
        <v>4018.7348951616559</v>
      </c>
      <c r="NU398" s="875">
        <v>13808.50005890282</v>
      </c>
      <c r="NV398" s="875">
        <v>34010.859684666328</v>
      </c>
      <c r="NW398" s="875">
        <v>18883.750838653221</v>
      </c>
      <c r="NX398" s="875">
        <v>42212.021723106227</v>
      </c>
      <c r="NY398" s="875">
        <v>5187.5259508841564</v>
      </c>
      <c r="NZ398" s="875">
        <v>116935.29251537241</v>
      </c>
      <c r="OA398" s="875">
        <v>9484.6538574102069</v>
      </c>
      <c r="OB398" s="875">
        <v>14739.784599505119</v>
      </c>
      <c r="OC398" s="875">
        <v>-0.75769053364134731</v>
      </c>
      <c r="OD398" s="875">
        <v>3220.8669787351819</v>
      </c>
      <c r="OE398" s="875">
        <v>37725.902080045402</v>
      </c>
      <c r="OF398" s="875">
        <v>35454.395369266982</v>
      </c>
      <c r="OG398" s="875">
        <v>16537.633522370241</v>
      </c>
      <c r="OH398" s="875">
        <v>37305.790947406131</v>
      </c>
      <c r="OI398" s="875">
        <v>8712.499267015959</v>
      </c>
      <c r="OJ398" s="875">
        <v>109371.02230100321</v>
      </c>
      <c r="OK398" s="875">
        <v>12931.84532350171</v>
      </c>
      <c r="OL398" s="875">
        <v>14067.541939800631</v>
      </c>
      <c r="OM398" s="875">
        <v>-2.042933923564576</v>
      </c>
      <c r="ON398" s="875">
        <v>9158.6869283190281</v>
      </c>
      <c r="OO398" s="875">
        <v>15228.50905116914</v>
      </c>
      <c r="OP398" s="875">
        <v>33880.685544896682</v>
      </c>
      <c r="OQ398" s="875">
        <v>17890.188169665249</v>
      </c>
      <c r="OR398" s="875">
        <v>58589.937391308202</v>
      </c>
      <c r="OS398" s="875">
        <v>13030.115888924071</v>
      </c>
      <c r="OT398" s="875">
        <v>116982.4126371919</v>
      </c>
      <c r="OU398" s="875">
        <v>10842.669576056751</v>
      </c>
      <c r="OV398" s="875">
        <v>10247.01282706946</v>
      </c>
      <c r="OW398" s="875">
        <v>7825.706657055809</v>
      </c>
      <c r="OX398" s="875">
        <v>4229.1960823115769</v>
      </c>
      <c r="OY398" s="875">
        <v>16916.572601697841</v>
      </c>
      <c r="OZ398" s="875">
        <v>36839.815595728083</v>
      </c>
      <c r="PA398" s="875">
        <v>16837.460991315362</v>
      </c>
      <c r="PB398" s="875">
        <v>49740.073895186542</v>
      </c>
      <c r="PC398" s="875">
        <v>16067.48927573129</v>
      </c>
      <c r="PD398" s="875">
        <v>123804.3406477934</v>
      </c>
      <c r="PE398" s="875">
        <v>9197.9665636110549</v>
      </c>
      <c r="PF398" s="875">
        <v>8694.2348666126563</v>
      </c>
      <c r="PG398" s="875">
        <v>6433.2701039717867</v>
      </c>
      <c r="PH398" s="875">
        <v>4232.0501249927356</v>
      </c>
      <c r="PI398" s="875">
        <v>15058.28936008758</v>
      </c>
      <c r="PJ398" s="875">
        <v>33069.403864226428</v>
      </c>
      <c r="PK398" s="875">
        <v>16802.961678878532</v>
      </c>
      <c r="PL398" s="875">
        <v>37980.483650205111</v>
      </c>
      <c r="PM398" s="875">
        <v>23314.461344012489</v>
      </c>
      <c r="PN398" s="875">
        <v>127950.1325105133</v>
      </c>
      <c r="PO398" s="875">
        <v>10606.051057389261</v>
      </c>
      <c r="PP398" s="875">
        <v>9728.0052776394241</v>
      </c>
      <c r="PQ398" s="875">
        <v>7104.805785527351</v>
      </c>
      <c r="PR398" s="875">
        <v>-0.700654104521091</v>
      </c>
      <c r="PS398" s="875">
        <v>16874.531328432651</v>
      </c>
      <c r="PT398" s="875">
        <v>22153.261721173109</v>
      </c>
      <c r="PU398" s="875">
        <v>84.41578534948259</v>
      </c>
      <c r="PV398" s="875">
        <v>59491.083386064471</v>
      </c>
      <c r="PW398" s="875">
        <v>24157.668669757972</v>
      </c>
      <c r="PX398" s="875">
        <v>133761.67934588841</v>
      </c>
      <c r="PY398" s="875">
        <v>16504.876881415479</v>
      </c>
      <c r="PZ398" s="875">
        <v>15327.16681375734</v>
      </c>
      <c r="QA398" s="875">
        <v>7104.805785527351</v>
      </c>
      <c r="QB398" s="875">
        <v>-0.70065412878666011</v>
      </c>
      <c r="QC398" s="875">
        <v>16728.86648050963</v>
      </c>
      <c r="QD398" s="875">
        <v>21249.445806758969</v>
      </c>
      <c r="QE398" s="875">
        <v>84.41578534948259</v>
      </c>
      <c r="QF398" s="875">
        <v>42427.200617045972</v>
      </c>
      <c r="QG398" s="875">
        <v>20717.579698210098</v>
      </c>
      <c r="QH398" s="875">
        <v>99999.61005840775</v>
      </c>
      <c r="QI398" s="875">
        <v>16911.993532116241</v>
      </c>
      <c r="QJ398" s="875">
        <v>9469.5237971524148</v>
      </c>
      <c r="QK398" s="875">
        <v>2627.0991497923542</v>
      </c>
      <c r="QL398" s="875">
        <v>-0.73602110623179473</v>
      </c>
      <c r="QM398" s="875">
        <v>16476.109858000171</v>
      </c>
      <c r="QN398" s="875">
        <v>19007.07962519554</v>
      </c>
      <c r="QO398" s="875">
        <v>55.681956395748102</v>
      </c>
      <c r="QP398" s="875">
        <v>71717.677863460398</v>
      </c>
      <c r="QQ398" s="875">
        <v>-0.34151667208695791</v>
      </c>
      <c r="QR398" s="875">
        <v>6481.9497984198533</v>
      </c>
      <c r="QS398" s="875">
        <v>3657.529801237381</v>
      </c>
      <c r="QT398" s="875">
        <v>0.17739648317533729</v>
      </c>
      <c r="QU398" s="875">
        <v>7.7585830278589452E-2</v>
      </c>
      <c r="QV398" s="875">
        <v>4256.1960521110977</v>
      </c>
      <c r="QW398" s="875">
        <v>4447.3472732071004</v>
      </c>
      <c r="QX398" s="875">
        <v>1999.3417153722551</v>
      </c>
      <c r="QY398" s="875">
        <v>0.20418079245184481</v>
      </c>
      <c r="QZ398" s="875">
        <v>17043.033542291301</v>
      </c>
      <c r="RA398" s="875">
        <v>-0.35967977296663528</v>
      </c>
      <c r="RB398" s="875">
        <v>4888.5590236731832</v>
      </c>
      <c r="RC398" s="875">
        <v>4150.5313375841652</v>
      </c>
      <c r="RD398" s="875">
        <v>0.1219702342229726</v>
      </c>
      <c r="RE398" s="875">
        <v>7.9929913925696192E-2</v>
      </c>
      <c r="RF398" s="875">
        <v>-0.17155059779270701</v>
      </c>
      <c r="RG398" s="875">
        <v>4777.5417069975329</v>
      </c>
      <c r="RH398" s="875">
        <v>2806.1172583746979</v>
      </c>
      <c r="RI398" s="875">
        <v>-5393.9004598096963</v>
      </c>
      <c r="RJ398" s="875">
        <v>20602.974626294879</v>
      </c>
      <c r="RK398" s="875">
        <v>-0.33490529311875061</v>
      </c>
      <c r="RL398" s="875">
        <v>4441.2067653574904</v>
      </c>
      <c r="RM398" s="875">
        <v>2720.8375215180781</v>
      </c>
      <c r="RN398" s="875">
        <v>0.18781537879456969</v>
      </c>
      <c r="RO398" s="875">
        <v>7.4756988811050959E-2</v>
      </c>
      <c r="RP398" s="875">
        <v>-0.15949769297797911</v>
      </c>
      <c r="RQ398" s="875">
        <v>4767.6900231180507</v>
      </c>
      <c r="RR398" s="875">
        <v>3051.3916849136899</v>
      </c>
      <c r="RS398" s="875">
        <v>0.1606952164249168</v>
      </c>
      <c r="RT398" s="875">
        <v>16603.676385489402</v>
      </c>
      <c r="RU398" s="875">
        <v>-0.3822594912147052</v>
      </c>
      <c r="RV398" s="875">
        <v>4603.4192086452613</v>
      </c>
      <c r="RW398" s="875">
        <v>4745.7861829598678</v>
      </c>
      <c r="RX398" s="875">
        <v>0.10349676752352879</v>
      </c>
      <c r="RY398" s="875">
        <v>7.0533800799358407E-2</v>
      </c>
      <c r="RZ398" s="875">
        <v>-0.1723502214396104</v>
      </c>
      <c r="SA398" s="875">
        <v>4559.4843559015353</v>
      </c>
      <c r="SB398" s="875">
        <v>3800.6778384241602</v>
      </c>
      <c r="SC398" s="875">
        <v>-4298.7611269569134</v>
      </c>
      <c r="SD398" s="875">
        <v>18482.72522280745</v>
      </c>
      <c r="SE398" s="875">
        <v>-0.467743803389226</v>
      </c>
      <c r="SF398" s="875">
        <v>3972.6686231212962</v>
      </c>
      <c r="SG398" s="875">
        <v>5643.3308770533849</v>
      </c>
      <c r="SH398" s="875">
        <v>-58.012720997147149</v>
      </c>
      <c r="SI398" s="875">
        <v>3.8757353019905037E-2</v>
      </c>
      <c r="SJ398" s="875">
        <v>-0.1842032374550725</v>
      </c>
      <c r="SK398" s="875">
        <v>4870.5758275928047</v>
      </c>
      <c r="SL398" s="875">
        <v>3444.9819123972788</v>
      </c>
      <c r="SM398" s="875">
        <v>-6147.9038308565832</v>
      </c>
      <c r="SN398" s="875">
        <v>12359.861544951929</v>
      </c>
      <c r="SO398" s="875">
        <v>-0.53311149974119809</v>
      </c>
      <c r="SP398" s="875">
        <v>4344.6022024022359</v>
      </c>
      <c r="SQ398" s="875">
        <v>7506.2560513985527</v>
      </c>
      <c r="SR398" s="875">
        <v>0.30137554665902311</v>
      </c>
      <c r="SS398" s="875">
        <v>315.42004785429441</v>
      </c>
      <c r="ST398" s="875">
        <v>-0.19275904543376099</v>
      </c>
      <c r="SU398" s="875">
        <v>4386.1556201185922</v>
      </c>
      <c r="SV398" s="875">
        <v>4302.4778438569338</v>
      </c>
      <c r="SW398" s="875">
        <v>0.92127695584354885</v>
      </c>
      <c r="SX398" s="875">
        <v>16037.749584197491</v>
      </c>
      <c r="SY398" s="875">
        <v>-0.80410436221201642</v>
      </c>
      <c r="SZ398" s="875">
        <v>7383.5116774363678</v>
      </c>
      <c r="TA398" s="875">
        <v>15544.274766767479</v>
      </c>
      <c r="TB398" s="875">
        <v>32.000185575723769</v>
      </c>
      <c r="TC398" s="875">
        <v>305.61220433208842</v>
      </c>
      <c r="TD398" s="875">
        <v>-0.2504578364038873</v>
      </c>
      <c r="TE398" s="875">
        <v>8265.7528405921712</v>
      </c>
      <c r="TF398" s="875">
        <v>4969.3935973682164</v>
      </c>
      <c r="TG398" s="875">
        <v>56.026260528554481</v>
      </c>
      <c r="TH398" s="875">
        <v>16578.458853066499</v>
      </c>
      <c r="TI398" s="875">
        <v>-0.80410436221201642</v>
      </c>
      <c r="TJ398" s="875">
        <v>7383.5116774363678</v>
      </c>
      <c r="TK398" s="875">
        <v>15544.274766767479</v>
      </c>
      <c r="TL398" s="875">
        <v>32.000185575723769</v>
      </c>
      <c r="TM398" s="875">
        <v>305.61220433208842</v>
      </c>
      <c r="TN398" s="875">
        <v>-0.2504578364038873</v>
      </c>
      <c r="TO398" s="875">
        <v>8265.7528405921712</v>
      </c>
      <c r="TP398" s="875">
        <v>7346.8328120890528</v>
      </c>
      <c r="TQ398" s="875">
        <v>56.026260528554481</v>
      </c>
      <c r="TR398" s="875">
        <v>16578.458853066499</v>
      </c>
      <c r="TS398" s="875">
        <v>-1.0065619989969889</v>
      </c>
      <c r="TT398" s="875">
        <v>4292.8918216977654</v>
      </c>
      <c r="TU398" s="875">
        <v>17352.799334669569</v>
      </c>
      <c r="TV398" s="875">
        <v>29.522612404693469</v>
      </c>
      <c r="TW398" s="875">
        <v>2738.334314208772</v>
      </c>
      <c r="TX398" s="875">
        <v>-0.27809710399332072</v>
      </c>
      <c r="TY398" s="875">
        <v>8223.0069812224174</v>
      </c>
      <c r="TZ398" s="875">
        <v>7487.0237129132238</v>
      </c>
      <c r="UA398" s="875">
        <v>22.441207489873719</v>
      </c>
      <c r="UB398" s="875">
        <v>13327.16435200122</v>
      </c>
      <c r="UC398" s="875">
        <v>-2.614379572873315</v>
      </c>
      <c r="UD398" s="875">
        <v>34372.714558997563</v>
      </c>
      <c r="UE398" s="875">
        <v>3511.7015584446021</v>
      </c>
      <c r="UF398" s="875">
        <v>2.870003347582716</v>
      </c>
      <c r="UG398" s="875">
        <v>5855.7075160963132</v>
      </c>
      <c r="UH398" s="875">
        <v>-0.4394061663826222</v>
      </c>
      <c r="UI398" s="875">
        <v>18096.622426758258</v>
      </c>
      <c r="UJ398" s="875">
        <v>16654.18587149278</v>
      </c>
      <c r="UK398" s="875">
        <v>93.338013810674767</v>
      </c>
      <c r="UL398" s="875">
        <v>35085.53009138233</v>
      </c>
      <c r="UM398" s="875">
        <v>-2.8083200074873211</v>
      </c>
      <c r="UN398" s="875">
        <v>29959.516138310639</v>
      </c>
      <c r="UO398" s="875">
        <v>-1.5476007941412291</v>
      </c>
      <c r="UP398" s="875">
        <v>13.31997836659307</v>
      </c>
      <c r="UQ398" s="875">
        <v>8765.0616729975391</v>
      </c>
      <c r="UR398" s="875">
        <v>-0.44837932907019767</v>
      </c>
      <c r="US398" s="875">
        <v>16887.56200958724</v>
      </c>
      <c r="UT398" s="875">
        <v>33361.696021999422</v>
      </c>
      <c r="UU398" s="875">
        <v>19.885845340808292</v>
      </c>
      <c r="UV398" s="875">
        <v>44134.509760054963</v>
      </c>
      <c r="UW398" s="875">
        <v>-2.6945090397865772</v>
      </c>
      <c r="UX398" s="875">
        <v>38684.258210576052</v>
      </c>
      <c r="UY398" s="875">
        <v>-0.91847587817896537</v>
      </c>
      <c r="UZ398" s="875">
        <v>3.281226099562399</v>
      </c>
      <c r="VA398" s="875">
        <v>8073.5136660913504</v>
      </c>
      <c r="VB398" s="875">
        <v>-0.43501962355973789</v>
      </c>
      <c r="VC398" s="875">
        <v>19793.791503623801</v>
      </c>
      <c r="VD398" s="875">
        <v>26861.54211284333</v>
      </c>
      <c r="VE398" s="875">
        <v>-5.7177638811749949</v>
      </c>
      <c r="VF398" s="875">
        <v>68329.929524529231</v>
      </c>
      <c r="VG398" s="875">
        <v>-2.9747919585507292</v>
      </c>
      <c r="VH398" s="875">
        <v>37127.031759892867</v>
      </c>
      <c r="VI398" s="875">
        <v>-1.7015519894108131</v>
      </c>
      <c r="VJ398" s="875">
        <v>6.8990075616238649</v>
      </c>
      <c r="VK398" s="875">
        <v>10339.35854582675</v>
      </c>
      <c r="VL398" s="875">
        <v>-0.467000671923958</v>
      </c>
      <c r="VM398" s="875">
        <v>17772.889629259931</v>
      </c>
      <c r="VN398" s="875">
        <v>20288.226672856061</v>
      </c>
      <c r="VO398" s="875">
        <v>20.81266891829754</v>
      </c>
      <c r="VP398" s="875">
        <v>36499.487018621439</v>
      </c>
      <c r="VQ398" s="875">
        <v>-3.1264140255044341</v>
      </c>
      <c r="VR398" s="875">
        <v>34875.636500505563</v>
      </c>
      <c r="VS398" s="875">
        <v>13991.852182098321</v>
      </c>
      <c r="VT398" s="875">
        <v>12.81588319037242</v>
      </c>
      <c r="VU398" s="875">
        <v>924.90944469225951</v>
      </c>
      <c r="VV398" s="875">
        <v>-0.4830608788369295</v>
      </c>
      <c r="VW398" s="875">
        <v>18411.681738899399</v>
      </c>
      <c r="VX398" s="875">
        <v>36628.589472524684</v>
      </c>
      <c r="VY398" s="875">
        <v>100.8471220567817</v>
      </c>
      <c r="VZ398" s="875">
        <v>67092.690328836601</v>
      </c>
      <c r="WA398" s="875">
        <v>-2.943614022319081</v>
      </c>
      <c r="WB398" s="875">
        <v>35701.304378243738</v>
      </c>
      <c r="WC398" s="875">
        <v>15686.19496368681</v>
      </c>
      <c r="WD398" s="875">
        <v>26.800034092003909</v>
      </c>
      <c r="WE398" s="875">
        <v>3790.99271329359</v>
      </c>
      <c r="WF398" s="875">
        <v>-0.49306915436913079</v>
      </c>
      <c r="WG398" s="875">
        <v>19662.917160913919</v>
      </c>
      <c r="WH398" s="875">
        <v>16693.267611903892</v>
      </c>
      <c r="WI398" s="875">
        <v>10.80827374622959</v>
      </c>
      <c r="WJ398" s="875">
        <v>76874.288801344068</v>
      </c>
      <c r="WK398" s="875">
        <v>-3.0642510804026251</v>
      </c>
      <c r="WL398" s="875">
        <v>37977.839601130952</v>
      </c>
      <c r="WM398" s="875">
        <v>17319.956342985981</v>
      </c>
      <c r="WN398" s="875">
        <v>3014.2969559396952</v>
      </c>
      <c r="WO398" s="875">
        <v>24651.84940947036</v>
      </c>
      <c r="WP398" s="875">
        <v>-0.54780728508515208</v>
      </c>
      <c r="WQ398" s="875">
        <v>18242.37155805665</v>
      </c>
      <c r="WR398" s="875">
        <v>30552.329176664211</v>
      </c>
      <c r="WS398" s="875">
        <v>313.69932992480022</v>
      </c>
      <c r="WT398" s="875">
        <v>50487.787844361053</v>
      </c>
      <c r="WU398" s="875">
        <v>-3.0643106500414241</v>
      </c>
      <c r="WV398" s="875">
        <v>49928.956748866738</v>
      </c>
      <c r="WW398" s="875">
        <v>17319.956342985981</v>
      </c>
      <c r="WX398" s="875">
        <v>3089.805989665962</v>
      </c>
      <c r="WY398" s="875">
        <v>25315.22546702125</v>
      </c>
      <c r="WZ398" s="875">
        <v>-0.54780728508515208</v>
      </c>
      <c r="XA398" s="875">
        <v>18242.37155805665</v>
      </c>
      <c r="XB398" s="875">
        <v>26003.47272455498</v>
      </c>
      <c r="XC398" s="875">
        <v>313.69932992480022</v>
      </c>
      <c r="XD398" s="875">
        <v>55936.417266895412</v>
      </c>
      <c r="XE398" s="875">
        <v>-3.1229195258371401</v>
      </c>
      <c r="XF398" s="875">
        <v>37890.60038301532</v>
      </c>
      <c r="XG398" s="875">
        <v>17566.589237316181</v>
      </c>
      <c r="XH398" s="875">
        <v>4846.087723875954</v>
      </c>
      <c r="XI398" s="875">
        <v>33821.579260285667</v>
      </c>
      <c r="XJ398" s="875">
        <v>-0.59953642685959818</v>
      </c>
      <c r="XK398" s="875">
        <v>25210.510466862299</v>
      </c>
      <c r="XL398" s="875">
        <v>27716.706481959402</v>
      </c>
      <c r="XM398" s="875">
        <v>70.16902060603428</v>
      </c>
      <c r="XN398" s="875">
        <v>84447.839202590505</v>
      </c>
      <c r="XO398" s="875">
        <v>-0.23848595053821769</v>
      </c>
      <c r="XP398" s="875">
        <v>6926.8290661858882</v>
      </c>
      <c r="XQ398" s="875">
        <v>-0.18810339622419209</v>
      </c>
      <c r="XR398" s="875">
        <v>0.1956136385785541</v>
      </c>
      <c r="XS398" s="875">
        <v>-0.83488353987164954</v>
      </c>
      <c r="XT398" s="875">
        <v>-0.15503743541634921</v>
      </c>
      <c r="XU398" s="875">
        <v>-4.5749987422324878</v>
      </c>
      <c r="XV398" s="875">
        <v>33282.288037365099</v>
      </c>
      <c r="XW398" s="875">
        <v>-2255.752574833728</v>
      </c>
      <c r="XX398" s="875">
        <v>-0.65049797341162752</v>
      </c>
      <c r="XY398" s="875">
        <v>-0.24856301494648789</v>
      </c>
      <c r="XZ398" s="875">
        <v>7791.429290189134</v>
      </c>
      <c r="YA398" s="875">
        <v>-0.24780057426858071</v>
      </c>
      <c r="YB398" s="875">
        <v>-0.26750867127615052</v>
      </c>
      <c r="YC398" s="875">
        <v>-0.85851200666626404</v>
      </c>
      <c r="YD398" s="875">
        <v>-0.16149130520441701</v>
      </c>
      <c r="YE398" s="875">
        <v>-4.8610727443462594</v>
      </c>
      <c r="YF398" s="875">
        <v>38653.83081396007</v>
      </c>
      <c r="YG398" s="875">
        <v>-1853.086578259308</v>
      </c>
      <c r="YH398" s="875">
        <v>-0.68881405504619408</v>
      </c>
      <c r="YI398" s="875">
        <v>-0.23690661814772829</v>
      </c>
      <c r="YJ398" s="875">
        <v>-1.8223608321005991</v>
      </c>
      <c r="YK398" s="875">
        <v>-0.18748335311980771</v>
      </c>
      <c r="YL398" s="875">
        <v>-9.0344451580354246</v>
      </c>
      <c r="YM398" s="875">
        <v>-0.96756463305543516</v>
      </c>
      <c r="YN398" s="875">
        <v>-0.1514433046805099</v>
      </c>
      <c r="YO398" s="875">
        <v>-4.651870178987191</v>
      </c>
      <c r="YP398" s="875">
        <v>38245.479275966223</v>
      </c>
      <c r="YQ398" s="875">
        <v>-1380.117816881927</v>
      </c>
      <c r="YR398" s="875">
        <v>-0.65056278143076951</v>
      </c>
      <c r="YS398" s="875">
        <v>-0.25001058458638747</v>
      </c>
      <c r="YT398" s="875">
        <v>7882.3819580322242</v>
      </c>
      <c r="YU398" s="875">
        <v>-0.27227046144120481</v>
      </c>
      <c r="YV398" s="875">
        <v>-0.51927427761661837</v>
      </c>
      <c r="YW398" s="875">
        <v>-0.88661523042679247</v>
      </c>
      <c r="YX398" s="875">
        <v>-0.16259923066082849</v>
      </c>
      <c r="YY398" s="875">
        <v>-5.1373624874969694</v>
      </c>
      <c r="YZ398" s="875">
        <v>41891.416266934873</v>
      </c>
      <c r="ZA398" s="875">
        <v>-1628.348106111305</v>
      </c>
      <c r="ZB398" s="875">
        <v>-0.7467634375685559</v>
      </c>
      <c r="ZC398" s="875">
        <v>-0.26598777746379609</v>
      </c>
      <c r="ZD398" s="875">
        <v>8075.5308225177587</v>
      </c>
      <c r="ZE398" s="875">
        <v>-0.3057647574012145</v>
      </c>
      <c r="ZF398" s="875">
        <v>543.04775942983974</v>
      </c>
      <c r="ZG398" s="875">
        <v>-0.72788984286022729</v>
      </c>
      <c r="ZH398" s="875">
        <v>-0.1736005449606563</v>
      </c>
      <c r="ZI398" s="875">
        <v>-5.7930093144266026</v>
      </c>
      <c r="ZJ398" s="875">
        <v>44403.743966189642</v>
      </c>
      <c r="ZK398" s="875">
        <v>-3015.7017802326209</v>
      </c>
      <c r="ZL398" s="875">
        <v>-0.83421927439423127</v>
      </c>
      <c r="ZM398" s="875">
        <v>-0.27485692265511141</v>
      </c>
      <c r="ZN398" s="875">
        <v>8609.2829532973446</v>
      </c>
      <c r="ZO398" s="875">
        <v>-0.3564719485746764</v>
      </c>
      <c r="ZP398" s="875">
        <v>856.97020986601763</v>
      </c>
      <c r="ZQ398" s="875">
        <v>-0.68389649737863611</v>
      </c>
      <c r="ZR398" s="875">
        <v>-0.181022526866705</v>
      </c>
      <c r="ZS398" s="875">
        <v>-6.2267840871724216</v>
      </c>
      <c r="ZT398" s="875">
        <v>47681.726556860012</v>
      </c>
      <c r="ZU398" s="875">
        <v>-6758.5469748873229</v>
      </c>
      <c r="ZV398" s="875">
        <v>-0.89171464393624011</v>
      </c>
      <c r="ZW398" s="875">
        <v>-0.31598948061469673</v>
      </c>
      <c r="ZX398" s="875">
        <v>13831.550627328261</v>
      </c>
      <c r="ZY398" s="875">
        <v>-0.28962528432506041</v>
      </c>
      <c r="ZZ398" s="875">
        <v>3252.4145088302298</v>
      </c>
      <c r="AAA398" s="875">
        <v>894.78399664354936</v>
      </c>
      <c r="AAB398" s="875">
        <v>-0.21209181307521899</v>
      </c>
      <c r="AAC398" s="875">
        <v>-6.4722723293027853</v>
      </c>
      <c r="AAD398" s="875">
        <v>41378.80098508489</v>
      </c>
      <c r="AAE398" s="875">
        <v>5.2276279713437832</v>
      </c>
      <c r="AAF398" s="875">
        <v>-1.241978853103721</v>
      </c>
      <c r="AAG398" s="875">
        <v>-0.31598948061469673</v>
      </c>
      <c r="AAH398" s="875">
        <v>13831.550627328261</v>
      </c>
      <c r="AAI398" s="875">
        <v>-0.28962528432506041</v>
      </c>
      <c r="AAJ398" s="875">
        <v>3252.4145088302298</v>
      </c>
      <c r="AAK398" s="875">
        <v>894.78399664354936</v>
      </c>
      <c r="AAL398" s="875">
        <v>-0.21209181307521899</v>
      </c>
      <c r="AAM398" s="875">
        <v>-6.4722723293027853</v>
      </c>
      <c r="AAN398" s="875">
        <v>38586.115726450997</v>
      </c>
      <c r="AAO398" s="875">
        <v>5.2276279713437832</v>
      </c>
      <c r="AAP398" s="875">
        <v>-1.241978853103721</v>
      </c>
      <c r="AAQ398" s="875">
        <v>-0.33399241861285328</v>
      </c>
      <c r="AAR398" s="875">
        <v>15202.480169592131</v>
      </c>
      <c r="AAS398" s="875">
        <v>13125.877043013639</v>
      </c>
      <c r="AAT398" s="875">
        <v>4207.4070576245404</v>
      </c>
      <c r="AAU398" s="875">
        <v>4180.0320101762109</v>
      </c>
      <c r="AAV398" s="875">
        <v>-0.22703770905233309</v>
      </c>
      <c r="AAW398" s="875">
        <v>-8.0145145727471743</v>
      </c>
      <c r="AAX398" s="875">
        <v>50464.235788206759</v>
      </c>
      <c r="AAY398" s="875">
        <v>7.5238282304529838</v>
      </c>
      <c r="AAZ398" s="875">
        <v>-1.380177265314092</v>
      </c>
      <c r="ABA398" s="875"/>
      <c r="ABB398" s="875"/>
      <c r="ABC398" s="875"/>
      <c r="ABD398" s="875"/>
      <c r="ABE398" s="875"/>
      <c r="ABF398" s="875"/>
      <c r="ABG398" s="875"/>
      <c r="ABH398" s="875"/>
      <c r="ABI398" s="875"/>
      <c r="ABJ398" s="875"/>
      <c r="ABK398" s="875"/>
      <c r="ABL398" s="875"/>
      <c r="ABM398" s="875"/>
      <c r="ABN398" s="875"/>
      <c r="ABO398" s="875"/>
      <c r="ABP398" s="875"/>
      <c r="ABQ398" s="875"/>
      <c r="ABR398" s="875"/>
      <c r="ABS398" s="875"/>
      <c r="ABT398" s="875"/>
      <c r="ABU398" s="875"/>
      <c r="ABV398" s="875"/>
      <c r="ABW398" s="875"/>
      <c r="ABX398" s="875"/>
      <c r="ABY398" s="875"/>
      <c r="ABZ398" s="875"/>
      <c r="ACA398" s="875"/>
      <c r="ACB398" s="875"/>
      <c r="ACC398" s="875"/>
      <c r="ACD398" s="875"/>
      <c r="ACE398" s="875"/>
      <c r="ACF398" s="875"/>
      <c r="ACG398" s="875"/>
      <c r="ACH398" s="875"/>
      <c r="ACI398" s="875"/>
      <c r="ACJ398" s="875"/>
      <c r="ACK398" s="875"/>
      <c r="ACL398" s="875"/>
      <c r="ACM398" s="875"/>
      <c r="ACN398" s="875"/>
      <c r="ACO398" s="875"/>
      <c r="ACP398" s="875"/>
      <c r="ACQ398" s="875"/>
      <c r="ACR398" s="875"/>
      <c r="ACS398" s="875"/>
      <c r="ACT398" s="875"/>
      <c r="ACU398" s="875"/>
      <c r="ACV398" s="875"/>
      <c r="ACW398" s="875"/>
      <c r="ACX398" s="875"/>
      <c r="ACY398" s="875"/>
      <c r="ACZ398" s="875"/>
      <c r="ADA398" s="875"/>
      <c r="ADB398" s="875"/>
      <c r="ADC398" s="875"/>
      <c r="ADD398" s="875"/>
      <c r="ADE398" s="875"/>
      <c r="ADF398" s="875"/>
      <c r="ADG398" s="875"/>
      <c r="ADH398" s="875"/>
      <c r="ADI398" s="875"/>
      <c r="ADJ398" s="875"/>
      <c r="ADK398" s="875"/>
      <c r="ADL398" s="875"/>
      <c r="ADM398" s="875"/>
      <c r="ADN398" s="875"/>
      <c r="ADO398" s="875"/>
      <c r="ADP398" s="875"/>
      <c r="ADQ398" s="875"/>
      <c r="ADR398" s="875"/>
      <c r="ADS398" s="875"/>
      <c r="ADT398" s="875"/>
      <c r="ADU398" s="875"/>
      <c r="ADV398" s="875"/>
      <c r="ADW398" s="875"/>
      <c r="ADX398" s="875"/>
      <c r="ADY398" s="875"/>
      <c r="ADZ398" s="875"/>
      <c r="AEA398" s="875"/>
      <c r="AEB398" s="875"/>
      <c r="AEC398" s="875"/>
      <c r="AED398" s="875"/>
      <c r="AEE398" s="875"/>
      <c r="AEF398" s="875"/>
      <c r="AEG398" s="875"/>
      <c r="AEH398" s="875"/>
      <c r="AEI398" s="875"/>
      <c r="AEJ398" s="875"/>
      <c r="AEK398" s="875"/>
      <c r="AEL398" s="875"/>
      <c r="AEM398" s="875"/>
      <c r="AEN398" s="875"/>
      <c r="AEO398" s="875"/>
      <c r="AEP398" s="875"/>
      <c r="AEQ398" s="875"/>
      <c r="AER398" s="875"/>
      <c r="AES398" s="875"/>
      <c r="AET398" s="875"/>
      <c r="AEU398" s="875"/>
      <c r="AEV398" s="875"/>
      <c r="AEW398" s="875"/>
      <c r="AEX398" s="875"/>
      <c r="AEY398" s="875"/>
      <c r="AEZ398" s="875"/>
      <c r="AFA398" s="875"/>
      <c r="AFB398" s="875"/>
      <c r="AFC398" s="875"/>
      <c r="AFD398" s="875"/>
      <c r="AFE398" s="875"/>
      <c r="AFF398" s="875"/>
      <c r="AFG398" s="875"/>
      <c r="AFH398" s="875"/>
      <c r="AFI398" s="875"/>
      <c r="AFJ398" s="875"/>
      <c r="AFK398" s="875"/>
      <c r="AFL398" s="875"/>
      <c r="AFM398" s="875"/>
      <c r="AFN398" s="875"/>
      <c r="AFO398" s="875"/>
      <c r="AFP398" s="875"/>
      <c r="AFQ398" s="875"/>
      <c r="AFR398" s="875"/>
      <c r="AFS398" s="875"/>
      <c r="AFT398" s="875"/>
      <c r="AFU398" s="875"/>
      <c r="AFV398" s="875"/>
      <c r="AFW398" s="875"/>
      <c r="AFX398" s="875"/>
      <c r="AFY398" s="875"/>
      <c r="AFZ398" s="875"/>
      <c r="AGA398" s="875"/>
      <c r="AGB398" s="875"/>
      <c r="AGC398" s="875"/>
      <c r="AGD398" s="875"/>
      <c r="AGE398" s="875"/>
      <c r="AGF398" s="875"/>
      <c r="AGG398" s="875"/>
      <c r="AGH398" s="875"/>
      <c r="AGI398" s="875"/>
      <c r="AGJ398" s="875"/>
      <c r="AGK398" s="875"/>
      <c r="AGL398" s="875"/>
      <c r="AGM398" s="875"/>
      <c r="AGN398" s="875"/>
      <c r="AGO398" s="875"/>
      <c r="AGP398" s="875"/>
      <c r="AGQ398" s="875"/>
      <c r="AGR398" s="875"/>
      <c r="AGS398" s="875"/>
      <c r="AGT398" s="875"/>
      <c r="AGU398" s="875"/>
      <c r="AGV398" s="875"/>
      <c r="AGW398" s="875"/>
      <c r="AGX398" s="875"/>
      <c r="AGY398" s="875"/>
      <c r="AGZ398" s="875"/>
      <c r="AHA398" s="875"/>
      <c r="AHB398" s="875"/>
      <c r="AHC398" s="875"/>
      <c r="AHD398" s="875"/>
      <c r="AHE398" s="875"/>
      <c r="AHF398" s="875"/>
      <c r="AHG398" s="875"/>
      <c r="AHH398" s="875"/>
      <c r="AHI398" s="875"/>
      <c r="AHJ398" s="875"/>
      <c r="AHK398" s="875"/>
      <c r="AHL398" s="875"/>
      <c r="AHM398" s="875"/>
      <c r="AHN398" s="875"/>
      <c r="AHO398" s="875"/>
      <c r="AHP398" s="875"/>
      <c r="AHQ398" s="875"/>
      <c r="AHR398" s="875"/>
      <c r="AHS398" s="875"/>
      <c r="AHT398" s="875"/>
      <c r="AHU398" s="875"/>
      <c r="AHV398" s="875"/>
      <c r="AHW398" s="875"/>
      <c r="AHX398" s="875"/>
      <c r="AHY398" s="875"/>
      <c r="AHZ398" s="875"/>
      <c r="AIA398" s="875"/>
      <c r="AIB398" s="875"/>
      <c r="AIC398" s="875"/>
      <c r="AID398" s="875"/>
      <c r="AIE398" s="875"/>
      <c r="AIF398" s="875"/>
      <c r="AIG398" s="875"/>
      <c r="AIH398" s="875"/>
      <c r="AII398" s="875"/>
      <c r="AIJ398" s="875"/>
      <c r="AIK398" s="875"/>
      <c r="AIL398" s="875"/>
      <c r="AIM398" s="875"/>
      <c r="AIN398" s="875"/>
      <c r="AIO398" s="875"/>
      <c r="AIP398" s="875"/>
      <c r="AIQ398" s="875"/>
      <c r="AIR398" s="875"/>
      <c r="AIS398" s="875"/>
      <c r="AIT398" s="875"/>
      <c r="AIU398" s="875"/>
      <c r="AIV398" s="875"/>
      <c r="AIW398" s="875"/>
      <c r="AIX398" s="875"/>
      <c r="AIY398" s="875"/>
      <c r="AIZ398" s="875"/>
      <c r="AJA398" s="875"/>
      <c r="AJB398" s="875"/>
      <c r="AJC398" s="875"/>
      <c r="AJD398" s="875"/>
      <c r="AJE398" s="875"/>
      <c r="AJF398" s="875"/>
      <c r="AJG398" s="875"/>
      <c r="AJH398" s="875"/>
      <c r="AJI398" s="875"/>
      <c r="AJJ398" s="875"/>
      <c r="AJK398" s="875"/>
      <c r="AJL398" s="875"/>
      <c r="AJM398" s="875"/>
      <c r="AJN398" s="875"/>
      <c r="AJO398" s="875"/>
      <c r="AJP398" s="875"/>
      <c r="AJQ398" s="875"/>
      <c r="AJR398" s="875"/>
      <c r="AJS398" s="875"/>
      <c r="AJT398" s="875"/>
      <c r="AJU398" s="875"/>
      <c r="AJV398" s="875"/>
      <c r="AJW398" s="875"/>
      <c r="AJX398" s="875"/>
      <c r="AJY398" s="875"/>
      <c r="AJZ398" s="875"/>
      <c r="AKA398" s="875"/>
      <c r="AKB398" s="875"/>
      <c r="AKC398" s="875"/>
      <c r="AKD398" s="875"/>
      <c r="AKE398" s="875"/>
      <c r="AKF398" s="875"/>
      <c r="AKG398" s="875"/>
      <c r="AKH398" s="875"/>
      <c r="AKI398" s="875"/>
      <c r="AKJ398" s="875"/>
      <c r="AKK398" s="875"/>
      <c r="AKL398" s="875"/>
      <c r="AKM398" s="875"/>
      <c r="AKN398" s="875"/>
      <c r="AKO398" s="875"/>
      <c r="AKP398" s="875"/>
      <c r="AKQ398" s="875"/>
      <c r="AKR398" s="875"/>
      <c r="AKS398" s="875"/>
      <c r="AKT398" s="875"/>
      <c r="AKU398" s="875"/>
      <c r="AKV398" s="875"/>
      <c r="AKW398" s="875"/>
      <c r="AKX398" s="875"/>
      <c r="AKY398" s="875"/>
      <c r="AKZ398" s="875"/>
      <c r="ALA398" s="875"/>
      <c r="ALB398" s="875"/>
      <c r="ALC398" s="875"/>
      <c r="ALD398" s="875"/>
      <c r="ALE398" s="875"/>
      <c r="ALF398" s="875"/>
      <c r="ALG398" s="875"/>
      <c r="ALH398" s="875"/>
      <c r="ALI398" s="875"/>
      <c r="ALJ398" s="875"/>
      <c r="ALK398" s="875"/>
      <c r="ALL398" s="875"/>
      <c r="ALM398" s="875"/>
      <c r="ALN398" s="875"/>
      <c r="ALO398" s="875"/>
      <c r="ALP398" s="875"/>
      <c r="ALQ398" s="875"/>
      <c r="ALR398" s="875"/>
      <c r="ALS398" s="875"/>
      <c r="ALT398" s="875"/>
      <c r="ALU398" s="875"/>
      <c r="ALV398" s="875"/>
      <c r="ALW398" s="875"/>
      <c r="ALX398" s="875"/>
      <c r="ALY398" s="875"/>
      <c r="ALZ398" s="875"/>
      <c r="AMA398" s="875"/>
      <c r="AMB398" s="875"/>
      <c r="AMC398" s="875"/>
      <c r="AMD398" s="875"/>
      <c r="AME398" s="875"/>
      <c r="AMF398" s="875"/>
      <c r="AMG398" s="875"/>
      <c r="AMH398" s="875"/>
      <c r="AMI398" s="875"/>
      <c r="AMJ398" s="875"/>
      <c r="AMK398" s="875"/>
      <c r="AML398" s="875"/>
      <c r="AMM398" s="875"/>
      <c r="AMN398" s="875"/>
      <c r="AMO398" s="875"/>
      <c r="AMP398" s="875"/>
      <c r="AMQ398" s="875"/>
      <c r="AMR398" s="875"/>
      <c r="AMS398" s="875"/>
      <c r="AMT398" s="875"/>
      <c r="AMU398" s="875"/>
      <c r="AMV398" s="875"/>
      <c r="AMW398" s="875"/>
      <c r="AMX398" s="875"/>
      <c r="AMY398" s="875"/>
      <c r="AMZ398" s="875"/>
      <c r="ANA398" s="875"/>
      <c r="ANB398" s="875"/>
      <c r="ANC398" s="875"/>
      <c r="AND398" s="875"/>
      <c r="ANE398" s="875"/>
      <c r="ANF398" s="875"/>
      <c r="ANG398" s="875"/>
      <c r="ANH398" s="875"/>
      <c r="ANI398" s="875"/>
      <c r="ANJ398" s="875"/>
      <c r="ANK398" s="875"/>
      <c r="ANL398" s="875"/>
      <c r="ANM398" s="875"/>
      <c r="ANN398" s="875"/>
      <c r="ANO398" s="875"/>
      <c r="ANP398" s="875"/>
      <c r="ANQ398" s="875"/>
      <c r="ANR398" s="875"/>
      <c r="ANS398" s="875"/>
      <c r="ANT398" s="875"/>
      <c r="ANU398" s="875"/>
      <c r="ANV398" s="875"/>
      <c r="ANW398" s="875"/>
      <c r="ANX398" s="875"/>
      <c r="ANY398" s="875"/>
      <c r="ANZ398" s="875"/>
      <c r="AOA398" s="875"/>
      <c r="AOB398" s="875"/>
      <c r="AOC398" s="875"/>
      <c r="AOD398" s="875"/>
      <c r="AOE398" s="875"/>
      <c r="AOF398" s="875"/>
      <c r="AOG398" s="875"/>
      <c r="AOH398" s="875"/>
      <c r="AOI398" s="875"/>
      <c r="AOJ398" s="875"/>
      <c r="AOK398" s="875"/>
      <c r="AOL398" s="875"/>
      <c r="AOM398" s="875"/>
      <c r="AON398" s="875"/>
      <c r="AOO398" s="875"/>
      <c r="AOP398" s="875"/>
      <c r="AOQ398" s="875"/>
      <c r="AOR398" s="875"/>
      <c r="AOS398" s="875"/>
      <c r="AOT398" s="875"/>
      <c r="AOU398" s="875"/>
      <c r="AOV398" s="875"/>
      <c r="AOW398" s="887"/>
    </row>
    <row r="399" spans="2:1102" hidden="1">
      <c r="B399" s="1000" t="s">
        <v>1053</v>
      </c>
      <c r="C399" s="1000"/>
      <c r="D399" s="836"/>
      <c r="E399" s="892" t="s">
        <v>1042</v>
      </c>
      <c r="F399" s="462"/>
      <c r="G399" s="462" t="s">
        <v>65</v>
      </c>
      <c r="H399" s="462"/>
      <c r="I399" s="875"/>
      <c r="J399" s="875"/>
      <c r="K399" s="875"/>
      <c r="L399" s="875"/>
      <c r="M399" s="875"/>
      <c r="N399" s="875"/>
      <c r="O399" s="875"/>
      <c r="P399" s="875"/>
      <c r="Q399" s="875"/>
      <c r="R399" s="875"/>
      <c r="S399" s="875"/>
      <c r="T399" s="875"/>
      <c r="U399" s="875"/>
      <c r="V399" s="875"/>
      <c r="W399" s="875"/>
      <c r="X399" s="875"/>
      <c r="Y399" s="875"/>
      <c r="Z399" s="875"/>
      <c r="AA399" s="875"/>
      <c r="AB399" s="875"/>
      <c r="AC399" s="875"/>
      <c r="AD399" s="875"/>
      <c r="AE399" s="875"/>
      <c r="AF399" s="875"/>
      <c r="AG399" s="875"/>
      <c r="AH399" s="875"/>
      <c r="AI399" s="875"/>
      <c r="AJ399" s="875"/>
      <c r="AK399" s="875"/>
      <c r="AL399" s="875"/>
      <c r="AM399" s="875"/>
      <c r="AN399" s="875"/>
      <c r="AO399" s="875"/>
      <c r="AP399" s="875"/>
      <c r="AQ399" s="875"/>
      <c r="AR399" s="875"/>
      <c r="AS399" s="875"/>
      <c r="AT399" s="875"/>
      <c r="AU399" s="875"/>
      <c r="AV399" s="875"/>
      <c r="AW399" s="875"/>
      <c r="AX399" s="875"/>
      <c r="AY399" s="875"/>
      <c r="AZ399" s="875"/>
      <c r="BA399" s="875"/>
      <c r="BB399" s="875"/>
      <c r="BC399" s="875"/>
      <c r="BD399" s="875"/>
      <c r="BE399" s="875"/>
      <c r="BF399" s="875"/>
      <c r="BG399" s="875"/>
      <c r="BH399" s="875"/>
      <c r="BI399" s="875"/>
      <c r="BJ399" s="875"/>
      <c r="BK399" s="875"/>
      <c r="BL399" s="875"/>
      <c r="BM399" s="875"/>
      <c r="BN399" s="875"/>
      <c r="BO399" s="875"/>
      <c r="BP399" s="875"/>
      <c r="BQ399" s="875"/>
      <c r="BR399" s="875"/>
      <c r="BS399" s="875"/>
      <c r="BT399" s="875"/>
      <c r="BU399" s="875"/>
      <c r="BV399" s="875"/>
      <c r="BW399" s="875"/>
      <c r="BX399" s="875"/>
      <c r="BY399" s="875"/>
      <c r="BZ399" s="875"/>
      <c r="CA399" s="875"/>
      <c r="CB399" s="875"/>
      <c r="CC399" s="875"/>
      <c r="CD399" s="875"/>
      <c r="CE399" s="875"/>
      <c r="CF399" s="875"/>
      <c r="CG399" s="875"/>
      <c r="CH399" s="875"/>
      <c r="CI399" s="875"/>
      <c r="CJ399" s="875"/>
      <c r="CK399" s="875"/>
      <c r="CL399" s="875"/>
      <c r="CM399" s="875"/>
      <c r="CN399" s="875"/>
      <c r="CO399" s="875"/>
      <c r="CP399" s="875"/>
      <c r="CQ399" s="875"/>
      <c r="CR399" s="875"/>
      <c r="CS399" s="875"/>
      <c r="CT399" s="875"/>
      <c r="CU399" s="875"/>
      <c r="CV399" s="875"/>
      <c r="CW399" s="875"/>
      <c r="CX399" s="875"/>
      <c r="CY399" s="875"/>
      <c r="CZ399" s="875"/>
      <c r="DA399" s="875"/>
      <c r="DB399" s="875"/>
      <c r="DC399" s="875"/>
      <c r="DD399" s="875"/>
      <c r="DE399" s="875"/>
      <c r="DF399" s="875"/>
      <c r="DG399" s="875"/>
      <c r="DH399" s="875"/>
      <c r="DI399" s="875"/>
      <c r="DJ399" s="875"/>
      <c r="DK399" s="875"/>
      <c r="DL399" s="875"/>
      <c r="DM399" s="875"/>
      <c r="DN399" s="875"/>
      <c r="DO399" s="875"/>
      <c r="DP399" s="875"/>
      <c r="DQ399" s="875"/>
      <c r="DR399" s="875"/>
      <c r="DS399" s="875"/>
      <c r="DT399" s="875"/>
      <c r="DU399" s="875"/>
      <c r="DV399" s="875"/>
      <c r="DW399" s="875"/>
      <c r="DX399" s="875"/>
      <c r="DY399" s="875"/>
      <c r="DZ399" s="875"/>
      <c r="EA399" s="875"/>
      <c r="EB399" s="875"/>
      <c r="EC399" s="875"/>
      <c r="ED399" s="875"/>
      <c r="EE399" s="875"/>
      <c r="EF399" s="875"/>
      <c r="EG399" s="875"/>
      <c r="EH399" s="875"/>
      <c r="EI399" s="875"/>
      <c r="EJ399" s="875"/>
      <c r="EK399" s="875"/>
      <c r="EL399" s="875"/>
      <c r="EM399" s="875"/>
      <c r="EN399" s="875"/>
      <c r="EO399" s="875"/>
      <c r="EP399" s="875"/>
      <c r="EQ399" s="875"/>
      <c r="ER399" s="875"/>
      <c r="ES399" s="875"/>
      <c r="ET399" s="875"/>
      <c r="EU399" s="875"/>
      <c r="EV399" s="875"/>
      <c r="EW399" s="875"/>
      <c r="EX399" s="875"/>
      <c r="EY399" s="875"/>
      <c r="EZ399" s="875"/>
      <c r="FA399" s="875"/>
      <c r="FB399" s="875"/>
      <c r="FC399" s="875"/>
      <c r="FD399" s="875"/>
      <c r="FE399" s="875"/>
      <c r="FF399" s="875"/>
      <c r="FG399" s="875"/>
      <c r="FH399" s="875"/>
      <c r="FI399" s="875"/>
      <c r="FJ399" s="875"/>
      <c r="FK399" s="875"/>
      <c r="FL399" s="875"/>
      <c r="FM399" s="875"/>
      <c r="FN399" s="875"/>
      <c r="FO399" s="875"/>
      <c r="FP399" s="875"/>
      <c r="FQ399" s="875"/>
      <c r="FR399" s="875"/>
      <c r="FS399" s="875"/>
      <c r="FT399" s="875"/>
      <c r="FU399" s="875"/>
      <c r="FV399" s="875"/>
      <c r="FW399" s="875"/>
      <c r="FX399" s="875"/>
      <c r="FY399" s="875"/>
      <c r="FZ399" s="875"/>
      <c r="GA399" s="875"/>
      <c r="GB399" s="875"/>
      <c r="GC399" s="875"/>
      <c r="GD399" s="875"/>
      <c r="GE399" s="875"/>
      <c r="GF399" s="875"/>
      <c r="GG399" s="875"/>
      <c r="GH399" s="875"/>
      <c r="GI399" s="875"/>
      <c r="GJ399" s="875"/>
      <c r="GK399" s="875"/>
      <c r="GL399" s="875"/>
      <c r="GM399" s="875"/>
      <c r="GN399" s="875"/>
      <c r="GO399" s="875"/>
      <c r="GP399" s="875"/>
      <c r="GQ399" s="875"/>
      <c r="GR399" s="875"/>
      <c r="GS399" s="875"/>
      <c r="GT399" s="875"/>
      <c r="GU399" s="875"/>
      <c r="GV399" s="875"/>
      <c r="GW399" s="875"/>
      <c r="GX399" s="875"/>
      <c r="GY399" s="875"/>
      <c r="GZ399" s="875"/>
      <c r="HA399" s="875"/>
      <c r="HB399" s="875"/>
      <c r="HC399" s="875"/>
      <c r="HD399" s="875"/>
      <c r="HE399" s="875"/>
      <c r="HF399" s="875"/>
      <c r="HG399" s="875"/>
      <c r="HH399" s="875"/>
      <c r="HI399" s="875"/>
      <c r="HJ399" s="875"/>
      <c r="HK399" s="875"/>
      <c r="HL399" s="875"/>
      <c r="HM399" s="875"/>
      <c r="HN399" s="875"/>
      <c r="HO399" s="875"/>
      <c r="HP399" s="875"/>
      <c r="HQ399" s="875"/>
      <c r="HR399" s="875"/>
      <c r="HS399" s="875"/>
      <c r="HT399" s="875"/>
      <c r="HU399" s="875"/>
      <c r="HV399" s="875"/>
      <c r="HW399" s="875"/>
      <c r="HX399" s="875"/>
      <c r="HY399" s="875"/>
      <c r="HZ399" s="875"/>
      <c r="IA399" s="875"/>
      <c r="IB399" s="875"/>
      <c r="IC399" s="875"/>
      <c r="ID399" s="875"/>
      <c r="IE399" s="875"/>
      <c r="IF399" s="875"/>
      <c r="IG399" s="875"/>
      <c r="IH399" s="875"/>
      <c r="II399" s="875"/>
      <c r="IJ399" s="875"/>
      <c r="IK399" s="875"/>
      <c r="IL399" s="875"/>
      <c r="IM399" s="875"/>
      <c r="IN399" s="875"/>
      <c r="IO399" s="875"/>
      <c r="IP399" s="875"/>
      <c r="IQ399" s="875"/>
      <c r="IR399" s="875"/>
      <c r="IS399" s="875"/>
      <c r="IT399" s="875"/>
      <c r="IU399" s="875"/>
      <c r="IV399" s="875"/>
      <c r="IW399" s="875"/>
      <c r="IX399" s="875"/>
      <c r="IY399" s="875"/>
      <c r="IZ399" s="875"/>
      <c r="JA399" s="875"/>
      <c r="JB399" s="875"/>
      <c r="JC399" s="875"/>
      <c r="JD399" s="875"/>
      <c r="JE399" s="875"/>
      <c r="JF399" s="875"/>
      <c r="JG399" s="875"/>
      <c r="JH399" s="875"/>
      <c r="JI399" s="875"/>
      <c r="JJ399" s="875"/>
      <c r="JK399" s="875"/>
      <c r="JL399" s="875"/>
      <c r="JM399" s="875"/>
      <c r="JN399" s="875"/>
      <c r="JO399" s="875"/>
      <c r="JP399" s="875"/>
      <c r="JQ399" s="875"/>
      <c r="JR399" s="875"/>
      <c r="JS399" s="875"/>
      <c r="JT399" s="875"/>
      <c r="JU399" s="875"/>
      <c r="JV399" s="875"/>
      <c r="JW399" s="875"/>
      <c r="JX399" s="875"/>
      <c r="JY399" s="875"/>
      <c r="JZ399" s="875"/>
      <c r="KA399" s="875"/>
      <c r="KB399" s="875"/>
      <c r="KC399" s="875"/>
      <c r="KD399" s="875"/>
      <c r="KE399" s="875"/>
      <c r="KF399" s="875"/>
      <c r="KG399" s="875"/>
      <c r="KH399" s="875"/>
      <c r="KI399" s="875"/>
      <c r="KJ399" s="875"/>
      <c r="KK399" s="875"/>
      <c r="KL399" s="875"/>
      <c r="KM399" s="875"/>
      <c r="KN399" s="875"/>
      <c r="KO399" s="875"/>
      <c r="KP399" s="875"/>
      <c r="KQ399" s="875"/>
      <c r="KR399" s="875"/>
      <c r="KS399" s="875"/>
      <c r="KT399" s="875"/>
      <c r="KU399" s="875"/>
      <c r="KV399" s="875"/>
      <c r="KW399" s="875"/>
      <c r="KX399" s="875"/>
      <c r="KY399" s="875"/>
      <c r="KZ399" s="875"/>
      <c r="LA399" s="875"/>
      <c r="LB399" s="875"/>
      <c r="LC399" s="875"/>
      <c r="LD399" s="875"/>
      <c r="LE399" s="875"/>
      <c r="LF399" s="875"/>
      <c r="LG399" s="875"/>
      <c r="LH399" s="875"/>
      <c r="LI399" s="875"/>
      <c r="LJ399" s="875"/>
      <c r="LK399" s="875"/>
      <c r="LL399" s="875"/>
      <c r="LM399" s="875"/>
      <c r="LN399" s="875"/>
      <c r="LO399" s="875"/>
      <c r="LP399" s="875"/>
      <c r="LQ399" s="875"/>
      <c r="LR399" s="875"/>
      <c r="LS399" s="875"/>
      <c r="LT399" s="875"/>
      <c r="LU399" s="875"/>
      <c r="LV399" s="875"/>
      <c r="LW399" s="875"/>
      <c r="LX399" s="875"/>
      <c r="LY399" s="875"/>
      <c r="LZ399" s="875"/>
      <c r="MA399" s="875"/>
      <c r="MB399" s="875"/>
      <c r="MC399" s="875"/>
      <c r="MD399" s="875"/>
      <c r="ME399" s="875"/>
      <c r="MF399" s="875"/>
      <c r="MG399" s="875"/>
      <c r="MH399" s="875"/>
      <c r="MI399" s="875"/>
      <c r="MJ399" s="875"/>
      <c r="MK399" s="875"/>
      <c r="ML399" s="875"/>
      <c r="MM399" s="875"/>
      <c r="MN399" s="875"/>
      <c r="MO399" s="875"/>
      <c r="MP399" s="875"/>
      <c r="MQ399" s="875"/>
      <c r="MR399" s="875"/>
      <c r="MS399" s="875"/>
      <c r="MT399" s="875"/>
      <c r="MU399" s="875"/>
      <c r="MV399" s="875"/>
      <c r="MW399" s="875"/>
      <c r="MX399" s="875"/>
      <c r="MY399" s="875"/>
      <c r="MZ399" s="875"/>
      <c r="NA399" s="875"/>
      <c r="NB399" s="875"/>
      <c r="NC399" s="875"/>
      <c r="ND399" s="875"/>
      <c r="NE399" s="875">
        <v>86.667726845578287</v>
      </c>
      <c r="NF399" s="875">
        <v>-215333.2782438639</v>
      </c>
      <c r="NG399" s="875">
        <v>94.757486745756722</v>
      </c>
      <c r="NH399" s="875">
        <v>-70884.180982404156</v>
      </c>
      <c r="NI399" s="875">
        <v>83.09827913396245</v>
      </c>
      <c r="NJ399" s="875">
        <v>119.6998612710272</v>
      </c>
      <c r="NK399" s="875">
        <v>75.363605014789528</v>
      </c>
      <c r="NL399" s="875">
        <v>106.9858137497263</v>
      </c>
      <c r="NM399" s="875">
        <v>-44997.038915878387</v>
      </c>
      <c r="NN399" s="875">
        <v>69.803043069770553</v>
      </c>
      <c r="NO399" s="875">
        <v>87.321643813834513</v>
      </c>
      <c r="NP399" s="875">
        <v>-266796.12020238652</v>
      </c>
      <c r="NQ399" s="875">
        <v>100.52951226576771</v>
      </c>
      <c r="NR399" s="875">
        <v>-57705.069955899467</v>
      </c>
      <c r="NS399" s="875">
        <v>80.357782392093185</v>
      </c>
      <c r="NT399" s="875">
        <v>122.1102950585576</v>
      </c>
      <c r="NU399" s="875">
        <v>75.194267052621214</v>
      </c>
      <c r="NV399" s="875">
        <v>108.8294855690939</v>
      </c>
      <c r="NW399" s="875">
        <v>-49215.705940166074</v>
      </c>
      <c r="NX399" s="875">
        <v>70.572201708066785</v>
      </c>
      <c r="NY399" s="875">
        <v>86.786494605063268</v>
      </c>
      <c r="NZ399" s="875">
        <v>-227313.28258865079</v>
      </c>
      <c r="OA399" s="875">
        <v>96.128290098872483</v>
      </c>
      <c r="OB399" s="875">
        <v>-45362.187901885904</v>
      </c>
      <c r="OC399" s="875">
        <v>81.81046837828346</v>
      </c>
      <c r="OD399" s="875">
        <v>121.9778917370672</v>
      </c>
      <c r="OE399" s="875">
        <v>75.23484943289337</v>
      </c>
      <c r="OF399" s="875">
        <v>109.62968367914</v>
      </c>
      <c r="OG399" s="875">
        <v>-45963.176275474587</v>
      </c>
      <c r="OH399" s="875">
        <v>69.751898307468423</v>
      </c>
      <c r="OI399" s="875">
        <v>87.165618107995272</v>
      </c>
      <c r="OJ399" s="875">
        <v>-222261.1111832454</v>
      </c>
      <c r="OK399" s="875">
        <v>97.053542633914844</v>
      </c>
      <c r="OL399" s="875">
        <v>-43362.85454957866</v>
      </c>
      <c r="OM399" s="875">
        <v>80.062275717804411</v>
      </c>
      <c r="ON399" s="875">
        <v>119.7062809571803</v>
      </c>
      <c r="OO399" s="875">
        <v>75.253582384484289</v>
      </c>
      <c r="OP399" s="875">
        <v>111.6778657818567</v>
      </c>
      <c r="OQ399" s="875">
        <v>-41326.514991226177</v>
      </c>
      <c r="OR399" s="875">
        <v>70.949742516907293</v>
      </c>
      <c r="OS399" s="875">
        <v>87.725001529220776</v>
      </c>
      <c r="OT399" s="875">
        <v>-234914.44111081169</v>
      </c>
      <c r="OU399" s="875">
        <v>91.859471462141599</v>
      </c>
      <c r="OV399" s="875">
        <v>-31822.822521141268</v>
      </c>
      <c r="OW399" s="875">
        <v>78.001783490505034</v>
      </c>
      <c r="OX399" s="875">
        <v>122.1624329053145</v>
      </c>
      <c r="OY399" s="875">
        <v>75.434692139510858</v>
      </c>
      <c r="OZ399" s="875">
        <v>111.8026376644857</v>
      </c>
      <c r="PA399" s="875">
        <v>-43540.412945507953</v>
      </c>
      <c r="PB399" s="875">
        <v>71.8904772222253</v>
      </c>
      <c r="PC399" s="875">
        <v>87.798106119382169</v>
      </c>
      <c r="PD399" s="875">
        <v>-245345.15406288291</v>
      </c>
      <c r="PE399" s="875">
        <v>94.431282424901909</v>
      </c>
      <c r="PF399" s="875">
        <v>-26959.90815843135</v>
      </c>
      <c r="PG399" s="875">
        <v>80.902029518636269</v>
      </c>
      <c r="PH399" s="875">
        <v>122.94689749693561</v>
      </c>
      <c r="PI399" s="875">
        <v>75.725468610816222</v>
      </c>
      <c r="PJ399" s="875">
        <v>112.3971745837795</v>
      </c>
      <c r="PK399" s="875">
        <v>-37412.338131122851</v>
      </c>
      <c r="PL399" s="875">
        <v>73.265942758691907</v>
      </c>
      <c r="PM399" s="875">
        <v>89.497780809500981</v>
      </c>
      <c r="PN399" s="875">
        <v>-261790.4616584889</v>
      </c>
      <c r="PO399" s="875">
        <v>117.24319720161211</v>
      </c>
      <c r="PP399" s="875">
        <v>-31220.932685164022</v>
      </c>
      <c r="PQ399" s="875">
        <v>90.144431900877279</v>
      </c>
      <c r="PR399" s="875">
        <v>124.1219837464449</v>
      </c>
      <c r="PS399" s="875">
        <v>76.175624885504504</v>
      </c>
      <c r="PT399" s="875">
        <v>114.6791507242912</v>
      </c>
      <c r="PU399" s="875">
        <v>86.44074085626437</v>
      </c>
      <c r="PV399" s="875">
        <v>75.458675996123262</v>
      </c>
      <c r="PW399" s="875">
        <v>89.497771182356473</v>
      </c>
      <c r="PX399" s="875">
        <v>-260690.19643192261</v>
      </c>
      <c r="PY399" s="875">
        <v>117.2455069822917</v>
      </c>
      <c r="PZ399" s="875">
        <v>-48807.392737324597</v>
      </c>
      <c r="QA399" s="875">
        <v>90.144431900877279</v>
      </c>
      <c r="QB399" s="875">
        <v>124.12198683793</v>
      </c>
      <c r="QC399" s="875">
        <v>76.175839403967785</v>
      </c>
      <c r="QD399" s="875">
        <v>114.56911714546931</v>
      </c>
      <c r="QE399" s="875">
        <v>86.44074085626437</v>
      </c>
      <c r="QF399" s="875">
        <v>75.458770296337732</v>
      </c>
      <c r="QG399" s="875">
        <v>89.711668877978468</v>
      </c>
      <c r="QH399" s="875">
        <v>-205863.72877309431</v>
      </c>
      <c r="QI399" s="875">
        <v>113.3015038895573</v>
      </c>
      <c r="QJ399" s="875">
        <v>-32037.625132928591</v>
      </c>
      <c r="QK399" s="875">
        <v>90.578936158205053</v>
      </c>
      <c r="QL399" s="875">
        <v>125.3849997245556</v>
      </c>
      <c r="QM399" s="875">
        <v>76.365008511245108</v>
      </c>
      <c r="QN399" s="875">
        <v>115.5699700553219</v>
      </c>
      <c r="QO399" s="875">
        <v>88.993197129010682</v>
      </c>
      <c r="QP399" s="875">
        <v>76.589876755944516</v>
      </c>
      <c r="QQ399" s="875">
        <v>61.678720330992263</v>
      </c>
      <c r="QR399" s="875">
        <v>44.773273888204528</v>
      </c>
      <c r="QS399" s="875">
        <v>59.423709481231391</v>
      </c>
      <c r="QT399" s="875">
        <v>62.326056265690347</v>
      </c>
      <c r="QU399" s="875">
        <v>54.394881816432537</v>
      </c>
      <c r="QV399" s="875">
        <v>233.7251888030134</v>
      </c>
      <c r="QW399" s="875">
        <v>50.719587303953702</v>
      </c>
      <c r="QX399" s="875">
        <v>68.643409918377756</v>
      </c>
      <c r="QY399" s="875">
        <v>57.272043593261969</v>
      </c>
      <c r="QZ399" s="875">
        <v>46.712524955086508</v>
      </c>
      <c r="RA399" s="875">
        <v>62.323016008470738</v>
      </c>
      <c r="RB399" s="875">
        <v>45.591176257306962</v>
      </c>
      <c r="RC399" s="875">
        <v>63.205107318479463</v>
      </c>
      <c r="RD399" s="875">
        <v>62.803299766809147</v>
      </c>
      <c r="RE399" s="875">
        <v>56.133083276743008</v>
      </c>
      <c r="RF399" s="875">
        <v>133.82199788566629</v>
      </c>
      <c r="RG399" s="875">
        <v>50.858790591380213</v>
      </c>
      <c r="RH399" s="875">
        <v>69.882874858190405</v>
      </c>
      <c r="RI399" s="875">
        <v>58.251220623561842</v>
      </c>
      <c r="RJ399" s="875">
        <v>47.579858018547718</v>
      </c>
      <c r="RK399" s="875">
        <v>61.486582495281993</v>
      </c>
      <c r="RL399" s="875">
        <v>44.626096919655112</v>
      </c>
      <c r="RM399" s="875">
        <v>58.216768306269749</v>
      </c>
      <c r="RN399" s="875">
        <v>62.273731471049558</v>
      </c>
      <c r="RO399" s="875">
        <v>53.682332689621859</v>
      </c>
      <c r="RP399" s="875">
        <v>134.52856323647131</v>
      </c>
      <c r="RQ399" s="875">
        <v>50.611494486731672</v>
      </c>
      <c r="RR399" s="875">
        <v>70.20255493686922</v>
      </c>
      <c r="RS399" s="875">
        <v>57.128662500856052</v>
      </c>
      <c r="RT399" s="875">
        <v>46.555280154089758</v>
      </c>
      <c r="RU399" s="875">
        <v>62.396022131519167</v>
      </c>
      <c r="RV399" s="875">
        <v>45.891565477748969</v>
      </c>
      <c r="RW399" s="875">
        <v>63.841878471118953</v>
      </c>
      <c r="RX399" s="875">
        <v>63.008666569308843</v>
      </c>
      <c r="RY399" s="875">
        <v>56.183868215249923</v>
      </c>
      <c r="RZ399" s="875">
        <v>134.0723572435702</v>
      </c>
      <c r="SA399" s="875">
        <v>50.899948315115452</v>
      </c>
      <c r="SB399" s="875">
        <v>70.860061398341486</v>
      </c>
      <c r="SC399" s="875">
        <v>63.291517404630042</v>
      </c>
      <c r="SD399" s="875">
        <v>47.960072185997902</v>
      </c>
      <c r="SE399" s="875">
        <v>63.193115287376457</v>
      </c>
      <c r="SF399" s="875">
        <v>46.960833483679913</v>
      </c>
      <c r="SG399" s="875">
        <v>67.58427932855453</v>
      </c>
      <c r="SH399" s="875">
        <v>63.606285861431708</v>
      </c>
      <c r="SI399" s="875">
        <v>58.137873247826377</v>
      </c>
      <c r="SJ399" s="875">
        <v>133.78823436415851</v>
      </c>
      <c r="SK399" s="875">
        <v>51.151583836979498</v>
      </c>
      <c r="SL399" s="875">
        <v>70.783458366942625</v>
      </c>
      <c r="SM399" s="875">
        <v>65.240728119167855</v>
      </c>
      <c r="SN399" s="875">
        <v>49.209801592940757</v>
      </c>
      <c r="SO399" s="875">
        <v>63.577222566248103</v>
      </c>
      <c r="SP399" s="875">
        <v>47.597226236693267</v>
      </c>
      <c r="SQ399" s="875">
        <v>70.281588939215808</v>
      </c>
      <c r="SR399" s="875">
        <v>64.29987116255775</v>
      </c>
      <c r="SS399" s="875">
        <v>59.385549410010611</v>
      </c>
      <c r="ST399" s="875">
        <v>134.22844335847211</v>
      </c>
      <c r="SU399" s="875">
        <v>51.344626231079737</v>
      </c>
      <c r="SV399" s="875">
        <v>70.874332345668549</v>
      </c>
      <c r="SW399" s="875">
        <v>70.368045824551871</v>
      </c>
      <c r="SX399" s="875">
        <v>50.037831612312743</v>
      </c>
      <c r="SY399" s="875">
        <v>65.293319705377115</v>
      </c>
      <c r="SZ399" s="875">
        <v>51.079703480612103</v>
      </c>
      <c r="TA399" s="875">
        <v>91.460805582002592</v>
      </c>
      <c r="TB399" s="875">
        <v>63.060093914228538</v>
      </c>
      <c r="TC399" s="875">
        <v>64.862967418258748</v>
      </c>
      <c r="TD399" s="875">
        <v>125.63781125232831</v>
      </c>
      <c r="TE399" s="875">
        <v>52.075539772156731</v>
      </c>
      <c r="TF399" s="875">
        <v>75.136110330348259</v>
      </c>
      <c r="TG399" s="875">
        <v>-33959.394968496883</v>
      </c>
      <c r="TH399" s="875">
        <v>51.987580798828667</v>
      </c>
      <c r="TI399" s="875">
        <v>65.293319705377115</v>
      </c>
      <c r="TJ399" s="875">
        <v>51.079703480612103</v>
      </c>
      <c r="TK399" s="875">
        <v>91.460805582002592</v>
      </c>
      <c r="TL399" s="875">
        <v>63.060093914228538</v>
      </c>
      <c r="TM399" s="875">
        <v>64.862967418258748</v>
      </c>
      <c r="TN399" s="875">
        <v>125.63781125232831</v>
      </c>
      <c r="TO399" s="875">
        <v>52.075539772156731</v>
      </c>
      <c r="TP399" s="875">
        <v>75.115848553242031</v>
      </c>
      <c r="TQ399" s="875">
        <v>-33959.394968496883</v>
      </c>
      <c r="TR399" s="875">
        <v>51.987580798828667</v>
      </c>
      <c r="TS399" s="875">
        <v>65.990299732478647</v>
      </c>
      <c r="TT399" s="875">
        <v>51.994269483220997</v>
      </c>
      <c r="TU399" s="875">
        <v>95.843717755132758</v>
      </c>
      <c r="TV399" s="875">
        <v>65.186434761577246</v>
      </c>
      <c r="TW399" s="875">
        <v>66.260435969073484</v>
      </c>
      <c r="TX399" s="875">
        <v>127.169683194356</v>
      </c>
      <c r="TY399" s="875">
        <v>52.267777853730692</v>
      </c>
      <c r="TZ399" s="875">
        <v>75.568398992833238</v>
      </c>
      <c r="UA399" s="875">
        <v>-78144.826136834599</v>
      </c>
      <c r="UB399" s="875">
        <v>53.502089357507302</v>
      </c>
      <c r="UC399" s="875">
        <v>68.80801097578933</v>
      </c>
      <c r="UD399" s="875">
        <v>51.830076928664397</v>
      </c>
      <c r="UE399" s="875">
        <v>82.23513207652303</v>
      </c>
      <c r="UF399" s="875">
        <v>71.475510620215559</v>
      </c>
      <c r="UG399" s="875">
        <v>68.503233265324582</v>
      </c>
      <c r="UH399" s="875">
        <v>102.2140834720411</v>
      </c>
      <c r="UI399" s="875">
        <v>56.761029473059303</v>
      </c>
      <c r="UJ399" s="875">
        <v>124.97537763178281</v>
      </c>
      <c r="UK399" s="875">
        <v>68.760996340461134</v>
      </c>
      <c r="UL399" s="875">
        <v>52.496016530513359</v>
      </c>
      <c r="UM399" s="875">
        <v>69.517593477487551</v>
      </c>
      <c r="UN399" s="875">
        <v>53.075472323082813</v>
      </c>
      <c r="UO399" s="875">
        <v>90.713564943539552</v>
      </c>
      <c r="UP399" s="875">
        <v>72.597648401457661</v>
      </c>
      <c r="UQ399" s="875">
        <v>72.040288748240997</v>
      </c>
      <c r="UR399" s="875">
        <v>101.73295150733669</v>
      </c>
      <c r="US399" s="875">
        <v>57.259628302955313</v>
      </c>
      <c r="UT399" s="875">
        <v>127.6931949707715</v>
      </c>
      <c r="UU399" s="875">
        <v>81.632126226475052</v>
      </c>
      <c r="UV399" s="875">
        <v>52.659214967474142</v>
      </c>
      <c r="UW399" s="875">
        <v>68.528221068636839</v>
      </c>
      <c r="UX399" s="875">
        <v>52.09207655958221</v>
      </c>
      <c r="UY399" s="875">
        <v>78.947395172799816</v>
      </c>
      <c r="UZ399" s="875">
        <v>71.732508598485879</v>
      </c>
      <c r="VA399" s="875">
        <v>65.896036986431795</v>
      </c>
      <c r="VB399" s="875">
        <v>102.8467021157111</v>
      </c>
      <c r="VC399" s="875">
        <v>56.722869353082807</v>
      </c>
      <c r="VD399" s="875">
        <v>128.0209440525241</v>
      </c>
      <c r="VE399" s="875">
        <v>-35936.82252191766</v>
      </c>
      <c r="VF399" s="875">
        <v>52.712724615932203</v>
      </c>
      <c r="VG399" s="875">
        <v>69.92927790088298</v>
      </c>
      <c r="VH399" s="875">
        <v>52.905464066639198</v>
      </c>
      <c r="VI399" s="875">
        <v>90.200646255716734</v>
      </c>
      <c r="VJ399" s="875">
        <v>72.057466828872762</v>
      </c>
      <c r="VK399" s="875">
        <v>72.054089433789926</v>
      </c>
      <c r="VL399" s="875">
        <v>102.06053703699411</v>
      </c>
      <c r="VM399" s="875">
        <v>57.631413379347663</v>
      </c>
      <c r="VN399" s="875">
        <v>127.2690715759862</v>
      </c>
      <c r="VO399" s="875">
        <v>92.083173009243254</v>
      </c>
      <c r="VP399" s="875">
        <v>53.108680831369028</v>
      </c>
      <c r="VQ399" s="875">
        <v>69.840319029942748</v>
      </c>
      <c r="VR399" s="875">
        <v>54.198295206753187</v>
      </c>
      <c r="VS399" s="875">
        <v>95.674875821241983</v>
      </c>
      <c r="VT399" s="875">
        <v>70.986403517137418</v>
      </c>
      <c r="VU399" s="875">
        <v>67.924092190174875</v>
      </c>
      <c r="VV399" s="875">
        <v>101.6967479048681</v>
      </c>
      <c r="VW399" s="875">
        <v>57.94177924915487</v>
      </c>
      <c r="VX399" s="875">
        <v>128.52482401284539</v>
      </c>
      <c r="VY399" s="875">
        <v>82.962221149360445</v>
      </c>
      <c r="VZ399" s="875">
        <v>54.068900012237172</v>
      </c>
      <c r="WA399" s="875">
        <v>69.45475641680116</v>
      </c>
      <c r="WB399" s="875">
        <v>54.587342469129112</v>
      </c>
      <c r="WC399" s="875">
        <v>97.348401792027033</v>
      </c>
      <c r="WD399" s="875">
        <v>70.602649723199789</v>
      </c>
      <c r="WE399" s="875">
        <v>65.132035634389055</v>
      </c>
      <c r="WF399" s="875">
        <v>100.92256948613159</v>
      </c>
      <c r="WG399" s="875">
        <v>58.027196404910612</v>
      </c>
      <c r="WH399" s="875">
        <v>127.80953023915529</v>
      </c>
      <c r="WI399" s="875">
        <v>89.245953466558177</v>
      </c>
      <c r="WJ399" s="875">
        <v>54.472877335235992</v>
      </c>
      <c r="WK399" s="875">
        <v>70.481396343401642</v>
      </c>
      <c r="WL399" s="875">
        <v>57.768953381586392</v>
      </c>
      <c r="WM399" s="875">
        <v>91.069740926982945</v>
      </c>
      <c r="WN399" s="875">
        <v>71.113583080151557</v>
      </c>
      <c r="WO399" s="875">
        <v>69.730856093912521</v>
      </c>
      <c r="WP399" s="875">
        <v>95.449477564687058</v>
      </c>
      <c r="WQ399" s="875">
        <v>58.648152272113776</v>
      </c>
      <c r="WR399" s="875">
        <v>128.84822100465311</v>
      </c>
      <c r="WS399" s="875">
        <v>-16702.168684174139</v>
      </c>
      <c r="WT399" s="875">
        <v>56.633052188287877</v>
      </c>
      <c r="WU399" s="875">
        <v>70.481291604271689</v>
      </c>
      <c r="WV399" s="875">
        <v>57.768568287006332</v>
      </c>
      <c r="WW399" s="875">
        <v>91.069740926982945</v>
      </c>
      <c r="WX399" s="875">
        <v>71.113372311658026</v>
      </c>
      <c r="WY399" s="875">
        <v>69.730926631777166</v>
      </c>
      <c r="WZ399" s="875">
        <v>95.449477564687058</v>
      </c>
      <c r="XA399" s="875">
        <v>58.648152272113776</v>
      </c>
      <c r="XB399" s="875">
        <v>128.9072518417498</v>
      </c>
      <c r="XC399" s="875">
        <v>-16702.168684174139</v>
      </c>
      <c r="XD399" s="875">
        <v>56.63305143468407</v>
      </c>
      <c r="XE399" s="875">
        <v>70.740440026925</v>
      </c>
      <c r="XF399" s="875">
        <v>57.86636844193022</v>
      </c>
      <c r="XG399" s="875">
        <v>101.3993812352526</v>
      </c>
      <c r="XH399" s="875">
        <v>71.786477010889911</v>
      </c>
      <c r="XI399" s="875">
        <v>74.772699776338442</v>
      </c>
      <c r="XJ399" s="875">
        <v>96.241371454302566</v>
      </c>
      <c r="XK399" s="875">
        <v>58.90975597700649</v>
      </c>
      <c r="XL399" s="875">
        <v>129.27990001678</v>
      </c>
      <c r="XM399" s="875">
        <v>-76476.020752263881</v>
      </c>
      <c r="XN399" s="875">
        <v>57.976564313612727</v>
      </c>
      <c r="XO399" s="875">
        <v>38.747978093052957</v>
      </c>
      <c r="XP399" s="875">
        <v>27.509378067663778</v>
      </c>
      <c r="XQ399" s="875">
        <v>27.096421967470519</v>
      </c>
      <c r="XR399" s="875">
        <v>44.431658868790173</v>
      </c>
      <c r="XS399" s="875">
        <v>27.23258177260389</v>
      </c>
      <c r="XT399" s="875">
        <v>96.842136578397159</v>
      </c>
      <c r="XU399" s="875">
        <v>31.078214136621721</v>
      </c>
      <c r="XV399" s="875">
        <v>93.49487018441647</v>
      </c>
      <c r="XW399" s="875">
        <v>35.576755740398283</v>
      </c>
      <c r="XX399" s="875">
        <v>27.22312853139465</v>
      </c>
      <c r="XY399" s="875">
        <v>39.435253992187313</v>
      </c>
      <c r="XZ399" s="875">
        <v>28.233722415870329</v>
      </c>
      <c r="YA399" s="875">
        <v>30.769243130611219</v>
      </c>
      <c r="YB399" s="875">
        <v>44.568362643860709</v>
      </c>
      <c r="YC399" s="875">
        <v>29.333889087642898</v>
      </c>
      <c r="YD399" s="875">
        <v>96.474100109366276</v>
      </c>
      <c r="YE399" s="875">
        <v>31.279359318711151</v>
      </c>
      <c r="YF399" s="875">
        <v>93.914994986393893</v>
      </c>
      <c r="YG399" s="875">
        <v>38.597757462312842</v>
      </c>
      <c r="YH399" s="875">
        <v>27.687142048346541</v>
      </c>
      <c r="YI399" s="875">
        <v>38.292596405920399</v>
      </c>
      <c r="YJ399" s="875">
        <v>27.331710792573929</v>
      </c>
      <c r="YK399" s="875">
        <v>26.22562439285641</v>
      </c>
      <c r="YL399" s="875">
        <v>44.64414003949117</v>
      </c>
      <c r="YM399" s="875">
        <v>26.19453646099721</v>
      </c>
      <c r="YN399" s="875">
        <v>96.087596943156143</v>
      </c>
      <c r="YO399" s="875">
        <v>31.029169946843069</v>
      </c>
      <c r="YP399" s="875">
        <v>93.999768676468975</v>
      </c>
      <c r="YQ399" s="875">
        <v>37.61574153039264</v>
      </c>
      <c r="YR399" s="875">
        <v>27.143524035903571</v>
      </c>
      <c r="YS399" s="875">
        <v>39.535017144436281</v>
      </c>
      <c r="YT399" s="875">
        <v>28.408573986767351</v>
      </c>
      <c r="YU399" s="875">
        <v>30.72073583653988</v>
      </c>
      <c r="YV399" s="875">
        <v>44.521448478578677</v>
      </c>
      <c r="YW399" s="875">
        <v>29.965279060120778</v>
      </c>
      <c r="YX399" s="875">
        <v>96.690697213911093</v>
      </c>
      <c r="YY399" s="875">
        <v>31.379702749471079</v>
      </c>
      <c r="YZ399" s="875">
        <v>94.127758524189545</v>
      </c>
      <c r="ZA399" s="875">
        <v>41.595686082203102</v>
      </c>
      <c r="ZB399" s="875">
        <v>27.994186393702059</v>
      </c>
      <c r="ZC399" s="875">
        <v>40.443522134132998</v>
      </c>
      <c r="ZD399" s="875">
        <v>29.409805476227479</v>
      </c>
      <c r="ZE399" s="875">
        <v>33.98172725888368</v>
      </c>
      <c r="ZF399" s="875">
        <v>44.514048177854043</v>
      </c>
      <c r="ZG399" s="875">
        <v>32.719697545970533</v>
      </c>
      <c r="ZH399" s="875">
        <v>95.750960313323105</v>
      </c>
      <c r="ZI399" s="875">
        <v>31.602491774185989</v>
      </c>
      <c r="ZJ399" s="875">
        <v>94.160520481549966</v>
      </c>
      <c r="ZK399" s="875">
        <v>42.180113823377212</v>
      </c>
      <c r="ZL399" s="875">
        <v>28.784444757068179</v>
      </c>
      <c r="ZM399" s="875">
        <v>40.956134534279663</v>
      </c>
      <c r="ZN399" s="875">
        <v>29.89264857488304</v>
      </c>
      <c r="ZO399" s="875">
        <v>35.380335328144383</v>
      </c>
      <c r="ZP399" s="875">
        <v>44.487805183936644</v>
      </c>
      <c r="ZQ399" s="875">
        <v>33.917654374003888</v>
      </c>
      <c r="ZR399" s="875">
        <v>95.115461280321099</v>
      </c>
      <c r="ZS399" s="875">
        <v>31.697486338575189</v>
      </c>
      <c r="ZT399" s="875">
        <v>94.251518859459395</v>
      </c>
      <c r="ZU399" s="875">
        <v>42.693090115518139</v>
      </c>
      <c r="ZV399" s="875">
        <v>29.248714673997281</v>
      </c>
      <c r="ZW399" s="875">
        <v>43.424377025172781</v>
      </c>
      <c r="ZX399" s="875">
        <v>32.290171067476493</v>
      </c>
      <c r="ZY399" s="875">
        <v>48.91255440078119</v>
      </c>
      <c r="ZZ399" s="875">
        <v>42.421117785051003</v>
      </c>
      <c r="AAA399" s="875">
        <v>42.195183499711057</v>
      </c>
      <c r="AAB399" s="875">
        <v>85.903132508459223</v>
      </c>
      <c r="AAC399" s="875">
        <v>32.281320546954419</v>
      </c>
      <c r="AAD399" s="875">
        <v>94.961762979147608</v>
      </c>
      <c r="AAE399" s="875">
        <v>53.132403010545403</v>
      </c>
      <c r="AAF399" s="875">
        <v>30.600524904292708</v>
      </c>
      <c r="AAG399" s="875">
        <v>43.424377025172781</v>
      </c>
      <c r="AAH399" s="875">
        <v>32.290171067476493</v>
      </c>
      <c r="AAI399" s="875">
        <v>48.91255440078119</v>
      </c>
      <c r="AAJ399" s="875">
        <v>42.421117785051003</v>
      </c>
      <c r="AAK399" s="875">
        <v>42.195183499711057</v>
      </c>
      <c r="AAL399" s="875">
        <v>85.903132508459223</v>
      </c>
      <c r="AAM399" s="875">
        <v>32.281320546954419</v>
      </c>
      <c r="AAN399" s="875">
        <v>94.964149168043903</v>
      </c>
      <c r="AAO399" s="875">
        <v>53.132403010545403</v>
      </c>
      <c r="AAP399" s="875">
        <v>30.600524904292708</v>
      </c>
      <c r="AAQ399" s="875">
        <v>43.963295548610169</v>
      </c>
      <c r="AAR399" s="875">
        <v>33.190152957169957</v>
      </c>
      <c r="AAS399" s="875">
        <v>52.338010026137958</v>
      </c>
      <c r="AAT399" s="875">
        <v>44.188805127348523</v>
      </c>
      <c r="AAU399" s="875">
        <v>46.942681562249213</v>
      </c>
      <c r="AAV399" s="875">
        <v>87.378330290715283</v>
      </c>
      <c r="AAW399" s="875">
        <v>32.480216964221242</v>
      </c>
      <c r="AAX399" s="875">
        <v>95.027973600914237</v>
      </c>
      <c r="AAY399" s="875">
        <v>52.678741409637517</v>
      </c>
      <c r="AAZ399" s="875">
        <v>31.79231614563766</v>
      </c>
      <c r="ABA399" s="875"/>
      <c r="ABB399" s="875"/>
      <c r="ABC399" s="875"/>
      <c r="ABD399" s="875"/>
      <c r="ABE399" s="875"/>
      <c r="ABF399" s="875"/>
      <c r="ABG399" s="875"/>
      <c r="ABH399" s="875"/>
      <c r="ABI399" s="875"/>
      <c r="ABJ399" s="875"/>
      <c r="ABK399" s="875"/>
      <c r="ABL399" s="875"/>
      <c r="ABM399" s="875"/>
      <c r="ABN399" s="875"/>
      <c r="ABO399" s="875"/>
      <c r="ABP399" s="875"/>
      <c r="ABQ399" s="875"/>
      <c r="ABR399" s="875"/>
      <c r="ABS399" s="875"/>
      <c r="ABT399" s="875"/>
      <c r="ABU399" s="875"/>
      <c r="ABV399" s="875"/>
      <c r="ABW399" s="875"/>
      <c r="ABX399" s="875"/>
      <c r="ABY399" s="875"/>
      <c r="ABZ399" s="875"/>
      <c r="ACA399" s="875"/>
      <c r="ACB399" s="875"/>
      <c r="ACC399" s="875"/>
      <c r="ACD399" s="875"/>
      <c r="ACE399" s="875"/>
      <c r="ACF399" s="875"/>
      <c r="ACG399" s="875"/>
      <c r="ACH399" s="875"/>
      <c r="ACI399" s="875"/>
      <c r="ACJ399" s="875"/>
      <c r="ACK399" s="875"/>
      <c r="ACL399" s="875"/>
      <c r="ACM399" s="875"/>
      <c r="ACN399" s="875"/>
      <c r="ACO399" s="875"/>
      <c r="ACP399" s="875"/>
      <c r="ACQ399" s="875"/>
      <c r="ACR399" s="875"/>
      <c r="ACS399" s="875"/>
      <c r="ACT399" s="875"/>
      <c r="ACU399" s="875"/>
      <c r="ACV399" s="875"/>
      <c r="ACW399" s="875"/>
      <c r="ACX399" s="875"/>
      <c r="ACY399" s="875"/>
      <c r="ACZ399" s="875"/>
      <c r="ADA399" s="875"/>
      <c r="ADB399" s="875"/>
      <c r="ADC399" s="875"/>
      <c r="ADD399" s="875"/>
      <c r="ADE399" s="875"/>
      <c r="ADF399" s="875"/>
      <c r="ADG399" s="875"/>
      <c r="ADH399" s="875"/>
      <c r="ADI399" s="875"/>
      <c r="ADJ399" s="875"/>
      <c r="ADK399" s="875"/>
      <c r="ADL399" s="875"/>
      <c r="ADM399" s="875"/>
      <c r="ADN399" s="875"/>
      <c r="ADO399" s="875"/>
      <c r="ADP399" s="875"/>
      <c r="ADQ399" s="875"/>
      <c r="ADR399" s="875"/>
      <c r="ADS399" s="875"/>
      <c r="ADT399" s="875"/>
      <c r="ADU399" s="875"/>
      <c r="ADV399" s="875"/>
      <c r="ADW399" s="875"/>
      <c r="ADX399" s="875"/>
      <c r="ADY399" s="875"/>
      <c r="ADZ399" s="875"/>
      <c r="AEA399" s="875"/>
      <c r="AEB399" s="875"/>
      <c r="AEC399" s="875"/>
      <c r="AED399" s="875"/>
      <c r="AEE399" s="875"/>
      <c r="AEF399" s="875"/>
      <c r="AEG399" s="875"/>
      <c r="AEH399" s="875"/>
      <c r="AEI399" s="875"/>
      <c r="AEJ399" s="875"/>
      <c r="AEK399" s="875"/>
      <c r="AEL399" s="875"/>
      <c r="AEM399" s="875"/>
      <c r="AEN399" s="875"/>
      <c r="AEO399" s="875"/>
      <c r="AEP399" s="875"/>
      <c r="AEQ399" s="875"/>
      <c r="AER399" s="875"/>
      <c r="AES399" s="875"/>
      <c r="AET399" s="875"/>
      <c r="AEU399" s="875"/>
      <c r="AEV399" s="875"/>
      <c r="AEW399" s="875"/>
      <c r="AEX399" s="875"/>
      <c r="AEY399" s="875"/>
      <c r="AEZ399" s="875"/>
      <c r="AFA399" s="875"/>
      <c r="AFB399" s="875"/>
      <c r="AFC399" s="875"/>
      <c r="AFD399" s="875"/>
      <c r="AFE399" s="875"/>
      <c r="AFF399" s="875"/>
      <c r="AFG399" s="875"/>
      <c r="AFH399" s="875"/>
      <c r="AFI399" s="875"/>
      <c r="AFJ399" s="875"/>
      <c r="AFK399" s="875"/>
      <c r="AFL399" s="875"/>
      <c r="AFM399" s="875"/>
      <c r="AFN399" s="875"/>
      <c r="AFO399" s="875"/>
      <c r="AFP399" s="875"/>
      <c r="AFQ399" s="875"/>
      <c r="AFR399" s="875"/>
      <c r="AFS399" s="875"/>
      <c r="AFT399" s="875"/>
      <c r="AFU399" s="875"/>
      <c r="AFV399" s="875"/>
      <c r="AFW399" s="875"/>
      <c r="AFX399" s="875"/>
      <c r="AFY399" s="875"/>
      <c r="AFZ399" s="875"/>
      <c r="AGA399" s="875"/>
      <c r="AGB399" s="875"/>
      <c r="AGC399" s="875"/>
      <c r="AGD399" s="875"/>
      <c r="AGE399" s="875"/>
      <c r="AGF399" s="875"/>
      <c r="AGG399" s="875"/>
      <c r="AGH399" s="875"/>
      <c r="AGI399" s="875"/>
      <c r="AGJ399" s="875"/>
      <c r="AGK399" s="875"/>
      <c r="AGL399" s="875"/>
      <c r="AGM399" s="875"/>
      <c r="AGN399" s="875"/>
      <c r="AGO399" s="875"/>
      <c r="AGP399" s="875"/>
      <c r="AGQ399" s="875"/>
      <c r="AGR399" s="875"/>
      <c r="AGS399" s="875"/>
      <c r="AGT399" s="875"/>
      <c r="AGU399" s="875"/>
      <c r="AGV399" s="875"/>
      <c r="AGW399" s="875"/>
      <c r="AGX399" s="875"/>
      <c r="AGY399" s="875"/>
      <c r="AGZ399" s="875"/>
      <c r="AHA399" s="875"/>
      <c r="AHB399" s="875"/>
      <c r="AHC399" s="875"/>
      <c r="AHD399" s="875"/>
      <c r="AHE399" s="875"/>
      <c r="AHF399" s="875"/>
      <c r="AHG399" s="875"/>
      <c r="AHH399" s="875"/>
      <c r="AHI399" s="875"/>
      <c r="AHJ399" s="875"/>
      <c r="AHK399" s="875"/>
      <c r="AHL399" s="875"/>
      <c r="AHM399" s="875"/>
      <c r="AHN399" s="875"/>
      <c r="AHO399" s="875"/>
      <c r="AHP399" s="875"/>
      <c r="AHQ399" s="875"/>
      <c r="AHR399" s="875"/>
      <c r="AHS399" s="875"/>
      <c r="AHT399" s="875"/>
      <c r="AHU399" s="875"/>
      <c r="AHV399" s="875"/>
      <c r="AHW399" s="875"/>
      <c r="AHX399" s="875"/>
      <c r="AHY399" s="875"/>
      <c r="AHZ399" s="875"/>
      <c r="AIA399" s="875"/>
      <c r="AIB399" s="875"/>
      <c r="AIC399" s="875"/>
      <c r="AID399" s="875"/>
      <c r="AIE399" s="875"/>
      <c r="AIF399" s="875"/>
      <c r="AIG399" s="875"/>
      <c r="AIH399" s="875"/>
      <c r="AII399" s="875"/>
      <c r="AIJ399" s="875"/>
      <c r="AIK399" s="875"/>
      <c r="AIL399" s="875"/>
      <c r="AIM399" s="875"/>
      <c r="AIN399" s="875"/>
      <c r="AIO399" s="875"/>
      <c r="AIP399" s="875"/>
      <c r="AIQ399" s="875"/>
      <c r="AIR399" s="875"/>
      <c r="AIS399" s="875"/>
      <c r="AIT399" s="875"/>
      <c r="AIU399" s="875"/>
      <c r="AIV399" s="875"/>
      <c r="AIW399" s="875"/>
      <c r="AIX399" s="875"/>
      <c r="AIY399" s="875"/>
      <c r="AIZ399" s="875"/>
      <c r="AJA399" s="875"/>
      <c r="AJB399" s="875"/>
      <c r="AJC399" s="875"/>
      <c r="AJD399" s="875"/>
      <c r="AJE399" s="875"/>
      <c r="AJF399" s="875"/>
      <c r="AJG399" s="875"/>
      <c r="AJH399" s="875"/>
      <c r="AJI399" s="875"/>
      <c r="AJJ399" s="875"/>
      <c r="AJK399" s="875"/>
      <c r="AJL399" s="875"/>
      <c r="AJM399" s="875"/>
      <c r="AJN399" s="875"/>
      <c r="AJO399" s="875"/>
      <c r="AJP399" s="875"/>
      <c r="AJQ399" s="875"/>
      <c r="AJR399" s="875"/>
      <c r="AJS399" s="875"/>
      <c r="AJT399" s="875"/>
      <c r="AJU399" s="875"/>
      <c r="AJV399" s="875"/>
      <c r="AJW399" s="875"/>
      <c r="AJX399" s="875"/>
      <c r="AJY399" s="875"/>
      <c r="AJZ399" s="875"/>
      <c r="AKA399" s="875"/>
      <c r="AKB399" s="875"/>
      <c r="AKC399" s="875"/>
      <c r="AKD399" s="875"/>
      <c r="AKE399" s="875"/>
      <c r="AKF399" s="875"/>
      <c r="AKG399" s="875"/>
      <c r="AKH399" s="875"/>
      <c r="AKI399" s="875"/>
      <c r="AKJ399" s="875"/>
      <c r="AKK399" s="875"/>
      <c r="AKL399" s="875"/>
      <c r="AKM399" s="875"/>
      <c r="AKN399" s="875"/>
      <c r="AKO399" s="875"/>
      <c r="AKP399" s="875"/>
      <c r="AKQ399" s="875"/>
      <c r="AKR399" s="875"/>
      <c r="AKS399" s="875"/>
      <c r="AKT399" s="875"/>
      <c r="AKU399" s="875"/>
      <c r="AKV399" s="875"/>
      <c r="AKW399" s="875"/>
      <c r="AKX399" s="875"/>
      <c r="AKY399" s="875"/>
      <c r="AKZ399" s="875"/>
      <c r="ALA399" s="875"/>
      <c r="ALB399" s="875"/>
      <c r="ALC399" s="875"/>
      <c r="ALD399" s="875"/>
      <c r="ALE399" s="875"/>
      <c r="ALF399" s="875"/>
      <c r="ALG399" s="875"/>
      <c r="ALH399" s="875"/>
      <c r="ALI399" s="875"/>
      <c r="ALJ399" s="875"/>
      <c r="ALK399" s="875"/>
      <c r="ALL399" s="875"/>
      <c r="ALM399" s="875"/>
      <c r="ALN399" s="875"/>
      <c r="ALO399" s="875"/>
      <c r="ALP399" s="875"/>
      <c r="ALQ399" s="875"/>
      <c r="ALR399" s="875"/>
      <c r="ALS399" s="875"/>
      <c r="ALT399" s="875"/>
      <c r="ALU399" s="875"/>
      <c r="ALV399" s="875"/>
      <c r="ALW399" s="875"/>
      <c r="ALX399" s="875"/>
      <c r="ALY399" s="875"/>
      <c r="ALZ399" s="875"/>
      <c r="AMA399" s="875"/>
      <c r="AMB399" s="875"/>
      <c r="AMC399" s="875"/>
      <c r="AMD399" s="875"/>
      <c r="AME399" s="875"/>
      <c r="AMF399" s="875"/>
      <c r="AMG399" s="875"/>
      <c r="AMH399" s="875"/>
      <c r="AMI399" s="875"/>
      <c r="AMJ399" s="875"/>
      <c r="AMK399" s="875"/>
      <c r="AML399" s="875"/>
      <c r="AMM399" s="875"/>
      <c r="AMN399" s="875"/>
      <c r="AMO399" s="875"/>
      <c r="AMP399" s="875"/>
      <c r="AMQ399" s="875"/>
      <c r="AMR399" s="875"/>
      <c r="AMS399" s="875"/>
      <c r="AMT399" s="875"/>
      <c r="AMU399" s="875"/>
      <c r="AMV399" s="875"/>
      <c r="AMW399" s="875"/>
      <c r="AMX399" s="875"/>
      <c r="AMY399" s="875"/>
      <c r="AMZ399" s="875"/>
      <c r="ANA399" s="875"/>
      <c r="ANB399" s="875"/>
      <c r="ANC399" s="875"/>
      <c r="AND399" s="875"/>
      <c r="ANE399" s="875"/>
      <c r="ANF399" s="875"/>
      <c r="ANG399" s="875"/>
      <c r="ANH399" s="875"/>
      <c r="ANI399" s="875"/>
      <c r="ANJ399" s="875"/>
      <c r="ANK399" s="875"/>
      <c r="ANL399" s="875"/>
      <c r="ANM399" s="875"/>
      <c r="ANN399" s="875"/>
      <c r="ANO399" s="875"/>
      <c r="ANP399" s="875"/>
      <c r="ANQ399" s="875"/>
      <c r="ANR399" s="875"/>
      <c r="ANS399" s="875"/>
      <c r="ANT399" s="875"/>
      <c r="ANU399" s="875"/>
      <c r="ANV399" s="875"/>
      <c r="ANW399" s="875"/>
      <c r="ANX399" s="875"/>
      <c r="ANY399" s="875"/>
      <c r="ANZ399" s="875"/>
      <c r="AOA399" s="875"/>
      <c r="AOB399" s="875"/>
      <c r="AOC399" s="875"/>
      <c r="AOD399" s="875"/>
      <c r="AOE399" s="875"/>
      <c r="AOF399" s="875"/>
      <c r="AOG399" s="875"/>
      <c r="AOH399" s="875"/>
      <c r="AOI399" s="875"/>
      <c r="AOJ399" s="875"/>
      <c r="AOK399" s="875"/>
      <c r="AOL399" s="875"/>
      <c r="AOM399" s="875"/>
      <c r="AON399" s="875"/>
      <c r="AOO399" s="875"/>
      <c r="AOP399" s="875"/>
      <c r="AOQ399" s="875"/>
      <c r="AOR399" s="875"/>
      <c r="AOS399" s="875"/>
      <c r="AOT399" s="875"/>
      <c r="AOU399" s="875"/>
      <c r="AOV399" s="875"/>
      <c r="AOW399" s="887"/>
    </row>
    <row r="400" spans="2:1102" hidden="1">
      <c r="B400" s="1000" t="s">
        <v>1053</v>
      </c>
      <c r="C400" s="1000"/>
      <c r="D400" s="836"/>
      <c r="E400" s="892" t="s">
        <v>1037</v>
      </c>
      <c r="F400" s="462"/>
      <c r="G400" s="462" t="s">
        <v>65</v>
      </c>
      <c r="H400" s="462"/>
      <c r="I400" s="875">
        <v>0.96003268337838155</v>
      </c>
      <c r="J400" s="875">
        <v>0.9775109481084312</v>
      </c>
      <c r="K400" s="875">
        <v>1.164097545117539</v>
      </c>
      <c r="L400" s="875">
        <v>0.81449610713180542</v>
      </c>
      <c r="M400" s="875">
        <v>0.98760333243235909</v>
      </c>
      <c r="N400" s="875">
        <v>0.96799046590577964</v>
      </c>
      <c r="O400" s="875">
        <v>1.0775259268182631</v>
      </c>
      <c r="P400" s="875">
        <v>1.029597956576723</v>
      </c>
      <c r="Q400" s="875">
        <v>0.8672342093394525</v>
      </c>
      <c r="R400" s="875">
        <v>1.028579391844886</v>
      </c>
      <c r="S400" s="875">
        <v>0.9591137802662012</v>
      </c>
      <c r="T400" s="875">
        <v>0.98014106844709992</v>
      </c>
      <c r="U400" s="875">
        <v>1.165237533716035</v>
      </c>
      <c r="V400" s="875">
        <v>0.81906522341847976</v>
      </c>
      <c r="W400" s="875">
        <v>0.98707699912942648</v>
      </c>
      <c r="X400" s="875">
        <v>0.96649591059270201</v>
      </c>
      <c r="Y400" s="875">
        <v>1.0765067989078061</v>
      </c>
      <c r="Z400" s="875">
        <v>1.033342628257325</v>
      </c>
      <c r="AA400" s="875">
        <v>0.8716776139380773</v>
      </c>
      <c r="AB400" s="875">
        <v>1.0258882619059639</v>
      </c>
      <c r="AC400" s="875">
        <v>0.96019370026996587</v>
      </c>
      <c r="AD400" s="875">
        <v>0.9724853680923129</v>
      </c>
      <c r="AE400" s="875">
        <v>1.1455950617990061</v>
      </c>
      <c r="AF400" s="875">
        <v>0.81118817519587449</v>
      </c>
      <c r="AG400" s="875">
        <v>0.98973562695524853</v>
      </c>
      <c r="AH400" s="875">
        <v>0.96960950852936012</v>
      </c>
      <c r="AI400" s="875">
        <v>1.0772544239939259</v>
      </c>
      <c r="AJ400" s="875">
        <v>1.035514501572814</v>
      </c>
      <c r="AK400" s="875">
        <v>0.82950471429067019</v>
      </c>
      <c r="AL400" s="875">
        <v>1.0258079996386791</v>
      </c>
      <c r="AM400" s="875">
        <v>0.95912556172318331</v>
      </c>
      <c r="AN400" s="875">
        <v>0.97715265150292008</v>
      </c>
      <c r="AO400" s="875">
        <v>1.148378183728584</v>
      </c>
      <c r="AP400" s="875">
        <v>0.81645354548529814</v>
      </c>
      <c r="AQ400" s="875">
        <v>0.98865104072658616</v>
      </c>
      <c r="AR400" s="875">
        <v>0.96735309646186363</v>
      </c>
      <c r="AS400" s="875">
        <v>1.0761096226089011</v>
      </c>
      <c r="AT400" s="875">
        <v>1.0393583029007361</v>
      </c>
      <c r="AU400" s="875">
        <v>0.83609348480065582</v>
      </c>
      <c r="AV400" s="875">
        <v>1.0223090867282361</v>
      </c>
      <c r="AW400" s="875">
        <v>0.9586167928125835</v>
      </c>
      <c r="AX400" s="875">
        <v>0.98134446451921509</v>
      </c>
      <c r="AY400" s="875">
        <v>1.1516042107434299</v>
      </c>
      <c r="AZ400" s="875">
        <v>0.82254088023594363</v>
      </c>
      <c r="BA400" s="875">
        <v>0.98850381814423138</v>
      </c>
      <c r="BB400" s="875">
        <v>0.96601423841659895</v>
      </c>
      <c r="BC400" s="875">
        <v>1.074904003273272</v>
      </c>
      <c r="BD400" s="875">
        <v>1.041281464239137</v>
      </c>
      <c r="BE400" s="875">
        <v>0.84110835529677996</v>
      </c>
      <c r="BF400" s="875">
        <v>1.0195936874535769</v>
      </c>
      <c r="BG400" s="875">
        <v>0.95852114268511124</v>
      </c>
      <c r="BH400" s="875">
        <v>0.98339211169196017</v>
      </c>
      <c r="BI400" s="875">
        <v>1.151926495548947</v>
      </c>
      <c r="BJ400" s="875">
        <v>0.82578001900119347</v>
      </c>
      <c r="BK400" s="875">
        <v>0.98741651514892426</v>
      </c>
      <c r="BL400" s="875">
        <v>0.96500066569610521</v>
      </c>
      <c r="BM400" s="875">
        <v>1.074571306847163</v>
      </c>
      <c r="BN400" s="875">
        <v>1.045591219373478</v>
      </c>
      <c r="BO400" s="875">
        <v>0.84392839497693761</v>
      </c>
      <c r="BP400" s="875">
        <v>1.018251626676492</v>
      </c>
      <c r="BQ400" s="875">
        <v>0.9541930631299137</v>
      </c>
      <c r="BR400" s="875">
        <v>0.99728546340458213</v>
      </c>
      <c r="BS400" s="875">
        <v>1.164171428452587</v>
      </c>
      <c r="BT400" s="875">
        <v>0.83762490630917708</v>
      </c>
      <c r="BU400" s="875">
        <v>0.95885165610950973</v>
      </c>
      <c r="BV400" s="875">
        <v>0.95804972352323148</v>
      </c>
      <c r="BW400" s="875">
        <v>1.071900572450706</v>
      </c>
      <c r="BX400" s="875">
        <v>1.020712222802602</v>
      </c>
      <c r="BY400" s="875">
        <v>0.80477752493677124</v>
      </c>
      <c r="BZ400" s="875">
        <v>1.0159082422772849</v>
      </c>
      <c r="CA400" s="875">
        <v>0.9541930631299137</v>
      </c>
      <c r="CB400" s="875">
        <v>0.9972854691679448</v>
      </c>
      <c r="CC400" s="875">
        <v>1.164171428452587</v>
      </c>
      <c r="CD400" s="875">
        <v>0.83762490630917708</v>
      </c>
      <c r="CE400" s="875">
        <v>0.95885165610950973</v>
      </c>
      <c r="CF400" s="875">
        <v>0.95804973862393872</v>
      </c>
      <c r="CG400" s="875">
        <v>1.071900572450706</v>
      </c>
      <c r="CH400" s="875">
        <v>1.025136218011099</v>
      </c>
      <c r="CI400" s="875">
        <v>0.80477752493677124</v>
      </c>
      <c r="CJ400" s="875">
        <v>1.0159082422772849</v>
      </c>
      <c r="CK400" s="875">
        <v>0.95399195343308496</v>
      </c>
      <c r="CL400" s="875">
        <v>0.99911469128584507</v>
      </c>
      <c r="CM400" s="875">
        <v>1.163602744813087</v>
      </c>
      <c r="CN400" s="875">
        <v>0.84196558310128733</v>
      </c>
      <c r="CO400" s="875">
        <v>0.96311027809356864</v>
      </c>
      <c r="CP400" s="875">
        <v>0.95735701654862337</v>
      </c>
      <c r="CQ400" s="875">
        <v>1.071819528400475</v>
      </c>
      <c r="CR400" s="875">
        <v>1.039860227908378</v>
      </c>
      <c r="CS400" s="875">
        <v>0.83315965101189748</v>
      </c>
      <c r="CT400" s="875">
        <v>1.0120066886829771</v>
      </c>
      <c r="CU400" s="875">
        <v>0.92821532565479969</v>
      </c>
      <c r="CV400" s="875">
        <v>0.96164281943247087</v>
      </c>
      <c r="CW400" s="875">
        <v>1.1640760079560979</v>
      </c>
      <c r="CX400" s="875">
        <v>0.79255106372411266</v>
      </c>
      <c r="CY400" s="875">
        <v>0.99460195893340531</v>
      </c>
      <c r="CZ400" s="875">
        <v>0.97873931320120977</v>
      </c>
      <c r="DA400" s="875">
        <v>1.0680546286879979</v>
      </c>
      <c r="DB400" s="875">
        <v>1.011407908239512</v>
      </c>
      <c r="DC400" s="875">
        <v>0.8392816305181704</v>
      </c>
      <c r="DD400" s="875">
        <v>1.016682205957631</v>
      </c>
      <c r="DE400" s="875">
        <v>0.92785631766753252</v>
      </c>
      <c r="DF400" s="875">
        <v>0.96452849735666857</v>
      </c>
      <c r="DG400" s="875">
        <v>1.16494016151929</v>
      </c>
      <c r="DH400" s="875">
        <v>0.79705345437421915</v>
      </c>
      <c r="DI400" s="875">
        <v>0.9917689609136402</v>
      </c>
      <c r="DJ400" s="875">
        <v>0.97712147733355159</v>
      </c>
      <c r="DK400" s="875">
        <v>1.067340749207077</v>
      </c>
      <c r="DL400" s="875">
        <v>1.0150885286027731</v>
      </c>
      <c r="DM400" s="875">
        <v>0.84364538183181392</v>
      </c>
      <c r="DN400" s="875">
        <v>1.0146218319894491</v>
      </c>
      <c r="DO400" s="875">
        <v>0.92831495271903131</v>
      </c>
      <c r="DP400" s="875">
        <v>0.95664662455563476</v>
      </c>
      <c r="DQ400" s="875">
        <v>1.1445155220750931</v>
      </c>
      <c r="DR400" s="875">
        <v>0.78825961553243784</v>
      </c>
      <c r="DS400" s="875">
        <v>0.99684228278610343</v>
      </c>
      <c r="DT400" s="875">
        <v>0.98032392770128407</v>
      </c>
      <c r="DU400" s="875">
        <v>1.0676940102165671</v>
      </c>
      <c r="DV400" s="875">
        <v>1.0172572811182969</v>
      </c>
      <c r="DW400" s="875">
        <v>0.80011908655663633</v>
      </c>
      <c r="DX400" s="875">
        <v>1.013734859745129</v>
      </c>
      <c r="DY400" s="875">
        <v>0.9280444750149609</v>
      </c>
      <c r="DZ400" s="875">
        <v>0.96175711016398968</v>
      </c>
      <c r="EA400" s="875">
        <v>1.1474596700284621</v>
      </c>
      <c r="EB400" s="875">
        <v>0.79482388210702026</v>
      </c>
      <c r="EC400" s="875">
        <v>0.99219399553088461</v>
      </c>
      <c r="ED400" s="875">
        <v>0.97783896134559667</v>
      </c>
      <c r="EE400" s="875">
        <v>1.066665390391478</v>
      </c>
      <c r="EF400" s="875">
        <v>1.0215741337742421</v>
      </c>
      <c r="EG400" s="875">
        <v>0.8073909613233673</v>
      </c>
      <c r="EH400" s="875">
        <v>1.011036112293761</v>
      </c>
      <c r="EI400" s="875">
        <v>0.92791611125494178</v>
      </c>
      <c r="EJ400" s="875">
        <v>0.96602435593693303</v>
      </c>
      <c r="EK400" s="875">
        <v>1.1500918348819491</v>
      </c>
      <c r="EL400" s="875">
        <v>0.80075304828397587</v>
      </c>
      <c r="EM400" s="875">
        <v>0.98870521301153758</v>
      </c>
      <c r="EN400" s="875">
        <v>0.97592555890381316</v>
      </c>
      <c r="EO400" s="875">
        <v>1.065848652118657</v>
      </c>
      <c r="EP400" s="875">
        <v>1.023609808734018</v>
      </c>
      <c r="EQ400" s="875">
        <v>0.81372671148408993</v>
      </c>
      <c r="ER400" s="875">
        <v>1.008806317534269</v>
      </c>
      <c r="ES400" s="875">
        <v>0.92783244314432878</v>
      </c>
      <c r="ET400" s="875">
        <v>0.96837842080208902</v>
      </c>
      <c r="EU400" s="875">
        <v>1.1513333843865261</v>
      </c>
      <c r="EV400" s="875">
        <v>0.80386154372742236</v>
      </c>
      <c r="EW400" s="875">
        <v>0.98661162001889469</v>
      </c>
      <c r="EX400" s="875">
        <v>0.97477052785495966</v>
      </c>
      <c r="EY400" s="875">
        <v>1.0654347519208891</v>
      </c>
      <c r="EZ400" s="875">
        <v>1.027831656742018</v>
      </c>
      <c r="FA400" s="875">
        <v>0.81752030819804211</v>
      </c>
      <c r="FB400" s="875">
        <v>1.0075222902566781</v>
      </c>
      <c r="FC400" s="875">
        <v>0.92435544640067113</v>
      </c>
      <c r="FD400" s="875">
        <v>0.98379456709749968</v>
      </c>
      <c r="FE400" s="875">
        <v>1.160299314216555</v>
      </c>
      <c r="FF400" s="875">
        <v>0.81830489267270889</v>
      </c>
      <c r="FG400" s="875">
        <v>0.96094862357403943</v>
      </c>
      <c r="FH400" s="875">
        <v>0.9665485858583851</v>
      </c>
      <c r="FI400" s="875">
        <v>1.061937243926715</v>
      </c>
      <c r="FJ400" s="875">
        <v>1.002667745260271</v>
      </c>
      <c r="FK400" s="875">
        <v>0.78986960402940387</v>
      </c>
      <c r="FL400" s="875">
        <v>1.00442650753951</v>
      </c>
      <c r="FM400" s="875">
        <v>0.92435544640067113</v>
      </c>
      <c r="FN400" s="875">
        <v>0.98379456709749968</v>
      </c>
      <c r="FO400" s="875">
        <v>1.160299314216555</v>
      </c>
      <c r="FP400" s="875">
        <v>0.81830489267270889</v>
      </c>
      <c r="FQ400" s="875">
        <v>0.96094862357403943</v>
      </c>
      <c r="FR400" s="875">
        <v>0.9665485858583851</v>
      </c>
      <c r="FS400" s="875">
        <v>1.061937243926715</v>
      </c>
      <c r="FT400" s="875">
        <v>1.0069725571116339</v>
      </c>
      <c r="FU400" s="875">
        <v>0.78986960402940387</v>
      </c>
      <c r="FV400" s="875">
        <v>1.00442650753951</v>
      </c>
      <c r="FW400" s="875">
        <v>0.92478929697216461</v>
      </c>
      <c r="FX400" s="875">
        <v>0.98502169979844789</v>
      </c>
      <c r="FY400" s="875">
        <v>1.1602370496745369</v>
      </c>
      <c r="FZ400" s="875">
        <v>0.82223977492292799</v>
      </c>
      <c r="GA400" s="875">
        <v>0.96072206308212549</v>
      </c>
      <c r="GB400" s="875">
        <v>0.96572525869130132</v>
      </c>
      <c r="GC400" s="875">
        <v>1.061798037135941</v>
      </c>
      <c r="GD400" s="875">
        <v>1.02265520762076</v>
      </c>
      <c r="GE400" s="875">
        <v>0.81727818503317917</v>
      </c>
      <c r="GF400" s="875">
        <v>1.001123665110963</v>
      </c>
      <c r="GG400" s="875">
        <v>0.96771233726582195</v>
      </c>
      <c r="GH400" s="875">
        <v>0.97694047955196806</v>
      </c>
      <c r="GI400" s="875">
        <v>1.1494654575251979</v>
      </c>
      <c r="GJ400" s="875">
        <v>0.81043053598284864</v>
      </c>
      <c r="GK400" s="875">
        <v>0.96881673048183237</v>
      </c>
      <c r="GL400" s="875">
        <v>0.98260536568814894</v>
      </c>
      <c r="GM400" s="875">
        <v>1.0807305591227641</v>
      </c>
      <c r="GN400" s="875">
        <v>1.1910611821674111</v>
      </c>
      <c r="GO400" s="875">
        <v>0.85293804140470431</v>
      </c>
      <c r="GP400" s="875">
        <v>1.0181357173922549</v>
      </c>
      <c r="GQ400" s="875">
        <v>0.96728494455783964</v>
      </c>
      <c r="GR400" s="875">
        <v>0.97942515136252328</v>
      </c>
      <c r="GS400" s="875">
        <v>1.149559255615761</v>
      </c>
      <c r="GT400" s="875">
        <v>0.81586143716782344</v>
      </c>
      <c r="GU400" s="875">
        <v>0.96778354729878835</v>
      </c>
      <c r="GV400" s="875">
        <v>0.98111493957017193</v>
      </c>
      <c r="GW400" s="875">
        <v>1.0801816526108201</v>
      </c>
      <c r="GX400" s="875">
        <v>1.1908019132983181</v>
      </c>
      <c r="GY400" s="875">
        <v>0.85755593315385104</v>
      </c>
      <c r="GZ400" s="875">
        <v>1.015723933916262</v>
      </c>
      <c r="HA400" s="875">
        <v>0.96768871083147556</v>
      </c>
      <c r="HB400" s="875">
        <v>0.97216661065444354</v>
      </c>
      <c r="HC400" s="875">
        <v>1.1306275627210169</v>
      </c>
      <c r="HD400" s="875">
        <v>0.80555460115992561</v>
      </c>
      <c r="HE400" s="875">
        <v>0.97059801935325396</v>
      </c>
      <c r="HF400" s="875">
        <v>0.98392171843380249</v>
      </c>
      <c r="HG400" s="875">
        <v>1.0806499650698691</v>
      </c>
      <c r="HH400" s="875">
        <v>1.1891954465433039</v>
      </c>
      <c r="HI400" s="875">
        <v>0.8171594595818007</v>
      </c>
      <c r="HJ400" s="875">
        <v>1.015495087141278</v>
      </c>
      <c r="HK400" s="875">
        <v>0.96731316013752078</v>
      </c>
      <c r="HL400" s="875">
        <v>0.97694999566425744</v>
      </c>
      <c r="HM400" s="875">
        <v>1.1352880036406869</v>
      </c>
      <c r="HN400" s="875">
        <v>0.81415141142171321</v>
      </c>
      <c r="HO400" s="875">
        <v>0.96904936332740121</v>
      </c>
      <c r="HP400" s="875">
        <v>0.98181535584529123</v>
      </c>
      <c r="HQ400" s="875">
        <v>1.0796994819983179</v>
      </c>
      <c r="HR400" s="875">
        <v>1.188953064338403</v>
      </c>
      <c r="HS400" s="875">
        <v>0.82307147169806905</v>
      </c>
      <c r="HT400" s="875">
        <v>1.012436238774812</v>
      </c>
      <c r="HU400" s="875">
        <v>0.96620481194026864</v>
      </c>
      <c r="HV400" s="875">
        <v>0.9805797718610727</v>
      </c>
      <c r="HW400" s="875">
        <v>1.1364547589156579</v>
      </c>
      <c r="HX400" s="875">
        <v>0.81748822054632853</v>
      </c>
      <c r="HY400" s="875">
        <v>0.96943275605784784</v>
      </c>
      <c r="HZ400" s="875">
        <v>0.9798196428096233</v>
      </c>
      <c r="IA400" s="875">
        <v>1.078274878069023</v>
      </c>
      <c r="IB400" s="875">
        <v>1.1887440820757049</v>
      </c>
      <c r="IC400" s="875">
        <v>0.83331949765580215</v>
      </c>
      <c r="ID400" s="875">
        <v>1.009958895209448</v>
      </c>
      <c r="IE400" s="875">
        <v>0.96593148212817659</v>
      </c>
      <c r="IF400" s="875">
        <v>0.98286367413115627</v>
      </c>
      <c r="IG400" s="875">
        <v>1.1375367213020791</v>
      </c>
      <c r="IH400" s="875">
        <v>0.8231041202182463</v>
      </c>
      <c r="II400" s="875">
        <v>0.96936531708276008</v>
      </c>
      <c r="IJ400" s="875">
        <v>0.97875880291496098</v>
      </c>
      <c r="IK400" s="875">
        <v>1.0775333614326781</v>
      </c>
      <c r="IL400" s="875">
        <v>1.1882133140827451</v>
      </c>
      <c r="IM400" s="875">
        <v>0.83724973118716517</v>
      </c>
      <c r="IN400" s="875">
        <v>1.0085281045941239</v>
      </c>
      <c r="IO400" s="875">
        <v>0.96354591043688875</v>
      </c>
      <c r="IP400" s="875">
        <v>0.99934218617304926</v>
      </c>
      <c r="IQ400" s="875">
        <v>1.1426978351989601</v>
      </c>
      <c r="IR400" s="875">
        <v>0.84561062451464342</v>
      </c>
      <c r="IS400" s="875">
        <v>0.95697443650527825</v>
      </c>
      <c r="IT400" s="875">
        <v>0.9712108331556103</v>
      </c>
      <c r="IU400" s="875">
        <v>1.0757588679868111</v>
      </c>
      <c r="IV400" s="875">
        <v>1.178975795098824</v>
      </c>
      <c r="IW400" s="875">
        <v>0.83539058417582335</v>
      </c>
      <c r="IX400" s="875">
        <v>1.0012594956958949</v>
      </c>
      <c r="IY400" s="875">
        <v>0.96354591043688875</v>
      </c>
      <c r="IZ400" s="875">
        <v>0.99934218627391691</v>
      </c>
      <c r="JA400" s="875">
        <v>1.14269782825691</v>
      </c>
      <c r="JB400" s="875">
        <v>0.84561063129926173</v>
      </c>
      <c r="JC400" s="875">
        <v>0.95697443520967618</v>
      </c>
      <c r="JD400" s="875">
        <v>0.9712108331556103</v>
      </c>
      <c r="JE400" s="875">
        <v>1.0757588701517879</v>
      </c>
      <c r="JF400" s="875">
        <v>1.179929193166823</v>
      </c>
      <c r="JG400" s="875">
        <v>0.83539058417582335</v>
      </c>
      <c r="JH400" s="875">
        <v>1.0012594956958949</v>
      </c>
      <c r="JI400" s="875">
        <v>0.96334630032314661</v>
      </c>
      <c r="JJ400" s="875">
        <v>1.001342024592917</v>
      </c>
      <c r="JK400" s="875">
        <v>1.1415950288143699</v>
      </c>
      <c r="JL400" s="875">
        <v>0.84994498327112855</v>
      </c>
      <c r="JM400" s="875">
        <v>0.95707762049337886</v>
      </c>
      <c r="JN400" s="875">
        <v>0.97042981565079578</v>
      </c>
      <c r="JO400" s="875">
        <v>1.0743514042544979</v>
      </c>
      <c r="JP400" s="875">
        <v>1.1829174577387831</v>
      </c>
      <c r="JQ400" s="875">
        <v>0.86639165446175193</v>
      </c>
      <c r="JR400" s="875">
        <v>1.000287502253735</v>
      </c>
      <c r="JS400" s="875">
        <v>0.94352775511495912</v>
      </c>
      <c r="JT400" s="875">
        <v>0.97140030049651449</v>
      </c>
      <c r="JU400" s="875">
        <v>1.1588389458998389</v>
      </c>
      <c r="JV400" s="875">
        <v>0.80047857551707202</v>
      </c>
      <c r="JW400" s="875">
        <v>0.98954949878460718</v>
      </c>
      <c r="JX400" s="875">
        <v>0.98179585846804895</v>
      </c>
      <c r="JY400" s="875">
        <v>1.070291310775692</v>
      </c>
      <c r="JZ400" s="875">
        <v>1.2008797295283951</v>
      </c>
      <c r="KA400" s="875">
        <v>0.82640402237082222</v>
      </c>
      <c r="KB400" s="875">
        <v>1.0178114327677901</v>
      </c>
      <c r="KC400" s="875">
        <v>0.94338200022195728</v>
      </c>
      <c r="KD400" s="875">
        <v>0.97447455217651346</v>
      </c>
      <c r="KE400" s="875">
        <v>1.1599437253533209</v>
      </c>
      <c r="KF400" s="875">
        <v>0.80524716020920339</v>
      </c>
      <c r="KG400" s="875">
        <v>0.98876576460381527</v>
      </c>
      <c r="KH400" s="875">
        <v>0.98009291316012603</v>
      </c>
      <c r="KI400" s="875">
        <v>1.0695698001791061</v>
      </c>
      <c r="KJ400" s="875">
        <v>1.20057130531773</v>
      </c>
      <c r="KK400" s="875">
        <v>0.83012873803954068</v>
      </c>
      <c r="KL400" s="875">
        <v>1.0161396891473939</v>
      </c>
      <c r="KM400" s="875">
        <v>0.94342338324021258</v>
      </c>
      <c r="KN400" s="875">
        <v>0.9663764716939004</v>
      </c>
      <c r="KO400" s="875">
        <v>1.1402238125031221</v>
      </c>
      <c r="KP400" s="875">
        <v>0.79546181259180537</v>
      </c>
      <c r="KQ400" s="875">
        <v>0.99005526141619482</v>
      </c>
      <c r="KR400" s="875">
        <v>0.98335377196060969</v>
      </c>
      <c r="KS400" s="875">
        <v>1.069984597087547</v>
      </c>
      <c r="KT400" s="875">
        <v>1.199103462162693</v>
      </c>
      <c r="KU400" s="875">
        <v>0.78712025145314912</v>
      </c>
      <c r="KV400" s="875">
        <v>1.014836085038852</v>
      </c>
      <c r="KW400" s="875">
        <v>0.94348140842278361</v>
      </c>
      <c r="KX400" s="875">
        <v>0.97185638943832886</v>
      </c>
      <c r="KY400" s="875">
        <v>1.14411812304544</v>
      </c>
      <c r="KZ400" s="875">
        <v>0.80338654271075438</v>
      </c>
      <c r="LA400" s="875">
        <v>0.98910214935903273</v>
      </c>
      <c r="LB400" s="875">
        <v>0.98082261863342279</v>
      </c>
      <c r="LC400" s="875">
        <v>1.0689033250686699</v>
      </c>
      <c r="LD400" s="875">
        <v>1.198797165023094</v>
      </c>
      <c r="LE400" s="875">
        <v>0.79390554680614911</v>
      </c>
      <c r="LF400" s="875">
        <v>1.0127092443299091</v>
      </c>
      <c r="LG400" s="875">
        <v>0.94331449888822616</v>
      </c>
      <c r="LH400" s="875">
        <v>0.97639276153493659</v>
      </c>
      <c r="LI400" s="875">
        <v>1.1466367948233129</v>
      </c>
      <c r="LJ400" s="875">
        <v>0.80915503231956021</v>
      </c>
      <c r="LK400" s="875">
        <v>0.98853348140075592</v>
      </c>
      <c r="LL400" s="875">
        <v>0.978609477426017</v>
      </c>
      <c r="LM400" s="875">
        <v>1.06787851649583</v>
      </c>
      <c r="LN400" s="875">
        <v>1.1986027589385351</v>
      </c>
      <c r="LO400" s="875">
        <v>0.80262487708178509</v>
      </c>
      <c r="LP400" s="875">
        <v>1.010942437414315</v>
      </c>
      <c r="LQ400" s="875">
        <v>0.94330543801285582</v>
      </c>
      <c r="LR400" s="875">
        <v>0.97892892998772474</v>
      </c>
      <c r="LS400" s="875">
        <v>1.1479766673069389</v>
      </c>
      <c r="LT400" s="875">
        <v>0.81298794576752564</v>
      </c>
      <c r="LU400" s="875">
        <v>0.98799835142924353</v>
      </c>
      <c r="LV400" s="875">
        <v>0.97737105279083936</v>
      </c>
      <c r="LW400" s="875">
        <v>1.067314818543484</v>
      </c>
      <c r="LX400" s="875">
        <v>1.1982775709604621</v>
      </c>
      <c r="LY400" s="875">
        <v>0.80731719750363418</v>
      </c>
      <c r="LZ400" s="875">
        <v>1.00995525908399</v>
      </c>
      <c r="MA400" s="875">
        <v>0.94215433904980161</v>
      </c>
      <c r="MB400" s="875">
        <v>0.99534814429600948</v>
      </c>
      <c r="MC400" s="875">
        <v>1.159377465733626</v>
      </c>
      <c r="MD400" s="875">
        <v>0.83500253262671287</v>
      </c>
      <c r="ME400" s="875">
        <v>0.97820443380578626</v>
      </c>
      <c r="MF400" s="875">
        <v>0.96866281629283491</v>
      </c>
      <c r="MG400" s="875">
        <v>1.0639683355993581</v>
      </c>
      <c r="MH400" s="875">
        <v>1.1892464320815941</v>
      </c>
      <c r="MI400" s="875">
        <v>0.83630759767766849</v>
      </c>
      <c r="MJ400" s="875">
        <v>1.004994326420622</v>
      </c>
      <c r="MK400" s="875">
        <v>0.94215433904980161</v>
      </c>
      <c r="ML400" s="875">
        <v>0.99534814429600948</v>
      </c>
      <c r="MM400" s="875">
        <v>1.159377465733626</v>
      </c>
      <c r="MN400" s="875">
        <v>0.83500253262671287</v>
      </c>
      <c r="MO400" s="875">
        <v>0.97820443380578626</v>
      </c>
      <c r="MP400" s="875">
        <v>0.96866281629283491</v>
      </c>
      <c r="MQ400" s="875">
        <v>1.0639683355993581</v>
      </c>
      <c r="MR400" s="875">
        <v>1.190068832907565</v>
      </c>
      <c r="MS400" s="875">
        <v>0.83630759767766849</v>
      </c>
      <c r="MT400" s="875">
        <v>1.004994326420622</v>
      </c>
      <c r="MU400" s="875">
        <v>0.94211730842986952</v>
      </c>
      <c r="MV400" s="875">
        <v>0.99650878724118719</v>
      </c>
      <c r="MW400" s="875">
        <v>1.159972735041555</v>
      </c>
      <c r="MX400" s="875">
        <v>0.83639371393093598</v>
      </c>
      <c r="MY400" s="875">
        <v>0.97697185599636704</v>
      </c>
      <c r="MZ400" s="875">
        <v>0.96780431490336538</v>
      </c>
      <c r="NA400" s="875">
        <v>1.063383468092796</v>
      </c>
      <c r="NB400" s="875">
        <v>1.193066775497549</v>
      </c>
      <c r="NC400" s="875">
        <v>0.84653036643521451</v>
      </c>
      <c r="ND400" s="875">
        <v>1.0035072613516349</v>
      </c>
      <c r="NE400" s="875">
        <v>3.5614458858176318E-3</v>
      </c>
      <c r="NF400" s="875">
        <v>0.274619790767128</v>
      </c>
      <c r="NG400" s="875">
        <v>2.0187855836997819E-4</v>
      </c>
      <c r="NH400" s="875">
        <v>0.97201981254235392</v>
      </c>
      <c r="NI400" s="875">
        <v>1.5506890808867</v>
      </c>
      <c r="NJ400" s="875">
        <v>2</v>
      </c>
      <c r="NK400" s="875">
        <v>6.2350395548068586E-4</v>
      </c>
      <c r="NL400" s="875">
        <v>0.25443549218989042</v>
      </c>
      <c r="NM400" s="875">
        <v>0.65628084581305379</v>
      </c>
      <c r="NN400" s="875">
        <v>1.057276849665703</v>
      </c>
      <c r="NO400" s="875">
        <v>7.5520039331989253E-4</v>
      </c>
      <c r="NP400" s="875">
        <v>0.26465234269685212</v>
      </c>
      <c r="NQ400" s="875">
        <v>1.002825237883218E-4</v>
      </c>
      <c r="NR400" s="875">
        <v>0.98970036506448766</v>
      </c>
      <c r="NS400" s="875">
        <v>1.5189714416492459</v>
      </c>
      <c r="NT400" s="875">
        <v>1.9903373085911269E-4</v>
      </c>
      <c r="NU400" s="875">
        <v>4.6905197714791071E-4</v>
      </c>
      <c r="NV400" s="875">
        <v>0.24331488813919899</v>
      </c>
      <c r="NW400" s="875">
        <v>0.68282110784074901</v>
      </c>
      <c r="NX400" s="875">
        <v>1.117100876633534</v>
      </c>
      <c r="NY400" s="875">
        <v>5.4851650150793546E-3</v>
      </c>
      <c r="NZ400" s="875">
        <v>0.27529943216589953</v>
      </c>
      <c r="OA400" s="875">
        <v>1.127830406785112E-4</v>
      </c>
      <c r="OB400" s="875">
        <v>0.96072302588269476</v>
      </c>
      <c r="OC400" s="875">
        <v>3.143271369048573E-3</v>
      </c>
      <c r="OD400" s="875">
        <v>2.1966763280905271E-4</v>
      </c>
      <c r="OE400" s="875">
        <v>-1.358694087214229E-5</v>
      </c>
      <c r="OF400" s="875">
        <v>0.1843406041115484</v>
      </c>
      <c r="OG400" s="875">
        <v>0.64359981742117223</v>
      </c>
      <c r="OH400" s="875">
        <v>1.0416305781105899</v>
      </c>
      <c r="OI400" s="875">
        <v>1.2896243664396361E-3</v>
      </c>
      <c r="OJ400" s="875">
        <v>0.26810944410718701</v>
      </c>
      <c r="OK400" s="875">
        <v>9.9975945159873182E-5</v>
      </c>
      <c r="OL400" s="875">
        <v>0.95217737781107681</v>
      </c>
      <c r="OM400" s="875">
        <v>1.640303482155355</v>
      </c>
      <c r="ON400" s="875">
        <v>2</v>
      </c>
      <c r="OO400" s="875">
        <v>4.320745731921905E-4</v>
      </c>
      <c r="OP400" s="875">
        <v>0.22409282696574881</v>
      </c>
      <c r="OQ400" s="875">
        <v>0.7065592087662691</v>
      </c>
      <c r="OR400" s="875">
        <v>1.114282187914438</v>
      </c>
      <c r="OS400" s="875">
        <v>6.9352192428272263E-4</v>
      </c>
      <c r="OT400" s="875">
        <v>0.2696657325931297</v>
      </c>
      <c r="OU400" s="875">
        <v>1.049032671556765E-4</v>
      </c>
      <c r="OV400" s="875">
        <v>0.93761022026054941</v>
      </c>
      <c r="OW400" s="875">
        <v>8.3029518346056484E-6</v>
      </c>
      <c r="OX400" s="875">
        <v>2.2974936464295891E-4</v>
      </c>
      <c r="OY400" s="875">
        <v>3.8030060590053003E-4</v>
      </c>
      <c r="OZ400" s="875">
        <v>0.22567422918425831</v>
      </c>
      <c r="PA400" s="875">
        <v>0.4935990134132075</v>
      </c>
      <c r="PB400" s="875">
        <v>1.1715208151080201</v>
      </c>
      <c r="PC400" s="875">
        <v>4.6942397010891541E-4</v>
      </c>
      <c r="PD400" s="875">
        <v>0.2711917824520233</v>
      </c>
      <c r="PE400" s="875">
        <v>1.4266176594558209E-4</v>
      </c>
      <c r="PF400" s="875">
        <v>0.93961121065339714</v>
      </c>
      <c r="PG400" s="875">
        <v>1.5970849734408059</v>
      </c>
      <c r="PH400" s="875">
        <v>2.4503121624536969E-4</v>
      </c>
      <c r="PI400" s="875">
        <v>4.0864258274833968E-4</v>
      </c>
      <c r="PJ400" s="875">
        <v>0.2169395222163954</v>
      </c>
      <c r="PK400" s="875">
        <v>0.56937973197884029</v>
      </c>
      <c r="PL400" s="875">
        <v>1.20281928290136</v>
      </c>
      <c r="PM400" s="875">
        <v>1.9992059804659361E-4</v>
      </c>
      <c r="PN400" s="875">
        <v>0.25921703321770068</v>
      </c>
      <c r="PO400" s="875">
        <v>1.1231824439472361E-4</v>
      </c>
      <c r="PP400" s="875">
        <v>0.98715368046504193</v>
      </c>
      <c r="PQ400" s="875">
        <v>4.3034010893148452E-5</v>
      </c>
      <c r="PR400" s="875">
        <v>9.3248143974395163E-4</v>
      </c>
      <c r="PS400" s="875">
        <v>3.4859016734531888E-4</v>
      </c>
      <c r="PT400" s="875">
        <v>3.0502714095820028E-4</v>
      </c>
      <c r="PU400" s="875">
        <v>0.35114408722516749</v>
      </c>
      <c r="PV400" s="875">
        <v>1.120100965111271</v>
      </c>
      <c r="PW400" s="875">
        <v>2.0554879499725361E-4</v>
      </c>
      <c r="PX400" s="875">
        <v>0.25964338197389342</v>
      </c>
      <c r="PY400" s="875">
        <v>7.2708482599633266E-5</v>
      </c>
      <c r="PZ400" s="875">
        <v>0.98719978639107153</v>
      </c>
      <c r="QA400" s="875">
        <v>4.3034010893148452E-5</v>
      </c>
      <c r="QB400" s="875">
        <v>9.3248726612209969E-4</v>
      </c>
      <c r="QC400" s="875">
        <v>4.118462377969417E-4</v>
      </c>
      <c r="QD400" s="875">
        <v>3.0540028902799072E-4</v>
      </c>
      <c r="QE400" s="875">
        <v>0.35114408722516749</v>
      </c>
      <c r="QF400" s="875">
        <v>1.1200073724642139</v>
      </c>
      <c r="QG400" s="875">
        <v>2.6871047211957197E-4</v>
      </c>
      <c r="QH400" s="875">
        <v>0.24655501930321999</v>
      </c>
      <c r="QI400" s="875">
        <v>8.52633065547816E-5</v>
      </c>
      <c r="QJ400" s="875">
        <v>0.99152280819470351</v>
      </c>
      <c r="QK400" s="875">
        <v>-1.0301486862112281E-3</v>
      </c>
      <c r="QL400" s="875">
        <v>9.3527035747986806E-4</v>
      </c>
      <c r="QM400" s="875">
        <v>4.3238889871100608E-4</v>
      </c>
      <c r="QN400" s="875">
        <v>4.2096058578612952E-4</v>
      </c>
      <c r="QO400" s="875">
        <v>0.39248868016131672</v>
      </c>
      <c r="QP400" s="875">
        <v>1.1675834767063991</v>
      </c>
      <c r="QQ400" s="875">
        <v>0.29221574554372037</v>
      </c>
      <c r="QR400" s="875">
        <v>0.3598996160419537</v>
      </c>
      <c r="QS400" s="875">
        <v>5.3447555630565848E-5</v>
      </c>
      <c r="QT400" s="875">
        <v>1.0417180177004139</v>
      </c>
      <c r="QU400" s="875">
        <v>2.050946172502864E-4</v>
      </c>
      <c r="QV400" s="875">
        <v>1.3874620084065441E-4</v>
      </c>
      <c r="QW400" s="875">
        <v>2.4882461142345809E-3</v>
      </c>
      <c r="QX400" s="875">
        <v>0.68678866111578407</v>
      </c>
      <c r="QY400" s="875">
        <v>0.4097195281057</v>
      </c>
      <c r="QZ400" s="875">
        <v>1.416957432625173</v>
      </c>
      <c r="RA400" s="875">
        <v>0.28888214032628701</v>
      </c>
      <c r="RB400" s="875">
        <v>0.36313371689524832</v>
      </c>
      <c r="RC400" s="875">
        <v>5.5010248431595957E-5</v>
      </c>
      <c r="RD400" s="875">
        <v>1.0455205412778581</v>
      </c>
      <c r="RE400" s="875">
        <v>2.3280212489567339E-4</v>
      </c>
      <c r="RF400" s="875">
        <v>0.81097822374402251</v>
      </c>
      <c r="RG400" s="875">
        <v>2.570367464239802E-3</v>
      </c>
      <c r="RH400" s="875">
        <v>0.68463710442836434</v>
      </c>
      <c r="RI400" s="875">
        <v>0.41729537807652789</v>
      </c>
      <c r="RJ400" s="875">
        <v>1.4777241774464029</v>
      </c>
      <c r="RK400" s="875">
        <v>0.29504860850443282</v>
      </c>
      <c r="RL400" s="875">
        <v>0.36006906360997493</v>
      </c>
      <c r="RM400" s="875">
        <v>6.1326539731441928E-5</v>
      </c>
      <c r="RN400" s="875">
        <v>1.015083214099689</v>
      </c>
      <c r="RO400" s="875">
        <v>1.6819308297575869E-4</v>
      </c>
      <c r="RP400" s="875">
        <v>0.74368880506531998</v>
      </c>
      <c r="RQ400" s="875">
        <v>2.1248706892040749E-3</v>
      </c>
      <c r="RR400" s="875">
        <v>0.65335114760260027</v>
      </c>
      <c r="RS400" s="875">
        <v>0.39805310778799041</v>
      </c>
      <c r="RT400" s="875">
        <v>1.388974935937016</v>
      </c>
      <c r="RU400" s="875">
        <v>0.29406821375005487</v>
      </c>
      <c r="RV400" s="875">
        <v>0.36439001070902333</v>
      </c>
      <c r="RW400" s="875">
        <v>5.5555474143742158E-5</v>
      </c>
      <c r="RX400" s="875">
        <v>1.0091325597765031</v>
      </c>
      <c r="RY400" s="875">
        <v>-0.2577769106406147</v>
      </c>
      <c r="RZ400" s="875">
        <v>0.79841419044592332</v>
      </c>
      <c r="SA400" s="875">
        <v>2.6903427303768979E-3</v>
      </c>
      <c r="SB400" s="875">
        <v>0.66506206522610023</v>
      </c>
      <c r="SC400" s="875">
        <v>0.4318559837629819</v>
      </c>
      <c r="SD400" s="875">
        <v>1.4892549680036651</v>
      </c>
      <c r="SE400" s="875">
        <v>0.29371096907617328</v>
      </c>
      <c r="SF400" s="875">
        <v>0.37114687867453611</v>
      </c>
      <c r="SG400" s="875">
        <v>4.8115590823481152E-5</v>
      </c>
      <c r="SH400" s="875">
        <v>0.83170272482794816</v>
      </c>
      <c r="SI400" s="875">
        <v>2.3837223093816861E-4</v>
      </c>
      <c r="SJ400" s="875">
        <v>0.84619737237522752</v>
      </c>
      <c r="SK400" s="875">
        <v>2.5663384873527021E-3</v>
      </c>
      <c r="SL400" s="875">
        <v>0.65965743208197281</v>
      </c>
      <c r="SM400" s="875">
        <v>0.39244437408181948</v>
      </c>
      <c r="SN400" s="875">
        <v>2.879078239732529E-5</v>
      </c>
      <c r="SO400" s="875">
        <v>0.29435286857081627</v>
      </c>
      <c r="SP400" s="875">
        <v>0.37500579587872368</v>
      </c>
      <c r="SQ400" s="875">
        <v>4.6551574304125647E-5</v>
      </c>
      <c r="SR400" s="875">
        <v>1.01470074449776</v>
      </c>
      <c r="SS400" s="875">
        <v>2.7863447009618392E-4</v>
      </c>
      <c r="ST400" s="875">
        <v>-1.2920183912868441E-3</v>
      </c>
      <c r="SU400" s="875">
        <v>3.066182267599582E-3</v>
      </c>
      <c r="SV400" s="875">
        <v>0.65482723129168896</v>
      </c>
      <c r="SW400" s="875">
        <v>0.42976259112973891</v>
      </c>
      <c r="SX400" s="875">
        <v>1.9919023302181741E-5</v>
      </c>
      <c r="SY400" s="875">
        <v>0.2537833627390419</v>
      </c>
      <c r="SZ400" s="875">
        <v>0.35308423684553708</v>
      </c>
      <c r="TA400" s="875">
        <v>3.5940740015429338E-5</v>
      </c>
      <c r="TB400" s="875">
        <v>1.0595845105515951</v>
      </c>
      <c r="TC400" s="875">
        <v>0.50253481236465369</v>
      </c>
      <c r="TD400" s="875">
        <v>-2</v>
      </c>
      <c r="TE400" s="875">
        <v>8.3122395742524094E-4</v>
      </c>
      <c r="TF400" s="875">
        <v>0.46278616338774731</v>
      </c>
      <c r="TG400" s="875">
        <v>0.21296257042879321</v>
      </c>
      <c r="TH400" s="875">
        <v>1.7618391449554879E-5</v>
      </c>
      <c r="TI400" s="875">
        <v>0.2537833627390419</v>
      </c>
      <c r="TJ400" s="875">
        <v>0.35308423684553708</v>
      </c>
      <c r="TK400" s="875">
        <v>3.5940740015429338E-5</v>
      </c>
      <c r="TL400" s="875">
        <v>1.0595845105515951</v>
      </c>
      <c r="TM400" s="875">
        <v>0.50253481236465369</v>
      </c>
      <c r="TN400" s="875">
        <v>-2</v>
      </c>
      <c r="TO400" s="875">
        <v>8.3122395742524094E-4</v>
      </c>
      <c r="TP400" s="875">
        <v>0.46047650931161321</v>
      </c>
      <c r="TQ400" s="875">
        <v>0.21296257042879321</v>
      </c>
      <c r="TR400" s="875">
        <v>1.7618391449554879E-5</v>
      </c>
      <c r="TS400" s="875">
        <v>0.26260501239124479</v>
      </c>
      <c r="TT400" s="875">
        <v>0.36228896865411292</v>
      </c>
      <c r="TU400" s="875">
        <v>3.6444603201602713E-5</v>
      </c>
      <c r="TV400" s="875">
        <v>1.088702969531097</v>
      </c>
      <c r="TW400" s="875">
        <v>0.3997149421648506</v>
      </c>
      <c r="TX400" s="875">
        <v>0.88862256988676136</v>
      </c>
      <c r="TY400" s="875">
        <v>9.2719024732356445E-4</v>
      </c>
      <c r="TZ400" s="875">
        <v>0.46823127065142378</v>
      </c>
      <c r="UA400" s="875">
        <v>0.33626206731941261</v>
      </c>
      <c r="UB400" s="875">
        <v>1.6374988115218541</v>
      </c>
      <c r="UC400" s="875">
        <v>0.21152235889345339</v>
      </c>
      <c r="UD400" s="875">
        <v>0.4055848654002186</v>
      </c>
      <c r="UE400" s="875">
        <v>7.6496660763959018E-4</v>
      </c>
      <c r="UF400" s="875">
        <v>1.246184449734838</v>
      </c>
      <c r="UG400" s="875">
        <v>6.7534958277168115E-5</v>
      </c>
      <c r="UH400" s="875">
        <v>-3.21772485118899E-4</v>
      </c>
      <c r="UI400" s="875">
        <v>4.2345170464535572E-4</v>
      </c>
      <c r="UJ400" s="875">
        <v>-4.8391406162765659E-4</v>
      </c>
      <c r="UK400" s="875">
        <v>0.2405833020184143</v>
      </c>
      <c r="UL400" s="875">
        <v>4.5217812897579901E-6</v>
      </c>
      <c r="UM400" s="875">
        <v>0.21879471992602059</v>
      </c>
      <c r="UN400" s="875">
        <v>-3.1521243696959427E-5</v>
      </c>
      <c r="UO400" s="875">
        <v>6.8590460518144742E-5</v>
      </c>
      <c r="UP400" s="875">
        <v>1.313631500967142</v>
      </c>
      <c r="UQ400" s="875">
        <v>4.2301379034231221E-5</v>
      </c>
      <c r="UR400" s="875">
        <v>-3.5902593646842821E-4</v>
      </c>
      <c r="US400" s="875">
        <v>4.6893502942213278E-4</v>
      </c>
      <c r="UT400" s="875">
        <v>0.16999069232807781</v>
      </c>
      <c r="UU400" s="875">
        <v>0.22419294091431971</v>
      </c>
      <c r="UV400" s="875">
        <v>1.8373373390411469</v>
      </c>
      <c r="UW400" s="875">
        <v>0.2120281774929981</v>
      </c>
      <c r="UX400" s="875">
        <v>0.40406761939629238</v>
      </c>
      <c r="UY400" s="875">
        <v>4.5737893343856368E-5</v>
      </c>
      <c r="UZ400" s="875">
        <v>1.180663988282415</v>
      </c>
      <c r="VA400" s="875">
        <v>5.385339130854713E-5</v>
      </c>
      <c r="VB400" s="875">
        <v>-2.2384093780607699E-4</v>
      </c>
      <c r="VC400" s="875">
        <v>3.6482171158070808E-4</v>
      </c>
      <c r="VD400" s="875">
        <v>0.14282699780843519</v>
      </c>
      <c r="VE400" s="875">
        <v>0.38816900602141052</v>
      </c>
      <c r="VF400" s="875">
        <v>1.8530744323829069</v>
      </c>
      <c r="VG400" s="875">
        <v>0.2221282039897822</v>
      </c>
      <c r="VH400" s="875">
        <v>0.41186598748341008</v>
      </c>
      <c r="VI400" s="875">
        <v>4.3479390670573442E-5</v>
      </c>
      <c r="VJ400" s="875">
        <v>1.2420361909662749</v>
      </c>
      <c r="VK400" s="875">
        <v>4.5314082009128892E-5</v>
      </c>
      <c r="VL400" s="875">
        <v>-2.9084958917869859E-4</v>
      </c>
      <c r="VM400" s="875">
        <v>4.8240827951798941E-4</v>
      </c>
      <c r="VN400" s="875">
        <v>-5.1721826293239001E-4</v>
      </c>
      <c r="VO400" s="875">
        <v>0.27447341968777011</v>
      </c>
      <c r="VP400" s="875">
        <v>4.7964642608529631E-6</v>
      </c>
      <c r="VQ400" s="875">
        <v>0.2082563379519316</v>
      </c>
      <c r="VR400" s="875">
        <v>0.41148096520846378</v>
      </c>
      <c r="VS400" s="875">
        <v>1.2850887108827131E-4</v>
      </c>
      <c r="VT400" s="875">
        <v>1.2238754686499771</v>
      </c>
      <c r="VU400" s="875">
        <v>-0.45817355153895722</v>
      </c>
      <c r="VV400" s="875">
        <v>-3.4876353586610272E-4</v>
      </c>
      <c r="VW400" s="875">
        <v>3.7567924803400389E-4</v>
      </c>
      <c r="VX400" s="875">
        <v>9.873094740111743E-2</v>
      </c>
      <c r="VY400" s="875">
        <v>0.30100225711117551</v>
      </c>
      <c r="VZ400" s="875">
        <v>1.7669526037012799</v>
      </c>
      <c r="WA400" s="875">
        <v>0.2038964892452082</v>
      </c>
      <c r="WB400" s="875">
        <v>0.40225705839037912</v>
      </c>
      <c r="WC400" s="875">
        <v>1.465985343857328E-4</v>
      </c>
      <c r="WD400" s="875">
        <v>1.2526645334554061</v>
      </c>
      <c r="WE400" s="875">
        <v>-0.60704471517941183</v>
      </c>
      <c r="WF400" s="875">
        <v>-2.931377070337909E-4</v>
      </c>
      <c r="WG400" s="875">
        <v>4.1447065060438412E-4</v>
      </c>
      <c r="WH400" s="875">
        <v>-7.7366898088720613E-4</v>
      </c>
      <c r="WI400" s="875">
        <v>0.34692426319644298</v>
      </c>
      <c r="WJ400" s="875">
        <v>1.749130704407764</v>
      </c>
      <c r="WK400" s="875">
        <v>0.13936423886701041</v>
      </c>
      <c r="WL400" s="875">
        <v>0.37318996175209179</v>
      </c>
      <c r="WM400" s="875">
        <v>8.3042658899077683E-5</v>
      </c>
      <c r="WN400" s="875">
        <v>1.246581624538398</v>
      </c>
      <c r="WO400" s="875">
        <v>0.63242730745407572</v>
      </c>
      <c r="WP400" s="875">
        <v>-2.6481828728829471E-4</v>
      </c>
      <c r="WQ400" s="875">
        <v>4.6681392957727649E-4</v>
      </c>
      <c r="WR400" s="875">
        <v>1.8552456254637841E-4</v>
      </c>
      <c r="WS400" s="875">
        <v>0.31324400001136682</v>
      </c>
      <c r="WT400" s="875">
        <v>4.3598162960911687E-6</v>
      </c>
      <c r="WU400" s="875">
        <v>0.13949934436889019</v>
      </c>
      <c r="WV400" s="875">
        <v>0.37319952416188412</v>
      </c>
      <c r="WW400" s="875">
        <v>8.3042658899077683E-5</v>
      </c>
      <c r="WX400" s="875">
        <v>1.2464333728278389</v>
      </c>
      <c r="WY400" s="875">
        <v>0.63244666700663976</v>
      </c>
      <c r="WZ400" s="875">
        <v>-2.6481828728829471E-4</v>
      </c>
      <c r="XA400" s="875">
        <v>4.6681392957727649E-4</v>
      </c>
      <c r="XB400" s="875">
        <v>1.9693029241337869E-4</v>
      </c>
      <c r="XC400" s="875">
        <v>0.31324400001136682</v>
      </c>
      <c r="XD400" s="875">
        <v>4.2138331522038582E-6</v>
      </c>
      <c r="XE400" s="875">
        <v>0.151408171700922</v>
      </c>
      <c r="XF400" s="875">
        <v>0.37993778279098189</v>
      </c>
      <c r="XG400" s="875">
        <v>1.3779526342206589E-4</v>
      </c>
      <c r="XH400" s="875">
        <v>1.2291596860385601</v>
      </c>
      <c r="XI400" s="875">
        <v>0.39716264250419597</v>
      </c>
      <c r="XJ400" s="875">
        <v>-3.5287851834070531E-4</v>
      </c>
      <c r="XK400" s="875">
        <v>3.3442344594074601E-4</v>
      </c>
      <c r="XL400" s="875">
        <v>2.0108240021724731E-4</v>
      </c>
      <c r="XM400" s="875">
        <v>0.32581727798581639</v>
      </c>
      <c r="XN400" s="875">
        <v>1.486823728850996</v>
      </c>
      <c r="XO400" s="875">
        <v>0.57386412682355581</v>
      </c>
      <c r="XP400" s="875">
        <v>0.34101844348376009</v>
      </c>
      <c r="XQ400" s="875">
        <v>1.7811625623279019</v>
      </c>
      <c r="XR400" s="875">
        <v>0.79865022014363729</v>
      </c>
      <c r="XS400" s="875">
        <v>9.5971838449722107E-5</v>
      </c>
      <c r="XT400" s="875">
        <v>0.70070778604096706</v>
      </c>
      <c r="XU400" s="875">
        <v>3.0221375836275599E-2</v>
      </c>
      <c r="XV400" s="875">
        <v>0.39666783913174708</v>
      </c>
      <c r="XW400" s="875">
        <v>0.28189612499843641</v>
      </c>
      <c r="XX400" s="875">
        <v>-2.337320567901132E-5</v>
      </c>
      <c r="XY400" s="875">
        <v>0.56362455196251915</v>
      </c>
      <c r="XZ400" s="875">
        <v>0.34141450836419501</v>
      </c>
      <c r="YA400" s="875">
        <v>2</v>
      </c>
      <c r="YB400" s="875">
        <v>0.79613001184077581</v>
      </c>
      <c r="YC400" s="875">
        <v>1.0991975801877761E-4</v>
      </c>
      <c r="YD400" s="875">
        <v>0.6880354315621805</v>
      </c>
      <c r="YE400" s="875">
        <v>3.3324376077573763E-2</v>
      </c>
      <c r="YF400" s="875">
        <v>0.37298882171095121</v>
      </c>
      <c r="YG400" s="875">
        <v>0.30370245759275999</v>
      </c>
      <c r="YH400" s="875">
        <v>-2.1198855752810139E-5</v>
      </c>
      <c r="YI400" s="875">
        <v>0.59516343521056359</v>
      </c>
      <c r="YJ400" s="875">
        <v>0.34006170332130298</v>
      </c>
      <c r="YK400" s="875">
        <v>1.8808574786748511</v>
      </c>
      <c r="YL400" s="875">
        <v>0.79427052370599005</v>
      </c>
      <c r="YM400" s="875">
        <v>9.9164996914164475E-5</v>
      </c>
      <c r="YN400" s="875">
        <v>0.64993527504446402</v>
      </c>
      <c r="YO400" s="875">
        <v>2.60006901789261E-2</v>
      </c>
      <c r="YP400" s="875">
        <v>0.34161632317221868</v>
      </c>
      <c r="YQ400" s="875">
        <v>0.27265374593525071</v>
      </c>
      <c r="YR400" s="875">
        <v>-2.676500423910807E-5</v>
      </c>
      <c r="YS400" s="875">
        <v>0.5669177897198262</v>
      </c>
      <c r="YT400" s="875">
        <v>0.34411191344426451</v>
      </c>
      <c r="YU400" s="875">
        <v>2</v>
      </c>
      <c r="YV400" s="875">
        <v>0.76483548362228648</v>
      </c>
      <c r="YW400" s="875">
        <v>9.1590596485838108E-5</v>
      </c>
      <c r="YX400" s="875">
        <v>0.66007041407297706</v>
      </c>
      <c r="YY400" s="875">
        <v>3.6403695945835993E-2</v>
      </c>
      <c r="YZ400" s="875">
        <v>0.33570940068796362</v>
      </c>
      <c r="ZA400" s="875">
        <v>0.3312476362272565</v>
      </c>
      <c r="ZB400" s="875">
        <v>-2.4609503516965601E-5</v>
      </c>
      <c r="ZC400" s="875">
        <v>0.5494422081199184</v>
      </c>
      <c r="ZD400" s="875">
        <v>0.34125690252920171</v>
      </c>
      <c r="ZE400" s="875">
        <v>2</v>
      </c>
      <c r="ZF400" s="875">
        <v>0.75827647789463737</v>
      </c>
      <c r="ZG400" s="875">
        <v>1.066698231150783E-4</v>
      </c>
      <c r="ZH400" s="875">
        <v>0.62415990119808173</v>
      </c>
      <c r="ZI400" s="875">
        <v>4.136510447179375E-2</v>
      </c>
      <c r="ZJ400" s="875">
        <v>0.33175531307712308</v>
      </c>
      <c r="ZK400" s="875">
        <v>0.34643051485988219</v>
      </c>
      <c r="ZL400" s="875">
        <v>-1.401184230789435E-5</v>
      </c>
      <c r="ZM400" s="875">
        <v>0.53978325775579283</v>
      </c>
      <c r="ZN400" s="875">
        <v>0.33877406486678657</v>
      </c>
      <c r="ZO400" s="875">
        <v>2.541749945306033E-6</v>
      </c>
      <c r="ZP400" s="875">
        <v>0.764933420756294</v>
      </c>
      <c r="ZQ400" s="875">
        <v>1.107673322833504E-4</v>
      </c>
      <c r="ZR400" s="875">
        <v>0.58990447614158115</v>
      </c>
      <c r="ZS400" s="875">
        <v>5.059207580128184E-2</v>
      </c>
      <c r="ZT400" s="875">
        <v>0.32513118265317609</v>
      </c>
      <c r="ZU400" s="875">
        <v>0.3868872306424288</v>
      </c>
      <c r="ZV400" s="875">
        <v>-2.0462508373398521E-5</v>
      </c>
      <c r="ZW400" s="875">
        <v>0.45543849491214078</v>
      </c>
      <c r="ZX400" s="875">
        <v>0.33839000533866209</v>
      </c>
      <c r="ZY400" s="875">
        <v>1.9342250939480619E-6</v>
      </c>
      <c r="ZZ400" s="875">
        <v>0.99821416241036398</v>
      </c>
      <c r="AAA400" s="875">
        <v>0.38978171167279291</v>
      </c>
      <c r="AAB400" s="875">
        <v>0.43638041698359459</v>
      </c>
      <c r="AAC400" s="875">
        <v>2.666906423067621E-2</v>
      </c>
      <c r="AAD400" s="875">
        <v>0.17888962475580911</v>
      </c>
      <c r="AAE400" s="875">
        <v>1.8942469821261291E-4</v>
      </c>
      <c r="AAF400" s="875">
        <v>-1.3236730671823059E-5</v>
      </c>
      <c r="AAG400" s="875">
        <v>0.45543849491214078</v>
      </c>
      <c r="AAH400" s="875">
        <v>0.33839000533866209</v>
      </c>
      <c r="AAI400" s="875">
        <v>1.9342250939480619E-6</v>
      </c>
      <c r="AAJ400" s="875">
        <v>0.99821416241036398</v>
      </c>
      <c r="AAK400" s="875">
        <v>0.38978171167279291</v>
      </c>
      <c r="AAL400" s="875">
        <v>0.43638041698359459</v>
      </c>
      <c r="AAM400" s="875">
        <v>2.666906423067621E-2</v>
      </c>
      <c r="AAN400" s="875">
        <v>0.1760069835681054</v>
      </c>
      <c r="AAO400" s="875">
        <v>1.8942469821261291E-4</v>
      </c>
      <c r="AAP400" s="875">
        <v>-1.3236730671823059E-5</v>
      </c>
      <c r="AAQ400" s="875">
        <v>0.46022650929227821</v>
      </c>
      <c r="AAR400" s="875">
        <v>0.3354077305744026</v>
      </c>
      <c r="AAS400" s="875">
        <v>1.667235458892352E-5</v>
      </c>
      <c r="AAT400" s="875">
        <v>1.0047394928939331</v>
      </c>
      <c r="AAU400" s="875">
        <v>0.31945042596143169</v>
      </c>
      <c r="AAV400" s="875">
        <v>0.39229851927839998</v>
      </c>
      <c r="AAW400" s="875">
        <v>4.5047739840060753E-2</v>
      </c>
      <c r="AAX400" s="875">
        <v>0.16586213704359701</v>
      </c>
      <c r="AAY400" s="875">
        <v>8.1256373110340729E-2</v>
      </c>
      <c r="AAZ400" s="875">
        <v>1.3921612028630621</v>
      </c>
      <c r="ABA400" s="875">
        <v>1.0476195042300711</v>
      </c>
      <c r="ABB400" s="875">
        <v>1.0143398679250939</v>
      </c>
      <c r="ABC400" s="875">
        <v>1.1454317461105561</v>
      </c>
      <c r="ABD400" s="875">
        <v>0.80871579564734342</v>
      </c>
      <c r="ABE400" s="875">
        <v>0.93859775169487702</v>
      </c>
      <c r="ABF400" s="875">
        <v>0.92352449024095817</v>
      </c>
      <c r="ABG400" s="875">
        <v>1.115377344891747</v>
      </c>
      <c r="ABH400" s="875">
        <v>0.9929770519659491</v>
      </c>
      <c r="ABI400" s="875">
        <v>0.89416425199187533</v>
      </c>
      <c r="ABJ400" s="875">
        <v>1.0315238898839181</v>
      </c>
      <c r="ABK400" s="875">
        <v>1.0476195042300711</v>
      </c>
      <c r="ABL400" s="875">
        <v>1.0143398679250939</v>
      </c>
      <c r="ABM400" s="875">
        <v>1.1454317461105561</v>
      </c>
      <c r="ABN400" s="875">
        <v>0.80871579564734342</v>
      </c>
      <c r="ABO400" s="875">
        <v>0.93859775169487702</v>
      </c>
      <c r="ABP400" s="875">
        <v>0.92352449024095817</v>
      </c>
      <c r="ABQ400" s="875">
        <v>1.115377344891747</v>
      </c>
      <c r="ABR400" s="875">
        <v>0.9929770519659491</v>
      </c>
      <c r="ABS400" s="875">
        <v>0.89416425199187533</v>
      </c>
      <c r="ABT400" s="875">
        <v>1.0315238898839181</v>
      </c>
      <c r="ABU400" s="875">
        <v>1.0476195042300711</v>
      </c>
      <c r="ABV400" s="875">
        <v>1.0143398679250939</v>
      </c>
      <c r="ABW400" s="875">
        <v>1.1454317461105561</v>
      </c>
      <c r="ABX400" s="875">
        <v>0.80871579564734342</v>
      </c>
      <c r="ABY400" s="875">
        <v>0.93859775169487702</v>
      </c>
      <c r="ABZ400" s="875">
        <v>0.92352449024095817</v>
      </c>
      <c r="ACA400" s="875">
        <v>1.115377344891747</v>
      </c>
      <c r="ACB400" s="875">
        <v>0.9929770519659491</v>
      </c>
      <c r="ACC400" s="875">
        <v>0.89416425199187533</v>
      </c>
      <c r="ACD400" s="875">
        <v>1.0315238898839181</v>
      </c>
      <c r="ACE400" s="875">
        <v>1.0476195042300711</v>
      </c>
      <c r="ACF400" s="875">
        <v>1.0143398679250939</v>
      </c>
      <c r="ACG400" s="875">
        <v>1.1454317461105561</v>
      </c>
      <c r="ACH400" s="875">
        <v>0.80871579564734342</v>
      </c>
      <c r="ACI400" s="875">
        <v>0.93859775169487702</v>
      </c>
      <c r="ACJ400" s="875">
        <v>0.92352449024095817</v>
      </c>
      <c r="ACK400" s="875">
        <v>1.115377344891747</v>
      </c>
      <c r="ACL400" s="875">
        <v>0.9929770519659491</v>
      </c>
      <c r="ACM400" s="875">
        <v>0.89416425199187533</v>
      </c>
      <c r="ACN400" s="875">
        <v>1.0315238898839181</v>
      </c>
      <c r="ACO400" s="875">
        <v>1.0476195042300711</v>
      </c>
      <c r="ACP400" s="875">
        <v>1.0143398679250939</v>
      </c>
      <c r="ACQ400" s="875">
        <v>1.1454317461105561</v>
      </c>
      <c r="ACR400" s="875">
        <v>0.80871579564734342</v>
      </c>
      <c r="ACS400" s="875">
        <v>0.93859775169487702</v>
      </c>
      <c r="ACT400" s="875">
        <v>0.92352449024095817</v>
      </c>
      <c r="ACU400" s="875">
        <v>1.115377344891747</v>
      </c>
      <c r="ACV400" s="875">
        <v>0.9929770519659491</v>
      </c>
      <c r="ACW400" s="875">
        <v>0.89416425199187533</v>
      </c>
      <c r="ACX400" s="875">
        <v>1.0315238898839181</v>
      </c>
      <c r="ACY400" s="875">
        <v>1.0476195042300711</v>
      </c>
      <c r="ACZ400" s="875">
        <v>1.0143398679250939</v>
      </c>
      <c r="ADA400" s="875">
        <v>1.1454317461105561</v>
      </c>
      <c r="ADB400" s="875">
        <v>0.80871579564734342</v>
      </c>
      <c r="ADC400" s="875">
        <v>0.93859775169487702</v>
      </c>
      <c r="ADD400" s="875">
        <v>0.92352449024095817</v>
      </c>
      <c r="ADE400" s="875">
        <v>1.115377344891747</v>
      </c>
      <c r="ADF400" s="875">
        <v>0.9929770519659491</v>
      </c>
      <c r="ADG400" s="875">
        <v>0.89416425199187533</v>
      </c>
      <c r="ADH400" s="875">
        <v>1.0315238898839181</v>
      </c>
      <c r="ADI400" s="875">
        <v>1.0476195042300711</v>
      </c>
      <c r="ADJ400" s="875">
        <v>1.0143398679250939</v>
      </c>
      <c r="ADK400" s="875">
        <v>1.1454317461105561</v>
      </c>
      <c r="ADL400" s="875">
        <v>0.80871579564734342</v>
      </c>
      <c r="ADM400" s="875">
        <v>0.93859775169487702</v>
      </c>
      <c r="ADN400" s="875">
        <v>0.92352449024095817</v>
      </c>
      <c r="ADO400" s="875">
        <v>1.115377344891747</v>
      </c>
      <c r="ADP400" s="875">
        <v>0.9929770519659491</v>
      </c>
      <c r="ADQ400" s="875">
        <v>0.89416425199187533</v>
      </c>
      <c r="ADR400" s="875">
        <v>1.0315238898839181</v>
      </c>
      <c r="ADS400" s="875">
        <v>1.0476195042300711</v>
      </c>
      <c r="ADT400" s="875">
        <v>1.0143398679250939</v>
      </c>
      <c r="ADU400" s="875">
        <v>1.1454317461105561</v>
      </c>
      <c r="ADV400" s="875">
        <v>0.80871579564734342</v>
      </c>
      <c r="ADW400" s="875">
        <v>0.93859775169487702</v>
      </c>
      <c r="ADX400" s="875">
        <v>0.92352449024095817</v>
      </c>
      <c r="ADY400" s="875">
        <v>1.115377344891747</v>
      </c>
      <c r="ADZ400" s="875">
        <v>0.9929770519659491</v>
      </c>
      <c r="AEA400" s="875">
        <v>0.89416425199187533</v>
      </c>
      <c r="AEB400" s="875">
        <v>1.0315238898839181</v>
      </c>
      <c r="AEC400" s="875">
        <v>1.0476195042300711</v>
      </c>
      <c r="AED400" s="875">
        <v>1.0143398679250939</v>
      </c>
      <c r="AEE400" s="875">
        <v>1.1454317461105561</v>
      </c>
      <c r="AEF400" s="875">
        <v>0.80871579564734342</v>
      </c>
      <c r="AEG400" s="875">
        <v>0.93859775169487702</v>
      </c>
      <c r="AEH400" s="875">
        <v>0.92352449024095817</v>
      </c>
      <c r="AEI400" s="875">
        <v>1.115377344891747</v>
      </c>
      <c r="AEJ400" s="875">
        <v>0.9929770519659491</v>
      </c>
      <c r="AEK400" s="875">
        <v>0.89416425199187533</v>
      </c>
      <c r="AEL400" s="875">
        <v>1.0315238898839181</v>
      </c>
      <c r="AEM400" s="875">
        <v>0.96927103762771927</v>
      </c>
      <c r="AEN400" s="875">
        <v>0.98814943895716667</v>
      </c>
      <c r="AEO400" s="875">
        <v>1.1465480307089699</v>
      </c>
      <c r="AEP400" s="875">
        <v>0.78456391262925862</v>
      </c>
      <c r="AEQ400" s="875">
        <v>0.95083845708142734</v>
      </c>
      <c r="AER400" s="875">
        <v>0.94336951887065013</v>
      </c>
      <c r="AES400" s="875">
        <v>1.076890038391656</v>
      </c>
      <c r="AET400" s="875">
        <v>1.0001883236534179</v>
      </c>
      <c r="AEU400" s="875">
        <v>0.88321478277171328</v>
      </c>
      <c r="AEV400" s="875">
        <v>0.99274795088190892</v>
      </c>
      <c r="AEW400" s="875">
        <v>0.96927103762771927</v>
      </c>
      <c r="AEX400" s="875">
        <v>0.98814943895716667</v>
      </c>
      <c r="AEY400" s="875">
        <v>1.1465480307089699</v>
      </c>
      <c r="AEZ400" s="875">
        <v>0.78456391262925862</v>
      </c>
      <c r="AFA400" s="875">
        <v>0.95083845708142734</v>
      </c>
      <c r="AFB400" s="875">
        <v>0.94336951887065013</v>
      </c>
      <c r="AFC400" s="875">
        <v>1.076890038391656</v>
      </c>
      <c r="AFD400" s="875">
        <v>1.0001883236534179</v>
      </c>
      <c r="AFE400" s="875">
        <v>0.88321478277171328</v>
      </c>
      <c r="AFF400" s="875">
        <v>0.99274795088190892</v>
      </c>
      <c r="AFG400" s="875">
        <v>0.96927103762771927</v>
      </c>
      <c r="AFH400" s="875">
        <v>0.98814943895716667</v>
      </c>
      <c r="AFI400" s="875">
        <v>1.1465480307089699</v>
      </c>
      <c r="AFJ400" s="875">
        <v>0.78456391262925862</v>
      </c>
      <c r="AFK400" s="875">
        <v>0.95083845708142734</v>
      </c>
      <c r="AFL400" s="875">
        <v>0.94336951887065013</v>
      </c>
      <c r="AFM400" s="875">
        <v>1.076890038391656</v>
      </c>
      <c r="AFN400" s="875">
        <v>1.0001883236534179</v>
      </c>
      <c r="AFO400" s="875">
        <v>0.88321478277171328</v>
      </c>
      <c r="AFP400" s="875">
        <v>0.99274795088190892</v>
      </c>
      <c r="AFQ400" s="875">
        <v>0.96927103762771927</v>
      </c>
      <c r="AFR400" s="875">
        <v>0.98814943895716667</v>
      </c>
      <c r="AFS400" s="875">
        <v>1.1465480307089699</v>
      </c>
      <c r="AFT400" s="875">
        <v>0.78456391262925862</v>
      </c>
      <c r="AFU400" s="875">
        <v>0.95083845708142734</v>
      </c>
      <c r="AFV400" s="875">
        <v>0.94336951887065013</v>
      </c>
      <c r="AFW400" s="875">
        <v>1.076890038391656</v>
      </c>
      <c r="AFX400" s="875">
        <v>1.0001883236534179</v>
      </c>
      <c r="AFY400" s="875">
        <v>0.88321478277171328</v>
      </c>
      <c r="AFZ400" s="875">
        <v>0.99274795088190892</v>
      </c>
      <c r="AGA400" s="875">
        <v>0.96927103762771927</v>
      </c>
      <c r="AGB400" s="875">
        <v>0.98814943895716667</v>
      </c>
      <c r="AGC400" s="875">
        <v>1.1465480307089699</v>
      </c>
      <c r="AGD400" s="875">
        <v>0.78456391262925862</v>
      </c>
      <c r="AGE400" s="875">
        <v>0.95083845708142734</v>
      </c>
      <c r="AGF400" s="875">
        <v>0.94336951887065013</v>
      </c>
      <c r="AGG400" s="875">
        <v>1.076890038391656</v>
      </c>
      <c r="AGH400" s="875">
        <v>1.0001883236534179</v>
      </c>
      <c r="AGI400" s="875">
        <v>0.88321478277171328</v>
      </c>
      <c r="AGJ400" s="875">
        <v>0.99274795088190892</v>
      </c>
      <c r="AGK400" s="875">
        <v>0.96927103762771927</v>
      </c>
      <c r="AGL400" s="875">
        <v>0.98814943895716667</v>
      </c>
      <c r="AGM400" s="875">
        <v>1.1465480307089699</v>
      </c>
      <c r="AGN400" s="875">
        <v>0.78456391262925862</v>
      </c>
      <c r="AGO400" s="875">
        <v>0.95083845708142734</v>
      </c>
      <c r="AGP400" s="875">
        <v>0.94336951887065013</v>
      </c>
      <c r="AGQ400" s="875">
        <v>1.076890038391656</v>
      </c>
      <c r="AGR400" s="875">
        <v>1.0001883236534179</v>
      </c>
      <c r="AGS400" s="875">
        <v>0.88321478277171328</v>
      </c>
      <c r="AGT400" s="875">
        <v>0.99274795088190892</v>
      </c>
      <c r="AGU400" s="875">
        <v>0.96927103762771927</v>
      </c>
      <c r="AGV400" s="875">
        <v>0.98814943895716667</v>
      </c>
      <c r="AGW400" s="875">
        <v>1.1465480307089699</v>
      </c>
      <c r="AGX400" s="875">
        <v>0.78456391262925862</v>
      </c>
      <c r="AGY400" s="875">
        <v>0.95083845708142734</v>
      </c>
      <c r="AGZ400" s="875">
        <v>0.94336951887065013</v>
      </c>
      <c r="AHA400" s="875">
        <v>1.076890038391656</v>
      </c>
      <c r="AHB400" s="875">
        <v>1.0001883236534179</v>
      </c>
      <c r="AHC400" s="875">
        <v>0.88321478277171328</v>
      </c>
      <c r="AHD400" s="875">
        <v>0.99274795088190892</v>
      </c>
      <c r="AHE400" s="875">
        <v>0.96927103762771927</v>
      </c>
      <c r="AHF400" s="875">
        <v>0.98814943895716667</v>
      </c>
      <c r="AHG400" s="875">
        <v>1.1465480307089699</v>
      </c>
      <c r="AHH400" s="875">
        <v>0.78456391262925862</v>
      </c>
      <c r="AHI400" s="875">
        <v>0.95083845708142734</v>
      </c>
      <c r="AHJ400" s="875">
        <v>0.94336951887065013</v>
      </c>
      <c r="AHK400" s="875">
        <v>1.076890038391656</v>
      </c>
      <c r="AHL400" s="875">
        <v>1.0001883236534179</v>
      </c>
      <c r="AHM400" s="875">
        <v>0.88321478277171328</v>
      </c>
      <c r="AHN400" s="875">
        <v>0.99274795088190892</v>
      </c>
      <c r="AHO400" s="875">
        <v>0.96927103762771927</v>
      </c>
      <c r="AHP400" s="875">
        <v>0.98814943895716667</v>
      </c>
      <c r="AHQ400" s="875">
        <v>1.1465480307089699</v>
      </c>
      <c r="AHR400" s="875">
        <v>0.78456391262925862</v>
      </c>
      <c r="AHS400" s="875">
        <v>0.95083845708142734</v>
      </c>
      <c r="AHT400" s="875">
        <v>0.94336951887065013</v>
      </c>
      <c r="AHU400" s="875">
        <v>1.076890038391656</v>
      </c>
      <c r="AHV400" s="875">
        <v>1.0001883236534179</v>
      </c>
      <c r="AHW400" s="875">
        <v>0.88321478277171328</v>
      </c>
      <c r="AHX400" s="875">
        <v>0.99274795088190892</v>
      </c>
      <c r="AHY400" s="875">
        <v>1.05767195914404</v>
      </c>
      <c r="AHZ400" s="875">
        <v>1.0086655506577931</v>
      </c>
      <c r="AIA400" s="875">
        <v>1.100948430322426</v>
      </c>
      <c r="AIB400" s="875">
        <v>0.79774240434116828</v>
      </c>
      <c r="AIC400" s="875">
        <v>0.91013716746631657</v>
      </c>
      <c r="AID400" s="875">
        <v>0.93571604863540414</v>
      </c>
      <c r="AIE400" s="875">
        <v>1.1186542433244999</v>
      </c>
      <c r="AIF400" s="875">
        <v>1.110351419429952</v>
      </c>
      <c r="AIG400" s="875">
        <v>0.90213191391139069</v>
      </c>
      <c r="AIH400" s="875">
        <v>1.019185559275253</v>
      </c>
      <c r="AII400" s="875">
        <v>1.05767195914404</v>
      </c>
      <c r="AIJ400" s="875">
        <v>1.0086655506577931</v>
      </c>
      <c r="AIK400" s="875">
        <v>1.100948430322426</v>
      </c>
      <c r="AIL400" s="875">
        <v>0.79774240434116828</v>
      </c>
      <c r="AIM400" s="875">
        <v>0.91013716746631657</v>
      </c>
      <c r="AIN400" s="875">
        <v>0.93571604863540414</v>
      </c>
      <c r="AIO400" s="875">
        <v>1.1186542433244999</v>
      </c>
      <c r="AIP400" s="875">
        <v>1.110351419429952</v>
      </c>
      <c r="AIQ400" s="875">
        <v>0.90213191391139069</v>
      </c>
      <c r="AIR400" s="875">
        <v>1.019185559275253</v>
      </c>
      <c r="AIS400" s="875">
        <v>1.05767195914404</v>
      </c>
      <c r="AIT400" s="875">
        <v>1.0086655506577931</v>
      </c>
      <c r="AIU400" s="875">
        <v>1.100948430322426</v>
      </c>
      <c r="AIV400" s="875">
        <v>0.79774240434116828</v>
      </c>
      <c r="AIW400" s="875">
        <v>0.91013716746631657</v>
      </c>
      <c r="AIX400" s="875">
        <v>0.93571604863540414</v>
      </c>
      <c r="AIY400" s="875">
        <v>1.1186542433244999</v>
      </c>
      <c r="AIZ400" s="875">
        <v>1.110351419429952</v>
      </c>
      <c r="AJA400" s="875">
        <v>0.90213191391139069</v>
      </c>
      <c r="AJB400" s="875">
        <v>1.019185559275253</v>
      </c>
      <c r="AJC400" s="875">
        <v>1.05767195914404</v>
      </c>
      <c r="AJD400" s="875">
        <v>1.0086655506577931</v>
      </c>
      <c r="AJE400" s="875">
        <v>1.100948430322426</v>
      </c>
      <c r="AJF400" s="875">
        <v>0.79774240434116828</v>
      </c>
      <c r="AJG400" s="875">
        <v>0.91013716746631657</v>
      </c>
      <c r="AJH400" s="875">
        <v>0.93571604863540414</v>
      </c>
      <c r="AJI400" s="875">
        <v>1.1186542433244999</v>
      </c>
      <c r="AJJ400" s="875">
        <v>1.110351419429952</v>
      </c>
      <c r="AJK400" s="875">
        <v>0.90213191391139069</v>
      </c>
      <c r="AJL400" s="875">
        <v>1.019185559275253</v>
      </c>
      <c r="AJM400" s="875">
        <v>1.05767195914404</v>
      </c>
      <c r="AJN400" s="875">
        <v>1.0086655506577931</v>
      </c>
      <c r="AJO400" s="875">
        <v>1.100948430322426</v>
      </c>
      <c r="AJP400" s="875">
        <v>0.79774240434116828</v>
      </c>
      <c r="AJQ400" s="875">
        <v>0.91013716746631657</v>
      </c>
      <c r="AJR400" s="875">
        <v>0.93571604863540414</v>
      </c>
      <c r="AJS400" s="875">
        <v>1.1186542433244999</v>
      </c>
      <c r="AJT400" s="875">
        <v>1.110351419429952</v>
      </c>
      <c r="AJU400" s="875">
        <v>0.90213191391139069</v>
      </c>
      <c r="AJV400" s="875">
        <v>1.019185559275253</v>
      </c>
      <c r="AJW400" s="875">
        <v>1.05767195914404</v>
      </c>
      <c r="AJX400" s="875">
        <v>1.0086655506577931</v>
      </c>
      <c r="AJY400" s="875">
        <v>1.100948430322426</v>
      </c>
      <c r="AJZ400" s="875">
        <v>0.79774240434116828</v>
      </c>
      <c r="AKA400" s="875">
        <v>0.91013716746631657</v>
      </c>
      <c r="AKB400" s="875">
        <v>0.93571604863540414</v>
      </c>
      <c r="AKC400" s="875">
        <v>1.1186542433244999</v>
      </c>
      <c r="AKD400" s="875">
        <v>1.110351419429952</v>
      </c>
      <c r="AKE400" s="875">
        <v>0.90213191391139069</v>
      </c>
      <c r="AKF400" s="875">
        <v>1.019185559275253</v>
      </c>
      <c r="AKG400" s="875">
        <v>1.05767195914404</v>
      </c>
      <c r="AKH400" s="875">
        <v>1.0086655506577931</v>
      </c>
      <c r="AKI400" s="875">
        <v>1.100948430322426</v>
      </c>
      <c r="AKJ400" s="875">
        <v>0.79774240434116828</v>
      </c>
      <c r="AKK400" s="875">
        <v>0.91013716746631657</v>
      </c>
      <c r="AKL400" s="875">
        <v>0.93571604863540414</v>
      </c>
      <c r="AKM400" s="875">
        <v>1.1186542433244999</v>
      </c>
      <c r="AKN400" s="875">
        <v>1.110351419429952</v>
      </c>
      <c r="AKO400" s="875">
        <v>0.90213191391139069</v>
      </c>
      <c r="AKP400" s="875">
        <v>1.019185559275253</v>
      </c>
      <c r="AKQ400" s="875">
        <v>1.05767195914404</v>
      </c>
      <c r="AKR400" s="875">
        <v>1.0086655506577931</v>
      </c>
      <c r="AKS400" s="875">
        <v>1.100948430322426</v>
      </c>
      <c r="AKT400" s="875">
        <v>0.79774240434116828</v>
      </c>
      <c r="AKU400" s="875">
        <v>0.91013716746631657</v>
      </c>
      <c r="AKV400" s="875">
        <v>0.93571604863540414</v>
      </c>
      <c r="AKW400" s="875">
        <v>1.1186542433244999</v>
      </c>
      <c r="AKX400" s="875">
        <v>1.110351419429952</v>
      </c>
      <c r="AKY400" s="875">
        <v>0.90213191391139069</v>
      </c>
      <c r="AKZ400" s="875">
        <v>1.019185559275253</v>
      </c>
      <c r="ALA400" s="875">
        <v>1.05767195914404</v>
      </c>
      <c r="ALB400" s="875">
        <v>1.0086655506577931</v>
      </c>
      <c r="ALC400" s="875">
        <v>1.100948430322426</v>
      </c>
      <c r="ALD400" s="875">
        <v>0.79774240434116828</v>
      </c>
      <c r="ALE400" s="875">
        <v>0.91013716746631657</v>
      </c>
      <c r="ALF400" s="875">
        <v>0.93571604863540414</v>
      </c>
      <c r="ALG400" s="875">
        <v>1.1186542433244999</v>
      </c>
      <c r="ALH400" s="875">
        <v>1.110351419429952</v>
      </c>
      <c r="ALI400" s="875">
        <v>0.90213191391139069</v>
      </c>
      <c r="ALJ400" s="875">
        <v>1.019185559275253</v>
      </c>
      <c r="ALK400" s="875">
        <v>0.98053018827926941</v>
      </c>
      <c r="ALL400" s="875">
        <v>0.99577960569927693</v>
      </c>
      <c r="ALM400" s="875">
        <v>1.137908027032023</v>
      </c>
      <c r="ALN400" s="875">
        <v>0.78916908802565211</v>
      </c>
      <c r="ALO400" s="875">
        <v>0.94640891914460779</v>
      </c>
      <c r="ALP400" s="875">
        <v>0.94961640503782374</v>
      </c>
      <c r="ALQ400" s="875">
        <v>1.074610920060677</v>
      </c>
      <c r="ALR400" s="875">
        <v>1.1313788142211809</v>
      </c>
      <c r="ALS400" s="875">
        <v>0.87354186805766398</v>
      </c>
      <c r="ALT400" s="875">
        <v>0.99565167253586928</v>
      </c>
      <c r="ALU400" s="875">
        <v>0.98053018827926941</v>
      </c>
      <c r="ALV400" s="875">
        <v>0.99577960569927693</v>
      </c>
      <c r="ALW400" s="875">
        <v>1.137908027032023</v>
      </c>
      <c r="ALX400" s="875">
        <v>0.78916908802565211</v>
      </c>
      <c r="ALY400" s="875">
        <v>0.94640891914460779</v>
      </c>
      <c r="ALZ400" s="875">
        <v>0.94961640503782374</v>
      </c>
      <c r="AMA400" s="875">
        <v>1.074610920060677</v>
      </c>
      <c r="AMB400" s="875">
        <v>1.1313788142211809</v>
      </c>
      <c r="AMC400" s="875">
        <v>0.87354186805766398</v>
      </c>
      <c r="AMD400" s="875">
        <v>0.99565167253586928</v>
      </c>
      <c r="AME400" s="875">
        <v>0.98053018827926941</v>
      </c>
      <c r="AMF400" s="875">
        <v>0.99577960569927693</v>
      </c>
      <c r="AMG400" s="875">
        <v>1.137908027032023</v>
      </c>
      <c r="AMH400" s="875">
        <v>0.78916908802565211</v>
      </c>
      <c r="AMI400" s="875">
        <v>0.94640891914460779</v>
      </c>
      <c r="AMJ400" s="875">
        <v>0.94961640503782374</v>
      </c>
      <c r="AMK400" s="875">
        <v>1.074610920060677</v>
      </c>
      <c r="AML400" s="875">
        <v>1.1313788142211809</v>
      </c>
      <c r="AMM400" s="875">
        <v>0.87354186805766398</v>
      </c>
      <c r="AMN400" s="875">
        <v>0.99565167253586928</v>
      </c>
      <c r="AMO400" s="875">
        <v>0.98053018827926941</v>
      </c>
      <c r="AMP400" s="875">
        <v>0.99577960569927693</v>
      </c>
      <c r="AMQ400" s="875">
        <v>1.137908027032023</v>
      </c>
      <c r="AMR400" s="875">
        <v>0.78916908802565211</v>
      </c>
      <c r="AMS400" s="875">
        <v>0.94640891914460779</v>
      </c>
      <c r="AMT400" s="875">
        <v>0.94961640503782374</v>
      </c>
      <c r="AMU400" s="875">
        <v>1.074610920060677</v>
      </c>
      <c r="AMV400" s="875">
        <v>1.1313788142211809</v>
      </c>
      <c r="AMW400" s="875">
        <v>0.87354186805766398</v>
      </c>
      <c r="AMX400" s="875">
        <v>0.99565167253586928</v>
      </c>
      <c r="AMY400" s="875">
        <v>0.98053018827926941</v>
      </c>
      <c r="AMZ400" s="875">
        <v>0.99577960569927693</v>
      </c>
      <c r="ANA400" s="875">
        <v>1.137908027032023</v>
      </c>
      <c r="ANB400" s="875">
        <v>0.78916908802565211</v>
      </c>
      <c r="ANC400" s="875">
        <v>0.94640891914460779</v>
      </c>
      <c r="AND400" s="875">
        <v>0.94961640503782374</v>
      </c>
      <c r="ANE400" s="875">
        <v>1.074610920060677</v>
      </c>
      <c r="ANF400" s="875">
        <v>1.1313788142211809</v>
      </c>
      <c r="ANG400" s="875">
        <v>0.87354186805766398</v>
      </c>
      <c r="ANH400" s="875">
        <v>0.99565167253586928</v>
      </c>
      <c r="ANI400" s="875">
        <v>0.98053018827926941</v>
      </c>
      <c r="ANJ400" s="875">
        <v>0.99577960569927693</v>
      </c>
      <c r="ANK400" s="875">
        <v>1.137908027032023</v>
      </c>
      <c r="ANL400" s="875">
        <v>0.78916908802565211</v>
      </c>
      <c r="ANM400" s="875">
        <v>0.94640891914460779</v>
      </c>
      <c r="ANN400" s="875">
        <v>0.94961640503782374</v>
      </c>
      <c r="ANO400" s="875">
        <v>1.074610920060677</v>
      </c>
      <c r="ANP400" s="875">
        <v>1.1313788142211809</v>
      </c>
      <c r="ANQ400" s="875">
        <v>0.87354186805766398</v>
      </c>
      <c r="ANR400" s="875">
        <v>0.99565167253586928</v>
      </c>
      <c r="ANS400" s="875">
        <v>0.98053018827926941</v>
      </c>
      <c r="ANT400" s="875">
        <v>0.99577960569927693</v>
      </c>
      <c r="ANU400" s="875">
        <v>1.137908027032023</v>
      </c>
      <c r="ANV400" s="875">
        <v>0.78916908802565211</v>
      </c>
      <c r="ANW400" s="875">
        <v>0.94640891914460779</v>
      </c>
      <c r="ANX400" s="875">
        <v>0.94961640503782374</v>
      </c>
      <c r="ANY400" s="875">
        <v>1.074610920060677</v>
      </c>
      <c r="ANZ400" s="875">
        <v>1.1313788142211809</v>
      </c>
      <c r="AOA400" s="875">
        <v>0.87354186805766398</v>
      </c>
      <c r="AOB400" s="875">
        <v>0.99565167253586928</v>
      </c>
      <c r="AOC400" s="875">
        <v>0.98053018827926941</v>
      </c>
      <c r="AOD400" s="875">
        <v>0.99577960569927693</v>
      </c>
      <c r="AOE400" s="875">
        <v>1.137908027032023</v>
      </c>
      <c r="AOF400" s="875">
        <v>0.78916908802565211</v>
      </c>
      <c r="AOG400" s="875">
        <v>0.94640891914460779</v>
      </c>
      <c r="AOH400" s="875">
        <v>0.94961640503782374</v>
      </c>
      <c r="AOI400" s="875">
        <v>1.074610920060677</v>
      </c>
      <c r="AOJ400" s="875">
        <v>1.1313788142211809</v>
      </c>
      <c r="AOK400" s="875">
        <v>0.87354186805766398</v>
      </c>
      <c r="AOL400" s="875">
        <v>0.99565167253586928</v>
      </c>
      <c r="AOM400" s="875">
        <v>0.98053018827926941</v>
      </c>
      <c r="AON400" s="875">
        <v>0.99577960569927693</v>
      </c>
      <c r="AOO400" s="875">
        <v>1.137908027032023</v>
      </c>
      <c r="AOP400" s="875">
        <v>0.78916908802565211</v>
      </c>
      <c r="AOQ400" s="875">
        <v>0.94640891914460779</v>
      </c>
      <c r="AOR400" s="875">
        <v>0.94961640503782374</v>
      </c>
      <c r="AOS400" s="875">
        <v>1.074610920060677</v>
      </c>
      <c r="AOT400" s="875">
        <v>1.1313788142211809</v>
      </c>
      <c r="AOU400" s="875">
        <v>0.87354186805766398</v>
      </c>
      <c r="AOV400" s="875">
        <v>0.99565167253586928</v>
      </c>
      <c r="AOW400" s="887"/>
    </row>
    <row r="401" spans="2:1089" hidden="1">
      <c r="B401" s="1000" t="s">
        <v>1053</v>
      </c>
      <c r="C401" s="1000"/>
      <c r="D401" s="836"/>
      <c r="E401" s="892" t="s">
        <v>1039</v>
      </c>
      <c r="F401" s="462"/>
      <c r="G401" s="462" t="s">
        <v>65</v>
      </c>
      <c r="H401" s="462"/>
      <c r="I401" s="875"/>
      <c r="J401" s="875"/>
      <c r="K401" s="875"/>
      <c r="L401" s="875"/>
      <c r="M401" s="875"/>
      <c r="N401" s="875"/>
      <c r="O401" s="875"/>
      <c r="P401" s="875"/>
      <c r="Q401" s="875"/>
      <c r="R401" s="875"/>
      <c r="S401" s="875"/>
      <c r="T401" s="875"/>
      <c r="U401" s="875"/>
      <c r="V401" s="875"/>
      <c r="W401" s="875"/>
      <c r="X401" s="875"/>
      <c r="Y401" s="875"/>
      <c r="Z401" s="875"/>
      <c r="AA401" s="875"/>
      <c r="AB401" s="875"/>
      <c r="AC401" s="875"/>
      <c r="AD401" s="875"/>
      <c r="AE401" s="875"/>
      <c r="AF401" s="875"/>
      <c r="AG401" s="875"/>
      <c r="AH401" s="875"/>
      <c r="AI401" s="875"/>
      <c r="AJ401" s="875"/>
      <c r="AK401" s="875"/>
      <c r="AL401" s="875"/>
      <c r="AM401" s="875"/>
      <c r="AN401" s="875"/>
      <c r="AO401" s="875"/>
      <c r="AP401" s="875"/>
      <c r="AQ401" s="875"/>
      <c r="AR401" s="875"/>
      <c r="AS401" s="875"/>
      <c r="AT401" s="875"/>
      <c r="AU401" s="875"/>
      <c r="AV401" s="875"/>
      <c r="AW401" s="875"/>
      <c r="AX401" s="875"/>
      <c r="AY401" s="875"/>
      <c r="AZ401" s="875"/>
      <c r="BA401" s="875"/>
      <c r="BB401" s="875"/>
      <c r="BC401" s="875"/>
      <c r="BD401" s="875"/>
      <c r="BE401" s="875"/>
      <c r="BF401" s="875"/>
      <c r="BG401" s="875"/>
      <c r="BH401" s="875"/>
      <c r="BI401" s="875"/>
      <c r="BJ401" s="875"/>
      <c r="BK401" s="875"/>
      <c r="BL401" s="875"/>
      <c r="BM401" s="875"/>
      <c r="BN401" s="875"/>
      <c r="BO401" s="875"/>
      <c r="BP401" s="875"/>
      <c r="BQ401" s="875"/>
      <c r="BR401" s="875"/>
      <c r="BS401" s="875"/>
      <c r="BT401" s="875"/>
      <c r="BU401" s="875"/>
      <c r="BV401" s="875"/>
      <c r="BW401" s="875"/>
      <c r="BX401" s="875"/>
      <c r="BY401" s="875"/>
      <c r="BZ401" s="875"/>
      <c r="CA401" s="875"/>
      <c r="CB401" s="875"/>
      <c r="CC401" s="875"/>
      <c r="CD401" s="875"/>
      <c r="CE401" s="875"/>
      <c r="CF401" s="875"/>
      <c r="CG401" s="875"/>
      <c r="CH401" s="875"/>
      <c r="CI401" s="875"/>
      <c r="CJ401" s="875"/>
      <c r="CK401" s="875"/>
      <c r="CL401" s="875"/>
      <c r="CM401" s="875"/>
      <c r="CN401" s="875"/>
      <c r="CO401" s="875"/>
      <c r="CP401" s="875"/>
      <c r="CQ401" s="875"/>
      <c r="CR401" s="875"/>
      <c r="CS401" s="875"/>
      <c r="CT401" s="875"/>
      <c r="CU401" s="875"/>
      <c r="CV401" s="875"/>
      <c r="CW401" s="875"/>
      <c r="CX401" s="875"/>
      <c r="CY401" s="875"/>
      <c r="CZ401" s="875"/>
      <c r="DA401" s="875"/>
      <c r="DB401" s="875"/>
      <c r="DC401" s="875"/>
      <c r="DD401" s="875"/>
      <c r="DE401" s="875"/>
      <c r="DF401" s="875"/>
      <c r="DG401" s="875"/>
      <c r="DH401" s="875"/>
      <c r="DI401" s="875"/>
      <c r="DJ401" s="875"/>
      <c r="DK401" s="875"/>
      <c r="DL401" s="875"/>
      <c r="DM401" s="875"/>
      <c r="DN401" s="875"/>
      <c r="DO401" s="875"/>
      <c r="DP401" s="875"/>
      <c r="DQ401" s="875"/>
      <c r="DR401" s="875"/>
      <c r="DS401" s="875"/>
      <c r="DT401" s="875"/>
      <c r="DU401" s="875"/>
      <c r="DV401" s="875"/>
      <c r="DW401" s="875"/>
      <c r="DX401" s="875"/>
      <c r="DY401" s="875"/>
      <c r="DZ401" s="875"/>
      <c r="EA401" s="875"/>
      <c r="EB401" s="875"/>
      <c r="EC401" s="875"/>
      <c r="ED401" s="875"/>
      <c r="EE401" s="875"/>
      <c r="EF401" s="875"/>
      <c r="EG401" s="875"/>
      <c r="EH401" s="875"/>
      <c r="EI401" s="875"/>
      <c r="EJ401" s="875"/>
      <c r="EK401" s="875"/>
      <c r="EL401" s="875"/>
      <c r="EM401" s="875"/>
      <c r="EN401" s="875"/>
      <c r="EO401" s="875"/>
      <c r="EP401" s="875"/>
      <c r="EQ401" s="875"/>
      <c r="ER401" s="875"/>
      <c r="ES401" s="875"/>
      <c r="ET401" s="875"/>
      <c r="EU401" s="875"/>
      <c r="EV401" s="875"/>
      <c r="EW401" s="875"/>
      <c r="EX401" s="875"/>
      <c r="EY401" s="875"/>
      <c r="EZ401" s="875"/>
      <c r="FA401" s="875"/>
      <c r="FB401" s="875"/>
      <c r="FC401" s="875"/>
      <c r="FD401" s="875"/>
      <c r="FE401" s="875"/>
      <c r="FF401" s="875"/>
      <c r="FG401" s="875"/>
      <c r="FH401" s="875"/>
      <c r="FI401" s="875"/>
      <c r="FJ401" s="875"/>
      <c r="FK401" s="875"/>
      <c r="FL401" s="875"/>
      <c r="FM401" s="875"/>
      <c r="FN401" s="875"/>
      <c r="FO401" s="875"/>
      <c r="FP401" s="875"/>
      <c r="FQ401" s="875"/>
      <c r="FR401" s="875"/>
      <c r="FS401" s="875"/>
      <c r="FT401" s="875"/>
      <c r="FU401" s="875"/>
      <c r="FV401" s="875"/>
      <c r="FW401" s="875"/>
      <c r="FX401" s="875"/>
      <c r="FY401" s="875"/>
      <c r="FZ401" s="875"/>
      <c r="GA401" s="875"/>
      <c r="GB401" s="875"/>
      <c r="GC401" s="875"/>
      <c r="GD401" s="875"/>
      <c r="GE401" s="875"/>
      <c r="GF401" s="875"/>
      <c r="GG401" s="875"/>
      <c r="GH401" s="875"/>
      <c r="GI401" s="875"/>
      <c r="GJ401" s="875"/>
      <c r="GK401" s="875"/>
      <c r="GL401" s="875"/>
      <c r="GM401" s="875"/>
      <c r="GN401" s="875"/>
      <c r="GO401" s="875"/>
      <c r="GP401" s="875"/>
      <c r="GQ401" s="875"/>
      <c r="GR401" s="875"/>
      <c r="GS401" s="875"/>
      <c r="GT401" s="875"/>
      <c r="GU401" s="875"/>
      <c r="GV401" s="875"/>
      <c r="GW401" s="875"/>
      <c r="GX401" s="875"/>
      <c r="GY401" s="875"/>
      <c r="GZ401" s="875"/>
      <c r="HA401" s="875"/>
      <c r="HB401" s="875"/>
      <c r="HC401" s="875"/>
      <c r="HD401" s="875"/>
      <c r="HE401" s="875"/>
      <c r="HF401" s="875"/>
      <c r="HG401" s="875"/>
      <c r="HH401" s="875"/>
      <c r="HI401" s="875"/>
      <c r="HJ401" s="875"/>
      <c r="HK401" s="875"/>
      <c r="HL401" s="875"/>
      <c r="HM401" s="875"/>
      <c r="HN401" s="875"/>
      <c r="HO401" s="875"/>
      <c r="HP401" s="875"/>
      <c r="HQ401" s="875"/>
      <c r="HR401" s="875"/>
      <c r="HS401" s="875"/>
      <c r="HT401" s="875"/>
      <c r="HU401" s="875"/>
      <c r="HV401" s="875"/>
      <c r="HW401" s="875"/>
      <c r="HX401" s="875"/>
      <c r="HY401" s="875"/>
      <c r="HZ401" s="875"/>
      <c r="IA401" s="875"/>
      <c r="IB401" s="875"/>
      <c r="IC401" s="875"/>
      <c r="ID401" s="875"/>
      <c r="IE401" s="875"/>
      <c r="IF401" s="875"/>
      <c r="IG401" s="875"/>
      <c r="IH401" s="875"/>
      <c r="II401" s="875"/>
      <c r="IJ401" s="875"/>
      <c r="IK401" s="875"/>
      <c r="IL401" s="875"/>
      <c r="IM401" s="875"/>
      <c r="IN401" s="875"/>
      <c r="IO401" s="875"/>
      <c r="IP401" s="875"/>
      <c r="IQ401" s="875"/>
      <c r="IR401" s="875"/>
      <c r="IS401" s="875"/>
      <c r="IT401" s="875"/>
      <c r="IU401" s="875"/>
      <c r="IV401" s="875"/>
      <c r="IW401" s="875"/>
      <c r="IX401" s="875"/>
      <c r="IY401" s="875"/>
      <c r="IZ401" s="875"/>
      <c r="JA401" s="875"/>
      <c r="JB401" s="875"/>
      <c r="JC401" s="875"/>
      <c r="JD401" s="875"/>
      <c r="JE401" s="875"/>
      <c r="JF401" s="875"/>
      <c r="JG401" s="875"/>
      <c r="JH401" s="875"/>
      <c r="JI401" s="875"/>
      <c r="JJ401" s="875"/>
      <c r="JK401" s="875"/>
      <c r="JL401" s="875"/>
      <c r="JM401" s="875"/>
      <c r="JN401" s="875"/>
      <c r="JO401" s="875"/>
      <c r="JP401" s="875"/>
      <c r="JQ401" s="875"/>
      <c r="JR401" s="875"/>
      <c r="JS401" s="875"/>
      <c r="JT401" s="875"/>
      <c r="JU401" s="875"/>
      <c r="JV401" s="875"/>
      <c r="JW401" s="875"/>
      <c r="JX401" s="875"/>
      <c r="JY401" s="875"/>
      <c r="JZ401" s="875"/>
      <c r="KA401" s="875"/>
      <c r="KB401" s="875"/>
      <c r="KC401" s="875"/>
      <c r="KD401" s="875"/>
      <c r="KE401" s="875"/>
      <c r="KF401" s="875"/>
      <c r="KG401" s="875"/>
      <c r="KH401" s="875"/>
      <c r="KI401" s="875"/>
      <c r="KJ401" s="875"/>
      <c r="KK401" s="875"/>
      <c r="KL401" s="875"/>
      <c r="KM401" s="875"/>
      <c r="KN401" s="875"/>
      <c r="KO401" s="875"/>
      <c r="KP401" s="875"/>
      <c r="KQ401" s="875"/>
      <c r="KR401" s="875"/>
      <c r="KS401" s="875"/>
      <c r="KT401" s="875"/>
      <c r="KU401" s="875"/>
      <c r="KV401" s="875"/>
      <c r="KW401" s="875"/>
      <c r="KX401" s="875"/>
      <c r="KY401" s="875"/>
      <c r="KZ401" s="875"/>
      <c r="LA401" s="875"/>
      <c r="LB401" s="875"/>
      <c r="LC401" s="875"/>
      <c r="LD401" s="875"/>
      <c r="LE401" s="875"/>
      <c r="LF401" s="875"/>
      <c r="LG401" s="875"/>
      <c r="LH401" s="875"/>
      <c r="LI401" s="875"/>
      <c r="LJ401" s="875"/>
      <c r="LK401" s="875"/>
      <c r="LL401" s="875"/>
      <c r="LM401" s="875"/>
      <c r="LN401" s="875"/>
      <c r="LO401" s="875"/>
      <c r="LP401" s="875"/>
      <c r="LQ401" s="875"/>
      <c r="LR401" s="875"/>
      <c r="LS401" s="875"/>
      <c r="LT401" s="875"/>
      <c r="LU401" s="875"/>
      <c r="LV401" s="875"/>
      <c r="LW401" s="875"/>
      <c r="LX401" s="875"/>
      <c r="LY401" s="875"/>
      <c r="LZ401" s="875"/>
      <c r="MA401" s="875"/>
      <c r="MB401" s="875"/>
      <c r="MC401" s="875"/>
      <c r="MD401" s="875"/>
      <c r="ME401" s="875"/>
      <c r="MF401" s="875"/>
      <c r="MG401" s="875"/>
      <c r="MH401" s="875"/>
      <c r="MI401" s="875"/>
      <c r="MJ401" s="875"/>
      <c r="MK401" s="875"/>
      <c r="ML401" s="875"/>
      <c r="MM401" s="875"/>
      <c r="MN401" s="875"/>
      <c r="MO401" s="875"/>
      <c r="MP401" s="875"/>
      <c r="MQ401" s="875"/>
      <c r="MR401" s="875"/>
      <c r="MS401" s="875"/>
      <c r="MT401" s="875"/>
      <c r="MU401" s="875"/>
      <c r="MV401" s="875"/>
      <c r="MW401" s="875"/>
      <c r="MX401" s="875"/>
      <c r="MY401" s="875"/>
      <c r="MZ401" s="875"/>
      <c r="NA401" s="875"/>
      <c r="NB401" s="875"/>
      <c r="NC401" s="875"/>
      <c r="ND401" s="875"/>
      <c r="NE401" s="875">
        <v>6.6358044738533579E-4</v>
      </c>
      <c r="NF401" s="875">
        <v>-0.52389321248011456</v>
      </c>
      <c r="NG401" s="875">
        <v>5.1206782318174906E-4</v>
      </c>
      <c r="NH401" s="875">
        <v>-1.494361722081896E-5</v>
      </c>
      <c r="NI401" s="875">
        <v>-1.6156134655221858E-2</v>
      </c>
      <c r="NJ401" s="875">
        <v>5.258903170033526E-4</v>
      </c>
      <c r="NK401" s="875">
        <v>-0.46061983599942458</v>
      </c>
      <c r="NL401" s="875">
        <v>0.22029925526396649</v>
      </c>
      <c r="NM401" s="875">
        <v>2.2511486688161429E-4</v>
      </c>
      <c r="NN401" s="875">
        <v>-0.73563706530536122</v>
      </c>
      <c r="NO401" s="875">
        <v>3.8762266313097668E-4</v>
      </c>
      <c r="NP401" s="875">
        <v>-0.52428335526921754</v>
      </c>
      <c r="NQ401" s="875">
        <v>3.24639044407398E-4</v>
      </c>
      <c r="NR401" s="875">
        <v>-3.0590853574298147E-5</v>
      </c>
      <c r="NS401" s="875">
        <v>-2.0714373505103981E-2</v>
      </c>
      <c r="NT401" s="875">
        <v>8.8950050293260853E-4</v>
      </c>
      <c r="NU401" s="875">
        <v>-0.46033808686106192</v>
      </c>
      <c r="NV401" s="875">
        <v>0.2516959919026408</v>
      </c>
      <c r="NW401" s="875">
        <v>1.666770582940525E-4</v>
      </c>
      <c r="NX401" s="875">
        <v>-0.73940328135147615</v>
      </c>
      <c r="NY401" s="875">
        <v>8.5020498921742696E-4</v>
      </c>
      <c r="NZ401" s="875">
        <v>-0.53839177126166293</v>
      </c>
      <c r="OA401" s="875">
        <v>2.916928918886727E-4</v>
      </c>
      <c r="OB401" s="875">
        <v>-2.0713061487690082E-5</v>
      </c>
      <c r="OC401" s="875">
        <v>-1.841518334284177E-2</v>
      </c>
      <c r="OD401" s="875">
        <v>1.2376361105902139E-3</v>
      </c>
      <c r="OE401" s="875">
        <v>-0.47101701015846481</v>
      </c>
      <c r="OF401" s="875">
        <v>0.24455098176088591</v>
      </c>
      <c r="OG401" s="875">
        <v>2.429382202463868E-4</v>
      </c>
      <c r="OH401" s="875">
        <v>-0.7388096237923536</v>
      </c>
      <c r="OI401" s="875">
        <v>5.0665624611600677E-4</v>
      </c>
      <c r="OJ401" s="875">
        <v>-0.51750789115282647</v>
      </c>
      <c r="OK401" s="875">
        <v>2.9816919783665243E-4</v>
      </c>
      <c r="OL401" s="875">
        <v>-3.9083509093321412E-5</v>
      </c>
      <c r="OM401" s="875">
        <v>-1.2602449060796659E-2</v>
      </c>
      <c r="ON401" s="875">
        <v>5.1050000441912782E-4</v>
      </c>
      <c r="OO401" s="875">
        <v>-0.45576333308489592</v>
      </c>
      <c r="OP401" s="875">
        <v>0.22511006915646259</v>
      </c>
      <c r="OQ401" s="875">
        <v>2.5856507123390911E-4</v>
      </c>
      <c r="OR401" s="875">
        <v>-0.71476058630916894</v>
      </c>
      <c r="OS401" s="875">
        <v>3.3452292012688318E-4</v>
      </c>
      <c r="OT401" s="875">
        <v>-0.49037854871539038</v>
      </c>
      <c r="OU401" s="875">
        <v>3.0399997792534671E-4</v>
      </c>
      <c r="OV401" s="875">
        <v>-6.7592533757624375E-5</v>
      </c>
      <c r="OW401" s="875">
        <v>-1.7883343684950851E-4</v>
      </c>
      <c r="OX401" s="875">
        <v>8.664835438942528E-4</v>
      </c>
      <c r="OY401" s="875">
        <v>-0.47370590777536609</v>
      </c>
      <c r="OZ401" s="875">
        <v>0.2286739350173555</v>
      </c>
      <c r="PA401" s="875">
        <v>2.2026189226103529E-4</v>
      </c>
      <c r="PB401" s="875">
        <v>-0.73126458399820282</v>
      </c>
      <c r="PC401" s="875">
        <v>2.695876976583868E-4</v>
      </c>
      <c r="PD401" s="875">
        <v>-0.47141673536188572</v>
      </c>
      <c r="PE401" s="875">
        <v>3.8193355979577309E-4</v>
      </c>
      <c r="PF401" s="875">
        <v>-9.4874516702054976E-5</v>
      </c>
      <c r="PG401" s="875">
        <v>-2.282868990053313E-4</v>
      </c>
      <c r="PH401" s="875">
        <v>8.5770688323403329E-4</v>
      </c>
      <c r="PI401" s="875">
        <v>-0.46456129107213462</v>
      </c>
      <c r="PJ401" s="875">
        <v>0.21899931576666201</v>
      </c>
      <c r="PK401" s="875">
        <v>2.9225473921454319E-4</v>
      </c>
      <c r="PL401" s="875">
        <v>-0.71559862733559532</v>
      </c>
      <c r="PM401" s="875">
        <v>2.030166091826732E-4</v>
      </c>
      <c r="PN401" s="875">
        <v>-0.47045837203179519</v>
      </c>
      <c r="PO401" s="875">
        <v>4.543369865718488E-4</v>
      </c>
      <c r="PP401" s="875">
        <v>-1.205224806337077E-4</v>
      </c>
      <c r="PQ401" s="875">
        <v>-2.3300088399080959E-4</v>
      </c>
      <c r="PR401" s="875">
        <v>-0.10440147833377619</v>
      </c>
      <c r="PS401" s="875">
        <v>-0.46571867466766842</v>
      </c>
      <c r="PT401" s="875">
        <v>0.32798074823559059</v>
      </c>
      <c r="PU401" s="875">
        <v>-2.708355969995283E-4</v>
      </c>
      <c r="PV401" s="875">
        <v>-0.64232313008936426</v>
      </c>
      <c r="PW401" s="875">
        <v>1.9261849979217309E-4</v>
      </c>
      <c r="PX401" s="875">
        <v>-0.47053764786321972</v>
      </c>
      <c r="PY401" s="875">
        <v>2.8551473788675772E-4</v>
      </c>
      <c r="PZ401" s="875">
        <v>-7.5114647793321588E-5</v>
      </c>
      <c r="QA401" s="875">
        <v>-2.3300088399080959E-4</v>
      </c>
      <c r="QB401" s="875">
        <v>-0.1044029742124718</v>
      </c>
      <c r="QC401" s="875">
        <v>-0.46569265638876273</v>
      </c>
      <c r="QD401" s="875">
        <v>0.32736617059872941</v>
      </c>
      <c r="QE401" s="875">
        <v>-2.708355969995283E-4</v>
      </c>
      <c r="QF401" s="875">
        <v>-0.64231915003860351</v>
      </c>
      <c r="QG401" s="875">
        <v>2.309381841074671E-4</v>
      </c>
      <c r="QH401" s="875">
        <v>-0.4385885636000087</v>
      </c>
      <c r="QI401" s="875">
        <v>2.9463340208929338E-4</v>
      </c>
      <c r="QJ401" s="875">
        <v>-1.443425490922048E-4</v>
      </c>
      <c r="QK401" s="875">
        <v>-8.5554649884372804E-4</v>
      </c>
      <c r="QL401" s="875">
        <v>-0.1016424248266862</v>
      </c>
      <c r="QM401" s="875">
        <v>-0.4601909308679884</v>
      </c>
      <c r="QN401" s="875">
        <v>0.30235470383705682</v>
      </c>
      <c r="QO401" s="875">
        <v>-1.8311884577678871E-4</v>
      </c>
      <c r="QP401" s="875">
        <v>-0.61654377922007975</v>
      </c>
      <c r="QQ401" s="875">
        <v>1.2037061231767041E-4</v>
      </c>
      <c r="QR401" s="875">
        <v>-0.50875700306882565</v>
      </c>
      <c r="QS401" s="875">
        <v>1.8610399503764409E-4</v>
      </c>
      <c r="QT401" s="875">
        <v>-8.5060563619027916E-5</v>
      </c>
      <c r="QU401" s="875">
        <v>1.6508196044618759</v>
      </c>
      <c r="QV401" s="875">
        <v>4.8204398113018971E-4</v>
      </c>
      <c r="QW401" s="875">
        <v>-0.74095562433787576</v>
      </c>
      <c r="QX401" s="875">
        <v>0.12626658714418501</v>
      </c>
      <c r="QY401" s="875">
        <v>2.8729222816979591E-4</v>
      </c>
      <c r="QZ401" s="875">
        <v>-0.9598287922647013</v>
      </c>
      <c r="RA401" s="875">
        <v>1.2294711504557681E-4</v>
      </c>
      <c r="RB401" s="875">
        <v>-0.50016903676717117</v>
      </c>
      <c r="RC401" s="875">
        <v>2.1944187682502319E-4</v>
      </c>
      <c r="RD401" s="875">
        <v>-9.7694990006573103E-5</v>
      </c>
      <c r="RE401" s="875">
        <v>1.521617654156006</v>
      </c>
      <c r="RF401" s="875">
        <v>1.04033227823092E-3</v>
      </c>
      <c r="RG401" s="875">
        <v>-0.73684956602358964</v>
      </c>
      <c r="RH401" s="875">
        <v>9.0233271554346378E-2</v>
      </c>
      <c r="RI401" s="875">
        <v>2.8108557874501961E-4</v>
      </c>
      <c r="RJ401" s="875">
        <v>-0.93925444672795866</v>
      </c>
      <c r="RK401" s="875">
        <v>1.0754583438968969E-4</v>
      </c>
      <c r="RL401" s="875">
        <v>-0.5184671898893255</v>
      </c>
      <c r="RM401" s="875">
        <v>2.1344529037094459E-4</v>
      </c>
      <c r="RN401" s="875">
        <v>-1.1861932306680659E-4</v>
      </c>
      <c r="RO401" s="875">
        <v>1.598095309329987</v>
      </c>
      <c r="RP401" s="875">
        <v>5.8074484088199024E-4</v>
      </c>
      <c r="RQ401" s="875">
        <v>-0.7505281694707262</v>
      </c>
      <c r="RR401" s="875">
        <v>5.7902550740025732E-2</v>
      </c>
      <c r="RS401" s="875">
        <v>3.2522101850022983E-4</v>
      </c>
      <c r="RT401" s="875">
        <v>-0.96869769100483705</v>
      </c>
      <c r="RU401" s="875">
        <v>1.3200104984187181E-4</v>
      </c>
      <c r="RV401" s="875">
        <v>-0.50047418584046921</v>
      </c>
      <c r="RW401" s="875">
        <v>1.90728538031875E-4</v>
      </c>
      <c r="RX401" s="875">
        <v>-9.3249945696757965E-5</v>
      </c>
      <c r="RY401" s="875">
        <v>1.485549966618956</v>
      </c>
      <c r="RZ401" s="875">
        <v>8.5003059475544139E-4</v>
      </c>
      <c r="SA401" s="875">
        <v>-0.73955664369265861</v>
      </c>
      <c r="SB401" s="875">
        <v>5.2077150668476263E-2</v>
      </c>
      <c r="SC401" s="875">
        <v>3.1860278124146027E-4</v>
      </c>
      <c r="SD401" s="875">
        <v>-0.93491288667923578</v>
      </c>
      <c r="SE401" s="875">
        <v>1.4840276044966841E-4</v>
      </c>
      <c r="SF401" s="875">
        <v>-0.48642860066042498</v>
      </c>
      <c r="SG401" s="875">
        <v>1.6799430448556049E-4</v>
      </c>
      <c r="SH401" s="875">
        <v>2</v>
      </c>
      <c r="SI401" s="875">
        <v>1.033828938313184</v>
      </c>
      <c r="SJ401" s="875">
        <v>1.9502560828734341E-3</v>
      </c>
      <c r="SK401" s="875">
        <v>-0.73456105679500749</v>
      </c>
      <c r="SL401" s="875">
        <v>5.2918853647966967E-2</v>
      </c>
      <c r="SM401" s="875">
        <v>2.7984541154356152E-4</v>
      </c>
      <c r="SN401" s="875">
        <v>-0.951600829671433</v>
      </c>
      <c r="SO401" s="875">
        <v>1.3275974820538329E-4</v>
      </c>
      <c r="SP401" s="875">
        <v>-0.47538902267036209</v>
      </c>
      <c r="SQ401" s="875">
        <v>1.621539231974781E-4</v>
      </c>
      <c r="SR401" s="875">
        <v>-1.005361977387574E-4</v>
      </c>
      <c r="SS401" s="875">
        <v>0.86038821016569511</v>
      </c>
      <c r="ST401" s="875">
        <v>1.717307180664711E-3</v>
      </c>
      <c r="SU401" s="875">
        <v>-0.72914997137131554</v>
      </c>
      <c r="SV401" s="875">
        <v>5.2304048961253652E-2</v>
      </c>
      <c r="SW401" s="875">
        <v>2.1865350843946991E-4</v>
      </c>
      <c r="SX401" s="875">
        <v>-0.93532468842469485</v>
      </c>
      <c r="SY401" s="875">
        <v>1.0756900852753459E-4</v>
      </c>
      <c r="SZ401" s="875">
        <v>-0.49490494561710968</v>
      </c>
      <c r="TA401" s="875">
        <v>1.5669277924293401E-4</v>
      </c>
      <c r="TB401" s="875">
        <v>-7.3989924841344864E-5</v>
      </c>
      <c r="TC401" s="875">
        <v>0.2166952771251566</v>
      </c>
      <c r="TD401" s="875">
        <v>1.916647329781772E-4</v>
      </c>
      <c r="TE401" s="875">
        <v>-0.72175431132972678</v>
      </c>
      <c r="TF401" s="875">
        <v>5.5162597885129096E-4</v>
      </c>
      <c r="TG401" s="875">
        <v>-8.3917341338092431E-6</v>
      </c>
      <c r="TH401" s="875">
        <v>-0.85578114589662913</v>
      </c>
      <c r="TI401" s="875">
        <v>1.0756900852753459E-4</v>
      </c>
      <c r="TJ401" s="875">
        <v>-0.49490494561710968</v>
      </c>
      <c r="TK401" s="875">
        <v>1.5669277924293401E-4</v>
      </c>
      <c r="TL401" s="875">
        <v>-7.3989924841344864E-5</v>
      </c>
      <c r="TM401" s="875">
        <v>0.2166952771251566</v>
      </c>
      <c r="TN401" s="875">
        <v>1.916647329781772E-4</v>
      </c>
      <c r="TO401" s="875">
        <v>-0.72175431132972678</v>
      </c>
      <c r="TP401" s="875">
        <v>3.7637684675465309E-4</v>
      </c>
      <c r="TQ401" s="875">
        <v>-8.3917341338092431E-6</v>
      </c>
      <c r="TR401" s="875">
        <v>-0.85578114589662913</v>
      </c>
      <c r="TS401" s="875">
        <v>1.125604197642569E-4</v>
      </c>
      <c r="TT401" s="875">
        <v>-0.47140100959493741</v>
      </c>
      <c r="TU401" s="875">
        <v>1.521466504717783E-4</v>
      </c>
      <c r="TV401" s="875">
        <v>-9.3322182017085674E-5</v>
      </c>
      <c r="TW401" s="875">
        <v>0.1743523349710828</v>
      </c>
      <c r="TX401" s="875">
        <v>4.9087336324095208E-3</v>
      </c>
      <c r="TY401" s="875">
        <v>-0.71010895858898793</v>
      </c>
      <c r="TZ401" s="875">
        <v>3.5261494096002459E-4</v>
      </c>
      <c r="UA401" s="875">
        <v>2</v>
      </c>
      <c r="UB401" s="875">
        <v>-0.80765609421138496</v>
      </c>
      <c r="UC401" s="875">
        <v>-0.45072216934075632</v>
      </c>
      <c r="UD401" s="875">
        <v>-0.14979582758672089</v>
      </c>
      <c r="UE401" s="875">
        <v>0.17971144068615399</v>
      </c>
      <c r="UF401" s="875">
        <v>-7.4454945411092039E-5</v>
      </c>
      <c r="UG401" s="875">
        <v>0.68351479250296276</v>
      </c>
      <c r="UH401" s="875">
        <v>0.82167866613698604</v>
      </c>
      <c r="UI401" s="875">
        <v>-0.42954157183234981</v>
      </c>
      <c r="UJ401" s="875">
        <v>-4.536981049658922E-4</v>
      </c>
      <c r="UK401" s="875">
        <v>1.926067254951488E-4</v>
      </c>
      <c r="UL401" s="875">
        <v>-0.58668372260104384</v>
      </c>
      <c r="UM401" s="875">
        <v>2.1157848408198941E-3</v>
      </c>
      <c r="UN401" s="875">
        <v>-0.1705792005288374</v>
      </c>
      <c r="UO401" s="875">
        <v>6.0290249102128439E-4</v>
      </c>
      <c r="UP401" s="875">
        <v>-7.3878323317346244E-5</v>
      </c>
      <c r="UQ401" s="875">
        <v>0.69354315311801984</v>
      </c>
      <c r="UR401" s="875">
        <v>0.77590734449840582</v>
      </c>
      <c r="US401" s="875">
        <v>-0.41497864417853397</v>
      </c>
      <c r="UT401" s="875">
        <v>-2.5706038508895192E-4</v>
      </c>
      <c r="UU401" s="875">
        <v>1.999999999999996</v>
      </c>
      <c r="UV401" s="875">
        <v>-0.54854675652581919</v>
      </c>
      <c r="UW401" s="875">
        <v>-0.4499407733196219</v>
      </c>
      <c r="UX401" s="875">
        <v>-0.13980641220998619</v>
      </c>
      <c r="UY401" s="875">
        <v>5.726246979518519E-4</v>
      </c>
      <c r="UZ401" s="875">
        <v>-7.6310634984031548E-5</v>
      </c>
      <c r="VA401" s="875">
        <v>0.56733451935037527</v>
      </c>
      <c r="VB401" s="875">
        <v>0.81443897152074041</v>
      </c>
      <c r="VC401" s="875">
        <v>-0.43088731403699571</v>
      </c>
      <c r="VD401" s="875">
        <v>-3.3571373365157728E-4</v>
      </c>
      <c r="VE401" s="875">
        <v>6.7405702255223166E-5</v>
      </c>
      <c r="VF401" s="875">
        <v>-0.58309978761441839</v>
      </c>
      <c r="VG401" s="875">
        <v>1.835999461226562E-3</v>
      </c>
      <c r="VH401" s="875">
        <v>-0.17037381783399791</v>
      </c>
      <c r="VI401" s="875">
        <v>3.2421300143242997E-4</v>
      </c>
      <c r="VJ401" s="875">
        <v>-7.6836470531295751E-5</v>
      </c>
      <c r="VK401" s="875">
        <v>0.68624029092457528</v>
      </c>
      <c r="VL401" s="875">
        <v>0.75702522451601106</v>
      </c>
      <c r="VM401" s="875">
        <v>-0.41364830823728999</v>
      </c>
      <c r="VN401" s="875">
        <v>0.1013183813202618</v>
      </c>
      <c r="VO401" s="875">
        <v>1.999999999998801</v>
      </c>
      <c r="VP401" s="875">
        <v>-0.56827812351782603</v>
      </c>
      <c r="VQ401" s="875">
        <v>8.8909021645345199E-4</v>
      </c>
      <c r="VR401" s="875">
        <v>-0.15137365994618091</v>
      </c>
      <c r="VS401" s="875">
        <v>4.0779587100027187E-4</v>
      </c>
      <c r="VT401" s="875">
        <v>-7.5590056932859238E-5</v>
      </c>
      <c r="VU401" s="875">
        <v>0.5821350333895724</v>
      </c>
      <c r="VV401" s="875">
        <v>0.72110951090038233</v>
      </c>
      <c r="VW401" s="875">
        <v>-0.3949128921194805</v>
      </c>
      <c r="VX401" s="875">
        <v>8.404426989319233E-2</v>
      </c>
      <c r="VY401" s="875">
        <v>2</v>
      </c>
      <c r="VZ401" s="875">
        <v>-0.58203761587620839</v>
      </c>
      <c r="WA401" s="875">
        <v>-0.46272992003672309</v>
      </c>
      <c r="WB401" s="875">
        <v>-0.1340405345686565</v>
      </c>
      <c r="WC401" s="875">
        <v>3.35546103780322E-4</v>
      </c>
      <c r="WD401" s="875">
        <v>-9.0579562582015656E-5</v>
      </c>
      <c r="WE401" s="875">
        <v>0.59715171524981947</v>
      </c>
      <c r="WF401" s="875">
        <v>0.68485893338042003</v>
      </c>
      <c r="WG401" s="875">
        <v>-0.39418785413372132</v>
      </c>
      <c r="WH401" s="875">
        <v>8.2908840311019222E-2</v>
      </c>
      <c r="WI401" s="875">
        <v>2</v>
      </c>
      <c r="WJ401" s="875">
        <v>-0.60666675806978854</v>
      </c>
      <c r="WK401" s="875">
        <v>8.2133847230763779E-4</v>
      </c>
      <c r="WL401" s="875">
        <v>-0.1940674812158967</v>
      </c>
      <c r="WM401" s="875">
        <v>3.5130505968373273E-4</v>
      </c>
      <c r="WN401" s="875">
        <v>-1.173299516603659E-4</v>
      </c>
      <c r="WO401" s="875">
        <v>0.30931564812012491</v>
      </c>
      <c r="WP401" s="875">
        <v>0.5839489721582668</v>
      </c>
      <c r="WQ401" s="875">
        <v>-0.39334713044273723</v>
      </c>
      <c r="WR401" s="875">
        <v>-3.8161401270618822E-4</v>
      </c>
      <c r="WS401" s="875">
        <v>-2</v>
      </c>
      <c r="WT401" s="875">
        <v>-0.56697027778123221</v>
      </c>
      <c r="WU401" s="875">
        <v>8.1050646809664078E-4</v>
      </c>
      <c r="WV401" s="875">
        <v>-0.1942336746254599</v>
      </c>
      <c r="WW401" s="875">
        <v>3.5130505968373273E-4</v>
      </c>
      <c r="WX401" s="875">
        <v>-1.2712316518283511E-4</v>
      </c>
      <c r="WY401" s="875">
        <v>0.30928915563456882</v>
      </c>
      <c r="WZ401" s="875">
        <v>0.5839489721582668</v>
      </c>
      <c r="XA401" s="875">
        <v>-0.39334713044273723</v>
      </c>
      <c r="XB401" s="875">
        <v>-4.4264253525018861E-4</v>
      </c>
      <c r="XC401" s="875">
        <v>-2</v>
      </c>
      <c r="XD401" s="875">
        <v>-0.56696302784476271</v>
      </c>
      <c r="XE401" s="875">
        <v>6.0448396984388929E-4</v>
      </c>
      <c r="XF401" s="875">
        <v>-0.20358807964015271</v>
      </c>
      <c r="XG401" s="875">
        <v>3.4249804675035532E-4</v>
      </c>
      <c r="XH401" s="875">
        <v>-1.199910863095652E-4</v>
      </c>
      <c r="XI401" s="875">
        <v>0.35811753220000447</v>
      </c>
      <c r="XJ401" s="875">
        <v>0.49605991055854071</v>
      </c>
      <c r="XK401" s="875">
        <v>-0.38805059407743558</v>
      </c>
      <c r="XL401" s="875">
        <v>-4.6001042352876892E-4</v>
      </c>
      <c r="XM401" s="875">
        <v>2</v>
      </c>
      <c r="XN401" s="875">
        <v>-0.55725396569284114</v>
      </c>
      <c r="XO401" s="875">
        <v>1.8474520599492089E-2</v>
      </c>
      <c r="XP401" s="875">
        <v>-0.53125662407479657</v>
      </c>
      <c r="XQ401" s="875">
        <v>7.9586169664848119E-2</v>
      </c>
      <c r="XR401" s="875">
        <v>1.985385069096131</v>
      </c>
      <c r="XS401" s="875">
        <v>1.234172912175991</v>
      </c>
      <c r="XT401" s="875">
        <v>0.47913816606795939</v>
      </c>
      <c r="XU401" s="875">
        <v>-0.8217689136888171</v>
      </c>
      <c r="XV401" s="875">
        <v>1.274765299140894E-4</v>
      </c>
      <c r="XW401" s="875">
        <v>3.1604950121618558E-4</v>
      </c>
      <c r="XX401" s="875">
        <v>1.437561650122275E-4</v>
      </c>
      <c r="XY401" s="875">
        <v>1.113274862779595E-2</v>
      </c>
      <c r="XZ401" s="875">
        <v>-0.53699403221467656</v>
      </c>
      <c r="YA401" s="875">
        <v>5.5974282020837356E-4</v>
      </c>
      <c r="YB401" s="875">
        <v>1.8756025301003221</v>
      </c>
      <c r="YC401" s="875">
        <v>1.2372177764525649</v>
      </c>
      <c r="YD401" s="875">
        <v>0.42940834577820081</v>
      </c>
      <c r="YE401" s="875">
        <v>-0.81729341283745172</v>
      </c>
      <c r="YF401" s="875">
        <v>1.129355875143103E-4</v>
      </c>
      <c r="YG401" s="875">
        <v>4.0457107544655238E-4</v>
      </c>
      <c r="YH401" s="875">
        <v>1.342178763665507E-4</v>
      </c>
      <c r="YI401" s="875">
        <v>1.8367612844313388E-2</v>
      </c>
      <c r="YJ401" s="875">
        <v>-0.5409373687537935</v>
      </c>
      <c r="YK401" s="875">
        <v>9.3597088387707333E-2</v>
      </c>
      <c r="YL401" s="875">
        <v>2</v>
      </c>
      <c r="YM401" s="875">
        <v>1.1188696611721229</v>
      </c>
      <c r="YN401" s="875">
        <v>0.53245126521295993</v>
      </c>
      <c r="YO401" s="875">
        <v>-0.82409637708692951</v>
      </c>
      <c r="YP401" s="875">
        <v>1.1329004015854739E-4</v>
      </c>
      <c r="YQ401" s="875">
        <v>3.8720118736166828E-4</v>
      </c>
      <c r="YR401" s="875">
        <v>1.5488875744345019E-4</v>
      </c>
      <c r="YS401" s="875">
        <v>1.403340294823102E-2</v>
      </c>
      <c r="YT401" s="875">
        <v>-0.54594434189818686</v>
      </c>
      <c r="YU401" s="875">
        <v>3.0487919191489959E-4</v>
      </c>
      <c r="YV401" s="875">
        <v>1.8651880680827559</v>
      </c>
      <c r="YW401" s="875">
        <v>1.175462965375498</v>
      </c>
      <c r="YX401" s="875">
        <v>0.42323660828217041</v>
      </c>
      <c r="YY401" s="875">
        <v>-0.81882093516541987</v>
      </c>
      <c r="YZ401" s="875">
        <v>1.115246766957058E-4</v>
      </c>
      <c r="ZA401" s="875">
        <v>4.384895985211888E-4</v>
      </c>
      <c r="ZB401" s="875">
        <v>1.577157755597491E-4</v>
      </c>
      <c r="ZC401" s="875">
        <v>3.4920959041500449E-3</v>
      </c>
      <c r="ZD401" s="875">
        <v>-0.54596531838797058</v>
      </c>
      <c r="ZE401" s="875">
        <v>1.9137432433244549E-4</v>
      </c>
      <c r="ZF401" s="875">
        <v>1.69035536036517</v>
      </c>
      <c r="ZG401" s="875">
        <v>1.0074345946414529</v>
      </c>
      <c r="ZH401" s="875">
        <v>0.33754068739104121</v>
      </c>
      <c r="ZI401" s="875">
        <v>-0.81284616248388686</v>
      </c>
      <c r="ZJ401" s="875">
        <v>1.001092235127944E-4</v>
      </c>
      <c r="ZK401" s="875">
        <v>1.7373120275481711E-4</v>
      </c>
      <c r="ZL401" s="875">
        <v>1.103562710558007E-4</v>
      </c>
      <c r="ZM401" s="875">
        <v>1.6516316141091589E-3</v>
      </c>
      <c r="ZN401" s="875">
        <v>-0.54456984064530944</v>
      </c>
      <c r="ZO401" s="875">
        <v>2.1590584540756469E-4</v>
      </c>
      <c r="ZP401" s="875">
        <v>1.5906773487615631</v>
      </c>
      <c r="ZQ401" s="875">
        <v>0.89975590591381838</v>
      </c>
      <c r="ZR401" s="875">
        <v>0.28130284540885692</v>
      </c>
      <c r="ZS401" s="875">
        <v>-0.8113011602191188</v>
      </c>
      <c r="ZT401" s="875">
        <v>9.339255927123264E-5</v>
      </c>
      <c r="ZU401" s="875">
        <v>1.210654111933016E-4</v>
      </c>
      <c r="ZV401" s="875">
        <v>1.6241491003095871E-4</v>
      </c>
      <c r="ZW401" s="875">
        <v>4.1602781004288191E-4</v>
      </c>
      <c r="ZX401" s="875">
        <v>-0.58068183905812232</v>
      </c>
      <c r="ZY401" s="875">
        <v>1.9751273157774581E-4</v>
      </c>
      <c r="ZZ401" s="875">
        <v>-1.186201474949687E-4</v>
      </c>
      <c r="AAA401" s="875">
        <v>8.7342478971548319E-3</v>
      </c>
      <c r="AAB401" s="875">
        <v>0.22493547076557699</v>
      </c>
      <c r="AAC401" s="875">
        <v>-0.81543835096209183</v>
      </c>
      <c r="AAD401" s="875">
        <v>1.181579910951287E-4</v>
      </c>
      <c r="AAE401" s="875">
        <v>2</v>
      </c>
      <c r="AAF401" s="875">
        <v>1.289539838874541E-4</v>
      </c>
      <c r="AAG401" s="875">
        <v>4.1602781004288191E-4</v>
      </c>
      <c r="AAH401" s="875">
        <v>-0.58068183905812232</v>
      </c>
      <c r="AAI401" s="875">
        <v>1.9751273157774581E-4</v>
      </c>
      <c r="AAJ401" s="875">
        <v>-1.186201474949687E-4</v>
      </c>
      <c r="AAK401" s="875">
        <v>8.7342478971548319E-3</v>
      </c>
      <c r="AAL401" s="875">
        <v>0.22493547076557699</v>
      </c>
      <c r="AAM401" s="875">
        <v>-0.81543835096209183</v>
      </c>
      <c r="AAN401" s="875">
        <v>1.3890285845654391E-4</v>
      </c>
      <c r="AAO401" s="875">
        <v>2</v>
      </c>
      <c r="AAP401" s="875">
        <v>1.289539838874541E-4</v>
      </c>
      <c r="AAQ401" s="875">
        <v>8.1441264064894322E-5</v>
      </c>
      <c r="AAR401" s="875">
        <v>-0.57189084903758325</v>
      </c>
      <c r="AAS401" s="875">
        <v>1.3473865695824231E-4</v>
      </c>
      <c r="AAT401" s="875">
        <v>-1.1882121890742279E-4</v>
      </c>
      <c r="AAU401" s="875">
        <v>4.6414151295274788E-4</v>
      </c>
      <c r="AAV401" s="875">
        <v>0.11559741265805409</v>
      </c>
      <c r="AAW401" s="875">
        <v>-0.80799242554777773</v>
      </c>
      <c r="AAX401" s="875">
        <v>1.116305163485273E-4</v>
      </c>
      <c r="AAY401" s="875">
        <v>-2</v>
      </c>
      <c r="AAZ401" s="875">
        <v>-0.91809371589057187</v>
      </c>
      <c r="ABA401" s="875"/>
      <c r="ABB401" s="875"/>
      <c r="ABC401" s="875"/>
      <c r="ABD401" s="875"/>
      <c r="ABE401" s="875"/>
      <c r="ABF401" s="875"/>
      <c r="ABG401" s="875"/>
      <c r="ABH401" s="875"/>
      <c r="ABI401" s="875"/>
      <c r="ABJ401" s="875"/>
      <c r="ABK401" s="875"/>
      <c r="ABL401" s="875"/>
      <c r="ABM401" s="875"/>
      <c r="ABN401" s="875"/>
      <c r="ABO401" s="875"/>
      <c r="ABP401" s="875"/>
      <c r="ABQ401" s="875"/>
      <c r="ABR401" s="875"/>
      <c r="ABS401" s="875"/>
      <c r="ABT401" s="875"/>
      <c r="ABU401" s="875"/>
      <c r="ABV401" s="875"/>
      <c r="ABW401" s="875"/>
      <c r="ABX401" s="875"/>
      <c r="ABY401" s="875"/>
      <c r="ABZ401" s="875"/>
      <c r="ACA401" s="875"/>
      <c r="ACB401" s="875"/>
      <c r="ACC401" s="875"/>
      <c r="ACD401" s="875"/>
      <c r="ACE401" s="875"/>
      <c r="ACF401" s="875"/>
      <c r="ACG401" s="875"/>
      <c r="ACH401" s="875"/>
      <c r="ACI401" s="875"/>
      <c r="ACJ401" s="875"/>
      <c r="ACK401" s="875"/>
      <c r="ACL401" s="875"/>
      <c r="ACM401" s="875"/>
      <c r="ACN401" s="875"/>
      <c r="ACO401" s="875"/>
      <c r="ACP401" s="875"/>
      <c r="ACQ401" s="875"/>
      <c r="ACR401" s="875"/>
      <c r="ACS401" s="875"/>
      <c r="ACT401" s="875"/>
      <c r="ACU401" s="875"/>
      <c r="ACV401" s="875"/>
      <c r="ACW401" s="875"/>
      <c r="ACX401" s="875"/>
      <c r="ACY401" s="875"/>
      <c r="ACZ401" s="875"/>
      <c r="ADA401" s="875"/>
      <c r="ADB401" s="875"/>
      <c r="ADC401" s="875"/>
      <c r="ADD401" s="875"/>
      <c r="ADE401" s="875"/>
      <c r="ADF401" s="875"/>
      <c r="ADG401" s="875"/>
      <c r="ADH401" s="875"/>
      <c r="ADI401" s="875"/>
      <c r="ADJ401" s="875"/>
      <c r="ADK401" s="875"/>
      <c r="ADL401" s="875"/>
      <c r="ADM401" s="875"/>
      <c r="ADN401" s="875"/>
      <c r="ADO401" s="875"/>
      <c r="ADP401" s="875"/>
      <c r="ADQ401" s="875"/>
      <c r="ADR401" s="875"/>
      <c r="ADS401" s="875"/>
      <c r="ADT401" s="875"/>
      <c r="ADU401" s="875"/>
      <c r="ADV401" s="875"/>
      <c r="ADW401" s="875"/>
      <c r="ADX401" s="875"/>
      <c r="ADY401" s="875"/>
      <c r="ADZ401" s="875"/>
      <c r="AEA401" s="875"/>
      <c r="AEB401" s="875"/>
      <c r="AEC401" s="875"/>
      <c r="AED401" s="875"/>
      <c r="AEE401" s="875"/>
      <c r="AEF401" s="875"/>
      <c r="AEG401" s="875"/>
      <c r="AEH401" s="875"/>
      <c r="AEI401" s="875"/>
      <c r="AEJ401" s="875"/>
      <c r="AEK401" s="875"/>
      <c r="AEL401" s="875"/>
      <c r="AEM401" s="875"/>
      <c r="AEN401" s="875"/>
      <c r="AEO401" s="875"/>
      <c r="AEP401" s="875"/>
      <c r="AEQ401" s="875"/>
      <c r="AER401" s="875"/>
      <c r="AES401" s="875"/>
      <c r="AET401" s="875"/>
      <c r="AEU401" s="875"/>
      <c r="AEV401" s="875"/>
      <c r="AEW401" s="875"/>
      <c r="AEX401" s="875"/>
      <c r="AEY401" s="875"/>
      <c r="AEZ401" s="875"/>
      <c r="AFA401" s="875"/>
      <c r="AFB401" s="875"/>
      <c r="AFC401" s="875"/>
      <c r="AFD401" s="875"/>
      <c r="AFE401" s="875"/>
      <c r="AFF401" s="875"/>
      <c r="AFG401" s="875"/>
      <c r="AFH401" s="875"/>
      <c r="AFI401" s="875"/>
      <c r="AFJ401" s="875"/>
      <c r="AFK401" s="875"/>
      <c r="AFL401" s="875"/>
      <c r="AFM401" s="875"/>
      <c r="AFN401" s="875"/>
      <c r="AFO401" s="875"/>
      <c r="AFP401" s="875"/>
      <c r="AFQ401" s="875"/>
      <c r="AFR401" s="875"/>
      <c r="AFS401" s="875"/>
      <c r="AFT401" s="875"/>
      <c r="AFU401" s="875"/>
      <c r="AFV401" s="875"/>
      <c r="AFW401" s="875"/>
      <c r="AFX401" s="875"/>
      <c r="AFY401" s="875"/>
      <c r="AFZ401" s="875"/>
      <c r="AGA401" s="875"/>
      <c r="AGB401" s="875"/>
      <c r="AGC401" s="875"/>
      <c r="AGD401" s="875"/>
      <c r="AGE401" s="875"/>
      <c r="AGF401" s="875"/>
      <c r="AGG401" s="875"/>
      <c r="AGH401" s="875"/>
      <c r="AGI401" s="875"/>
      <c r="AGJ401" s="875"/>
      <c r="AGK401" s="875"/>
      <c r="AGL401" s="875"/>
      <c r="AGM401" s="875"/>
      <c r="AGN401" s="875"/>
      <c r="AGO401" s="875"/>
      <c r="AGP401" s="875"/>
      <c r="AGQ401" s="875"/>
      <c r="AGR401" s="875"/>
      <c r="AGS401" s="875"/>
      <c r="AGT401" s="875"/>
      <c r="AGU401" s="875"/>
      <c r="AGV401" s="875"/>
      <c r="AGW401" s="875"/>
      <c r="AGX401" s="875"/>
      <c r="AGY401" s="875"/>
      <c r="AGZ401" s="875"/>
      <c r="AHA401" s="875"/>
      <c r="AHB401" s="875"/>
      <c r="AHC401" s="875"/>
      <c r="AHD401" s="875"/>
      <c r="AHE401" s="875"/>
      <c r="AHF401" s="875"/>
      <c r="AHG401" s="875"/>
      <c r="AHH401" s="875"/>
      <c r="AHI401" s="875"/>
      <c r="AHJ401" s="875"/>
      <c r="AHK401" s="875"/>
      <c r="AHL401" s="875"/>
      <c r="AHM401" s="875"/>
      <c r="AHN401" s="875"/>
      <c r="AHO401" s="875"/>
      <c r="AHP401" s="875"/>
      <c r="AHQ401" s="875"/>
      <c r="AHR401" s="875"/>
      <c r="AHS401" s="875"/>
      <c r="AHT401" s="875"/>
      <c r="AHU401" s="875"/>
      <c r="AHV401" s="875"/>
      <c r="AHW401" s="875"/>
      <c r="AHX401" s="875"/>
      <c r="AHY401" s="875"/>
      <c r="AHZ401" s="875"/>
      <c r="AIA401" s="875"/>
      <c r="AIB401" s="875"/>
      <c r="AIC401" s="875"/>
      <c r="AID401" s="875"/>
      <c r="AIE401" s="875"/>
      <c r="AIF401" s="875"/>
      <c r="AIG401" s="875"/>
      <c r="AIH401" s="875"/>
      <c r="AII401" s="875"/>
      <c r="AIJ401" s="875"/>
      <c r="AIK401" s="875"/>
      <c r="AIL401" s="875"/>
      <c r="AIM401" s="875"/>
      <c r="AIN401" s="875"/>
      <c r="AIO401" s="875"/>
      <c r="AIP401" s="875"/>
      <c r="AIQ401" s="875"/>
      <c r="AIR401" s="875"/>
      <c r="AIS401" s="875"/>
      <c r="AIT401" s="875"/>
      <c r="AIU401" s="875"/>
      <c r="AIV401" s="875"/>
      <c r="AIW401" s="875"/>
      <c r="AIX401" s="875"/>
      <c r="AIY401" s="875"/>
      <c r="AIZ401" s="875"/>
      <c r="AJA401" s="875"/>
      <c r="AJB401" s="875"/>
      <c r="AJC401" s="875"/>
      <c r="AJD401" s="875"/>
      <c r="AJE401" s="875"/>
      <c r="AJF401" s="875"/>
      <c r="AJG401" s="875"/>
      <c r="AJH401" s="875"/>
      <c r="AJI401" s="875"/>
      <c r="AJJ401" s="875"/>
      <c r="AJK401" s="875"/>
      <c r="AJL401" s="875"/>
      <c r="AJM401" s="875"/>
      <c r="AJN401" s="875"/>
      <c r="AJO401" s="875"/>
      <c r="AJP401" s="875"/>
      <c r="AJQ401" s="875"/>
      <c r="AJR401" s="875"/>
      <c r="AJS401" s="875"/>
      <c r="AJT401" s="875"/>
      <c r="AJU401" s="875"/>
      <c r="AJV401" s="875"/>
      <c r="AJW401" s="875"/>
      <c r="AJX401" s="875"/>
      <c r="AJY401" s="875"/>
      <c r="AJZ401" s="875"/>
      <c r="AKA401" s="875"/>
      <c r="AKB401" s="875"/>
      <c r="AKC401" s="875"/>
      <c r="AKD401" s="875"/>
      <c r="AKE401" s="875"/>
      <c r="AKF401" s="875"/>
      <c r="AKG401" s="875"/>
      <c r="AKH401" s="875"/>
      <c r="AKI401" s="875"/>
      <c r="AKJ401" s="875"/>
      <c r="AKK401" s="875"/>
      <c r="AKL401" s="875"/>
      <c r="AKM401" s="875"/>
      <c r="AKN401" s="875"/>
      <c r="AKO401" s="875"/>
      <c r="AKP401" s="875"/>
      <c r="AKQ401" s="875"/>
      <c r="AKR401" s="875"/>
      <c r="AKS401" s="875"/>
      <c r="AKT401" s="875"/>
      <c r="AKU401" s="875"/>
      <c r="AKV401" s="875"/>
      <c r="AKW401" s="875"/>
      <c r="AKX401" s="875"/>
      <c r="AKY401" s="875"/>
      <c r="AKZ401" s="875"/>
      <c r="ALA401" s="875"/>
      <c r="ALB401" s="875"/>
      <c r="ALC401" s="875"/>
      <c r="ALD401" s="875"/>
      <c r="ALE401" s="875"/>
      <c r="ALF401" s="875"/>
      <c r="ALG401" s="875"/>
      <c r="ALH401" s="875"/>
      <c r="ALI401" s="875"/>
      <c r="ALJ401" s="875"/>
      <c r="ALK401" s="875"/>
      <c r="ALL401" s="875"/>
      <c r="ALM401" s="875"/>
      <c r="ALN401" s="875"/>
      <c r="ALO401" s="875"/>
      <c r="ALP401" s="875"/>
      <c r="ALQ401" s="875"/>
      <c r="ALR401" s="875"/>
      <c r="ALS401" s="875"/>
      <c r="ALT401" s="875"/>
      <c r="ALU401" s="875"/>
      <c r="ALV401" s="875"/>
      <c r="ALW401" s="875"/>
      <c r="ALX401" s="875"/>
      <c r="ALY401" s="875"/>
      <c r="ALZ401" s="875"/>
      <c r="AMA401" s="875"/>
      <c r="AMB401" s="875"/>
      <c r="AMC401" s="875"/>
      <c r="AMD401" s="875"/>
      <c r="AME401" s="875"/>
      <c r="AMF401" s="875"/>
      <c r="AMG401" s="875"/>
      <c r="AMH401" s="875"/>
      <c r="AMI401" s="875"/>
      <c r="AMJ401" s="875"/>
      <c r="AMK401" s="875"/>
      <c r="AML401" s="875"/>
      <c r="AMM401" s="875"/>
      <c r="AMN401" s="875"/>
      <c r="AMO401" s="875"/>
      <c r="AMP401" s="875"/>
      <c r="AMQ401" s="875"/>
      <c r="AMR401" s="875"/>
      <c r="AMS401" s="875"/>
      <c r="AMT401" s="875"/>
      <c r="AMU401" s="875"/>
      <c r="AMV401" s="875"/>
      <c r="AMW401" s="875"/>
      <c r="AMX401" s="875"/>
      <c r="AMY401" s="875"/>
      <c r="AMZ401" s="875"/>
      <c r="ANA401" s="875"/>
      <c r="ANB401" s="875"/>
      <c r="ANC401" s="875"/>
      <c r="AND401" s="875"/>
      <c r="ANE401" s="875"/>
      <c r="ANF401" s="875"/>
      <c r="ANG401" s="875"/>
      <c r="ANH401" s="875"/>
      <c r="ANI401" s="875"/>
      <c r="ANJ401" s="875"/>
      <c r="ANK401" s="875"/>
      <c r="ANL401" s="875"/>
      <c r="ANM401" s="875"/>
      <c r="ANN401" s="875"/>
      <c r="ANO401" s="875"/>
      <c r="ANP401" s="875"/>
      <c r="ANQ401" s="875"/>
      <c r="ANR401" s="875"/>
      <c r="ANS401" s="875"/>
      <c r="ANT401" s="875"/>
      <c r="ANU401" s="875"/>
      <c r="ANV401" s="875"/>
      <c r="ANW401" s="875"/>
      <c r="ANX401" s="875"/>
      <c r="ANY401" s="875"/>
      <c r="ANZ401" s="875"/>
      <c r="AOA401" s="875"/>
      <c r="AOB401" s="875"/>
      <c r="AOC401" s="875"/>
      <c r="AOD401" s="875"/>
      <c r="AOE401" s="875"/>
      <c r="AOF401" s="875"/>
      <c r="AOG401" s="875"/>
      <c r="AOH401" s="875"/>
      <c r="AOI401" s="875"/>
      <c r="AOJ401" s="875"/>
      <c r="AOK401" s="875"/>
      <c r="AOL401" s="875"/>
      <c r="AOM401" s="875"/>
      <c r="AON401" s="875"/>
      <c r="AOO401" s="875"/>
      <c r="AOP401" s="875"/>
      <c r="AOQ401" s="875"/>
      <c r="AOR401" s="875"/>
      <c r="AOS401" s="875"/>
      <c r="AOT401" s="875"/>
      <c r="AOU401" s="875"/>
      <c r="AOV401" s="875"/>
      <c r="AOW401" s="887"/>
    </row>
    <row r="402" spans="2:1089" hidden="1">
      <c r="B402" s="1000" t="s">
        <v>1053</v>
      </c>
      <c r="C402" s="1000"/>
      <c r="D402" s="836"/>
      <c r="E402" s="892" t="s">
        <v>1041</v>
      </c>
      <c r="F402" s="462"/>
      <c r="G402" s="462" t="s">
        <v>65</v>
      </c>
      <c r="H402" s="462"/>
      <c r="I402" s="875"/>
      <c r="J402" s="875"/>
      <c r="K402" s="875"/>
      <c r="L402" s="875"/>
      <c r="M402" s="875"/>
      <c r="N402" s="875"/>
      <c r="O402" s="875"/>
      <c r="P402" s="875"/>
      <c r="Q402" s="875"/>
      <c r="R402" s="875"/>
      <c r="S402" s="875"/>
      <c r="T402" s="875"/>
      <c r="U402" s="875"/>
      <c r="V402" s="875"/>
      <c r="W402" s="875"/>
      <c r="X402" s="875"/>
      <c r="Y402" s="875"/>
      <c r="Z402" s="875"/>
      <c r="AA402" s="875"/>
      <c r="AB402" s="875"/>
      <c r="AC402" s="875"/>
      <c r="AD402" s="875"/>
      <c r="AE402" s="875"/>
      <c r="AF402" s="875"/>
      <c r="AG402" s="875"/>
      <c r="AH402" s="875"/>
      <c r="AI402" s="875"/>
      <c r="AJ402" s="875"/>
      <c r="AK402" s="875"/>
      <c r="AL402" s="875"/>
      <c r="AM402" s="875"/>
      <c r="AN402" s="875"/>
      <c r="AO402" s="875"/>
      <c r="AP402" s="875"/>
      <c r="AQ402" s="875"/>
      <c r="AR402" s="875"/>
      <c r="AS402" s="875"/>
      <c r="AT402" s="875"/>
      <c r="AU402" s="875"/>
      <c r="AV402" s="875"/>
      <c r="AW402" s="875"/>
      <c r="AX402" s="875"/>
      <c r="AY402" s="875"/>
      <c r="AZ402" s="875"/>
      <c r="BA402" s="875"/>
      <c r="BB402" s="875"/>
      <c r="BC402" s="875"/>
      <c r="BD402" s="875"/>
      <c r="BE402" s="875"/>
      <c r="BF402" s="875"/>
      <c r="BG402" s="875"/>
      <c r="BH402" s="875"/>
      <c r="BI402" s="875"/>
      <c r="BJ402" s="875"/>
      <c r="BK402" s="875"/>
      <c r="BL402" s="875"/>
      <c r="BM402" s="875"/>
      <c r="BN402" s="875"/>
      <c r="BO402" s="875"/>
      <c r="BP402" s="875"/>
      <c r="BQ402" s="875"/>
      <c r="BR402" s="875"/>
      <c r="BS402" s="875"/>
      <c r="BT402" s="875"/>
      <c r="BU402" s="875"/>
      <c r="BV402" s="875"/>
      <c r="BW402" s="875"/>
      <c r="BX402" s="875"/>
      <c r="BY402" s="875"/>
      <c r="BZ402" s="875"/>
      <c r="CA402" s="875"/>
      <c r="CB402" s="875"/>
      <c r="CC402" s="875"/>
      <c r="CD402" s="875"/>
      <c r="CE402" s="875"/>
      <c r="CF402" s="875"/>
      <c r="CG402" s="875"/>
      <c r="CH402" s="875"/>
      <c r="CI402" s="875"/>
      <c r="CJ402" s="875"/>
      <c r="CK402" s="875"/>
      <c r="CL402" s="875"/>
      <c r="CM402" s="875"/>
      <c r="CN402" s="875"/>
      <c r="CO402" s="875"/>
      <c r="CP402" s="875"/>
      <c r="CQ402" s="875"/>
      <c r="CR402" s="875"/>
      <c r="CS402" s="875"/>
      <c r="CT402" s="875"/>
      <c r="CU402" s="875"/>
      <c r="CV402" s="875"/>
      <c r="CW402" s="875"/>
      <c r="CX402" s="875"/>
      <c r="CY402" s="875"/>
      <c r="CZ402" s="875"/>
      <c r="DA402" s="875"/>
      <c r="DB402" s="875"/>
      <c r="DC402" s="875"/>
      <c r="DD402" s="875"/>
      <c r="DE402" s="875"/>
      <c r="DF402" s="875"/>
      <c r="DG402" s="875"/>
      <c r="DH402" s="875"/>
      <c r="DI402" s="875"/>
      <c r="DJ402" s="875"/>
      <c r="DK402" s="875"/>
      <c r="DL402" s="875"/>
      <c r="DM402" s="875"/>
      <c r="DN402" s="875"/>
      <c r="DO402" s="875"/>
      <c r="DP402" s="875"/>
      <c r="DQ402" s="875"/>
      <c r="DR402" s="875"/>
      <c r="DS402" s="875"/>
      <c r="DT402" s="875"/>
      <c r="DU402" s="875"/>
      <c r="DV402" s="875"/>
      <c r="DW402" s="875"/>
      <c r="DX402" s="875"/>
      <c r="DY402" s="875"/>
      <c r="DZ402" s="875"/>
      <c r="EA402" s="875"/>
      <c r="EB402" s="875"/>
      <c r="EC402" s="875"/>
      <c r="ED402" s="875"/>
      <c r="EE402" s="875"/>
      <c r="EF402" s="875"/>
      <c r="EG402" s="875"/>
      <c r="EH402" s="875"/>
      <c r="EI402" s="875"/>
      <c r="EJ402" s="875"/>
      <c r="EK402" s="875"/>
      <c r="EL402" s="875"/>
      <c r="EM402" s="875"/>
      <c r="EN402" s="875"/>
      <c r="EO402" s="875"/>
      <c r="EP402" s="875"/>
      <c r="EQ402" s="875"/>
      <c r="ER402" s="875"/>
      <c r="ES402" s="875"/>
      <c r="ET402" s="875"/>
      <c r="EU402" s="875"/>
      <c r="EV402" s="875"/>
      <c r="EW402" s="875"/>
      <c r="EX402" s="875"/>
      <c r="EY402" s="875"/>
      <c r="EZ402" s="875"/>
      <c r="FA402" s="875"/>
      <c r="FB402" s="875"/>
      <c r="FC402" s="875"/>
      <c r="FD402" s="875"/>
      <c r="FE402" s="875"/>
      <c r="FF402" s="875"/>
      <c r="FG402" s="875"/>
      <c r="FH402" s="875"/>
      <c r="FI402" s="875"/>
      <c r="FJ402" s="875"/>
      <c r="FK402" s="875"/>
      <c r="FL402" s="875"/>
      <c r="FM402" s="875"/>
      <c r="FN402" s="875"/>
      <c r="FO402" s="875"/>
      <c r="FP402" s="875"/>
      <c r="FQ402" s="875"/>
      <c r="FR402" s="875"/>
      <c r="FS402" s="875"/>
      <c r="FT402" s="875"/>
      <c r="FU402" s="875"/>
      <c r="FV402" s="875"/>
      <c r="FW402" s="875"/>
      <c r="FX402" s="875"/>
      <c r="FY402" s="875"/>
      <c r="FZ402" s="875"/>
      <c r="GA402" s="875"/>
      <c r="GB402" s="875"/>
      <c r="GC402" s="875"/>
      <c r="GD402" s="875"/>
      <c r="GE402" s="875"/>
      <c r="GF402" s="875"/>
      <c r="GG402" s="875"/>
      <c r="GH402" s="875"/>
      <c r="GI402" s="875"/>
      <c r="GJ402" s="875"/>
      <c r="GK402" s="875"/>
      <c r="GL402" s="875"/>
      <c r="GM402" s="875"/>
      <c r="GN402" s="875"/>
      <c r="GO402" s="875"/>
      <c r="GP402" s="875"/>
      <c r="GQ402" s="875"/>
      <c r="GR402" s="875"/>
      <c r="GS402" s="875"/>
      <c r="GT402" s="875"/>
      <c r="GU402" s="875"/>
      <c r="GV402" s="875"/>
      <c r="GW402" s="875"/>
      <c r="GX402" s="875"/>
      <c r="GY402" s="875"/>
      <c r="GZ402" s="875"/>
      <c r="HA402" s="875"/>
      <c r="HB402" s="875"/>
      <c r="HC402" s="875"/>
      <c r="HD402" s="875"/>
      <c r="HE402" s="875"/>
      <c r="HF402" s="875"/>
      <c r="HG402" s="875"/>
      <c r="HH402" s="875"/>
      <c r="HI402" s="875"/>
      <c r="HJ402" s="875"/>
      <c r="HK402" s="875"/>
      <c r="HL402" s="875"/>
      <c r="HM402" s="875"/>
      <c r="HN402" s="875"/>
      <c r="HO402" s="875"/>
      <c r="HP402" s="875"/>
      <c r="HQ402" s="875"/>
      <c r="HR402" s="875"/>
      <c r="HS402" s="875"/>
      <c r="HT402" s="875"/>
      <c r="HU402" s="875"/>
      <c r="HV402" s="875"/>
      <c r="HW402" s="875"/>
      <c r="HX402" s="875"/>
      <c r="HY402" s="875"/>
      <c r="HZ402" s="875"/>
      <c r="IA402" s="875"/>
      <c r="IB402" s="875"/>
      <c r="IC402" s="875"/>
      <c r="ID402" s="875"/>
      <c r="IE402" s="875"/>
      <c r="IF402" s="875"/>
      <c r="IG402" s="875"/>
      <c r="IH402" s="875"/>
      <c r="II402" s="875"/>
      <c r="IJ402" s="875"/>
      <c r="IK402" s="875"/>
      <c r="IL402" s="875"/>
      <c r="IM402" s="875"/>
      <c r="IN402" s="875"/>
      <c r="IO402" s="875"/>
      <c r="IP402" s="875"/>
      <c r="IQ402" s="875"/>
      <c r="IR402" s="875"/>
      <c r="IS402" s="875"/>
      <c r="IT402" s="875"/>
      <c r="IU402" s="875"/>
      <c r="IV402" s="875"/>
      <c r="IW402" s="875"/>
      <c r="IX402" s="875"/>
      <c r="IY402" s="875"/>
      <c r="IZ402" s="875"/>
      <c r="JA402" s="875"/>
      <c r="JB402" s="875"/>
      <c r="JC402" s="875"/>
      <c r="JD402" s="875"/>
      <c r="JE402" s="875"/>
      <c r="JF402" s="875"/>
      <c r="JG402" s="875"/>
      <c r="JH402" s="875"/>
      <c r="JI402" s="875"/>
      <c r="JJ402" s="875"/>
      <c r="JK402" s="875"/>
      <c r="JL402" s="875"/>
      <c r="JM402" s="875"/>
      <c r="JN402" s="875"/>
      <c r="JO402" s="875"/>
      <c r="JP402" s="875"/>
      <c r="JQ402" s="875"/>
      <c r="JR402" s="875"/>
      <c r="JS402" s="875"/>
      <c r="JT402" s="875"/>
      <c r="JU402" s="875"/>
      <c r="JV402" s="875"/>
      <c r="JW402" s="875"/>
      <c r="JX402" s="875"/>
      <c r="JY402" s="875"/>
      <c r="JZ402" s="875"/>
      <c r="KA402" s="875"/>
      <c r="KB402" s="875"/>
      <c r="KC402" s="875"/>
      <c r="KD402" s="875"/>
      <c r="KE402" s="875"/>
      <c r="KF402" s="875"/>
      <c r="KG402" s="875"/>
      <c r="KH402" s="875"/>
      <c r="KI402" s="875"/>
      <c r="KJ402" s="875"/>
      <c r="KK402" s="875"/>
      <c r="KL402" s="875"/>
      <c r="KM402" s="875"/>
      <c r="KN402" s="875"/>
      <c r="KO402" s="875"/>
      <c r="KP402" s="875"/>
      <c r="KQ402" s="875"/>
      <c r="KR402" s="875"/>
      <c r="KS402" s="875"/>
      <c r="KT402" s="875"/>
      <c r="KU402" s="875"/>
      <c r="KV402" s="875"/>
      <c r="KW402" s="875"/>
      <c r="KX402" s="875"/>
      <c r="KY402" s="875"/>
      <c r="KZ402" s="875"/>
      <c r="LA402" s="875"/>
      <c r="LB402" s="875"/>
      <c r="LC402" s="875"/>
      <c r="LD402" s="875"/>
      <c r="LE402" s="875"/>
      <c r="LF402" s="875"/>
      <c r="LG402" s="875"/>
      <c r="LH402" s="875"/>
      <c r="LI402" s="875"/>
      <c r="LJ402" s="875"/>
      <c r="LK402" s="875"/>
      <c r="LL402" s="875"/>
      <c r="LM402" s="875"/>
      <c r="LN402" s="875"/>
      <c r="LO402" s="875"/>
      <c r="LP402" s="875"/>
      <c r="LQ402" s="875"/>
      <c r="LR402" s="875"/>
      <c r="LS402" s="875"/>
      <c r="LT402" s="875"/>
      <c r="LU402" s="764"/>
      <c r="LV402" s="764"/>
      <c r="LW402" s="764"/>
      <c r="LX402" s="764"/>
      <c r="LY402" s="764"/>
      <c r="LZ402" s="764"/>
      <c r="MA402" s="764"/>
      <c r="MB402" s="764"/>
      <c r="MC402" s="764"/>
      <c r="MD402" s="764"/>
      <c r="ME402" s="764"/>
      <c r="MF402" s="764"/>
      <c r="MG402" s="764"/>
      <c r="MH402" s="764"/>
      <c r="MI402" s="764"/>
      <c r="MJ402" s="764"/>
      <c r="MK402" s="764"/>
      <c r="ML402" s="764"/>
      <c r="MM402" s="764"/>
      <c r="MN402" s="764"/>
      <c r="MO402" s="764"/>
      <c r="MP402" s="764"/>
      <c r="MQ402" s="764"/>
      <c r="MR402" s="764"/>
      <c r="MS402" s="764"/>
      <c r="MT402" s="764"/>
      <c r="MU402" s="764"/>
      <c r="MV402" s="764"/>
      <c r="MW402" s="764"/>
      <c r="MX402" s="764"/>
      <c r="MY402" s="764"/>
      <c r="MZ402" s="764"/>
      <c r="NA402" s="764"/>
      <c r="NB402" s="764"/>
      <c r="NC402" s="764"/>
      <c r="ND402" s="764"/>
      <c r="NE402" s="764">
        <v>-5.9660061172925642E-4</v>
      </c>
      <c r="NF402" s="764">
        <v>-3.4878054421517823E-5</v>
      </c>
      <c r="NG402" s="764">
        <v>-3.1596690673876251E-4</v>
      </c>
      <c r="NH402" s="764">
        <v>7.163983628990775E-5</v>
      </c>
      <c r="NI402" s="764">
        <v>-1.521974278431453E-2</v>
      </c>
      <c r="NJ402" s="764">
        <v>-1.3806863927731029E-4</v>
      </c>
      <c r="NK402" s="764">
        <v>-9.3175637297588428E-4</v>
      </c>
      <c r="NL402" s="764">
        <v>-1.2153403855672511E-4</v>
      </c>
      <c r="NM402" s="764">
        <v>-2.23996594178902E-4</v>
      </c>
      <c r="NN402" s="764">
        <v>-9.3460299427931102E-5</v>
      </c>
      <c r="NO402" s="764">
        <v>-3.6048215380389781E-4</v>
      </c>
      <c r="NP402" s="764">
        <v>-3.2704644921070368E-5</v>
      </c>
      <c r="NQ402" s="764">
        <v>-1.6761076996910711E-4</v>
      </c>
      <c r="NR402" s="764">
        <v>6.6814099912688597E-5</v>
      </c>
      <c r="NS402" s="764">
        <v>0.69740901963223878</v>
      </c>
      <c r="NT402" s="764">
        <v>-3.0583328430508402E-4</v>
      </c>
      <c r="NU402" s="764">
        <v>-7.1537768471024098E-4</v>
      </c>
      <c r="NV402" s="764">
        <v>-1.115254689030546E-4</v>
      </c>
      <c r="NW402" s="764">
        <v>-1.8943269173840539E-4</v>
      </c>
      <c r="NX402" s="764">
        <v>-1.182272228689969E-4</v>
      </c>
      <c r="NY402" s="764">
        <v>-7.7463778764930678E-4</v>
      </c>
      <c r="NZ402" s="764">
        <v>-3.4516387823452849E-5</v>
      </c>
      <c r="OA402" s="764">
        <v>-1.7989418489428551E-4</v>
      </c>
      <c r="OB402" s="764">
        <v>1.105451934974483E-4</v>
      </c>
      <c r="OC402" s="764">
        <v>0.84542399553989322</v>
      </c>
      <c r="OD402" s="764">
        <v>-3.7104635686438042E-4</v>
      </c>
      <c r="OE402" s="764">
        <v>-2.5687679962591378E-4</v>
      </c>
      <c r="OF402" s="764">
        <v>-1.135643459738572E-4</v>
      </c>
      <c r="OG402" s="764">
        <v>-2.1928601668671951E-4</v>
      </c>
      <c r="OH402" s="764">
        <v>-1.297858606131292E-4</v>
      </c>
      <c r="OI402" s="764">
        <v>-4.7135469166398032E-4</v>
      </c>
      <c r="OJ402" s="764">
        <v>-3.9426939613135817E-5</v>
      </c>
      <c r="OK402" s="764">
        <v>-1.613941310300218E-4</v>
      </c>
      <c r="OL402" s="764">
        <v>9.4831017454671105E-5</v>
      </c>
      <c r="OM402" s="764">
        <v>0.4817746371681183</v>
      </c>
      <c r="ON402" s="764">
        <v>-1.4143708279968579E-4</v>
      </c>
      <c r="OO402" s="764">
        <v>-6.5441110793282178E-4</v>
      </c>
      <c r="OP402" s="764">
        <v>-1.205962162027048E-4</v>
      </c>
      <c r="OQ402" s="764">
        <v>-1.909262254261136E-4</v>
      </c>
      <c r="OR402" s="764">
        <v>-8.7401006875062516E-5</v>
      </c>
      <c r="OS402" s="764">
        <v>-3.2562741112930258E-4</v>
      </c>
      <c r="OT402" s="764">
        <v>-3.9623400954364948E-5</v>
      </c>
      <c r="OU402" s="764">
        <v>-2.0736648164409861E-4</v>
      </c>
      <c r="OV402" s="764">
        <v>1.000024899885695E-4</v>
      </c>
      <c r="OW402" s="764">
        <v>-1.8813345406561681E-4</v>
      </c>
      <c r="OX402" s="764">
        <v>-3.0646661204225192E-4</v>
      </c>
      <c r="OY402" s="764">
        <v>-6.0080738814259442E-4</v>
      </c>
      <c r="OZ402" s="764">
        <v>-1.125471362948033E-4</v>
      </c>
      <c r="PA402" s="764">
        <v>-2.7313355352714648E-4</v>
      </c>
      <c r="PB402" s="764">
        <v>-1.0724128060511699E-4</v>
      </c>
      <c r="PC402" s="764">
        <v>-2.6676244155763028E-4</v>
      </c>
      <c r="PD402" s="764">
        <v>-3.8944885484921117E-5</v>
      </c>
      <c r="PE402" s="764">
        <v>-2.6890041600292181E-4</v>
      </c>
      <c r="PF402" s="764">
        <v>9.7244813567256078E-5</v>
      </c>
      <c r="PG402" s="764">
        <v>-2.5756931123481009E-4</v>
      </c>
      <c r="PH402" s="764">
        <v>-3.1305351745991242E-4</v>
      </c>
      <c r="PI402" s="764">
        <v>-6.8229003162926139E-4</v>
      </c>
      <c r="PJ402" s="764">
        <v>-1.293851994666981E-4</v>
      </c>
      <c r="PK402" s="764">
        <v>-2.9347605982387619E-4</v>
      </c>
      <c r="PL402" s="764">
        <v>-1.4434285059665821E-4</v>
      </c>
      <c r="PM402" s="764">
        <v>-2.0348291170010959E-4</v>
      </c>
      <c r="PN402" s="764">
        <v>-4.771381576850696E-5</v>
      </c>
      <c r="PO402" s="764">
        <v>-2.7918939898462707E-4</v>
      </c>
      <c r="PP402" s="764">
        <v>-8.0129695028163397E-6</v>
      </c>
      <c r="PQ402" s="764">
        <v>-1.8816416309225801E-4</v>
      </c>
      <c r="PR402" s="764">
        <v>1.678911438948715</v>
      </c>
      <c r="PS402" s="764">
        <v>-6.4061602593804619E-4</v>
      </c>
      <c r="PT402" s="764">
        <v>-2.1798520446512099E-4</v>
      </c>
      <c r="PU402" s="764">
        <v>-0.1888896927879061</v>
      </c>
      <c r="PV402" s="764">
        <v>-1.091743867251666E-4</v>
      </c>
      <c r="PW402" s="764">
        <v>-1.963809048060792E-4</v>
      </c>
      <c r="PX402" s="764">
        <v>-4.5637680927762618E-5</v>
      </c>
      <c r="PY402" s="764">
        <v>-1.794225887372504E-4</v>
      </c>
      <c r="PZ402" s="764">
        <v>-5.1011385209700087E-6</v>
      </c>
      <c r="QA402" s="764">
        <v>-1.8816416309225801E-4</v>
      </c>
      <c r="QB402" s="764">
        <v>1.6789114219218499</v>
      </c>
      <c r="QC402" s="764">
        <v>-6.4619637117580345E-4</v>
      </c>
      <c r="QD402" s="764">
        <v>-2.275988872794043E-4</v>
      </c>
      <c r="QE402" s="764">
        <v>-0.1888896927879061</v>
      </c>
      <c r="QF402" s="764">
        <v>-1.5308275578040801E-4</v>
      </c>
      <c r="QG402" s="764">
        <v>-2.3551430167597479E-4</v>
      </c>
      <c r="QH402" s="764">
        <v>-6.4042557680227337E-5</v>
      </c>
      <c r="QI402" s="764">
        <v>-1.8755246377358489E-4</v>
      </c>
      <c r="QJ402" s="764">
        <v>-4.2722312037911997E-5</v>
      </c>
      <c r="QK402" s="764">
        <v>-7.5093197168987508E-4</v>
      </c>
      <c r="QL402" s="764">
        <v>1.650360101783654</v>
      </c>
      <c r="QM402" s="764">
        <v>-6.6832227180161393E-4</v>
      </c>
      <c r="QN402" s="764">
        <v>-2.5963798429065539E-4</v>
      </c>
      <c r="QO402" s="764">
        <v>-0.30314831416394122</v>
      </c>
      <c r="QP402" s="764">
        <v>-9.590514450386681E-5</v>
      </c>
      <c r="QQ402" s="764">
        <v>2</v>
      </c>
      <c r="QR402" s="764">
        <v>-3.8799628610617103E-4</v>
      </c>
      <c r="QS402" s="764">
        <v>-5.5814503730046598E-5</v>
      </c>
      <c r="QT402" s="764">
        <v>2</v>
      </c>
      <c r="QU402" s="764">
        <v>2</v>
      </c>
      <c r="QV402" s="764">
        <v>-1.715086997181159E-4</v>
      </c>
      <c r="QW402" s="764">
        <v>-1.554711039413197E-3</v>
      </c>
      <c r="QX402" s="764">
        <v>-3.375511639344763E-4</v>
      </c>
      <c r="QY402" s="764">
        <v>-2</v>
      </c>
      <c r="QZ402" s="764">
        <v>-1.3494219106962731E-4</v>
      </c>
      <c r="RA402" s="764">
        <v>2</v>
      </c>
      <c r="RB402" s="764">
        <v>-5.6801388397760956E-4</v>
      </c>
      <c r="RC402" s="764">
        <v>-7.1129608237590478E-5</v>
      </c>
      <c r="RD402" s="764">
        <v>2</v>
      </c>
      <c r="RE402" s="764">
        <v>2</v>
      </c>
      <c r="RF402" s="764">
        <v>2</v>
      </c>
      <c r="RG402" s="764">
        <v>-1.4896547936862189E-3</v>
      </c>
      <c r="RH402" s="764">
        <v>-2.6617804655609117E-4</v>
      </c>
      <c r="RI402" s="764">
        <v>1.188185476686571E-4</v>
      </c>
      <c r="RJ402" s="764">
        <v>-1.218372338620315E-4</v>
      </c>
      <c r="RK402" s="764">
        <v>2</v>
      </c>
      <c r="RL402" s="764">
        <v>-5.5988365603436437E-4</v>
      </c>
      <c r="RM402" s="764">
        <v>-9.1073578002285249E-5</v>
      </c>
      <c r="RN402" s="764">
        <v>2</v>
      </c>
      <c r="RO402" s="764">
        <v>2</v>
      </c>
      <c r="RP402" s="764">
        <v>2</v>
      </c>
      <c r="RQ402" s="764">
        <v>-1.429095910479943E-3</v>
      </c>
      <c r="RR402" s="764">
        <v>-2.6897896563717798E-4</v>
      </c>
      <c r="RS402" s="764">
        <v>-2</v>
      </c>
      <c r="RT402" s="764">
        <v>-1.36098830643716E-4</v>
      </c>
      <c r="RU402" s="764">
        <v>1.9579007222990039</v>
      </c>
      <c r="RV402" s="764">
        <v>-6.3029495109587262E-4</v>
      </c>
      <c r="RW402" s="764">
        <v>-7.1792442776514529E-5</v>
      </c>
      <c r="RX402" s="764">
        <v>2</v>
      </c>
      <c r="RY402" s="764">
        <v>2</v>
      </c>
      <c r="RZ402" s="764">
        <v>2</v>
      </c>
      <c r="SA402" s="764">
        <v>-1.567893657764136E-3</v>
      </c>
      <c r="SB402" s="764">
        <v>-2.188109897285891E-4</v>
      </c>
      <c r="SC402" s="764">
        <v>1.420832861308689E-4</v>
      </c>
      <c r="SD402" s="764">
        <v>-1.4049464613668901E-4</v>
      </c>
      <c r="SE402" s="764">
        <v>1.854027004820936</v>
      </c>
      <c r="SF402" s="764">
        <v>-8.3440699314307016E-4</v>
      </c>
      <c r="SG402" s="764">
        <v>-7.613095034083385E-5</v>
      </c>
      <c r="SH402" s="764">
        <v>2.6447295885834239E-3</v>
      </c>
      <c r="SI402" s="764">
        <v>2</v>
      </c>
      <c r="SJ402" s="764">
        <v>2</v>
      </c>
      <c r="SK402" s="764">
        <v>-1.526327923638241E-3</v>
      </c>
      <c r="SL402" s="764">
        <v>-2.4446349701602409E-4</v>
      </c>
      <c r="SM402" s="764">
        <v>2.278118257374519E-4</v>
      </c>
      <c r="SN402" s="764">
        <v>-2.393806159274806E-4</v>
      </c>
      <c r="SO402" s="764">
        <v>1.776663670999669</v>
      </c>
      <c r="SP402" s="764">
        <v>-8.2223275646985258E-4</v>
      </c>
      <c r="SQ402" s="764">
        <v>-7.1609610506384296E-5</v>
      </c>
      <c r="SR402" s="764">
        <v>-0.79525458503224822</v>
      </c>
      <c r="SS402" s="764">
        <v>1.772564805391741E-6</v>
      </c>
      <c r="ST402" s="764">
        <v>2</v>
      </c>
      <c r="SU402" s="764">
        <v>-1.7340715588186871E-3</v>
      </c>
      <c r="SV402" s="764">
        <v>-2.0021129664781471E-4</v>
      </c>
      <c r="SW402" s="764">
        <v>-1.574551113237904</v>
      </c>
      <c r="SX402" s="764">
        <v>-1.9626353642770311E-4</v>
      </c>
      <c r="SY402" s="764">
        <v>1.592964694681603</v>
      </c>
      <c r="SZ402" s="764">
        <v>-6.2971788797216717E-4</v>
      </c>
      <c r="TA402" s="764">
        <v>-7.6291278071365052E-5</v>
      </c>
      <c r="TB402" s="764">
        <v>-4.5549861877949731E-2</v>
      </c>
      <c r="TC402" s="764">
        <v>-9.3147368192693814E-4</v>
      </c>
      <c r="TD402" s="764">
        <v>1.893015091352374</v>
      </c>
      <c r="TE402" s="764">
        <v>-9.8552442299105819E-4</v>
      </c>
      <c r="TF402" s="764">
        <v>-2.6358917235902549E-4</v>
      </c>
      <c r="TG402" s="764">
        <v>-0.16020324081313039</v>
      </c>
      <c r="TH402" s="764">
        <v>-2.416565033010277E-4</v>
      </c>
      <c r="TI402" s="764">
        <v>1.592964694681603</v>
      </c>
      <c r="TJ402" s="764">
        <v>-6.2971788797216717E-4</v>
      </c>
      <c r="TK402" s="764">
        <v>-7.6291278071365052E-5</v>
      </c>
      <c r="TL402" s="764">
        <v>-4.5549861877949731E-2</v>
      </c>
      <c r="TM402" s="764">
        <v>-9.3147368192693814E-4</v>
      </c>
      <c r="TN402" s="764">
        <v>1.893015091352374</v>
      </c>
      <c r="TO402" s="764">
        <v>-9.8552442299105819E-4</v>
      </c>
      <c r="TP402" s="764">
        <v>-1.7874585073325959E-4</v>
      </c>
      <c r="TQ402" s="764">
        <v>-0.16020324081313039</v>
      </c>
      <c r="TR402" s="764">
        <v>-2.416565033010277E-4</v>
      </c>
      <c r="TS402" s="764">
        <v>1.473108104697969</v>
      </c>
      <c r="TT402" s="764">
        <v>-1.2224849994906389E-3</v>
      </c>
      <c r="TU402" s="764">
        <v>-8.8297611663862489E-5</v>
      </c>
      <c r="TV402" s="764">
        <v>-6.4373569055490507E-2</v>
      </c>
      <c r="TW402" s="764">
        <v>-3.2494839895757729E-4</v>
      </c>
      <c r="TX402" s="764">
        <v>1.8447095854994451</v>
      </c>
      <c r="TY402" s="764">
        <v>-1.035057981196019E-3</v>
      </c>
      <c r="TZ402" s="764">
        <v>-1.787284428443492E-4</v>
      </c>
      <c r="UA402" s="764">
        <v>-0.52472436155810942</v>
      </c>
      <c r="UB402" s="764">
        <v>-3.3710425466257951E-4</v>
      </c>
      <c r="UC402" s="764">
        <v>1.128222967032052</v>
      </c>
      <c r="UD402" s="764">
        <v>-1.351435055854114E-4</v>
      </c>
      <c r="UE402" s="764">
        <v>-4.7884376115369802E-4</v>
      </c>
      <c r="UF402" s="764">
        <v>-0.40754119291284641</v>
      </c>
      <c r="UG402" s="764">
        <v>-2.4111486016321901E-4</v>
      </c>
      <c r="UH402" s="764">
        <v>2</v>
      </c>
      <c r="UI402" s="764">
        <v>-4.4058022492501848E-4</v>
      </c>
      <c r="UJ402" s="764">
        <v>-2.7828669924296419E-4</v>
      </c>
      <c r="UK402" s="764">
        <v>-5.4631781353363711E-2</v>
      </c>
      <c r="UL402" s="764">
        <v>-1.54149595293556E-4</v>
      </c>
      <c r="UM402" s="764">
        <v>1.084878957594577</v>
      </c>
      <c r="UN402" s="764">
        <v>-1.603209275203941E-4</v>
      </c>
      <c r="UO402" s="764">
        <v>1.1990709480348121</v>
      </c>
      <c r="UP402" s="764">
        <v>-9.7549934678742789E-2</v>
      </c>
      <c r="UQ402" s="764">
        <v>-1.8598986716259001E-4</v>
      </c>
      <c r="UR402" s="764">
        <v>1.9949974966931709</v>
      </c>
      <c r="US402" s="764">
        <v>-4.7841813220326931E-4</v>
      </c>
      <c r="UT402" s="764">
        <v>-1.423328506584472E-4</v>
      </c>
      <c r="UU402" s="764">
        <v>-0.34494610403173659</v>
      </c>
      <c r="UV402" s="764">
        <v>-1.241717909877235E-4</v>
      </c>
      <c r="UW402" s="764">
        <v>1.1075980318289911</v>
      </c>
      <c r="UX402" s="764">
        <v>-1.2281568610080439E-4</v>
      </c>
      <c r="UY402" s="764">
        <v>1.483933550853471</v>
      </c>
      <c r="UZ402" s="764">
        <v>-0.39442789081834861</v>
      </c>
      <c r="VA402" s="764">
        <v>-1.5780113218766809E-4</v>
      </c>
      <c r="VB402" s="764">
        <v>2</v>
      </c>
      <c r="VC402" s="764">
        <v>-4.0275038392026489E-4</v>
      </c>
      <c r="VD402" s="764">
        <v>-1.8013368647879269E-4</v>
      </c>
      <c r="VE402" s="764">
        <v>0.74389255664649545</v>
      </c>
      <c r="VF402" s="764">
        <v>-7.9697799976772169E-5</v>
      </c>
      <c r="VG402" s="764">
        <v>1.0466826417509889</v>
      </c>
      <c r="VH402" s="764">
        <v>-1.321057378800234E-4</v>
      </c>
      <c r="VI402" s="764">
        <v>1.1616133570775939</v>
      </c>
      <c r="VJ402" s="764">
        <v>-0.1942818547810457</v>
      </c>
      <c r="VK402" s="764">
        <v>-1.7275229909766799E-4</v>
      </c>
      <c r="VL402" s="764">
        <v>1.9632301258615339</v>
      </c>
      <c r="VM402" s="764">
        <v>-4.5806779064804041E-4</v>
      </c>
      <c r="VN402" s="764">
        <v>-2.405707191376018E-4</v>
      </c>
      <c r="VO402" s="764">
        <v>-0.34574664357238732</v>
      </c>
      <c r="VP402" s="764">
        <v>-1.5459422903655421E-4</v>
      </c>
      <c r="VQ402" s="764">
        <v>1.0456934525962069</v>
      </c>
      <c r="VR402" s="764">
        <v>-1.4385643125511581E-4</v>
      </c>
      <c r="VS402" s="764">
        <v>-1.9890532972124321E-4</v>
      </c>
      <c r="VT402" s="764">
        <v>-0.1212404997698075</v>
      </c>
      <c r="VU402" s="764">
        <v>-2.4656948239016288E-3</v>
      </c>
      <c r="VV402" s="764">
        <v>1.9586246944339829</v>
      </c>
      <c r="VW402" s="764">
        <v>-4.4978256700351128E-4</v>
      </c>
      <c r="VX402" s="764">
        <v>-1.344571118624982E-4</v>
      </c>
      <c r="VY402" s="764">
        <v>-7.8522298043286698E-2</v>
      </c>
      <c r="VZ402" s="764">
        <v>-8.7365995032187275E-5</v>
      </c>
      <c r="WA402" s="764">
        <v>1.11130294220117</v>
      </c>
      <c r="WB402" s="764">
        <v>-1.4253636499611709E-4</v>
      </c>
      <c r="WC402" s="764">
        <v>-2.0052293514215741E-4</v>
      </c>
      <c r="WD402" s="764">
        <v>-6.2329840343637782E-2</v>
      </c>
      <c r="WE402" s="764">
        <v>-6.6302177357436339E-4</v>
      </c>
      <c r="WF402" s="764">
        <v>1.959175677329535</v>
      </c>
      <c r="WG402" s="764">
        <v>-4.2350429686280821E-4</v>
      </c>
      <c r="WH402" s="764">
        <v>-2.9734649398183919E-4</v>
      </c>
      <c r="WI402" s="764">
        <v>-0.67704093399836296</v>
      </c>
      <c r="WJ402" s="764">
        <v>-7.744967317264928E-5</v>
      </c>
      <c r="WK402" s="764">
        <v>1.1247773478336149</v>
      </c>
      <c r="WL402" s="764">
        <v>-1.5462880944896589E-4</v>
      </c>
      <c r="WM402" s="764">
        <v>-2.175819753314498E-4</v>
      </c>
      <c r="WN402" s="764">
        <v>-6.8659499867993335E-4</v>
      </c>
      <c r="WO402" s="764">
        <v>-9.6268031913180466E-5</v>
      </c>
      <c r="WP402" s="764">
        <v>1.9451693367716549</v>
      </c>
      <c r="WQ402" s="764">
        <v>-4.8133805285112668E-4</v>
      </c>
      <c r="WR402" s="764">
        <v>-1.7043585012378111E-4</v>
      </c>
      <c r="WS402" s="764">
        <v>-4.8229363570437951E-2</v>
      </c>
      <c r="WT402" s="764">
        <v>-1.3189652874199479E-4</v>
      </c>
      <c r="WU402" s="764">
        <v>1.1247646833919549</v>
      </c>
      <c r="WV402" s="764">
        <v>-1.175801575047464E-4</v>
      </c>
      <c r="WW402" s="764">
        <v>-2.175819753314498E-4</v>
      </c>
      <c r="WX402" s="764">
        <v>-6.6979976713429999E-4</v>
      </c>
      <c r="WY402" s="764">
        <v>-9.3746186900370336E-5</v>
      </c>
      <c r="WZ402" s="764">
        <v>1.9451693367716549</v>
      </c>
      <c r="XA402" s="764">
        <v>-4.8133805285112668E-4</v>
      </c>
      <c r="XB402" s="764">
        <v>-2.0112169812691499E-4</v>
      </c>
      <c r="XC402" s="764">
        <v>-4.8229363570437951E-2</v>
      </c>
      <c r="XD402" s="764">
        <v>-1.190488723083337E-4</v>
      </c>
      <c r="XE402" s="764">
        <v>1.129141443242748</v>
      </c>
      <c r="XF402" s="764">
        <v>-1.6150580170063401E-4</v>
      </c>
      <c r="XG402" s="764">
        <v>-2.3466223903609429E-4</v>
      </c>
      <c r="XH402" s="764">
        <v>-4.9182727067110415E-4</v>
      </c>
      <c r="XI402" s="764">
        <v>-8.8947878033307872E-5</v>
      </c>
      <c r="XJ402" s="764">
        <v>1.8920931820866089</v>
      </c>
      <c r="XK402" s="764">
        <v>-3.533135033810067E-4</v>
      </c>
      <c r="XL402" s="764">
        <v>-1.9059921272633561E-4</v>
      </c>
      <c r="XM402" s="764">
        <v>-0.23890559144612819</v>
      </c>
      <c r="XN402" s="764">
        <v>-8.1517328093085319E-5</v>
      </c>
      <c r="XO402" s="764">
        <v>2</v>
      </c>
      <c r="XP402" s="764">
        <v>-1.9414343689656521E-4</v>
      </c>
      <c r="XQ402" s="764">
        <v>1.706222011147728</v>
      </c>
      <c r="XR402" s="764">
        <v>-0.2312774267106136</v>
      </c>
      <c r="XS402" s="764">
        <v>0.49180961025711839</v>
      </c>
      <c r="XT402" s="764">
        <v>2</v>
      </c>
      <c r="XU402" s="764">
        <v>0.64152836718948902</v>
      </c>
      <c r="XV402" s="764">
        <v>-8.9527333484532102E-5</v>
      </c>
      <c r="XW402" s="764">
        <v>5.160362133329277E-4</v>
      </c>
      <c r="XX402" s="875">
        <v>1.5265625173452739</v>
      </c>
      <c r="XY402" s="875">
        <v>2</v>
      </c>
      <c r="XZ402" s="875">
        <v>-1.884931971152537E-4</v>
      </c>
      <c r="YA402" s="875">
        <v>1.563549144870195</v>
      </c>
      <c r="YB402" s="875">
        <v>0.52282745458568258</v>
      </c>
      <c r="YC402" s="875">
        <v>0.49612587287211218</v>
      </c>
      <c r="YD402" s="875">
        <v>2</v>
      </c>
      <c r="YE402" s="875">
        <v>0.62576550985914359</v>
      </c>
      <c r="YF402" s="875">
        <v>-8.0138944323271256E-5</v>
      </c>
      <c r="YG402" s="875">
        <v>8.7273948059543788E-4</v>
      </c>
      <c r="YH402" s="875">
        <v>1.521083292120506</v>
      </c>
      <c r="YI402" s="875">
        <v>2</v>
      </c>
      <c r="YJ402" s="875">
        <v>0.65588172056437077</v>
      </c>
      <c r="YK402" s="875">
        <v>1.6529182362958059</v>
      </c>
      <c r="YL402" s="875">
        <v>5.6142239536530209E-3</v>
      </c>
      <c r="YM402" s="875">
        <v>0.41022843163394918</v>
      </c>
      <c r="YN402" s="875">
        <v>2</v>
      </c>
      <c r="YO402" s="875">
        <v>0.62452014717184745</v>
      </c>
      <c r="YP402" s="875">
        <v>-8.2965065355807276E-5</v>
      </c>
      <c r="YQ402" s="875">
        <v>7.6756971936347098E-4</v>
      </c>
      <c r="YR402" s="875">
        <v>1.5269342778141499</v>
      </c>
      <c r="YS402" s="875">
        <v>2</v>
      </c>
      <c r="YT402" s="875">
        <v>-1.940842538458888E-4</v>
      </c>
      <c r="YU402" s="875">
        <v>1.514238947685115</v>
      </c>
      <c r="YV402" s="875">
        <v>0.33542992938379379</v>
      </c>
      <c r="YW402" s="875">
        <v>0.50984299756681617</v>
      </c>
      <c r="YX402" s="875">
        <v>2</v>
      </c>
      <c r="YY402" s="875">
        <v>0.60015849148536282</v>
      </c>
      <c r="YZ402" s="875">
        <v>-7.6363553140111677E-5</v>
      </c>
      <c r="ZA402" s="875">
        <v>1.0427824097852059E-3</v>
      </c>
      <c r="ZB402" s="875">
        <v>1.4738660122307199</v>
      </c>
      <c r="ZC402" s="875">
        <v>2</v>
      </c>
      <c r="ZD402" s="875">
        <v>-2.124992458207489E-4</v>
      </c>
      <c r="ZE402" s="875">
        <v>1.5335899112022739</v>
      </c>
      <c r="ZF402" s="875">
        <v>-6.49410572186554E-4</v>
      </c>
      <c r="ZG402" s="875">
        <v>0.64158159906483825</v>
      </c>
      <c r="ZH402" s="875">
        <v>2</v>
      </c>
      <c r="ZI402" s="875">
        <v>0.56089240316718736</v>
      </c>
      <c r="ZJ402" s="875">
        <v>-7.233793516572285E-5</v>
      </c>
      <c r="ZK402" s="875">
        <v>6.8503029675257021E-4</v>
      </c>
      <c r="ZL402" s="875">
        <v>1.452046180219678</v>
      </c>
      <c r="ZM402" s="875">
        <v>2</v>
      </c>
      <c r="ZN402" s="875">
        <v>-2.1357488086017361E-4</v>
      </c>
      <c r="ZO402" s="875">
        <v>1.470018229672627</v>
      </c>
      <c r="ZP402" s="875">
        <v>-5.4211968647673253E-4</v>
      </c>
      <c r="ZQ402" s="875">
        <v>0.68483719599385318</v>
      </c>
      <c r="ZR402" s="875">
        <v>2</v>
      </c>
      <c r="ZS402" s="875">
        <v>0.53754015807139421</v>
      </c>
      <c r="ZT402" s="875">
        <v>-6.7852172311847381E-5</v>
      </c>
      <c r="ZU402" s="875">
        <v>2.9671065958420312E-4</v>
      </c>
      <c r="ZV402" s="875">
        <v>1.4337573107983661</v>
      </c>
      <c r="ZW402" s="875">
        <v>2</v>
      </c>
      <c r="ZX402" s="875">
        <v>-1.7804556459026819E-4</v>
      </c>
      <c r="ZY402" s="875">
        <v>1.9292073109155989</v>
      </c>
      <c r="ZZ402" s="875">
        <v>-3.451073268366054E-4</v>
      </c>
      <c r="AAA402" s="875">
        <v>-4.862712352655748E-4</v>
      </c>
      <c r="AAB402" s="875">
        <v>1.9999999999999989</v>
      </c>
      <c r="AAC402" s="875">
        <v>0.54881192820902036</v>
      </c>
      <c r="AAD402" s="875">
        <v>-9.3065528547667104E-5</v>
      </c>
      <c r="AAE402" s="875">
        <v>-1.1025238577476111</v>
      </c>
      <c r="AAF402" s="875">
        <v>1.3325235976063921</v>
      </c>
      <c r="AAG402" s="875">
        <v>2</v>
      </c>
      <c r="AAH402" s="875">
        <v>-1.7804556459026819E-4</v>
      </c>
      <c r="AAI402" s="875">
        <v>1.9292073109155989</v>
      </c>
      <c r="AAJ402" s="875">
        <v>-3.451073268366054E-4</v>
      </c>
      <c r="AAK402" s="875">
        <v>-4.862712352655748E-4</v>
      </c>
      <c r="AAL402" s="875">
        <v>1.9999999999999989</v>
      </c>
      <c r="AAM402" s="875">
        <v>0.54881192820902036</v>
      </c>
      <c r="AAN402" s="875">
        <v>-1.0002213355678249E-4</v>
      </c>
      <c r="AAO402" s="875">
        <v>-1.1025238577476111</v>
      </c>
      <c r="AAP402" s="875">
        <v>1.3325235976063921</v>
      </c>
      <c r="AAQ402" s="875">
        <v>2</v>
      </c>
      <c r="AAR402" s="875">
        <v>-1.848056271595332E-4</v>
      </c>
      <c r="AAS402" s="875">
        <v>-7.0986877167286547E-5</v>
      </c>
      <c r="AAT402" s="875">
        <v>-3.2927307349486871E-4</v>
      </c>
      <c r="AAU402" s="875">
        <v>-1.4202079000374631E-4</v>
      </c>
      <c r="AAV402" s="875">
        <v>2</v>
      </c>
      <c r="AAW402" s="875">
        <v>0.47570173808205157</v>
      </c>
      <c r="AAX402" s="875">
        <v>-7.7119436522389963E-5</v>
      </c>
      <c r="AAY402" s="875">
        <v>-0.97741887244908143</v>
      </c>
      <c r="AAZ402" s="875">
        <v>1.330598340388542</v>
      </c>
      <c r="ABA402" s="875"/>
      <c r="ABB402" s="875"/>
      <c r="ABC402" s="875"/>
      <c r="ABD402" s="875"/>
      <c r="ABE402" s="875"/>
      <c r="ABF402" s="875"/>
      <c r="ABG402" s="875"/>
      <c r="ABH402" s="875"/>
      <c r="ABI402" s="875"/>
      <c r="ABJ402" s="875"/>
      <c r="ABK402" s="875"/>
      <c r="ABL402" s="875"/>
      <c r="ABM402" s="875"/>
      <c r="ABN402" s="875"/>
      <c r="ABO402" s="875"/>
      <c r="ABP402" s="875"/>
      <c r="ABQ402" s="875"/>
      <c r="ABR402" s="875"/>
      <c r="ABS402" s="875"/>
      <c r="ABT402" s="875"/>
      <c r="ABU402" s="875"/>
      <c r="ABV402" s="875"/>
      <c r="ABW402" s="875"/>
      <c r="ABX402" s="875"/>
      <c r="ABY402" s="875"/>
      <c r="ABZ402" s="875"/>
      <c r="ACA402" s="875"/>
      <c r="ACB402" s="875"/>
      <c r="ACC402" s="875"/>
      <c r="ACD402" s="875"/>
      <c r="ACE402" s="875"/>
      <c r="ACF402" s="875"/>
      <c r="ACG402" s="875"/>
      <c r="ACH402" s="875"/>
      <c r="ACI402" s="875"/>
      <c r="ACJ402" s="875"/>
      <c r="ACK402" s="875"/>
      <c r="ACL402" s="875"/>
      <c r="ACM402" s="875"/>
      <c r="ACN402" s="875"/>
      <c r="ACO402" s="875"/>
      <c r="ACP402" s="875"/>
      <c r="ACQ402" s="875"/>
      <c r="ACR402" s="875"/>
      <c r="ACS402" s="875"/>
      <c r="ACT402" s="875"/>
      <c r="ACU402" s="875"/>
      <c r="ACV402" s="875"/>
      <c r="ACW402" s="875"/>
      <c r="ACX402" s="875"/>
      <c r="ACY402" s="875"/>
      <c r="ACZ402" s="875"/>
      <c r="ADA402" s="875"/>
      <c r="ADB402" s="875"/>
      <c r="ADC402" s="875"/>
      <c r="ADD402" s="875"/>
      <c r="ADE402" s="875"/>
      <c r="ADF402" s="875"/>
      <c r="ADG402" s="875"/>
      <c r="ADH402" s="875"/>
      <c r="ADI402" s="875"/>
      <c r="ADJ402" s="875"/>
      <c r="ADK402" s="875"/>
      <c r="ADL402" s="875"/>
      <c r="ADM402" s="875"/>
      <c r="ADN402" s="875"/>
      <c r="ADO402" s="875"/>
      <c r="ADP402" s="875"/>
      <c r="ADQ402" s="875"/>
      <c r="ADR402" s="875"/>
      <c r="ADS402" s="875"/>
      <c r="ADT402" s="875"/>
      <c r="ADU402" s="875"/>
      <c r="ADV402" s="875"/>
      <c r="ADW402" s="875"/>
      <c r="ADX402" s="875"/>
      <c r="ADY402" s="875"/>
      <c r="ADZ402" s="875"/>
      <c r="AEA402" s="875"/>
      <c r="AEB402" s="875"/>
      <c r="AEC402" s="875"/>
      <c r="AED402" s="875"/>
      <c r="AEE402" s="875"/>
      <c r="AEF402" s="875"/>
      <c r="AEG402" s="875"/>
      <c r="AEH402" s="875"/>
      <c r="AEI402" s="875"/>
      <c r="AEJ402" s="875"/>
      <c r="AEK402" s="875"/>
      <c r="AEL402" s="875"/>
      <c r="AEM402" s="875"/>
      <c r="AEN402" s="875"/>
      <c r="AEO402" s="875"/>
      <c r="AEP402" s="875"/>
      <c r="AEQ402" s="875"/>
      <c r="AER402" s="875"/>
      <c r="AES402" s="875"/>
      <c r="AET402" s="875"/>
      <c r="AEU402" s="875"/>
      <c r="AEV402" s="875"/>
      <c r="AEW402" s="875"/>
      <c r="AEX402" s="875"/>
      <c r="AEY402" s="875"/>
      <c r="AEZ402" s="875"/>
      <c r="AFA402" s="875"/>
      <c r="AFB402" s="875"/>
      <c r="AFC402" s="875"/>
      <c r="AFD402" s="875"/>
      <c r="AFE402" s="875"/>
      <c r="AFF402" s="875"/>
      <c r="AFG402" s="875"/>
      <c r="AFH402" s="875"/>
      <c r="AFI402" s="875"/>
      <c r="AFJ402" s="875"/>
      <c r="AFK402" s="875"/>
      <c r="AFL402" s="875"/>
      <c r="AFM402" s="875"/>
      <c r="AFN402" s="875"/>
      <c r="AFO402" s="875"/>
      <c r="AFP402" s="875"/>
      <c r="AFQ402" s="875"/>
      <c r="AFR402" s="875"/>
      <c r="AFS402" s="875"/>
      <c r="AFT402" s="875"/>
      <c r="AFU402" s="875"/>
      <c r="AFV402" s="875"/>
      <c r="AFW402" s="875"/>
      <c r="AFX402" s="875"/>
      <c r="AFY402" s="875"/>
      <c r="AFZ402" s="875"/>
      <c r="AGA402" s="875"/>
      <c r="AGB402" s="875"/>
      <c r="AGC402" s="875"/>
      <c r="AGD402" s="875"/>
      <c r="AGE402" s="875"/>
      <c r="AGF402" s="875"/>
      <c r="AGG402" s="875"/>
      <c r="AGH402" s="875"/>
      <c r="AGI402" s="875"/>
      <c r="AGJ402" s="875"/>
      <c r="AGK402" s="875"/>
      <c r="AGL402" s="875"/>
      <c r="AGM402" s="875"/>
      <c r="AGN402" s="875"/>
      <c r="AGO402" s="875"/>
      <c r="AGP402" s="875"/>
      <c r="AGQ402" s="875"/>
      <c r="AGR402" s="875"/>
      <c r="AGS402" s="875"/>
      <c r="AGT402" s="875"/>
      <c r="AGU402" s="875"/>
      <c r="AGV402" s="875"/>
      <c r="AGW402" s="875"/>
      <c r="AGX402" s="875"/>
      <c r="AGY402" s="875"/>
      <c r="AGZ402" s="875"/>
      <c r="AHA402" s="875"/>
      <c r="AHB402" s="875"/>
      <c r="AHC402" s="875"/>
      <c r="AHD402" s="875"/>
      <c r="AHE402" s="875"/>
      <c r="AHF402" s="875"/>
      <c r="AHG402" s="875"/>
      <c r="AHH402" s="875"/>
      <c r="AHI402" s="875"/>
      <c r="AHJ402" s="875"/>
      <c r="AHK402" s="875"/>
      <c r="AHL402" s="875"/>
      <c r="AHM402" s="875"/>
      <c r="AHN402" s="875"/>
      <c r="AHO402" s="875"/>
      <c r="AHP402" s="875"/>
      <c r="AHQ402" s="875"/>
      <c r="AHR402" s="875"/>
      <c r="AHS402" s="875"/>
      <c r="AHT402" s="875"/>
      <c r="AHU402" s="875"/>
      <c r="AHV402" s="875"/>
      <c r="AHW402" s="875"/>
      <c r="AHX402" s="875"/>
      <c r="AHY402" s="875"/>
      <c r="AHZ402" s="875"/>
      <c r="AIA402" s="875"/>
      <c r="AIB402" s="875"/>
      <c r="AIC402" s="875"/>
      <c r="AID402" s="875"/>
      <c r="AIE402" s="875"/>
      <c r="AIF402" s="875"/>
      <c r="AIG402" s="875"/>
      <c r="AIH402" s="875"/>
      <c r="AII402" s="875"/>
      <c r="AIJ402" s="875"/>
      <c r="AIK402" s="875"/>
      <c r="AIL402" s="875"/>
      <c r="AIM402" s="875"/>
      <c r="AIN402" s="875"/>
      <c r="AIO402" s="875"/>
      <c r="AIP402" s="875"/>
      <c r="AIQ402" s="875"/>
      <c r="AIR402" s="875"/>
      <c r="AIS402" s="875"/>
      <c r="AIT402" s="875"/>
      <c r="AIU402" s="875"/>
      <c r="AIV402" s="875"/>
      <c r="AIW402" s="875"/>
      <c r="AIX402" s="875"/>
      <c r="AIY402" s="875"/>
      <c r="AIZ402" s="875"/>
      <c r="AJA402" s="875"/>
      <c r="AJB402" s="875"/>
      <c r="AJC402" s="875"/>
      <c r="AJD402" s="875"/>
      <c r="AJE402" s="875"/>
      <c r="AJF402" s="875"/>
      <c r="AJG402" s="875"/>
      <c r="AJH402" s="875"/>
      <c r="AJI402" s="875"/>
      <c r="AJJ402" s="875"/>
      <c r="AJK402" s="875"/>
      <c r="AJL402" s="875"/>
      <c r="AJM402" s="875"/>
      <c r="AJN402" s="875"/>
      <c r="AJO402" s="875"/>
      <c r="AJP402" s="875"/>
      <c r="AJQ402" s="875"/>
      <c r="AJR402" s="875"/>
      <c r="AJS402" s="875"/>
      <c r="AJT402" s="875"/>
      <c r="AJU402" s="875"/>
      <c r="AJV402" s="875"/>
      <c r="AJW402" s="875"/>
      <c r="AJX402" s="875"/>
      <c r="AJY402" s="875"/>
      <c r="AJZ402" s="875"/>
      <c r="AKA402" s="875"/>
      <c r="AKB402" s="875"/>
      <c r="AKC402" s="875"/>
      <c r="AKD402" s="875"/>
      <c r="AKE402" s="875"/>
      <c r="AKF402" s="875"/>
      <c r="AKG402" s="875"/>
      <c r="AKH402" s="875"/>
      <c r="AKI402" s="875"/>
      <c r="AKJ402" s="875"/>
      <c r="AKK402" s="875"/>
      <c r="AKL402" s="875"/>
      <c r="AKM402" s="875"/>
      <c r="AKN402" s="875"/>
      <c r="AKO402" s="875"/>
      <c r="AKP402" s="875"/>
      <c r="AKQ402" s="875"/>
      <c r="AKR402" s="875"/>
      <c r="AKS402" s="875"/>
      <c r="AKT402" s="875"/>
      <c r="AKU402" s="875"/>
      <c r="AKV402" s="875"/>
      <c r="AKW402" s="875"/>
      <c r="AKX402" s="875"/>
      <c r="AKY402" s="875"/>
      <c r="AKZ402" s="875"/>
      <c r="ALA402" s="875"/>
      <c r="ALB402" s="875"/>
      <c r="ALC402" s="875"/>
      <c r="ALD402" s="875"/>
      <c r="ALE402" s="875"/>
      <c r="ALF402" s="875"/>
      <c r="ALG402" s="875"/>
      <c r="ALH402" s="875"/>
      <c r="ALI402" s="875"/>
      <c r="ALJ402" s="875"/>
      <c r="ALK402" s="875"/>
      <c r="ALL402" s="875"/>
      <c r="ALM402" s="875"/>
      <c r="ALN402" s="875"/>
      <c r="ALO402" s="875"/>
      <c r="ALP402" s="875"/>
      <c r="ALQ402" s="875"/>
      <c r="ALR402" s="875"/>
      <c r="ALS402" s="875"/>
      <c r="ALT402" s="875"/>
      <c r="ALU402" s="875"/>
      <c r="ALV402" s="875"/>
      <c r="ALW402" s="875"/>
      <c r="ALX402" s="875"/>
      <c r="ALY402" s="875"/>
      <c r="ALZ402" s="875"/>
      <c r="AMA402" s="875"/>
      <c r="AMB402" s="875"/>
      <c r="AMC402" s="875"/>
      <c r="AMD402" s="875"/>
      <c r="AME402" s="875"/>
      <c r="AMF402" s="875"/>
      <c r="AMG402" s="875"/>
      <c r="AMH402" s="875"/>
      <c r="AMI402" s="875"/>
      <c r="AMJ402" s="875"/>
      <c r="AMK402" s="875"/>
      <c r="AML402" s="875"/>
      <c r="AMM402" s="875"/>
      <c r="AMN402" s="875"/>
      <c r="AMO402" s="875"/>
      <c r="AMP402" s="875"/>
      <c r="AMQ402" s="875"/>
      <c r="AMR402" s="875"/>
      <c r="AMS402" s="875"/>
      <c r="AMT402" s="875"/>
      <c r="AMU402" s="875"/>
      <c r="AMV402" s="875"/>
      <c r="AMW402" s="875"/>
      <c r="AMX402" s="875"/>
      <c r="AMY402" s="875"/>
      <c r="AMZ402" s="875"/>
      <c r="ANA402" s="875"/>
      <c r="ANB402" s="875"/>
      <c r="ANC402" s="875"/>
      <c r="AND402" s="875"/>
      <c r="ANE402" s="875"/>
      <c r="ANF402" s="875"/>
      <c r="ANG402" s="875"/>
      <c r="ANH402" s="875"/>
      <c r="ANI402" s="875"/>
      <c r="ANJ402" s="875"/>
      <c r="ANK402" s="875"/>
      <c r="ANL402" s="875"/>
      <c r="ANM402" s="875"/>
      <c r="ANN402" s="875"/>
      <c r="ANO402" s="875"/>
      <c r="ANP402" s="875"/>
      <c r="ANQ402" s="875"/>
      <c r="ANR402" s="875"/>
      <c r="ANS402" s="875"/>
      <c r="ANT402" s="875"/>
      <c r="ANU402" s="875"/>
      <c r="ANV402" s="875"/>
      <c r="ANW402" s="875"/>
      <c r="ANX402" s="875"/>
      <c r="ANY402" s="875"/>
      <c r="ANZ402" s="875"/>
      <c r="AOA402" s="875"/>
      <c r="AOB402" s="875"/>
      <c r="AOC402" s="875"/>
      <c r="AOD402" s="875"/>
      <c r="AOE402" s="875"/>
      <c r="AOF402" s="875"/>
      <c r="AOG402" s="875"/>
      <c r="AOH402" s="875"/>
      <c r="AOI402" s="875"/>
      <c r="AOJ402" s="875"/>
      <c r="AOK402" s="875"/>
      <c r="AOL402" s="875"/>
      <c r="AOM402" s="875"/>
      <c r="AON402" s="875"/>
      <c r="AOO402" s="875"/>
      <c r="AOP402" s="875"/>
      <c r="AOQ402" s="875"/>
      <c r="AOR402" s="875"/>
      <c r="AOS402" s="875"/>
      <c r="AOT402" s="875"/>
      <c r="AOU402" s="875"/>
      <c r="AOV402" s="875"/>
      <c r="AOW402" s="887"/>
    </row>
    <row r="403" spans="2:1089" hidden="1">
      <c r="B403" s="1000" t="s">
        <v>1053</v>
      </c>
      <c r="C403" s="1000"/>
      <c r="D403" s="836"/>
      <c r="E403" s="892" t="s">
        <v>1043</v>
      </c>
      <c r="F403" s="462"/>
      <c r="G403" s="462" t="s">
        <v>65</v>
      </c>
      <c r="H403" s="462"/>
      <c r="I403" s="875"/>
      <c r="J403" s="875"/>
      <c r="K403" s="875"/>
      <c r="L403" s="875"/>
      <c r="M403" s="875"/>
      <c r="N403" s="875"/>
      <c r="O403" s="875"/>
      <c r="P403" s="875"/>
      <c r="Q403" s="875"/>
      <c r="R403" s="875"/>
      <c r="S403" s="875"/>
      <c r="T403" s="875"/>
      <c r="U403" s="875"/>
      <c r="V403" s="875"/>
      <c r="W403" s="875"/>
      <c r="X403" s="875"/>
      <c r="Y403" s="875"/>
      <c r="Z403" s="875"/>
      <c r="AA403" s="875"/>
      <c r="AB403" s="875"/>
      <c r="AC403" s="875"/>
      <c r="AD403" s="875"/>
      <c r="AE403" s="875"/>
      <c r="AF403" s="875"/>
      <c r="AG403" s="875"/>
      <c r="AH403" s="875"/>
      <c r="AI403" s="875"/>
      <c r="AJ403" s="875"/>
      <c r="AK403" s="875"/>
      <c r="AL403" s="875"/>
      <c r="AM403" s="875"/>
      <c r="AN403" s="875"/>
      <c r="AO403" s="875"/>
      <c r="AP403" s="875"/>
      <c r="AQ403" s="875"/>
      <c r="AR403" s="875"/>
      <c r="AS403" s="875"/>
      <c r="AT403" s="875"/>
      <c r="AU403" s="875"/>
      <c r="AV403" s="875"/>
      <c r="AW403" s="875"/>
      <c r="AX403" s="875"/>
      <c r="AY403" s="875"/>
      <c r="AZ403" s="875"/>
      <c r="BA403" s="875"/>
      <c r="BB403" s="875"/>
      <c r="BC403" s="875"/>
      <c r="BD403" s="875"/>
      <c r="BE403" s="875"/>
      <c r="BF403" s="875"/>
      <c r="BG403" s="875"/>
      <c r="BH403" s="875"/>
      <c r="BI403" s="875"/>
      <c r="BJ403" s="875"/>
      <c r="BK403" s="875"/>
      <c r="BL403" s="875"/>
      <c r="BM403" s="875"/>
      <c r="BN403" s="875"/>
      <c r="BO403" s="875"/>
      <c r="BP403" s="875"/>
      <c r="BQ403" s="875"/>
      <c r="BR403" s="875"/>
      <c r="BS403" s="875"/>
      <c r="BT403" s="875"/>
      <c r="BU403" s="875"/>
      <c r="BV403" s="875"/>
      <c r="BW403" s="875"/>
      <c r="BX403" s="875"/>
      <c r="BY403" s="875"/>
      <c r="BZ403" s="875"/>
      <c r="CA403" s="875"/>
      <c r="CB403" s="875"/>
      <c r="CC403" s="875"/>
      <c r="CD403" s="875"/>
      <c r="CE403" s="875"/>
      <c r="CF403" s="875"/>
      <c r="CG403" s="875"/>
      <c r="CH403" s="875"/>
      <c r="CI403" s="875"/>
      <c r="CJ403" s="875"/>
      <c r="CK403" s="875"/>
      <c r="CL403" s="875"/>
      <c r="CM403" s="875"/>
      <c r="CN403" s="875"/>
      <c r="CO403" s="875"/>
      <c r="CP403" s="875"/>
      <c r="CQ403" s="875"/>
      <c r="CR403" s="875"/>
      <c r="CS403" s="875"/>
      <c r="CT403" s="875"/>
      <c r="CU403" s="875"/>
      <c r="CV403" s="875"/>
      <c r="CW403" s="875"/>
      <c r="CX403" s="875"/>
      <c r="CY403" s="875"/>
      <c r="CZ403" s="875"/>
      <c r="DA403" s="875"/>
      <c r="DB403" s="875"/>
      <c r="DC403" s="875"/>
      <c r="DD403" s="875"/>
      <c r="DE403" s="875"/>
      <c r="DF403" s="875"/>
      <c r="DG403" s="875"/>
      <c r="DH403" s="875"/>
      <c r="DI403" s="875"/>
      <c r="DJ403" s="875"/>
      <c r="DK403" s="875"/>
      <c r="DL403" s="875"/>
      <c r="DM403" s="875"/>
      <c r="DN403" s="875"/>
      <c r="DO403" s="875"/>
      <c r="DP403" s="875"/>
      <c r="DQ403" s="875"/>
      <c r="DR403" s="875"/>
      <c r="DS403" s="875"/>
      <c r="DT403" s="875"/>
      <c r="DU403" s="875"/>
      <c r="DV403" s="875"/>
      <c r="DW403" s="875"/>
      <c r="DX403" s="875"/>
      <c r="DY403" s="875"/>
      <c r="DZ403" s="875"/>
      <c r="EA403" s="875"/>
      <c r="EB403" s="875"/>
      <c r="EC403" s="875"/>
      <c r="ED403" s="875"/>
      <c r="EE403" s="875"/>
      <c r="EF403" s="875"/>
      <c r="EG403" s="875"/>
      <c r="EH403" s="875"/>
      <c r="EI403" s="875"/>
      <c r="EJ403" s="875"/>
      <c r="EK403" s="875"/>
      <c r="EL403" s="875"/>
      <c r="EM403" s="875"/>
      <c r="EN403" s="875"/>
      <c r="EO403" s="875"/>
      <c r="EP403" s="875"/>
      <c r="EQ403" s="875"/>
      <c r="ER403" s="875"/>
      <c r="ES403" s="875"/>
      <c r="ET403" s="875"/>
      <c r="EU403" s="875"/>
      <c r="EV403" s="875"/>
      <c r="EW403" s="875"/>
      <c r="EX403" s="875"/>
      <c r="EY403" s="875"/>
      <c r="EZ403" s="875"/>
      <c r="FA403" s="875"/>
      <c r="FB403" s="875"/>
      <c r="FC403" s="875"/>
      <c r="FD403" s="875"/>
      <c r="FE403" s="875"/>
      <c r="FF403" s="875"/>
      <c r="FG403" s="875"/>
      <c r="FH403" s="875"/>
      <c r="FI403" s="875"/>
      <c r="FJ403" s="875"/>
      <c r="FK403" s="875"/>
      <c r="FL403" s="875"/>
      <c r="FM403" s="875"/>
      <c r="FN403" s="875"/>
      <c r="FO403" s="875"/>
      <c r="FP403" s="875"/>
      <c r="FQ403" s="875"/>
      <c r="FR403" s="875"/>
      <c r="FS403" s="875"/>
      <c r="FT403" s="875"/>
      <c r="FU403" s="875"/>
      <c r="FV403" s="875"/>
      <c r="FW403" s="875"/>
      <c r="FX403" s="875"/>
      <c r="FY403" s="875"/>
      <c r="FZ403" s="875"/>
      <c r="GA403" s="875"/>
      <c r="GB403" s="875"/>
      <c r="GC403" s="875"/>
      <c r="GD403" s="875"/>
      <c r="GE403" s="875"/>
      <c r="GF403" s="875"/>
      <c r="GG403" s="875"/>
      <c r="GH403" s="875"/>
      <c r="GI403" s="875"/>
      <c r="GJ403" s="875"/>
      <c r="GK403" s="875"/>
      <c r="GL403" s="875"/>
      <c r="GM403" s="875"/>
      <c r="GN403" s="875"/>
      <c r="GO403" s="875"/>
      <c r="GP403" s="875"/>
      <c r="GQ403" s="875"/>
      <c r="GR403" s="875"/>
      <c r="GS403" s="875"/>
      <c r="GT403" s="875"/>
      <c r="GU403" s="875"/>
      <c r="GV403" s="875"/>
      <c r="GW403" s="875"/>
      <c r="GX403" s="875"/>
      <c r="GY403" s="875"/>
      <c r="GZ403" s="875"/>
      <c r="HA403" s="875"/>
      <c r="HB403" s="875"/>
      <c r="HC403" s="875"/>
      <c r="HD403" s="875"/>
      <c r="HE403" s="875"/>
      <c r="HF403" s="875"/>
      <c r="HG403" s="875"/>
      <c r="HH403" s="875"/>
      <c r="HI403" s="875"/>
      <c r="HJ403" s="875"/>
      <c r="HK403" s="875"/>
      <c r="HL403" s="875"/>
      <c r="HM403" s="875"/>
      <c r="HN403" s="875"/>
      <c r="HO403" s="875"/>
      <c r="HP403" s="875"/>
      <c r="HQ403" s="875"/>
      <c r="HR403" s="875"/>
      <c r="HS403" s="875"/>
      <c r="HT403" s="875"/>
      <c r="HU403" s="875"/>
      <c r="HV403" s="875"/>
      <c r="HW403" s="875"/>
      <c r="HX403" s="875"/>
      <c r="HY403" s="875"/>
      <c r="HZ403" s="875"/>
      <c r="IA403" s="875"/>
      <c r="IB403" s="875"/>
      <c r="IC403" s="875"/>
      <c r="ID403" s="875"/>
      <c r="IE403" s="875"/>
      <c r="IF403" s="875"/>
      <c r="IG403" s="875"/>
      <c r="IH403" s="875"/>
      <c r="II403" s="875"/>
      <c r="IJ403" s="875"/>
      <c r="IK403" s="875"/>
      <c r="IL403" s="875"/>
      <c r="IM403" s="875"/>
      <c r="IN403" s="875"/>
      <c r="IO403" s="875"/>
      <c r="IP403" s="875"/>
      <c r="IQ403" s="875"/>
      <c r="IR403" s="875"/>
      <c r="IS403" s="875"/>
      <c r="IT403" s="875"/>
      <c r="IU403" s="875"/>
      <c r="IV403" s="875"/>
      <c r="IW403" s="875"/>
      <c r="IX403" s="875"/>
      <c r="IY403" s="875"/>
      <c r="IZ403" s="875"/>
      <c r="JA403" s="875"/>
      <c r="JB403" s="875"/>
      <c r="JC403" s="875"/>
      <c r="JD403" s="875"/>
      <c r="JE403" s="875"/>
      <c r="JF403" s="875"/>
      <c r="JG403" s="875"/>
      <c r="JH403" s="875"/>
      <c r="JI403" s="875"/>
      <c r="JJ403" s="875"/>
      <c r="JK403" s="875"/>
      <c r="JL403" s="875"/>
      <c r="JM403" s="875"/>
      <c r="JN403" s="875"/>
      <c r="JO403" s="875"/>
      <c r="JP403" s="875"/>
      <c r="JQ403" s="875"/>
      <c r="JR403" s="875"/>
      <c r="JS403" s="875"/>
      <c r="JT403" s="875"/>
      <c r="JU403" s="875"/>
      <c r="JV403" s="875"/>
      <c r="JW403" s="875"/>
      <c r="JX403" s="875"/>
      <c r="JY403" s="875"/>
      <c r="JZ403" s="875"/>
      <c r="KA403" s="875"/>
      <c r="KB403" s="875"/>
      <c r="KC403" s="875"/>
      <c r="KD403" s="875"/>
      <c r="KE403" s="875"/>
      <c r="KF403" s="875"/>
      <c r="KG403" s="875"/>
      <c r="KH403" s="875"/>
      <c r="KI403" s="875"/>
      <c r="KJ403" s="875"/>
      <c r="KK403" s="875"/>
      <c r="KL403" s="875"/>
      <c r="KM403" s="875"/>
      <c r="KN403" s="875"/>
      <c r="KO403" s="875"/>
      <c r="KP403" s="875"/>
      <c r="KQ403" s="875"/>
      <c r="KR403" s="875"/>
      <c r="KS403" s="875"/>
      <c r="KT403" s="875"/>
      <c r="KU403" s="875"/>
      <c r="KV403" s="875"/>
      <c r="KW403" s="875"/>
      <c r="KX403" s="875"/>
      <c r="KY403" s="875"/>
      <c r="KZ403" s="875"/>
      <c r="LA403" s="875"/>
      <c r="LB403" s="875"/>
      <c r="LC403" s="875"/>
      <c r="LD403" s="875"/>
      <c r="LE403" s="875"/>
      <c r="LF403" s="875"/>
      <c r="LG403" s="875"/>
      <c r="LH403" s="875"/>
      <c r="LI403" s="875"/>
      <c r="LJ403" s="875"/>
      <c r="LK403" s="875"/>
      <c r="LL403" s="875"/>
      <c r="LM403" s="875"/>
      <c r="LN403" s="875"/>
      <c r="LO403" s="875"/>
      <c r="LP403" s="875"/>
      <c r="LQ403" s="875"/>
      <c r="LR403" s="875"/>
      <c r="LS403" s="875"/>
      <c r="LT403" s="875"/>
      <c r="LU403" s="875"/>
      <c r="LV403" s="875"/>
      <c r="LW403" s="875"/>
      <c r="LX403" s="875"/>
      <c r="LY403" s="875"/>
      <c r="LZ403" s="875"/>
      <c r="MA403" s="875"/>
      <c r="MB403" s="875"/>
      <c r="MC403" s="875"/>
      <c r="MD403" s="875"/>
      <c r="ME403" s="875"/>
      <c r="MF403" s="875"/>
      <c r="MG403" s="875"/>
      <c r="MH403" s="875"/>
      <c r="MI403" s="875"/>
      <c r="MJ403" s="875"/>
      <c r="MK403" s="875"/>
      <c r="ML403" s="875"/>
      <c r="MM403" s="875"/>
      <c r="MN403" s="875"/>
      <c r="MO403" s="875"/>
      <c r="MP403" s="875"/>
      <c r="MQ403" s="875"/>
      <c r="MR403" s="875"/>
      <c r="MS403" s="875"/>
      <c r="MT403" s="875"/>
      <c r="MU403" s="875"/>
      <c r="MV403" s="875"/>
      <c r="MW403" s="875"/>
      <c r="MX403" s="875"/>
      <c r="MY403" s="875"/>
      <c r="MZ403" s="875"/>
      <c r="NA403" s="875"/>
      <c r="NB403" s="875"/>
      <c r="NC403" s="875"/>
      <c r="ND403" s="875"/>
      <c r="NE403" s="875">
        <v>1.4582622373355389</v>
      </c>
      <c r="NF403" s="875">
        <v>-6.0797093096431179E-5</v>
      </c>
      <c r="NG403" s="875">
        <v>1.6727821549108699</v>
      </c>
      <c r="NH403" s="875">
        <v>-1.7475848169628809E-4</v>
      </c>
      <c r="NI403" s="875">
        <v>1.678063143907379</v>
      </c>
      <c r="NJ403" s="875">
        <v>1.389059894864388</v>
      </c>
      <c r="NK403" s="875">
        <v>0.7958197607083306</v>
      </c>
      <c r="NL403" s="875">
        <v>1.016804689771327</v>
      </c>
      <c r="NM403" s="875">
        <v>-1.8701853252563801E-4</v>
      </c>
      <c r="NN403" s="875">
        <v>0.90651583648540079</v>
      </c>
      <c r="NO403" s="875">
        <v>1.4581657070130889</v>
      </c>
      <c r="NP403" s="875">
        <v>-4.9832093941186312E-5</v>
      </c>
      <c r="NQ403" s="875">
        <v>1.6859003609410239</v>
      </c>
      <c r="NR403" s="875">
        <v>-2.1863681602314611E-4</v>
      </c>
      <c r="NS403" s="875">
        <v>1.5955373844912759</v>
      </c>
      <c r="NT403" s="875">
        <v>1.407568287791829</v>
      </c>
      <c r="NU403" s="875">
        <v>0.7918790782426246</v>
      </c>
      <c r="NV403" s="875">
        <v>1.011332258995491</v>
      </c>
      <c r="NW403" s="875">
        <v>-1.7051528472830131E-4</v>
      </c>
      <c r="NX403" s="875">
        <v>0.90405789815428317</v>
      </c>
      <c r="NY403" s="875">
        <v>1.4623252185816931</v>
      </c>
      <c r="NZ403" s="875">
        <v>-5.7641996194804002E-5</v>
      </c>
      <c r="OA403" s="875">
        <v>1.7110837940309149</v>
      </c>
      <c r="OB403" s="875">
        <v>-2.7221502081093693E-4</v>
      </c>
      <c r="OC403" s="875">
        <v>1.628772354497894</v>
      </c>
      <c r="OD403" s="875">
        <v>1.4118633760125721</v>
      </c>
      <c r="OE403" s="875">
        <v>0.79696305996825245</v>
      </c>
      <c r="OF403" s="875">
        <v>0.98721383407239083</v>
      </c>
      <c r="OG403" s="875">
        <v>-1.818515229068738E-4</v>
      </c>
      <c r="OH403" s="875">
        <v>0.90626766349254484</v>
      </c>
      <c r="OI403" s="875">
        <v>1.455502059756596</v>
      </c>
      <c r="OJ403" s="875">
        <v>-6.0093302365437113E-5</v>
      </c>
      <c r="OK403" s="875">
        <v>1.6316833010573579</v>
      </c>
      <c r="OL403" s="875">
        <v>-2.9210295061822832E-4</v>
      </c>
      <c r="OM403" s="875">
        <v>1.584279712744324</v>
      </c>
      <c r="ON403" s="875">
        <v>1.3829778073877821</v>
      </c>
      <c r="OO403" s="875">
        <v>0.79178116102820129</v>
      </c>
      <c r="OP403" s="875">
        <v>1.005758220160839</v>
      </c>
      <c r="OQ403" s="875">
        <v>-2.044512832815958E-4</v>
      </c>
      <c r="OR403" s="875">
        <v>0.90475709981539143</v>
      </c>
      <c r="OS403" s="875">
        <v>1.45040382456324</v>
      </c>
      <c r="OT403" s="875">
        <v>-5.759936845564741E-5</v>
      </c>
      <c r="OU403" s="875">
        <v>1.564669375743913</v>
      </c>
      <c r="OV403" s="875">
        <v>-4.0341471469884849E-4</v>
      </c>
      <c r="OW403" s="875">
        <v>1.4885496361246611</v>
      </c>
      <c r="OX403" s="875">
        <v>1.4032368295514861</v>
      </c>
      <c r="OY403" s="875">
        <v>0.79187544951371525</v>
      </c>
      <c r="OZ403" s="875">
        <v>0.99929300746884753</v>
      </c>
      <c r="PA403" s="875">
        <v>-1.946582021815404E-4</v>
      </c>
      <c r="PB403" s="875">
        <v>0.89634257125175565</v>
      </c>
      <c r="PC403" s="875">
        <v>1.4419027250606271</v>
      </c>
      <c r="PD403" s="875">
        <v>-5.5600493746829381E-5</v>
      </c>
      <c r="PE403" s="875">
        <v>1.5906394791530869</v>
      </c>
      <c r="PF403" s="875">
        <v>-4.8111834431696963E-4</v>
      </c>
      <c r="PG403" s="875">
        <v>1.531212140704411</v>
      </c>
      <c r="PH403" s="875">
        <v>1.4031042075329361</v>
      </c>
      <c r="PI403" s="875">
        <v>0.79521173806342615</v>
      </c>
      <c r="PJ403" s="875">
        <v>0.98955618876671692</v>
      </c>
      <c r="PK403" s="875">
        <v>-2.411529312112855E-4</v>
      </c>
      <c r="PL403" s="875">
        <v>0.91096084596669746</v>
      </c>
      <c r="PM403" s="875">
        <v>1.4139975091932531</v>
      </c>
      <c r="PN403" s="875">
        <v>-5.4768747252894458E-5</v>
      </c>
      <c r="PO403" s="875">
        <v>1.647281497676977</v>
      </c>
      <c r="PP403" s="875">
        <v>-4.4086162957119403E-4</v>
      </c>
      <c r="PQ403" s="875">
        <v>1.4889714986717131</v>
      </c>
      <c r="PR403" s="875">
        <v>1.3889537882801719</v>
      </c>
      <c r="PS403" s="875">
        <v>0.79071722913866227</v>
      </c>
      <c r="PT403" s="875">
        <v>0.91009804814800521</v>
      </c>
      <c r="PU403" s="875">
        <v>1.0224854997633941</v>
      </c>
      <c r="PV403" s="875">
        <v>0.89538139817575013</v>
      </c>
      <c r="PW403" s="875">
        <v>1.413996779475519</v>
      </c>
      <c r="PX403" s="875">
        <v>-5.4996096102389088E-5</v>
      </c>
      <c r="PY403" s="875">
        <v>1.647316843959661</v>
      </c>
      <c r="PZ403" s="875">
        <v>-2.8213571147234489E-4</v>
      </c>
      <c r="QA403" s="875">
        <v>1.4889714986717131</v>
      </c>
      <c r="QB403" s="875">
        <v>1.388953814516497</v>
      </c>
      <c r="QC403" s="875">
        <v>0.79071574444986381</v>
      </c>
      <c r="QD403" s="875">
        <v>0.90590187531750643</v>
      </c>
      <c r="QE403" s="875">
        <v>1.0224854997633941</v>
      </c>
      <c r="QF403" s="875">
        <v>0.8953793776188258</v>
      </c>
      <c r="QG403" s="875">
        <v>1.4159768644738131</v>
      </c>
      <c r="QH403" s="875">
        <v>-7.0289282110496561E-5</v>
      </c>
      <c r="QI403" s="875">
        <v>1.6040697050683359</v>
      </c>
      <c r="QJ403" s="875">
        <v>-4.373004886850345E-4</v>
      </c>
      <c r="QK403" s="875">
        <v>1.453752975311613</v>
      </c>
      <c r="QL403" s="875">
        <v>1.3922939772485119</v>
      </c>
      <c r="QM403" s="875">
        <v>0.79149495668264158</v>
      </c>
      <c r="QN403" s="875">
        <v>0.90488339066003987</v>
      </c>
      <c r="QO403" s="875">
        <v>1.0093655344229879</v>
      </c>
      <c r="QP403" s="875">
        <v>0.89452261342768591</v>
      </c>
      <c r="QQ403" s="875">
        <v>1.8163750053122349</v>
      </c>
      <c r="QR403" s="875">
        <v>0.95105293938373803</v>
      </c>
      <c r="QS403" s="875">
        <v>2</v>
      </c>
      <c r="QT403" s="875">
        <v>1.2281360699694981</v>
      </c>
      <c r="QU403" s="875">
        <v>2</v>
      </c>
      <c r="QV403" s="875">
        <v>1.9076879051865421</v>
      </c>
      <c r="QW403" s="875">
        <v>0.8503350341491408</v>
      </c>
      <c r="QX403" s="875">
        <v>1.536582720520155</v>
      </c>
      <c r="QY403" s="875">
        <v>1.306107940825187</v>
      </c>
      <c r="QZ403" s="875">
        <v>1.1363434129715759</v>
      </c>
      <c r="RA403" s="875">
        <v>1.807554668005398</v>
      </c>
      <c r="RB403" s="875">
        <v>0.93920094505786722</v>
      </c>
      <c r="RC403" s="875">
        <v>2</v>
      </c>
      <c r="RD403" s="875">
        <v>1.197035301442781</v>
      </c>
      <c r="RE403" s="875">
        <v>1.9933505364547861</v>
      </c>
      <c r="RF403" s="875">
        <v>1.897535164338829</v>
      </c>
      <c r="RG403" s="875">
        <v>0.8474555339438189</v>
      </c>
      <c r="RH403" s="875">
        <v>1.5214007218031149</v>
      </c>
      <c r="RI403" s="875">
        <v>1.3059805823013999</v>
      </c>
      <c r="RJ403" s="875">
        <v>1.124862006038841</v>
      </c>
      <c r="RK403" s="875">
        <v>1.8238646248712149</v>
      </c>
      <c r="RL403" s="875">
        <v>0.95577932250195985</v>
      </c>
      <c r="RM403" s="875">
        <v>2</v>
      </c>
      <c r="RN403" s="875">
        <v>1.23637860682919</v>
      </c>
      <c r="RO403" s="875">
        <v>2</v>
      </c>
      <c r="RP403" s="875">
        <v>1.916575741352732</v>
      </c>
      <c r="RQ403" s="875">
        <v>0.85354837910253401</v>
      </c>
      <c r="RR403" s="875">
        <v>1.498370291615039</v>
      </c>
      <c r="RS403" s="875">
        <v>1.3227791182959561</v>
      </c>
      <c r="RT403" s="875">
        <v>1.143350577051969</v>
      </c>
      <c r="RU403" s="875">
        <v>1.8082987987267669</v>
      </c>
      <c r="RV403" s="875">
        <v>0.93654247490716935</v>
      </c>
      <c r="RW403" s="875">
        <v>2</v>
      </c>
      <c r="RX403" s="875">
        <v>1.184501073405942</v>
      </c>
      <c r="RY403" s="875">
        <v>1.981212680390483</v>
      </c>
      <c r="RZ403" s="875">
        <v>1.8990453254224491</v>
      </c>
      <c r="SA403" s="875">
        <v>0.84860015200990679</v>
      </c>
      <c r="SB403" s="875">
        <v>1.5028707048070871</v>
      </c>
      <c r="SC403" s="875">
        <v>1.357060944271641</v>
      </c>
      <c r="SD403" s="875">
        <v>1.126071010024692</v>
      </c>
      <c r="SE403" s="875">
        <v>1.794315896742279</v>
      </c>
      <c r="SF403" s="875">
        <v>0.92041018028158705</v>
      </c>
      <c r="SG403" s="875">
        <v>2</v>
      </c>
      <c r="SH403" s="875">
        <v>1.137367387895271</v>
      </c>
      <c r="SI403" s="875">
        <v>1.937567930029404</v>
      </c>
      <c r="SJ403" s="875">
        <v>1.8863194150039451</v>
      </c>
      <c r="SK403" s="875">
        <v>0.84497271965914467</v>
      </c>
      <c r="SL403" s="875">
        <v>1.49774893553327</v>
      </c>
      <c r="SM403" s="875">
        <v>1.3219336210682131</v>
      </c>
      <c r="SN403" s="875">
        <v>1.1056178626117781</v>
      </c>
      <c r="SO403" s="875">
        <v>1.7842964716546801</v>
      </c>
      <c r="SP403" s="875">
        <v>0.91233648169722059</v>
      </c>
      <c r="SQ403" s="875">
        <v>2</v>
      </c>
      <c r="SR403" s="875">
        <v>1.1256614898329149</v>
      </c>
      <c r="SS403" s="875">
        <v>1.9069774855884709</v>
      </c>
      <c r="ST403" s="875">
        <v>1.88120993324038</v>
      </c>
      <c r="SU403" s="875">
        <v>0.84361447532557565</v>
      </c>
      <c r="SV403" s="875">
        <v>1.492718467329341</v>
      </c>
      <c r="SW403" s="875">
        <v>1.310451771509852</v>
      </c>
      <c r="SX403" s="875">
        <v>1.1015008330822891</v>
      </c>
      <c r="SY403" s="875">
        <v>1.723229558102007</v>
      </c>
      <c r="SZ403" s="875">
        <v>0.86348192900045762</v>
      </c>
      <c r="TA403" s="875">
        <v>2</v>
      </c>
      <c r="TB403" s="875">
        <v>0.9064029534644551</v>
      </c>
      <c r="TC403" s="875">
        <v>1.790031893216546</v>
      </c>
      <c r="TD403" s="875">
        <v>1.79663311958345</v>
      </c>
      <c r="TE403" s="875">
        <v>0.83739500019731683</v>
      </c>
      <c r="TF403" s="875">
        <v>1.3867288778137861</v>
      </c>
      <c r="TG403" s="875">
        <v>-2.2570572368292089E-4</v>
      </c>
      <c r="TH403" s="875">
        <v>1.04417829027203</v>
      </c>
      <c r="TI403" s="875">
        <v>1.723229558102007</v>
      </c>
      <c r="TJ403" s="875">
        <v>0.86348192900045762</v>
      </c>
      <c r="TK403" s="875">
        <v>2</v>
      </c>
      <c r="TL403" s="875">
        <v>0.9064029534644551</v>
      </c>
      <c r="TM403" s="875">
        <v>1.790031893216546</v>
      </c>
      <c r="TN403" s="875">
        <v>1.79663311958345</v>
      </c>
      <c r="TO403" s="875">
        <v>0.83739500019731683</v>
      </c>
      <c r="TP403" s="875">
        <v>1.3847444162568689</v>
      </c>
      <c r="TQ403" s="875">
        <v>-2.2570572368292089E-4</v>
      </c>
      <c r="TR403" s="875">
        <v>1.04417829027203</v>
      </c>
      <c r="TS403" s="875">
        <v>1.7184226367205111</v>
      </c>
      <c r="TT403" s="875">
        <v>0.85715270805587573</v>
      </c>
      <c r="TU403" s="875">
        <v>2</v>
      </c>
      <c r="TV403" s="875">
        <v>0.91868505306317183</v>
      </c>
      <c r="TW403" s="875">
        <v>1.704881789434701</v>
      </c>
      <c r="TX403" s="875">
        <v>1.795559679938153</v>
      </c>
      <c r="TY403" s="875">
        <v>0.83508602668933773</v>
      </c>
      <c r="TZ403" s="875">
        <v>1.3839686240024649</v>
      </c>
      <c r="UA403" s="875">
        <v>-1.1720085862604851E-4</v>
      </c>
      <c r="UB403" s="875">
        <v>1.0406699292460511</v>
      </c>
      <c r="UC403" s="875">
        <v>1.675359745730074</v>
      </c>
      <c r="UD403" s="875">
        <v>0.83618293117302722</v>
      </c>
      <c r="UE403" s="875">
        <v>2</v>
      </c>
      <c r="UF403" s="875">
        <v>1.122938338012212</v>
      </c>
      <c r="UG403" s="875">
        <v>2</v>
      </c>
      <c r="UH403" s="875">
        <v>1.514484427297218</v>
      </c>
      <c r="UI403" s="875">
        <v>0.87493905099056013</v>
      </c>
      <c r="UJ403" s="875">
        <v>0.87386643917189888</v>
      </c>
      <c r="UK403" s="875">
        <v>1.2581639297694589</v>
      </c>
      <c r="UL403" s="875">
        <v>0.96395379167304907</v>
      </c>
      <c r="UM403" s="875">
        <v>1.662265004330671</v>
      </c>
      <c r="UN403" s="875">
        <v>0.81069283486304211</v>
      </c>
      <c r="UO403" s="875">
        <v>2</v>
      </c>
      <c r="UP403" s="875">
        <v>1.1274798298070721</v>
      </c>
      <c r="UQ403" s="875">
        <v>1.970986509160972</v>
      </c>
      <c r="UR403" s="875">
        <v>1.50632728820484</v>
      </c>
      <c r="US403" s="875">
        <v>0.88032688746678844</v>
      </c>
      <c r="UT403" s="875">
        <v>0.91296337714597187</v>
      </c>
      <c r="UU403" s="875">
        <v>1.3281943138261709</v>
      </c>
      <c r="UV403" s="875">
        <v>0.93856722673353388</v>
      </c>
      <c r="UW403" s="875">
        <v>1.6844869321040621</v>
      </c>
      <c r="UX403" s="875">
        <v>0.84238048199458015</v>
      </c>
      <c r="UY403" s="875">
        <v>2</v>
      </c>
      <c r="UZ403" s="875">
        <v>1.1218853950944341</v>
      </c>
      <c r="VA403" s="875">
        <v>2</v>
      </c>
      <c r="VB403" s="875">
        <v>1.521018473324302</v>
      </c>
      <c r="VC403" s="875">
        <v>0.87858004238004028</v>
      </c>
      <c r="VD403" s="875">
        <v>0.90478003916894756</v>
      </c>
      <c r="VE403" s="875">
        <v>-1.652518163139047E-4</v>
      </c>
      <c r="VF403" s="875">
        <v>0.97015980578776462</v>
      </c>
      <c r="VG403" s="875">
        <v>1.6721781704368639</v>
      </c>
      <c r="VH403" s="875">
        <v>0.83441524102412179</v>
      </c>
      <c r="VI403" s="875">
        <v>2</v>
      </c>
      <c r="VJ403" s="875">
        <v>1.106165302863471</v>
      </c>
      <c r="VK403" s="875">
        <v>1.929508215496917</v>
      </c>
      <c r="VL403" s="875">
        <v>1.5092521580928511</v>
      </c>
      <c r="VM403" s="875">
        <v>0.88816404597577037</v>
      </c>
      <c r="VN403" s="875">
        <v>0.88019458266922213</v>
      </c>
      <c r="VO403" s="875">
        <v>1.356247466735504</v>
      </c>
      <c r="VP403" s="875">
        <v>0.9452987429900761</v>
      </c>
      <c r="VQ403" s="875">
        <v>1.6409567541525301</v>
      </c>
      <c r="VR403" s="875">
        <v>0.84447858908845708</v>
      </c>
      <c r="VS403" s="875">
        <v>2</v>
      </c>
      <c r="VT403" s="875">
        <v>1.059280636705241</v>
      </c>
      <c r="VU403" s="875">
        <v>1.7246552208490651</v>
      </c>
      <c r="VV403" s="875">
        <v>1.4978201813598711</v>
      </c>
      <c r="VW403" s="875">
        <v>0.88381517447652402</v>
      </c>
      <c r="VX403" s="875">
        <v>0.89763471143113305</v>
      </c>
      <c r="VY403" s="875">
        <v>1.257409131547045</v>
      </c>
      <c r="VZ403" s="875">
        <v>0.93410067446648415</v>
      </c>
      <c r="WA403" s="875">
        <v>1.6262914333240981</v>
      </c>
      <c r="WB403" s="875">
        <v>0.83957713216089846</v>
      </c>
      <c r="WC403" s="875">
        <v>2</v>
      </c>
      <c r="WD403" s="875">
        <v>1.0431309917547329</v>
      </c>
      <c r="WE403" s="875">
        <v>1.641498838137069</v>
      </c>
      <c r="WF403" s="875">
        <v>1.487303558716458</v>
      </c>
      <c r="WG403" s="875">
        <v>0.88506569236088783</v>
      </c>
      <c r="WH403" s="875">
        <v>0.87917428859861035</v>
      </c>
      <c r="WI403" s="875">
        <v>1.251362013268682</v>
      </c>
      <c r="WJ403" s="875">
        <v>0.92555905769454261</v>
      </c>
      <c r="WK403" s="875">
        <v>1.5635510434255819</v>
      </c>
      <c r="WL403" s="875">
        <v>0.81682024802824738</v>
      </c>
      <c r="WM403" s="875">
        <v>1.753598053873161</v>
      </c>
      <c r="WN403" s="875">
        <v>0.92900620264385669</v>
      </c>
      <c r="WO403" s="875">
        <v>1.5369858673871859</v>
      </c>
      <c r="WP403" s="875">
        <v>1.4166066770142181</v>
      </c>
      <c r="WQ403" s="875">
        <v>0.88070425402647146</v>
      </c>
      <c r="WR403" s="875">
        <v>0.85676906291182642</v>
      </c>
      <c r="WS403" s="875">
        <v>-4.6190938930302443E-4</v>
      </c>
      <c r="WT403" s="875">
        <v>0.88304775991167905</v>
      </c>
      <c r="WU403" s="875">
        <v>1.5635417174595421</v>
      </c>
      <c r="WV403" s="875">
        <v>0.81682305516809206</v>
      </c>
      <c r="WW403" s="875">
        <v>1.753598053873161</v>
      </c>
      <c r="WX403" s="875">
        <v>0.92900270502942728</v>
      </c>
      <c r="WY403" s="875">
        <v>1.5369891716232229</v>
      </c>
      <c r="WZ403" s="875">
        <v>1.4166066770142181</v>
      </c>
      <c r="XA403" s="875">
        <v>0.88070425402647146</v>
      </c>
      <c r="XB403" s="875">
        <v>0.85445132147864988</v>
      </c>
      <c r="XC403" s="875">
        <v>-4.6190938930302443E-4</v>
      </c>
      <c r="XD403" s="875">
        <v>0.8830474290868352</v>
      </c>
      <c r="XE403" s="875">
        <v>1.556271438057109</v>
      </c>
      <c r="XF403" s="875">
        <v>0.81325372965533338</v>
      </c>
      <c r="XG403" s="875">
        <v>1.84219761169313</v>
      </c>
      <c r="XH403" s="875">
        <v>0.93311106816022971</v>
      </c>
      <c r="XI403" s="875">
        <v>1.512961769884364</v>
      </c>
      <c r="XJ403" s="875">
        <v>1.417868080933556</v>
      </c>
      <c r="XK403" s="875">
        <v>0.88622484987896488</v>
      </c>
      <c r="XL403" s="875">
        <v>0.85255537804688308</v>
      </c>
      <c r="XM403" s="875">
        <v>-1.194409318282957E-4</v>
      </c>
      <c r="XN403" s="875">
        <v>0.89506882287115563</v>
      </c>
      <c r="XO403" s="875">
        <v>2</v>
      </c>
      <c r="XP403" s="875">
        <v>1.0956864494291061</v>
      </c>
      <c r="XQ403" s="875">
        <v>2</v>
      </c>
      <c r="XR403" s="875">
        <v>1.5457510558074701</v>
      </c>
      <c r="XS403" s="875">
        <v>2</v>
      </c>
      <c r="XT403" s="875">
        <v>1.999999999914678</v>
      </c>
      <c r="XU403" s="875">
        <v>0.98780673776467764</v>
      </c>
      <c r="XV403" s="875">
        <v>1.1951064284909041</v>
      </c>
      <c r="XW403" s="875">
        <v>1.345883396505448</v>
      </c>
      <c r="XX403" s="875">
        <v>1.2698735272326891</v>
      </c>
      <c r="XY403" s="875">
        <v>2</v>
      </c>
      <c r="XZ403" s="875">
        <v>1.082519178507265</v>
      </c>
      <c r="YA403" s="875">
        <v>2</v>
      </c>
      <c r="YB403" s="875">
        <v>1.5003764616806929</v>
      </c>
      <c r="YC403" s="875">
        <v>2</v>
      </c>
      <c r="YD403" s="875">
        <v>1.9854010703382059</v>
      </c>
      <c r="YE403" s="875">
        <v>0.98269017807486703</v>
      </c>
      <c r="YF403" s="875">
        <v>1.184356606059217</v>
      </c>
      <c r="YG403" s="875">
        <v>1.3742786057261569</v>
      </c>
      <c r="YH403" s="875">
        <v>1.245804112724733</v>
      </c>
      <c r="YI403" s="875">
        <v>2</v>
      </c>
      <c r="YJ403" s="875">
        <v>1.1131337329601561</v>
      </c>
      <c r="YK403" s="875">
        <v>2</v>
      </c>
      <c r="YL403" s="875">
        <v>1.561874015465033</v>
      </c>
      <c r="YM403" s="875">
        <v>2</v>
      </c>
      <c r="YN403" s="875">
        <v>1.999999999989799</v>
      </c>
      <c r="YO403" s="875">
        <v>0.99497379473270287</v>
      </c>
      <c r="YP403" s="875">
        <v>1.1735082418555129</v>
      </c>
      <c r="YQ403" s="875">
        <v>1.4583668150591551</v>
      </c>
      <c r="YR403" s="875">
        <v>1.2807933117214749</v>
      </c>
      <c r="YS403" s="875">
        <v>2</v>
      </c>
      <c r="YT403" s="875">
        <v>1.0789308531282551</v>
      </c>
      <c r="YU403" s="875">
        <v>2</v>
      </c>
      <c r="YV403" s="875">
        <v>1.479450693317772</v>
      </c>
      <c r="YW403" s="875">
        <v>2</v>
      </c>
      <c r="YX403" s="875">
        <v>1.987567898085036</v>
      </c>
      <c r="YY403" s="875">
        <v>0.98660315465848181</v>
      </c>
      <c r="YZ403" s="875">
        <v>1.1708338105300791</v>
      </c>
      <c r="ZA403" s="875">
        <v>1.394042312580853</v>
      </c>
      <c r="ZB403" s="875">
        <v>1.2490458293103439</v>
      </c>
      <c r="ZC403" s="875">
        <v>2</v>
      </c>
      <c r="ZD403" s="875">
        <v>1.060239761621397</v>
      </c>
      <c r="ZE403" s="875">
        <v>2</v>
      </c>
      <c r="ZF403" s="875">
        <v>1.4113730460110849</v>
      </c>
      <c r="ZG403" s="875">
        <v>2</v>
      </c>
      <c r="ZH403" s="875">
        <v>1.96203193354751</v>
      </c>
      <c r="ZI403" s="875">
        <v>0.97513599349239954</v>
      </c>
      <c r="ZJ403" s="875">
        <v>1.16933846995587</v>
      </c>
      <c r="ZK403" s="875">
        <v>1.3375865530884079</v>
      </c>
      <c r="ZL403" s="875">
        <v>1.2241984460487709</v>
      </c>
      <c r="ZM403" s="875">
        <v>2</v>
      </c>
      <c r="ZN403" s="875">
        <v>1.046525651748319</v>
      </c>
      <c r="ZO403" s="875">
        <v>2</v>
      </c>
      <c r="ZP403" s="875">
        <v>1.3689637590449399</v>
      </c>
      <c r="ZQ403" s="875">
        <v>2</v>
      </c>
      <c r="ZR403" s="875">
        <v>1.9474722072726121</v>
      </c>
      <c r="ZS403" s="875">
        <v>0.96922800912986062</v>
      </c>
      <c r="ZT403" s="875">
        <v>1.166453694132136</v>
      </c>
      <c r="ZU403" s="875">
        <v>1.2802711642557081</v>
      </c>
      <c r="ZV403" s="875">
        <v>1.2097578300174969</v>
      </c>
      <c r="ZW403" s="875">
        <v>1.987659634132465</v>
      </c>
      <c r="ZX403" s="875">
        <v>0.9700161576832329</v>
      </c>
      <c r="ZY403" s="875">
        <v>2</v>
      </c>
      <c r="ZZ403" s="875">
        <v>1.0494537060831239</v>
      </c>
      <c r="AAA403" s="875">
        <v>2</v>
      </c>
      <c r="AAB403" s="875">
        <v>1.8251967020423501</v>
      </c>
      <c r="AAC403" s="875">
        <v>0.96087185575772471</v>
      </c>
      <c r="AAD403" s="875">
        <v>1.098009540956868</v>
      </c>
      <c r="AAE403" s="875">
        <v>1.1533736212005059</v>
      </c>
      <c r="AAF403" s="875">
        <v>1.1315932066849439</v>
      </c>
      <c r="AAG403" s="875">
        <v>1.987659634132465</v>
      </c>
      <c r="AAH403" s="875">
        <v>0.9700161576832329</v>
      </c>
      <c r="AAI403" s="875">
        <v>2</v>
      </c>
      <c r="AAJ403" s="875">
        <v>1.0494537060831239</v>
      </c>
      <c r="AAK403" s="875">
        <v>2</v>
      </c>
      <c r="AAL403" s="875">
        <v>1.8251967020423501</v>
      </c>
      <c r="AAM403" s="875">
        <v>0.96087185575772471</v>
      </c>
      <c r="AAN403" s="875">
        <v>1.0966252735427391</v>
      </c>
      <c r="AAO403" s="875">
        <v>1.1533736212005059</v>
      </c>
      <c r="AAP403" s="875">
        <v>1.1315932066849439</v>
      </c>
      <c r="AAQ403" s="875">
        <v>1.971028711799701</v>
      </c>
      <c r="AAR403" s="875">
        <v>0.95756425676599477</v>
      </c>
      <c r="AAS403" s="875">
        <v>2</v>
      </c>
      <c r="AAT403" s="875">
        <v>1.0504219321196151</v>
      </c>
      <c r="AAU403" s="875">
        <v>1.9902207079879339</v>
      </c>
      <c r="AAV403" s="875">
        <v>1.823774455858352</v>
      </c>
      <c r="AAW403" s="875">
        <v>0.95144898361410701</v>
      </c>
      <c r="AAX403" s="875">
        <v>1.09253521046464</v>
      </c>
      <c r="AAY403" s="875">
        <v>1.1944709303700509</v>
      </c>
      <c r="AAZ403" s="875">
        <v>1.1782510941389841</v>
      </c>
      <c r="ABA403" s="875"/>
      <c r="ABB403" s="875"/>
      <c r="ABC403" s="875"/>
      <c r="ABD403" s="875"/>
      <c r="ABE403" s="875"/>
      <c r="ABF403" s="875"/>
      <c r="ABG403" s="875"/>
      <c r="ABH403" s="875"/>
      <c r="ABI403" s="875"/>
      <c r="ABJ403" s="875"/>
      <c r="ABK403" s="875"/>
      <c r="ABL403" s="875"/>
      <c r="ABM403" s="875"/>
      <c r="ABN403" s="875"/>
      <c r="ABO403" s="875"/>
      <c r="ABP403" s="875"/>
      <c r="ABQ403" s="875"/>
      <c r="ABR403" s="875"/>
      <c r="ABS403" s="875"/>
      <c r="ABT403" s="875"/>
      <c r="ABU403" s="875"/>
      <c r="ABV403" s="875"/>
      <c r="ABW403" s="875"/>
      <c r="ABX403" s="875"/>
      <c r="ABY403" s="875"/>
      <c r="ABZ403" s="875"/>
      <c r="ACA403" s="875"/>
      <c r="ACB403" s="875"/>
      <c r="ACC403" s="875"/>
      <c r="ACD403" s="875"/>
      <c r="ACE403" s="875"/>
      <c r="ACF403" s="875"/>
      <c r="ACG403" s="875"/>
      <c r="ACH403" s="875"/>
      <c r="ACI403" s="875"/>
      <c r="ACJ403" s="875"/>
      <c r="ACK403" s="875"/>
      <c r="ACL403" s="875"/>
      <c r="ACM403" s="875"/>
      <c r="ACN403" s="875"/>
      <c r="ACO403" s="875"/>
      <c r="ACP403" s="875"/>
      <c r="ACQ403" s="875"/>
      <c r="ACR403" s="875"/>
      <c r="ACS403" s="875"/>
      <c r="ACT403" s="875"/>
      <c r="ACU403" s="875"/>
      <c r="ACV403" s="875"/>
      <c r="ACW403" s="875"/>
      <c r="ACX403" s="875"/>
      <c r="ACY403" s="875"/>
      <c r="ACZ403" s="875"/>
      <c r="ADA403" s="875"/>
      <c r="ADB403" s="875"/>
      <c r="ADC403" s="875"/>
      <c r="ADD403" s="875"/>
      <c r="ADE403" s="875"/>
      <c r="ADF403" s="875"/>
      <c r="ADG403" s="875"/>
      <c r="ADH403" s="875"/>
      <c r="ADI403" s="875"/>
      <c r="ADJ403" s="875"/>
      <c r="ADK403" s="875"/>
      <c r="ADL403" s="875"/>
      <c r="ADM403" s="875"/>
      <c r="ADN403" s="875"/>
      <c r="ADO403" s="875"/>
      <c r="ADP403" s="875"/>
      <c r="ADQ403" s="875"/>
      <c r="ADR403" s="875"/>
      <c r="ADS403" s="875"/>
      <c r="ADT403" s="875"/>
      <c r="ADU403" s="875"/>
      <c r="ADV403" s="875"/>
      <c r="ADW403" s="875"/>
      <c r="ADX403" s="875"/>
      <c r="ADY403" s="875"/>
      <c r="ADZ403" s="875"/>
      <c r="AEA403" s="875"/>
      <c r="AEB403" s="875"/>
      <c r="AEC403" s="875"/>
      <c r="AED403" s="875"/>
      <c r="AEE403" s="875"/>
      <c r="AEF403" s="875"/>
      <c r="AEG403" s="875"/>
      <c r="AEH403" s="875"/>
      <c r="AEI403" s="875"/>
      <c r="AEJ403" s="875"/>
      <c r="AEK403" s="875"/>
      <c r="AEL403" s="875"/>
      <c r="AEM403" s="875"/>
      <c r="AEN403" s="875"/>
      <c r="AEO403" s="875"/>
      <c r="AEP403" s="875"/>
      <c r="AEQ403" s="875"/>
      <c r="AER403" s="875"/>
      <c r="AES403" s="875"/>
      <c r="AET403" s="875"/>
      <c r="AEU403" s="875"/>
      <c r="AEV403" s="875"/>
      <c r="AEW403" s="875"/>
      <c r="AEX403" s="875"/>
      <c r="AEY403" s="875"/>
      <c r="AEZ403" s="875"/>
      <c r="AFA403" s="875"/>
      <c r="AFB403" s="875"/>
      <c r="AFC403" s="875"/>
      <c r="AFD403" s="875"/>
      <c r="AFE403" s="875"/>
      <c r="AFF403" s="875"/>
      <c r="AFG403" s="875"/>
      <c r="AFH403" s="875"/>
      <c r="AFI403" s="875"/>
      <c r="AFJ403" s="875"/>
      <c r="AFK403" s="875"/>
      <c r="AFL403" s="875"/>
      <c r="AFM403" s="875"/>
      <c r="AFN403" s="875"/>
      <c r="AFO403" s="875"/>
      <c r="AFP403" s="875"/>
      <c r="AFQ403" s="875"/>
      <c r="AFR403" s="875"/>
      <c r="AFS403" s="875"/>
      <c r="AFT403" s="875"/>
      <c r="AFU403" s="875"/>
      <c r="AFV403" s="875"/>
      <c r="AFW403" s="875"/>
      <c r="AFX403" s="875"/>
      <c r="AFY403" s="875"/>
      <c r="AFZ403" s="875"/>
      <c r="AGA403" s="875"/>
      <c r="AGB403" s="875"/>
      <c r="AGC403" s="875"/>
      <c r="AGD403" s="875"/>
      <c r="AGE403" s="875"/>
      <c r="AGF403" s="875"/>
      <c r="AGG403" s="875"/>
      <c r="AGH403" s="875"/>
      <c r="AGI403" s="875"/>
      <c r="AGJ403" s="875"/>
      <c r="AGK403" s="875"/>
      <c r="AGL403" s="875"/>
      <c r="AGM403" s="875"/>
      <c r="AGN403" s="875"/>
      <c r="AGO403" s="875"/>
      <c r="AGP403" s="875"/>
      <c r="AGQ403" s="875"/>
      <c r="AGR403" s="875"/>
      <c r="AGS403" s="875"/>
      <c r="AGT403" s="875"/>
      <c r="AGU403" s="875"/>
      <c r="AGV403" s="875"/>
      <c r="AGW403" s="875"/>
      <c r="AGX403" s="875"/>
      <c r="AGY403" s="875"/>
      <c r="AGZ403" s="875"/>
      <c r="AHA403" s="875"/>
      <c r="AHB403" s="875"/>
      <c r="AHC403" s="875"/>
      <c r="AHD403" s="875"/>
      <c r="AHE403" s="875"/>
      <c r="AHF403" s="875"/>
      <c r="AHG403" s="875"/>
      <c r="AHH403" s="875"/>
      <c r="AHI403" s="875"/>
      <c r="AHJ403" s="875"/>
      <c r="AHK403" s="875"/>
      <c r="AHL403" s="875"/>
      <c r="AHM403" s="875"/>
      <c r="AHN403" s="875"/>
      <c r="AHO403" s="875"/>
      <c r="AHP403" s="875"/>
      <c r="AHQ403" s="875"/>
      <c r="AHR403" s="875"/>
      <c r="AHS403" s="875"/>
      <c r="AHT403" s="875"/>
      <c r="AHU403" s="875"/>
      <c r="AHV403" s="875"/>
      <c r="AHW403" s="875"/>
      <c r="AHX403" s="875"/>
      <c r="AHY403" s="875"/>
      <c r="AHZ403" s="875"/>
      <c r="AIA403" s="875"/>
      <c r="AIB403" s="875"/>
      <c r="AIC403" s="875"/>
      <c r="AID403" s="875"/>
      <c r="AIE403" s="875"/>
      <c r="AIF403" s="875"/>
      <c r="AIG403" s="875"/>
      <c r="AIH403" s="875"/>
      <c r="AII403" s="875"/>
      <c r="AIJ403" s="875"/>
      <c r="AIK403" s="875"/>
      <c r="AIL403" s="875"/>
      <c r="AIM403" s="875"/>
      <c r="AIN403" s="875"/>
      <c r="AIO403" s="875"/>
      <c r="AIP403" s="875"/>
      <c r="AIQ403" s="875"/>
      <c r="AIR403" s="875"/>
      <c r="AIS403" s="875"/>
      <c r="AIT403" s="875"/>
      <c r="AIU403" s="875"/>
      <c r="AIV403" s="875"/>
      <c r="AIW403" s="875"/>
      <c r="AIX403" s="875"/>
      <c r="AIY403" s="875"/>
      <c r="AIZ403" s="875"/>
      <c r="AJA403" s="875"/>
      <c r="AJB403" s="875"/>
      <c r="AJC403" s="875"/>
      <c r="AJD403" s="875"/>
      <c r="AJE403" s="875"/>
      <c r="AJF403" s="875"/>
      <c r="AJG403" s="875"/>
      <c r="AJH403" s="875"/>
      <c r="AJI403" s="875"/>
      <c r="AJJ403" s="875"/>
      <c r="AJK403" s="875"/>
      <c r="AJL403" s="875"/>
      <c r="AJM403" s="875"/>
      <c r="AJN403" s="875"/>
      <c r="AJO403" s="875"/>
      <c r="AJP403" s="875"/>
      <c r="AJQ403" s="875"/>
      <c r="AJR403" s="875"/>
      <c r="AJS403" s="875"/>
      <c r="AJT403" s="875"/>
      <c r="AJU403" s="875"/>
      <c r="AJV403" s="875"/>
      <c r="AJW403" s="875"/>
      <c r="AJX403" s="875"/>
      <c r="AJY403" s="875"/>
      <c r="AJZ403" s="875"/>
      <c r="AKA403" s="875"/>
      <c r="AKB403" s="875"/>
      <c r="AKC403" s="875"/>
      <c r="AKD403" s="875"/>
      <c r="AKE403" s="875"/>
      <c r="AKF403" s="875"/>
      <c r="AKG403" s="875"/>
      <c r="AKH403" s="875"/>
      <c r="AKI403" s="875"/>
      <c r="AKJ403" s="875"/>
      <c r="AKK403" s="875"/>
      <c r="AKL403" s="875"/>
      <c r="AKM403" s="875"/>
      <c r="AKN403" s="875"/>
      <c r="AKO403" s="875"/>
      <c r="AKP403" s="875"/>
      <c r="AKQ403" s="875"/>
      <c r="AKR403" s="875"/>
      <c r="AKS403" s="875"/>
      <c r="AKT403" s="875"/>
      <c r="AKU403" s="875"/>
      <c r="AKV403" s="875"/>
      <c r="AKW403" s="875"/>
      <c r="AKX403" s="875"/>
      <c r="AKY403" s="875"/>
      <c r="AKZ403" s="875"/>
      <c r="ALA403" s="875"/>
      <c r="ALB403" s="875"/>
      <c r="ALC403" s="875"/>
      <c r="ALD403" s="875"/>
      <c r="ALE403" s="875"/>
      <c r="ALF403" s="875"/>
      <c r="ALG403" s="875"/>
      <c r="ALH403" s="875"/>
      <c r="ALI403" s="875"/>
      <c r="ALJ403" s="875"/>
      <c r="ALK403" s="875"/>
      <c r="ALL403" s="875"/>
      <c r="ALM403" s="875"/>
      <c r="ALN403" s="875"/>
      <c r="ALO403" s="875"/>
      <c r="ALP403" s="875"/>
      <c r="ALQ403" s="875"/>
      <c r="ALR403" s="875"/>
      <c r="ALS403" s="875"/>
      <c r="ALT403" s="875"/>
      <c r="ALU403" s="875"/>
      <c r="ALV403" s="875"/>
      <c r="ALW403" s="875"/>
      <c r="ALX403" s="875"/>
      <c r="ALY403" s="875"/>
      <c r="ALZ403" s="875"/>
      <c r="AMA403" s="875"/>
      <c r="AMB403" s="875"/>
      <c r="AMC403" s="875"/>
      <c r="AMD403" s="875"/>
      <c r="AME403" s="875"/>
      <c r="AMF403" s="875"/>
      <c r="AMG403" s="875"/>
      <c r="AMH403" s="875"/>
      <c r="AMI403" s="875"/>
      <c r="AMJ403" s="875"/>
      <c r="AMK403" s="875"/>
      <c r="AML403" s="875"/>
      <c r="AMM403" s="875"/>
      <c r="AMN403" s="875"/>
      <c r="AMO403" s="875"/>
      <c r="AMP403" s="875"/>
      <c r="AMQ403" s="875"/>
      <c r="AMR403" s="875"/>
      <c r="AMS403" s="875"/>
      <c r="AMT403" s="875"/>
      <c r="AMU403" s="875"/>
      <c r="AMV403" s="875"/>
      <c r="AMW403" s="875"/>
      <c r="AMX403" s="875"/>
      <c r="AMY403" s="875"/>
      <c r="AMZ403" s="875"/>
      <c r="ANA403" s="875"/>
      <c r="ANB403" s="875"/>
      <c r="ANC403" s="875"/>
      <c r="AND403" s="875"/>
      <c r="ANE403" s="875"/>
      <c r="ANF403" s="875"/>
      <c r="ANG403" s="875"/>
      <c r="ANH403" s="875"/>
      <c r="ANI403" s="875"/>
      <c r="ANJ403" s="875"/>
      <c r="ANK403" s="875"/>
      <c r="ANL403" s="875"/>
      <c r="ANM403" s="875"/>
      <c r="ANN403" s="875"/>
      <c r="ANO403" s="875"/>
      <c r="ANP403" s="875"/>
      <c r="ANQ403" s="875"/>
      <c r="ANR403" s="875"/>
      <c r="ANS403" s="875"/>
      <c r="ANT403" s="875"/>
      <c r="ANU403" s="875"/>
      <c r="ANV403" s="875"/>
      <c r="ANW403" s="875"/>
      <c r="ANX403" s="875"/>
      <c r="ANY403" s="875"/>
      <c r="ANZ403" s="875"/>
      <c r="AOA403" s="875"/>
      <c r="AOB403" s="875"/>
      <c r="AOC403" s="875"/>
      <c r="AOD403" s="875"/>
      <c r="AOE403" s="875"/>
      <c r="AOF403" s="875"/>
      <c r="AOG403" s="875"/>
      <c r="AOH403" s="875"/>
      <c r="AOI403" s="875"/>
      <c r="AOJ403" s="875"/>
      <c r="AOK403" s="875"/>
      <c r="AOL403" s="875"/>
      <c r="AOM403" s="875"/>
      <c r="AON403" s="875"/>
      <c r="AOO403" s="875"/>
      <c r="AOP403" s="875"/>
      <c r="AOQ403" s="875"/>
      <c r="AOR403" s="875"/>
      <c r="AOS403" s="875"/>
      <c r="AOT403" s="875"/>
      <c r="AOU403" s="875"/>
      <c r="AOV403" s="875"/>
      <c r="AOW403" s="887"/>
    </row>
    <row r="404" spans="2:1089" hidden="1">
      <c r="B404" s="1000" t="s">
        <v>1053</v>
      </c>
      <c r="C404" s="1000"/>
      <c r="D404" s="836"/>
      <c r="E404" s="893" t="s">
        <v>1044</v>
      </c>
      <c r="F404" s="888"/>
      <c r="G404" s="888" t="s">
        <v>65</v>
      </c>
      <c r="H404" s="888"/>
      <c r="I404" s="889">
        <v>0.74172726884934059</v>
      </c>
      <c r="J404" s="889">
        <v>0.71127926927148555</v>
      </c>
      <c r="K404" s="889">
        <v>0.79361983687852977</v>
      </c>
      <c r="L404" s="889">
        <v>0.75346650817998151</v>
      </c>
      <c r="M404" s="889">
        <v>0.82877305200650564</v>
      </c>
      <c r="N404" s="889">
        <v>0.83121522356560085</v>
      </c>
      <c r="O404" s="889">
        <v>0.66855705519629149</v>
      </c>
      <c r="P404" s="889">
        <v>0.87296492583248209</v>
      </c>
      <c r="Q404" s="889">
        <v>0.88070797946683066</v>
      </c>
      <c r="R404" s="889">
        <v>0.69469621494159894</v>
      </c>
      <c r="S404" s="889">
        <v>0.74237216405697248</v>
      </c>
      <c r="T404" s="889">
        <v>0.72109607200564974</v>
      </c>
      <c r="U404" s="889">
        <v>0.79541998051689178</v>
      </c>
      <c r="V404" s="889">
        <v>0.76017979123656931</v>
      </c>
      <c r="W404" s="889">
        <v>0.83399382746872874</v>
      </c>
      <c r="X404" s="889">
        <v>0.83507395759615188</v>
      </c>
      <c r="Y404" s="889">
        <v>0.67144669195221174</v>
      </c>
      <c r="Z404" s="889">
        <v>0.874837772748015</v>
      </c>
      <c r="AA404" s="889">
        <v>0.88529381151856368</v>
      </c>
      <c r="AB404" s="889">
        <v>0.70643940481490985</v>
      </c>
      <c r="AC404" s="889">
        <v>0.74331494955873112</v>
      </c>
      <c r="AD404" s="889">
        <v>0.71403036126082609</v>
      </c>
      <c r="AE404" s="889">
        <v>0.79768793229512824</v>
      </c>
      <c r="AF404" s="889">
        <v>0.75695218418329335</v>
      </c>
      <c r="AG404" s="889">
        <v>0.83616607428806611</v>
      </c>
      <c r="AH404" s="889">
        <v>0.83246208216922146</v>
      </c>
      <c r="AI404" s="889">
        <v>0.66753339132154121</v>
      </c>
      <c r="AJ404" s="889">
        <v>0.87941016633153446</v>
      </c>
      <c r="AK404" s="889">
        <v>0.88282356981708665</v>
      </c>
      <c r="AL404" s="889">
        <v>0.69939993830052083</v>
      </c>
      <c r="AM404" s="889">
        <v>0.74391380101103088</v>
      </c>
      <c r="AN404" s="889">
        <v>0.72856230844748704</v>
      </c>
      <c r="AO404" s="889">
        <v>0.79997041871845664</v>
      </c>
      <c r="AP404" s="889">
        <v>0.76660622995845262</v>
      </c>
      <c r="AQ404" s="889">
        <v>0.8436737232792505</v>
      </c>
      <c r="AR404" s="889">
        <v>0.83820324242392008</v>
      </c>
      <c r="AS404" s="889">
        <v>0.67204711050319554</v>
      </c>
      <c r="AT404" s="889">
        <v>0.88104745575120713</v>
      </c>
      <c r="AU404" s="889">
        <v>0.89081452842152498</v>
      </c>
      <c r="AV404" s="889">
        <v>0.71726174129573095</v>
      </c>
      <c r="AW404" s="889">
        <v>0.74432952872305547</v>
      </c>
      <c r="AX404" s="889">
        <v>0.73842288867116479</v>
      </c>
      <c r="AY404" s="889">
        <v>0.80104705695037981</v>
      </c>
      <c r="AZ404" s="889">
        <v>0.77400800081644328</v>
      </c>
      <c r="BA404" s="889">
        <v>0.84900563848886212</v>
      </c>
      <c r="BB404" s="889">
        <v>0.84200961019962139</v>
      </c>
      <c r="BC404" s="889">
        <v>0.67526090466134736</v>
      </c>
      <c r="BD404" s="889">
        <v>0.88159118994417651</v>
      </c>
      <c r="BE404" s="889">
        <v>0.8960765520573305</v>
      </c>
      <c r="BF404" s="889">
        <v>0.72980750021221397</v>
      </c>
      <c r="BG404" s="889">
        <v>0.74453834115332973</v>
      </c>
      <c r="BH404" s="889">
        <v>0.74313781848838401</v>
      </c>
      <c r="BI404" s="889">
        <v>0.80168285555942587</v>
      </c>
      <c r="BJ404" s="889">
        <v>0.7779531156149333</v>
      </c>
      <c r="BK404" s="889">
        <v>0.85149644050666362</v>
      </c>
      <c r="BL404" s="889">
        <v>0.84368125697647034</v>
      </c>
      <c r="BM404" s="889">
        <v>0.67670522806300881</v>
      </c>
      <c r="BN404" s="889">
        <v>0.88270029372231495</v>
      </c>
      <c r="BO404" s="889">
        <v>0.89792689114013924</v>
      </c>
      <c r="BP404" s="889">
        <v>0.7359183103428566</v>
      </c>
      <c r="BQ404" s="889">
        <v>0.74556619596166684</v>
      </c>
      <c r="BR404" s="889">
        <v>0.75405042558426272</v>
      </c>
      <c r="BS404" s="889">
        <v>0.8010976084549174</v>
      </c>
      <c r="BT404" s="889">
        <v>0.79005289101806697</v>
      </c>
      <c r="BU404" s="889">
        <v>0.84145294509182622</v>
      </c>
      <c r="BV404" s="889">
        <v>0.84847019796517298</v>
      </c>
      <c r="BW404" s="889">
        <v>0.6822553189562468</v>
      </c>
      <c r="BX404" s="889">
        <v>0.88096216755221946</v>
      </c>
      <c r="BY404" s="889">
        <v>0.89452731314270029</v>
      </c>
      <c r="BZ404" s="889">
        <v>0.75734316915751798</v>
      </c>
      <c r="CA404" s="889">
        <v>0.74556619596166684</v>
      </c>
      <c r="CB404" s="889">
        <v>0.75405042558424518</v>
      </c>
      <c r="CC404" s="889">
        <v>0.8010976084549174</v>
      </c>
      <c r="CD404" s="889">
        <v>0.79005289101806697</v>
      </c>
      <c r="CE404" s="889">
        <v>0.84145294509182622</v>
      </c>
      <c r="CF404" s="889">
        <v>0.84847019796517231</v>
      </c>
      <c r="CG404" s="889">
        <v>0.6822553189562468</v>
      </c>
      <c r="CH404" s="889">
        <v>0.88152588845597279</v>
      </c>
      <c r="CI404" s="889">
        <v>0.89452731314270029</v>
      </c>
      <c r="CJ404" s="889">
        <v>0.75734316915751798</v>
      </c>
      <c r="CK404" s="889">
        <v>0.74561618179110078</v>
      </c>
      <c r="CL404" s="889">
        <v>0.75687973595286318</v>
      </c>
      <c r="CM404" s="889">
        <v>0.80267204571318795</v>
      </c>
      <c r="CN404" s="889">
        <v>0.79513505074540036</v>
      </c>
      <c r="CO404" s="889">
        <v>0.85091489635776241</v>
      </c>
      <c r="CP404" s="889">
        <v>0.84834751410375853</v>
      </c>
      <c r="CQ404" s="889">
        <v>0.68259001800930208</v>
      </c>
      <c r="CR404" s="889">
        <v>0.8837107526390503</v>
      </c>
      <c r="CS404" s="889">
        <v>0.9069833164480261</v>
      </c>
      <c r="CT404" s="889">
        <v>0.75986054261494806</v>
      </c>
      <c r="CU404" s="889">
        <v>0.73047407756466187</v>
      </c>
      <c r="CV404" s="889">
        <v>0.69562649833888801</v>
      </c>
      <c r="CW404" s="889">
        <v>0.7790534928537467</v>
      </c>
      <c r="CX404" s="889">
        <v>0.7203338951620144</v>
      </c>
      <c r="CY404" s="889">
        <v>0.8116186822625211</v>
      </c>
      <c r="CZ404" s="889">
        <v>0.82668962998115381</v>
      </c>
      <c r="DA404" s="889">
        <v>0.64828579353505877</v>
      </c>
      <c r="DB404" s="889">
        <v>0.85663771129823452</v>
      </c>
      <c r="DC404" s="889">
        <v>0.84755074043371592</v>
      </c>
      <c r="DD404" s="889">
        <v>0.68739937026058184</v>
      </c>
      <c r="DE404" s="889">
        <v>0.73116693447518555</v>
      </c>
      <c r="DF404" s="889">
        <v>0.70632028253503409</v>
      </c>
      <c r="DG404" s="889">
        <v>0.78169657463122955</v>
      </c>
      <c r="DH404" s="889">
        <v>0.72842876948332913</v>
      </c>
      <c r="DI404" s="889">
        <v>0.81838132784035778</v>
      </c>
      <c r="DJ404" s="889">
        <v>0.83075170503323215</v>
      </c>
      <c r="DK404" s="889">
        <v>0.65090553967913656</v>
      </c>
      <c r="DL404" s="889">
        <v>0.85895436661622671</v>
      </c>
      <c r="DM404" s="889">
        <v>0.85440302729605855</v>
      </c>
      <c r="DN404" s="889">
        <v>0.69976951592266579</v>
      </c>
      <c r="DO404" s="889">
        <v>0.73210130199779044</v>
      </c>
      <c r="DP404" s="889">
        <v>0.69838226726978558</v>
      </c>
      <c r="DQ404" s="889">
        <v>0.78333258808045558</v>
      </c>
      <c r="DR404" s="889">
        <v>0.72369942708123092</v>
      </c>
      <c r="DS404" s="889">
        <v>0.81947623306615414</v>
      </c>
      <c r="DT404" s="889">
        <v>0.82798936928993716</v>
      </c>
      <c r="DU404" s="889">
        <v>0.64758433058670195</v>
      </c>
      <c r="DV404" s="889">
        <v>0.86445913860865398</v>
      </c>
      <c r="DW404" s="889">
        <v>0.85006492216239415</v>
      </c>
      <c r="DX404" s="889">
        <v>0.69233834117318471</v>
      </c>
      <c r="DY404" s="889">
        <v>0.73290224641520596</v>
      </c>
      <c r="DZ404" s="889">
        <v>0.71433762736122863</v>
      </c>
      <c r="EA404" s="889">
        <v>0.78696565998069135</v>
      </c>
      <c r="EB404" s="889">
        <v>0.73531830690763189</v>
      </c>
      <c r="EC404" s="889">
        <v>0.82924827321890815</v>
      </c>
      <c r="ED404" s="889">
        <v>0.83399932538585075</v>
      </c>
      <c r="EE404" s="889">
        <v>0.65163194674788671</v>
      </c>
      <c r="EF404" s="889">
        <v>0.86636760722089301</v>
      </c>
      <c r="EG404" s="889">
        <v>0.86059743438626801</v>
      </c>
      <c r="EH404" s="889">
        <v>0.71087297495619506</v>
      </c>
      <c r="EI404" s="889">
        <v>0.73346927696892594</v>
      </c>
      <c r="EJ404" s="889">
        <v>0.72556514590619092</v>
      </c>
      <c r="EK404" s="889">
        <v>0.78952448777132933</v>
      </c>
      <c r="EL404" s="889">
        <v>0.74437265370623495</v>
      </c>
      <c r="EM404" s="889">
        <v>0.83626124960098858</v>
      </c>
      <c r="EN404" s="889">
        <v>0.83799995221946821</v>
      </c>
      <c r="EO404" s="889">
        <v>0.65443957613850012</v>
      </c>
      <c r="EP404" s="889">
        <v>0.86714490377234743</v>
      </c>
      <c r="EQ404" s="889">
        <v>0.86883515252017141</v>
      </c>
      <c r="ER404" s="889">
        <v>0.72412517701361789</v>
      </c>
      <c r="ES404" s="889">
        <v>0.73372667529566193</v>
      </c>
      <c r="ET404" s="889">
        <v>0.7310103431831747</v>
      </c>
      <c r="EU404" s="889">
        <v>0.79087469083336659</v>
      </c>
      <c r="EV404" s="889">
        <v>0.74908049346607064</v>
      </c>
      <c r="EW404" s="889">
        <v>0.83976429539261255</v>
      </c>
      <c r="EX404" s="889">
        <v>0.83983627329827915</v>
      </c>
      <c r="EY404" s="889">
        <v>0.65578051185070874</v>
      </c>
      <c r="EZ404" s="889">
        <v>0.8685133169707524</v>
      </c>
      <c r="FA404" s="889">
        <v>0.87321655430197698</v>
      </c>
      <c r="FB404" s="889">
        <v>0.73069157255243078</v>
      </c>
      <c r="FC404" s="889">
        <v>0.73529343030311234</v>
      </c>
      <c r="FD404" s="889">
        <v>0.74832015598030899</v>
      </c>
      <c r="FE404" s="889">
        <v>0.79454806677387069</v>
      </c>
      <c r="FF404" s="889">
        <v>0.76783186542342186</v>
      </c>
      <c r="FG404" s="889">
        <v>0.8369430741231777</v>
      </c>
      <c r="FH404" s="889">
        <v>0.84514009300799997</v>
      </c>
      <c r="FI404" s="889">
        <v>0.6607557085098632</v>
      </c>
      <c r="FJ404" s="889">
        <v>0.86566414816719583</v>
      </c>
      <c r="FK404" s="889">
        <v>0.88027885315888121</v>
      </c>
      <c r="FL404" s="889">
        <v>0.75591395063841826</v>
      </c>
      <c r="FM404" s="889">
        <v>0.73529343030311234</v>
      </c>
      <c r="FN404" s="889">
        <v>0.74832015598030899</v>
      </c>
      <c r="FO404" s="889">
        <v>0.79454806677387069</v>
      </c>
      <c r="FP404" s="889">
        <v>0.76783186542342186</v>
      </c>
      <c r="FQ404" s="889">
        <v>0.8369430741231777</v>
      </c>
      <c r="FR404" s="889">
        <v>0.84514009300799997</v>
      </c>
      <c r="FS404" s="889">
        <v>0.6607557085098632</v>
      </c>
      <c r="FT404" s="889">
        <v>0.86650917315194631</v>
      </c>
      <c r="FU404" s="889">
        <v>0.88027885315888121</v>
      </c>
      <c r="FV404" s="889">
        <v>0.75591395063841826</v>
      </c>
      <c r="FW404" s="889">
        <v>0.73528724779428034</v>
      </c>
      <c r="FX404" s="889">
        <v>0.7503037227456798</v>
      </c>
      <c r="FY404" s="889">
        <v>0.79601493875192531</v>
      </c>
      <c r="FZ404" s="889">
        <v>0.7727986801456117</v>
      </c>
      <c r="GA404" s="889">
        <v>0.84691594192407593</v>
      </c>
      <c r="GB404" s="889">
        <v>0.84509947989344547</v>
      </c>
      <c r="GC404" s="889">
        <v>0.66075190166686482</v>
      </c>
      <c r="GD404" s="889">
        <v>0.86918441945598446</v>
      </c>
      <c r="GE404" s="889">
        <v>0.89112468970493541</v>
      </c>
      <c r="GF404" s="889">
        <v>0.75784512609095489</v>
      </c>
      <c r="GG404" s="889">
        <v>0.74032194727540312</v>
      </c>
      <c r="GH404" s="889">
        <v>0.710296449973848</v>
      </c>
      <c r="GI404" s="889">
        <v>0.78652891985571649</v>
      </c>
      <c r="GJ404" s="889">
        <v>0.76184787433408585</v>
      </c>
      <c r="GK404" s="889">
        <v>0.82329059637142898</v>
      </c>
      <c r="GL404" s="889">
        <v>0.84193182081413442</v>
      </c>
      <c r="GM404" s="889">
        <v>0.66427450671854849</v>
      </c>
      <c r="GN404" s="889">
        <v>0.91428756627741781</v>
      </c>
      <c r="GO404" s="889">
        <v>0.88179979620961546</v>
      </c>
      <c r="GP404" s="889">
        <v>0.692626573307215</v>
      </c>
      <c r="GQ404" s="889">
        <v>0.74094338455534547</v>
      </c>
      <c r="GR404" s="889">
        <v>0.72044634492249737</v>
      </c>
      <c r="GS404" s="889">
        <v>0.78838301993914328</v>
      </c>
      <c r="GT404" s="889">
        <v>0.76851724241557551</v>
      </c>
      <c r="GU404" s="889">
        <v>0.82871482357364523</v>
      </c>
      <c r="GV404" s="889">
        <v>0.84562152688908099</v>
      </c>
      <c r="GW404" s="889">
        <v>0.66731898328190109</v>
      </c>
      <c r="GX404" s="889">
        <v>0.91439551915516193</v>
      </c>
      <c r="GY404" s="889">
        <v>0.88753603369479062</v>
      </c>
      <c r="GZ404" s="889">
        <v>0.70456468285565821</v>
      </c>
      <c r="HA404" s="889">
        <v>0.74116051429289642</v>
      </c>
      <c r="HB404" s="889">
        <v>0.71284717379428875</v>
      </c>
      <c r="HC404" s="889">
        <v>0.78998872175359336</v>
      </c>
      <c r="HD404" s="889">
        <v>0.76516732445146418</v>
      </c>
      <c r="HE404" s="889">
        <v>0.83124368832379703</v>
      </c>
      <c r="HF404" s="889">
        <v>0.84286461277227542</v>
      </c>
      <c r="HG404" s="889">
        <v>0.66315117591645856</v>
      </c>
      <c r="HH404" s="889">
        <v>0.91476621239785372</v>
      </c>
      <c r="HI404" s="889">
        <v>0.8822497644130961</v>
      </c>
      <c r="HJ404" s="889">
        <v>0.69769203704295057</v>
      </c>
      <c r="HK404" s="889">
        <v>0.74192703411357808</v>
      </c>
      <c r="HL404" s="889">
        <v>0.7276186398496185</v>
      </c>
      <c r="HM404" s="889">
        <v>0.79291231940574225</v>
      </c>
      <c r="HN404" s="889">
        <v>0.77480442295562524</v>
      </c>
      <c r="HO404" s="889">
        <v>0.83892038540419966</v>
      </c>
      <c r="HP404" s="889">
        <v>0.84832407935906806</v>
      </c>
      <c r="HQ404" s="889">
        <v>0.66754394803724182</v>
      </c>
      <c r="HR404" s="889">
        <v>0.9150820533242604</v>
      </c>
      <c r="HS404" s="889">
        <v>0.89358068784950706</v>
      </c>
      <c r="HT404" s="889">
        <v>0.71530679973916</v>
      </c>
      <c r="HU404" s="889">
        <v>0.74240676821351426</v>
      </c>
      <c r="HV404" s="889">
        <v>0.7372705035298257</v>
      </c>
      <c r="HW404" s="889">
        <v>0.79482619649485986</v>
      </c>
      <c r="HX404" s="889">
        <v>0.78255805164828396</v>
      </c>
      <c r="HY404" s="889">
        <v>0.84453433053954052</v>
      </c>
      <c r="HZ404" s="889">
        <v>0.85189480405946083</v>
      </c>
      <c r="IA404" s="889">
        <v>0.67075944079773664</v>
      </c>
      <c r="IB404" s="889">
        <v>0.91523362283088761</v>
      </c>
      <c r="IC404" s="889">
        <v>0.89727156595256685</v>
      </c>
      <c r="ID404" s="889">
        <v>0.72737197139292031</v>
      </c>
      <c r="IE404" s="889">
        <v>0.7428594219581357</v>
      </c>
      <c r="IF404" s="889">
        <v>0.74196512643500079</v>
      </c>
      <c r="IG404" s="889">
        <v>0.79583100392888584</v>
      </c>
      <c r="IH404" s="889">
        <v>0.78651561182685292</v>
      </c>
      <c r="II404" s="889">
        <v>0.84708562207965277</v>
      </c>
      <c r="IJ404" s="889">
        <v>0.85351480464216911</v>
      </c>
      <c r="IK404" s="889">
        <v>0.67205173091899018</v>
      </c>
      <c r="IL404" s="889">
        <v>0.91554110888996953</v>
      </c>
      <c r="IM404" s="889">
        <v>0.90125421237123782</v>
      </c>
      <c r="IN404" s="889">
        <v>0.73356076026949613</v>
      </c>
      <c r="IO404" s="889">
        <v>0.74464111101100072</v>
      </c>
      <c r="IP404" s="889">
        <v>0.7550587027700002</v>
      </c>
      <c r="IQ404" s="889">
        <v>0.79613498411941008</v>
      </c>
      <c r="IR404" s="889">
        <v>0.80391601951399627</v>
      </c>
      <c r="IS404" s="889">
        <v>0.84955313969864976</v>
      </c>
      <c r="IT404" s="889">
        <v>0.85793132734885913</v>
      </c>
      <c r="IU404" s="889">
        <v>0.67748783444711047</v>
      </c>
      <c r="IV404" s="889">
        <v>0.91558868675882277</v>
      </c>
      <c r="IW404" s="889">
        <v>0.90272666045943739</v>
      </c>
      <c r="IX404" s="889">
        <v>0.75416262893381059</v>
      </c>
      <c r="IY404" s="889">
        <v>0.74464111101100072</v>
      </c>
      <c r="IZ404" s="889">
        <v>0.75505870276999998</v>
      </c>
      <c r="JA404" s="889">
        <v>0.79613498411941386</v>
      </c>
      <c r="JB404" s="889">
        <v>0.80391601951396385</v>
      </c>
      <c r="JC404" s="889">
        <v>0.84955313969865009</v>
      </c>
      <c r="JD404" s="889">
        <v>0.85793132734885913</v>
      </c>
      <c r="JE404" s="889">
        <v>0.67748783444711003</v>
      </c>
      <c r="JF404" s="889">
        <v>0.91569583793596721</v>
      </c>
      <c r="JG404" s="889">
        <v>0.90272666045943739</v>
      </c>
      <c r="JH404" s="889">
        <v>0.75416262893381059</v>
      </c>
      <c r="JI404" s="889">
        <v>0.7445832722790261</v>
      </c>
      <c r="JJ404" s="889">
        <v>0.75560599347456447</v>
      </c>
      <c r="JK404" s="889">
        <v>0.79606423660866443</v>
      </c>
      <c r="JL404" s="889">
        <v>0.80727465834687939</v>
      </c>
      <c r="JM404" s="889">
        <v>0.8542537253486655</v>
      </c>
      <c r="JN404" s="889">
        <v>0.85780111631873046</v>
      </c>
      <c r="JO404" s="889">
        <v>0.6777959465413409</v>
      </c>
      <c r="JP404" s="889">
        <v>0.91596479507178452</v>
      </c>
      <c r="JQ404" s="889">
        <v>0.91629179370953739</v>
      </c>
      <c r="JR404" s="889">
        <v>0.75578320335162807</v>
      </c>
      <c r="JS404" s="889">
        <v>0.73694791662812009</v>
      </c>
      <c r="JT404" s="889">
        <v>0.70822225313349407</v>
      </c>
      <c r="JU404" s="889">
        <v>0.78067941738246427</v>
      </c>
      <c r="JV404" s="889">
        <v>0.73377582724745971</v>
      </c>
      <c r="JW404" s="889">
        <v>0.81435292508175738</v>
      </c>
      <c r="JX404" s="889">
        <v>0.83312394941929613</v>
      </c>
      <c r="JY404" s="889">
        <v>0.66386565728522218</v>
      </c>
      <c r="JZ404" s="889">
        <v>0.90475181810806693</v>
      </c>
      <c r="KA404" s="889">
        <v>0.8438069021663902</v>
      </c>
      <c r="KB404" s="889">
        <v>0.69842232643637348</v>
      </c>
      <c r="KC404" s="889">
        <v>0.73773033122429932</v>
      </c>
      <c r="KD404" s="889">
        <v>0.71888000860239132</v>
      </c>
      <c r="KE404" s="889">
        <v>0.78337307802754363</v>
      </c>
      <c r="KF404" s="889">
        <v>0.74151247037118084</v>
      </c>
      <c r="KG404" s="889">
        <v>0.82109674034776825</v>
      </c>
      <c r="KH404" s="889">
        <v>0.83694623642613908</v>
      </c>
      <c r="KI404" s="889">
        <v>0.66655741442029237</v>
      </c>
      <c r="KJ404" s="889">
        <v>0.90494323654641562</v>
      </c>
      <c r="KK404" s="889">
        <v>0.85081974904686053</v>
      </c>
      <c r="KL404" s="889">
        <v>0.71074941718800644</v>
      </c>
      <c r="KM404" s="889">
        <v>0.73747552906401748</v>
      </c>
      <c r="KN404" s="889">
        <v>0.7103793270450125</v>
      </c>
      <c r="KO404" s="889">
        <v>0.7839077644357153</v>
      </c>
      <c r="KP404" s="889">
        <v>0.73687500610967482</v>
      </c>
      <c r="KQ404" s="889">
        <v>0.82207679732939865</v>
      </c>
      <c r="KR404" s="889">
        <v>0.83417094666617797</v>
      </c>
      <c r="KS404" s="889">
        <v>0.66260058336064942</v>
      </c>
      <c r="KT404" s="889">
        <v>0.90538192953639218</v>
      </c>
      <c r="KU404" s="889">
        <v>0.84692224909180513</v>
      </c>
      <c r="KV404" s="889">
        <v>0.70293417091444355</v>
      </c>
      <c r="KW404" s="889">
        <v>0.73854624484736187</v>
      </c>
      <c r="KX404" s="889">
        <v>0.72624859692803667</v>
      </c>
      <c r="KY404" s="889">
        <v>0.78766651041999258</v>
      </c>
      <c r="KZ404" s="889">
        <v>0.74815113558165269</v>
      </c>
      <c r="LA404" s="889">
        <v>0.83156666203716689</v>
      </c>
      <c r="LB404" s="889">
        <v>0.83978931998108697</v>
      </c>
      <c r="LC404" s="889">
        <v>0.66680506263008055</v>
      </c>
      <c r="LD404" s="889">
        <v>0.90564505712206478</v>
      </c>
      <c r="LE404" s="889">
        <v>0.85803326268208768</v>
      </c>
      <c r="LF404" s="889">
        <v>0.72117818680612222</v>
      </c>
      <c r="LG404" s="889">
        <v>0.73928948440357778</v>
      </c>
      <c r="LH404" s="889">
        <v>0.73748693320677428</v>
      </c>
      <c r="LI404" s="889">
        <v>0.79057833597096649</v>
      </c>
      <c r="LJ404" s="889">
        <v>0.75668880259905014</v>
      </c>
      <c r="LK404" s="889">
        <v>0.83864633960077772</v>
      </c>
      <c r="LL404" s="889">
        <v>0.84346230083180052</v>
      </c>
      <c r="LM404" s="889">
        <v>0.66976618330822635</v>
      </c>
      <c r="LN404" s="889">
        <v>0.90577825788147093</v>
      </c>
      <c r="LO404" s="889">
        <v>0.86537704187561071</v>
      </c>
      <c r="LP404" s="889">
        <v>0.73431421917112616</v>
      </c>
      <c r="LQ404" s="889">
        <v>0.7397339124508151</v>
      </c>
      <c r="LR404" s="889">
        <v>0.74294567899437358</v>
      </c>
      <c r="LS404" s="889">
        <v>0.79211369013578647</v>
      </c>
      <c r="LT404" s="889">
        <v>0.76131717512380837</v>
      </c>
      <c r="LU404" s="889">
        <v>0.8422537396592038</v>
      </c>
      <c r="LV404" s="889">
        <v>0.84513751001640836</v>
      </c>
      <c r="LW404" s="889">
        <v>0.67120422984591666</v>
      </c>
      <c r="LX404" s="889">
        <v>0.90601103189152377</v>
      </c>
      <c r="LY404" s="889">
        <v>0.86997685265118541</v>
      </c>
      <c r="LZ404" s="889">
        <v>0.74080234641921283</v>
      </c>
      <c r="MA404" s="889">
        <v>0.74234102684222747</v>
      </c>
      <c r="MB404" s="889">
        <v>0.76224660433307134</v>
      </c>
      <c r="MC404" s="889">
        <v>0.79997285714287303</v>
      </c>
      <c r="MD404" s="889">
        <v>0.78362841356406532</v>
      </c>
      <c r="ME404" s="889">
        <v>0.85175165864330604</v>
      </c>
      <c r="MF404" s="889">
        <v>0.84961731314640565</v>
      </c>
      <c r="MG404" s="889">
        <v>0.67689773685562638</v>
      </c>
      <c r="MH404" s="889">
        <v>0.90599417618752331</v>
      </c>
      <c r="MI404" s="889">
        <v>0.88696253372010481</v>
      </c>
      <c r="MJ404" s="889">
        <v>0.76605121228912243</v>
      </c>
      <c r="MK404" s="889">
        <v>0.74234102684222747</v>
      </c>
      <c r="ML404" s="889">
        <v>0.76224660433307134</v>
      </c>
      <c r="MM404" s="889">
        <v>0.79997285714287303</v>
      </c>
      <c r="MN404" s="889">
        <v>0.78362841356406532</v>
      </c>
      <c r="MO404" s="889">
        <v>0.85175165864330604</v>
      </c>
      <c r="MP404" s="889">
        <v>0.84961731314640565</v>
      </c>
      <c r="MQ404" s="889">
        <v>0.67689773685562638</v>
      </c>
      <c r="MR404" s="889">
        <v>0.90607817195377338</v>
      </c>
      <c r="MS404" s="889">
        <v>0.88696253372010481</v>
      </c>
      <c r="MT404" s="889">
        <v>0.76605121228912243</v>
      </c>
      <c r="MU404" s="889">
        <v>0.74248494688611189</v>
      </c>
      <c r="MV404" s="889">
        <v>0.76367366254682312</v>
      </c>
      <c r="MW404" s="889">
        <v>0.80037644707239508</v>
      </c>
      <c r="MX404" s="889">
        <v>0.78691258124128727</v>
      </c>
      <c r="MY404" s="889">
        <v>0.85572797330975148</v>
      </c>
      <c r="MZ404" s="889">
        <v>0.84947929959759994</v>
      </c>
      <c r="NA404" s="889">
        <v>0.67707846287040274</v>
      </c>
      <c r="NB404" s="889">
        <v>0.90639987322016613</v>
      </c>
      <c r="NC404" s="889">
        <v>0.89787809847131772</v>
      </c>
      <c r="ND404" s="889">
        <v>0.76820393806425391</v>
      </c>
      <c r="NE404" s="889">
        <v>0.66904366698921924</v>
      </c>
      <c r="NF404" s="889">
        <v>0.40546408723440991</v>
      </c>
      <c r="NG404" s="889">
        <v>0.62075075951555836</v>
      </c>
      <c r="NH404" s="889">
        <v>0.38965194745051068</v>
      </c>
      <c r="NI404" s="889">
        <v>0.58526031824830882</v>
      </c>
      <c r="NJ404" s="889">
        <v>0.64338696822635655</v>
      </c>
      <c r="NK404" s="889">
        <v>0.37317747835216969</v>
      </c>
      <c r="NL404" s="889">
        <v>0.77762794359906506</v>
      </c>
      <c r="NM404" s="889">
        <v>0.39448531487911209</v>
      </c>
      <c r="NN404" s="889">
        <v>0.5426765999242178</v>
      </c>
      <c r="NO404" s="889">
        <v>0.66866363488709579</v>
      </c>
      <c r="NP404" s="889">
        <v>0.40368862271859229</v>
      </c>
      <c r="NQ404" s="889">
        <v>0.6371672832121773</v>
      </c>
      <c r="NR404" s="889">
        <v>0.38223843834687238</v>
      </c>
      <c r="NS404" s="889">
        <v>0.58202795650424299</v>
      </c>
      <c r="NT404" s="889">
        <v>0.6462787848044047</v>
      </c>
      <c r="NU404" s="889">
        <v>0.37277469313215961</v>
      </c>
      <c r="NV404" s="889">
        <v>0.77878618929936849</v>
      </c>
      <c r="NW404" s="889">
        <v>0.38831588975083181</v>
      </c>
      <c r="NX404" s="889">
        <v>0.54236320920441439</v>
      </c>
      <c r="NY404" s="889">
        <v>0.66995859846564332</v>
      </c>
      <c r="NZ404" s="889">
        <v>0.40796542366283822</v>
      </c>
      <c r="OA404" s="889">
        <v>0.63041634100357113</v>
      </c>
      <c r="OB404" s="889">
        <v>0.3908782583647723</v>
      </c>
      <c r="OC404" s="889">
        <v>0.59222013618381197</v>
      </c>
      <c r="OD404" s="889">
        <v>0.64298717786254966</v>
      </c>
      <c r="OE404" s="889">
        <v>0.37278597620320969</v>
      </c>
      <c r="OF404" s="889">
        <v>0.78614139615817824</v>
      </c>
      <c r="OG404" s="889">
        <v>0.39423342219420521</v>
      </c>
      <c r="OH404" s="889">
        <v>0.54624008661890566</v>
      </c>
      <c r="OI404" s="889">
        <v>0.66583576207566042</v>
      </c>
      <c r="OJ404" s="889">
        <v>0.4042774864939358</v>
      </c>
      <c r="OK404" s="889">
        <v>0.63335040967354517</v>
      </c>
      <c r="OL404" s="889">
        <v>0.38382239175587129</v>
      </c>
      <c r="OM404" s="889">
        <v>0.56901389423210436</v>
      </c>
      <c r="ON404" s="889">
        <v>0.64674546380132503</v>
      </c>
      <c r="OO404" s="889">
        <v>0.37437776396052957</v>
      </c>
      <c r="OP404" s="889">
        <v>0.78945986626335851</v>
      </c>
      <c r="OQ404" s="889">
        <v>0.36922337569910152</v>
      </c>
      <c r="OR404" s="889">
        <v>0.54503945751092808</v>
      </c>
      <c r="OS404" s="889">
        <v>0.66704518023263182</v>
      </c>
      <c r="OT404" s="889">
        <v>0.40246259388607492</v>
      </c>
      <c r="OU404" s="889">
        <v>0.61219711861316384</v>
      </c>
      <c r="OV404" s="889">
        <v>0.37694019145427549</v>
      </c>
      <c r="OW404" s="889">
        <v>0.56653614813798781</v>
      </c>
      <c r="OX404" s="889">
        <v>0.64633775477338895</v>
      </c>
      <c r="OY404" s="889">
        <v>0.37588760339728933</v>
      </c>
      <c r="OZ404" s="889">
        <v>0.78962468082525961</v>
      </c>
      <c r="PA404" s="889">
        <v>0.3899521324200419</v>
      </c>
      <c r="PB404" s="889">
        <v>0.54607252296806708</v>
      </c>
      <c r="PC404" s="889">
        <v>0.66669886002870704</v>
      </c>
      <c r="PD404" s="889">
        <v>0.40124278510949779</v>
      </c>
      <c r="PE404" s="889">
        <v>0.60148966703782603</v>
      </c>
      <c r="PF404" s="889">
        <v>0.37522146190664041</v>
      </c>
      <c r="PG404" s="889">
        <v>0.55931451728780235</v>
      </c>
      <c r="PH404" s="889">
        <v>0.65082052363978593</v>
      </c>
      <c r="PI404" s="889">
        <v>0.3774187252934329</v>
      </c>
      <c r="PJ404" s="889">
        <v>0.7902257372921162</v>
      </c>
      <c r="PK404" s="889">
        <v>0.41154485969966681</v>
      </c>
      <c r="PL404" s="889">
        <v>0.5475466602179726</v>
      </c>
      <c r="PM404" s="889">
        <v>0.66196769159595337</v>
      </c>
      <c r="PN404" s="889">
        <v>0.40146554848993288</v>
      </c>
      <c r="PO404" s="889">
        <v>0.62434794448854325</v>
      </c>
      <c r="PP404" s="889">
        <v>0.34574605623126969</v>
      </c>
      <c r="PQ404" s="889">
        <v>0.53459997932425352</v>
      </c>
      <c r="PR404" s="889">
        <v>0.65339316207531262</v>
      </c>
      <c r="PS404" s="889">
        <v>0.38259063532197712</v>
      </c>
      <c r="PT404" s="889">
        <v>0.80216238160238218</v>
      </c>
      <c r="PU404" s="889">
        <v>0.37826630981417941</v>
      </c>
      <c r="PV404" s="889">
        <v>0.54503356394533464</v>
      </c>
      <c r="PW404" s="889">
        <v>0.66196780302106206</v>
      </c>
      <c r="PX404" s="889">
        <v>0.4014655005417006</v>
      </c>
      <c r="PY404" s="889">
        <v>0.62435286702940196</v>
      </c>
      <c r="PZ404" s="889">
        <v>0.34576744159511041</v>
      </c>
      <c r="QA404" s="889">
        <v>0.53459997932425352</v>
      </c>
      <c r="QB404" s="889">
        <v>0.6533931620735981</v>
      </c>
      <c r="QC404" s="889">
        <v>0.38259053248908242</v>
      </c>
      <c r="QD404" s="889">
        <v>0.80262522316205731</v>
      </c>
      <c r="QE404" s="889">
        <v>0.37826630981417941</v>
      </c>
      <c r="QF404" s="889">
        <v>0.54503309712482439</v>
      </c>
      <c r="QG404" s="889">
        <v>0.65963547923289445</v>
      </c>
      <c r="QH404" s="889">
        <v>0.40437638612584592</v>
      </c>
      <c r="QI404" s="889">
        <v>0.61946015591971193</v>
      </c>
      <c r="QJ404" s="889">
        <v>0.34774380556209827</v>
      </c>
      <c r="QK404" s="889">
        <v>0.55329959862974509</v>
      </c>
      <c r="QL404" s="889">
        <v>0.65569586125332679</v>
      </c>
      <c r="QM404" s="889">
        <v>0.38415384504025712</v>
      </c>
      <c r="QN404" s="889">
        <v>0.80524255659506738</v>
      </c>
      <c r="QO404" s="889">
        <v>0.40777263859922003</v>
      </c>
      <c r="QP404" s="889">
        <v>0.55242800628607425</v>
      </c>
      <c r="QQ404" s="889">
        <v>0.65923714309146031</v>
      </c>
      <c r="QR404" s="889">
        <v>0.4616168510792098</v>
      </c>
      <c r="QS404" s="889">
        <v>0.63512927664939778</v>
      </c>
      <c r="QT404" s="889">
        <v>0.45902271969553909</v>
      </c>
      <c r="QU404" s="889">
        <v>0.64974402657199648</v>
      </c>
      <c r="QV404" s="889">
        <v>0.65484206997819783</v>
      </c>
      <c r="QW404" s="889">
        <v>0.41383129587751238</v>
      </c>
      <c r="QX404" s="889">
        <v>0.76086376036479975</v>
      </c>
      <c r="QY404" s="889">
        <v>0.4492152935196152</v>
      </c>
      <c r="QZ404" s="889">
        <v>0.54132330410086316</v>
      </c>
      <c r="RA404" s="889">
        <v>0.6574556098265556</v>
      </c>
      <c r="RB404" s="889">
        <v>0.45880026103788268</v>
      </c>
      <c r="RC404" s="889">
        <v>0.64522405851081288</v>
      </c>
      <c r="RD404" s="889">
        <v>0.44901030314688289</v>
      </c>
      <c r="RE404" s="889">
        <v>0.64996206887830765</v>
      </c>
      <c r="RF404" s="889">
        <v>0.65663732189039825</v>
      </c>
      <c r="RG404" s="889">
        <v>0.41499213977301952</v>
      </c>
      <c r="RH404" s="889">
        <v>0.76222703875102815</v>
      </c>
      <c r="RI404" s="889">
        <v>0.44939122763883221</v>
      </c>
      <c r="RJ404" s="889">
        <v>0.54161109121902595</v>
      </c>
      <c r="RK404" s="889">
        <v>0.66004131924360687</v>
      </c>
      <c r="RL404" s="889">
        <v>0.46399669618655998</v>
      </c>
      <c r="RM404" s="889">
        <v>0.64142164300543469</v>
      </c>
      <c r="RN404" s="889">
        <v>0.46413006908620907</v>
      </c>
      <c r="RO404" s="889">
        <v>0.6520906056762672</v>
      </c>
      <c r="RP404" s="889">
        <v>0.65904101662214742</v>
      </c>
      <c r="RQ404" s="889">
        <v>0.41311495925603481</v>
      </c>
      <c r="RR404" s="889">
        <v>0.76486548745038108</v>
      </c>
      <c r="RS404" s="889">
        <v>0.44717743511425329</v>
      </c>
      <c r="RT404" s="889">
        <v>0.54236985003248361</v>
      </c>
      <c r="RU404" s="889">
        <v>0.65566462016962768</v>
      </c>
      <c r="RV404" s="889">
        <v>0.45898040840263371</v>
      </c>
      <c r="RW404" s="889">
        <v>0.6415916055971258</v>
      </c>
      <c r="RX404" s="889">
        <v>0.44962554846827818</v>
      </c>
      <c r="RY404" s="889">
        <v>0.64579496988662943</v>
      </c>
      <c r="RZ404" s="889">
        <v>0.65648468529867665</v>
      </c>
      <c r="SA404" s="889">
        <v>0.41562134251017091</v>
      </c>
      <c r="SB404" s="889">
        <v>0.76593646112378622</v>
      </c>
      <c r="SC404" s="889">
        <v>0.44368090580850789</v>
      </c>
      <c r="SD404" s="889">
        <v>0.54270625516674464</v>
      </c>
      <c r="SE404" s="889">
        <v>0.65337387138759606</v>
      </c>
      <c r="SF404" s="889">
        <v>0.45630601931292941</v>
      </c>
      <c r="SG404" s="889">
        <v>0.63302445488568826</v>
      </c>
      <c r="SH404" s="889">
        <v>0.45329566205697391</v>
      </c>
      <c r="SI404" s="889">
        <v>0.646549082726392</v>
      </c>
      <c r="SJ404" s="889">
        <v>0.65317523805738809</v>
      </c>
      <c r="SK404" s="889">
        <v>0.417761968186944</v>
      </c>
      <c r="SL404" s="889">
        <v>0.76549193712420682</v>
      </c>
      <c r="SM404" s="889">
        <v>0.45428735409853122</v>
      </c>
      <c r="SN404" s="889">
        <v>0.54055870287946595</v>
      </c>
      <c r="SO404" s="889">
        <v>0.65143445741593686</v>
      </c>
      <c r="SP404" s="889">
        <v>0.45518706986434232</v>
      </c>
      <c r="SQ404" s="889">
        <v>0.62848206877370294</v>
      </c>
      <c r="SR404" s="889">
        <v>0.42870159251330853</v>
      </c>
      <c r="SS404" s="889">
        <v>0.63775337682784095</v>
      </c>
      <c r="ST404" s="889">
        <v>0.65314383115307706</v>
      </c>
      <c r="SU404" s="889">
        <v>0.41942467316259219</v>
      </c>
      <c r="SV404" s="889">
        <v>0.76479808977146291</v>
      </c>
      <c r="SW404" s="889">
        <v>0.46483624242540461</v>
      </c>
      <c r="SX404" s="889">
        <v>0.54197552977665653</v>
      </c>
      <c r="SY404" s="889">
        <v>0.63901597397369025</v>
      </c>
      <c r="SZ404" s="889">
        <v>0.44192999217695528</v>
      </c>
      <c r="TA404" s="889">
        <v>0.60547350900301056</v>
      </c>
      <c r="TB404" s="889">
        <v>0.37824824235144838</v>
      </c>
      <c r="TC404" s="889">
        <v>0.54618344032200117</v>
      </c>
      <c r="TD404" s="889">
        <v>0.64275097134362558</v>
      </c>
      <c r="TE404" s="889">
        <v>0.42558331680729561</v>
      </c>
      <c r="TF404" s="889">
        <v>0.76934254368876254</v>
      </c>
      <c r="TG404" s="889">
        <v>0.2551908064370455</v>
      </c>
      <c r="TH404" s="889">
        <v>0.52971915549856119</v>
      </c>
      <c r="TI404" s="889">
        <v>0.63901597397369025</v>
      </c>
      <c r="TJ404" s="889">
        <v>0.44192999217695528</v>
      </c>
      <c r="TK404" s="889">
        <v>0.60547350900301056</v>
      </c>
      <c r="TL404" s="889">
        <v>0.37824824235144838</v>
      </c>
      <c r="TM404" s="889">
        <v>0.54618344032200117</v>
      </c>
      <c r="TN404" s="889">
        <v>0.64275097134362558</v>
      </c>
      <c r="TO404" s="889">
        <v>0.42558331680729561</v>
      </c>
      <c r="TP404" s="889">
        <v>0.76928452822378912</v>
      </c>
      <c r="TQ404" s="889">
        <v>0.2551908064370455</v>
      </c>
      <c r="TR404" s="889">
        <v>0.52971915549856119</v>
      </c>
      <c r="TS404" s="889">
        <v>0.63750725219458804</v>
      </c>
      <c r="TT404" s="889">
        <v>0.44823411179806988</v>
      </c>
      <c r="TU404" s="889">
        <v>0.61336429940948634</v>
      </c>
      <c r="TV404" s="889">
        <v>0.37751051487710519</v>
      </c>
      <c r="TW404" s="889">
        <v>0.54730046874650617</v>
      </c>
      <c r="TX404" s="889">
        <v>0.64144489647030478</v>
      </c>
      <c r="TY404" s="889">
        <v>0.42848015610810092</v>
      </c>
      <c r="TZ404" s="889">
        <v>0.76920273934560734</v>
      </c>
      <c r="UA404" s="889">
        <v>0.33833100068863697</v>
      </c>
      <c r="UB404" s="889">
        <v>0.54429090357247911</v>
      </c>
      <c r="UC404" s="889">
        <v>0.67189628297070358</v>
      </c>
      <c r="UD404" s="889">
        <v>0.50799136876046691</v>
      </c>
      <c r="UE404" s="889">
        <v>0.61781397588317644</v>
      </c>
      <c r="UF404" s="889">
        <v>0.46927347645674722</v>
      </c>
      <c r="UG404" s="889">
        <v>0.53442458647793378</v>
      </c>
      <c r="UH404" s="889">
        <v>0.6363628004793952</v>
      </c>
      <c r="UI404" s="889">
        <v>0.46080962529345509</v>
      </c>
      <c r="UJ404" s="889">
        <v>0.8157360050542134</v>
      </c>
      <c r="UK404" s="889">
        <v>0.46592039115907841</v>
      </c>
      <c r="UL404" s="889">
        <v>0.58295047304650294</v>
      </c>
      <c r="UM404" s="889">
        <v>0.67422010064537652</v>
      </c>
      <c r="UN404" s="889">
        <v>0.5032048074921498</v>
      </c>
      <c r="UO404" s="889">
        <v>0.65779077604158875</v>
      </c>
      <c r="UP404" s="889">
        <v>0.46906474866642101</v>
      </c>
      <c r="UQ404" s="889">
        <v>0.53160474693470283</v>
      </c>
      <c r="UR404" s="889">
        <v>0.63884257907535047</v>
      </c>
      <c r="US404" s="889">
        <v>0.46448999294081039</v>
      </c>
      <c r="UT404" s="889">
        <v>0.81706149472506007</v>
      </c>
      <c r="UU404" s="889">
        <v>0.47944475957920141</v>
      </c>
      <c r="UV404" s="889">
        <v>0.58134560459767659</v>
      </c>
      <c r="UW404" s="889">
        <v>0.66803143023097289</v>
      </c>
      <c r="UX404" s="889">
        <v>0.50989665167234222</v>
      </c>
      <c r="UY404" s="889">
        <v>0.6114980860999335</v>
      </c>
      <c r="UZ404" s="889">
        <v>0.47120566411596609</v>
      </c>
      <c r="VA404" s="889">
        <v>0.53159260667023167</v>
      </c>
      <c r="VB404" s="889">
        <v>0.63856973272064144</v>
      </c>
      <c r="VC404" s="889">
        <v>0.46227004359722312</v>
      </c>
      <c r="VD404" s="889">
        <v>0.81829358510740546</v>
      </c>
      <c r="VE404" s="889">
        <v>0.40169872548732188</v>
      </c>
      <c r="VF404" s="889">
        <v>0.58945904738478072</v>
      </c>
      <c r="VG404" s="889">
        <v>0.67459577622922184</v>
      </c>
      <c r="VH404" s="889">
        <v>0.51261993629135749</v>
      </c>
      <c r="VI404" s="889">
        <v>0.64929604609649372</v>
      </c>
      <c r="VJ404" s="889">
        <v>0.46980519430694923</v>
      </c>
      <c r="VK404" s="889">
        <v>0.53649217257386428</v>
      </c>
      <c r="VL404" s="889">
        <v>0.63894187957056259</v>
      </c>
      <c r="VM404" s="889">
        <v>0.46448989558685361</v>
      </c>
      <c r="VN404" s="889">
        <v>0.81794473210657448</v>
      </c>
      <c r="VO404" s="889">
        <v>0.51523561136328966</v>
      </c>
      <c r="VP404" s="889">
        <v>0.58325688198383563</v>
      </c>
      <c r="VQ404" s="889">
        <v>0.67646877667800021</v>
      </c>
      <c r="VR404" s="889">
        <v>0.51786271090169689</v>
      </c>
      <c r="VS404" s="889">
        <v>0.64505194156291457</v>
      </c>
      <c r="VT404" s="889">
        <v>0.46949909296863529</v>
      </c>
      <c r="VU404" s="889">
        <v>0.55279466998450721</v>
      </c>
      <c r="VV404" s="889">
        <v>0.64299767696207111</v>
      </c>
      <c r="VW404" s="889">
        <v>0.46389470044910269</v>
      </c>
      <c r="VX404" s="889">
        <v>0.81769014688126396</v>
      </c>
      <c r="VY404" s="889">
        <v>0.53704715796438174</v>
      </c>
      <c r="VZ404" s="889">
        <v>0.58615265185568843</v>
      </c>
      <c r="WA404" s="889">
        <v>0.6793889523551857</v>
      </c>
      <c r="WB404" s="889">
        <v>0.5160493126330592</v>
      </c>
      <c r="WC404" s="889">
        <v>0.62950425470986127</v>
      </c>
      <c r="WD404" s="889">
        <v>0.46645212838470279</v>
      </c>
      <c r="WE404" s="889">
        <v>0.53994031026530642</v>
      </c>
      <c r="WF404" s="889">
        <v>0.6450183936978493</v>
      </c>
      <c r="WG404" s="889">
        <v>0.46281201118330079</v>
      </c>
      <c r="WH404" s="889">
        <v>0.81849583579503349</v>
      </c>
      <c r="WI404" s="889">
        <v>0.52051556822467782</v>
      </c>
      <c r="WJ404" s="889">
        <v>0.58660503432498678</v>
      </c>
      <c r="WK404" s="889">
        <v>0.67987933579535942</v>
      </c>
      <c r="WL404" s="889">
        <v>0.50769014429466131</v>
      </c>
      <c r="WM404" s="889">
        <v>0.60504437324325133</v>
      </c>
      <c r="WN404" s="889">
        <v>0.45256035838614328</v>
      </c>
      <c r="WO404" s="889">
        <v>0.46013388035514707</v>
      </c>
      <c r="WP404" s="889">
        <v>0.63960019850793637</v>
      </c>
      <c r="WQ404" s="889">
        <v>0.46786324916052691</v>
      </c>
      <c r="WR404" s="889">
        <v>0.82118465945261165</v>
      </c>
      <c r="WS404" s="889">
        <v>0.39315283938897622</v>
      </c>
      <c r="WT404" s="889">
        <v>0.58875764748309967</v>
      </c>
      <c r="WU404" s="889">
        <v>0.6798794421095925</v>
      </c>
      <c r="WV404" s="889">
        <v>0.50769038607730343</v>
      </c>
      <c r="WW404" s="889">
        <v>0.60504437324325133</v>
      </c>
      <c r="WX404" s="889">
        <v>0.45256001678977159</v>
      </c>
      <c r="WY404" s="889">
        <v>0.46013392086058058</v>
      </c>
      <c r="WZ404" s="889">
        <v>0.63960019850793637</v>
      </c>
      <c r="XA404" s="889">
        <v>0.46786324916052691</v>
      </c>
      <c r="XB404" s="889">
        <v>0.821308326042684</v>
      </c>
      <c r="XC404" s="889">
        <v>0.39315283938897622</v>
      </c>
      <c r="XD404" s="889">
        <v>0.58875793729447334</v>
      </c>
      <c r="XE404" s="889">
        <v>0.68298706474655435</v>
      </c>
      <c r="XF404" s="889">
        <v>0.51067410219036069</v>
      </c>
      <c r="XG404" s="889">
        <v>0.63732231064869449</v>
      </c>
      <c r="XH404" s="889">
        <v>0.45767950277301611</v>
      </c>
      <c r="XI404" s="889">
        <v>0.5509152840814967</v>
      </c>
      <c r="XJ404" s="889">
        <v>0.63992173495873983</v>
      </c>
      <c r="XK404" s="889">
        <v>0.46947577365152171</v>
      </c>
      <c r="XL404" s="889">
        <v>0.82247412531073527</v>
      </c>
      <c r="XM404" s="889">
        <v>0.43596835650477977</v>
      </c>
      <c r="XN404" s="889">
        <v>0.5998894708026723</v>
      </c>
      <c r="XO404" s="889">
        <v>0.65212782172967154</v>
      </c>
      <c r="XP404" s="889">
        <v>0.48191686912543691</v>
      </c>
      <c r="XQ404" s="889">
        <v>0.61819877006305668</v>
      </c>
      <c r="XR404" s="889">
        <v>0.55325059545932287</v>
      </c>
      <c r="XS404" s="889">
        <v>0.57483152200182575</v>
      </c>
      <c r="XT404" s="889">
        <v>0.62462359851333882</v>
      </c>
      <c r="XU404" s="889">
        <v>0.45792065291156892</v>
      </c>
      <c r="XV404" s="889">
        <v>0.78156665014731908</v>
      </c>
      <c r="XW404" s="889">
        <v>0.45037999829991687</v>
      </c>
      <c r="XX404" s="889">
        <v>0.53757380755966677</v>
      </c>
      <c r="XY404" s="889">
        <v>0.65165976489474664</v>
      </c>
      <c r="XZ404" s="889">
        <v>0.47950835964128907</v>
      </c>
      <c r="YA404" s="889">
        <v>0.64806217024514079</v>
      </c>
      <c r="YB404" s="889">
        <v>0.5457988477008493</v>
      </c>
      <c r="YC404" s="889">
        <v>0.57927096622158225</v>
      </c>
      <c r="YD404" s="889">
        <v>0.62230177837288037</v>
      </c>
      <c r="YE404" s="889">
        <v>0.45937866650607112</v>
      </c>
      <c r="YF404" s="889">
        <v>0.78163440581304311</v>
      </c>
      <c r="YG404" s="889">
        <v>0.45671818704910011</v>
      </c>
      <c r="YH404" s="889">
        <v>0.53446551517384377</v>
      </c>
      <c r="YI404" s="889">
        <v>0.64922397235242912</v>
      </c>
      <c r="YJ404" s="889">
        <v>0.48444000072946369</v>
      </c>
      <c r="YK404" s="889">
        <v>0.60574262150223213</v>
      </c>
      <c r="YL404" s="889">
        <v>0.55781363829302477</v>
      </c>
      <c r="YM404" s="889">
        <v>0.57055469047384699</v>
      </c>
      <c r="YN404" s="889">
        <v>0.62696884532725017</v>
      </c>
      <c r="YO404" s="889">
        <v>0.45759335435676218</v>
      </c>
      <c r="YP404" s="889">
        <v>0.7813963875938712</v>
      </c>
      <c r="YQ404" s="889">
        <v>0.44021003011505472</v>
      </c>
      <c r="YR404" s="889">
        <v>0.53977806764109293</v>
      </c>
      <c r="YS404" s="889">
        <v>0.65162873834248769</v>
      </c>
      <c r="YT404" s="889">
        <v>0.4788183674295563</v>
      </c>
      <c r="YU404" s="889">
        <v>0.63500511760020384</v>
      </c>
      <c r="YV404" s="889">
        <v>0.54508904760008914</v>
      </c>
      <c r="YW404" s="889">
        <v>0.58713528127655268</v>
      </c>
      <c r="YX404" s="889">
        <v>0.62236842843333928</v>
      </c>
      <c r="YY404" s="889">
        <v>0.45954207571133049</v>
      </c>
      <c r="YZ404" s="889">
        <v>0.78114876716146919</v>
      </c>
      <c r="ZA404" s="889">
        <v>0.47371579525758578</v>
      </c>
      <c r="ZB404" s="889">
        <v>0.53488140202719481</v>
      </c>
      <c r="ZC404" s="889">
        <v>0.64878879279542223</v>
      </c>
      <c r="ZD404" s="889">
        <v>0.47622392453762469</v>
      </c>
      <c r="ZE404" s="889">
        <v>0.64054346503627957</v>
      </c>
      <c r="ZF404" s="889">
        <v>0.52871913177678753</v>
      </c>
      <c r="ZG404" s="889">
        <v>0.60302993312533781</v>
      </c>
      <c r="ZH404" s="889">
        <v>0.62085362116928478</v>
      </c>
      <c r="ZI404" s="889">
        <v>0.46036605863295099</v>
      </c>
      <c r="ZJ404" s="889">
        <v>0.78099838758237228</v>
      </c>
      <c r="ZK404" s="889">
        <v>0.48950778277527152</v>
      </c>
      <c r="ZL404" s="889">
        <v>0.53162323632396746</v>
      </c>
      <c r="ZM404" s="889">
        <v>0.64697322805948554</v>
      </c>
      <c r="ZN404" s="889">
        <v>0.47341428715827061</v>
      </c>
      <c r="ZO404" s="889">
        <v>0.63050226424327571</v>
      </c>
      <c r="ZP404" s="889">
        <v>0.51961132674562549</v>
      </c>
      <c r="ZQ404" s="889">
        <v>0.59401665901127387</v>
      </c>
      <c r="ZR404" s="889">
        <v>0.61891007374254081</v>
      </c>
      <c r="ZS404" s="889">
        <v>0.4606053206208448</v>
      </c>
      <c r="ZT404" s="889">
        <v>0.78082185556725781</v>
      </c>
      <c r="ZU404" s="889">
        <v>0.48018651990070699</v>
      </c>
      <c r="ZV404" s="889">
        <v>0.53033656513726635</v>
      </c>
      <c r="ZW404" s="889">
        <v>0.63453887234179285</v>
      </c>
      <c r="ZX404" s="889">
        <v>0.45979973548304992</v>
      </c>
      <c r="ZY404" s="889">
        <v>0.60259958597212959</v>
      </c>
      <c r="ZZ404" s="889">
        <v>0.43076199825092309</v>
      </c>
      <c r="AAA404" s="889">
        <v>0.57774759687921795</v>
      </c>
      <c r="AAB404" s="889">
        <v>0.60162129870015102</v>
      </c>
      <c r="AAC404" s="889">
        <v>0.46532786292828782</v>
      </c>
      <c r="AAD404" s="889">
        <v>0.78166483713910428</v>
      </c>
      <c r="AAE404" s="889">
        <v>0.30800851121443351</v>
      </c>
      <c r="AAF404" s="889">
        <v>0.5192956325568242</v>
      </c>
      <c r="AAG404" s="889">
        <v>0.63453887234179285</v>
      </c>
      <c r="AAH404" s="889">
        <v>0.45979973548304992</v>
      </c>
      <c r="AAI404" s="889">
        <v>0.60259958597212959</v>
      </c>
      <c r="AAJ404" s="889">
        <v>0.43076199825092309</v>
      </c>
      <c r="AAK404" s="889">
        <v>0.57774759687921795</v>
      </c>
      <c r="AAL404" s="889">
        <v>0.60162129870015102</v>
      </c>
      <c r="AAM404" s="889">
        <v>0.46532786292828782</v>
      </c>
      <c r="AAN404" s="889">
        <v>0.78161216695046831</v>
      </c>
      <c r="AAO404" s="889">
        <v>0.30800851121443351</v>
      </c>
      <c r="AAP404" s="889">
        <v>0.5192956325568242</v>
      </c>
      <c r="AAQ404" s="889">
        <v>0.63259266938866132</v>
      </c>
      <c r="AAR404" s="889">
        <v>0.46090665920768958</v>
      </c>
      <c r="AAS404" s="889">
        <v>0.59871569526003876</v>
      </c>
      <c r="AAT404" s="889">
        <v>0.42633927732270871</v>
      </c>
      <c r="AAU404" s="889">
        <v>0.59892821459535828</v>
      </c>
      <c r="AAV404" s="889">
        <v>0.60125003656438181</v>
      </c>
      <c r="AAW404" s="889">
        <v>0.46616949063679641</v>
      </c>
      <c r="AAX404" s="889">
        <v>0.78134580547653498</v>
      </c>
      <c r="AAY404" s="889">
        <v>0.34255745533820431</v>
      </c>
      <c r="AAZ404" s="889">
        <v>0.55849988459639099</v>
      </c>
      <c r="ABA404" s="889">
        <v>0.71070002371076657</v>
      </c>
      <c r="ABB404" s="889">
        <v>0.7541739670851676</v>
      </c>
      <c r="ABC404" s="889">
        <v>0.80836145092329192</v>
      </c>
      <c r="ABD404" s="889">
        <v>0.83454114541258351</v>
      </c>
      <c r="ABE404" s="889">
        <v>0.85842141284855855</v>
      </c>
      <c r="ABF404" s="889">
        <v>0.82906269101088603</v>
      </c>
      <c r="ABG404" s="889">
        <v>0.65465389307489485</v>
      </c>
      <c r="ABH404" s="889">
        <v>0.88234088894116003</v>
      </c>
      <c r="ABI404" s="889">
        <v>0.92263295471876683</v>
      </c>
      <c r="ABJ404" s="889">
        <v>0.73589794427964517</v>
      </c>
      <c r="ABK404" s="889">
        <v>0.71070002371076657</v>
      </c>
      <c r="ABL404" s="889">
        <v>0.7541739670851676</v>
      </c>
      <c r="ABM404" s="889">
        <v>0.80836145092329192</v>
      </c>
      <c r="ABN404" s="889">
        <v>0.83454114541258351</v>
      </c>
      <c r="ABO404" s="889">
        <v>0.85842141284855855</v>
      </c>
      <c r="ABP404" s="889">
        <v>0.82906269101088603</v>
      </c>
      <c r="ABQ404" s="889">
        <v>0.65465389307489485</v>
      </c>
      <c r="ABR404" s="889">
        <v>0.88234088894116003</v>
      </c>
      <c r="ABS404" s="889">
        <v>0.92263295471876683</v>
      </c>
      <c r="ABT404" s="889">
        <v>0.73589794427964517</v>
      </c>
      <c r="ABU404" s="889">
        <v>0.71070002371076657</v>
      </c>
      <c r="ABV404" s="889">
        <v>0.7541739670851676</v>
      </c>
      <c r="ABW404" s="889">
        <v>0.80836145092329192</v>
      </c>
      <c r="ABX404" s="889">
        <v>0.83454114541258351</v>
      </c>
      <c r="ABY404" s="889">
        <v>0.85842141284855855</v>
      </c>
      <c r="ABZ404" s="889">
        <v>0.82906269101088603</v>
      </c>
      <c r="ACA404" s="889">
        <v>0.65465389307489485</v>
      </c>
      <c r="ACB404" s="889">
        <v>0.88234088894116003</v>
      </c>
      <c r="ACC404" s="889">
        <v>0.92263295471876683</v>
      </c>
      <c r="ACD404" s="889">
        <v>0.73589794427964517</v>
      </c>
      <c r="ACE404" s="889">
        <v>0.71070002371076657</v>
      </c>
      <c r="ACF404" s="889">
        <v>0.7541739670851676</v>
      </c>
      <c r="ACG404" s="889">
        <v>0.80836145092329192</v>
      </c>
      <c r="ACH404" s="889">
        <v>0.83454114541258351</v>
      </c>
      <c r="ACI404" s="889">
        <v>0.85842141284855855</v>
      </c>
      <c r="ACJ404" s="889">
        <v>0.82906269101088603</v>
      </c>
      <c r="ACK404" s="889">
        <v>0.65465389307489485</v>
      </c>
      <c r="ACL404" s="889">
        <v>0.88234088894116003</v>
      </c>
      <c r="ACM404" s="889">
        <v>0.92263295471876683</v>
      </c>
      <c r="ACN404" s="889">
        <v>0.73589794427964517</v>
      </c>
      <c r="ACO404" s="889">
        <v>0.71070002371076657</v>
      </c>
      <c r="ACP404" s="889">
        <v>0.7541739670851676</v>
      </c>
      <c r="ACQ404" s="889">
        <v>0.80836145092329192</v>
      </c>
      <c r="ACR404" s="889">
        <v>0.83454114541258351</v>
      </c>
      <c r="ACS404" s="889">
        <v>0.85842141284855855</v>
      </c>
      <c r="ACT404" s="889">
        <v>0.82906269101088603</v>
      </c>
      <c r="ACU404" s="889">
        <v>0.65465389307489485</v>
      </c>
      <c r="ACV404" s="889">
        <v>0.88234088894116003</v>
      </c>
      <c r="ACW404" s="889">
        <v>0.92263295471876683</v>
      </c>
      <c r="ACX404" s="889">
        <v>0.73589794427964517</v>
      </c>
      <c r="ACY404" s="889">
        <v>0.71070002371076657</v>
      </c>
      <c r="ACZ404" s="889">
        <v>0.7541739670851676</v>
      </c>
      <c r="ADA404" s="889">
        <v>0.80836145092329192</v>
      </c>
      <c r="ADB404" s="889">
        <v>0.83454114541258351</v>
      </c>
      <c r="ADC404" s="889">
        <v>0.85842141284855855</v>
      </c>
      <c r="ADD404" s="889">
        <v>0.82906269101088603</v>
      </c>
      <c r="ADE404" s="889">
        <v>0.65465389307489485</v>
      </c>
      <c r="ADF404" s="889">
        <v>0.88234088894116003</v>
      </c>
      <c r="ADG404" s="889">
        <v>0.92263295471876683</v>
      </c>
      <c r="ADH404" s="889">
        <v>0.73589794427964517</v>
      </c>
      <c r="ADI404" s="889">
        <v>0.71070002371076657</v>
      </c>
      <c r="ADJ404" s="889">
        <v>0.7541739670851676</v>
      </c>
      <c r="ADK404" s="889">
        <v>0.80836145092329192</v>
      </c>
      <c r="ADL404" s="889">
        <v>0.83454114541258351</v>
      </c>
      <c r="ADM404" s="889">
        <v>0.85842141284855855</v>
      </c>
      <c r="ADN404" s="889">
        <v>0.82906269101088603</v>
      </c>
      <c r="ADO404" s="889">
        <v>0.65465389307489485</v>
      </c>
      <c r="ADP404" s="889">
        <v>0.88234088894116003</v>
      </c>
      <c r="ADQ404" s="889">
        <v>0.92263295471876683</v>
      </c>
      <c r="ADR404" s="889">
        <v>0.73589794427964517</v>
      </c>
      <c r="ADS404" s="889">
        <v>0.71070002371076657</v>
      </c>
      <c r="ADT404" s="889">
        <v>0.7541739670851676</v>
      </c>
      <c r="ADU404" s="889">
        <v>0.80836145092329192</v>
      </c>
      <c r="ADV404" s="889">
        <v>0.83454114541258351</v>
      </c>
      <c r="ADW404" s="889">
        <v>0.85842141284855855</v>
      </c>
      <c r="ADX404" s="889">
        <v>0.82906269101088603</v>
      </c>
      <c r="ADY404" s="889">
        <v>0.65465389307489485</v>
      </c>
      <c r="ADZ404" s="889">
        <v>0.88234088894116003</v>
      </c>
      <c r="AEA404" s="889">
        <v>0.92263295471876683</v>
      </c>
      <c r="AEB404" s="889">
        <v>0.73589794427964517</v>
      </c>
      <c r="AEC404" s="889">
        <v>0.71070002371076657</v>
      </c>
      <c r="AED404" s="889">
        <v>0.7541739670851676</v>
      </c>
      <c r="AEE404" s="889">
        <v>0.80836145092329192</v>
      </c>
      <c r="AEF404" s="889">
        <v>0.83454114541258351</v>
      </c>
      <c r="AEG404" s="889">
        <v>0.85842141284855855</v>
      </c>
      <c r="AEH404" s="889">
        <v>0.82906269101088603</v>
      </c>
      <c r="AEI404" s="889">
        <v>0.65465389307489485</v>
      </c>
      <c r="AEJ404" s="889">
        <v>0.88234088894116003</v>
      </c>
      <c r="AEK404" s="889">
        <v>0.92263295471876683</v>
      </c>
      <c r="AEL404" s="889">
        <v>0.73589794427964517</v>
      </c>
      <c r="AEM404" s="889">
        <v>0.73964612526483098</v>
      </c>
      <c r="AEN404" s="889">
        <v>0.76520930166012391</v>
      </c>
      <c r="AEO404" s="889">
        <v>0.81867813763586117</v>
      </c>
      <c r="AEP404" s="889">
        <v>0.82132375336435692</v>
      </c>
      <c r="AEQ404" s="889">
        <v>0.85824725589368134</v>
      </c>
      <c r="AER404" s="889">
        <v>0.84535686263518239</v>
      </c>
      <c r="AES404" s="889">
        <v>0.68373676333799138</v>
      </c>
      <c r="AET404" s="889">
        <v>0.87334421581501354</v>
      </c>
      <c r="AEU404" s="889">
        <v>0.93663600442294326</v>
      </c>
      <c r="AEV404" s="889">
        <v>0.75793805062040709</v>
      </c>
      <c r="AEW404" s="889">
        <v>0.73964612526483098</v>
      </c>
      <c r="AEX404" s="889">
        <v>0.76520930166012391</v>
      </c>
      <c r="AEY404" s="889">
        <v>0.81867813763586117</v>
      </c>
      <c r="AEZ404" s="889">
        <v>0.82132375336435692</v>
      </c>
      <c r="AFA404" s="889">
        <v>0.85824725589368134</v>
      </c>
      <c r="AFB404" s="889">
        <v>0.84535686263518239</v>
      </c>
      <c r="AFC404" s="889">
        <v>0.68373676333799138</v>
      </c>
      <c r="AFD404" s="889">
        <v>0.87334421581501354</v>
      </c>
      <c r="AFE404" s="889">
        <v>0.93663600442294326</v>
      </c>
      <c r="AFF404" s="889">
        <v>0.75793805062040709</v>
      </c>
      <c r="AFG404" s="889">
        <v>0.73964612526483098</v>
      </c>
      <c r="AFH404" s="889">
        <v>0.76520930166012391</v>
      </c>
      <c r="AFI404" s="889">
        <v>0.81867813763586117</v>
      </c>
      <c r="AFJ404" s="889">
        <v>0.82132375336435692</v>
      </c>
      <c r="AFK404" s="889">
        <v>0.85824725589368134</v>
      </c>
      <c r="AFL404" s="889">
        <v>0.84535686263518239</v>
      </c>
      <c r="AFM404" s="889">
        <v>0.68373676333799138</v>
      </c>
      <c r="AFN404" s="889">
        <v>0.87334421581501354</v>
      </c>
      <c r="AFO404" s="889">
        <v>0.93663600442294326</v>
      </c>
      <c r="AFP404" s="889">
        <v>0.75793805062040709</v>
      </c>
      <c r="AFQ404" s="889">
        <v>0.73964612526483098</v>
      </c>
      <c r="AFR404" s="889">
        <v>0.76520930166012391</v>
      </c>
      <c r="AFS404" s="889">
        <v>0.81867813763586117</v>
      </c>
      <c r="AFT404" s="889">
        <v>0.82132375336435692</v>
      </c>
      <c r="AFU404" s="889">
        <v>0.85824725589368134</v>
      </c>
      <c r="AFV404" s="889">
        <v>0.84535686263518239</v>
      </c>
      <c r="AFW404" s="889">
        <v>0.68373676333799138</v>
      </c>
      <c r="AFX404" s="889">
        <v>0.87334421581501354</v>
      </c>
      <c r="AFY404" s="889">
        <v>0.93663600442294326</v>
      </c>
      <c r="AFZ404" s="889">
        <v>0.75793805062040709</v>
      </c>
      <c r="AGA404" s="889">
        <v>0.73964612526483098</v>
      </c>
      <c r="AGB404" s="889">
        <v>0.76520930166012391</v>
      </c>
      <c r="AGC404" s="889">
        <v>0.81867813763586117</v>
      </c>
      <c r="AGD404" s="889">
        <v>0.82132375336435692</v>
      </c>
      <c r="AGE404" s="889">
        <v>0.85824725589368134</v>
      </c>
      <c r="AGF404" s="889">
        <v>0.84535686263518239</v>
      </c>
      <c r="AGG404" s="889">
        <v>0.68373676333799138</v>
      </c>
      <c r="AGH404" s="889">
        <v>0.87334421581501354</v>
      </c>
      <c r="AGI404" s="889">
        <v>0.93663600442294326</v>
      </c>
      <c r="AGJ404" s="889">
        <v>0.75793805062040709</v>
      </c>
      <c r="AGK404" s="889">
        <v>0.73964612526483098</v>
      </c>
      <c r="AGL404" s="889">
        <v>0.76520930166012391</v>
      </c>
      <c r="AGM404" s="889">
        <v>0.81867813763586117</v>
      </c>
      <c r="AGN404" s="889">
        <v>0.82132375336435692</v>
      </c>
      <c r="AGO404" s="889">
        <v>0.85824725589368134</v>
      </c>
      <c r="AGP404" s="889">
        <v>0.84535686263518239</v>
      </c>
      <c r="AGQ404" s="889">
        <v>0.68373676333799138</v>
      </c>
      <c r="AGR404" s="889">
        <v>0.87334421581501354</v>
      </c>
      <c r="AGS404" s="889">
        <v>0.93663600442294326</v>
      </c>
      <c r="AGT404" s="889">
        <v>0.75793805062040709</v>
      </c>
      <c r="AGU404" s="889">
        <v>0.73964612526483098</v>
      </c>
      <c r="AGV404" s="889">
        <v>0.76520930166012391</v>
      </c>
      <c r="AGW404" s="889">
        <v>0.81867813763586117</v>
      </c>
      <c r="AGX404" s="889">
        <v>0.82132375336435692</v>
      </c>
      <c r="AGY404" s="889">
        <v>0.85824725589368134</v>
      </c>
      <c r="AGZ404" s="889">
        <v>0.84535686263518239</v>
      </c>
      <c r="AHA404" s="889">
        <v>0.68373676333799138</v>
      </c>
      <c r="AHB404" s="889">
        <v>0.87334421581501354</v>
      </c>
      <c r="AHC404" s="889">
        <v>0.93663600442294326</v>
      </c>
      <c r="AHD404" s="889">
        <v>0.75793805062040709</v>
      </c>
      <c r="AHE404" s="889">
        <v>0.73964612526483098</v>
      </c>
      <c r="AHF404" s="889">
        <v>0.76520930166012391</v>
      </c>
      <c r="AHG404" s="889">
        <v>0.81867813763586117</v>
      </c>
      <c r="AHH404" s="889">
        <v>0.82132375336435692</v>
      </c>
      <c r="AHI404" s="889">
        <v>0.85824725589368134</v>
      </c>
      <c r="AHJ404" s="889">
        <v>0.84535686263518239</v>
      </c>
      <c r="AHK404" s="889">
        <v>0.68373676333799138</v>
      </c>
      <c r="AHL404" s="889">
        <v>0.87334421581501354</v>
      </c>
      <c r="AHM404" s="889">
        <v>0.93663600442294326</v>
      </c>
      <c r="AHN404" s="889">
        <v>0.75793805062040709</v>
      </c>
      <c r="AHO404" s="889">
        <v>0.73964612526483098</v>
      </c>
      <c r="AHP404" s="889">
        <v>0.76520930166012391</v>
      </c>
      <c r="AHQ404" s="889">
        <v>0.81867813763586117</v>
      </c>
      <c r="AHR404" s="889">
        <v>0.82132375336435692</v>
      </c>
      <c r="AHS404" s="889">
        <v>0.85824725589368134</v>
      </c>
      <c r="AHT404" s="889">
        <v>0.84535686263518239</v>
      </c>
      <c r="AHU404" s="889">
        <v>0.68373676333799138</v>
      </c>
      <c r="AHV404" s="889">
        <v>0.87334421581501354</v>
      </c>
      <c r="AHW404" s="889">
        <v>0.93663600442294326</v>
      </c>
      <c r="AHX404" s="889">
        <v>0.75793805062040709</v>
      </c>
      <c r="AHY404" s="889">
        <v>0.69083321366633588</v>
      </c>
      <c r="AHZ404" s="889">
        <v>0.73679063471534056</v>
      </c>
      <c r="AIA404" s="889">
        <v>0.79480553571314638</v>
      </c>
      <c r="AIB404" s="889">
        <v>0.82789760652180533</v>
      </c>
      <c r="AIC404" s="889">
        <v>0.85056335878455991</v>
      </c>
      <c r="AID404" s="889">
        <v>0.83686776652491801</v>
      </c>
      <c r="AIE404" s="889">
        <v>0.62173217168338613</v>
      </c>
      <c r="AIF404" s="889">
        <v>0.88945742204199529</v>
      </c>
      <c r="AIG404" s="889">
        <v>0.92638040790702814</v>
      </c>
      <c r="AIH404" s="889">
        <v>0.71932245385424209</v>
      </c>
      <c r="AII404" s="889">
        <v>0.69083321366633588</v>
      </c>
      <c r="AIJ404" s="889">
        <v>0.73679063471534056</v>
      </c>
      <c r="AIK404" s="889">
        <v>0.79480553571314638</v>
      </c>
      <c r="AIL404" s="889">
        <v>0.82789760652180533</v>
      </c>
      <c r="AIM404" s="889">
        <v>0.85056335878455991</v>
      </c>
      <c r="AIN404" s="889">
        <v>0.83686776652491801</v>
      </c>
      <c r="AIO404" s="889">
        <v>0.62173217168338613</v>
      </c>
      <c r="AIP404" s="889">
        <v>0.88945742204199529</v>
      </c>
      <c r="AIQ404" s="889">
        <v>0.92638040790702814</v>
      </c>
      <c r="AIR404" s="889">
        <v>0.71932245385424209</v>
      </c>
      <c r="AIS404" s="889">
        <v>0.69083321366633588</v>
      </c>
      <c r="AIT404" s="889">
        <v>0.73679063471534056</v>
      </c>
      <c r="AIU404" s="889">
        <v>0.79480553571314638</v>
      </c>
      <c r="AIV404" s="889">
        <v>0.82789760652180533</v>
      </c>
      <c r="AIW404" s="889">
        <v>0.85056335878455991</v>
      </c>
      <c r="AIX404" s="889">
        <v>0.83686776652491801</v>
      </c>
      <c r="AIY404" s="889">
        <v>0.62173217168338613</v>
      </c>
      <c r="AIZ404" s="889">
        <v>0.88945742204199529</v>
      </c>
      <c r="AJA404" s="889">
        <v>0.92638040790702814</v>
      </c>
      <c r="AJB404" s="889">
        <v>0.71932245385424209</v>
      </c>
      <c r="AJC404" s="889">
        <v>0.69083321366633588</v>
      </c>
      <c r="AJD404" s="889">
        <v>0.73679063471534056</v>
      </c>
      <c r="AJE404" s="889">
        <v>0.79480553571314638</v>
      </c>
      <c r="AJF404" s="889">
        <v>0.82789760652180533</v>
      </c>
      <c r="AJG404" s="889">
        <v>0.85056335878455991</v>
      </c>
      <c r="AJH404" s="889">
        <v>0.83686776652491801</v>
      </c>
      <c r="AJI404" s="889">
        <v>0.62173217168338613</v>
      </c>
      <c r="AJJ404" s="889">
        <v>0.88945742204199529</v>
      </c>
      <c r="AJK404" s="889">
        <v>0.92638040790702814</v>
      </c>
      <c r="AJL404" s="889">
        <v>0.71932245385424209</v>
      </c>
      <c r="AJM404" s="889">
        <v>0.69083321366633588</v>
      </c>
      <c r="AJN404" s="889">
        <v>0.73679063471534056</v>
      </c>
      <c r="AJO404" s="889">
        <v>0.79480553571314638</v>
      </c>
      <c r="AJP404" s="889">
        <v>0.82789760652180533</v>
      </c>
      <c r="AJQ404" s="889">
        <v>0.85056335878455991</v>
      </c>
      <c r="AJR404" s="889">
        <v>0.83686776652491801</v>
      </c>
      <c r="AJS404" s="889">
        <v>0.62173217168338613</v>
      </c>
      <c r="AJT404" s="889">
        <v>0.88945742204199529</v>
      </c>
      <c r="AJU404" s="889">
        <v>0.92638040790702814</v>
      </c>
      <c r="AJV404" s="889">
        <v>0.71932245385424209</v>
      </c>
      <c r="AJW404" s="889">
        <v>0.69083321366633588</v>
      </c>
      <c r="AJX404" s="889">
        <v>0.73679063471534056</v>
      </c>
      <c r="AJY404" s="889">
        <v>0.79480553571314638</v>
      </c>
      <c r="AJZ404" s="889">
        <v>0.82789760652180533</v>
      </c>
      <c r="AKA404" s="889">
        <v>0.85056335878455991</v>
      </c>
      <c r="AKB404" s="889">
        <v>0.83686776652491801</v>
      </c>
      <c r="AKC404" s="889">
        <v>0.62173217168338613</v>
      </c>
      <c r="AKD404" s="889">
        <v>0.88945742204199529</v>
      </c>
      <c r="AKE404" s="889">
        <v>0.92638040790702814</v>
      </c>
      <c r="AKF404" s="889">
        <v>0.71932245385424209</v>
      </c>
      <c r="AKG404" s="889">
        <v>0.69083321366633588</v>
      </c>
      <c r="AKH404" s="889">
        <v>0.73679063471534056</v>
      </c>
      <c r="AKI404" s="889">
        <v>0.79480553571314638</v>
      </c>
      <c r="AKJ404" s="889">
        <v>0.82789760652180533</v>
      </c>
      <c r="AKK404" s="889">
        <v>0.85056335878455991</v>
      </c>
      <c r="AKL404" s="889">
        <v>0.83686776652491801</v>
      </c>
      <c r="AKM404" s="889">
        <v>0.62173217168338613</v>
      </c>
      <c r="AKN404" s="889">
        <v>0.88945742204199529</v>
      </c>
      <c r="AKO404" s="889">
        <v>0.92638040790702814</v>
      </c>
      <c r="AKP404" s="889">
        <v>0.71932245385424209</v>
      </c>
      <c r="AKQ404" s="889">
        <v>0.69083321366633588</v>
      </c>
      <c r="AKR404" s="889">
        <v>0.73679063471534056</v>
      </c>
      <c r="AKS404" s="889">
        <v>0.79480553571314638</v>
      </c>
      <c r="AKT404" s="889">
        <v>0.82789760652180533</v>
      </c>
      <c r="AKU404" s="889">
        <v>0.85056335878455991</v>
      </c>
      <c r="AKV404" s="889">
        <v>0.83686776652491801</v>
      </c>
      <c r="AKW404" s="889">
        <v>0.62173217168338613</v>
      </c>
      <c r="AKX404" s="889">
        <v>0.88945742204199529</v>
      </c>
      <c r="AKY404" s="889">
        <v>0.92638040790702814</v>
      </c>
      <c r="AKZ404" s="889">
        <v>0.71932245385424209</v>
      </c>
      <c r="ALA404" s="889">
        <v>0.69083321366633588</v>
      </c>
      <c r="ALB404" s="889">
        <v>0.73679063471534056</v>
      </c>
      <c r="ALC404" s="889">
        <v>0.79480553571314638</v>
      </c>
      <c r="ALD404" s="889">
        <v>0.82789760652180533</v>
      </c>
      <c r="ALE404" s="889">
        <v>0.85056335878455991</v>
      </c>
      <c r="ALF404" s="889">
        <v>0.83686776652491801</v>
      </c>
      <c r="ALG404" s="889">
        <v>0.62173217168338613</v>
      </c>
      <c r="ALH404" s="889">
        <v>0.88945742204199529</v>
      </c>
      <c r="ALI404" s="889">
        <v>0.92638040790702814</v>
      </c>
      <c r="ALJ404" s="889">
        <v>0.71932245385424209</v>
      </c>
      <c r="ALK404" s="889">
        <v>0.74304517532035086</v>
      </c>
      <c r="ALL404" s="889">
        <v>0.77270699112109154</v>
      </c>
      <c r="ALM404" s="889">
        <v>0.8129823833362041</v>
      </c>
      <c r="ALN404" s="889">
        <v>0.82087730650707535</v>
      </c>
      <c r="ALO404" s="889">
        <v>0.85507858977903983</v>
      </c>
      <c r="ALP404" s="889">
        <v>0.85249682817029271</v>
      </c>
      <c r="ALQ404" s="889">
        <v>0.69142221176465757</v>
      </c>
      <c r="ALR404" s="889">
        <v>0.90406962982687133</v>
      </c>
      <c r="ALS404" s="889">
        <v>0.93733701560591154</v>
      </c>
      <c r="ALT404" s="889">
        <v>0.76397333686123536</v>
      </c>
      <c r="ALU404" s="889">
        <v>0.74304517532035086</v>
      </c>
      <c r="ALV404" s="889">
        <v>0.77270699112109154</v>
      </c>
      <c r="ALW404" s="889">
        <v>0.8129823833362041</v>
      </c>
      <c r="ALX404" s="889">
        <v>0.82087730650707535</v>
      </c>
      <c r="ALY404" s="889">
        <v>0.85507858977903983</v>
      </c>
      <c r="ALZ404" s="889">
        <v>0.85249682817029271</v>
      </c>
      <c r="AMA404" s="889">
        <v>0.69142221176465757</v>
      </c>
      <c r="AMB404" s="889">
        <v>0.90406962982687133</v>
      </c>
      <c r="AMC404" s="889">
        <v>0.93733701560591154</v>
      </c>
      <c r="AMD404" s="889">
        <v>0.76397333686123536</v>
      </c>
      <c r="AME404" s="889">
        <v>0.74304517532035086</v>
      </c>
      <c r="AMF404" s="889">
        <v>0.77270699112109154</v>
      </c>
      <c r="AMG404" s="889">
        <v>0.8129823833362041</v>
      </c>
      <c r="AMH404" s="889">
        <v>0.82087730650707535</v>
      </c>
      <c r="AMI404" s="889">
        <v>0.85507858977903983</v>
      </c>
      <c r="AMJ404" s="889">
        <v>0.85249682817029271</v>
      </c>
      <c r="AMK404" s="889">
        <v>0.69142221176465757</v>
      </c>
      <c r="AML404" s="889">
        <v>0.90406962982687133</v>
      </c>
      <c r="AMM404" s="889">
        <v>0.93733701560591154</v>
      </c>
      <c r="AMN404" s="889">
        <v>0.76397333686123536</v>
      </c>
      <c r="AMO404" s="889">
        <v>0.74304517532035086</v>
      </c>
      <c r="AMP404" s="889">
        <v>0.77270699112109154</v>
      </c>
      <c r="AMQ404" s="889">
        <v>0.8129823833362041</v>
      </c>
      <c r="AMR404" s="889">
        <v>0.82087730650707535</v>
      </c>
      <c r="AMS404" s="889">
        <v>0.85507858977903983</v>
      </c>
      <c r="AMT404" s="889">
        <v>0.85249682817029271</v>
      </c>
      <c r="AMU404" s="889">
        <v>0.69142221176465757</v>
      </c>
      <c r="AMV404" s="889">
        <v>0.90406962982687133</v>
      </c>
      <c r="AMW404" s="889">
        <v>0.93733701560591154</v>
      </c>
      <c r="AMX404" s="889">
        <v>0.76397333686123536</v>
      </c>
      <c r="AMY404" s="889">
        <v>0.74304517532035086</v>
      </c>
      <c r="AMZ404" s="889">
        <v>0.77270699112109154</v>
      </c>
      <c r="ANA404" s="889">
        <v>0.8129823833362041</v>
      </c>
      <c r="ANB404" s="889">
        <v>0.82087730650707535</v>
      </c>
      <c r="ANC404" s="889">
        <v>0.85507858977903983</v>
      </c>
      <c r="AND404" s="889">
        <v>0.85249682817029271</v>
      </c>
      <c r="ANE404" s="889">
        <v>0.69142221176465757</v>
      </c>
      <c r="ANF404" s="889">
        <v>0.90406962982687133</v>
      </c>
      <c r="ANG404" s="889">
        <v>0.93733701560591154</v>
      </c>
      <c r="ANH404" s="889">
        <v>0.76397333686123536</v>
      </c>
      <c r="ANI404" s="889">
        <v>0.74304517532035086</v>
      </c>
      <c r="ANJ404" s="889">
        <v>0.77270699112109154</v>
      </c>
      <c r="ANK404" s="889">
        <v>0.8129823833362041</v>
      </c>
      <c r="ANL404" s="889">
        <v>0.82087730650707535</v>
      </c>
      <c r="ANM404" s="889">
        <v>0.85507858977903983</v>
      </c>
      <c r="ANN404" s="889">
        <v>0.85249682817029271</v>
      </c>
      <c r="ANO404" s="889">
        <v>0.69142221176465757</v>
      </c>
      <c r="ANP404" s="889">
        <v>0.90406962982687133</v>
      </c>
      <c r="ANQ404" s="889">
        <v>0.93733701560591154</v>
      </c>
      <c r="ANR404" s="889">
        <v>0.76397333686123536</v>
      </c>
      <c r="ANS404" s="889">
        <v>0.74304517532035086</v>
      </c>
      <c r="ANT404" s="889">
        <v>0.77270699112109154</v>
      </c>
      <c r="ANU404" s="889">
        <v>0.8129823833362041</v>
      </c>
      <c r="ANV404" s="889">
        <v>0.82087730650707535</v>
      </c>
      <c r="ANW404" s="889">
        <v>0.85507858977903983</v>
      </c>
      <c r="ANX404" s="889">
        <v>0.85249682817029271</v>
      </c>
      <c r="ANY404" s="889">
        <v>0.69142221176465757</v>
      </c>
      <c r="ANZ404" s="889">
        <v>0.90406962982687133</v>
      </c>
      <c r="AOA404" s="889">
        <v>0.93733701560591154</v>
      </c>
      <c r="AOB404" s="889">
        <v>0.76397333686123536</v>
      </c>
      <c r="AOC404" s="889">
        <v>0.74304517532035086</v>
      </c>
      <c r="AOD404" s="889">
        <v>0.77270699112109154</v>
      </c>
      <c r="AOE404" s="889">
        <v>0.8129823833362041</v>
      </c>
      <c r="AOF404" s="889">
        <v>0.82087730650707535</v>
      </c>
      <c r="AOG404" s="889">
        <v>0.85507858977903983</v>
      </c>
      <c r="AOH404" s="889">
        <v>0.85249682817029271</v>
      </c>
      <c r="AOI404" s="889">
        <v>0.69142221176465757</v>
      </c>
      <c r="AOJ404" s="889">
        <v>0.90406962982687133</v>
      </c>
      <c r="AOK404" s="889">
        <v>0.93733701560591154</v>
      </c>
      <c r="AOL404" s="889">
        <v>0.76397333686123536</v>
      </c>
      <c r="AOM404" s="889">
        <v>0.74304517532035086</v>
      </c>
      <c r="AON404" s="889">
        <v>0.77270699112109154</v>
      </c>
      <c r="AOO404" s="889">
        <v>0.8129823833362041</v>
      </c>
      <c r="AOP404" s="889">
        <v>0.82087730650707535</v>
      </c>
      <c r="AOQ404" s="889">
        <v>0.85507858977903983</v>
      </c>
      <c r="AOR404" s="889">
        <v>0.85249682817029271</v>
      </c>
      <c r="AOS404" s="889">
        <v>0.69142221176465757</v>
      </c>
      <c r="AOT404" s="889">
        <v>0.90406962982687133</v>
      </c>
      <c r="AOU404" s="889">
        <v>0.93733701560591154</v>
      </c>
      <c r="AOV404" s="889">
        <v>0.76397333686123536</v>
      </c>
      <c r="AOW404" s="890"/>
    </row>
    <row r="405" spans="2:1089" hidden="1">
      <c r="B405" s="1000" t="s">
        <v>1053</v>
      </c>
      <c r="C405" s="1000"/>
      <c r="D405" s="836"/>
      <c r="E405" s="893" t="s">
        <v>1156</v>
      </c>
      <c r="F405" s="888"/>
      <c r="G405" s="888" t="s">
        <v>65</v>
      </c>
      <c r="H405" s="888"/>
      <c r="I405" s="889">
        <v>803</v>
      </c>
      <c r="J405" s="889">
        <v>1915</v>
      </c>
      <c r="K405" s="889">
        <v>199</v>
      </c>
      <c r="L405" s="889">
        <v>242</v>
      </c>
      <c r="M405" s="889">
        <v>607</v>
      </c>
      <c r="N405" s="889">
        <v>986</v>
      </c>
      <c r="O405" s="889">
        <v>847</v>
      </c>
      <c r="P405" s="889">
        <v>1892</v>
      </c>
      <c r="Q405" s="889">
        <v>48</v>
      </c>
      <c r="R405" s="889">
        <v>887</v>
      </c>
      <c r="S405" s="889">
        <v>803</v>
      </c>
      <c r="T405" s="889">
        <v>1915</v>
      </c>
      <c r="U405" s="889">
        <v>199</v>
      </c>
      <c r="V405" s="889">
        <v>242</v>
      </c>
      <c r="W405" s="889">
        <v>607</v>
      </c>
      <c r="X405" s="889">
        <v>986</v>
      </c>
      <c r="Y405" s="889">
        <v>847</v>
      </c>
      <c r="Z405" s="889">
        <v>1892</v>
      </c>
      <c r="AA405" s="889">
        <v>48</v>
      </c>
      <c r="AB405" s="889">
        <v>887</v>
      </c>
      <c r="AC405" s="889">
        <v>803</v>
      </c>
      <c r="AD405" s="889">
        <v>1915</v>
      </c>
      <c r="AE405" s="889">
        <v>199</v>
      </c>
      <c r="AF405" s="889">
        <v>242</v>
      </c>
      <c r="AG405" s="889">
        <v>607</v>
      </c>
      <c r="AH405" s="889">
        <v>986</v>
      </c>
      <c r="AI405" s="889">
        <v>847</v>
      </c>
      <c r="AJ405" s="889">
        <v>1892</v>
      </c>
      <c r="AK405" s="889">
        <v>48</v>
      </c>
      <c r="AL405" s="889">
        <v>887</v>
      </c>
      <c r="AM405" s="889">
        <v>803</v>
      </c>
      <c r="AN405" s="889">
        <v>1915</v>
      </c>
      <c r="AO405" s="889">
        <v>199</v>
      </c>
      <c r="AP405" s="889">
        <v>242</v>
      </c>
      <c r="AQ405" s="889">
        <v>607</v>
      </c>
      <c r="AR405" s="889">
        <v>986</v>
      </c>
      <c r="AS405" s="889">
        <v>847</v>
      </c>
      <c r="AT405" s="889">
        <v>1892</v>
      </c>
      <c r="AU405" s="889">
        <v>48</v>
      </c>
      <c r="AV405" s="889">
        <v>887</v>
      </c>
      <c r="AW405" s="889">
        <v>803</v>
      </c>
      <c r="AX405" s="889">
        <v>1915</v>
      </c>
      <c r="AY405" s="889">
        <v>199</v>
      </c>
      <c r="AZ405" s="889">
        <v>242</v>
      </c>
      <c r="BA405" s="889">
        <v>607</v>
      </c>
      <c r="BB405" s="889">
        <v>986</v>
      </c>
      <c r="BC405" s="889">
        <v>847</v>
      </c>
      <c r="BD405" s="889">
        <v>1892</v>
      </c>
      <c r="BE405" s="889">
        <v>48</v>
      </c>
      <c r="BF405" s="889">
        <v>887</v>
      </c>
      <c r="BG405" s="889">
        <v>803</v>
      </c>
      <c r="BH405" s="889">
        <v>1915</v>
      </c>
      <c r="BI405" s="889">
        <v>199</v>
      </c>
      <c r="BJ405" s="889">
        <v>242</v>
      </c>
      <c r="BK405" s="889">
        <v>607</v>
      </c>
      <c r="BL405" s="889">
        <v>986</v>
      </c>
      <c r="BM405" s="889">
        <v>847</v>
      </c>
      <c r="BN405" s="889">
        <v>1892</v>
      </c>
      <c r="BO405" s="889">
        <v>48</v>
      </c>
      <c r="BP405" s="889">
        <v>887</v>
      </c>
      <c r="BQ405" s="889">
        <v>803</v>
      </c>
      <c r="BR405" s="889">
        <v>1915</v>
      </c>
      <c r="BS405" s="889">
        <v>199</v>
      </c>
      <c r="BT405" s="889">
        <v>242</v>
      </c>
      <c r="BU405" s="889">
        <v>607</v>
      </c>
      <c r="BV405" s="889">
        <v>986</v>
      </c>
      <c r="BW405" s="889">
        <v>847</v>
      </c>
      <c r="BX405" s="889">
        <v>1892</v>
      </c>
      <c r="BY405" s="889">
        <v>48</v>
      </c>
      <c r="BZ405" s="889">
        <v>887</v>
      </c>
      <c r="CA405" s="889">
        <v>803</v>
      </c>
      <c r="CB405" s="889">
        <v>1915</v>
      </c>
      <c r="CC405" s="889">
        <v>199</v>
      </c>
      <c r="CD405" s="889">
        <v>242</v>
      </c>
      <c r="CE405" s="889">
        <v>607</v>
      </c>
      <c r="CF405" s="889">
        <v>986</v>
      </c>
      <c r="CG405" s="889">
        <v>847</v>
      </c>
      <c r="CH405" s="889">
        <v>1892</v>
      </c>
      <c r="CI405" s="889">
        <v>48</v>
      </c>
      <c r="CJ405" s="889">
        <v>887</v>
      </c>
      <c r="CK405" s="889">
        <v>803</v>
      </c>
      <c r="CL405" s="889">
        <v>1915</v>
      </c>
      <c r="CM405" s="889">
        <v>199</v>
      </c>
      <c r="CN405" s="889">
        <v>242</v>
      </c>
      <c r="CO405" s="889">
        <v>607</v>
      </c>
      <c r="CP405" s="889">
        <v>986</v>
      </c>
      <c r="CQ405" s="889">
        <v>847</v>
      </c>
      <c r="CR405" s="889">
        <v>1892</v>
      </c>
      <c r="CS405" s="889">
        <v>48</v>
      </c>
      <c r="CT405" s="889">
        <v>887</v>
      </c>
      <c r="CU405" s="889">
        <v>803</v>
      </c>
      <c r="CV405" s="889">
        <v>1915</v>
      </c>
      <c r="CW405" s="889">
        <v>199</v>
      </c>
      <c r="CX405" s="889">
        <v>242</v>
      </c>
      <c r="CY405" s="889">
        <v>607</v>
      </c>
      <c r="CZ405" s="889">
        <v>986</v>
      </c>
      <c r="DA405" s="889">
        <v>847</v>
      </c>
      <c r="DB405" s="889">
        <v>1892</v>
      </c>
      <c r="DC405" s="889">
        <v>48</v>
      </c>
      <c r="DD405" s="889">
        <v>887</v>
      </c>
      <c r="DE405" s="889">
        <v>803</v>
      </c>
      <c r="DF405" s="889">
        <v>1915</v>
      </c>
      <c r="DG405" s="889">
        <v>199</v>
      </c>
      <c r="DH405" s="889">
        <v>242</v>
      </c>
      <c r="DI405" s="889">
        <v>607</v>
      </c>
      <c r="DJ405" s="889">
        <v>986</v>
      </c>
      <c r="DK405" s="889">
        <v>847</v>
      </c>
      <c r="DL405" s="889">
        <v>1892</v>
      </c>
      <c r="DM405" s="889">
        <v>48</v>
      </c>
      <c r="DN405" s="889">
        <v>887</v>
      </c>
      <c r="DO405" s="889">
        <v>803</v>
      </c>
      <c r="DP405" s="889">
        <v>1915</v>
      </c>
      <c r="DQ405" s="889">
        <v>199</v>
      </c>
      <c r="DR405" s="889">
        <v>242</v>
      </c>
      <c r="DS405" s="889">
        <v>607</v>
      </c>
      <c r="DT405" s="889">
        <v>986</v>
      </c>
      <c r="DU405" s="889">
        <v>847</v>
      </c>
      <c r="DV405" s="889">
        <v>1892</v>
      </c>
      <c r="DW405" s="889">
        <v>48</v>
      </c>
      <c r="DX405" s="889">
        <v>887</v>
      </c>
      <c r="DY405" s="889">
        <v>803</v>
      </c>
      <c r="DZ405" s="889">
        <v>1915</v>
      </c>
      <c r="EA405" s="889">
        <v>199</v>
      </c>
      <c r="EB405" s="889">
        <v>242</v>
      </c>
      <c r="EC405" s="889">
        <v>607</v>
      </c>
      <c r="ED405" s="889">
        <v>986</v>
      </c>
      <c r="EE405" s="889">
        <v>847</v>
      </c>
      <c r="EF405" s="889">
        <v>1892</v>
      </c>
      <c r="EG405" s="889">
        <v>48</v>
      </c>
      <c r="EH405" s="889">
        <v>887</v>
      </c>
      <c r="EI405" s="889">
        <v>803</v>
      </c>
      <c r="EJ405" s="889">
        <v>1915</v>
      </c>
      <c r="EK405" s="889">
        <v>199</v>
      </c>
      <c r="EL405" s="889">
        <v>242</v>
      </c>
      <c r="EM405" s="889">
        <v>607</v>
      </c>
      <c r="EN405" s="889">
        <v>986</v>
      </c>
      <c r="EO405" s="889">
        <v>847</v>
      </c>
      <c r="EP405" s="889">
        <v>1892</v>
      </c>
      <c r="EQ405" s="889">
        <v>48</v>
      </c>
      <c r="ER405" s="889">
        <v>887</v>
      </c>
      <c r="ES405" s="889">
        <v>803</v>
      </c>
      <c r="ET405" s="889">
        <v>1915</v>
      </c>
      <c r="EU405" s="889">
        <v>199</v>
      </c>
      <c r="EV405" s="889">
        <v>242</v>
      </c>
      <c r="EW405" s="889">
        <v>607</v>
      </c>
      <c r="EX405" s="889">
        <v>986</v>
      </c>
      <c r="EY405" s="889">
        <v>847</v>
      </c>
      <c r="EZ405" s="889">
        <v>1892</v>
      </c>
      <c r="FA405" s="889">
        <v>48</v>
      </c>
      <c r="FB405" s="889">
        <v>887</v>
      </c>
      <c r="FC405" s="889">
        <v>803</v>
      </c>
      <c r="FD405" s="889">
        <v>1915</v>
      </c>
      <c r="FE405" s="889">
        <v>199</v>
      </c>
      <c r="FF405" s="889">
        <v>242</v>
      </c>
      <c r="FG405" s="889">
        <v>607</v>
      </c>
      <c r="FH405" s="889">
        <v>986</v>
      </c>
      <c r="FI405" s="889">
        <v>847</v>
      </c>
      <c r="FJ405" s="889">
        <v>1892</v>
      </c>
      <c r="FK405" s="889">
        <v>48</v>
      </c>
      <c r="FL405" s="889">
        <v>887</v>
      </c>
      <c r="FM405" s="889">
        <v>803</v>
      </c>
      <c r="FN405" s="889">
        <v>1915</v>
      </c>
      <c r="FO405" s="889">
        <v>199</v>
      </c>
      <c r="FP405" s="889">
        <v>242</v>
      </c>
      <c r="FQ405" s="889">
        <v>607</v>
      </c>
      <c r="FR405" s="889">
        <v>986</v>
      </c>
      <c r="FS405" s="889">
        <v>847</v>
      </c>
      <c r="FT405" s="889">
        <v>1892</v>
      </c>
      <c r="FU405" s="889">
        <v>48</v>
      </c>
      <c r="FV405" s="889">
        <v>887</v>
      </c>
      <c r="FW405" s="889">
        <v>803</v>
      </c>
      <c r="FX405" s="889">
        <v>1915</v>
      </c>
      <c r="FY405" s="889">
        <v>199</v>
      </c>
      <c r="FZ405" s="889">
        <v>242</v>
      </c>
      <c r="GA405" s="889">
        <v>607</v>
      </c>
      <c r="GB405" s="889">
        <v>986</v>
      </c>
      <c r="GC405" s="889">
        <v>847</v>
      </c>
      <c r="GD405" s="889">
        <v>1892</v>
      </c>
      <c r="GE405" s="889">
        <v>48</v>
      </c>
      <c r="GF405" s="889">
        <v>887</v>
      </c>
      <c r="GG405" s="889">
        <v>803</v>
      </c>
      <c r="GH405" s="889">
        <v>1915</v>
      </c>
      <c r="GI405" s="889">
        <v>199</v>
      </c>
      <c r="GJ405" s="889">
        <v>242</v>
      </c>
      <c r="GK405" s="889">
        <v>607</v>
      </c>
      <c r="GL405" s="889">
        <v>986</v>
      </c>
      <c r="GM405" s="889">
        <v>847</v>
      </c>
      <c r="GN405" s="889">
        <v>1892</v>
      </c>
      <c r="GO405" s="889">
        <v>48</v>
      </c>
      <c r="GP405" s="889">
        <v>887</v>
      </c>
      <c r="GQ405" s="889">
        <v>803</v>
      </c>
      <c r="GR405" s="889">
        <v>1915</v>
      </c>
      <c r="GS405" s="889">
        <v>199</v>
      </c>
      <c r="GT405" s="889">
        <v>242</v>
      </c>
      <c r="GU405" s="889">
        <v>607</v>
      </c>
      <c r="GV405" s="889">
        <v>986</v>
      </c>
      <c r="GW405" s="889">
        <v>847</v>
      </c>
      <c r="GX405" s="889">
        <v>1892</v>
      </c>
      <c r="GY405" s="889">
        <v>48</v>
      </c>
      <c r="GZ405" s="889">
        <v>887</v>
      </c>
      <c r="HA405" s="889">
        <v>803</v>
      </c>
      <c r="HB405" s="889">
        <v>1915</v>
      </c>
      <c r="HC405" s="889">
        <v>199</v>
      </c>
      <c r="HD405" s="889">
        <v>242</v>
      </c>
      <c r="HE405" s="889">
        <v>607</v>
      </c>
      <c r="HF405" s="889">
        <v>986</v>
      </c>
      <c r="HG405" s="889">
        <v>847</v>
      </c>
      <c r="HH405" s="889">
        <v>1892</v>
      </c>
      <c r="HI405" s="889">
        <v>48</v>
      </c>
      <c r="HJ405" s="889">
        <v>887</v>
      </c>
      <c r="HK405" s="889">
        <v>803</v>
      </c>
      <c r="HL405" s="889">
        <v>1915</v>
      </c>
      <c r="HM405" s="889">
        <v>199</v>
      </c>
      <c r="HN405" s="889">
        <v>242</v>
      </c>
      <c r="HO405" s="889">
        <v>607</v>
      </c>
      <c r="HP405" s="889">
        <v>986</v>
      </c>
      <c r="HQ405" s="889">
        <v>847</v>
      </c>
      <c r="HR405" s="889">
        <v>1892</v>
      </c>
      <c r="HS405" s="889">
        <v>48</v>
      </c>
      <c r="HT405" s="889">
        <v>887</v>
      </c>
      <c r="HU405" s="889">
        <v>803</v>
      </c>
      <c r="HV405" s="889">
        <v>1915</v>
      </c>
      <c r="HW405" s="889">
        <v>199</v>
      </c>
      <c r="HX405" s="889">
        <v>242</v>
      </c>
      <c r="HY405" s="889">
        <v>607</v>
      </c>
      <c r="HZ405" s="889">
        <v>986</v>
      </c>
      <c r="IA405" s="889">
        <v>847</v>
      </c>
      <c r="IB405" s="889">
        <v>1892</v>
      </c>
      <c r="IC405" s="889">
        <v>48</v>
      </c>
      <c r="ID405" s="889">
        <v>887</v>
      </c>
      <c r="IE405" s="889">
        <v>803</v>
      </c>
      <c r="IF405" s="889">
        <v>1915</v>
      </c>
      <c r="IG405" s="889">
        <v>199</v>
      </c>
      <c r="IH405" s="889">
        <v>242</v>
      </c>
      <c r="II405" s="889">
        <v>607</v>
      </c>
      <c r="IJ405" s="889">
        <v>986</v>
      </c>
      <c r="IK405" s="889">
        <v>847</v>
      </c>
      <c r="IL405" s="889">
        <v>1892</v>
      </c>
      <c r="IM405" s="889">
        <v>48</v>
      </c>
      <c r="IN405" s="889">
        <v>887</v>
      </c>
      <c r="IO405" s="889">
        <v>803</v>
      </c>
      <c r="IP405" s="889">
        <v>1915</v>
      </c>
      <c r="IQ405" s="889">
        <v>199</v>
      </c>
      <c r="IR405" s="889">
        <v>242</v>
      </c>
      <c r="IS405" s="889">
        <v>607</v>
      </c>
      <c r="IT405" s="889">
        <v>986</v>
      </c>
      <c r="IU405" s="889">
        <v>847</v>
      </c>
      <c r="IV405" s="889">
        <v>1892</v>
      </c>
      <c r="IW405" s="889">
        <v>48</v>
      </c>
      <c r="IX405" s="889">
        <v>887</v>
      </c>
      <c r="IY405" s="889">
        <v>803</v>
      </c>
      <c r="IZ405" s="889">
        <v>1915</v>
      </c>
      <c r="JA405" s="889">
        <v>199</v>
      </c>
      <c r="JB405" s="889">
        <v>242</v>
      </c>
      <c r="JC405" s="889">
        <v>607</v>
      </c>
      <c r="JD405" s="889">
        <v>986</v>
      </c>
      <c r="JE405" s="889">
        <v>847</v>
      </c>
      <c r="JF405" s="889">
        <v>1892</v>
      </c>
      <c r="JG405" s="889">
        <v>48</v>
      </c>
      <c r="JH405" s="889">
        <v>887</v>
      </c>
      <c r="JI405" s="889">
        <v>803</v>
      </c>
      <c r="JJ405" s="889">
        <v>1915</v>
      </c>
      <c r="JK405" s="889">
        <v>199</v>
      </c>
      <c r="JL405" s="889">
        <v>242</v>
      </c>
      <c r="JM405" s="889">
        <v>607</v>
      </c>
      <c r="JN405" s="889">
        <v>986</v>
      </c>
      <c r="JO405" s="889">
        <v>847</v>
      </c>
      <c r="JP405" s="889">
        <v>1892</v>
      </c>
      <c r="JQ405" s="889">
        <v>48</v>
      </c>
      <c r="JR405" s="889">
        <v>887</v>
      </c>
      <c r="JS405" s="889">
        <v>803</v>
      </c>
      <c r="JT405" s="889">
        <v>1915</v>
      </c>
      <c r="JU405" s="889">
        <v>199</v>
      </c>
      <c r="JV405" s="889">
        <v>242</v>
      </c>
      <c r="JW405" s="889">
        <v>607</v>
      </c>
      <c r="JX405" s="889">
        <v>986</v>
      </c>
      <c r="JY405" s="889">
        <v>847</v>
      </c>
      <c r="JZ405" s="889">
        <v>1892</v>
      </c>
      <c r="KA405" s="889">
        <v>48</v>
      </c>
      <c r="KB405" s="889">
        <v>887</v>
      </c>
      <c r="KC405" s="889">
        <v>803</v>
      </c>
      <c r="KD405" s="889">
        <v>1915</v>
      </c>
      <c r="KE405" s="889">
        <v>199</v>
      </c>
      <c r="KF405" s="889">
        <v>242</v>
      </c>
      <c r="KG405" s="889">
        <v>607</v>
      </c>
      <c r="KH405" s="889">
        <v>986</v>
      </c>
      <c r="KI405" s="889">
        <v>847</v>
      </c>
      <c r="KJ405" s="889">
        <v>1892</v>
      </c>
      <c r="KK405" s="889">
        <v>48</v>
      </c>
      <c r="KL405" s="889">
        <v>887</v>
      </c>
      <c r="KM405" s="889">
        <v>803</v>
      </c>
      <c r="KN405" s="889">
        <v>1915</v>
      </c>
      <c r="KO405" s="889">
        <v>199</v>
      </c>
      <c r="KP405" s="889">
        <v>242</v>
      </c>
      <c r="KQ405" s="889">
        <v>607</v>
      </c>
      <c r="KR405" s="889">
        <v>986</v>
      </c>
      <c r="KS405" s="889">
        <v>847</v>
      </c>
      <c r="KT405" s="889">
        <v>1892</v>
      </c>
      <c r="KU405" s="889">
        <v>48</v>
      </c>
      <c r="KV405" s="889">
        <v>887</v>
      </c>
      <c r="KW405" s="889">
        <v>803</v>
      </c>
      <c r="KX405" s="889">
        <v>1915</v>
      </c>
      <c r="KY405" s="889">
        <v>199</v>
      </c>
      <c r="KZ405" s="889">
        <v>242</v>
      </c>
      <c r="LA405" s="889">
        <v>607</v>
      </c>
      <c r="LB405" s="889">
        <v>986</v>
      </c>
      <c r="LC405" s="889">
        <v>847</v>
      </c>
      <c r="LD405" s="889">
        <v>1892</v>
      </c>
      <c r="LE405" s="889">
        <v>48</v>
      </c>
      <c r="LF405" s="889">
        <v>887</v>
      </c>
      <c r="LG405" s="889">
        <v>803</v>
      </c>
      <c r="LH405" s="889">
        <v>1915</v>
      </c>
      <c r="LI405" s="889">
        <v>199</v>
      </c>
      <c r="LJ405" s="889">
        <v>242</v>
      </c>
      <c r="LK405" s="889">
        <v>607</v>
      </c>
      <c r="LL405" s="889">
        <v>986</v>
      </c>
      <c r="LM405" s="889">
        <v>847</v>
      </c>
      <c r="LN405" s="889">
        <v>1892</v>
      </c>
      <c r="LO405" s="889">
        <v>48</v>
      </c>
      <c r="LP405" s="889">
        <v>887</v>
      </c>
      <c r="LQ405" s="889">
        <v>803</v>
      </c>
      <c r="LR405" s="889">
        <v>1915</v>
      </c>
      <c r="LS405" s="889">
        <v>199</v>
      </c>
      <c r="LT405" s="889">
        <v>242</v>
      </c>
      <c r="LU405" s="889">
        <v>607</v>
      </c>
      <c r="LV405" s="889">
        <v>986</v>
      </c>
      <c r="LW405" s="889">
        <v>847</v>
      </c>
      <c r="LX405" s="889">
        <v>1892</v>
      </c>
      <c r="LY405" s="889">
        <v>48</v>
      </c>
      <c r="LZ405" s="889">
        <v>887</v>
      </c>
      <c r="MA405" s="889">
        <v>803</v>
      </c>
      <c r="MB405" s="889">
        <v>1915</v>
      </c>
      <c r="MC405" s="889">
        <v>199</v>
      </c>
      <c r="MD405" s="889">
        <v>242</v>
      </c>
      <c r="ME405" s="889">
        <v>607</v>
      </c>
      <c r="MF405" s="889">
        <v>986</v>
      </c>
      <c r="MG405" s="889">
        <v>847</v>
      </c>
      <c r="MH405" s="889">
        <v>1892</v>
      </c>
      <c r="MI405" s="889">
        <v>48</v>
      </c>
      <c r="MJ405" s="889">
        <v>887</v>
      </c>
      <c r="MK405" s="889">
        <v>803</v>
      </c>
      <c r="ML405" s="889">
        <v>1915</v>
      </c>
      <c r="MM405" s="889">
        <v>199</v>
      </c>
      <c r="MN405" s="889">
        <v>242</v>
      </c>
      <c r="MO405" s="889">
        <v>607</v>
      </c>
      <c r="MP405" s="889">
        <v>986</v>
      </c>
      <c r="MQ405" s="889">
        <v>847</v>
      </c>
      <c r="MR405" s="889">
        <v>1892</v>
      </c>
      <c r="MS405" s="889">
        <v>48</v>
      </c>
      <c r="MT405" s="889">
        <v>887</v>
      </c>
      <c r="MU405" s="889">
        <v>803</v>
      </c>
      <c r="MV405" s="889">
        <v>1915</v>
      </c>
      <c r="MW405" s="889">
        <v>199</v>
      </c>
      <c r="MX405" s="889">
        <v>242</v>
      </c>
      <c r="MY405" s="889">
        <v>607</v>
      </c>
      <c r="MZ405" s="889">
        <v>986</v>
      </c>
      <c r="NA405" s="889">
        <v>847</v>
      </c>
      <c r="NB405" s="889">
        <v>1892</v>
      </c>
      <c r="NC405" s="889">
        <v>48</v>
      </c>
      <c r="ND405" s="889">
        <v>887</v>
      </c>
      <c r="NE405" s="889">
        <v>954</v>
      </c>
      <c r="NF405" s="889">
        <v>1996</v>
      </c>
      <c r="NG405" s="889">
        <v>217</v>
      </c>
      <c r="NH405" s="889">
        <v>260</v>
      </c>
      <c r="NI405" s="889">
        <v>704</v>
      </c>
      <c r="NJ405" s="889">
        <v>978</v>
      </c>
      <c r="NK405" s="889">
        <v>973</v>
      </c>
      <c r="NL405" s="889">
        <v>1999</v>
      </c>
      <c r="NM405" s="889">
        <v>51</v>
      </c>
      <c r="NN405" s="889">
        <v>985</v>
      </c>
      <c r="NO405" s="889">
        <v>954</v>
      </c>
      <c r="NP405" s="889">
        <v>1996</v>
      </c>
      <c r="NQ405" s="889">
        <v>217</v>
      </c>
      <c r="NR405" s="889">
        <v>260</v>
      </c>
      <c r="NS405" s="889">
        <v>704</v>
      </c>
      <c r="NT405" s="889">
        <v>978</v>
      </c>
      <c r="NU405" s="889">
        <v>973</v>
      </c>
      <c r="NV405" s="889">
        <v>1999</v>
      </c>
      <c r="NW405" s="889">
        <v>51</v>
      </c>
      <c r="NX405" s="889">
        <v>985</v>
      </c>
      <c r="NY405" s="889">
        <v>954</v>
      </c>
      <c r="NZ405" s="889">
        <v>1996</v>
      </c>
      <c r="OA405" s="889">
        <v>217</v>
      </c>
      <c r="OB405" s="889">
        <v>260</v>
      </c>
      <c r="OC405" s="889">
        <v>704</v>
      </c>
      <c r="OD405" s="889">
        <v>978</v>
      </c>
      <c r="OE405" s="889">
        <v>973</v>
      </c>
      <c r="OF405" s="889">
        <v>1999</v>
      </c>
      <c r="OG405" s="889">
        <v>51</v>
      </c>
      <c r="OH405" s="889">
        <v>985</v>
      </c>
      <c r="OI405" s="889">
        <v>954</v>
      </c>
      <c r="OJ405" s="889">
        <v>1996</v>
      </c>
      <c r="OK405" s="889">
        <v>217</v>
      </c>
      <c r="OL405" s="889">
        <v>260</v>
      </c>
      <c r="OM405" s="889">
        <v>704</v>
      </c>
      <c r="ON405" s="889">
        <v>978</v>
      </c>
      <c r="OO405" s="889">
        <v>973</v>
      </c>
      <c r="OP405" s="889">
        <v>1999</v>
      </c>
      <c r="OQ405" s="889">
        <v>51</v>
      </c>
      <c r="OR405" s="889">
        <v>985</v>
      </c>
      <c r="OS405" s="889">
        <v>954</v>
      </c>
      <c r="OT405" s="889">
        <v>1996</v>
      </c>
      <c r="OU405" s="889">
        <v>217</v>
      </c>
      <c r="OV405" s="889">
        <v>260</v>
      </c>
      <c r="OW405" s="889">
        <v>704</v>
      </c>
      <c r="OX405" s="889">
        <v>978</v>
      </c>
      <c r="OY405" s="889">
        <v>973</v>
      </c>
      <c r="OZ405" s="889">
        <v>1999</v>
      </c>
      <c r="PA405" s="889">
        <v>51</v>
      </c>
      <c r="PB405" s="889">
        <v>985</v>
      </c>
      <c r="PC405" s="889">
        <v>954</v>
      </c>
      <c r="PD405" s="889">
        <v>1996</v>
      </c>
      <c r="PE405" s="889">
        <v>217</v>
      </c>
      <c r="PF405" s="889">
        <v>260</v>
      </c>
      <c r="PG405" s="889">
        <v>704</v>
      </c>
      <c r="PH405" s="889">
        <v>978</v>
      </c>
      <c r="PI405" s="889">
        <v>973</v>
      </c>
      <c r="PJ405" s="889">
        <v>1999</v>
      </c>
      <c r="PK405" s="889">
        <v>51</v>
      </c>
      <c r="PL405" s="889">
        <v>985</v>
      </c>
      <c r="PM405" s="889">
        <v>954</v>
      </c>
      <c r="PN405" s="889">
        <v>1996</v>
      </c>
      <c r="PO405" s="889">
        <v>217</v>
      </c>
      <c r="PP405" s="889">
        <v>260</v>
      </c>
      <c r="PQ405" s="889">
        <v>704</v>
      </c>
      <c r="PR405" s="889">
        <v>978</v>
      </c>
      <c r="PS405" s="889">
        <v>973</v>
      </c>
      <c r="PT405" s="889">
        <v>1999</v>
      </c>
      <c r="PU405" s="889">
        <v>51</v>
      </c>
      <c r="PV405" s="889">
        <v>985</v>
      </c>
      <c r="PW405" s="889">
        <v>954</v>
      </c>
      <c r="PX405" s="889">
        <v>1996</v>
      </c>
      <c r="PY405" s="889">
        <v>217</v>
      </c>
      <c r="PZ405" s="889">
        <v>260</v>
      </c>
      <c r="QA405" s="889">
        <v>704</v>
      </c>
      <c r="QB405" s="889">
        <v>978</v>
      </c>
      <c r="QC405" s="889">
        <v>973</v>
      </c>
      <c r="QD405" s="889">
        <v>1999</v>
      </c>
      <c r="QE405" s="889">
        <v>51</v>
      </c>
      <c r="QF405" s="889">
        <v>985</v>
      </c>
      <c r="QG405" s="889">
        <v>954</v>
      </c>
      <c r="QH405" s="889">
        <v>1996</v>
      </c>
      <c r="QI405" s="889">
        <v>217</v>
      </c>
      <c r="QJ405" s="889">
        <v>260</v>
      </c>
      <c r="QK405" s="889">
        <v>704</v>
      </c>
      <c r="QL405" s="889">
        <v>978</v>
      </c>
      <c r="QM405" s="889">
        <v>973</v>
      </c>
      <c r="QN405" s="889">
        <v>1999</v>
      </c>
      <c r="QO405" s="889">
        <v>51</v>
      </c>
      <c r="QP405" s="889">
        <v>985</v>
      </c>
      <c r="QQ405" s="889">
        <v>954</v>
      </c>
      <c r="QR405" s="889">
        <v>1996</v>
      </c>
      <c r="QS405" s="889">
        <v>217</v>
      </c>
      <c r="QT405" s="889">
        <v>260</v>
      </c>
      <c r="QU405" s="889">
        <v>704</v>
      </c>
      <c r="QV405" s="889">
        <v>978</v>
      </c>
      <c r="QW405" s="889">
        <v>973</v>
      </c>
      <c r="QX405" s="889">
        <v>1999</v>
      </c>
      <c r="QY405" s="889">
        <v>51</v>
      </c>
      <c r="QZ405" s="889">
        <v>985</v>
      </c>
      <c r="RA405" s="889">
        <v>954</v>
      </c>
      <c r="RB405" s="889">
        <v>1996</v>
      </c>
      <c r="RC405" s="889">
        <v>217</v>
      </c>
      <c r="RD405" s="889">
        <v>260</v>
      </c>
      <c r="RE405" s="889">
        <v>704</v>
      </c>
      <c r="RF405" s="889">
        <v>978</v>
      </c>
      <c r="RG405" s="889">
        <v>973</v>
      </c>
      <c r="RH405" s="889">
        <v>1999</v>
      </c>
      <c r="RI405" s="889">
        <v>51</v>
      </c>
      <c r="RJ405" s="889">
        <v>985</v>
      </c>
      <c r="RK405" s="889">
        <v>954</v>
      </c>
      <c r="RL405" s="889">
        <v>1996</v>
      </c>
      <c r="RM405" s="889">
        <v>217</v>
      </c>
      <c r="RN405" s="889">
        <v>260</v>
      </c>
      <c r="RO405" s="889">
        <v>704</v>
      </c>
      <c r="RP405" s="889">
        <v>978</v>
      </c>
      <c r="RQ405" s="889">
        <v>973</v>
      </c>
      <c r="RR405" s="889">
        <v>1999</v>
      </c>
      <c r="RS405" s="889">
        <v>51</v>
      </c>
      <c r="RT405" s="889">
        <v>985</v>
      </c>
      <c r="RU405" s="889">
        <v>954</v>
      </c>
      <c r="RV405" s="889">
        <v>1996</v>
      </c>
      <c r="RW405" s="889">
        <v>217</v>
      </c>
      <c r="RX405" s="889">
        <v>260</v>
      </c>
      <c r="RY405" s="889">
        <v>704</v>
      </c>
      <c r="RZ405" s="889">
        <v>978</v>
      </c>
      <c r="SA405" s="889">
        <v>973</v>
      </c>
      <c r="SB405" s="889">
        <v>1999</v>
      </c>
      <c r="SC405" s="889">
        <v>51</v>
      </c>
      <c r="SD405" s="889">
        <v>985</v>
      </c>
      <c r="SE405" s="889">
        <v>954</v>
      </c>
      <c r="SF405" s="889">
        <v>1996</v>
      </c>
      <c r="SG405" s="889">
        <v>217</v>
      </c>
      <c r="SH405" s="889">
        <v>260</v>
      </c>
      <c r="SI405" s="889">
        <v>704</v>
      </c>
      <c r="SJ405" s="889">
        <v>978</v>
      </c>
      <c r="SK405" s="889">
        <v>973</v>
      </c>
      <c r="SL405" s="889">
        <v>1999</v>
      </c>
      <c r="SM405" s="889">
        <v>51</v>
      </c>
      <c r="SN405" s="889">
        <v>985</v>
      </c>
      <c r="SO405" s="889">
        <v>954</v>
      </c>
      <c r="SP405" s="889">
        <v>1996</v>
      </c>
      <c r="SQ405" s="889">
        <v>217</v>
      </c>
      <c r="SR405" s="889">
        <v>260</v>
      </c>
      <c r="SS405" s="889">
        <v>704</v>
      </c>
      <c r="ST405" s="889">
        <v>978</v>
      </c>
      <c r="SU405" s="889">
        <v>973</v>
      </c>
      <c r="SV405" s="889">
        <v>1999</v>
      </c>
      <c r="SW405" s="889">
        <v>51</v>
      </c>
      <c r="SX405" s="889">
        <v>985</v>
      </c>
      <c r="SY405" s="889">
        <v>954</v>
      </c>
      <c r="SZ405" s="889">
        <v>1996</v>
      </c>
      <c r="TA405" s="889">
        <v>217</v>
      </c>
      <c r="TB405" s="889">
        <v>260</v>
      </c>
      <c r="TC405" s="889">
        <v>704</v>
      </c>
      <c r="TD405" s="889">
        <v>978</v>
      </c>
      <c r="TE405" s="889">
        <v>973</v>
      </c>
      <c r="TF405" s="889">
        <v>1999</v>
      </c>
      <c r="TG405" s="889">
        <v>51</v>
      </c>
      <c r="TH405" s="889">
        <v>985</v>
      </c>
      <c r="TI405" s="889">
        <v>954</v>
      </c>
      <c r="TJ405" s="889">
        <v>1996</v>
      </c>
      <c r="TK405" s="889">
        <v>217</v>
      </c>
      <c r="TL405" s="889">
        <v>260</v>
      </c>
      <c r="TM405" s="889">
        <v>704</v>
      </c>
      <c r="TN405" s="889">
        <v>978</v>
      </c>
      <c r="TO405" s="889">
        <v>973</v>
      </c>
      <c r="TP405" s="889">
        <v>1999</v>
      </c>
      <c r="TQ405" s="889">
        <v>51</v>
      </c>
      <c r="TR405" s="889">
        <v>985</v>
      </c>
      <c r="TS405" s="889">
        <v>954</v>
      </c>
      <c r="TT405" s="889">
        <v>1996</v>
      </c>
      <c r="TU405" s="889">
        <v>217</v>
      </c>
      <c r="TV405" s="889">
        <v>260</v>
      </c>
      <c r="TW405" s="889">
        <v>704</v>
      </c>
      <c r="TX405" s="889">
        <v>978</v>
      </c>
      <c r="TY405" s="889">
        <v>973</v>
      </c>
      <c r="TZ405" s="889">
        <v>1999</v>
      </c>
      <c r="UA405" s="889">
        <v>51</v>
      </c>
      <c r="UB405" s="889">
        <v>985</v>
      </c>
      <c r="UC405" s="889">
        <v>954</v>
      </c>
      <c r="UD405" s="889">
        <v>1996</v>
      </c>
      <c r="UE405" s="889">
        <v>217</v>
      </c>
      <c r="UF405" s="889">
        <v>260</v>
      </c>
      <c r="UG405" s="889">
        <v>704</v>
      </c>
      <c r="UH405" s="889">
        <v>978</v>
      </c>
      <c r="UI405" s="889">
        <v>973</v>
      </c>
      <c r="UJ405" s="889">
        <v>1999</v>
      </c>
      <c r="UK405" s="889">
        <v>51</v>
      </c>
      <c r="UL405" s="889">
        <v>985</v>
      </c>
      <c r="UM405" s="889">
        <v>954</v>
      </c>
      <c r="UN405" s="889">
        <v>1996</v>
      </c>
      <c r="UO405" s="889">
        <v>217</v>
      </c>
      <c r="UP405" s="889">
        <v>260</v>
      </c>
      <c r="UQ405" s="889">
        <v>704</v>
      </c>
      <c r="UR405" s="889">
        <v>978</v>
      </c>
      <c r="US405" s="889">
        <v>973</v>
      </c>
      <c r="UT405" s="889">
        <v>1999</v>
      </c>
      <c r="UU405" s="889">
        <v>51</v>
      </c>
      <c r="UV405" s="889">
        <v>985</v>
      </c>
      <c r="UW405" s="889">
        <v>954</v>
      </c>
      <c r="UX405" s="889">
        <v>1996</v>
      </c>
      <c r="UY405" s="889">
        <v>217</v>
      </c>
      <c r="UZ405" s="889">
        <v>260</v>
      </c>
      <c r="VA405" s="889">
        <v>704</v>
      </c>
      <c r="VB405" s="889">
        <v>978</v>
      </c>
      <c r="VC405" s="889">
        <v>973</v>
      </c>
      <c r="VD405" s="889">
        <v>1999</v>
      </c>
      <c r="VE405" s="889">
        <v>51</v>
      </c>
      <c r="VF405" s="889">
        <v>985</v>
      </c>
      <c r="VG405" s="889">
        <v>954</v>
      </c>
      <c r="VH405" s="889">
        <v>1996</v>
      </c>
      <c r="VI405" s="889">
        <v>217</v>
      </c>
      <c r="VJ405" s="889">
        <v>260</v>
      </c>
      <c r="VK405" s="889">
        <v>704</v>
      </c>
      <c r="VL405" s="889">
        <v>978</v>
      </c>
      <c r="VM405" s="889">
        <v>973</v>
      </c>
      <c r="VN405" s="889">
        <v>1999</v>
      </c>
      <c r="VO405" s="889">
        <v>51</v>
      </c>
      <c r="VP405" s="889">
        <v>985</v>
      </c>
      <c r="VQ405" s="889">
        <v>954</v>
      </c>
      <c r="VR405" s="889">
        <v>1996</v>
      </c>
      <c r="VS405" s="889">
        <v>217</v>
      </c>
      <c r="VT405" s="889">
        <v>260</v>
      </c>
      <c r="VU405" s="889">
        <v>704</v>
      </c>
      <c r="VV405" s="889">
        <v>978</v>
      </c>
      <c r="VW405" s="889">
        <v>973</v>
      </c>
      <c r="VX405" s="889">
        <v>1999</v>
      </c>
      <c r="VY405" s="889">
        <v>51</v>
      </c>
      <c r="VZ405" s="889">
        <v>985</v>
      </c>
      <c r="WA405" s="889">
        <v>954</v>
      </c>
      <c r="WB405" s="889">
        <v>1996</v>
      </c>
      <c r="WC405" s="889">
        <v>217</v>
      </c>
      <c r="WD405" s="889">
        <v>260</v>
      </c>
      <c r="WE405" s="889">
        <v>704</v>
      </c>
      <c r="WF405" s="889">
        <v>978</v>
      </c>
      <c r="WG405" s="889">
        <v>973</v>
      </c>
      <c r="WH405" s="889">
        <v>1999</v>
      </c>
      <c r="WI405" s="889">
        <v>51</v>
      </c>
      <c r="WJ405" s="889">
        <v>985</v>
      </c>
      <c r="WK405" s="889">
        <v>954</v>
      </c>
      <c r="WL405" s="889">
        <v>1996</v>
      </c>
      <c r="WM405" s="889">
        <v>217</v>
      </c>
      <c r="WN405" s="889">
        <v>260</v>
      </c>
      <c r="WO405" s="889">
        <v>704</v>
      </c>
      <c r="WP405" s="889">
        <v>978</v>
      </c>
      <c r="WQ405" s="889">
        <v>973</v>
      </c>
      <c r="WR405" s="889">
        <v>1999</v>
      </c>
      <c r="WS405" s="889">
        <v>51</v>
      </c>
      <c r="WT405" s="889">
        <v>985</v>
      </c>
      <c r="WU405" s="889">
        <v>954</v>
      </c>
      <c r="WV405" s="889">
        <v>1996</v>
      </c>
      <c r="WW405" s="889">
        <v>217</v>
      </c>
      <c r="WX405" s="889">
        <v>260</v>
      </c>
      <c r="WY405" s="889">
        <v>704</v>
      </c>
      <c r="WZ405" s="889">
        <v>978</v>
      </c>
      <c r="XA405" s="889">
        <v>973</v>
      </c>
      <c r="XB405" s="889">
        <v>1999</v>
      </c>
      <c r="XC405" s="889">
        <v>51</v>
      </c>
      <c r="XD405" s="889">
        <v>985</v>
      </c>
      <c r="XE405" s="889">
        <v>954</v>
      </c>
      <c r="XF405" s="889">
        <v>1996</v>
      </c>
      <c r="XG405" s="889">
        <v>217</v>
      </c>
      <c r="XH405" s="889">
        <v>260</v>
      </c>
      <c r="XI405" s="889">
        <v>704</v>
      </c>
      <c r="XJ405" s="889">
        <v>978</v>
      </c>
      <c r="XK405" s="889">
        <v>973</v>
      </c>
      <c r="XL405" s="889">
        <v>1999</v>
      </c>
      <c r="XM405" s="889">
        <v>51</v>
      </c>
      <c r="XN405" s="889">
        <v>985</v>
      </c>
      <c r="XO405" s="889">
        <v>954</v>
      </c>
      <c r="XP405" s="889">
        <v>1996</v>
      </c>
      <c r="XQ405" s="889">
        <v>217</v>
      </c>
      <c r="XR405" s="889">
        <v>260</v>
      </c>
      <c r="XS405" s="889">
        <v>704</v>
      </c>
      <c r="XT405" s="889">
        <v>978</v>
      </c>
      <c r="XU405" s="889">
        <v>973</v>
      </c>
      <c r="XV405" s="889">
        <v>1999</v>
      </c>
      <c r="XW405" s="889">
        <v>51</v>
      </c>
      <c r="XX405" s="889">
        <v>985</v>
      </c>
      <c r="XY405" s="889">
        <v>954</v>
      </c>
      <c r="XZ405" s="889">
        <v>1996</v>
      </c>
      <c r="YA405" s="889">
        <v>217</v>
      </c>
      <c r="YB405" s="889">
        <v>260</v>
      </c>
      <c r="YC405" s="889">
        <v>704</v>
      </c>
      <c r="YD405" s="889">
        <v>978</v>
      </c>
      <c r="YE405" s="889">
        <v>973</v>
      </c>
      <c r="YF405" s="889">
        <v>1999</v>
      </c>
      <c r="YG405" s="889">
        <v>51</v>
      </c>
      <c r="YH405" s="889">
        <v>985</v>
      </c>
      <c r="YI405" s="889">
        <v>954</v>
      </c>
      <c r="YJ405" s="889">
        <v>1996</v>
      </c>
      <c r="YK405" s="889">
        <v>217</v>
      </c>
      <c r="YL405" s="889">
        <v>260</v>
      </c>
      <c r="YM405" s="889">
        <v>704</v>
      </c>
      <c r="YN405" s="889">
        <v>978</v>
      </c>
      <c r="YO405" s="889">
        <v>973</v>
      </c>
      <c r="YP405" s="889">
        <v>1999</v>
      </c>
      <c r="YQ405" s="889">
        <v>51</v>
      </c>
      <c r="YR405" s="889">
        <v>985</v>
      </c>
      <c r="YS405" s="889">
        <v>954</v>
      </c>
      <c r="YT405" s="889">
        <v>1996</v>
      </c>
      <c r="YU405" s="889">
        <v>217</v>
      </c>
      <c r="YV405" s="889">
        <v>260</v>
      </c>
      <c r="YW405" s="889">
        <v>704</v>
      </c>
      <c r="YX405" s="889">
        <v>978</v>
      </c>
      <c r="YY405" s="889">
        <v>973</v>
      </c>
      <c r="YZ405" s="889">
        <v>1999</v>
      </c>
      <c r="ZA405" s="889">
        <v>51</v>
      </c>
      <c r="ZB405" s="889">
        <v>985</v>
      </c>
      <c r="ZC405" s="889">
        <v>954</v>
      </c>
      <c r="ZD405" s="889">
        <v>1996</v>
      </c>
      <c r="ZE405" s="889">
        <v>217</v>
      </c>
      <c r="ZF405" s="889">
        <v>260</v>
      </c>
      <c r="ZG405" s="889">
        <v>704</v>
      </c>
      <c r="ZH405" s="889">
        <v>978</v>
      </c>
      <c r="ZI405" s="889">
        <v>973</v>
      </c>
      <c r="ZJ405" s="889">
        <v>1999</v>
      </c>
      <c r="ZK405" s="889">
        <v>51</v>
      </c>
      <c r="ZL405" s="889">
        <v>985</v>
      </c>
      <c r="ZM405" s="889">
        <v>954</v>
      </c>
      <c r="ZN405" s="889">
        <v>1996</v>
      </c>
      <c r="ZO405" s="889">
        <v>217</v>
      </c>
      <c r="ZP405" s="889">
        <v>260</v>
      </c>
      <c r="ZQ405" s="889">
        <v>704</v>
      </c>
      <c r="ZR405" s="889">
        <v>978</v>
      </c>
      <c r="ZS405" s="889">
        <v>973</v>
      </c>
      <c r="ZT405" s="889">
        <v>1999</v>
      </c>
      <c r="ZU405" s="889">
        <v>51</v>
      </c>
      <c r="ZV405" s="889">
        <v>985</v>
      </c>
      <c r="ZW405" s="889">
        <v>954</v>
      </c>
      <c r="ZX405" s="889">
        <v>1996</v>
      </c>
      <c r="ZY405" s="889">
        <v>217</v>
      </c>
      <c r="ZZ405" s="889">
        <v>260</v>
      </c>
      <c r="AAA405" s="889">
        <v>704</v>
      </c>
      <c r="AAB405" s="889">
        <v>978</v>
      </c>
      <c r="AAC405" s="889">
        <v>973</v>
      </c>
      <c r="AAD405" s="889">
        <v>1999</v>
      </c>
      <c r="AAE405" s="889">
        <v>51</v>
      </c>
      <c r="AAF405" s="889">
        <v>985</v>
      </c>
      <c r="AAG405" s="889">
        <v>954</v>
      </c>
      <c r="AAH405" s="889">
        <v>1996</v>
      </c>
      <c r="AAI405" s="889">
        <v>217</v>
      </c>
      <c r="AAJ405" s="889">
        <v>260</v>
      </c>
      <c r="AAK405" s="889">
        <v>704</v>
      </c>
      <c r="AAL405" s="889">
        <v>978</v>
      </c>
      <c r="AAM405" s="889">
        <v>973</v>
      </c>
      <c r="AAN405" s="889">
        <v>1999</v>
      </c>
      <c r="AAO405" s="889">
        <v>51</v>
      </c>
      <c r="AAP405" s="889">
        <v>985</v>
      </c>
      <c r="AAQ405" s="889">
        <v>954</v>
      </c>
      <c r="AAR405" s="889">
        <v>1996</v>
      </c>
      <c r="AAS405" s="889">
        <v>217</v>
      </c>
      <c r="AAT405" s="889">
        <v>260</v>
      </c>
      <c r="AAU405" s="889">
        <v>704</v>
      </c>
      <c r="AAV405" s="889">
        <v>978</v>
      </c>
      <c r="AAW405" s="889">
        <v>973</v>
      </c>
      <c r="AAX405" s="889">
        <v>1999</v>
      </c>
      <c r="AAY405" s="889">
        <v>51</v>
      </c>
      <c r="AAZ405" s="889">
        <v>985</v>
      </c>
      <c r="ABA405" s="889">
        <v>803</v>
      </c>
      <c r="ABB405" s="889">
        <v>1915</v>
      </c>
      <c r="ABC405" s="889">
        <v>199</v>
      </c>
      <c r="ABD405" s="889">
        <v>242</v>
      </c>
      <c r="ABE405" s="889">
        <v>607</v>
      </c>
      <c r="ABF405" s="889">
        <v>986</v>
      </c>
      <c r="ABG405" s="889">
        <v>847</v>
      </c>
      <c r="ABH405" s="889">
        <v>1892</v>
      </c>
      <c r="ABI405" s="889">
        <v>48</v>
      </c>
      <c r="ABJ405" s="889">
        <v>887</v>
      </c>
      <c r="ABK405" s="889">
        <v>803</v>
      </c>
      <c r="ABL405" s="889">
        <v>1915</v>
      </c>
      <c r="ABM405" s="889">
        <v>199</v>
      </c>
      <c r="ABN405" s="889">
        <v>242</v>
      </c>
      <c r="ABO405" s="889">
        <v>607</v>
      </c>
      <c r="ABP405" s="889">
        <v>986</v>
      </c>
      <c r="ABQ405" s="889">
        <v>847</v>
      </c>
      <c r="ABR405" s="889">
        <v>1892</v>
      </c>
      <c r="ABS405" s="889">
        <v>48</v>
      </c>
      <c r="ABT405" s="889">
        <v>887</v>
      </c>
      <c r="ABU405" s="889">
        <v>803</v>
      </c>
      <c r="ABV405" s="889">
        <v>1915</v>
      </c>
      <c r="ABW405" s="889">
        <v>199</v>
      </c>
      <c r="ABX405" s="889">
        <v>242</v>
      </c>
      <c r="ABY405" s="889">
        <v>607</v>
      </c>
      <c r="ABZ405" s="889">
        <v>986</v>
      </c>
      <c r="ACA405" s="889">
        <v>847</v>
      </c>
      <c r="ACB405" s="889">
        <v>1892</v>
      </c>
      <c r="ACC405" s="889">
        <v>48</v>
      </c>
      <c r="ACD405" s="889">
        <v>887</v>
      </c>
      <c r="ACE405" s="889">
        <v>803</v>
      </c>
      <c r="ACF405" s="889">
        <v>1915</v>
      </c>
      <c r="ACG405" s="889">
        <v>199</v>
      </c>
      <c r="ACH405" s="889">
        <v>242</v>
      </c>
      <c r="ACI405" s="889">
        <v>607</v>
      </c>
      <c r="ACJ405" s="889">
        <v>986</v>
      </c>
      <c r="ACK405" s="889">
        <v>847</v>
      </c>
      <c r="ACL405" s="889">
        <v>1892</v>
      </c>
      <c r="ACM405" s="889">
        <v>48</v>
      </c>
      <c r="ACN405" s="889">
        <v>887</v>
      </c>
      <c r="ACO405" s="889">
        <v>803</v>
      </c>
      <c r="ACP405" s="889">
        <v>1915</v>
      </c>
      <c r="ACQ405" s="889">
        <v>199</v>
      </c>
      <c r="ACR405" s="889">
        <v>242</v>
      </c>
      <c r="ACS405" s="889">
        <v>607</v>
      </c>
      <c r="ACT405" s="889">
        <v>986</v>
      </c>
      <c r="ACU405" s="889">
        <v>847</v>
      </c>
      <c r="ACV405" s="889">
        <v>1892</v>
      </c>
      <c r="ACW405" s="889">
        <v>48</v>
      </c>
      <c r="ACX405" s="889">
        <v>887</v>
      </c>
      <c r="ACY405" s="889">
        <v>803</v>
      </c>
      <c r="ACZ405" s="889">
        <v>1915</v>
      </c>
      <c r="ADA405" s="889">
        <v>199</v>
      </c>
      <c r="ADB405" s="889">
        <v>242</v>
      </c>
      <c r="ADC405" s="889">
        <v>607</v>
      </c>
      <c r="ADD405" s="889">
        <v>986</v>
      </c>
      <c r="ADE405" s="889">
        <v>847</v>
      </c>
      <c r="ADF405" s="889">
        <v>1892</v>
      </c>
      <c r="ADG405" s="889">
        <v>48</v>
      </c>
      <c r="ADH405" s="889">
        <v>887</v>
      </c>
      <c r="ADI405" s="889">
        <v>803</v>
      </c>
      <c r="ADJ405" s="889">
        <v>1915</v>
      </c>
      <c r="ADK405" s="889">
        <v>199</v>
      </c>
      <c r="ADL405" s="889">
        <v>242</v>
      </c>
      <c r="ADM405" s="889">
        <v>607</v>
      </c>
      <c r="ADN405" s="889">
        <v>986</v>
      </c>
      <c r="ADO405" s="889">
        <v>847</v>
      </c>
      <c r="ADP405" s="889">
        <v>1892</v>
      </c>
      <c r="ADQ405" s="889">
        <v>48</v>
      </c>
      <c r="ADR405" s="889">
        <v>887</v>
      </c>
      <c r="ADS405" s="889">
        <v>803</v>
      </c>
      <c r="ADT405" s="889">
        <v>1915</v>
      </c>
      <c r="ADU405" s="889">
        <v>199</v>
      </c>
      <c r="ADV405" s="889">
        <v>242</v>
      </c>
      <c r="ADW405" s="889">
        <v>607</v>
      </c>
      <c r="ADX405" s="889">
        <v>986</v>
      </c>
      <c r="ADY405" s="889">
        <v>847</v>
      </c>
      <c r="ADZ405" s="889">
        <v>1892</v>
      </c>
      <c r="AEA405" s="889">
        <v>48</v>
      </c>
      <c r="AEB405" s="889">
        <v>887</v>
      </c>
      <c r="AEC405" s="889">
        <v>803</v>
      </c>
      <c r="AED405" s="889">
        <v>1915</v>
      </c>
      <c r="AEE405" s="889">
        <v>199</v>
      </c>
      <c r="AEF405" s="889">
        <v>242</v>
      </c>
      <c r="AEG405" s="889">
        <v>607</v>
      </c>
      <c r="AEH405" s="889">
        <v>986</v>
      </c>
      <c r="AEI405" s="889">
        <v>847</v>
      </c>
      <c r="AEJ405" s="889">
        <v>1892</v>
      </c>
      <c r="AEK405" s="889">
        <v>48</v>
      </c>
      <c r="AEL405" s="889">
        <v>887</v>
      </c>
      <c r="AEM405" s="889">
        <v>803</v>
      </c>
      <c r="AEN405" s="889">
        <v>1915</v>
      </c>
      <c r="AEO405" s="889">
        <v>199</v>
      </c>
      <c r="AEP405" s="889">
        <v>242</v>
      </c>
      <c r="AEQ405" s="889">
        <v>607</v>
      </c>
      <c r="AER405" s="889">
        <v>986</v>
      </c>
      <c r="AES405" s="889">
        <v>847</v>
      </c>
      <c r="AET405" s="889">
        <v>1892</v>
      </c>
      <c r="AEU405" s="889">
        <v>48</v>
      </c>
      <c r="AEV405" s="889">
        <v>887</v>
      </c>
      <c r="AEW405" s="889">
        <v>803</v>
      </c>
      <c r="AEX405" s="889">
        <v>1915</v>
      </c>
      <c r="AEY405" s="889">
        <v>199</v>
      </c>
      <c r="AEZ405" s="889">
        <v>242</v>
      </c>
      <c r="AFA405" s="889">
        <v>607</v>
      </c>
      <c r="AFB405" s="889">
        <v>986</v>
      </c>
      <c r="AFC405" s="889">
        <v>847</v>
      </c>
      <c r="AFD405" s="889">
        <v>1892</v>
      </c>
      <c r="AFE405" s="889">
        <v>48</v>
      </c>
      <c r="AFF405" s="889">
        <v>887</v>
      </c>
      <c r="AFG405" s="889">
        <v>803</v>
      </c>
      <c r="AFH405" s="889">
        <v>1915</v>
      </c>
      <c r="AFI405" s="889">
        <v>199</v>
      </c>
      <c r="AFJ405" s="889">
        <v>242</v>
      </c>
      <c r="AFK405" s="889">
        <v>607</v>
      </c>
      <c r="AFL405" s="889">
        <v>986</v>
      </c>
      <c r="AFM405" s="889">
        <v>847</v>
      </c>
      <c r="AFN405" s="889">
        <v>1892</v>
      </c>
      <c r="AFO405" s="889">
        <v>48</v>
      </c>
      <c r="AFP405" s="889">
        <v>887</v>
      </c>
      <c r="AFQ405" s="889">
        <v>803</v>
      </c>
      <c r="AFR405" s="889">
        <v>1915</v>
      </c>
      <c r="AFS405" s="889">
        <v>199</v>
      </c>
      <c r="AFT405" s="889">
        <v>242</v>
      </c>
      <c r="AFU405" s="889">
        <v>607</v>
      </c>
      <c r="AFV405" s="889">
        <v>986</v>
      </c>
      <c r="AFW405" s="889">
        <v>847</v>
      </c>
      <c r="AFX405" s="889">
        <v>1892</v>
      </c>
      <c r="AFY405" s="889">
        <v>48</v>
      </c>
      <c r="AFZ405" s="889">
        <v>887</v>
      </c>
      <c r="AGA405" s="889">
        <v>803</v>
      </c>
      <c r="AGB405" s="889">
        <v>1915</v>
      </c>
      <c r="AGC405" s="889">
        <v>199</v>
      </c>
      <c r="AGD405" s="889">
        <v>242</v>
      </c>
      <c r="AGE405" s="889">
        <v>607</v>
      </c>
      <c r="AGF405" s="889">
        <v>986</v>
      </c>
      <c r="AGG405" s="889">
        <v>847</v>
      </c>
      <c r="AGH405" s="889">
        <v>1892</v>
      </c>
      <c r="AGI405" s="889">
        <v>48</v>
      </c>
      <c r="AGJ405" s="889">
        <v>887</v>
      </c>
      <c r="AGK405" s="889">
        <v>803</v>
      </c>
      <c r="AGL405" s="889">
        <v>1915</v>
      </c>
      <c r="AGM405" s="889">
        <v>199</v>
      </c>
      <c r="AGN405" s="889">
        <v>242</v>
      </c>
      <c r="AGO405" s="889">
        <v>607</v>
      </c>
      <c r="AGP405" s="889">
        <v>986</v>
      </c>
      <c r="AGQ405" s="889">
        <v>847</v>
      </c>
      <c r="AGR405" s="889">
        <v>1892</v>
      </c>
      <c r="AGS405" s="889">
        <v>48</v>
      </c>
      <c r="AGT405" s="889">
        <v>887</v>
      </c>
      <c r="AGU405" s="889">
        <v>803</v>
      </c>
      <c r="AGV405" s="889">
        <v>1915</v>
      </c>
      <c r="AGW405" s="889">
        <v>199</v>
      </c>
      <c r="AGX405" s="889">
        <v>242</v>
      </c>
      <c r="AGY405" s="889">
        <v>607</v>
      </c>
      <c r="AGZ405" s="889">
        <v>986</v>
      </c>
      <c r="AHA405" s="889">
        <v>847</v>
      </c>
      <c r="AHB405" s="889">
        <v>1892</v>
      </c>
      <c r="AHC405" s="889">
        <v>48</v>
      </c>
      <c r="AHD405" s="889">
        <v>887</v>
      </c>
      <c r="AHE405" s="889">
        <v>803</v>
      </c>
      <c r="AHF405" s="889">
        <v>1915</v>
      </c>
      <c r="AHG405" s="889">
        <v>199</v>
      </c>
      <c r="AHH405" s="889">
        <v>242</v>
      </c>
      <c r="AHI405" s="889">
        <v>607</v>
      </c>
      <c r="AHJ405" s="889">
        <v>986</v>
      </c>
      <c r="AHK405" s="889">
        <v>847</v>
      </c>
      <c r="AHL405" s="889">
        <v>1892</v>
      </c>
      <c r="AHM405" s="889">
        <v>48</v>
      </c>
      <c r="AHN405" s="889">
        <v>887</v>
      </c>
      <c r="AHO405" s="889">
        <v>803</v>
      </c>
      <c r="AHP405" s="889">
        <v>1915</v>
      </c>
      <c r="AHQ405" s="889">
        <v>199</v>
      </c>
      <c r="AHR405" s="889">
        <v>242</v>
      </c>
      <c r="AHS405" s="889">
        <v>607</v>
      </c>
      <c r="AHT405" s="889">
        <v>986</v>
      </c>
      <c r="AHU405" s="889">
        <v>847</v>
      </c>
      <c r="AHV405" s="889">
        <v>1892</v>
      </c>
      <c r="AHW405" s="889">
        <v>48</v>
      </c>
      <c r="AHX405" s="889">
        <v>887</v>
      </c>
      <c r="AHY405" s="889">
        <v>803</v>
      </c>
      <c r="AHZ405" s="889">
        <v>1915</v>
      </c>
      <c r="AIA405" s="889">
        <v>199</v>
      </c>
      <c r="AIB405" s="889">
        <v>242</v>
      </c>
      <c r="AIC405" s="889">
        <v>607</v>
      </c>
      <c r="AID405" s="889">
        <v>986</v>
      </c>
      <c r="AIE405" s="889">
        <v>847</v>
      </c>
      <c r="AIF405" s="889">
        <v>1892</v>
      </c>
      <c r="AIG405" s="889">
        <v>48</v>
      </c>
      <c r="AIH405" s="889">
        <v>887</v>
      </c>
      <c r="AII405" s="889">
        <v>803</v>
      </c>
      <c r="AIJ405" s="889">
        <v>1915</v>
      </c>
      <c r="AIK405" s="889">
        <v>199</v>
      </c>
      <c r="AIL405" s="889">
        <v>242</v>
      </c>
      <c r="AIM405" s="889">
        <v>607</v>
      </c>
      <c r="AIN405" s="889">
        <v>986</v>
      </c>
      <c r="AIO405" s="889">
        <v>847</v>
      </c>
      <c r="AIP405" s="889">
        <v>1892</v>
      </c>
      <c r="AIQ405" s="889">
        <v>48</v>
      </c>
      <c r="AIR405" s="889">
        <v>887</v>
      </c>
      <c r="AIS405" s="889">
        <v>803</v>
      </c>
      <c r="AIT405" s="889">
        <v>1915</v>
      </c>
      <c r="AIU405" s="889">
        <v>199</v>
      </c>
      <c r="AIV405" s="889">
        <v>242</v>
      </c>
      <c r="AIW405" s="889">
        <v>607</v>
      </c>
      <c r="AIX405" s="889">
        <v>986</v>
      </c>
      <c r="AIY405" s="889">
        <v>847</v>
      </c>
      <c r="AIZ405" s="889">
        <v>1892</v>
      </c>
      <c r="AJA405" s="889">
        <v>48</v>
      </c>
      <c r="AJB405" s="889">
        <v>887</v>
      </c>
      <c r="AJC405" s="889">
        <v>803</v>
      </c>
      <c r="AJD405" s="889">
        <v>1915</v>
      </c>
      <c r="AJE405" s="889">
        <v>199</v>
      </c>
      <c r="AJF405" s="889">
        <v>242</v>
      </c>
      <c r="AJG405" s="889">
        <v>607</v>
      </c>
      <c r="AJH405" s="889">
        <v>986</v>
      </c>
      <c r="AJI405" s="889">
        <v>847</v>
      </c>
      <c r="AJJ405" s="889">
        <v>1892</v>
      </c>
      <c r="AJK405" s="889">
        <v>48</v>
      </c>
      <c r="AJL405" s="889">
        <v>887</v>
      </c>
      <c r="AJM405" s="889">
        <v>803</v>
      </c>
      <c r="AJN405" s="889">
        <v>1915</v>
      </c>
      <c r="AJO405" s="889">
        <v>199</v>
      </c>
      <c r="AJP405" s="889">
        <v>242</v>
      </c>
      <c r="AJQ405" s="889">
        <v>607</v>
      </c>
      <c r="AJR405" s="889">
        <v>986</v>
      </c>
      <c r="AJS405" s="889">
        <v>847</v>
      </c>
      <c r="AJT405" s="889">
        <v>1892</v>
      </c>
      <c r="AJU405" s="889">
        <v>48</v>
      </c>
      <c r="AJV405" s="889">
        <v>887</v>
      </c>
      <c r="AJW405" s="889">
        <v>803</v>
      </c>
      <c r="AJX405" s="889">
        <v>1915</v>
      </c>
      <c r="AJY405" s="889">
        <v>199</v>
      </c>
      <c r="AJZ405" s="889">
        <v>242</v>
      </c>
      <c r="AKA405" s="889">
        <v>607</v>
      </c>
      <c r="AKB405" s="889">
        <v>986</v>
      </c>
      <c r="AKC405" s="889">
        <v>847</v>
      </c>
      <c r="AKD405" s="889">
        <v>1892</v>
      </c>
      <c r="AKE405" s="889">
        <v>48</v>
      </c>
      <c r="AKF405" s="889">
        <v>887</v>
      </c>
      <c r="AKG405" s="889">
        <v>803</v>
      </c>
      <c r="AKH405" s="889">
        <v>1915</v>
      </c>
      <c r="AKI405" s="889">
        <v>199</v>
      </c>
      <c r="AKJ405" s="889">
        <v>242</v>
      </c>
      <c r="AKK405" s="889">
        <v>607</v>
      </c>
      <c r="AKL405" s="889">
        <v>986</v>
      </c>
      <c r="AKM405" s="889">
        <v>847</v>
      </c>
      <c r="AKN405" s="889">
        <v>1892</v>
      </c>
      <c r="AKO405" s="889">
        <v>48</v>
      </c>
      <c r="AKP405" s="889">
        <v>887</v>
      </c>
      <c r="AKQ405" s="889">
        <v>803</v>
      </c>
      <c r="AKR405" s="889">
        <v>1915</v>
      </c>
      <c r="AKS405" s="889">
        <v>199</v>
      </c>
      <c r="AKT405" s="889">
        <v>242</v>
      </c>
      <c r="AKU405" s="889">
        <v>607</v>
      </c>
      <c r="AKV405" s="889">
        <v>986</v>
      </c>
      <c r="AKW405" s="889">
        <v>847</v>
      </c>
      <c r="AKX405" s="889">
        <v>1892</v>
      </c>
      <c r="AKY405" s="889">
        <v>48</v>
      </c>
      <c r="AKZ405" s="889">
        <v>887</v>
      </c>
      <c r="ALA405" s="889">
        <v>803</v>
      </c>
      <c r="ALB405" s="889">
        <v>1915</v>
      </c>
      <c r="ALC405" s="889">
        <v>199</v>
      </c>
      <c r="ALD405" s="889">
        <v>242</v>
      </c>
      <c r="ALE405" s="889">
        <v>607</v>
      </c>
      <c r="ALF405" s="889">
        <v>986</v>
      </c>
      <c r="ALG405" s="889">
        <v>847</v>
      </c>
      <c r="ALH405" s="889">
        <v>1892</v>
      </c>
      <c r="ALI405" s="889">
        <v>48</v>
      </c>
      <c r="ALJ405" s="889">
        <v>887</v>
      </c>
      <c r="ALK405" s="889">
        <v>803</v>
      </c>
      <c r="ALL405" s="889">
        <v>1915</v>
      </c>
      <c r="ALM405" s="889">
        <v>199</v>
      </c>
      <c r="ALN405" s="889">
        <v>242</v>
      </c>
      <c r="ALO405" s="889">
        <v>607</v>
      </c>
      <c r="ALP405" s="889">
        <v>986</v>
      </c>
      <c r="ALQ405" s="889">
        <v>847</v>
      </c>
      <c r="ALR405" s="889">
        <v>1892</v>
      </c>
      <c r="ALS405" s="889">
        <v>48</v>
      </c>
      <c r="ALT405" s="889">
        <v>887</v>
      </c>
      <c r="ALU405" s="889">
        <v>803</v>
      </c>
      <c r="ALV405" s="889">
        <v>1915</v>
      </c>
      <c r="ALW405" s="889">
        <v>199</v>
      </c>
      <c r="ALX405" s="889">
        <v>242</v>
      </c>
      <c r="ALY405" s="889">
        <v>607</v>
      </c>
      <c r="ALZ405" s="889">
        <v>986</v>
      </c>
      <c r="AMA405" s="889">
        <v>847</v>
      </c>
      <c r="AMB405" s="889">
        <v>1892</v>
      </c>
      <c r="AMC405" s="889">
        <v>48</v>
      </c>
      <c r="AMD405" s="889">
        <v>887</v>
      </c>
      <c r="AME405" s="889">
        <v>803</v>
      </c>
      <c r="AMF405" s="889">
        <v>1915</v>
      </c>
      <c r="AMG405" s="889">
        <v>199</v>
      </c>
      <c r="AMH405" s="889">
        <v>242</v>
      </c>
      <c r="AMI405" s="889">
        <v>607</v>
      </c>
      <c r="AMJ405" s="889">
        <v>986</v>
      </c>
      <c r="AMK405" s="889">
        <v>847</v>
      </c>
      <c r="AML405" s="889">
        <v>1892</v>
      </c>
      <c r="AMM405" s="889">
        <v>48</v>
      </c>
      <c r="AMN405" s="889">
        <v>887</v>
      </c>
      <c r="AMO405" s="889">
        <v>803</v>
      </c>
      <c r="AMP405" s="889">
        <v>1915</v>
      </c>
      <c r="AMQ405" s="889">
        <v>199</v>
      </c>
      <c r="AMR405" s="889">
        <v>242</v>
      </c>
      <c r="AMS405" s="889">
        <v>607</v>
      </c>
      <c r="AMT405" s="889">
        <v>986</v>
      </c>
      <c r="AMU405" s="889">
        <v>847</v>
      </c>
      <c r="AMV405" s="889">
        <v>1892</v>
      </c>
      <c r="AMW405" s="889">
        <v>48</v>
      </c>
      <c r="AMX405" s="889">
        <v>887</v>
      </c>
      <c r="AMY405" s="889">
        <v>803</v>
      </c>
      <c r="AMZ405" s="889">
        <v>1915</v>
      </c>
      <c r="ANA405" s="889">
        <v>199</v>
      </c>
      <c r="ANB405" s="889">
        <v>242</v>
      </c>
      <c r="ANC405" s="889">
        <v>607</v>
      </c>
      <c r="AND405" s="889">
        <v>986</v>
      </c>
      <c r="ANE405" s="889">
        <v>847</v>
      </c>
      <c r="ANF405" s="889">
        <v>1892</v>
      </c>
      <c r="ANG405" s="889">
        <v>48</v>
      </c>
      <c r="ANH405" s="889">
        <v>887</v>
      </c>
      <c r="ANI405" s="889">
        <v>803</v>
      </c>
      <c r="ANJ405" s="889">
        <v>1915</v>
      </c>
      <c r="ANK405" s="889">
        <v>199</v>
      </c>
      <c r="ANL405" s="889">
        <v>242</v>
      </c>
      <c r="ANM405" s="889">
        <v>607</v>
      </c>
      <c r="ANN405" s="889">
        <v>986</v>
      </c>
      <c r="ANO405" s="889">
        <v>847</v>
      </c>
      <c r="ANP405" s="889">
        <v>1892</v>
      </c>
      <c r="ANQ405" s="889">
        <v>48</v>
      </c>
      <c r="ANR405" s="889">
        <v>887</v>
      </c>
      <c r="ANS405" s="889">
        <v>803</v>
      </c>
      <c r="ANT405" s="889">
        <v>1915</v>
      </c>
      <c r="ANU405" s="889">
        <v>199</v>
      </c>
      <c r="ANV405" s="889">
        <v>242</v>
      </c>
      <c r="ANW405" s="889">
        <v>607</v>
      </c>
      <c r="ANX405" s="889">
        <v>986</v>
      </c>
      <c r="ANY405" s="889">
        <v>847</v>
      </c>
      <c r="ANZ405" s="889">
        <v>1892</v>
      </c>
      <c r="AOA405" s="889">
        <v>48</v>
      </c>
      <c r="AOB405" s="889">
        <v>887</v>
      </c>
      <c r="AOC405" s="889">
        <v>803</v>
      </c>
      <c r="AOD405" s="889">
        <v>1915</v>
      </c>
      <c r="AOE405" s="889">
        <v>199</v>
      </c>
      <c r="AOF405" s="889">
        <v>242</v>
      </c>
      <c r="AOG405" s="889">
        <v>607</v>
      </c>
      <c r="AOH405" s="889">
        <v>986</v>
      </c>
      <c r="AOI405" s="889">
        <v>847</v>
      </c>
      <c r="AOJ405" s="889">
        <v>1892</v>
      </c>
      <c r="AOK405" s="889">
        <v>48</v>
      </c>
      <c r="AOL405" s="889">
        <v>887</v>
      </c>
      <c r="AOM405" s="889">
        <v>803</v>
      </c>
      <c r="AON405" s="889">
        <v>1915</v>
      </c>
      <c r="AOO405" s="889">
        <v>199</v>
      </c>
      <c r="AOP405" s="889">
        <v>242</v>
      </c>
      <c r="AOQ405" s="889">
        <v>607</v>
      </c>
      <c r="AOR405" s="889">
        <v>986</v>
      </c>
      <c r="AOS405" s="889">
        <v>847</v>
      </c>
      <c r="AOT405" s="889">
        <v>1892</v>
      </c>
      <c r="AOU405" s="889">
        <v>48</v>
      </c>
      <c r="AOV405" s="889">
        <v>887</v>
      </c>
      <c r="AOW405" s="890"/>
    </row>
    <row r="406" spans="2:1089" hidden="1">
      <c r="B406" s="1000" t="s">
        <v>1053</v>
      </c>
      <c r="C406" s="1000"/>
      <c r="D406" s="836"/>
      <c r="E406" s="883" t="s">
        <v>1189</v>
      </c>
      <c r="F406" s="883"/>
      <c r="G406" s="883"/>
      <c r="H406" s="884"/>
      <c r="I406" s="15"/>
      <c r="J406" s="15"/>
      <c r="K406" s="15"/>
      <c r="L406" s="15"/>
      <c r="M406" s="15"/>
      <c r="N406" s="15"/>
      <c r="O406" s="15"/>
      <c r="P406" s="15"/>
      <c r="Q406" s="15"/>
      <c r="R406" s="15"/>
      <c r="S406" s="15"/>
      <c r="T406" s="15"/>
      <c r="U406" s="15"/>
      <c r="V406" s="15"/>
      <c r="W406" s="15"/>
      <c r="X406" s="15"/>
      <c r="Y406" s="19"/>
      <c r="Z406" s="5"/>
      <c r="AA406" s="5"/>
      <c r="AB406" s="5"/>
      <c r="AC406" s="5"/>
      <c r="AD406" s="5"/>
      <c r="AE406" s="5"/>
      <c r="AF406" s="5"/>
      <c r="AG406" s="5"/>
      <c r="AH406" s="5"/>
      <c r="AI406" s="5"/>
      <c r="AJ406" s="5"/>
      <c r="AK406" s="5"/>
      <c r="AL406" s="5"/>
      <c r="AM406" s="5"/>
      <c r="AN406" s="5"/>
      <c r="AO406" s="5"/>
      <c r="AP406" s="5"/>
      <c r="AQ406" s="5"/>
      <c r="AR406" s="5"/>
      <c r="AS406" s="21"/>
    </row>
    <row r="407" spans="2:1089" hidden="1">
      <c r="B407" s="1000" t="s">
        <v>1053</v>
      </c>
      <c r="C407" s="1000"/>
      <c r="D407" s="836"/>
      <c r="E407" s="679" t="s">
        <v>1048</v>
      </c>
      <c r="F407" s="325"/>
      <c r="G407" s="325"/>
      <c r="H407" s="471"/>
      <c r="I407" s="15"/>
      <c r="J407" s="15"/>
      <c r="K407" s="15"/>
      <c r="L407" s="15"/>
      <c r="M407" s="15"/>
      <c r="N407" s="15"/>
      <c r="O407" s="15"/>
      <c r="P407" s="15"/>
      <c r="Q407" s="15"/>
      <c r="R407" s="15"/>
      <c r="S407" s="15"/>
      <c r="T407" s="15"/>
      <c r="U407" s="15"/>
      <c r="V407" s="15"/>
      <c r="W407" s="15"/>
      <c r="X407" s="15"/>
      <c r="Y407" s="19"/>
      <c r="Z407" s="5"/>
      <c r="AA407" s="5"/>
      <c r="AB407" s="5"/>
      <c r="AC407" s="5"/>
      <c r="AD407" s="5"/>
      <c r="AE407" s="5"/>
      <c r="AF407" s="5"/>
      <c r="AG407" s="5"/>
      <c r="AH407" s="5"/>
      <c r="AI407" s="5"/>
      <c r="AJ407" s="5"/>
      <c r="AK407" s="5"/>
      <c r="AL407" s="5"/>
      <c r="AM407" s="5"/>
      <c r="AN407" s="5"/>
      <c r="AO407" s="5"/>
      <c r="AP407" s="5"/>
      <c r="AQ407" s="5"/>
      <c r="AR407" s="5"/>
      <c r="AS407" s="21"/>
    </row>
    <row r="408" spans="2:1089" hidden="1">
      <c r="B408" s="1000" t="s">
        <v>1053</v>
      </c>
      <c r="C408" s="1000"/>
      <c r="D408" s="836"/>
      <c r="E408" s="679" t="s">
        <v>1045</v>
      </c>
      <c r="F408" s="325"/>
      <c r="G408" s="325"/>
      <c r="H408" s="471"/>
      <c r="I408" s="15"/>
      <c r="J408" s="15"/>
      <c r="K408" s="15"/>
      <c r="L408" s="15"/>
      <c r="M408" s="15"/>
      <c r="N408" s="15"/>
      <c r="O408" s="15"/>
      <c r="P408" s="15"/>
      <c r="Q408" s="15"/>
      <c r="R408" s="15"/>
      <c r="S408" s="15"/>
      <c r="T408" s="15"/>
      <c r="U408" s="15"/>
      <c r="V408" s="15"/>
      <c r="W408" s="15"/>
      <c r="X408" s="15"/>
      <c r="Y408" s="19"/>
      <c r="Z408" s="5"/>
      <c r="AA408" s="5"/>
      <c r="AB408" s="5"/>
      <c r="AC408" s="5"/>
      <c r="AD408" s="5"/>
      <c r="AE408" s="5"/>
      <c r="AF408" s="5"/>
      <c r="AG408" s="5"/>
      <c r="AH408" s="5"/>
      <c r="AI408" s="5"/>
      <c r="AJ408" s="5"/>
      <c r="AK408" s="5"/>
      <c r="AL408" s="5"/>
      <c r="AM408" s="5"/>
      <c r="AN408" s="5"/>
      <c r="AO408" s="5"/>
      <c r="AP408" s="5"/>
      <c r="AQ408" s="5"/>
      <c r="AR408" s="5"/>
      <c r="AS408" s="21"/>
    </row>
    <row r="409" spans="2:1089" hidden="1">
      <c r="B409" s="1000" t="s">
        <v>1053</v>
      </c>
      <c r="C409" s="1000"/>
      <c r="D409" s="836"/>
      <c r="E409" s="679" t="s">
        <v>1046</v>
      </c>
      <c r="F409" s="325"/>
      <c r="G409" s="325"/>
      <c r="H409" s="471"/>
      <c r="I409" s="15"/>
      <c r="J409" s="15"/>
      <c r="K409" s="15"/>
      <c r="L409" s="15"/>
      <c r="M409" s="15"/>
      <c r="N409" s="15"/>
      <c r="O409" s="15"/>
      <c r="P409" s="15"/>
      <c r="Q409" s="15"/>
      <c r="R409" s="15"/>
      <c r="S409" s="15"/>
      <c r="T409" s="15"/>
      <c r="U409" s="15"/>
      <c r="V409" s="15"/>
      <c r="W409" s="15"/>
      <c r="X409" s="15"/>
      <c r="Y409" s="19"/>
      <c r="Z409" s="5"/>
      <c r="AA409" s="5"/>
      <c r="AB409" s="5"/>
      <c r="AC409" s="5"/>
      <c r="AD409" s="5"/>
      <c r="AE409" s="5"/>
      <c r="AF409" s="5"/>
      <c r="AG409" s="5"/>
      <c r="AH409" s="5"/>
      <c r="AI409" s="5"/>
      <c r="AJ409" s="5"/>
      <c r="AK409" s="5"/>
      <c r="AL409" s="5"/>
      <c r="AM409" s="5"/>
      <c r="AN409" s="5"/>
      <c r="AO409" s="5"/>
      <c r="AP409" s="5"/>
      <c r="AQ409" s="5"/>
      <c r="AR409" s="5"/>
      <c r="AS409" s="21"/>
    </row>
    <row r="410" spans="2:1089" hidden="1">
      <c r="B410" s="1000" t="s">
        <v>1053</v>
      </c>
      <c r="C410" s="1000"/>
      <c r="D410" s="836"/>
      <c r="E410" s="679" t="s">
        <v>1047</v>
      </c>
      <c r="F410" s="325"/>
      <c r="G410" s="325"/>
      <c r="H410" s="471"/>
      <c r="I410" s="15"/>
      <c r="J410" s="15"/>
      <c r="K410" s="15"/>
      <c r="L410" s="15"/>
      <c r="M410" s="15"/>
      <c r="N410" s="15"/>
      <c r="O410" s="15"/>
      <c r="P410" s="15"/>
      <c r="Q410" s="15"/>
      <c r="R410" s="15"/>
      <c r="S410" s="15"/>
      <c r="T410" s="15"/>
      <c r="U410" s="15"/>
      <c r="V410" s="15"/>
      <c r="W410" s="15"/>
      <c r="X410" s="15"/>
      <c r="Y410" s="19"/>
      <c r="Z410" s="5"/>
      <c r="AA410" s="5"/>
      <c r="AB410" s="5"/>
      <c r="AC410" s="5"/>
      <c r="AD410" s="5"/>
      <c r="AE410" s="5"/>
      <c r="AF410" s="5"/>
      <c r="AG410" s="5"/>
      <c r="AH410" s="5"/>
      <c r="AI410" s="5"/>
      <c r="AJ410" s="5"/>
      <c r="AK410" s="5"/>
      <c r="AL410" s="5"/>
      <c r="AM410" s="5"/>
      <c r="AN410" s="5"/>
      <c r="AO410" s="5"/>
      <c r="AP410" s="5"/>
      <c r="AQ410" s="5"/>
      <c r="AR410" s="5"/>
      <c r="AS410" s="21"/>
    </row>
    <row r="411" spans="2:1089" hidden="1">
      <c r="B411" s="1000" t="s">
        <v>1053</v>
      </c>
      <c r="C411" s="1000"/>
      <c r="D411" s="836"/>
      <c r="E411" s="876" t="s">
        <v>1049</v>
      </c>
      <c r="F411" s="325"/>
      <c r="G411" s="325"/>
      <c r="H411" s="471"/>
      <c r="I411" s="15"/>
      <c r="J411" s="15"/>
      <c r="K411" s="15"/>
      <c r="L411" s="15"/>
      <c r="M411" s="15"/>
      <c r="N411" s="15"/>
      <c r="O411" s="15"/>
      <c r="P411" s="15"/>
      <c r="Q411" s="15"/>
      <c r="R411" s="15"/>
      <c r="S411" s="15"/>
      <c r="T411" s="15"/>
      <c r="U411" s="15"/>
      <c r="V411" s="15"/>
      <c r="W411" s="15"/>
      <c r="X411" s="15"/>
      <c r="Y411" s="19"/>
      <c r="Z411" s="5"/>
      <c r="AA411" s="5"/>
      <c r="AB411" s="5"/>
      <c r="AC411" s="5"/>
      <c r="AD411" s="5"/>
      <c r="AE411" s="5"/>
      <c r="AF411" s="5"/>
      <c r="AG411" s="5"/>
      <c r="AH411" s="5"/>
      <c r="AI411" s="5"/>
      <c r="AJ411" s="5"/>
      <c r="AK411" s="5"/>
      <c r="AL411" s="5"/>
      <c r="AM411" s="5"/>
      <c r="AN411" s="5"/>
      <c r="AO411" s="5"/>
      <c r="AP411" s="5"/>
      <c r="AQ411" s="5"/>
      <c r="AR411" s="5"/>
      <c r="AS411" s="21"/>
    </row>
    <row r="412" spans="2:1089" hidden="1">
      <c r="B412" s="1000" t="s">
        <v>1053</v>
      </c>
      <c r="C412" s="1000"/>
      <c r="D412" s="836"/>
      <c r="E412" s="876" t="s">
        <v>1050</v>
      </c>
      <c r="F412" s="325"/>
      <c r="G412" s="325"/>
      <c r="H412" s="471"/>
      <c r="I412" s="15"/>
      <c r="J412" s="15"/>
      <c r="K412" s="15"/>
      <c r="L412" s="15"/>
      <c r="M412" s="15"/>
      <c r="N412" s="15"/>
      <c r="O412" s="15"/>
      <c r="P412" s="15"/>
      <c r="Q412" s="15"/>
      <c r="R412" s="15"/>
      <c r="S412" s="15"/>
      <c r="T412" s="15"/>
      <c r="U412" s="15"/>
      <c r="V412" s="15"/>
      <c r="W412" s="15"/>
      <c r="X412" s="15"/>
      <c r="Y412" s="19"/>
      <c r="Z412" s="5"/>
      <c r="AA412" s="5"/>
      <c r="AB412" s="5"/>
      <c r="AC412" s="5"/>
      <c r="AD412" s="5"/>
      <c r="AE412" s="5"/>
      <c r="AF412" s="5"/>
      <c r="AG412" s="5"/>
      <c r="AH412" s="5"/>
      <c r="AI412" s="5"/>
      <c r="AJ412" s="5"/>
      <c r="AK412" s="5"/>
      <c r="AL412" s="5"/>
      <c r="AM412" s="5"/>
      <c r="AN412" s="5"/>
      <c r="AO412" s="5"/>
      <c r="AP412" s="5"/>
      <c r="AQ412" s="5"/>
      <c r="AR412" s="5"/>
      <c r="AS412" s="21"/>
    </row>
    <row r="413" spans="2:1089" hidden="1">
      <c r="B413" s="1000" t="s">
        <v>1053</v>
      </c>
      <c r="C413" s="1000"/>
      <c r="D413" s="836"/>
      <c r="E413" s="876" t="s">
        <v>1051</v>
      </c>
      <c r="F413" s="325"/>
      <c r="G413" s="325"/>
      <c r="H413" s="471"/>
      <c r="I413" s="15"/>
      <c r="J413" s="15"/>
      <c r="K413" s="15"/>
      <c r="L413" s="15"/>
      <c r="M413" s="15"/>
      <c r="N413" s="15"/>
      <c r="O413" s="15"/>
      <c r="P413" s="15"/>
      <c r="Q413" s="15"/>
      <c r="R413" s="15"/>
      <c r="S413" s="15"/>
      <c r="T413" s="15"/>
      <c r="U413" s="15"/>
      <c r="V413" s="15"/>
      <c r="W413" s="15"/>
      <c r="X413" s="15"/>
      <c r="Y413" s="19"/>
      <c r="Z413" s="5"/>
      <c r="AA413" s="5"/>
      <c r="AB413" s="5"/>
      <c r="AC413" s="5"/>
      <c r="AD413" s="5"/>
      <c r="AE413" s="5"/>
      <c r="AF413" s="5"/>
      <c r="AG413" s="5"/>
      <c r="AH413" s="5"/>
      <c r="AI413" s="5"/>
      <c r="AJ413" s="5"/>
      <c r="AK413" s="5"/>
      <c r="AL413" s="5"/>
      <c r="AM413" s="5"/>
      <c r="AN413" s="5"/>
      <c r="AO413" s="5"/>
      <c r="AP413" s="5"/>
      <c r="AQ413" s="5"/>
      <c r="AR413" s="5"/>
      <c r="AS413" s="21"/>
    </row>
    <row r="414" spans="2:1089" hidden="1">
      <c r="B414" s="1000" t="s">
        <v>1053</v>
      </c>
      <c r="C414" s="1000"/>
      <c r="D414" s="836"/>
      <c r="E414" s="876" t="s">
        <v>1052</v>
      </c>
      <c r="F414" s="325"/>
      <c r="G414" s="325"/>
      <c r="H414" s="471"/>
      <c r="I414" s="15"/>
      <c r="J414" s="15"/>
      <c r="K414" s="15"/>
      <c r="L414" s="15"/>
      <c r="M414" s="15"/>
      <c r="N414" s="15"/>
      <c r="O414" s="15"/>
      <c r="P414" s="15"/>
      <c r="Q414" s="15"/>
      <c r="R414" s="15"/>
      <c r="S414" s="15"/>
      <c r="T414" s="15"/>
      <c r="U414" s="15"/>
      <c r="V414" s="15"/>
      <c r="W414" s="15"/>
      <c r="X414" s="15"/>
      <c r="Y414" s="19"/>
      <c r="Z414" s="5"/>
      <c r="AA414" s="5"/>
      <c r="AB414" s="5"/>
      <c r="AC414" s="5"/>
      <c r="AD414" s="5"/>
      <c r="AE414" s="5"/>
      <c r="AF414" s="5"/>
      <c r="AG414" s="5"/>
      <c r="AH414" s="5"/>
      <c r="AI414" s="5"/>
      <c r="AJ414" s="5"/>
      <c r="AK414" s="5"/>
      <c r="AL414" s="5"/>
      <c r="AM414" s="5"/>
      <c r="AN414" s="5"/>
      <c r="AO414" s="5"/>
      <c r="AP414" s="5"/>
      <c r="AQ414" s="5"/>
      <c r="AR414" s="5"/>
      <c r="AS414" s="21"/>
    </row>
    <row r="415" spans="2:1089" hidden="1">
      <c r="B415" s="1000" t="s">
        <v>1053</v>
      </c>
      <c r="C415" s="1000"/>
      <c r="D415" s="836"/>
      <c r="E415" s="901" t="s">
        <v>1170</v>
      </c>
      <c r="F415" s="325"/>
      <c r="G415" s="325"/>
      <c r="H415" s="471"/>
      <c r="I415" s="15"/>
      <c r="J415" s="15"/>
      <c r="K415" s="15"/>
      <c r="L415" s="15"/>
      <c r="M415" s="15"/>
      <c r="N415" s="15"/>
      <c r="O415" s="15"/>
      <c r="P415" s="15"/>
      <c r="Q415" s="15"/>
      <c r="R415" s="15"/>
      <c r="S415" s="15"/>
      <c r="T415" s="15"/>
      <c r="U415" s="15"/>
      <c r="V415" s="15"/>
      <c r="W415" s="15"/>
      <c r="X415" s="15"/>
      <c r="Y415" s="19"/>
      <c r="Z415" s="5"/>
      <c r="AA415" s="5"/>
      <c r="AB415" s="5"/>
      <c r="AC415" s="5"/>
      <c r="AD415" s="5"/>
      <c r="AE415" s="5"/>
      <c r="AF415" s="5"/>
      <c r="AG415" s="5"/>
      <c r="AH415" s="5"/>
      <c r="AI415" s="5"/>
      <c r="AJ415" s="5"/>
      <c r="AK415" s="5"/>
      <c r="AL415" s="5"/>
      <c r="AM415" s="5"/>
      <c r="AN415" s="5"/>
      <c r="AO415" s="5"/>
      <c r="AP415" s="5"/>
      <c r="AQ415" s="5"/>
      <c r="AR415" s="5"/>
      <c r="AS415" s="21"/>
    </row>
    <row r="416" spans="2:1089" hidden="1">
      <c r="B416" s="1000" t="s">
        <v>1053</v>
      </c>
      <c r="C416" s="1000"/>
      <c r="D416" s="836"/>
      <c r="E416" s="5"/>
      <c r="F416" s="5"/>
      <c r="G416" s="5"/>
      <c r="H416" s="15"/>
      <c r="I416" s="15"/>
      <c r="J416" s="15"/>
      <c r="K416" s="15"/>
      <c r="L416" s="15"/>
      <c r="M416" s="15"/>
      <c r="N416" s="15"/>
      <c r="O416" s="15"/>
      <c r="P416" s="15"/>
      <c r="Q416" s="15"/>
      <c r="R416" s="15"/>
      <c r="S416" s="15"/>
      <c r="T416" s="15"/>
      <c r="U416" s="15"/>
      <c r="V416" s="15"/>
      <c r="W416" s="15"/>
      <c r="X416" s="15"/>
      <c r="Y416" s="19"/>
      <c r="Z416" s="15"/>
      <c r="AA416" s="15"/>
      <c r="AB416" s="5"/>
      <c r="AC416" s="5"/>
      <c r="AD416" s="5"/>
      <c r="AE416" s="5"/>
      <c r="AF416" s="5"/>
      <c r="AG416" s="5"/>
      <c r="AH416" s="5"/>
      <c r="AI416" s="5"/>
      <c r="AJ416" s="5"/>
      <c r="AK416" s="5"/>
      <c r="AL416" s="5"/>
      <c r="AM416" s="5"/>
      <c r="AN416" s="5"/>
      <c r="AO416" s="5"/>
      <c r="AP416" s="5"/>
      <c r="AQ416" s="5"/>
      <c r="AR416" s="5"/>
      <c r="AS416" s="21"/>
    </row>
    <row r="417" spans="1:50" hidden="1">
      <c r="B417" s="1000" t="s">
        <v>1059</v>
      </c>
      <c r="C417" s="1000"/>
      <c r="D417" s="836"/>
      <c r="E417" s="5"/>
      <c r="F417" s="5"/>
      <c r="G417" s="5"/>
      <c r="H417" s="15"/>
      <c r="I417" s="15"/>
      <c r="J417" s="15"/>
      <c r="K417" s="15"/>
      <c r="L417" s="15"/>
      <c r="M417" s="15"/>
      <c r="N417" s="15"/>
      <c r="O417" s="15"/>
      <c r="P417" s="15"/>
      <c r="Q417" s="15"/>
      <c r="R417" s="15"/>
      <c r="S417" s="15"/>
      <c r="T417" s="15"/>
      <c r="U417" s="15"/>
      <c r="V417" s="15"/>
      <c r="W417" s="15"/>
      <c r="X417" s="15"/>
      <c r="Y417" s="19"/>
      <c r="Z417" s="15"/>
      <c r="AA417" s="15"/>
      <c r="AB417" s="5"/>
      <c r="AC417" s="5"/>
      <c r="AD417" s="5"/>
      <c r="AE417" s="5"/>
      <c r="AF417" s="5"/>
      <c r="AG417" s="5"/>
      <c r="AH417" s="5"/>
      <c r="AI417" s="5"/>
      <c r="AJ417" s="5"/>
      <c r="AK417" s="5"/>
      <c r="AL417" s="5"/>
      <c r="AM417" s="5"/>
      <c r="AN417" s="5"/>
      <c r="AO417" s="5"/>
      <c r="AP417" s="5"/>
      <c r="AQ417" s="5"/>
      <c r="AR417" s="5"/>
      <c r="AS417" s="21"/>
    </row>
    <row r="418" spans="1:50" ht="21" hidden="1">
      <c r="B418" s="1000" t="s">
        <v>1059</v>
      </c>
      <c r="C418" s="1000"/>
      <c r="D418" s="1136" t="s">
        <v>45</v>
      </c>
      <c r="E418" s="199" t="s">
        <v>1059</v>
      </c>
      <c r="F418" s="199"/>
      <c r="G418" s="199"/>
      <c r="H418" s="199"/>
      <c r="I418" s="199"/>
      <c r="J418" s="199"/>
      <c r="K418" s="199"/>
      <c r="L418" s="199"/>
      <c r="M418" s="52"/>
      <c r="O418" s="52"/>
      <c r="P418" s="19"/>
      <c r="Q418" s="5"/>
      <c r="R418" s="5"/>
      <c r="S418" s="5"/>
      <c r="T418" s="5"/>
      <c r="U418" s="5"/>
      <c r="V418" s="5"/>
      <c r="W418" s="5"/>
      <c r="X418" s="5"/>
      <c r="Y418" s="5"/>
      <c r="Z418" s="5"/>
      <c r="AA418" s="5"/>
      <c r="AB418" s="5"/>
      <c r="AC418" s="5"/>
      <c r="AD418" s="5"/>
      <c r="AE418" s="5"/>
      <c r="AF418" s="5"/>
      <c r="AG418" s="5"/>
      <c r="AH418" s="5"/>
      <c r="AI418" s="5"/>
      <c r="AJ418" s="371"/>
      <c r="AS418"/>
    </row>
    <row r="419" spans="1:50" hidden="1">
      <c r="B419" s="1000" t="s">
        <v>1059</v>
      </c>
      <c r="C419" s="1000"/>
      <c r="D419" s="837"/>
      <c r="E419" s="320" t="s">
        <v>414</v>
      </c>
      <c r="F419" s="320"/>
      <c r="G419" s="320" t="s">
        <v>353</v>
      </c>
      <c r="H419" s="321"/>
      <c r="I419" s="321">
        <f ca="1">OFFSET(I419,0,-1)+1</f>
        <v>1</v>
      </c>
      <c r="J419" s="321">
        <f ca="1">OFFSET(J419,0,-1)+1</f>
        <v>2</v>
      </c>
      <c r="K419" s="321">
        <f ca="1">OFFSET(K419,0,-1)+1</f>
        <v>3</v>
      </c>
      <c r="L419" s="321"/>
      <c r="M419" s="52"/>
      <c r="O419" s="5"/>
      <c r="P419" s="19"/>
      <c r="Q419" s="5"/>
      <c r="R419" s="5"/>
      <c r="S419" s="5"/>
      <c r="T419" s="5"/>
      <c r="U419" s="5"/>
      <c r="V419" s="5"/>
      <c r="W419" s="5"/>
      <c r="X419" s="5"/>
      <c r="Y419" s="5"/>
      <c r="Z419" s="5"/>
      <c r="AA419" s="5"/>
      <c r="AB419" s="5"/>
      <c r="AC419" s="5"/>
      <c r="AD419" s="5"/>
      <c r="AE419" s="5"/>
      <c r="AF419" s="5"/>
      <c r="AG419" s="5"/>
      <c r="AH419" s="5"/>
      <c r="AI419" s="5"/>
      <c r="AJ419" s="229"/>
      <c r="AS419"/>
    </row>
    <row r="420" spans="1:50" s="2" customFormat="1" ht="18.75" hidden="1">
      <c r="A420" s="1010"/>
      <c r="B420" s="1000" t="s">
        <v>1059</v>
      </c>
      <c r="C420" s="1000"/>
      <c r="D420" s="841"/>
      <c r="E420" s="316" t="s">
        <v>1059</v>
      </c>
      <c r="F420" s="317"/>
      <c r="G420" s="316"/>
      <c r="H420" s="318"/>
      <c r="I420" s="319"/>
      <c r="J420" s="318"/>
      <c r="K420" s="9"/>
      <c r="T420" s="4"/>
      <c r="U420" s="8"/>
      <c r="V420" s="4"/>
      <c r="W420" s="4"/>
      <c r="X420" s="4"/>
      <c r="Y420" s="4"/>
      <c r="Z420" s="4"/>
      <c r="AA420" s="4"/>
      <c r="AB420" s="4"/>
      <c r="AC420" s="4"/>
      <c r="AD420" s="4"/>
      <c r="AE420" s="4"/>
      <c r="AF420" s="4"/>
      <c r="AG420" s="4"/>
      <c r="AH420" s="4"/>
      <c r="AI420" s="4"/>
      <c r="AJ420" s="4"/>
      <c r="AK420" s="4"/>
      <c r="AL420" s="4"/>
      <c r="AM420" s="4"/>
      <c r="AN420" s="4"/>
      <c r="AO420" s="21"/>
    </row>
    <row r="421" spans="1:50" hidden="1">
      <c r="B421" s="1000" t="s">
        <v>1059</v>
      </c>
      <c r="C421" s="1000"/>
      <c r="D421" s="836"/>
      <c r="E421" s="878" t="str">
        <f>E418</f>
        <v>beschikbare fitformules</v>
      </c>
      <c r="F421" s="330"/>
      <c r="G421" s="329" t="s">
        <v>65</v>
      </c>
      <c r="H421" s="342"/>
      <c r="I421" s="450" t="str" cm="1">
        <f t="array" aca="1" ref="I421" ca="1">INDEX(_xlfn._xlws.FILTER(_xlfn.UNIQUE($H$394:$AOW$394,TRUE,FALSE),_xlfn.UNIQUE($H$394:$AOW$394,TRUE,FALSE)&lt;&gt;0),I$419)</f>
        <v>QH;nd</v>
      </c>
      <c r="J421" s="450" t="str" cm="1">
        <f t="array" aca="1" ref="J421" ca="1">INDEX(_xlfn._xlws.FILTER(_xlfn.UNIQUE($H$394:$AOW$394,TRUE,FALSE),_xlfn.UNIQUE($H$394:$AOW$394,TRUE,FALSE)&lt;&gt;0),J$419)</f>
        <v>QC;nd</v>
      </c>
      <c r="K421" s="450" t="str" cm="1">
        <f t="array" aca="1" ref="K421" ca="1">INDEX(_xlfn._xlws.FILTER(_xlfn.UNIQUE($H$394:$AOW$394,TRUE,FALSE),_xlfn.UNIQUE($H$394:$AOW$394,TRUE,FALSE)&lt;&gt;0),K$419)</f>
        <v>Ehc;nd;EP</v>
      </c>
      <c r="L421" s="342"/>
      <c r="M421" s="19"/>
      <c r="O421" s="15"/>
      <c r="P421" s="19"/>
      <c r="Q421" s="5"/>
      <c r="R421" s="5"/>
      <c r="S421" s="5"/>
      <c r="T421" s="5"/>
      <c r="U421" s="5"/>
      <c r="V421" s="5"/>
      <c r="W421" s="5"/>
      <c r="X421" s="5"/>
      <c r="Y421" s="5"/>
      <c r="Z421" s="5"/>
      <c r="AA421" s="5"/>
      <c r="AB421" s="5"/>
      <c r="AC421" s="5"/>
      <c r="AD421" s="5"/>
      <c r="AE421" s="5"/>
      <c r="AF421" s="5"/>
      <c r="AG421" s="5"/>
      <c r="AH421" s="5"/>
      <c r="AI421" s="5"/>
      <c r="AJ421" s="21"/>
      <c r="AS421"/>
    </row>
    <row r="422" spans="1:50" hidden="1">
      <c r="B422" s="1000" t="s">
        <v>1059</v>
      </c>
      <c r="C422" s="1000"/>
      <c r="D422" s="836"/>
      <c r="E422" s="5"/>
      <c r="F422" s="5"/>
      <c r="G422" s="5"/>
      <c r="H422" s="15"/>
      <c r="I422" s="15"/>
      <c r="J422" s="15"/>
      <c r="K422" s="15"/>
      <c r="L422" s="15"/>
      <c r="M422" s="15"/>
      <c r="N422" s="15"/>
      <c r="O422" s="15"/>
      <c r="P422" s="15"/>
      <c r="Q422" s="15"/>
      <c r="R422" s="15"/>
      <c r="S422" s="15"/>
      <c r="T422" s="15"/>
      <c r="U422" s="15"/>
      <c r="V422" s="15"/>
      <c r="W422" s="15"/>
      <c r="X422" s="15"/>
      <c r="Y422" s="19"/>
      <c r="Z422" s="15"/>
      <c r="AA422" s="15"/>
      <c r="AB422" s="5"/>
      <c r="AC422" s="5"/>
      <c r="AD422" s="5"/>
      <c r="AE422" s="5"/>
      <c r="AF422" s="5"/>
      <c r="AG422" s="5"/>
      <c r="AH422" s="5"/>
      <c r="AI422" s="5"/>
      <c r="AJ422" s="5"/>
      <c r="AK422" s="5"/>
      <c r="AL422" s="5"/>
      <c r="AM422" s="5"/>
      <c r="AN422" s="5"/>
      <c r="AO422" s="5"/>
      <c r="AP422" s="5"/>
      <c r="AQ422" s="5"/>
      <c r="AR422" s="5"/>
      <c r="AS422" s="21"/>
    </row>
    <row r="423" spans="1:50" hidden="1">
      <c r="B423" s="1000" t="s">
        <v>805</v>
      </c>
      <c r="C423" s="1000"/>
      <c r="D423" s="836"/>
      <c r="E423" s="5"/>
      <c r="F423" s="5"/>
      <c r="G423" s="5"/>
      <c r="H423" s="15"/>
      <c r="I423" s="15"/>
      <c r="J423" s="15"/>
      <c r="K423" s="15"/>
      <c r="L423" s="15"/>
      <c r="M423" s="15"/>
      <c r="N423" s="15"/>
      <c r="O423" s="15"/>
      <c r="P423" s="15"/>
      <c r="Q423" s="15"/>
      <c r="R423" s="15"/>
      <c r="S423" s="15"/>
      <c r="T423" s="15"/>
      <c r="U423" s="15"/>
      <c r="V423" s="15"/>
      <c r="W423" s="15"/>
      <c r="X423" s="15"/>
      <c r="Y423" s="19"/>
      <c r="Z423" s="15"/>
      <c r="AA423" s="15"/>
      <c r="AB423" s="5"/>
      <c r="AC423" s="5"/>
      <c r="AD423" s="5"/>
      <c r="AE423" s="5"/>
      <c r="AF423" s="5"/>
      <c r="AG423" s="5"/>
      <c r="AH423" s="5"/>
      <c r="AI423" s="5"/>
      <c r="AJ423" s="5"/>
      <c r="AK423" s="5"/>
      <c r="AL423" s="5"/>
      <c r="AM423" s="5"/>
      <c r="AN423" s="5"/>
      <c r="AO423" s="5"/>
      <c r="AP423" s="5"/>
      <c r="AQ423" s="5"/>
      <c r="AR423" s="5"/>
      <c r="AS423" s="21"/>
    </row>
    <row r="424" spans="1:50" ht="24" hidden="1">
      <c r="B424" s="1000" t="s">
        <v>805</v>
      </c>
      <c r="C424" s="1000"/>
      <c r="D424" s="1136" t="s">
        <v>45</v>
      </c>
      <c r="E424" s="199" t="s">
        <v>806</v>
      </c>
      <c r="F424" s="199"/>
      <c r="G424" s="199"/>
      <c r="H424" s="199"/>
      <c r="I424" s="199"/>
      <c r="J424" s="199"/>
      <c r="K424" s="199"/>
      <c r="L424" s="199"/>
      <c r="M424" s="199"/>
      <c r="N424" s="199"/>
      <c r="O424" s="199"/>
      <c r="P424" s="199"/>
      <c r="Q424" s="199"/>
      <c r="R424" s="199"/>
      <c r="S424" s="199"/>
      <c r="T424" s="199"/>
      <c r="U424" s="199"/>
      <c r="V424" s="52"/>
      <c r="X424" s="52"/>
      <c r="Y424" s="19"/>
      <c r="Z424" s="5"/>
      <c r="AA424" s="5"/>
      <c r="AB424" s="5"/>
      <c r="AC424" s="5"/>
      <c r="AD424" s="5"/>
      <c r="AE424" s="5"/>
      <c r="AF424" s="5"/>
      <c r="AG424" s="5"/>
      <c r="AH424" s="5"/>
      <c r="AI424" s="5"/>
      <c r="AJ424" s="5"/>
      <c r="AK424" s="5"/>
      <c r="AL424" s="5"/>
      <c r="AM424" s="5"/>
      <c r="AN424" s="5"/>
      <c r="AO424" s="5"/>
      <c r="AP424" s="5"/>
      <c r="AQ424" s="5"/>
      <c r="AR424" s="5"/>
      <c r="AS424" s="371"/>
    </row>
    <row r="425" spans="1:50" hidden="1">
      <c r="B425" s="1000" t="s">
        <v>805</v>
      </c>
      <c r="C425" s="1000"/>
      <c r="D425" s="837"/>
      <c r="E425" s="320" t="s">
        <v>414</v>
      </c>
      <c r="F425" s="320"/>
      <c r="G425" s="320" t="s">
        <v>353</v>
      </c>
      <c r="H425" s="321"/>
      <c r="I425" s="321">
        <f t="shared" ref="I425:T425" ca="1" si="128">OFFSET(I425,0,-1)+1</f>
        <v>1</v>
      </c>
      <c r="J425" s="321">
        <f t="shared" ca="1" si="128"/>
        <v>2</v>
      </c>
      <c r="K425" s="321">
        <f t="shared" ca="1" si="128"/>
        <v>3</v>
      </c>
      <c r="L425" s="321">
        <f t="shared" ca="1" si="128"/>
        <v>4</v>
      </c>
      <c r="M425" s="321">
        <f t="shared" ca="1" si="128"/>
        <v>5</v>
      </c>
      <c r="N425" s="321">
        <f t="shared" ca="1" si="128"/>
        <v>6</v>
      </c>
      <c r="O425" s="321">
        <f t="shared" ca="1" si="128"/>
        <v>7</v>
      </c>
      <c r="P425" s="321">
        <f t="shared" ca="1" si="128"/>
        <v>8</v>
      </c>
      <c r="Q425" s="321">
        <f t="shared" ca="1" si="128"/>
        <v>9</v>
      </c>
      <c r="R425" s="321">
        <f t="shared" ca="1" si="128"/>
        <v>10</v>
      </c>
      <c r="S425" s="321">
        <f t="shared" ca="1" si="128"/>
        <v>11</v>
      </c>
      <c r="T425" s="321">
        <f t="shared" ca="1" si="128"/>
        <v>12</v>
      </c>
      <c r="U425" s="321"/>
      <c r="V425" s="52"/>
      <c r="X425" s="5"/>
      <c r="Y425" s="19"/>
      <c r="Z425" s="5"/>
      <c r="AA425" s="5"/>
      <c r="AB425" s="5"/>
      <c r="AC425" s="5"/>
      <c r="AD425" s="5"/>
      <c r="AE425" s="5"/>
      <c r="AF425" s="5"/>
      <c r="AG425" s="5"/>
      <c r="AH425" s="5"/>
      <c r="AI425" s="5"/>
      <c r="AJ425" s="5"/>
      <c r="AK425" s="5"/>
      <c r="AL425" s="5"/>
      <c r="AM425" s="5"/>
      <c r="AN425" s="5"/>
      <c r="AO425" s="5"/>
      <c r="AP425" s="5"/>
      <c r="AQ425" s="5"/>
      <c r="AR425" s="5"/>
    </row>
    <row r="426" spans="1:50" s="2" customFormat="1" ht="18.75" hidden="1">
      <c r="A426" s="1010"/>
      <c r="B426" s="1000" t="s">
        <v>805</v>
      </c>
      <c r="C426" s="1000"/>
      <c r="D426" s="841"/>
      <c r="E426" s="316" t="s">
        <v>807</v>
      </c>
      <c r="F426" s="317"/>
      <c r="G426" s="316"/>
      <c r="H426" s="318"/>
      <c r="I426" s="319"/>
      <c r="J426" s="318"/>
      <c r="K426" s="9"/>
      <c r="L426" s="9"/>
      <c r="M426" s="9"/>
      <c r="N426" s="9"/>
      <c r="O426" s="9"/>
      <c r="P426" s="9"/>
      <c r="Q426" s="9"/>
      <c r="R426" s="9"/>
      <c r="S426" s="4"/>
      <c r="T426" s="4"/>
      <c r="AC426" s="4"/>
      <c r="AD426" s="8"/>
      <c r="AE426" s="4"/>
      <c r="AF426" s="4"/>
      <c r="AG426" s="4"/>
      <c r="AH426" s="4"/>
      <c r="AI426" s="4"/>
      <c r="AJ426" s="4"/>
      <c r="AK426" s="4"/>
      <c r="AL426" s="4"/>
      <c r="AM426" s="4"/>
      <c r="AN426" s="4"/>
      <c r="AO426" s="4"/>
      <c r="AP426" s="4"/>
      <c r="AQ426" s="4"/>
      <c r="AR426" s="4"/>
      <c r="AS426" s="4"/>
      <c r="AT426" s="4"/>
      <c r="AU426" s="4"/>
      <c r="AV426" s="4"/>
      <c r="AW426" s="4"/>
      <c r="AX426" s="21"/>
    </row>
    <row r="427" spans="1:50" hidden="1">
      <c r="B427" s="1000" t="s">
        <v>805</v>
      </c>
      <c r="C427" s="1000"/>
      <c r="D427" s="836"/>
      <c r="E427" s="329" t="s">
        <v>115</v>
      </c>
      <c r="F427" s="330"/>
      <c r="G427" s="329" t="s">
        <v>65</v>
      </c>
      <c r="H427" s="342"/>
      <c r="I427" s="450" t="str">
        <f>I$319</f>
        <v>kantoor</v>
      </c>
      <c r="J427" s="450" t="str">
        <f t="shared" ref="J427:T427" si="129">J$319</f>
        <v>bijeenkomst</v>
      </c>
      <c r="K427" s="450" t="str">
        <f t="shared" si="129"/>
        <v>kinderopvang</v>
      </c>
      <c r="L427" s="450" t="str">
        <f t="shared" si="129"/>
        <v>onderwijs</v>
      </c>
      <c r="M427" s="450" t="str">
        <f t="shared" si="129"/>
        <v>zorg overig</v>
      </c>
      <c r="N427" s="450" t="str">
        <f t="shared" si="129"/>
        <v>zorg met bed</v>
      </c>
      <c r="O427" s="450" t="str">
        <f t="shared" si="129"/>
        <v>winkel</v>
      </c>
      <c r="P427" s="450" t="str">
        <f t="shared" si="129"/>
        <v>sport</v>
      </c>
      <c r="Q427" s="450" t="str">
        <f t="shared" si="129"/>
        <v>logies</v>
      </c>
      <c r="R427" s="450" t="str">
        <f t="shared" si="129"/>
        <v>cel</v>
      </c>
      <c r="S427" s="450" t="str">
        <f t="shared" si="129"/>
        <v>woning</v>
      </c>
      <c r="T427" s="450" t="str">
        <f t="shared" si="129"/>
        <v>woongebouw</v>
      </c>
      <c r="U427" s="342"/>
      <c r="V427" s="19"/>
      <c r="X427" s="15"/>
      <c r="Y427" s="19"/>
      <c r="Z427" s="5"/>
      <c r="AA427" s="5"/>
      <c r="AB427" s="5"/>
      <c r="AC427" s="5"/>
      <c r="AD427" s="5"/>
      <c r="AE427" s="5"/>
      <c r="AF427" s="5"/>
      <c r="AG427" s="5"/>
      <c r="AH427" s="5"/>
      <c r="AI427" s="5"/>
      <c r="AJ427" s="5"/>
      <c r="AK427" s="5"/>
      <c r="AL427" s="5"/>
      <c r="AM427" s="5"/>
      <c r="AN427" s="5"/>
      <c r="AO427" s="5"/>
      <c r="AP427" s="5"/>
      <c r="AQ427" s="5"/>
      <c r="AR427" s="5"/>
      <c r="AS427" s="21"/>
    </row>
    <row r="428" spans="1:50" hidden="1">
      <c r="B428" s="1000" t="s">
        <v>805</v>
      </c>
      <c r="C428" s="1000"/>
      <c r="D428" s="836">
        <f ca="1">OFFSET(D428,-1,0)+1</f>
        <v>1</v>
      </c>
      <c r="E428" s="329" t="s">
        <v>808</v>
      </c>
      <c r="F428" s="330"/>
      <c r="G428" s="329" t="s">
        <v>154</v>
      </c>
      <c r="H428" s="342"/>
      <c r="I428" s="341">
        <v>1.8288415610293782</v>
      </c>
      <c r="J428" s="341">
        <v>2.5418204567613358</v>
      </c>
      <c r="K428" s="341">
        <v>2.2114553421897014</v>
      </c>
      <c r="L428" s="341">
        <v>2.5488157054281508</v>
      </c>
      <c r="M428" s="341">
        <v>1.1654898627803334</v>
      </c>
      <c r="N428" s="341">
        <v>2.2036939790980625</v>
      </c>
      <c r="O428" s="341">
        <v>2.4717486437003942</v>
      </c>
      <c r="P428" s="341">
        <v>2.4467135687272119</v>
      </c>
      <c r="Q428" s="341">
        <v>3.1914390376463473</v>
      </c>
      <c r="R428" s="341">
        <v>2.1974174446957662</v>
      </c>
      <c r="S428" s="341">
        <v>5</v>
      </c>
      <c r="T428" s="473">
        <f>S428</f>
        <v>5</v>
      </c>
      <c r="U428" s="342"/>
      <c r="V428" s="19"/>
      <c r="X428" s="15"/>
      <c r="Y428" s="19"/>
      <c r="Z428" s="5"/>
      <c r="AA428" s="5"/>
      <c r="AB428" s="5"/>
      <c r="AC428" s="5"/>
      <c r="AD428" s="5"/>
      <c r="AE428" s="5"/>
      <c r="AF428" s="5"/>
      <c r="AG428" s="5"/>
      <c r="AH428" s="5"/>
      <c r="AI428" s="5"/>
      <c r="AJ428" s="5"/>
      <c r="AK428" s="5"/>
      <c r="AL428" s="5"/>
      <c r="AM428" s="5"/>
      <c r="AN428" s="5"/>
      <c r="AO428" s="5"/>
      <c r="AP428" s="5"/>
      <c r="AQ428" s="5"/>
      <c r="AR428" s="5"/>
      <c r="AS428" s="21"/>
    </row>
    <row r="429" spans="1:50" hidden="1">
      <c r="A429" s="1005" t="s">
        <v>458</v>
      </c>
      <c r="B429" s="1000" t="s">
        <v>805</v>
      </c>
      <c r="C429" s="1000"/>
      <c r="D429" s="836"/>
      <c r="E429" s="329" t="s">
        <v>809</v>
      </c>
      <c r="F429" s="330"/>
      <c r="G429" s="329" t="s">
        <v>810</v>
      </c>
      <c r="H429" s="342"/>
      <c r="I429" s="341">
        <v>2.6379870861287928</v>
      </c>
      <c r="J429" s="341">
        <v>2.6007073322217287</v>
      </c>
      <c r="K429" s="341">
        <v>2.6073889995474935</v>
      </c>
      <c r="L429" s="341">
        <v>1.9669805590606055</v>
      </c>
      <c r="M429" s="341">
        <v>2.6977428176747114</v>
      </c>
      <c r="N429" s="341">
        <v>5.2284493925871773</v>
      </c>
      <c r="O429" s="341">
        <v>3.2165395961051884</v>
      </c>
      <c r="P429" s="341">
        <v>3.1211713204107099</v>
      </c>
      <c r="Q429" s="341">
        <v>5.0874577181676761</v>
      </c>
      <c r="R429" s="341">
        <v>5.2008319593800172</v>
      </c>
      <c r="S429" s="341">
        <v>0</v>
      </c>
      <c r="T429" s="473">
        <f>S429</f>
        <v>0</v>
      </c>
      <c r="U429" s="342"/>
      <c r="V429" s="19"/>
      <c r="X429" s="15"/>
      <c r="Y429" s="19"/>
      <c r="Z429" s="5"/>
      <c r="AA429" s="5"/>
      <c r="AB429" s="5"/>
      <c r="AC429" s="5"/>
      <c r="AD429" s="5"/>
      <c r="AE429" s="5"/>
      <c r="AF429" s="5"/>
      <c r="AG429" s="5"/>
      <c r="AH429" s="5"/>
      <c r="AI429" s="5"/>
      <c r="AJ429" s="5"/>
      <c r="AK429" s="5"/>
      <c r="AL429" s="5"/>
      <c r="AM429" s="5"/>
      <c r="AN429" s="5"/>
      <c r="AO429" s="5"/>
      <c r="AP429" s="5"/>
      <c r="AQ429" s="5"/>
      <c r="AR429" s="5"/>
      <c r="AS429" s="21"/>
    </row>
    <row r="430" spans="1:50" hidden="1">
      <c r="B430" s="1000" t="s">
        <v>805</v>
      </c>
      <c r="C430" s="1000"/>
      <c r="D430" s="836"/>
      <c r="E430" s="329" t="s">
        <v>811</v>
      </c>
      <c r="F430" s="330"/>
      <c r="G430" s="329" t="s">
        <v>141</v>
      </c>
      <c r="H430" s="342"/>
      <c r="I430" s="446">
        <v>16</v>
      </c>
      <c r="J430" s="446">
        <v>16</v>
      </c>
      <c r="K430" s="446">
        <v>16</v>
      </c>
      <c r="L430" s="446">
        <v>16</v>
      </c>
      <c r="M430" s="446">
        <v>16</v>
      </c>
      <c r="N430" s="446">
        <v>17</v>
      </c>
      <c r="O430" s="446">
        <v>30</v>
      </c>
      <c r="P430" s="446">
        <v>16</v>
      </c>
      <c r="Q430" s="446">
        <v>17</v>
      </c>
      <c r="R430" s="446">
        <v>17</v>
      </c>
      <c r="S430" s="446">
        <v>0</v>
      </c>
      <c r="T430" s="446">
        <v>0</v>
      </c>
      <c r="U430" s="342"/>
      <c r="V430" s="19"/>
      <c r="X430" s="15"/>
      <c r="Y430" s="19"/>
      <c r="Z430" s="5"/>
      <c r="AA430" s="5"/>
      <c r="AB430" s="5"/>
      <c r="AC430" s="5"/>
      <c r="AD430" s="5"/>
      <c r="AE430" s="5"/>
      <c r="AF430" s="5"/>
      <c r="AG430" s="5"/>
      <c r="AH430" s="5"/>
      <c r="AI430" s="5"/>
      <c r="AJ430" s="5"/>
      <c r="AK430" s="5"/>
      <c r="AL430" s="5"/>
      <c r="AM430" s="5"/>
      <c r="AN430" s="5"/>
      <c r="AO430" s="5"/>
      <c r="AP430" s="5"/>
      <c r="AQ430" s="5"/>
      <c r="AR430" s="5"/>
      <c r="AS430" s="21"/>
    </row>
    <row r="431" spans="1:50" ht="12.75" hidden="1">
      <c r="B431" s="1000" t="s">
        <v>805</v>
      </c>
      <c r="C431" s="1000"/>
      <c r="D431" s="967"/>
      <c r="E431" s="325" t="s">
        <v>812</v>
      </c>
      <c r="F431" s="325"/>
      <c r="G431" s="325"/>
      <c r="H431" s="471"/>
      <c r="I431" s="471"/>
      <c r="J431" s="471"/>
      <c r="K431" s="471"/>
      <c r="L431" s="471"/>
      <c r="M431" s="471"/>
      <c r="N431" s="471"/>
      <c r="O431" s="471"/>
      <c r="P431" s="471"/>
      <c r="Q431" s="471"/>
      <c r="R431" s="471"/>
      <c r="S431" s="471"/>
      <c r="T431" s="453"/>
      <c r="U431" s="471"/>
      <c r="V431" s="15"/>
      <c r="W431" s="15"/>
      <c r="X431" s="15"/>
      <c r="Y431" s="19"/>
      <c r="Z431" s="5"/>
      <c r="AA431" s="5"/>
      <c r="AB431" s="5"/>
      <c r="AC431" s="5"/>
      <c r="AD431" s="5"/>
      <c r="AE431" s="5"/>
      <c r="AF431" s="5"/>
      <c r="AG431" s="5"/>
      <c r="AH431" s="5"/>
      <c r="AI431" s="5"/>
      <c r="AJ431" s="5"/>
      <c r="AK431" s="5"/>
      <c r="AL431" s="5"/>
      <c r="AM431" s="5"/>
      <c r="AN431" s="5"/>
      <c r="AO431" s="5"/>
      <c r="AP431" s="5"/>
      <c r="AQ431" s="5"/>
      <c r="AR431" s="5"/>
      <c r="AS431" s="21"/>
    </row>
    <row r="432" spans="1:50" hidden="1">
      <c r="B432" s="1000" t="s">
        <v>805</v>
      </c>
      <c r="C432" s="1000"/>
      <c r="D432" s="836"/>
      <c r="E432" s="325" t="s">
        <v>813</v>
      </c>
      <c r="F432" s="325"/>
      <c r="G432" s="325"/>
      <c r="H432" s="471"/>
      <c r="I432" s="471"/>
      <c r="J432" s="471"/>
      <c r="K432" s="471"/>
      <c r="L432" s="471"/>
      <c r="M432" s="471"/>
      <c r="N432" s="471"/>
      <c r="O432" s="471"/>
      <c r="P432" s="471"/>
      <c r="Q432" s="471"/>
      <c r="R432" s="471"/>
      <c r="S432" s="471"/>
      <c r="T432" s="453"/>
      <c r="U432" s="471"/>
      <c r="V432" s="15"/>
      <c r="X432" s="15"/>
      <c r="Y432" s="19"/>
      <c r="Z432" s="5"/>
      <c r="AA432" s="5"/>
      <c r="AB432" s="5"/>
      <c r="AC432" s="5"/>
      <c r="AD432" s="5"/>
      <c r="AE432" s="5"/>
      <c r="AF432" s="5"/>
      <c r="AG432" s="5"/>
      <c r="AH432" s="5"/>
      <c r="AI432" s="5"/>
      <c r="AJ432" s="5"/>
      <c r="AK432" s="5"/>
      <c r="AL432" s="5"/>
      <c r="AM432" s="5"/>
      <c r="AN432" s="5"/>
      <c r="AO432" s="5"/>
      <c r="AP432" s="5"/>
      <c r="AQ432" s="5"/>
      <c r="AR432" s="5"/>
      <c r="AS432" s="21"/>
    </row>
    <row r="433" spans="1:50" hidden="1">
      <c r="B433" s="1000" t="s">
        <v>805</v>
      </c>
      <c r="C433" s="1000"/>
      <c r="D433" s="836"/>
      <c r="E433" s="325" t="s">
        <v>814</v>
      </c>
      <c r="F433" s="325"/>
      <c r="G433" s="325"/>
      <c r="H433" s="471"/>
      <c r="I433" s="471"/>
      <c r="J433" s="471"/>
      <c r="K433" s="471"/>
      <c r="L433" s="471"/>
      <c r="M433" s="471"/>
      <c r="N433" s="471"/>
      <c r="O433" s="471"/>
      <c r="P433" s="471"/>
      <c r="Q433" s="471"/>
      <c r="R433" s="471"/>
      <c r="S433" s="471"/>
      <c r="T433" s="453"/>
      <c r="U433" s="471"/>
      <c r="V433" s="15"/>
      <c r="X433" s="15"/>
      <c r="Y433" s="19"/>
      <c r="Z433" s="5"/>
      <c r="AA433" s="5"/>
      <c r="AB433" s="5"/>
      <c r="AC433" s="5"/>
      <c r="AD433" s="5"/>
      <c r="AE433" s="5"/>
      <c r="AF433" s="5"/>
      <c r="AG433" s="5"/>
      <c r="AH433" s="5"/>
      <c r="AI433" s="5"/>
      <c r="AJ433" s="5"/>
      <c r="AK433" s="5"/>
      <c r="AL433" s="5"/>
      <c r="AM433" s="5"/>
      <c r="AN433" s="5"/>
      <c r="AO433" s="5"/>
      <c r="AP433" s="5"/>
      <c r="AQ433" s="5"/>
      <c r="AR433" s="5"/>
      <c r="AS433" s="21"/>
    </row>
    <row r="434" spans="1:50" hidden="1">
      <c r="B434" s="1000" t="s">
        <v>805</v>
      </c>
      <c r="C434" s="1000"/>
      <c r="D434" s="836"/>
      <c r="E434" s="5"/>
      <c r="F434" s="5"/>
      <c r="G434" s="5"/>
      <c r="H434" s="15"/>
      <c r="I434" s="15"/>
      <c r="J434" s="15"/>
      <c r="K434" s="15"/>
      <c r="L434" s="15"/>
      <c r="M434" s="15"/>
      <c r="N434" s="15"/>
      <c r="O434" s="15"/>
      <c r="P434" s="15"/>
      <c r="Q434" s="15"/>
      <c r="R434" s="15"/>
      <c r="S434" s="15"/>
      <c r="T434" s="15"/>
      <c r="U434" s="15"/>
      <c r="V434" s="15"/>
      <c r="X434" s="15"/>
      <c r="Y434" s="19"/>
      <c r="Z434" s="15"/>
      <c r="AA434" s="5"/>
      <c r="AB434" s="5"/>
      <c r="AC434" s="5"/>
      <c r="AD434" s="5"/>
      <c r="AE434" s="5"/>
      <c r="AF434" s="5"/>
      <c r="AG434" s="5"/>
      <c r="AH434" s="5"/>
      <c r="AI434" s="5"/>
      <c r="AJ434" s="5"/>
      <c r="AK434" s="5"/>
      <c r="AL434" s="5"/>
      <c r="AM434" s="5"/>
      <c r="AN434" s="5"/>
      <c r="AO434" s="5"/>
      <c r="AP434" s="5"/>
      <c r="AQ434" s="5"/>
      <c r="AR434" s="5"/>
      <c r="AS434" s="21"/>
    </row>
    <row r="435" spans="1:50" hidden="1">
      <c r="B435" s="1000" t="s">
        <v>805</v>
      </c>
      <c r="C435" s="1000"/>
      <c r="D435" s="836"/>
      <c r="E435" s="5"/>
      <c r="F435" s="5"/>
      <c r="G435" s="5"/>
      <c r="H435" s="15"/>
      <c r="I435" s="15"/>
      <c r="J435" s="15"/>
      <c r="K435" s="15"/>
      <c r="L435" s="15"/>
      <c r="M435" s="15"/>
      <c r="N435" s="15"/>
      <c r="O435" s="15"/>
      <c r="P435" s="15"/>
      <c r="Q435" s="15"/>
      <c r="R435" s="15"/>
      <c r="S435" s="15"/>
      <c r="T435" s="15"/>
      <c r="U435" s="15"/>
      <c r="V435" s="15"/>
      <c r="X435" s="15"/>
      <c r="Y435" s="19"/>
      <c r="Z435" s="15"/>
      <c r="AA435" s="15"/>
      <c r="AB435" s="5"/>
      <c r="AC435" s="5"/>
      <c r="AD435" s="5"/>
      <c r="AE435" s="5"/>
      <c r="AF435" s="5"/>
      <c r="AG435" s="5"/>
      <c r="AH435" s="5"/>
      <c r="AI435" s="5"/>
      <c r="AJ435" s="5"/>
      <c r="AK435" s="5"/>
      <c r="AL435" s="5"/>
      <c r="AM435" s="5"/>
      <c r="AN435" s="5"/>
      <c r="AO435" s="5"/>
      <c r="AP435" s="5"/>
      <c r="AQ435" s="5"/>
      <c r="AR435" s="5"/>
      <c r="AS435" s="21"/>
    </row>
    <row r="436" spans="1:50" ht="21" hidden="1">
      <c r="B436" s="1000" t="s">
        <v>805</v>
      </c>
      <c r="C436" s="1000"/>
      <c r="D436" s="1136" t="s">
        <v>45</v>
      </c>
      <c r="E436" s="199" t="s">
        <v>815</v>
      </c>
      <c r="F436" s="199"/>
      <c r="G436" s="199"/>
      <c r="H436" s="199"/>
      <c r="I436" s="199"/>
      <c r="J436" s="199"/>
      <c r="K436" s="199"/>
      <c r="L436" s="199"/>
      <c r="M436" s="199"/>
      <c r="N436" s="199"/>
      <c r="O436" s="52"/>
      <c r="P436" s="52"/>
      <c r="Q436" s="52"/>
      <c r="R436" s="52"/>
      <c r="S436" s="52"/>
      <c r="T436" s="52"/>
      <c r="U436" s="52"/>
      <c r="V436" s="52"/>
      <c r="X436" s="52"/>
      <c r="Y436" s="19"/>
      <c r="Z436" s="5"/>
      <c r="AA436" s="5"/>
      <c r="AB436" s="5"/>
      <c r="AC436" s="5"/>
      <c r="AD436" s="5"/>
      <c r="AE436" s="5"/>
      <c r="AF436" s="5"/>
      <c r="AG436" s="5"/>
      <c r="AH436" s="5"/>
      <c r="AI436" s="5"/>
      <c r="AJ436" s="5"/>
      <c r="AK436" s="5"/>
      <c r="AL436" s="5"/>
      <c r="AM436" s="5"/>
      <c r="AN436" s="5"/>
      <c r="AO436" s="5"/>
      <c r="AP436" s="5"/>
      <c r="AQ436" s="5"/>
      <c r="AR436" s="5"/>
      <c r="AS436" s="371"/>
    </row>
    <row r="437" spans="1:50" hidden="1">
      <c r="B437" s="1000" t="s">
        <v>805</v>
      </c>
      <c r="C437" s="1000"/>
      <c r="D437" s="837"/>
      <c r="E437" s="320" t="s">
        <v>414</v>
      </c>
      <c r="F437" s="320"/>
      <c r="G437" s="320" t="s">
        <v>353</v>
      </c>
      <c r="H437" s="321"/>
      <c r="I437" s="321">
        <f ca="1">OFFSET(I437,0,-1)+1</f>
        <v>1</v>
      </c>
      <c r="J437" s="321">
        <f ca="1">OFFSET(J437,0,-1)+1</f>
        <v>2</v>
      </c>
      <c r="K437" s="321">
        <f ca="1">OFFSET(K437,0,-1)+1</f>
        <v>3</v>
      </c>
      <c r="L437" s="321">
        <f ca="1">OFFSET(L437,0,-1)+1</f>
        <v>4</v>
      </c>
      <c r="M437" s="321">
        <f ca="1">OFFSET(M437,0,-1)+1</f>
        <v>5</v>
      </c>
      <c r="N437" s="321"/>
      <c r="O437" s="52"/>
      <c r="P437" s="52"/>
      <c r="Q437" s="5"/>
      <c r="R437" s="5"/>
      <c r="S437" s="5"/>
      <c r="T437" s="5"/>
      <c r="U437" s="5"/>
      <c r="V437" s="5"/>
      <c r="X437" s="5"/>
      <c r="Y437" s="19"/>
      <c r="Z437" s="5"/>
      <c r="AA437" s="5"/>
      <c r="AB437" s="5"/>
      <c r="AC437" s="5"/>
      <c r="AD437" s="5"/>
      <c r="AE437" s="5"/>
      <c r="AF437" s="5"/>
      <c r="AG437" s="5"/>
      <c r="AH437" s="5"/>
      <c r="AI437" s="5"/>
      <c r="AJ437" s="5"/>
      <c r="AK437" s="5"/>
      <c r="AL437" s="5"/>
      <c r="AM437" s="5"/>
      <c r="AN437" s="5"/>
      <c r="AO437" s="5"/>
      <c r="AP437" s="5"/>
      <c r="AQ437" s="5"/>
      <c r="AR437" s="5"/>
      <c r="AS437" s="21"/>
    </row>
    <row r="438" spans="1:50" s="2" customFormat="1" ht="18.75" hidden="1">
      <c r="A438" s="1010"/>
      <c r="B438" s="1000" t="s">
        <v>805</v>
      </c>
      <c r="C438" s="1000"/>
      <c r="D438" s="841"/>
      <c r="E438" s="316" t="s">
        <v>816</v>
      </c>
      <c r="F438" s="317"/>
      <c r="G438" s="316"/>
      <c r="H438" s="318"/>
      <c r="I438" s="319"/>
      <c r="J438" s="318"/>
      <c r="K438" s="9"/>
      <c r="L438" s="9"/>
      <c r="M438" s="9"/>
      <c r="N438" s="9"/>
      <c r="O438" s="9"/>
      <c r="P438" s="9"/>
      <c r="Q438" s="9"/>
      <c r="R438" s="9"/>
      <c r="S438" s="4"/>
      <c r="T438" s="4"/>
      <c r="AC438" s="4"/>
      <c r="AD438" s="8"/>
      <c r="AE438" s="4"/>
      <c r="AF438" s="4"/>
      <c r="AG438" s="4"/>
      <c r="AH438" s="4"/>
      <c r="AI438" s="4"/>
      <c r="AJ438" s="4"/>
      <c r="AK438" s="4"/>
      <c r="AL438" s="4"/>
      <c r="AM438" s="4"/>
      <c r="AN438" s="4"/>
      <c r="AO438" s="4"/>
      <c r="AP438" s="4"/>
      <c r="AQ438" s="4"/>
      <c r="AR438" s="4"/>
      <c r="AS438" s="4"/>
      <c r="AT438" s="4"/>
      <c r="AU438" s="4"/>
      <c r="AV438" s="4"/>
      <c r="AW438" s="4"/>
      <c r="AX438" s="21"/>
    </row>
    <row r="439" spans="1:50" ht="51" hidden="1">
      <c r="B439" s="1000" t="s">
        <v>805</v>
      </c>
      <c r="C439" s="1000"/>
      <c r="D439" s="836"/>
      <c r="E439" s="329" t="s">
        <v>817</v>
      </c>
      <c r="F439" s="330"/>
      <c r="G439" s="329" t="s">
        <v>65</v>
      </c>
      <c r="H439" s="342"/>
      <c r="I439" s="450" t="s">
        <v>818</v>
      </c>
      <c r="J439" s="450" t="s">
        <v>819</v>
      </c>
      <c r="K439" s="450" t="s">
        <v>820</v>
      </c>
      <c r="L439" s="450" t="s">
        <v>143</v>
      </c>
      <c r="M439" s="450" t="s">
        <v>821</v>
      </c>
      <c r="N439" s="342"/>
      <c r="O439" s="19"/>
      <c r="P439" s="15"/>
      <c r="Q439" s="15"/>
      <c r="R439" s="15"/>
      <c r="S439" s="5"/>
      <c r="T439" s="5"/>
      <c r="U439" s="5"/>
      <c r="V439" s="5"/>
      <c r="X439" s="5"/>
      <c r="Y439" s="19"/>
      <c r="Z439" s="5"/>
      <c r="AA439" s="5"/>
      <c r="AB439" s="5"/>
      <c r="AC439" s="5"/>
      <c r="AD439" s="5"/>
      <c r="AE439" s="5"/>
      <c r="AF439" s="5"/>
      <c r="AG439" s="5"/>
      <c r="AH439" s="5"/>
      <c r="AI439" s="5"/>
      <c r="AJ439" s="5"/>
      <c r="AK439" s="5"/>
      <c r="AL439" s="5"/>
      <c r="AM439" s="5"/>
      <c r="AN439" s="5"/>
      <c r="AO439" s="5"/>
      <c r="AP439" s="5"/>
      <c r="AQ439" s="5"/>
      <c r="AR439" s="5"/>
      <c r="AS439" s="21"/>
    </row>
    <row r="440" spans="1:50" hidden="1">
      <c r="A440" s="1005" t="s">
        <v>458</v>
      </c>
      <c r="B440" s="1000" t="s">
        <v>805</v>
      </c>
      <c r="C440" s="1000"/>
      <c r="D440" s="836"/>
      <c r="E440" s="329" t="s">
        <v>822</v>
      </c>
      <c r="F440" s="330"/>
      <c r="G440" s="329" t="s">
        <v>65</v>
      </c>
      <c r="H440" s="342"/>
      <c r="I440" s="344">
        <v>1</v>
      </c>
      <c r="J440" s="344">
        <v>0.93</v>
      </c>
      <c r="K440" s="344">
        <v>0.88</v>
      </c>
      <c r="L440" s="344">
        <v>0.85</v>
      </c>
      <c r="M440" s="344">
        <v>0.82</v>
      </c>
      <c r="N440" s="342"/>
      <c r="O440" s="19"/>
      <c r="P440" s="15"/>
      <c r="Q440" s="15"/>
      <c r="R440" s="15"/>
      <c r="S440" s="5"/>
      <c r="T440" s="5"/>
      <c r="U440" s="5"/>
      <c r="V440" s="5"/>
      <c r="X440" s="5"/>
      <c r="Y440" s="19"/>
      <c r="Z440" s="5"/>
      <c r="AA440" s="5"/>
      <c r="AB440" s="5"/>
      <c r="AC440" s="5"/>
      <c r="AD440" s="5"/>
      <c r="AE440" s="5"/>
      <c r="AF440" s="5"/>
      <c r="AG440" s="5"/>
      <c r="AH440" s="5"/>
      <c r="AI440" s="5"/>
      <c r="AJ440" s="5"/>
      <c r="AK440" s="5"/>
      <c r="AL440" s="5"/>
      <c r="AM440" s="5"/>
      <c r="AN440" s="5"/>
      <c r="AO440" s="5"/>
      <c r="AP440" s="5"/>
      <c r="AQ440" s="5"/>
      <c r="AR440" s="5"/>
      <c r="AS440" s="21"/>
    </row>
    <row r="441" spans="1:50" ht="12.75" hidden="1">
      <c r="B441" s="1000" t="s">
        <v>805</v>
      </c>
      <c r="C441" s="1000"/>
      <c r="D441" s="967"/>
      <c r="E441" s="325" t="s">
        <v>1190</v>
      </c>
      <c r="F441" s="325"/>
      <c r="G441" s="325"/>
      <c r="H441" s="471"/>
      <c r="I441" s="471"/>
      <c r="J441" s="471"/>
      <c r="K441" s="471"/>
      <c r="L441" s="471"/>
      <c r="M441" s="471"/>
      <c r="N441" s="471"/>
      <c r="O441" s="19"/>
      <c r="P441" s="15"/>
      <c r="Q441" s="15"/>
      <c r="R441" s="15"/>
      <c r="S441" s="5"/>
      <c r="T441" s="5"/>
      <c r="U441" s="5"/>
      <c r="V441" s="5"/>
      <c r="W441" s="15"/>
      <c r="X441" s="15"/>
      <c r="Y441" s="19"/>
      <c r="Z441" s="5"/>
      <c r="AA441" s="5"/>
      <c r="AB441" s="5"/>
      <c r="AC441" s="5"/>
      <c r="AD441" s="5"/>
      <c r="AE441" s="5"/>
      <c r="AF441" s="5"/>
      <c r="AG441" s="5"/>
      <c r="AH441" s="5"/>
      <c r="AI441" s="5"/>
      <c r="AJ441" s="5"/>
      <c r="AK441" s="5"/>
      <c r="AL441" s="5"/>
      <c r="AM441" s="5"/>
      <c r="AN441" s="5"/>
      <c r="AO441" s="5"/>
      <c r="AP441" s="5"/>
      <c r="AQ441" s="5"/>
      <c r="AR441" s="5"/>
      <c r="AS441" s="21"/>
    </row>
    <row r="442" spans="1:50" hidden="1">
      <c r="B442" s="1000" t="s">
        <v>805</v>
      </c>
      <c r="C442" s="1000"/>
      <c r="E442" s="5"/>
      <c r="F442" s="5"/>
      <c r="G442" s="5"/>
      <c r="H442" s="15"/>
      <c r="I442" s="15"/>
      <c r="J442" s="15"/>
      <c r="K442" s="15"/>
      <c r="L442" s="15"/>
      <c r="M442" s="15"/>
      <c r="N442" s="15"/>
      <c r="O442" s="15"/>
      <c r="P442" s="15"/>
      <c r="Q442" s="15"/>
      <c r="R442" s="15"/>
      <c r="S442" s="15"/>
      <c r="T442" s="15"/>
      <c r="U442" s="15"/>
      <c r="V442" s="15"/>
      <c r="X442" s="15"/>
      <c r="Y442" s="19"/>
      <c r="Z442" s="15"/>
      <c r="AA442" s="5"/>
      <c r="AB442" s="5"/>
      <c r="AC442" s="5"/>
      <c r="AD442" s="5"/>
      <c r="AE442" s="5"/>
      <c r="AF442" s="5"/>
      <c r="AG442" s="5"/>
      <c r="AH442" s="5"/>
      <c r="AI442" s="5"/>
      <c r="AJ442" s="5"/>
      <c r="AK442" s="5"/>
      <c r="AL442" s="5"/>
      <c r="AM442" s="5"/>
      <c r="AN442" s="5"/>
      <c r="AO442" s="5"/>
      <c r="AP442" s="5"/>
      <c r="AQ442" s="5"/>
      <c r="AR442" s="5"/>
      <c r="AS442" s="21"/>
    </row>
    <row r="443" spans="1:50" hidden="1">
      <c r="B443" s="1000" t="s">
        <v>823</v>
      </c>
      <c r="C443" s="1000"/>
      <c r="E443" s="5"/>
      <c r="F443" s="5"/>
      <c r="G443" s="5"/>
      <c r="H443" s="15"/>
      <c r="I443" s="15"/>
      <c r="J443" s="15"/>
      <c r="K443" s="15"/>
      <c r="L443" s="15"/>
      <c r="M443" s="15"/>
      <c r="N443" s="15"/>
      <c r="O443" s="15"/>
      <c r="P443" s="15"/>
      <c r="Q443" s="15"/>
      <c r="R443" s="15"/>
      <c r="S443" s="15"/>
      <c r="T443" s="15"/>
      <c r="U443" s="15"/>
      <c r="V443" s="15"/>
      <c r="X443" s="15"/>
      <c r="Y443" s="19"/>
      <c r="Z443" s="15"/>
      <c r="AA443" s="15"/>
      <c r="AB443" s="5"/>
      <c r="AC443" s="5"/>
      <c r="AD443" s="5"/>
      <c r="AE443" s="5"/>
      <c r="AF443" s="5"/>
      <c r="AG443" s="5"/>
      <c r="AH443" s="5"/>
      <c r="AI443" s="5"/>
      <c r="AJ443" s="5"/>
      <c r="AK443" s="5"/>
      <c r="AL443" s="5"/>
      <c r="AM443" s="5"/>
      <c r="AN443" s="5"/>
      <c r="AO443" s="5"/>
      <c r="AP443" s="5"/>
      <c r="AQ443" s="5"/>
      <c r="AR443" s="5"/>
      <c r="AS443" s="21"/>
    </row>
    <row r="444" spans="1:50" ht="21" hidden="1">
      <c r="B444" s="1000" t="s">
        <v>823</v>
      </c>
      <c r="C444" s="1000"/>
      <c r="D444" s="1136" t="s">
        <v>45</v>
      </c>
      <c r="E444" s="199" t="s">
        <v>823</v>
      </c>
      <c r="F444" s="199"/>
      <c r="G444" s="199"/>
      <c r="H444" s="199"/>
      <c r="I444" s="199"/>
      <c r="J444" s="199"/>
      <c r="K444" s="199"/>
      <c r="L444" s="199"/>
      <c r="M444" s="199"/>
      <c r="N444" s="199"/>
      <c r="O444" s="199"/>
      <c r="P444" s="199"/>
      <c r="Q444" s="199"/>
      <c r="R444" s="199"/>
      <c r="S444" s="199"/>
      <c r="T444" s="199"/>
      <c r="U444" s="199"/>
      <c r="V444" s="52"/>
      <c r="X444" s="52"/>
      <c r="Y444" s="19"/>
      <c r="Z444" s="5"/>
      <c r="AA444" s="5"/>
      <c r="AB444" s="5"/>
      <c r="AC444" s="5"/>
      <c r="AD444" s="5"/>
      <c r="AE444" s="5"/>
      <c r="AF444" s="5"/>
      <c r="AG444" s="5"/>
      <c r="AH444" s="5"/>
      <c r="AI444" s="5"/>
      <c r="AJ444" s="5"/>
      <c r="AK444" s="5"/>
      <c r="AL444" s="5"/>
      <c r="AM444" s="5"/>
      <c r="AN444" s="5"/>
      <c r="AO444" s="5"/>
      <c r="AP444" s="5"/>
      <c r="AQ444" s="5"/>
      <c r="AR444" s="5"/>
      <c r="AS444" s="371"/>
    </row>
    <row r="445" spans="1:50" hidden="1">
      <c r="B445" s="1000" t="s">
        <v>823</v>
      </c>
      <c r="C445" s="1000"/>
      <c r="D445" s="725"/>
      <c r="E445" s="320" t="s">
        <v>414</v>
      </c>
      <c r="F445" s="320"/>
      <c r="G445" s="320" t="s">
        <v>353</v>
      </c>
      <c r="H445" s="321"/>
      <c r="I445" s="321">
        <f t="shared" ref="I445:T445" ca="1" si="130">OFFSET(I445,0,-1)+1</f>
        <v>1</v>
      </c>
      <c r="J445" s="321">
        <f t="shared" ca="1" si="130"/>
        <v>2</v>
      </c>
      <c r="K445" s="321">
        <f t="shared" ca="1" si="130"/>
        <v>3</v>
      </c>
      <c r="L445" s="321">
        <f t="shared" ca="1" si="130"/>
        <v>4</v>
      </c>
      <c r="M445" s="321">
        <f t="shared" ca="1" si="130"/>
        <v>5</v>
      </c>
      <c r="N445" s="321">
        <f t="shared" ca="1" si="130"/>
        <v>6</v>
      </c>
      <c r="O445" s="321">
        <f t="shared" ca="1" si="130"/>
        <v>7</v>
      </c>
      <c r="P445" s="321">
        <f t="shared" ca="1" si="130"/>
        <v>8</v>
      </c>
      <c r="Q445" s="321">
        <f t="shared" ca="1" si="130"/>
        <v>9</v>
      </c>
      <c r="R445" s="321">
        <f t="shared" ca="1" si="130"/>
        <v>10</v>
      </c>
      <c r="S445" s="321">
        <f t="shared" ca="1" si="130"/>
        <v>11</v>
      </c>
      <c r="T445" s="321">
        <f t="shared" ca="1" si="130"/>
        <v>12</v>
      </c>
      <c r="U445" s="321"/>
      <c r="V445" s="52"/>
      <c r="W445" s="52"/>
      <c r="X445" s="5"/>
      <c r="Y445" s="19"/>
      <c r="Z445" s="5"/>
      <c r="AA445" s="5"/>
      <c r="AB445" s="5"/>
      <c r="AC445" s="5"/>
      <c r="AD445" s="5"/>
      <c r="AE445" s="5"/>
      <c r="AF445" s="5"/>
      <c r="AG445" s="5"/>
      <c r="AH445" s="5"/>
      <c r="AI445" s="5"/>
      <c r="AJ445" s="5"/>
      <c r="AK445" s="5"/>
      <c r="AL445" s="5"/>
      <c r="AM445" s="5"/>
      <c r="AN445" s="5"/>
      <c r="AO445" s="5"/>
      <c r="AP445" s="5"/>
      <c r="AQ445" s="5"/>
      <c r="AR445" s="5"/>
      <c r="AS445" s="21"/>
    </row>
    <row r="446" spans="1:50" ht="18.75" hidden="1">
      <c r="B446" s="1000" t="s">
        <v>823</v>
      </c>
      <c r="C446" s="1000"/>
      <c r="E446" s="337" t="s">
        <v>115</v>
      </c>
      <c r="F446" s="338"/>
      <c r="G446" s="339"/>
      <c r="H446" s="340"/>
      <c r="I446" s="340"/>
      <c r="J446" s="340"/>
      <c r="K446" s="340"/>
      <c r="L446" s="340"/>
      <c r="M446" s="340"/>
      <c r="N446" s="340"/>
      <c r="O446" s="340"/>
      <c r="P446" s="340"/>
      <c r="Q446" s="340"/>
      <c r="R446" s="340"/>
      <c r="S446" s="340"/>
      <c r="T446" s="340"/>
      <c r="U446" s="340"/>
      <c r="V446" s="19"/>
      <c r="W446" s="15"/>
      <c r="X446" s="15"/>
      <c r="Y446" s="15"/>
      <c r="Z446" s="15"/>
      <c r="AA446" s="15"/>
      <c r="AB446" s="15"/>
      <c r="AC446" s="15"/>
      <c r="AD446" s="15"/>
      <c r="AE446" s="15"/>
      <c r="AF446" s="15"/>
      <c r="AG446" s="15"/>
      <c r="AH446" s="15"/>
      <c r="AI446" s="5"/>
      <c r="AJ446" s="5"/>
      <c r="AK446" s="5"/>
      <c r="AL446" s="5"/>
      <c r="AM446" s="5"/>
      <c r="AN446" s="5"/>
      <c r="AO446" s="5"/>
      <c r="AP446" s="5"/>
      <c r="AQ446" s="5"/>
      <c r="AR446" s="5"/>
      <c r="AS446" s="21"/>
    </row>
    <row r="447" spans="1:50" hidden="1">
      <c r="B447" s="1000" t="s">
        <v>823</v>
      </c>
      <c r="C447" s="1000"/>
      <c r="E447" s="329" t="s">
        <v>115</v>
      </c>
      <c r="F447" s="330"/>
      <c r="G447" s="329" t="s">
        <v>65</v>
      </c>
      <c r="H447" s="342"/>
      <c r="I447" s="450" t="str">
        <f>I$319</f>
        <v>kantoor</v>
      </c>
      <c r="J447" s="450" t="str">
        <f t="shared" ref="J447:T447" si="131">J$319</f>
        <v>bijeenkomst</v>
      </c>
      <c r="K447" s="450" t="str">
        <f t="shared" si="131"/>
        <v>kinderopvang</v>
      </c>
      <c r="L447" s="450" t="str">
        <f t="shared" si="131"/>
        <v>onderwijs</v>
      </c>
      <c r="M447" s="450" t="str">
        <f t="shared" si="131"/>
        <v>zorg overig</v>
      </c>
      <c r="N447" s="450" t="str">
        <f t="shared" si="131"/>
        <v>zorg met bed</v>
      </c>
      <c r="O447" s="450" t="str">
        <f t="shared" si="131"/>
        <v>winkel</v>
      </c>
      <c r="P447" s="450" t="str">
        <f t="shared" si="131"/>
        <v>sport</v>
      </c>
      <c r="Q447" s="450" t="str">
        <f t="shared" si="131"/>
        <v>logies</v>
      </c>
      <c r="R447" s="450" t="str">
        <f t="shared" si="131"/>
        <v>cel</v>
      </c>
      <c r="S447" s="450" t="str">
        <f t="shared" si="131"/>
        <v>woning</v>
      </c>
      <c r="T447" s="450" t="str">
        <f t="shared" si="131"/>
        <v>woongebouw</v>
      </c>
      <c r="U447" s="342"/>
      <c r="V447" s="19"/>
      <c r="W447" s="15"/>
      <c r="X447" s="15"/>
      <c r="Y447" s="19"/>
      <c r="Z447" s="5"/>
      <c r="AA447" s="5"/>
      <c r="AB447" s="5"/>
      <c r="AC447" s="5"/>
      <c r="AD447" s="5"/>
      <c r="AE447" s="5"/>
      <c r="AF447" s="5"/>
      <c r="AG447" s="5"/>
      <c r="AH447" s="5"/>
      <c r="AI447" s="5"/>
      <c r="AJ447" s="5"/>
      <c r="AK447" s="5"/>
      <c r="AL447" s="5"/>
      <c r="AM447" s="5"/>
      <c r="AN447" s="5"/>
      <c r="AO447" s="5"/>
      <c r="AP447" s="5"/>
      <c r="AQ447" s="5"/>
      <c r="AR447" s="5"/>
      <c r="AS447" s="21"/>
    </row>
    <row r="448" spans="1:50" ht="18.75" hidden="1">
      <c r="B448" s="1000" t="s">
        <v>823</v>
      </c>
      <c r="C448" s="1000"/>
      <c r="E448" s="337" t="s">
        <v>824</v>
      </c>
      <c r="F448" s="338"/>
      <c r="G448" s="339"/>
      <c r="H448" s="340"/>
      <c r="I448" s="340"/>
      <c r="J448" s="340"/>
      <c r="K448" s="340"/>
      <c r="L448" s="340"/>
      <c r="M448" s="340"/>
      <c r="N448" s="340"/>
      <c r="O448" s="340"/>
      <c r="P448" s="340"/>
      <c r="Q448" s="340"/>
      <c r="R448" s="340"/>
      <c r="S448" s="340"/>
      <c r="T448" s="340"/>
      <c r="U448" s="340"/>
      <c r="V448" s="19"/>
      <c r="W448" s="15"/>
      <c r="X448" s="15"/>
      <c r="Y448" s="19"/>
      <c r="Z448" s="5"/>
      <c r="AA448" s="5"/>
      <c r="AB448" s="5"/>
      <c r="AC448" s="5"/>
      <c r="AD448" s="5"/>
      <c r="AE448" s="5"/>
      <c r="AF448" s="5"/>
      <c r="AG448" s="5"/>
      <c r="AH448" s="5"/>
      <c r="AI448" s="5"/>
      <c r="AJ448" s="5"/>
      <c r="AK448" s="5"/>
      <c r="AL448" s="5"/>
      <c r="AM448" s="5"/>
      <c r="AN448" s="5"/>
      <c r="AO448" s="5"/>
      <c r="AP448" s="5"/>
      <c r="AQ448" s="5"/>
      <c r="AR448" s="5"/>
      <c r="AS448" s="21"/>
    </row>
    <row r="449" spans="2:45" hidden="1">
      <c r="B449" s="1000" t="s">
        <v>823</v>
      </c>
      <c r="C449" s="1000"/>
      <c r="E449" s="329" t="s">
        <v>825</v>
      </c>
      <c r="F449" s="330"/>
      <c r="G449" s="329" t="s">
        <v>130</v>
      </c>
      <c r="H449" s="342"/>
      <c r="I449" s="341">
        <v>1.8</v>
      </c>
      <c r="J449" s="341">
        <v>1.8</v>
      </c>
      <c r="K449" s="341">
        <v>1.8</v>
      </c>
      <c r="L449" s="341">
        <v>1.8</v>
      </c>
      <c r="M449" s="341">
        <v>1.8</v>
      </c>
      <c r="N449" s="341"/>
      <c r="O449" s="341">
        <v>1.8</v>
      </c>
      <c r="P449" s="341">
        <v>1.8</v>
      </c>
      <c r="Q449" s="341">
        <v>1.8</v>
      </c>
      <c r="R449" s="341">
        <v>1.8</v>
      </c>
      <c r="S449" s="341">
        <v>1.5</v>
      </c>
      <c r="T449" s="341">
        <v>1.83</v>
      </c>
      <c r="U449" s="342"/>
      <c r="V449" s="19"/>
      <c r="W449" s="15"/>
      <c r="X449" s="15"/>
      <c r="Y449" s="19"/>
      <c r="Z449" s="5"/>
      <c r="AA449" s="5"/>
      <c r="AB449" s="5"/>
      <c r="AC449" s="5"/>
      <c r="AD449" s="5"/>
      <c r="AE449" s="5"/>
      <c r="AF449" s="5"/>
      <c r="AG449" s="5"/>
      <c r="AH449" s="5"/>
      <c r="AI449" s="5"/>
      <c r="AJ449" s="5"/>
      <c r="AK449" s="5"/>
      <c r="AL449" s="5"/>
      <c r="AM449" s="5"/>
      <c r="AN449" s="5"/>
      <c r="AO449" s="5"/>
      <c r="AP449" s="5"/>
      <c r="AQ449" s="5"/>
      <c r="AR449" s="5"/>
      <c r="AS449" s="21"/>
    </row>
    <row r="450" spans="2:45" hidden="1">
      <c r="B450" s="1000" t="s">
        <v>823</v>
      </c>
      <c r="C450" s="1000"/>
      <c r="E450" s="329" t="s">
        <v>826</v>
      </c>
      <c r="F450" s="330"/>
      <c r="G450" s="329" t="s">
        <v>130</v>
      </c>
      <c r="H450" s="342"/>
      <c r="I450" s="341">
        <v>1.8</v>
      </c>
      <c r="J450" s="341">
        <v>1.8</v>
      </c>
      <c r="K450" s="341">
        <v>1.8</v>
      </c>
      <c r="L450" s="341">
        <v>1.8</v>
      </c>
      <c r="M450" s="341">
        <v>1.8</v>
      </c>
      <c r="N450" s="341"/>
      <c r="O450" s="341">
        <v>1.8</v>
      </c>
      <c r="P450" s="341">
        <v>1.8</v>
      </c>
      <c r="Q450" s="341">
        <v>1.8</v>
      </c>
      <c r="R450" s="341">
        <v>1.8</v>
      </c>
      <c r="S450" s="341">
        <v>3</v>
      </c>
      <c r="T450" s="341">
        <v>3</v>
      </c>
      <c r="U450" s="342"/>
      <c r="V450" s="19"/>
      <c r="W450" s="15"/>
      <c r="X450" s="15"/>
      <c r="Y450" s="19"/>
      <c r="Z450" s="5"/>
      <c r="AA450" s="5"/>
      <c r="AB450" s="5"/>
      <c r="AC450" s="5"/>
      <c r="AD450" s="5"/>
      <c r="AE450" s="5"/>
      <c r="AF450" s="5"/>
      <c r="AG450" s="5"/>
      <c r="AH450" s="5"/>
      <c r="AI450" s="5"/>
      <c r="AJ450" s="5"/>
      <c r="AK450" s="5"/>
      <c r="AL450" s="5"/>
      <c r="AM450" s="5"/>
      <c r="AN450" s="5"/>
      <c r="AO450" s="5"/>
      <c r="AP450" s="5"/>
      <c r="AQ450" s="5"/>
      <c r="AR450" s="5"/>
      <c r="AS450" s="21"/>
    </row>
    <row r="451" spans="2:45" ht="18.75" hidden="1">
      <c r="B451" s="1000" t="s">
        <v>823</v>
      </c>
      <c r="C451" s="1000"/>
      <c r="E451" s="337" t="s">
        <v>827</v>
      </c>
      <c r="F451" s="338"/>
      <c r="G451" s="339"/>
      <c r="H451" s="340"/>
      <c r="I451" s="340"/>
      <c r="J451" s="340"/>
      <c r="K451" s="340"/>
      <c r="L451" s="340"/>
      <c r="M451" s="340"/>
      <c r="N451" s="340"/>
      <c r="O451" s="340"/>
      <c r="P451" s="340"/>
      <c r="Q451" s="340"/>
      <c r="R451" s="340"/>
      <c r="S451" s="340"/>
      <c r="T451" s="340"/>
      <c r="U451" s="340"/>
      <c r="V451" s="19"/>
      <c r="W451" s="15"/>
      <c r="X451" s="15"/>
      <c r="Y451" s="19"/>
      <c r="Z451" s="5"/>
      <c r="AA451" s="5"/>
      <c r="AB451" s="5"/>
      <c r="AC451" s="5"/>
      <c r="AD451" s="5"/>
      <c r="AE451" s="5"/>
      <c r="AF451" s="5"/>
      <c r="AG451" s="5"/>
      <c r="AH451" s="5"/>
      <c r="AI451" s="5"/>
      <c r="AJ451" s="5"/>
      <c r="AK451" s="5"/>
      <c r="AL451" s="5"/>
      <c r="AM451" s="5"/>
      <c r="AN451" s="5"/>
      <c r="AO451" s="5"/>
      <c r="AP451" s="5"/>
      <c r="AQ451" s="5"/>
      <c r="AR451" s="5"/>
      <c r="AS451" s="21"/>
    </row>
    <row r="452" spans="2:45" hidden="1">
      <c r="B452" s="1000" t="s">
        <v>823</v>
      </c>
      <c r="C452" s="1000"/>
      <c r="E452" s="329" t="s">
        <v>828</v>
      </c>
      <c r="F452" s="330"/>
      <c r="G452" s="329" t="s">
        <v>154</v>
      </c>
      <c r="H452" s="342"/>
      <c r="I452" s="343">
        <v>90</v>
      </c>
      <c r="J452" s="343">
        <v>90</v>
      </c>
      <c r="K452" s="343">
        <v>160</v>
      </c>
      <c r="L452" s="343">
        <v>190</v>
      </c>
      <c r="M452" s="343">
        <v>90</v>
      </c>
      <c r="N452" s="343">
        <v>350</v>
      </c>
      <c r="O452" s="343">
        <v>70</v>
      </c>
      <c r="P452" s="343">
        <v>40</v>
      </c>
      <c r="Q452" s="343">
        <v>100</v>
      </c>
      <c r="R452" s="343">
        <v>160</v>
      </c>
      <c r="S452" s="343">
        <v>55</v>
      </c>
      <c r="T452" s="343">
        <v>65</v>
      </c>
      <c r="U452" s="342"/>
      <c r="V452" s="19"/>
      <c r="W452" s="15"/>
      <c r="X452" s="15"/>
      <c r="Y452" s="19"/>
      <c r="Z452" s="5"/>
      <c r="AA452" s="5"/>
      <c r="AB452" s="5"/>
      <c r="AC452" s="5"/>
      <c r="AD452" s="5"/>
      <c r="AE452" s="5"/>
      <c r="AF452" s="5"/>
      <c r="AG452" s="5"/>
      <c r="AH452" s="5"/>
      <c r="AI452" s="5"/>
      <c r="AJ452" s="5"/>
      <c r="AK452" s="5"/>
      <c r="AL452" s="5"/>
      <c r="AM452" s="5"/>
      <c r="AN452" s="5"/>
      <c r="AO452" s="5"/>
      <c r="AP452" s="5"/>
      <c r="AQ452" s="5"/>
      <c r="AR452" s="5"/>
      <c r="AS452" s="21"/>
    </row>
    <row r="453" spans="2:45" ht="18.75" hidden="1">
      <c r="B453" s="1000" t="s">
        <v>823</v>
      </c>
      <c r="C453" s="1000"/>
      <c r="E453" s="337" t="s">
        <v>829</v>
      </c>
      <c r="F453" s="338"/>
      <c r="G453" s="339"/>
      <c r="H453" s="340"/>
      <c r="I453" s="340"/>
      <c r="J453" s="340"/>
      <c r="K453" s="340"/>
      <c r="L453" s="340"/>
      <c r="M453" s="340"/>
      <c r="N453" s="340"/>
      <c r="O453" s="340"/>
      <c r="P453" s="340"/>
      <c r="Q453" s="340"/>
      <c r="R453" s="340"/>
      <c r="S453" s="340"/>
      <c r="T453" s="340"/>
      <c r="U453" s="340"/>
      <c r="V453" s="19"/>
      <c r="W453" s="15"/>
      <c r="X453" s="15"/>
      <c r="Y453" s="19"/>
      <c r="Z453" s="5"/>
      <c r="AA453" s="5"/>
      <c r="AB453" s="5"/>
      <c r="AC453" s="5"/>
      <c r="AD453" s="5"/>
      <c r="AE453" s="5"/>
      <c r="AF453" s="5"/>
      <c r="AG453" s="5"/>
      <c r="AH453" s="5"/>
      <c r="AI453" s="5"/>
      <c r="AJ453" s="5"/>
      <c r="AK453" s="5"/>
      <c r="AL453" s="5"/>
      <c r="AM453" s="5"/>
      <c r="AN453" s="5"/>
      <c r="AO453" s="5"/>
      <c r="AP453" s="5"/>
      <c r="AQ453" s="5"/>
      <c r="AR453" s="5"/>
      <c r="AS453" s="21"/>
    </row>
    <row r="454" spans="2:45" hidden="1">
      <c r="B454" s="1000" t="s">
        <v>823</v>
      </c>
      <c r="C454" s="1000"/>
      <c r="E454" s="329" t="s">
        <v>457</v>
      </c>
      <c r="F454" s="330"/>
      <c r="G454" s="329" t="s">
        <v>154</v>
      </c>
      <c r="H454" s="342"/>
      <c r="I454" s="343">
        <v>90</v>
      </c>
      <c r="J454" s="343">
        <v>90</v>
      </c>
      <c r="K454" s="343">
        <v>160</v>
      </c>
      <c r="L454" s="343">
        <v>190</v>
      </c>
      <c r="M454" s="343">
        <v>90</v>
      </c>
      <c r="N454" s="343">
        <v>350</v>
      </c>
      <c r="O454" s="343">
        <v>70</v>
      </c>
      <c r="P454" s="343">
        <v>40</v>
      </c>
      <c r="Q454" s="343">
        <v>100</v>
      </c>
      <c r="R454" s="343">
        <v>160</v>
      </c>
      <c r="S454" s="343">
        <v>55</v>
      </c>
      <c r="T454" s="343">
        <v>55</v>
      </c>
      <c r="U454" s="342"/>
      <c r="V454" s="19"/>
      <c r="W454" s="15"/>
      <c r="X454" s="15"/>
      <c r="Y454" s="19"/>
      <c r="Z454" s="5"/>
      <c r="AA454" s="5"/>
      <c r="AB454" s="5"/>
      <c r="AC454" s="5"/>
      <c r="AD454" s="5"/>
      <c r="AE454" s="5"/>
      <c r="AF454" s="5"/>
      <c r="AG454" s="5"/>
      <c r="AH454" s="5"/>
      <c r="AI454" s="5"/>
      <c r="AJ454" s="5"/>
      <c r="AK454" s="5"/>
      <c r="AL454" s="5"/>
      <c r="AM454" s="5"/>
      <c r="AN454" s="5"/>
      <c r="AO454" s="5"/>
      <c r="AP454" s="5"/>
      <c r="AQ454" s="5"/>
      <c r="AR454" s="5"/>
      <c r="AS454" s="21"/>
    </row>
    <row r="455" spans="2:45" hidden="1">
      <c r="B455" s="1000" t="s">
        <v>823</v>
      </c>
      <c r="C455" s="1000"/>
      <c r="E455" s="329" t="s">
        <v>771</v>
      </c>
      <c r="F455" s="330"/>
      <c r="G455" s="329" t="s">
        <v>154</v>
      </c>
      <c r="H455" s="342"/>
      <c r="I455" s="343">
        <v>30</v>
      </c>
      <c r="J455" s="343">
        <v>30</v>
      </c>
      <c r="K455" s="343">
        <v>30</v>
      </c>
      <c r="L455" s="343">
        <v>30</v>
      </c>
      <c r="M455" s="343">
        <v>35</v>
      </c>
      <c r="N455" s="343">
        <v>0</v>
      </c>
      <c r="O455" s="343">
        <v>30</v>
      </c>
      <c r="P455" s="343">
        <v>15</v>
      </c>
      <c r="Q455" s="343">
        <v>35</v>
      </c>
      <c r="R455" s="343">
        <v>35</v>
      </c>
      <c r="S455" s="343">
        <v>30</v>
      </c>
      <c r="T455" s="343">
        <v>30</v>
      </c>
      <c r="U455" s="342"/>
      <c r="V455" s="19"/>
      <c r="W455" s="15"/>
      <c r="X455" s="15"/>
      <c r="Y455" s="19"/>
      <c r="Z455" s="5"/>
      <c r="AA455" s="5"/>
      <c r="AB455" s="5"/>
      <c r="AC455" s="5"/>
      <c r="AD455" s="5"/>
      <c r="AE455" s="5"/>
      <c r="AF455" s="5"/>
      <c r="AG455" s="5"/>
      <c r="AH455" s="5"/>
      <c r="AI455" s="5"/>
      <c r="AJ455" s="5"/>
      <c r="AK455" s="5"/>
      <c r="AL455" s="5"/>
      <c r="AM455" s="5"/>
      <c r="AN455" s="5"/>
      <c r="AO455" s="5"/>
      <c r="AP455" s="5"/>
      <c r="AQ455" s="5"/>
      <c r="AR455" s="5"/>
      <c r="AS455" s="21"/>
    </row>
    <row r="456" spans="2:45" hidden="1">
      <c r="B456" s="1000" t="s">
        <v>823</v>
      </c>
      <c r="C456" s="1000"/>
      <c r="E456" s="329" t="s">
        <v>830</v>
      </c>
      <c r="F456" s="330"/>
      <c r="G456" s="329" t="s">
        <v>130</v>
      </c>
      <c r="H456" s="342"/>
      <c r="I456" s="341">
        <v>1.8</v>
      </c>
      <c r="J456" s="341">
        <v>1.8</v>
      </c>
      <c r="K456" s="341">
        <v>1.8</v>
      </c>
      <c r="L456" s="341">
        <v>1.8</v>
      </c>
      <c r="M456" s="341">
        <v>1.8</v>
      </c>
      <c r="N456" s="341"/>
      <c r="O456" s="341">
        <v>1.8</v>
      </c>
      <c r="P456" s="341">
        <v>1.8</v>
      </c>
      <c r="Q456" s="341">
        <v>1.8</v>
      </c>
      <c r="R456" s="341">
        <v>1.8</v>
      </c>
      <c r="S456" s="341">
        <v>1.5</v>
      </c>
      <c r="T456" s="341">
        <v>1.5</v>
      </c>
      <c r="U456" s="342"/>
      <c r="V456" s="19"/>
      <c r="W456" s="15"/>
      <c r="X456" s="15"/>
      <c r="Y456" s="19"/>
      <c r="Z456" s="5"/>
      <c r="AA456" s="5"/>
      <c r="AB456" s="5"/>
      <c r="AC456" s="5"/>
      <c r="AD456" s="5"/>
      <c r="AE456" s="5"/>
      <c r="AF456" s="5"/>
      <c r="AG456" s="5"/>
      <c r="AH456" s="5"/>
      <c r="AI456" s="5"/>
      <c r="AJ456" s="5"/>
      <c r="AK456" s="5"/>
      <c r="AL456" s="5"/>
      <c r="AM456" s="5"/>
      <c r="AN456" s="5"/>
      <c r="AO456" s="5"/>
      <c r="AP456" s="5"/>
      <c r="AQ456" s="5"/>
      <c r="AR456" s="5"/>
      <c r="AS456" s="21"/>
    </row>
    <row r="457" spans="2:45" ht="18.75" hidden="1">
      <c r="B457" s="1000" t="s">
        <v>823</v>
      </c>
      <c r="C457" s="1000"/>
      <c r="E457" s="337" t="s">
        <v>831</v>
      </c>
      <c r="F457" s="338"/>
      <c r="G457" s="339"/>
      <c r="H457" s="340"/>
      <c r="I457" s="340"/>
      <c r="J457" s="340"/>
      <c r="K457" s="340"/>
      <c r="L457" s="340"/>
      <c r="M457" s="340"/>
      <c r="N457" s="340"/>
      <c r="O457" s="340"/>
      <c r="P457" s="340"/>
      <c r="Q457" s="340"/>
      <c r="R457" s="340"/>
      <c r="S457" s="340"/>
      <c r="T457" s="340"/>
      <c r="U457" s="340"/>
      <c r="V457" s="19"/>
      <c r="W457" s="15"/>
      <c r="X457" s="15"/>
      <c r="Y457" s="19"/>
      <c r="Z457" s="5"/>
      <c r="AA457" s="5"/>
      <c r="AB457" s="5"/>
      <c r="AC457" s="5"/>
      <c r="AD457" s="5"/>
      <c r="AE457" s="5"/>
      <c r="AF457" s="5"/>
      <c r="AG457" s="5"/>
      <c r="AH457" s="5"/>
      <c r="AI457" s="5"/>
      <c r="AJ457" s="5"/>
      <c r="AK457" s="5"/>
      <c r="AL457" s="5"/>
      <c r="AM457" s="5"/>
      <c r="AN457" s="5"/>
      <c r="AO457" s="5"/>
      <c r="AP457" s="5"/>
      <c r="AQ457" s="5"/>
      <c r="AR457" s="5"/>
      <c r="AS457" s="21"/>
    </row>
    <row r="458" spans="2:45" hidden="1">
      <c r="B458" s="1000" t="s">
        <v>823</v>
      </c>
      <c r="C458" s="1000"/>
      <c r="E458" s="329" t="s">
        <v>832</v>
      </c>
      <c r="F458" s="330"/>
      <c r="G458" s="329" t="s">
        <v>154</v>
      </c>
      <c r="H458" s="342"/>
      <c r="I458" s="343">
        <v>90</v>
      </c>
      <c r="J458" s="343">
        <v>90</v>
      </c>
      <c r="K458" s="343">
        <v>160</v>
      </c>
      <c r="L458" s="343">
        <v>190</v>
      </c>
      <c r="M458" s="343">
        <v>90</v>
      </c>
      <c r="N458" s="343">
        <v>350</v>
      </c>
      <c r="O458" s="343">
        <v>70</v>
      </c>
      <c r="P458" s="343">
        <v>40</v>
      </c>
      <c r="Q458" s="343">
        <v>100</v>
      </c>
      <c r="R458" s="343">
        <v>160</v>
      </c>
      <c r="S458" s="343">
        <v>100</v>
      </c>
      <c r="T458" s="343">
        <v>100</v>
      </c>
      <c r="U458" s="342"/>
      <c r="V458" s="19"/>
      <c r="W458" s="15"/>
      <c r="X458" s="15"/>
      <c r="Y458" s="19"/>
      <c r="Z458" s="5"/>
      <c r="AA458" s="5"/>
      <c r="AB458" s="5"/>
      <c r="AC458" s="5"/>
      <c r="AD458" s="5"/>
      <c r="AE458" s="5"/>
      <c r="AF458" s="5"/>
      <c r="AG458" s="5"/>
      <c r="AH458" s="5"/>
      <c r="AI458" s="5"/>
      <c r="AJ458" s="5"/>
      <c r="AK458" s="5"/>
      <c r="AL458" s="5"/>
      <c r="AM458" s="5"/>
      <c r="AN458" s="5"/>
      <c r="AO458" s="5"/>
      <c r="AP458" s="5"/>
      <c r="AQ458" s="5"/>
      <c r="AR458" s="5"/>
      <c r="AS458" s="21"/>
    </row>
    <row r="459" spans="2:45" hidden="1">
      <c r="B459" s="1000" t="s">
        <v>823</v>
      </c>
      <c r="C459" s="1000"/>
      <c r="E459" s="329" t="s">
        <v>833</v>
      </c>
      <c r="F459" s="330"/>
      <c r="G459" s="329" t="s">
        <v>154</v>
      </c>
      <c r="H459" s="342"/>
      <c r="I459" s="343">
        <v>30</v>
      </c>
      <c r="J459" s="343">
        <v>30</v>
      </c>
      <c r="K459" s="343">
        <v>30</v>
      </c>
      <c r="L459" s="343">
        <v>30</v>
      </c>
      <c r="M459" s="343">
        <v>35</v>
      </c>
      <c r="N459" s="343">
        <v>0</v>
      </c>
      <c r="O459" s="343">
        <v>30</v>
      </c>
      <c r="P459" s="343">
        <v>15</v>
      </c>
      <c r="Q459" s="343">
        <v>35</v>
      </c>
      <c r="R459" s="343">
        <v>35</v>
      </c>
      <c r="S459" s="343">
        <v>50</v>
      </c>
      <c r="T459" s="343">
        <v>50</v>
      </c>
      <c r="U459" s="342"/>
      <c r="V459" s="19"/>
      <c r="W459" s="15"/>
      <c r="X459" s="15"/>
      <c r="Y459" s="19"/>
      <c r="Z459" s="5"/>
      <c r="AA459" s="5"/>
      <c r="AB459" s="5"/>
      <c r="AC459" s="5"/>
      <c r="AD459" s="5"/>
      <c r="AE459" s="5"/>
      <c r="AF459" s="5"/>
      <c r="AG459" s="5"/>
      <c r="AH459" s="5"/>
      <c r="AI459" s="5"/>
      <c r="AJ459" s="5"/>
      <c r="AK459" s="5"/>
      <c r="AL459" s="5"/>
      <c r="AM459" s="5"/>
      <c r="AN459" s="5"/>
      <c r="AO459" s="5"/>
      <c r="AP459" s="5"/>
      <c r="AQ459" s="5"/>
      <c r="AR459" s="5"/>
      <c r="AS459" s="21"/>
    </row>
    <row r="460" spans="2:45" hidden="1">
      <c r="B460" s="1000" t="s">
        <v>823</v>
      </c>
      <c r="C460" s="1000"/>
      <c r="E460" s="329" t="s">
        <v>834</v>
      </c>
      <c r="F460" s="330"/>
      <c r="G460" s="329" t="s">
        <v>130</v>
      </c>
      <c r="H460" s="342"/>
      <c r="I460" s="341">
        <v>1.8</v>
      </c>
      <c r="J460" s="341">
        <v>1.8</v>
      </c>
      <c r="K460" s="341">
        <v>1.8</v>
      </c>
      <c r="L460" s="341">
        <v>1.8</v>
      </c>
      <c r="M460" s="341">
        <v>1.8</v>
      </c>
      <c r="N460" s="341"/>
      <c r="O460" s="341">
        <v>1.8</v>
      </c>
      <c r="P460" s="341">
        <v>1.8</v>
      </c>
      <c r="Q460" s="341">
        <v>1.8</v>
      </c>
      <c r="R460" s="341">
        <v>1.8</v>
      </c>
      <c r="S460" s="341">
        <v>3</v>
      </c>
      <c r="T460" s="341">
        <v>3</v>
      </c>
      <c r="U460" s="342"/>
      <c r="V460" s="19"/>
      <c r="W460" s="15"/>
      <c r="X460" s="15"/>
      <c r="Y460" s="19"/>
      <c r="Z460" s="5"/>
      <c r="AA460" s="5"/>
      <c r="AB460" s="5"/>
      <c r="AC460" s="5"/>
      <c r="AD460" s="5"/>
      <c r="AE460" s="5"/>
      <c r="AF460" s="5"/>
      <c r="AG460" s="5"/>
      <c r="AH460" s="5"/>
      <c r="AI460" s="5"/>
      <c r="AJ460" s="5"/>
      <c r="AK460" s="5"/>
      <c r="AL460" s="5"/>
      <c r="AM460" s="5"/>
      <c r="AN460" s="5"/>
      <c r="AO460" s="5"/>
      <c r="AP460" s="5"/>
      <c r="AQ460" s="5"/>
      <c r="AR460" s="5"/>
      <c r="AS460" s="21"/>
    </row>
    <row r="461" spans="2:45" ht="18.75" hidden="1">
      <c r="B461" s="1000" t="s">
        <v>823</v>
      </c>
      <c r="C461" s="1000"/>
      <c r="E461" s="337" t="s">
        <v>835</v>
      </c>
      <c r="F461" s="338"/>
      <c r="G461" s="339"/>
      <c r="H461" s="340"/>
      <c r="I461" s="340"/>
      <c r="J461" s="340"/>
      <c r="K461" s="340"/>
      <c r="L461" s="340"/>
      <c r="M461" s="340"/>
      <c r="N461" s="340"/>
      <c r="O461" s="340"/>
      <c r="P461" s="340"/>
      <c r="Q461" s="340"/>
      <c r="R461" s="340"/>
      <c r="S461" s="340"/>
      <c r="T461" s="340"/>
      <c r="U461" s="340"/>
      <c r="V461" s="19"/>
      <c r="W461" s="15"/>
      <c r="X461" s="15"/>
      <c r="Y461" s="19"/>
      <c r="Z461" s="5"/>
      <c r="AA461" s="5"/>
      <c r="AB461" s="5"/>
      <c r="AC461" s="5"/>
      <c r="AD461" s="5"/>
      <c r="AE461" s="5"/>
      <c r="AF461" s="5"/>
      <c r="AG461" s="5"/>
      <c r="AH461" s="5"/>
      <c r="AI461" s="5"/>
      <c r="AJ461" s="5"/>
      <c r="AK461" s="5"/>
      <c r="AL461" s="5"/>
      <c r="AM461" s="5"/>
      <c r="AN461" s="5"/>
      <c r="AO461" s="5"/>
      <c r="AP461" s="5"/>
      <c r="AQ461" s="5"/>
      <c r="AR461" s="5"/>
      <c r="AS461" s="21"/>
    </row>
    <row r="462" spans="2:45" hidden="1">
      <c r="B462" s="1000" t="s">
        <v>823</v>
      </c>
      <c r="C462" s="1000"/>
      <c r="E462" s="329" t="s">
        <v>105</v>
      </c>
      <c r="F462" s="330"/>
      <c r="G462" s="329" t="s">
        <v>154</v>
      </c>
      <c r="H462" s="342"/>
      <c r="I462" s="343">
        <v>40</v>
      </c>
      <c r="J462" s="343">
        <v>60</v>
      </c>
      <c r="K462" s="343">
        <v>70</v>
      </c>
      <c r="L462" s="343">
        <v>70</v>
      </c>
      <c r="M462" s="343">
        <v>50</v>
      </c>
      <c r="N462" s="343">
        <v>130</v>
      </c>
      <c r="O462" s="343">
        <v>60</v>
      </c>
      <c r="P462" s="343">
        <v>90</v>
      </c>
      <c r="Q462" s="343">
        <v>130</v>
      </c>
      <c r="R462" s="343">
        <v>120</v>
      </c>
      <c r="S462" s="343">
        <v>30</v>
      </c>
      <c r="T462" s="343">
        <v>50</v>
      </c>
      <c r="U462" s="342"/>
      <c r="V462" s="19"/>
      <c r="W462" s="15"/>
      <c r="X462" s="15"/>
      <c r="Y462" s="19"/>
      <c r="Z462" s="5"/>
      <c r="AA462" s="5"/>
      <c r="AB462" s="5"/>
      <c r="AC462" s="5"/>
      <c r="AD462" s="5"/>
      <c r="AE462" s="5"/>
      <c r="AF462" s="5"/>
      <c r="AG462" s="5"/>
      <c r="AH462" s="5"/>
      <c r="AI462" s="5"/>
      <c r="AJ462" s="5"/>
      <c r="AK462" s="5"/>
      <c r="AL462" s="5"/>
      <c r="AM462" s="5"/>
      <c r="AN462" s="5"/>
      <c r="AO462" s="5"/>
      <c r="AP462" s="5"/>
      <c r="AQ462" s="5"/>
      <c r="AR462" s="5"/>
      <c r="AS462" s="21"/>
    </row>
    <row r="463" spans="2:45" ht="18.75" hidden="1">
      <c r="B463" s="1000" t="s">
        <v>823</v>
      </c>
      <c r="C463" s="1000"/>
      <c r="D463" s="640" t="s">
        <v>45</v>
      </c>
      <c r="E463" s="337" t="s">
        <v>1017</v>
      </c>
      <c r="F463" s="338"/>
      <c r="G463" s="339"/>
      <c r="H463" s="340"/>
      <c r="I463" s="340"/>
      <c r="J463" s="340"/>
      <c r="K463" s="340"/>
      <c r="L463" s="340"/>
      <c r="M463" s="340"/>
      <c r="N463" s="340"/>
      <c r="O463" s="340"/>
      <c r="P463" s="340"/>
      <c r="Q463" s="340"/>
      <c r="R463" s="340"/>
      <c r="S463" s="340"/>
      <c r="T463" s="340"/>
      <c r="U463" s="340"/>
      <c r="V463" s="19"/>
      <c r="W463" s="15"/>
      <c r="X463" s="15"/>
      <c r="Y463" s="19"/>
      <c r="Z463" s="5"/>
      <c r="AA463" s="5"/>
      <c r="AB463" s="5"/>
      <c r="AC463" s="5"/>
      <c r="AD463" s="5"/>
      <c r="AE463" s="5"/>
      <c r="AF463" s="5"/>
      <c r="AG463" s="5"/>
      <c r="AH463" s="5"/>
      <c r="AI463" s="5"/>
      <c r="AJ463" s="5"/>
      <c r="AK463" s="5"/>
      <c r="AL463" s="5"/>
      <c r="AM463" s="5"/>
      <c r="AN463" s="5"/>
      <c r="AO463" s="5"/>
      <c r="AP463" s="5"/>
      <c r="AQ463" s="5"/>
      <c r="AR463" s="5"/>
      <c r="AS463" s="21"/>
    </row>
    <row r="464" spans="2:45" hidden="1">
      <c r="B464" s="1000" t="s">
        <v>823</v>
      </c>
      <c r="C464" s="1000"/>
      <c r="E464" s="329" t="s">
        <v>918</v>
      </c>
      <c r="F464" s="330"/>
      <c r="G464" s="329" t="s">
        <v>65</v>
      </c>
      <c r="H464" s="342"/>
      <c r="I464" s="861" t="s">
        <v>860</v>
      </c>
      <c r="J464" s="861" t="s">
        <v>860</v>
      </c>
      <c r="K464" s="861" t="s">
        <v>860</v>
      </c>
      <c r="L464" s="861" t="s">
        <v>860</v>
      </c>
      <c r="M464" s="861" t="s">
        <v>860</v>
      </c>
      <c r="N464" s="861" t="s">
        <v>859</v>
      </c>
      <c r="O464" s="861" t="s">
        <v>860</v>
      </c>
      <c r="P464" s="861" t="s">
        <v>859</v>
      </c>
      <c r="Q464" s="861" t="s">
        <v>859</v>
      </c>
      <c r="R464" s="861" t="s">
        <v>859</v>
      </c>
      <c r="S464" s="343" t="s">
        <v>65</v>
      </c>
      <c r="T464" s="343" t="s">
        <v>65</v>
      </c>
      <c r="U464" s="342"/>
      <c r="V464" s="19"/>
      <c r="W464" s="15"/>
      <c r="X464" s="15"/>
      <c r="Y464" s="19"/>
      <c r="Z464" s="5"/>
      <c r="AA464" s="5"/>
      <c r="AB464" s="5"/>
      <c r="AC464" s="5"/>
      <c r="AD464" s="5"/>
      <c r="AE464" s="5"/>
      <c r="AF464" s="5"/>
      <c r="AG464" s="5"/>
      <c r="AH464" s="5"/>
      <c r="AI464" s="5"/>
      <c r="AJ464" s="5"/>
      <c r="AK464" s="5"/>
      <c r="AL464" s="5"/>
      <c r="AM464" s="5"/>
      <c r="AN464" s="5"/>
      <c r="AO464" s="5"/>
      <c r="AP464" s="5"/>
      <c r="AQ464" s="5"/>
      <c r="AR464" s="5"/>
      <c r="AS464" s="21"/>
    </row>
    <row r="465" spans="2:45" hidden="1">
      <c r="B465" s="1000" t="s">
        <v>823</v>
      </c>
      <c r="C465" s="1000"/>
      <c r="E465" s="676" t="s">
        <v>1016</v>
      </c>
      <c r="F465" s="325"/>
      <c r="G465" s="325"/>
      <c r="H465" s="325"/>
      <c r="I465" s="471"/>
      <c r="J465" s="471"/>
      <c r="K465" s="471"/>
      <c r="L465" s="471"/>
      <c r="M465" s="471"/>
      <c r="N465" s="471"/>
      <c r="O465" s="471"/>
      <c r="P465" s="471"/>
      <c r="Q465" s="471"/>
      <c r="R465" s="471"/>
      <c r="S465" s="471"/>
      <c r="T465" s="471"/>
      <c r="U465" s="471"/>
      <c r="V465" s="14"/>
      <c r="W465" s="14"/>
      <c r="X465" s="14"/>
      <c r="Y465" s="311"/>
      <c r="Z465" s="14"/>
      <c r="AA465" s="17"/>
      <c r="AB465" s="17"/>
      <c r="AC465" s="17"/>
      <c r="AD465" s="17"/>
      <c r="AE465" s="17"/>
      <c r="AF465" s="17"/>
      <c r="AG465" s="17"/>
      <c r="AH465" s="17"/>
      <c r="AI465" s="17"/>
      <c r="AJ465" s="17"/>
      <c r="AK465" s="17"/>
      <c r="AL465" s="17"/>
      <c r="AM465" s="17"/>
      <c r="AN465" s="17"/>
      <c r="AO465" s="17"/>
      <c r="AP465" s="17"/>
      <c r="AQ465" s="17"/>
      <c r="AR465" s="17"/>
      <c r="AS465" s="21"/>
    </row>
    <row r="466" spans="2:45" ht="18.75" hidden="1">
      <c r="B466" s="1000" t="s">
        <v>823</v>
      </c>
      <c r="C466" s="1000"/>
      <c r="E466" s="337" t="s">
        <v>836</v>
      </c>
      <c r="F466" s="338"/>
      <c r="G466" s="339"/>
      <c r="H466" s="340"/>
      <c r="I466" s="340"/>
      <c r="J466" s="340"/>
      <c r="K466" s="340"/>
      <c r="L466" s="340"/>
      <c r="M466" s="340"/>
      <c r="N466" s="340"/>
      <c r="O466" s="340"/>
      <c r="P466" s="340"/>
      <c r="Q466" s="340"/>
      <c r="R466" s="340"/>
      <c r="S466" s="340"/>
      <c r="T466" s="340"/>
      <c r="U466" s="340"/>
      <c r="V466" s="19"/>
      <c r="W466" s="15"/>
      <c r="X466" s="15"/>
      <c r="Y466" s="19"/>
      <c r="Z466" s="5"/>
      <c r="AA466" s="5"/>
      <c r="AB466" s="5"/>
      <c r="AC466" s="5"/>
      <c r="AD466" s="5"/>
      <c r="AE466" s="5"/>
      <c r="AF466" s="5"/>
      <c r="AG466" s="5"/>
      <c r="AH466" s="5"/>
      <c r="AI466" s="5"/>
      <c r="AJ466" s="5"/>
      <c r="AK466" s="5"/>
      <c r="AL466" s="5"/>
      <c r="AM466" s="5"/>
      <c r="AN466" s="5"/>
      <c r="AO466" s="5"/>
      <c r="AP466" s="5"/>
      <c r="AQ466" s="5"/>
      <c r="AR466" s="5"/>
      <c r="AS466" s="21"/>
    </row>
    <row r="467" spans="2:45" hidden="1">
      <c r="B467" s="1000" t="s">
        <v>823</v>
      </c>
      <c r="C467" s="1000"/>
      <c r="E467" s="329" t="s">
        <v>837</v>
      </c>
      <c r="F467" s="330"/>
      <c r="G467" s="329" t="s">
        <v>139</v>
      </c>
      <c r="H467" s="342"/>
      <c r="I467" s="344">
        <v>0.3</v>
      </c>
      <c r="J467" s="344">
        <v>0.3</v>
      </c>
      <c r="K467" s="344">
        <v>0.4</v>
      </c>
      <c r="L467" s="344">
        <v>0.4</v>
      </c>
      <c r="M467" s="344">
        <v>0.4</v>
      </c>
      <c r="N467" s="344">
        <v>0.3</v>
      </c>
      <c r="O467" s="344">
        <v>0.3</v>
      </c>
      <c r="P467" s="344">
        <v>0.3</v>
      </c>
      <c r="Q467" s="344">
        <v>0.4</v>
      </c>
      <c r="R467" s="344">
        <v>0.3</v>
      </c>
      <c r="S467" s="344">
        <v>0.5</v>
      </c>
      <c r="T467" s="344">
        <v>0.4</v>
      </c>
      <c r="U467" s="342"/>
      <c r="V467" s="19"/>
      <c r="W467" s="15"/>
      <c r="X467" s="15"/>
      <c r="Y467" s="19"/>
      <c r="Z467" s="5"/>
      <c r="AA467" s="5"/>
      <c r="AB467" s="5"/>
      <c r="AC467" s="5"/>
      <c r="AD467" s="5"/>
      <c r="AE467" s="5"/>
      <c r="AF467" s="5"/>
      <c r="AG467" s="5"/>
      <c r="AH467" s="5"/>
      <c r="AI467" s="5"/>
      <c r="AJ467" s="5"/>
      <c r="AK467" s="5"/>
      <c r="AL467" s="5"/>
      <c r="AM467" s="5"/>
      <c r="AN467" s="5"/>
      <c r="AO467" s="5"/>
      <c r="AP467" s="5"/>
      <c r="AQ467" s="5"/>
      <c r="AR467" s="5"/>
      <c r="AS467" s="21"/>
    </row>
    <row r="468" spans="2:45" hidden="1">
      <c r="B468" s="1000" t="s">
        <v>823</v>
      </c>
      <c r="C468" s="1000"/>
      <c r="E468" s="676" t="s">
        <v>838</v>
      </c>
      <c r="F468" s="325"/>
      <c r="G468" s="325"/>
      <c r="H468" s="325"/>
      <c r="I468" s="471"/>
      <c r="J468" s="471"/>
      <c r="K468" s="471"/>
      <c r="L468" s="471"/>
      <c r="M468" s="471"/>
      <c r="N468" s="471"/>
      <c r="O468" s="471"/>
      <c r="P468" s="471"/>
      <c r="Q468" s="471"/>
      <c r="R468" s="471"/>
      <c r="S468" s="471"/>
      <c r="T468" s="471"/>
      <c r="U468" s="471"/>
      <c r="V468" s="14"/>
      <c r="W468" s="14"/>
      <c r="X468" s="14"/>
      <c r="Y468" s="311"/>
      <c r="Z468" s="14"/>
      <c r="AA468" s="17"/>
      <c r="AB468" s="17"/>
      <c r="AC468" s="17"/>
      <c r="AD468" s="17"/>
      <c r="AE468" s="17"/>
      <c r="AF468" s="17"/>
      <c r="AG468" s="17"/>
      <c r="AH468" s="17"/>
      <c r="AI468" s="17"/>
      <c r="AJ468" s="17"/>
      <c r="AK468" s="17"/>
      <c r="AL468" s="17"/>
      <c r="AM468" s="17"/>
      <c r="AN468" s="17"/>
      <c r="AO468" s="17"/>
      <c r="AP468" s="17"/>
      <c r="AQ468" s="17"/>
      <c r="AR468" s="17"/>
      <c r="AS468" s="21"/>
    </row>
    <row r="469" spans="2:45" hidden="1">
      <c r="B469" s="1000" t="s">
        <v>823</v>
      </c>
      <c r="C469" s="1000"/>
      <c r="E469" s="5"/>
      <c r="F469" s="5"/>
      <c r="G469" s="5"/>
      <c r="H469" s="15"/>
      <c r="I469" s="15"/>
      <c r="J469" s="15"/>
      <c r="K469" s="15"/>
      <c r="L469" s="15"/>
      <c r="M469" s="15"/>
      <c r="N469" s="15"/>
      <c r="O469" s="15"/>
      <c r="P469" s="15"/>
      <c r="Q469" s="15"/>
      <c r="R469" s="15"/>
      <c r="S469" s="15"/>
      <c r="T469" s="15"/>
      <c r="U469" s="15"/>
      <c r="V469" s="15"/>
      <c r="X469" s="15"/>
      <c r="Y469" s="19"/>
      <c r="Z469" s="15"/>
      <c r="AA469" s="5"/>
      <c r="AB469" s="5"/>
      <c r="AC469" s="5"/>
      <c r="AD469" s="5"/>
      <c r="AE469" s="5"/>
      <c r="AF469" s="5"/>
      <c r="AG469" s="5"/>
      <c r="AH469" s="5"/>
      <c r="AI469" s="5"/>
      <c r="AJ469" s="5"/>
      <c r="AK469" s="5"/>
      <c r="AL469" s="5"/>
      <c r="AM469" s="5"/>
      <c r="AN469" s="5"/>
      <c r="AO469" s="5"/>
      <c r="AP469" s="5"/>
      <c r="AQ469" s="5"/>
      <c r="AR469" s="5"/>
      <c r="AS469" s="21"/>
    </row>
    <row r="470" spans="2:45" hidden="1">
      <c r="B470" s="1000" t="s">
        <v>839</v>
      </c>
      <c r="C470" s="1000"/>
      <c r="E470" s="5"/>
      <c r="F470" s="5"/>
      <c r="G470" s="5"/>
      <c r="H470" s="15"/>
      <c r="I470" s="15"/>
      <c r="J470" s="15"/>
      <c r="K470" s="15"/>
      <c r="L470" s="15"/>
      <c r="M470" s="15"/>
      <c r="N470" s="15"/>
      <c r="O470" s="15"/>
      <c r="P470" s="15"/>
      <c r="Q470" s="15"/>
      <c r="R470" s="15"/>
      <c r="S470" s="15"/>
      <c r="T470" s="15"/>
      <c r="U470" s="15"/>
      <c r="V470" s="15"/>
      <c r="X470" s="15"/>
      <c r="Y470" s="19"/>
      <c r="Z470" s="15"/>
      <c r="AA470" s="15"/>
      <c r="AB470" s="5"/>
      <c r="AC470" s="5"/>
      <c r="AD470" s="5"/>
      <c r="AE470" s="5"/>
      <c r="AF470" s="5"/>
      <c r="AG470" s="5"/>
      <c r="AH470" s="5"/>
      <c r="AI470" s="5"/>
      <c r="AJ470" s="5"/>
      <c r="AK470" s="5"/>
      <c r="AL470" s="5"/>
      <c r="AM470" s="5"/>
      <c r="AN470" s="5"/>
      <c r="AO470" s="5"/>
      <c r="AP470" s="5"/>
      <c r="AQ470" s="5"/>
      <c r="AR470" s="5"/>
      <c r="AS470" s="21"/>
    </row>
    <row r="471" spans="2:45" ht="21" hidden="1">
      <c r="B471" s="1000" t="s">
        <v>839</v>
      </c>
      <c r="C471" s="1000"/>
      <c r="D471" s="1136" t="s">
        <v>45</v>
      </c>
      <c r="E471" s="199" t="s">
        <v>840</v>
      </c>
      <c r="F471" s="199"/>
      <c r="G471" s="678" t="s">
        <v>54</v>
      </c>
      <c r="H471" s="199"/>
      <c r="I471" s="199"/>
      <c r="J471" s="199"/>
      <c r="K471" s="199"/>
      <c r="L471" s="199"/>
      <c r="M471" s="199"/>
      <c r="N471" s="52"/>
      <c r="P471" s="52"/>
      <c r="Q471" s="19"/>
      <c r="R471" s="5"/>
      <c r="S471" s="5"/>
      <c r="T471" s="5"/>
      <c r="U471" s="5"/>
      <c r="V471" s="5"/>
      <c r="W471" s="5"/>
      <c r="X471" s="5"/>
      <c r="Y471" s="5"/>
      <c r="Z471" s="5"/>
      <c r="AA471" s="5"/>
      <c r="AB471" s="5"/>
      <c r="AC471" s="5"/>
      <c r="AD471" s="5"/>
      <c r="AE471" s="5"/>
      <c r="AF471" s="5"/>
      <c r="AG471" s="5"/>
      <c r="AH471" s="5"/>
      <c r="AI471" s="5"/>
      <c r="AJ471" s="5"/>
      <c r="AK471" s="371"/>
      <c r="AS471"/>
    </row>
    <row r="472" spans="2:45" hidden="1">
      <c r="B472" s="1000" t="s">
        <v>839</v>
      </c>
      <c r="C472" s="1000"/>
      <c r="D472" s="725"/>
      <c r="E472" s="320" t="s">
        <v>414</v>
      </c>
      <c r="F472" s="320"/>
      <c r="G472" s="320" t="s">
        <v>353</v>
      </c>
      <c r="H472" s="321"/>
      <c r="I472" s="321">
        <f ca="1">$S$317</f>
        <v>11</v>
      </c>
      <c r="J472" s="321">
        <f ca="1">$S$317</f>
        <v>11</v>
      </c>
      <c r="K472" s="321">
        <f ca="1">$T$317</f>
        <v>12</v>
      </c>
      <c r="L472" s="321">
        <f ca="1">$T$317</f>
        <v>12</v>
      </c>
      <c r="M472" s="321"/>
      <c r="N472" s="52"/>
      <c r="O472" s="52"/>
      <c r="P472" s="5"/>
      <c r="Q472" s="19"/>
      <c r="R472" s="5"/>
      <c r="S472" s="5"/>
      <c r="T472" s="5"/>
      <c r="U472" s="5"/>
      <c r="V472" s="5"/>
      <c r="W472" s="5"/>
      <c r="X472" s="5"/>
      <c r="Y472" s="5"/>
      <c r="Z472" s="5"/>
      <c r="AA472" s="5"/>
      <c r="AB472" s="5"/>
      <c r="AC472" s="5"/>
      <c r="AD472" s="5"/>
      <c r="AE472" s="5"/>
      <c r="AF472" s="5"/>
      <c r="AG472" s="5"/>
      <c r="AH472" s="5"/>
      <c r="AI472" s="5"/>
      <c r="AJ472" s="5"/>
      <c r="AK472" s="21"/>
      <c r="AS472"/>
    </row>
    <row r="473" spans="2:45" ht="18.75" hidden="1">
      <c r="B473" s="1000" t="s">
        <v>839</v>
      </c>
      <c r="C473" s="1000"/>
      <c r="E473" s="337" t="s">
        <v>115</v>
      </c>
      <c r="F473" s="338"/>
      <c r="G473" s="339"/>
      <c r="H473" s="340"/>
      <c r="I473" s="340"/>
      <c r="J473" s="340"/>
      <c r="K473" s="340"/>
      <c r="L473" s="340"/>
      <c r="M473" s="340"/>
      <c r="N473" s="19"/>
      <c r="O473" s="15"/>
      <c r="P473" s="15"/>
      <c r="Q473" s="15"/>
      <c r="R473" s="15"/>
      <c r="S473" s="15"/>
      <c r="T473" s="15"/>
      <c r="U473" s="15"/>
      <c r="V473" s="15"/>
      <c r="W473" s="15"/>
      <c r="X473" s="15"/>
      <c r="Y473" s="15"/>
      <c r="Z473" s="15"/>
      <c r="AA473" s="5"/>
      <c r="AB473" s="5"/>
      <c r="AC473" s="5"/>
      <c r="AD473" s="5"/>
      <c r="AE473" s="5"/>
      <c r="AF473" s="5"/>
      <c r="AG473" s="5"/>
      <c r="AH473" s="5"/>
      <c r="AI473" s="5"/>
      <c r="AJ473" s="5"/>
      <c r="AK473" s="21"/>
      <c r="AS473"/>
    </row>
    <row r="474" spans="2:45" hidden="1">
      <c r="B474" s="1000" t="s">
        <v>839</v>
      </c>
      <c r="C474" s="1000"/>
      <c r="E474" s="329" t="s">
        <v>115</v>
      </c>
      <c r="F474" s="330"/>
      <c r="G474" s="329" t="s">
        <v>65</v>
      </c>
      <c r="H474" s="342"/>
      <c r="I474" s="450" t="str">
        <f>$S$319</f>
        <v>woning</v>
      </c>
      <c r="J474" s="450" t="str">
        <f>$S$319</f>
        <v>woning</v>
      </c>
      <c r="K474" s="450" t="str">
        <f>$T$319</f>
        <v>woongebouw</v>
      </c>
      <c r="L474" s="450" t="str">
        <f>$T$319</f>
        <v>woongebouw</v>
      </c>
      <c r="M474" s="342"/>
      <c r="N474" s="19"/>
      <c r="O474" s="15"/>
      <c r="P474" s="15"/>
      <c r="Q474" s="19"/>
      <c r="R474" s="5"/>
      <c r="S474" s="5"/>
      <c r="T474" s="5"/>
      <c r="U474" s="5"/>
      <c r="V474" s="5"/>
      <c r="W474" s="5"/>
      <c r="X474" s="5"/>
      <c r="Y474" s="5"/>
      <c r="Z474" s="5"/>
      <c r="AA474" s="5"/>
      <c r="AB474" s="5"/>
      <c r="AC474" s="5"/>
      <c r="AD474" s="5"/>
      <c r="AE474" s="5"/>
      <c r="AF474" s="5"/>
      <c r="AG474" s="5"/>
      <c r="AH474" s="5"/>
      <c r="AI474" s="5"/>
      <c r="AJ474" s="5"/>
      <c r="AK474" s="21"/>
      <c r="AS474"/>
    </row>
    <row r="475" spans="2:45" hidden="1">
      <c r="B475" s="1000" t="s">
        <v>839</v>
      </c>
      <c r="C475" s="1000"/>
      <c r="E475" s="329" t="s">
        <v>841</v>
      </c>
      <c r="F475" s="330"/>
      <c r="G475" s="329" t="s">
        <v>842</v>
      </c>
      <c r="H475" s="342"/>
      <c r="I475" s="450" t="s">
        <v>843</v>
      </c>
      <c r="J475" s="450" t="s">
        <v>844</v>
      </c>
      <c r="K475" s="450" t="s">
        <v>843</v>
      </c>
      <c r="L475" s="450" t="s">
        <v>844</v>
      </c>
      <c r="M475" s="342"/>
      <c r="N475" s="19"/>
      <c r="O475" s="15"/>
      <c r="P475" s="15"/>
      <c r="Q475" s="19"/>
      <c r="R475" s="5"/>
      <c r="S475" s="5"/>
      <c r="T475" s="5"/>
      <c r="U475" s="5"/>
      <c r="V475" s="5"/>
      <c r="W475" s="5"/>
      <c r="X475" s="5"/>
      <c r="Y475" s="5"/>
      <c r="Z475" s="5"/>
      <c r="AA475" s="5"/>
      <c r="AB475" s="5"/>
      <c r="AC475" s="5"/>
      <c r="AD475" s="5"/>
      <c r="AE475" s="5"/>
      <c r="AF475" s="5"/>
      <c r="AG475" s="5"/>
      <c r="AH475" s="5"/>
      <c r="AI475" s="5"/>
      <c r="AJ475" s="5"/>
      <c r="AK475" s="21"/>
      <c r="AS475"/>
    </row>
    <row r="476" spans="2:45" ht="18.75" hidden="1">
      <c r="B476" s="1000" t="s">
        <v>839</v>
      </c>
      <c r="C476" s="1000"/>
      <c r="E476" s="337" t="s">
        <v>845</v>
      </c>
      <c r="F476" s="338"/>
      <c r="G476" s="339"/>
      <c r="H476" s="340"/>
      <c r="I476" s="340"/>
      <c r="J476" s="340"/>
      <c r="K476" s="340"/>
      <c r="L476" s="340"/>
      <c r="M476" s="340"/>
      <c r="N476" s="19"/>
      <c r="O476" s="15"/>
      <c r="P476" s="15"/>
      <c r="Q476" s="19"/>
      <c r="R476" s="5"/>
      <c r="S476" s="5"/>
      <c r="T476" s="5"/>
      <c r="U476" s="5"/>
      <c r="V476" s="5"/>
      <c r="W476" s="5"/>
      <c r="X476" s="5"/>
      <c r="Y476" s="5"/>
      <c r="Z476" s="5"/>
      <c r="AA476" s="5"/>
      <c r="AB476" s="5"/>
      <c r="AC476" s="5"/>
      <c r="AD476" s="5"/>
      <c r="AE476" s="5"/>
      <c r="AF476" s="5"/>
      <c r="AG476" s="5"/>
      <c r="AH476" s="5"/>
      <c r="AI476" s="5"/>
      <c r="AJ476" s="5"/>
      <c r="AK476" s="21"/>
      <c r="AS476"/>
    </row>
    <row r="477" spans="2:45" hidden="1">
      <c r="B477" s="1000" t="s">
        <v>839</v>
      </c>
      <c r="C477" s="1000"/>
      <c r="E477" s="329" t="s">
        <v>846</v>
      </c>
      <c r="F477" s="330"/>
      <c r="G477" s="329" t="s">
        <v>154</v>
      </c>
      <c r="H477" s="342"/>
      <c r="I477" s="343">
        <v>60</v>
      </c>
      <c r="J477" s="343">
        <v>43</v>
      </c>
      <c r="K477" s="343">
        <v>95</v>
      </c>
      <c r="L477" s="343">
        <v>45</v>
      </c>
      <c r="M477" s="342"/>
      <c r="N477" s="19"/>
      <c r="O477" s="15"/>
      <c r="P477" s="15"/>
      <c r="Q477" s="19"/>
      <c r="R477" s="5"/>
      <c r="S477" s="5"/>
      <c r="T477" s="5"/>
      <c r="U477" s="5"/>
      <c r="V477" s="5"/>
      <c r="W477" s="5"/>
      <c r="X477" s="5"/>
      <c r="Y477" s="5"/>
      <c r="Z477" s="5"/>
      <c r="AA477" s="5"/>
      <c r="AB477" s="5"/>
      <c r="AC477" s="5"/>
      <c r="AD477" s="5"/>
      <c r="AE477" s="5"/>
      <c r="AF477" s="5"/>
      <c r="AG477" s="5"/>
      <c r="AH477" s="5"/>
      <c r="AI477" s="5"/>
      <c r="AJ477" s="5"/>
      <c r="AK477" s="21"/>
      <c r="AS477"/>
    </row>
    <row r="478" spans="2:45" ht="18.75" hidden="1">
      <c r="B478" s="1000" t="s">
        <v>839</v>
      </c>
      <c r="C478" s="1000"/>
      <c r="E478" s="337" t="s">
        <v>847</v>
      </c>
      <c r="F478" s="338"/>
      <c r="G478" s="339"/>
      <c r="H478" s="340"/>
      <c r="I478" s="340"/>
      <c r="J478" s="340"/>
      <c r="K478" s="340"/>
      <c r="L478" s="340"/>
      <c r="M478" s="340"/>
      <c r="N478" s="19"/>
      <c r="O478" s="15"/>
      <c r="P478" s="15"/>
      <c r="Q478" s="19"/>
      <c r="R478" s="5"/>
      <c r="S478" s="5"/>
      <c r="T478" s="5"/>
      <c r="U478" s="5"/>
      <c r="V478" s="5"/>
      <c r="W478" s="5"/>
      <c r="X478" s="5"/>
      <c r="Y478" s="5"/>
      <c r="Z478" s="5"/>
      <c r="AA478" s="5"/>
      <c r="AB478" s="5"/>
      <c r="AC478" s="5"/>
      <c r="AD478" s="5"/>
      <c r="AE478" s="5"/>
      <c r="AF478" s="5"/>
      <c r="AG478" s="5"/>
      <c r="AH478" s="5"/>
      <c r="AI478" s="5"/>
      <c r="AJ478" s="5"/>
      <c r="AK478" s="21"/>
      <c r="AS478"/>
    </row>
    <row r="479" spans="2:45" hidden="1">
      <c r="B479" s="1000" t="s">
        <v>839</v>
      </c>
      <c r="C479" s="1000"/>
      <c r="E479" s="329" t="s">
        <v>848</v>
      </c>
      <c r="F479" s="330"/>
      <c r="G479" s="329" t="s">
        <v>130</v>
      </c>
      <c r="H479" s="342"/>
      <c r="I479" s="422">
        <v>1</v>
      </c>
      <c r="J479" s="422">
        <v>1</v>
      </c>
      <c r="K479" s="422">
        <v>1</v>
      </c>
      <c r="L479" s="422">
        <v>1</v>
      </c>
      <c r="M479" s="342"/>
      <c r="N479" s="19"/>
      <c r="O479" s="15"/>
      <c r="P479" s="15"/>
      <c r="Q479" s="19"/>
      <c r="R479" s="5"/>
      <c r="S479" s="5"/>
      <c r="T479" s="5"/>
      <c r="U479" s="5"/>
      <c r="V479" s="5"/>
      <c r="W479" s="5"/>
      <c r="X479" s="5"/>
      <c r="Y479" s="5"/>
      <c r="Z479" s="5"/>
      <c r="AA479" s="5"/>
      <c r="AB479" s="5"/>
      <c r="AC479" s="5"/>
      <c r="AD479" s="5"/>
      <c r="AE479" s="5"/>
      <c r="AF479" s="5"/>
      <c r="AG479" s="5"/>
      <c r="AH479" s="5"/>
      <c r="AI479" s="5"/>
      <c r="AJ479" s="5"/>
      <c r="AK479" s="21"/>
      <c r="AS479"/>
    </row>
    <row r="480" spans="2:45" hidden="1">
      <c r="B480" s="1000" t="s">
        <v>839</v>
      </c>
      <c r="C480" s="1000"/>
      <c r="E480" s="329" t="s">
        <v>849</v>
      </c>
      <c r="F480" s="330"/>
      <c r="G480" s="329" t="s">
        <v>154</v>
      </c>
      <c r="H480" s="342"/>
      <c r="I480" s="446">
        <v>105</v>
      </c>
      <c r="J480" s="446">
        <v>40</v>
      </c>
      <c r="K480" s="446">
        <v>70</v>
      </c>
      <c r="L480" s="446">
        <v>45</v>
      </c>
      <c r="M480" s="342"/>
      <c r="N480" s="19"/>
      <c r="O480" s="15"/>
      <c r="P480" s="15"/>
      <c r="Q480" s="19"/>
      <c r="R480" s="5"/>
      <c r="S480" s="5"/>
      <c r="T480" s="5"/>
      <c r="U480" s="5"/>
      <c r="V480" s="5"/>
      <c r="W480" s="5"/>
      <c r="X480" s="5"/>
      <c r="Y480" s="5"/>
      <c r="Z480" s="5"/>
      <c r="AA480" s="5"/>
      <c r="AB480" s="5"/>
      <c r="AC480" s="5"/>
      <c r="AD480" s="5"/>
      <c r="AE480" s="5"/>
      <c r="AF480" s="5"/>
      <c r="AG480" s="5"/>
      <c r="AH480" s="5"/>
      <c r="AI480" s="5"/>
      <c r="AJ480" s="5"/>
      <c r="AK480" s="21"/>
      <c r="AS480"/>
    </row>
    <row r="481" spans="2:45" hidden="1">
      <c r="B481" s="1000" t="s">
        <v>839</v>
      </c>
      <c r="C481" s="1000"/>
      <c r="E481" s="325" t="s">
        <v>850</v>
      </c>
      <c r="F481" s="330"/>
      <c r="G481" s="329"/>
      <c r="H481" s="342"/>
      <c r="I481" s="341"/>
      <c r="J481" s="341"/>
      <c r="K481" s="341"/>
      <c r="L481" s="341"/>
      <c r="M481" s="342"/>
      <c r="N481" s="19"/>
      <c r="O481" s="15"/>
      <c r="P481" s="15"/>
      <c r="Q481" s="19"/>
      <c r="R481" s="5"/>
      <c r="S481" s="5"/>
      <c r="T481" s="5"/>
      <c r="U481" s="5"/>
      <c r="V481" s="5"/>
      <c r="W481" s="5"/>
      <c r="X481" s="5"/>
      <c r="Y481" s="5"/>
      <c r="Z481" s="5"/>
      <c r="AA481" s="5"/>
      <c r="AB481" s="5"/>
      <c r="AC481" s="5"/>
      <c r="AD481" s="5"/>
      <c r="AE481" s="5"/>
      <c r="AF481" s="5"/>
      <c r="AG481" s="5"/>
      <c r="AH481" s="5"/>
      <c r="AI481" s="5"/>
      <c r="AJ481" s="5"/>
      <c r="AK481" s="21"/>
      <c r="AS481"/>
    </row>
    <row r="482" spans="2:45" hidden="1">
      <c r="B482" s="1000" t="s">
        <v>839</v>
      </c>
      <c r="C482" s="1000"/>
      <c r="E482" s="676" t="s">
        <v>851</v>
      </c>
      <c r="F482" s="325"/>
      <c r="G482" s="325"/>
      <c r="H482" s="325"/>
      <c r="I482" s="471"/>
      <c r="J482" s="471"/>
      <c r="K482" s="471"/>
      <c r="L482" s="471"/>
      <c r="M482" s="471"/>
      <c r="N482" s="19"/>
      <c r="O482" s="19"/>
      <c r="P482" s="19"/>
      <c r="Q482" s="19"/>
      <c r="R482" s="19"/>
      <c r="S482" s="19"/>
      <c r="T482" s="19"/>
      <c r="U482" s="19"/>
      <c r="V482" s="14"/>
      <c r="W482" s="14"/>
      <c r="X482" s="14"/>
      <c r="Y482" s="311"/>
      <c r="Z482" s="14"/>
      <c r="AA482" s="17"/>
      <c r="AB482" s="17"/>
      <c r="AC482" s="17"/>
      <c r="AD482" s="17"/>
      <c r="AE482" s="17"/>
      <c r="AF482" s="17"/>
      <c r="AG482" s="17"/>
      <c r="AH482" s="17"/>
      <c r="AI482" s="17"/>
      <c r="AJ482" s="17"/>
      <c r="AK482" s="17"/>
      <c r="AL482" s="17"/>
      <c r="AM482" s="17"/>
      <c r="AN482" s="17"/>
      <c r="AO482" s="17"/>
      <c r="AP482" s="17"/>
      <c r="AQ482" s="17"/>
      <c r="AR482" s="17"/>
      <c r="AS482" s="21"/>
    </row>
    <row r="483" spans="2:45" hidden="1">
      <c r="B483" s="1000" t="s">
        <v>839</v>
      </c>
      <c r="C483" s="1000"/>
      <c r="E483" s="5"/>
      <c r="F483" s="5"/>
      <c r="G483" s="5"/>
      <c r="H483" s="15"/>
      <c r="I483" s="15"/>
      <c r="J483" s="15"/>
      <c r="K483" s="15"/>
      <c r="L483" s="15"/>
      <c r="M483" s="15"/>
      <c r="N483" s="15"/>
      <c r="O483" s="15"/>
      <c r="P483" s="15"/>
      <c r="Q483" s="15"/>
      <c r="R483" s="15"/>
      <c r="S483" s="15"/>
      <c r="T483" s="15"/>
      <c r="U483" s="15"/>
      <c r="V483" s="15"/>
      <c r="X483" s="15"/>
      <c r="Y483" s="19"/>
      <c r="Z483" s="15"/>
      <c r="AA483" s="15"/>
      <c r="AB483" s="5"/>
      <c r="AC483" s="5"/>
      <c r="AD483" s="5"/>
      <c r="AE483" s="5"/>
      <c r="AF483" s="5"/>
      <c r="AG483" s="5"/>
      <c r="AH483" s="5"/>
      <c r="AI483" s="5"/>
      <c r="AJ483" s="5"/>
      <c r="AK483" s="5"/>
      <c r="AL483" s="5"/>
      <c r="AM483" s="5"/>
      <c r="AN483" s="5"/>
      <c r="AO483" s="5"/>
      <c r="AP483" s="5"/>
      <c r="AQ483" s="5"/>
      <c r="AR483" s="5"/>
      <c r="AS483" s="21"/>
    </row>
    <row r="484" spans="2:45" hidden="1">
      <c r="B484" s="1000" t="s">
        <v>852</v>
      </c>
      <c r="C484" s="1000"/>
      <c r="E484" s="5"/>
      <c r="F484" s="5"/>
      <c r="G484" s="5"/>
      <c r="H484" s="15"/>
      <c r="I484" s="15"/>
      <c r="J484" s="15"/>
      <c r="K484" s="15"/>
      <c r="L484" s="15"/>
      <c r="M484" s="15"/>
      <c r="N484" s="15"/>
      <c r="O484" s="15"/>
      <c r="P484" s="15"/>
      <c r="Q484" s="15"/>
      <c r="R484" s="15"/>
      <c r="S484" s="15"/>
      <c r="U484" s="15"/>
      <c r="V484" s="15"/>
      <c r="X484" s="15"/>
      <c r="Y484" s="19"/>
      <c r="Z484" s="15"/>
      <c r="AA484" s="15"/>
      <c r="AB484" s="5"/>
      <c r="AC484" s="5"/>
      <c r="AD484" s="5"/>
      <c r="AE484" s="5"/>
      <c r="AF484" s="5"/>
      <c r="AG484" s="5"/>
      <c r="AH484" s="5"/>
      <c r="AI484" s="5"/>
      <c r="AJ484" s="5"/>
      <c r="AK484" s="5"/>
      <c r="AL484" s="5"/>
      <c r="AM484" s="5"/>
      <c r="AN484" s="5"/>
      <c r="AO484" s="5"/>
      <c r="AP484" s="5"/>
      <c r="AQ484" s="5"/>
      <c r="AR484" s="5"/>
      <c r="AS484" s="21"/>
    </row>
    <row r="485" spans="2:45" ht="21" hidden="1">
      <c r="B485" s="1000" t="s">
        <v>852</v>
      </c>
      <c r="C485" s="1000"/>
      <c r="D485" s="1136" t="s">
        <v>45</v>
      </c>
      <c r="E485" s="199" t="s">
        <v>852</v>
      </c>
      <c r="F485" s="199"/>
      <c r="G485" s="199"/>
      <c r="H485" s="199"/>
      <c r="I485" s="199"/>
      <c r="J485" s="199"/>
      <c r="K485" s="199"/>
      <c r="L485" s="199"/>
      <c r="M485" s="199"/>
      <c r="N485" s="199"/>
      <c r="O485" s="199"/>
      <c r="P485" s="199"/>
      <c r="Q485" s="199"/>
      <c r="R485" s="199"/>
      <c r="S485" s="199"/>
      <c r="T485" s="199"/>
      <c r="U485" s="199"/>
      <c r="V485" s="52"/>
      <c r="X485" s="52"/>
      <c r="Y485" s="19"/>
      <c r="Z485" s="5"/>
      <c r="AA485" s="5"/>
      <c r="AB485" s="5"/>
      <c r="AC485" s="5"/>
      <c r="AD485" s="5"/>
      <c r="AE485" s="5"/>
      <c r="AF485" s="5"/>
      <c r="AG485" s="5"/>
      <c r="AH485" s="5"/>
      <c r="AI485" s="5"/>
      <c r="AJ485" s="5"/>
      <c r="AK485" s="5"/>
      <c r="AL485" s="5"/>
      <c r="AM485" s="5"/>
      <c r="AN485" s="5"/>
      <c r="AO485" s="5"/>
      <c r="AP485" s="5"/>
      <c r="AQ485" s="5"/>
      <c r="AR485" s="5"/>
      <c r="AS485" s="21"/>
    </row>
    <row r="486" spans="2:45" hidden="1">
      <c r="B486" s="1000" t="s">
        <v>852</v>
      </c>
      <c r="C486" s="1000"/>
      <c r="D486" s="725"/>
      <c r="E486" s="320" t="s">
        <v>414</v>
      </c>
      <c r="F486" s="320"/>
      <c r="G486" s="320" t="s">
        <v>353</v>
      </c>
      <c r="H486" s="321"/>
      <c r="I486" s="321">
        <f t="shared" ref="I486:T486" ca="1" si="132">OFFSET(I486,0,-1)+1</f>
        <v>1</v>
      </c>
      <c r="J486" s="321">
        <f t="shared" ca="1" si="132"/>
        <v>2</v>
      </c>
      <c r="K486" s="321">
        <f t="shared" ca="1" si="132"/>
        <v>3</v>
      </c>
      <c r="L486" s="321">
        <f t="shared" ca="1" si="132"/>
        <v>4</v>
      </c>
      <c r="M486" s="321">
        <f t="shared" ca="1" si="132"/>
        <v>5</v>
      </c>
      <c r="N486" s="321">
        <f t="shared" ca="1" si="132"/>
        <v>6</v>
      </c>
      <c r="O486" s="321">
        <f t="shared" ca="1" si="132"/>
        <v>7</v>
      </c>
      <c r="P486" s="321">
        <f t="shared" ca="1" si="132"/>
        <v>8</v>
      </c>
      <c r="Q486" s="321">
        <f t="shared" ca="1" si="132"/>
        <v>9</v>
      </c>
      <c r="R486" s="321">
        <f t="shared" ca="1" si="132"/>
        <v>10</v>
      </c>
      <c r="S486" s="321">
        <f t="shared" ca="1" si="132"/>
        <v>11</v>
      </c>
      <c r="T486" s="321">
        <f t="shared" ca="1" si="132"/>
        <v>12</v>
      </c>
      <c r="U486" s="321"/>
      <c r="V486" s="52"/>
      <c r="W486" s="52"/>
      <c r="X486" s="5"/>
      <c r="Y486" s="19"/>
      <c r="Z486" s="5"/>
      <c r="AA486" s="5"/>
      <c r="AB486" s="5"/>
      <c r="AC486" s="5"/>
      <c r="AD486" s="5"/>
      <c r="AE486" s="5"/>
      <c r="AF486" s="5"/>
      <c r="AG486" s="5"/>
      <c r="AH486" s="5"/>
      <c r="AI486" s="5"/>
      <c r="AJ486" s="5"/>
      <c r="AK486" s="5"/>
      <c r="AL486" s="5"/>
      <c r="AM486" s="5"/>
      <c r="AN486" s="5"/>
      <c r="AO486" s="5"/>
      <c r="AP486" s="5"/>
      <c r="AQ486" s="5"/>
      <c r="AR486" s="5"/>
      <c r="AS486" s="21"/>
    </row>
    <row r="487" spans="2:45" ht="18.75" hidden="1">
      <c r="B487" s="1000" t="s">
        <v>852</v>
      </c>
      <c r="C487" s="1000"/>
      <c r="E487" s="337" t="s">
        <v>115</v>
      </c>
      <c r="F487" s="338"/>
      <c r="G487" s="339"/>
      <c r="H487" s="340"/>
      <c r="I487" s="340"/>
      <c r="J487" s="340"/>
      <c r="K487" s="340"/>
      <c r="L487" s="340"/>
      <c r="M487" s="340"/>
      <c r="N487" s="340"/>
      <c r="O487" s="340"/>
      <c r="P487" s="340"/>
      <c r="Q487" s="340"/>
      <c r="R487" s="340"/>
      <c r="S487" s="340"/>
      <c r="T487" s="340"/>
      <c r="U487" s="340"/>
      <c r="V487" s="19"/>
      <c r="W487" s="15"/>
      <c r="X487" s="15"/>
      <c r="Y487" s="15"/>
      <c r="Z487" s="15"/>
      <c r="AA487" s="15"/>
      <c r="AB487" s="15"/>
      <c r="AC487" s="15"/>
      <c r="AD487" s="15"/>
      <c r="AE487" s="15"/>
      <c r="AF487" s="15"/>
      <c r="AG487" s="15"/>
      <c r="AH487" s="15"/>
      <c r="AI487" s="15"/>
      <c r="AJ487" s="15"/>
      <c r="AK487" s="15"/>
      <c r="AL487" s="15"/>
      <c r="AM487" s="15"/>
      <c r="AN487" s="5"/>
      <c r="AO487" s="5"/>
      <c r="AP487" s="5"/>
      <c r="AQ487" s="5"/>
      <c r="AR487" s="5"/>
      <c r="AS487" s="21"/>
    </row>
    <row r="488" spans="2:45" hidden="1">
      <c r="B488" s="1000" t="s">
        <v>852</v>
      </c>
      <c r="C488" s="1000"/>
      <c r="E488" s="329" t="s">
        <v>853</v>
      </c>
      <c r="F488" s="330"/>
      <c r="G488" s="329" t="s">
        <v>65</v>
      </c>
      <c r="H488" s="329"/>
      <c r="I488" s="450" t="str">
        <f>I$319</f>
        <v>kantoor</v>
      </c>
      <c r="J488" s="450" t="str">
        <f t="shared" ref="J488:T488" si="133">J$319</f>
        <v>bijeenkomst</v>
      </c>
      <c r="K488" s="450" t="str">
        <f t="shared" si="133"/>
        <v>kinderopvang</v>
      </c>
      <c r="L488" s="450" t="str">
        <f t="shared" si="133"/>
        <v>onderwijs</v>
      </c>
      <c r="M488" s="450" t="str">
        <f t="shared" si="133"/>
        <v>zorg overig</v>
      </c>
      <c r="N488" s="450" t="str">
        <f t="shared" si="133"/>
        <v>zorg met bed</v>
      </c>
      <c r="O488" s="450" t="str">
        <f t="shared" si="133"/>
        <v>winkel</v>
      </c>
      <c r="P488" s="450" t="str">
        <f t="shared" si="133"/>
        <v>sport</v>
      </c>
      <c r="Q488" s="450" t="str">
        <f t="shared" si="133"/>
        <v>logies</v>
      </c>
      <c r="R488" s="450" t="str">
        <f t="shared" si="133"/>
        <v>cel</v>
      </c>
      <c r="S488" s="450" t="str">
        <f t="shared" si="133"/>
        <v>woning</v>
      </c>
      <c r="T488" s="450" t="str">
        <f t="shared" si="133"/>
        <v>woongebouw</v>
      </c>
      <c r="U488" s="342"/>
      <c r="V488" s="19"/>
      <c r="W488" s="15"/>
      <c r="X488" s="15"/>
      <c r="Y488" s="15"/>
      <c r="Z488" s="15"/>
      <c r="AA488" s="15"/>
      <c r="AB488" s="15"/>
      <c r="AC488" s="15"/>
      <c r="AD488" s="15"/>
      <c r="AE488" s="15"/>
      <c r="AF488" s="15"/>
      <c r="AG488" s="15"/>
      <c r="AH488" s="15"/>
      <c r="AI488" s="15"/>
      <c r="AJ488" s="15"/>
      <c r="AK488" s="15"/>
      <c r="AL488" s="15"/>
      <c r="AM488" s="15"/>
      <c r="AN488" s="5"/>
      <c r="AO488" s="5"/>
      <c r="AP488" s="5"/>
      <c r="AQ488" s="5"/>
      <c r="AR488" s="5"/>
      <c r="AS488" s="21"/>
    </row>
    <row r="489" spans="2:45" ht="18.75" hidden="1">
      <c r="B489" s="1000" t="s">
        <v>852</v>
      </c>
      <c r="C489" s="1000"/>
      <c r="E489" s="337" t="s">
        <v>854</v>
      </c>
      <c r="F489" s="338"/>
      <c r="G489" s="339"/>
      <c r="H489" s="340"/>
      <c r="I489" s="340"/>
      <c r="J489" s="340"/>
      <c r="K489" s="340"/>
      <c r="L489" s="340"/>
      <c r="M489" s="340"/>
      <c r="N489" s="340"/>
      <c r="O489" s="340"/>
      <c r="P489" s="340"/>
      <c r="Q489" s="340"/>
      <c r="R489" s="340"/>
      <c r="S489" s="340"/>
      <c r="T489" s="340"/>
      <c r="U489" s="340"/>
      <c r="V489" s="19"/>
      <c r="W489" s="15"/>
      <c r="X489" s="15"/>
      <c r="Y489" s="15"/>
      <c r="Z489" s="15"/>
      <c r="AA489" s="15"/>
      <c r="AB489" s="15"/>
      <c r="AC489" s="15"/>
      <c r="AD489" s="15"/>
      <c r="AE489" s="15"/>
      <c r="AF489" s="15"/>
      <c r="AG489" s="15"/>
      <c r="AH489" s="15"/>
      <c r="AI489" s="15"/>
      <c r="AJ489" s="15"/>
      <c r="AK489" s="15"/>
      <c r="AL489" s="15"/>
      <c r="AM489" s="15"/>
      <c r="AN489" s="5"/>
      <c r="AO489" s="5"/>
      <c r="AP489" s="5"/>
      <c r="AQ489" s="5"/>
      <c r="AR489" s="5"/>
      <c r="AS489" s="21"/>
    </row>
    <row r="490" spans="2:45" hidden="1">
      <c r="B490" s="1000" t="s">
        <v>852</v>
      </c>
      <c r="C490" s="1000"/>
      <c r="E490" s="329" t="s">
        <v>855</v>
      </c>
      <c r="F490" s="330"/>
      <c r="G490" s="329" t="s">
        <v>154</v>
      </c>
      <c r="H490" s="342"/>
      <c r="I490" s="446">
        <v>10000</v>
      </c>
      <c r="J490" s="446">
        <v>10000</v>
      </c>
      <c r="K490" s="446">
        <v>10000</v>
      </c>
      <c r="L490" s="446">
        <v>10000</v>
      </c>
      <c r="M490" s="446">
        <v>10000</v>
      </c>
      <c r="N490" s="446">
        <v>10000</v>
      </c>
      <c r="O490" s="446">
        <v>10000</v>
      </c>
      <c r="P490" s="446">
        <v>10000</v>
      </c>
      <c r="Q490" s="446">
        <v>10000</v>
      </c>
      <c r="R490" s="446">
        <v>10000</v>
      </c>
      <c r="S490" s="446">
        <v>10000</v>
      </c>
      <c r="T490" s="446">
        <v>10000</v>
      </c>
      <c r="U490" s="342"/>
      <c r="V490" s="19"/>
      <c r="W490" s="15"/>
      <c r="X490" s="15"/>
      <c r="Y490" s="15"/>
      <c r="Z490" s="15"/>
      <c r="AA490" s="15"/>
      <c r="AB490" s="15"/>
      <c r="AC490" s="15"/>
      <c r="AD490" s="15"/>
      <c r="AE490" s="15"/>
      <c r="AF490" s="15"/>
      <c r="AG490" s="15"/>
      <c r="AH490" s="15"/>
      <c r="AI490" s="15"/>
      <c r="AJ490" s="15"/>
      <c r="AK490" s="15"/>
      <c r="AL490" s="15"/>
      <c r="AM490" s="15"/>
      <c r="AN490" s="5"/>
      <c r="AO490" s="5"/>
      <c r="AP490" s="5"/>
      <c r="AQ490" s="5"/>
      <c r="AR490" s="5"/>
      <c r="AS490" s="21"/>
    </row>
    <row r="491" spans="2:45" hidden="1">
      <c r="B491" s="1000" t="s">
        <v>852</v>
      </c>
      <c r="C491" s="1000"/>
      <c r="E491" s="329" t="s">
        <v>856</v>
      </c>
      <c r="F491" s="330"/>
      <c r="G491" s="329" t="s">
        <v>154</v>
      </c>
      <c r="H491" s="342"/>
      <c r="I491" s="446">
        <v>300</v>
      </c>
      <c r="J491" s="446">
        <v>385</v>
      </c>
      <c r="K491" s="446">
        <v>445</v>
      </c>
      <c r="L491" s="446">
        <v>395</v>
      </c>
      <c r="M491" s="446">
        <v>355</v>
      </c>
      <c r="N491" s="446">
        <v>715</v>
      </c>
      <c r="O491" s="446">
        <v>475</v>
      </c>
      <c r="P491" s="446">
        <v>260</v>
      </c>
      <c r="Q491" s="446">
        <v>385</v>
      </c>
      <c r="R491" s="446">
        <v>500</v>
      </c>
      <c r="S491" s="446">
        <v>380</v>
      </c>
      <c r="T491" s="446">
        <v>380</v>
      </c>
      <c r="U491" s="342"/>
      <c r="V491" s="19"/>
      <c r="W491" s="15"/>
      <c r="X491" s="15"/>
      <c r="Y491" s="15"/>
      <c r="Z491" s="15"/>
      <c r="AA491" s="15"/>
      <c r="AB491" s="15"/>
      <c r="AC491" s="15"/>
      <c r="AD491" s="15"/>
      <c r="AE491" s="15"/>
      <c r="AF491" s="15"/>
      <c r="AG491" s="15"/>
      <c r="AH491" s="15"/>
      <c r="AI491" s="15"/>
      <c r="AJ491" s="15"/>
      <c r="AK491" s="15"/>
      <c r="AL491" s="15"/>
      <c r="AM491" s="15"/>
      <c r="AN491" s="5"/>
      <c r="AO491" s="5"/>
      <c r="AP491" s="5"/>
      <c r="AQ491" s="5"/>
      <c r="AR491" s="5"/>
      <c r="AS491" s="21"/>
    </row>
    <row r="492" spans="2:45" hidden="1">
      <c r="B492" s="1000" t="s">
        <v>852</v>
      </c>
      <c r="C492" s="1000"/>
      <c r="E492" s="329" t="s">
        <v>857</v>
      </c>
      <c r="F492" s="330"/>
      <c r="G492" s="329" t="s">
        <v>154</v>
      </c>
      <c r="H492" s="342"/>
      <c r="I492" s="446">
        <v>275</v>
      </c>
      <c r="J492" s="446">
        <v>355</v>
      </c>
      <c r="K492" s="446">
        <v>405</v>
      </c>
      <c r="L492" s="446">
        <v>360</v>
      </c>
      <c r="M492" s="446">
        <v>325</v>
      </c>
      <c r="N492" s="446">
        <v>655</v>
      </c>
      <c r="O492" s="446">
        <v>435</v>
      </c>
      <c r="P492" s="446">
        <v>240</v>
      </c>
      <c r="Q492" s="446">
        <v>355</v>
      </c>
      <c r="R492" s="446">
        <v>455</v>
      </c>
      <c r="S492" s="446">
        <v>335</v>
      </c>
      <c r="T492" s="446">
        <v>335</v>
      </c>
      <c r="U492" s="342"/>
      <c r="V492" s="19"/>
      <c r="W492" s="15"/>
      <c r="X492" s="15"/>
      <c r="Y492" s="15"/>
      <c r="Z492" s="15"/>
      <c r="AA492" s="15"/>
      <c r="AB492" s="15"/>
      <c r="AC492" s="15"/>
      <c r="AD492" s="15"/>
      <c r="AE492" s="15"/>
      <c r="AF492" s="15"/>
      <c r="AG492" s="15"/>
      <c r="AH492" s="15"/>
      <c r="AI492" s="15"/>
      <c r="AJ492" s="15"/>
      <c r="AK492" s="15"/>
      <c r="AL492" s="15"/>
      <c r="AM492" s="15"/>
      <c r="AN492" s="5"/>
      <c r="AO492" s="5"/>
      <c r="AP492" s="5"/>
      <c r="AQ492" s="5"/>
      <c r="AR492" s="5"/>
      <c r="AS492" s="21"/>
    </row>
    <row r="493" spans="2:45" hidden="1">
      <c r="B493" s="1000" t="s">
        <v>852</v>
      </c>
      <c r="C493" s="1000"/>
      <c r="E493" s="329" t="s">
        <v>460</v>
      </c>
      <c r="F493" s="330"/>
      <c r="G493" s="329" t="s">
        <v>154</v>
      </c>
      <c r="H493" s="342"/>
      <c r="I493" s="446">
        <v>250</v>
      </c>
      <c r="J493" s="446">
        <v>320</v>
      </c>
      <c r="K493" s="446">
        <v>365</v>
      </c>
      <c r="L493" s="446">
        <v>330</v>
      </c>
      <c r="M493" s="446">
        <v>295</v>
      </c>
      <c r="N493" s="446">
        <v>595</v>
      </c>
      <c r="O493" s="446">
        <v>395</v>
      </c>
      <c r="P493" s="446">
        <v>215</v>
      </c>
      <c r="Q493" s="446">
        <v>320</v>
      </c>
      <c r="R493" s="446">
        <v>415</v>
      </c>
      <c r="S493" s="446">
        <v>290</v>
      </c>
      <c r="T493" s="446">
        <v>290</v>
      </c>
      <c r="U493" s="342"/>
      <c r="V493" s="19"/>
      <c r="W493" s="15"/>
      <c r="X493" s="15"/>
      <c r="Y493" s="15"/>
      <c r="Z493" s="15"/>
      <c r="AA493" s="15"/>
      <c r="AB493" s="15"/>
      <c r="AC493" s="15"/>
      <c r="AD493" s="15"/>
      <c r="AE493" s="15"/>
      <c r="AF493" s="15"/>
      <c r="AG493" s="15"/>
      <c r="AH493" s="15"/>
      <c r="AI493" s="15"/>
      <c r="AJ493" s="15"/>
      <c r="AK493" s="15"/>
      <c r="AL493" s="15"/>
      <c r="AM493" s="15"/>
      <c r="AN493" s="5"/>
      <c r="AO493" s="5"/>
      <c r="AP493" s="5"/>
      <c r="AQ493" s="5"/>
      <c r="AR493" s="5"/>
      <c r="AS493" s="21"/>
    </row>
    <row r="494" spans="2:45" hidden="1">
      <c r="B494" s="1000" t="s">
        <v>852</v>
      </c>
      <c r="C494" s="1000"/>
      <c r="E494" s="329" t="s">
        <v>458</v>
      </c>
      <c r="F494" s="330"/>
      <c r="G494" s="329" t="s">
        <v>154</v>
      </c>
      <c r="H494" s="342"/>
      <c r="I494" s="446">
        <v>225</v>
      </c>
      <c r="J494" s="446">
        <v>285</v>
      </c>
      <c r="K494" s="446">
        <v>330</v>
      </c>
      <c r="L494" s="446">
        <v>295</v>
      </c>
      <c r="M494" s="446">
        <v>260</v>
      </c>
      <c r="N494" s="446">
        <v>530</v>
      </c>
      <c r="O494" s="446">
        <v>355</v>
      </c>
      <c r="P494" s="446">
        <v>195</v>
      </c>
      <c r="Q494" s="446">
        <v>285</v>
      </c>
      <c r="R494" s="446">
        <v>370</v>
      </c>
      <c r="S494" s="446">
        <v>250</v>
      </c>
      <c r="T494" s="446">
        <v>250</v>
      </c>
      <c r="U494" s="342"/>
      <c r="V494" s="19"/>
      <c r="W494" s="15"/>
      <c r="X494" s="15"/>
      <c r="Y494" s="15"/>
      <c r="Z494" s="15"/>
      <c r="AA494" s="15"/>
      <c r="AB494" s="15"/>
      <c r="AC494" s="15"/>
      <c r="AD494" s="15"/>
      <c r="AE494" s="15"/>
      <c r="AF494" s="15"/>
      <c r="AG494" s="15"/>
      <c r="AH494" s="15"/>
      <c r="AI494" s="15"/>
      <c r="AJ494" s="15"/>
      <c r="AK494" s="15"/>
      <c r="AL494" s="15"/>
      <c r="AM494" s="15"/>
      <c r="AN494" s="5"/>
      <c r="AO494" s="5"/>
      <c r="AP494" s="5"/>
      <c r="AQ494" s="5"/>
      <c r="AR494" s="5"/>
      <c r="AS494" s="21"/>
    </row>
    <row r="495" spans="2:45" hidden="1">
      <c r="B495" s="1000" t="s">
        <v>852</v>
      </c>
      <c r="C495" s="1000"/>
      <c r="E495" s="329" t="s">
        <v>456</v>
      </c>
      <c r="F495" s="330"/>
      <c r="G495" s="329" t="s">
        <v>154</v>
      </c>
      <c r="H495" s="342"/>
      <c r="I495" s="446">
        <v>200</v>
      </c>
      <c r="J495" s="446">
        <v>255</v>
      </c>
      <c r="K495" s="446">
        <v>290</v>
      </c>
      <c r="L495" s="446">
        <v>260</v>
      </c>
      <c r="M495" s="446">
        <v>230</v>
      </c>
      <c r="N495" s="446">
        <v>470</v>
      </c>
      <c r="O495" s="446">
        <v>315</v>
      </c>
      <c r="P495" s="446">
        <v>170</v>
      </c>
      <c r="Q495" s="446">
        <v>255</v>
      </c>
      <c r="R495" s="446">
        <v>330</v>
      </c>
      <c r="S495" s="446">
        <v>190</v>
      </c>
      <c r="T495" s="446">
        <v>190</v>
      </c>
      <c r="U495" s="342"/>
      <c r="V495" s="19"/>
      <c r="W495" s="15"/>
      <c r="X495" s="15"/>
      <c r="Y495" s="15"/>
      <c r="Z495" s="15"/>
      <c r="AA495" s="15"/>
      <c r="AB495" s="15"/>
      <c r="AC495" s="15"/>
      <c r="AD495" s="15"/>
      <c r="AE495" s="15"/>
      <c r="AF495" s="15"/>
      <c r="AG495" s="15"/>
      <c r="AH495" s="15"/>
      <c r="AI495" s="15"/>
      <c r="AJ495" s="15"/>
      <c r="AK495" s="15"/>
      <c r="AL495" s="15"/>
      <c r="AM495" s="15"/>
      <c r="AN495" s="5"/>
      <c r="AO495" s="5"/>
      <c r="AP495" s="5"/>
      <c r="AQ495" s="5"/>
      <c r="AR495" s="5"/>
      <c r="AS495" s="21"/>
    </row>
    <row r="496" spans="2:45" hidden="1">
      <c r="B496" s="1000" t="s">
        <v>852</v>
      </c>
      <c r="C496" s="1000"/>
      <c r="E496" s="329" t="s">
        <v>455</v>
      </c>
      <c r="F496" s="330"/>
      <c r="G496" s="329" t="s">
        <v>154</v>
      </c>
      <c r="H496" s="342"/>
      <c r="I496" s="446">
        <v>180</v>
      </c>
      <c r="J496" s="446">
        <v>230</v>
      </c>
      <c r="K496" s="446">
        <v>265</v>
      </c>
      <c r="L496" s="446">
        <v>235</v>
      </c>
      <c r="M496" s="446">
        <v>210</v>
      </c>
      <c r="N496" s="446">
        <v>430</v>
      </c>
      <c r="O496" s="446">
        <v>285</v>
      </c>
      <c r="P496" s="446">
        <v>155</v>
      </c>
      <c r="Q496" s="446">
        <v>230</v>
      </c>
      <c r="R496" s="446">
        <v>300</v>
      </c>
      <c r="S496" s="446">
        <v>160</v>
      </c>
      <c r="T496" s="446">
        <v>160</v>
      </c>
      <c r="U496" s="342"/>
      <c r="V496" s="19"/>
      <c r="W496" s="15"/>
      <c r="X496" s="15"/>
      <c r="Y496" s="15"/>
      <c r="Z496" s="15"/>
      <c r="AA496" s="15"/>
      <c r="AB496" s="15"/>
      <c r="AC496" s="15"/>
      <c r="AD496" s="15"/>
      <c r="AE496" s="15"/>
      <c r="AF496" s="15"/>
      <c r="AG496" s="15"/>
      <c r="AH496" s="15"/>
      <c r="AI496" s="15"/>
      <c r="AJ496" s="15"/>
      <c r="AK496" s="15"/>
      <c r="AL496" s="15"/>
      <c r="AM496" s="15"/>
      <c r="AN496" s="5"/>
      <c r="AO496" s="5"/>
      <c r="AP496" s="5"/>
      <c r="AQ496" s="5"/>
      <c r="AR496" s="5"/>
      <c r="AS496" s="21"/>
    </row>
    <row r="497" spans="2:46" hidden="1">
      <c r="B497" s="1000" t="s">
        <v>852</v>
      </c>
      <c r="C497" s="1000"/>
      <c r="E497" s="329" t="s">
        <v>858</v>
      </c>
      <c r="F497" s="330"/>
      <c r="G497" s="329" t="s">
        <v>154</v>
      </c>
      <c r="H497" s="342"/>
      <c r="I497" s="446">
        <v>160</v>
      </c>
      <c r="J497" s="446">
        <v>200</v>
      </c>
      <c r="K497" s="446">
        <v>220</v>
      </c>
      <c r="L497" s="446">
        <v>200</v>
      </c>
      <c r="M497" s="446">
        <v>180</v>
      </c>
      <c r="N497" s="446">
        <v>360</v>
      </c>
      <c r="O497" s="446">
        <v>240</v>
      </c>
      <c r="P497" s="446">
        <v>140</v>
      </c>
      <c r="Q497" s="446">
        <v>200</v>
      </c>
      <c r="R497" s="446">
        <v>240</v>
      </c>
      <c r="S497" s="446">
        <v>105</v>
      </c>
      <c r="T497" s="446">
        <v>105</v>
      </c>
      <c r="U497" s="342"/>
      <c r="V497" s="19"/>
      <c r="W497" s="15"/>
      <c r="X497" s="15"/>
      <c r="Y497" s="15"/>
      <c r="Z497" s="15"/>
      <c r="AA497" s="15"/>
      <c r="AB497" s="15"/>
      <c r="AC497" s="15"/>
      <c r="AD497" s="15"/>
      <c r="AE497" s="15"/>
      <c r="AF497" s="15"/>
      <c r="AG497" s="15"/>
      <c r="AH497" s="15"/>
      <c r="AI497" s="15"/>
      <c r="AJ497" s="15"/>
      <c r="AK497" s="15"/>
      <c r="AL497" s="15"/>
      <c r="AM497" s="15"/>
      <c r="AN497" s="5"/>
      <c r="AO497" s="5"/>
      <c r="AP497" s="5"/>
      <c r="AQ497" s="5"/>
      <c r="AR497" s="5"/>
      <c r="AS497" s="21"/>
    </row>
    <row r="498" spans="2:46" hidden="1">
      <c r="B498" s="1000" t="s">
        <v>852</v>
      </c>
      <c r="C498" s="1000"/>
      <c r="E498" s="329" t="s">
        <v>859</v>
      </c>
      <c r="F498" s="330"/>
      <c r="G498" s="329" t="s">
        <v>154</v>
      </c>
      <c r="H498" s="342"/>
      <c r="I498" s="446">
        <v>120</v>
      </c>
      <c r="J498" s="446">
        <v>150</v>
      </c>
      <c r="K498" s="446">
        <v>165</v>
      </c>
      <c r="L498" s="446">
        <v>150</v>
      </c>
      <c r="M498" s="446">
        <v>135</v>
      </c>
      <c r="N498" s="446">
        <v>270</v>
      </c>
      <c r="O498" s="446">
        <v>180</v>
      </c>
      <c r="P498" s="446">
        <v>105</v>
      </c>
      <c r="Q498" s="446">
        <v>150</v>
      </c>
      <c r="R498" s="446">
        <v>180</v>
      </c>
      <c r="S498" s="446">
        <v>75</v>
      </c>
      <c r="T498" s="446">
        <v>75</v>
      </c>
      <c r="U498" s="342"/>
      <c r="V498" s="19"/>
      <c r="W498" s="15"/>
      <c r="X498" s="15"/>
      <c r="Y498" s="15"/>
      <c r="Z498" s="15"/>
      <c r="AA498" s="15"/>
      <c r="AB498" s="15"/>
      <c r="AC498" s="15"/>
      <c r="AD498" s="15"/>
      <c r="AE498" s="15"/>
      <c r="AF498" s="15"/>
      <c r="AG498" s="15"/>
      <c r="AH498" s="15"/>
      <c r="AI498" s="15"/>
      <c r="AJ498" s="15"/>
      <c r="AK498" s="15"/>
      <c r="AL498" s="15"/>
      <c r="AM498" s="15"/>
      <c r="AN498" s="5"/>
      <c r="AO498" s="5"/>
      <c r="AP498" s="5"/>
      <c r="AQ498" s="5"/>
      <c r="AR498" s="5"/>
      <c r="AS498" s="21"/>
    </row>
    <row r="499" spans="2:46" hidden="1">
      <c r="B499" s="1000" t="s">
        <v>852</v>
      </c>
      <c r="C499" s="1000"/>
      <c r="E499" s="329" t="s">
        <v>860</v>
      </c>
      <c r="F499" s="330"/>
      <c r="G499" s="329" t="s">
        <v>154</v>
      </c>
      <c r="H499" s="342"/>
      <c r="I499" s="446">
        <v>80</v>
      </c>
      <c r="J499" s="446">
        <v>100</v>
      </c>
      <c r="K499" s="446">
        <v>110</v>
      </c>
      <c r="L499" s="446">
        <v>100</v>
      </c>
      <c r="M499" s="446">
        <v>90</v>
      </c>
      <c r="N499" s="446">
        <v>180</v>
      </c>
      <c r="O499" s="446">
        <v>120</v>
      </c>
      <c r="P499" s="446">
        <v>70</v>
      </c>
      <c r="Q499" s="446">
        <v>100</v>
      </c>
      <c r="R499" s="446">
        <v>120</v>
      </c>
      <c r="S499" s="446">
        <v>50</v>
      </c>
      <c r="T499" s="446">
        <v>50</v>
      </c>
      <c r="U499" s="342"/>
      <c r="V499" s="19"/>
      <c r="W499" s="15"/>
      <c r="X499" s="15"/>
      <c r="Y499" s="15"/>
      <c r="Z499" s="15"/>
      <c r="AA499" s="15"/>
      <c r="AB499" s="15"/>
      <c r="AC499" s="15"/>
      <c r="AD499" s="15"/>
      <c r="AE499" s="15"/>
      <c r="AF499" s="15"/>
      <c r="AG499" s="15"/>
      <c r="AH499" s="15"/>
      <c r="AI499" s="15"/>
      <c r="AJ499" s="15"/>
      <c r="AK499" s="15"/>
      <c r="AL499" s="15"/>
      <c r="AM499" s="15"/>
      <c r="AN499" s="5"/>
      <c r="AO499" s="5"/>
      <c r="AP499" s="5"/>
      <c r="AQ499" s="5"/>
      <c r="AR499" s="5"/>
      <c r="AS499" s="21"/>
    </row>
    <row r="500" spans="2:46" hidden="1">
      <c r="B500" s="1000" t="s">
        <v>852</v>
      </c>
      <c r="C500" s="1000"/>
      <c r="E500" s="329" t="s">
        <v>861</v>
      </c>
      <c r="F500" s="330"/>
      <c r="G500" s="329" t="s">
        <v>154</v>
      </c>
      <c r="H500" s="342"/>
      <c r="I500" s="446">
        <v>40</v>
      </c>
      <c r="J500" s="446">
        <v>50</v>
      </c>
      <c r="K500" s="446">
        <v>55</v>
      </c>
      <c r="L500" s="446">
        <v>50</v>
      </c>
      <c r="M500" s="446">
        <v>45</v>
      </c>
      <c r="N500" s="446">
        <v>90</v>
      </c>
      <c r="O500" s="446">
        <v>60</v>
      </c>
      <c r="P500" s="446">
        <v>35</v>
      </c>
      <c r="Q500" s="446">
        <v>50</v>
      </c>
      <c r="R500" s="446">
        <v>60</v>
      </c>
      <c r="S500" s="446">
        <v>0</v>
      </c>
      <c r="T500" s="446">
        <v>0</v>
      </c>
      <c r="U500" s="342"/>
      <c r="V500" s="19"/>
      <c r="W500" s="15"/>
      <c r="X500" s="15"/>
      <c r="Y500" s="15"/>
      <c r="Z500" s="15"/>
      <c r="AA500" s="15"/>
      <c r="AB500" s="15"/>
      <c r="AC500" s="15"/>
      <c r="AD500" s="15"/>
      <c r="AE500" s="15"/>
      <c r="AF500" s="15"/>
      <c r="AG500" s="15"/>
      <c r="AH500" s="15"/>
      <c r="AI500" s="15"/>
      <c r="AJ500" s="15"/>
      <c r="AK500" s="15"/>
      <c r="AL500" s="15"/>
      <c r="AM500" s="15"/>
      <c r="AN500" s="5"/>
      <c r="AO500" s="5"/>
      <c r="AP500" s="5"/>
      <c r="AQ500" s="5"/>
      <c r="AR500" s="5"/>
      <c r="AS500" s="21"/>
    </row>
    <row r="501" spans="2:46" hidden="1">
      <c r="B501" s="1000" t="s">
        <v>852</v>
      </c>
      <c r="C501" s="1000"/>
      <c r="E501" s="329" t="s">
        <v>862</v>
      </c>
      <c r="F501" s="330"/>
      <c r="G501" s="329" t="s">
        <v>154</v>
      </c>
      <c r="H501" s="342"/>
      <c r="I501" s="446">
        <v>0</v>
      </c>
      <c r="J501" s="446">
        <v>0</v>
      </c>
      <c r="K501" s="446">
        <v>0</v>
      </c>
      <c r="L501" s="446">
        <v>0</v>
      </c>
      <c r="M501" s="446">
        <v>0</v>
      </c>
      <c r="N501" s="446">
        <v>0</v>
      </c>
      <c r="O501" s="446">
        <v>0</v>
      </c>
      <c r="P501" s="446">
        <v>0</v>
      </c>
      <c r="Q501" s="446">
        <v>0</v>
      </c>
      <c r="R501" s="446">
        <v>0</v>
      </c>
      <c r="S501" s="446"/>
      <c r="T501" s="446"/>
      <c r="U501" s="342"/>
      <c r="V501" s="19"/>
      <c r="W501" s="15"/>
      <c r="X501" s="15"/>
      <c r="Y501" s="15"/>
      <c r="Z501" s="15"/>
      <c r="AA501" s="15"/>
      <c r="AB501" s="15"/>
      <c r="AC501" s="15"/>
      <c r="AD501" s="15"/>
      <c r="AE501" s="15"/>
      <c r="AF501" s="15"/>
      <c r="AG501" s="15"/>
      <c r="AH501" s="15"/>
      <c r="AI501" s="15"/>
      <c r="AJ501" s="15"/>
      <c r="AK501" s="15"/>
      <c r="AL501" s="15"/>
      <c r="AM501" s="15"/>
      <c r="AN501" s="5"/>
      <c r="AO501" s="5"/>
      <c r="AP501" s="5"/>
      <c r="AQ501" s="5"/>
      <c r="AR501" s="5"/>
      <c r="AS501" s="21"/>
    </row>
    <row r="502" spans="2:46" hidden="1">
      <c r="B502" s="1000" t="s">
        <v>852</v>
      </c>
      <c r="C502" s="1000"/>
      <c r="E502" s="676" t="s">
        <v>863</v>
      </c>
      <c r="F502" s="325"/>
      <c r="G502" s="325"/>
      <c r="H502" s="325"/>
      <c r="I502" s="471"/>
      <c r="J502" s="471"/>
      <c r="K502" s="471"/>
      <c r="L502" s="471"/>
      <c r="M502" s="471"/>
      <c r="N502" s="471"/>
      <c r="O502" s="471"/>
      <c r="P502" s="471"/>
      <c r="Q502" s="471"/>
      <c r="R502" s="471"/>
      <c r="S502" s="471"/>
      <c r="T502" s="471"/>
      <c r="U502" s="471"/>
      <c r="V502" s="14"/>
      <c r="W502" s="14"/>
      <c r="X502" s="14"/>
      <c r="Y502" s="14"/>
      <c r="Z502" s="14"/>
      <c r="AA502" s="14"/>
      <c r="AB502" s="14"/>
      <c r="AC502" s="14"/>
      <c r="AD502" s="14"/>
      <c r="AE502" s="14"/>
      <c r="AF502" s="14"/>
      <c r="AG502" s="14"/>
      <c r="AH502" s="14"/>
      <c r="AI502" s="14"/>
      <c r="AJ502" s="14"/>
      <c r="AK502" s="14"/>
      <c r="AL502" s="14"/>
      <c r="AM502" s="14"/>
      <c r="AN502" s="17"/>
      <c r="AO502" s="17"/>
      <c r="AP502" s="17"/>
      <c r="AQ502" s="17"/>
      <c r="AR502" s="17"/>
      <c r="AS502" s="21"/>
    </row>
    <row r="503" spans="2:46" hidden="1">
      <c r="B503" s="1000" t="s">
        <v>852</v>
      </c>
      <c r="C503" s="1000"/>
      <c r="E503" s="5"/>
      <c r="F503" s="5"/>
      <c r="G503" s="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5"/>
      <c r="AO503" s="5"/>
      <c r="AP503" s="5"/>
      <c r="AQ503" s="5"/>
      <c r="AR503" s="5"/>
      <c r="AS503" s="21"/>
    </row>
    <row r="504" spans="2:46" hidden="1">
      <c r="B504" s="1000" t="s">
        <v>864</v>
      </c>
      <c r="C504" s="1000"/>
      <c r="E504" s="5"/>
      <c r="F504" s="5"/>
      <c r="G504" s="5"/>
      <c r="H504" s="15"/>
      <c r="I504" s="15"/>
      <c r="J504" s="15"/>
      <c r="K504" s="15"/>
      <c r="L504" s="15"/>
      <c r="M504" s="15"/>
      <c r="N504" s="15"/>
      <c r="O504" s="15"/>
      <c r="P504" s="15"/>
      <c r="Q504" s="15"/>
      <c r="R504" s="15"/>
      <c r="S504" s="15"/>
      <c r="T504" s="15"/>
      <c r="U504" s="15"/>
      <c r="V504" s="15"/>
      <c r="W504" s="15"/>
      <c r="X504" s="15"/>
      <c r="Y504" s="19"/>
      <c r="Z504" s="5"/>
      <c r="AA504" s="5"/>
      <c r="AB504" s="5"/>
      <c r="AC504" s="5"/>
      <c r="AD504" s="5"/>
      <c r="AE504" s="5"/>
      <c r="AF504" s="5"/>
      <c r="AG504" s="5"/>
      <c r="AH504" s="5"/>
      <c r="AI504" s="5"/>
      <c r="AJ504" s="5"/>
      <c r="AK504" s="5"/>
      <c r="AL504" s="5"/>
      <c r="AM504" s="5"/>
      <c r="AN504" s="5"/>
      <c r="AO504" s="5"/>
      <c r="AP504" s="5"/>
      <c r="AQ504" s="5"/>
      <c r="AR504" s="5"/>
      <c r="AS504" s="21"/>
    </row>
    <row r="505" spans="2:46" ht="21" hidden="1">
      <c r="B505" s="1000" t="s">
        <v>864</v>
      </c>
      <c r="C505" s="1000"/>
      <c r="E505" s="199" t="s">
        <v>864</v>
      </c>
      <c r="F505" s="199"/>
      <c r="G505" s="199"/>
      <c r="H505" s="199"/>
      <c r="I505" s="199"/>
      <c r="J505" s="199"/>
      <c r="K505" s="5"/>
      <c r="L505" s="28"/>
      <c r="M505" s="5"/>
      <c r="N505" s="25"/>
      <c r="O505" s="5"/>
      <c r="P505" s="5"/>
      <c r="Q505" s="5"/>
      <c r="R505" s="5"/>
      <c r="S505" s="5"/>
      <c r="T505" s="5"/>
      <c r="U505" s="5"/>
      <c r="V505" s="5"/>
      <c r="W505" s="5"/>
      <c r="X505" s="5"/>
      <c r="Y505" s="19"/>
      <c r="Z505" s="5"/>
      <c r="AA505" s="5"/>
      <c r="AB505" s="5"/>
      <c r="AC505" s="5"/>
      <c r="AD505" s="5"/>
      <c r="AE505" s="5"/>
      <c r="AF505" s="5"/>
      <c r="AG505" s="5"/>
      <c r="AH505" s="5"/>
      <c r="AI505" s="5"/>
      <c r="AJ505" s="5"/>
      <c r="AK505" s="5"/>
      <c r="AL505" s="5"/>
      <c r="AM505" s="5"/>
      <c r="AN505" s="5"/>
      <c r="AO505" s="5"/>
      <c r="AP505" s="5"/>
      <c r="AQ505" s="5"/>
      <c r="AR505" s="5"/>
      <c r="AS505" s="21"/>
    </row>
    <row r="506" spans="2:46" hidden="1">
      <c r="B506" s="1000" t="s">
        <v>864</v>
      </c>
      <c r="C506" s="1000"/>
      <c r="E506" s="320" t="s">
        <v>414</v>
      </c>
      <c r="F506" s="320"/>
      <c r="G506" s="320" t="s">
        <v>353</v>
      </c>
      <c r="H506" s="321"/>
      <c r="I506" s="321">
        <f ca="1">OFFSET(I506,0,-1)+1</f>
        <v>1</v>
      </c>
      <c r="J506" s="321"/>
      <c r="K506" s="19"/>
      <c r="L506" s="29"/>
      <c r="M506" s="15"/>
      <c r="N506" s="23"/>
      <c r="O506" s="23"/>
      <c r="P506" s="23"/>
      <c r="Q506" s="15"/>
      <c r="R506" s="15"/>
      <c r="S506" s="15"/>
      <c r="T506" s="15"/>
      <c r="U506" s="15"/>
      <c r="V506" s="15"/>
      <c r="W506" s="15"/>
      <c r="X506" s="15"/>
      <c r="Y506" s="19"/>
      <c r="Z506" s="5"/>
      <c r="AA506" s="5"/>
      <c r="AB506" s="5"/>
      <c r="AC506" s="5"/>
      <c r="AD506" s="5"/>
      <c r="AE506" s="5"/>
      <c r="AF506" s="5"/>
      <c r="AG506" s="5"/>
      <c r="AH506" s="5"/>
      <c r="AI506" s="5"/>
      <c r="AJ506" s="5"/>
      <c r="AK506" s="5"/>
      <c r="AL506" s="5"/>
      <c r="AM506" s="5"/>
      <c r="AN506" s="5"/>
      <c r="AO506" s="5"/>
      <c r="AP506" s="5"/>
      <c r="AQ506" s="5"/>
      <c r="AR506" s="5"/>
      <c r="AS506" s="21"/>
    </row>
    <row r="507" spans="2:46" ht="18.75" hidden="1">
      <c r="B507" s="1000" t="s">
        <v>864</v>
      </c>
      <c r="C507" s="1000"/>
      <c r="E507" s="337" t="s">
        <v>864</v>
      </c>
      <c r="F507" s="338"/>
      <c r="G507" s="339"/>
      <c r="H507" s="340"/>
      <c r="I507" s="340"/>
      <c r="J507" s="340"/>
      <c r="K507" s="19"/>
      <c r="L507" s="19"/>
      <c r="M507" s="19"/>
      <c r="N507" s="15"/>
      <c r="O507" s="15"/>
      <c r="P507" s="15"/>
      <c r="Q507" s="15"/>
      <c r="R507" s="15"/>
      <c r="S507" s="15"/>
      <c r="T507" s="15"/>
      <c r="U507" s="15"/>
      <c r="V507" s="15"/>
      <c r="W507" s="15"/>
      <c r="X507" s="15"/>
      <c r="Y507" s="19"/>
      <c r="Z507" s="15"/>
      <c r="AA507" s="5"/>
      <c r="AB507" s="5"/>
      <c r="AC507" s="5"/>
      <c r="AD507" s="5"/>
      <c r="AE507" s="5"/>
      <c r="AF507" s="5"/>
      <c r="AG507" s="5"/>
      <c r="AH507" s="5"/>
      <c r="AI507" s="5"/>
      <c r="AJ507" s="5"/>
      <c r="AK507" s="5"/>
      <c r="AL507" s="5"/>
      <c r="AM507" s="5"/>
      <c r="AN507" s="5"/>
      <c r="AO507" s="5"/>
      <c r="AP507" s="5"/>
      <c r="AQ507" s="5"/>
      <c r="AR507" s="5"/>
      <c r="AS507" s="21"/>
    </row>
    <row r="508" spans="2:46" hidden="1">
      <c r="B508" s="1000" t="s">
        <v>864</v>
      </c>
      <c r="C508" s="1000"/>
      <c r="E508" s="329" t="s">
        <v>865</v>
      </c>
      <c r="F508" s="330"/>
      <c r="G508" s="329" t="s">
        <v>866</v>
      </c>
      <c r="H508" s="342"/>
      <c r="I508" s="474">
        <f>35.17/3.6</f>
        <v>9.7694444444444439</v>
      </c>
      <c r="J508" s="342"/>
      <c r="K508" s="15"/>
      <c r="L508" s="29"/>
      <c r="M508" s="15"/>
      <c r="N508" s="23"/>
      <c r="O508" s="23"/>
      <c r="P508" s="23"/>
      <c r="Q508" s="15"/>
      <c r="R508" s="15"/>
      <c r="S508" s="15"/>
      <c r="T508" s="15"/>
      <c r="U508" s="15"/>
      <c r="V508" s="15"/>
      <c r="W508" s="15"/>
      <c r="X508" s="15"/>
      <c r="Y508" s="19"/>
      <c r="Z508" s="5"/>
      <c r="AA508" s="5"/>
      <c r="AB508" s="5"/>
      <c r="AC508" s="5"/>
      <c r="AD508" s="5"/>
      <c r="AE508" s="5"/>
      <c r="AF508" s="5"/>
      <c r="AG508" s="5"/>
      <c r="AH508" s="5"/>
      <c r="AI508" s="5"/>
      <c r="AJ508" s="5"/>
      <c r="AK508" s="5"/>
      <c r="AL508" s="5"/>
      <c r="AM508" s="5"/>
      <c r="AN508" s="5"/>
      <c r="AO508" s="5"/>
      <c r="AP508" s="5"/>
      <c r="AQ508" s="5"/>
      <c r="AR508" s="5"/>
      <c r="AS508" s="21"/>
    </row>
    <row r="509" spans="2:46" hidden="1">
      <c r="B509" s="1000" t="s">
        <v>864</v>
      </c>
      <c r="C509" s="1000"/>
      <c r="E509" s="5"/>
      <c r="F509" s="5"/>
      <c r="G509" s="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5"/>
      <c r="AO509" s="5"/>
      <c r="AP509" s="5"/>
      <c r="AQ509" s="5"/>
      <c r="AR509" s="5"/>
      <c r="AS509" s="21"/>
    </row>
    <row r="510" spans="2:46" hidden="1">
      <c r="B510" s="1000" t="s">
        <v>1026</v>
      </c>
      <c r="C510" s="1000"/>
      <c r="E510" s="5"/>
      <c r="F510" s="5"/>
      <c r="G510" s="5"/>
      <c r="H510" s="15"/>
      <c r="I510" s="15"/>
      <c r="J510" s="15"/>
      <c r="K510" s="15"/>
      <c r="L510" s="15"/>
      <c r="M510" s="15"/>
      <c r="N510" s="15"/>
      <c r="O510" s="15"/>
      <c r="P510" s="15"/>
      <c r="Q510" s="15"/>
      <c r="R510" s="15"/>
      <c r="S510" s="15"/>
      <c r="T510" s="15"/>
      <c r="U510" s="15"/>
      <c r="V510" s="15"/>
      <c r="W510" s="15"/>
      <c r="X510" s="15"/>
      <c r="Y510" s="19"/>
      <c r="Z510" s="5"/>
      <c r="AA510" s="5"/>
      <c r="AB510" s="5"/>
      <c r="AC510" s="5"/>
      <c r="AD510" s="5"/>
      <c r="AE510" s="5"/>
      <c r="AF510" s="5"/>
      <c r="AG510" s="5"/>
      <c r="AH510" s="5"/>
      <c r="AI510" s="5"/>
      <c r="AJ510" s="5"/>
      <c r="AK510" s="5"/>
      <c r="AL510" s="5"/>
      <c r="AM510" s="5"/>
      <c r="AN510" s="5"/>
      <c r="AO510" s="5"/>
      <c r="AP510" s="5"/>
      <c r="AQ510" s="5"/>
      <c r="AR510" s="5"/>
      <c r="AS510" s="21"/>
    </row>
    <row r="511" spans="2:46" ht="21" hidden="1">
      <c r="B511" s="1000" t="s">
        <v>1026</v>
      </c>
      <c r="C511" s="1000"/>
      <c r="D511" s="1136" t="s">
        <v>45</v>
      </c>
      <c r="E511" s="199" t="s">
        <v>1055</v>
      </c>
      <c r="F511" s="199"/>
      <c r="G511" s="199"/>
      <c r="H511" s="199"/>
      <c r="I511" s="199"/>
      <c r="J511" s="199"/>
      <c r="K511" s="199"/>
      <c r="L511" s="5"/>
      <c r="M511" s="28"/>
      <c r="N511" s="5"/>
      <c r="O511" s="25"/>
      <c r="P511" s="5"/>
      <c r="Q511" s="5"/>
      <c r="R511" s="5"/>
      <c r="S511" s="5"/>
      <c r="T511" s="5"/>
      <c r="U511" s="5"/>
      <c r="V511" s="5"/>
      <c r="W511" s="5"/>
      <c r="X511" s="5"/>
      <c r="Y511" s="5"/>
      <c r="Z511" s="19"/>
      <c r="AA511" s="5"/>
      <c r="AB511" s="5"/>
      <c r="AC511" s="5"/>
      <c r="AD511" s="5"/>
      <c r="AE511" s="5"/>
      <c r="AF511" s="5"/>
      <c r="AG511" s="5"/>
      <c r="AH511" s="5"/>
      <c r="AI511" s="5"/>
      <c r="AJ511" s="5"/>
      <c r="AK511" s="5"/>
      <c r="AL511" s="5"/>
      <c r="AM511" s="5"/>
      <c r="AN511" s="5"/>
      <c r="AO511" s="5"/>
      <c r="AP511" s="5"/>
      <c r="AQ511" s="5"/>
      <c r="AR511" s="5"/>
      <c r="AS511" s="5"/>
      <c r="AT511" s="21"/>
    </row>
    <row r="512" spans="2:46" hidden="1">
      <c r="B512" s="1000" t="s">
        <v>1026</v>
      </c>
      <c r="C512" s="1000"/>
      <c r="E512" s="320" t="s">
        <v>414</v>
      </c>
      <c r="F512" s="320"/>
      <c r="G512" s="320" t="s">
        <v>353</v>
      </c>
      <c r="H512" s="321"/>
      <c r="I512" s="321">
        <f ca="1">OFFSET(I512,0,-1)+1</f>
        <v>1</v>
      </c>
      <c r="J512" s="321">
        <f ca="1">OFFSET(J512,0,-1)+1</f>
        <v>2</v>
      </c>
      <c r="K512" s="321"/>
      <c r="L512" s="19"/>
      <c r="M512" s="29"/>
      <c r="N512" s="15"/>
      <c r="O512" s="23"/>
      <c r="P512" s="23"/>
      <c r="Q512" s="23"/>
      <c r="R512" s="15"/>
      <c r="S512" s="15"/>
      <c r="T512" s="15"/>
      <c r="U512" s="15"/>
      <c r="V512" s="15"/>
      <c r="W512" s="15"/>
      <c r="X512" s="15"/>
      <c r="Y512" s="15"/>
      <c r="Z512" s="19"/>
      <c r="AA512" s="5"/>
      <c r="AB512" s="5"/>
      <c r="AC512" s="5"/>
      <c r="AD512" s="5"/>
      <c r="AE512" s="5"/>
      <c r="AF512" s="5"/>
      <c r="AG512" s="5"/>
      <c r="AH512" s="5"/>
      <c r="AI512" s="5"/>
      <c r="AJ512" s="5"/>
      <c r="AK512" s="5"/>
      <c r="AL512" s="5"/>
      <c r="AM512" s="5"/>
      <c r="AN512" s="5"/>
      <c r="AO512" s="5"/>
      <c r="AP512" s="5"/>
      <c r="AQ512" s="5"/>
      <c r="AR512" s="5"/>
      <c r="AS512" s="5"/>
      <c r="AT512" s="21"/>
    </row>
    <row r="513" spans="2:47" ht="18.75" hidden="1">
      <c r="B513" s="1000" t="s">
        <v>1026</v>
      </c>
      <c r="C513" s="1000"/>
      <c r="E513" s="877" t="str">
        <f>E511</f>
        <v>specifieke interne warmtecapaciteit</v>
      </c>
      <c r="F513" s="338"/>
      <c r="G513" s="339"/>
      <c r="H513" s="340"/>
      <c r="I513" s="340"/>
      <c r="J513" s="340"/>
      <c r="K513" s="340"/>
      <c r="L513" s="19"/>
      <c r="M513" s="19"/>
      <c r="N513" s="19"/>
      <c r="O513" s="15"/>
      <c r="P513" s="15"/>
      <c r="Q513" s="15"/>
      <c r="R513" s="15"/>
      <c r="S513" s="15"/>
      <c r="T513" s="15"/>
      <c r="U513" s="15"/>
      <c r="V513" s="15"/>
      <c r="W513" s="15"/>
      <c r="X513" s="15"/>
      <c r="Y513" s="15"/>
      <c r="Z513" s="19"/>
      <c r="AA513" s="15"/>
      <c r="AB513" s="5"/>
      <c r="AC513" s="5"/>
      <c r="AD513" s="5"/>
      <c r="AE513" s="5"/>
      <c r="AF513" s="5"/>
      <c r="AG513" s="5"/>
      <c r="AH513" s="5"/>
      <c r="AI513" s="5"/>
      <c r="AJ513" s="5"/>
      <c r="AK513" s="5"/>
      <c r="AL513" s="5"/>
      <c r="AM513" s="5"/>
      <c r="AN513" s="5"/>
      <c r="AO513" s="5"/>
      <c r="AP513" s="5"/>
      <c r="AQ513" s="5"/>
      <c r="AR513" s="5"/>
      <c r="AS513" s="5"/>
      <c r="AT513" s="21"/>
    </row>
    <row r="514" spans="2:47" hidden="1">
      <c r="B514" s="1000" t="s">
        <v>1026</v>
      </c>
      <c r="C514" s="1000"/>
      <c r="E514" s="878" t="str">
        <f>E513</f>
        <v>specifieke interne warmtecapaciteit</v>
      </c>
      <c r="F514" s="330"/>
      <c r="G514" s="329" t="s">
        <v>1056</v>
      </c>
      <c r="H514" s="342"/>
      <c r="I514" s="936" t="s">
        <v>1154</v>
      </c>
      <c r="J514" s="879">
        <v>450</v>
      </c>
      <c r="K514" s="342"/>
      <c r="L514" s="15"/>
      <c r="M514" s="29"/>
      <c r="N514" s="15"/>
      <c r="O514" s="23"/>
      <c r="P514" s="23"/>
      <c r="Q514" s="23"/>
      <c r="R514" s="15"/>
      <c r="S514" s="15"/>
      <c r="T514" s="15"/>
      <c r="U514" s="15"/>
      <c r="V514" s="15"/>
      <c r="W514" s="15"/>
      <c r="X514" s="15"/>
      <c r="Y514" s="15"/>
      <c r="Z514" s="19"/>
      <c r="AA514" s="5"/>
      <c r="AB514" s="5"/>
      <c r="AC514" s="5"/>
      <c r="AD514" s="5"/>
      <c r="AE514" s="5"/>
      <c r="AF514" s="5"/>
      <c r="AG514" s="5"/>
      <c r="AH514" s="5"/>
      <c r="AI514" s="5"/>
      <c r="AJ514" s="5"/>
      <c r="AK514" s="5"/>
      <c r="AL514" s="5"/>
      <c r="AM514" s="5"/>
      <c r="AN514" s="5"/>
      <c r="AO514" s="5"/>
      <c r="AP514" s="5"/>
      <c r="AQ514" s="5"/>
      <c r="AR514" s="5"/>
      <c r="AS514" s="5"/>
      <c r="AT514" s="21"/>
    </row>
    <row r="515" spans="2:47" hidden="1">
      <c r="B515" s="1000" t="s">
        <v>1026</v>
      </c>
      <c r="C515" s="1000"/>
      <c r="E515" s="5"/>
      <c r="F515" s="5"/>
      <c r="G515" s="5"/>
      <c r="H515" s="15"/>
      <c r="I515" s="15"/>
      <c r="J515" s="15"/>
      <c r="K515" s="15"/>
      <c r="L515" s="15"/>
      <c r="M515" s="15"/>
      <c r="N515" s="15"/>
      <c r="O515" s="15"/>
      <c r="P515" s="15"/>
      <c r="Q515" s="15"/>
      <c r="R515" s="15"/>
      <c r="S515" s="15"/>
      <c r="T515" s="15"/>
      <c r="U515" s="15"/>
      <c r="V515" s="15"/>
      <c r="W515" s="15"/>
      <c r="X515" s="15"/>
      <c r="Y515" s="19"/>
      <c r="Z515" s="5"/>
      <c r="AA515" s="5"/>
      <c r="AB515" s="5"/>
      <c r="AC515" s="5"/>
      <c r="AD515" s="5"/>
      <c r="AE515" s="5"/>
      <c r="AF515" s="5"/>
      <c r="AG515" s="5"/>
      <c r="AH515" s="5"/>
      <c r="AI515" s="5"/>
      <c r="AJ515" s="5"/>
      <c r="AK515" s="5"/>
      <c r="AL515" s="5"/>
      <c r="AM515" s="5"/>
      <c r="AN515" s="5"/>
      <c r="AO515" s="5"/>
      <c r="AP515" s="5"/>
      <c r="AQ515" s="5"/>
      <c r="AR515" s="5"/>
      <c r="AS515" s="21"/>
    </row>
    <row r="516" spans="2:47" hidden="1">
      <c r="B516" s="1000" t="s">
        <v>1226</v>
      </c>
      <c r="C516" s="1000"/>
      <c r="E516" s="5"/>
      <c r="F516" s="5"/>
      <c r="G516" s="5"/>
      <c r="H516" s="15"/>
      <c r="I516" s="15"/>
      <c r="J516" s="15"/>
      <c r="K516" s="19"/>
      <c r="L516" s="15"/>
      <c r="M516" s="15"/>
      <c r="N516" s="15"/>
      <c r="O516" s="15"/>
      <c r="P516" s="15"/>
      <c r="Q516" s="15"/>
      <c r="R516" s="15"/>
      <c r="S516" s="15"/>
      <c r="T516" s="15"/>
      <c r="U516" s="15"/>
      <c r="V516" s="15"/>
      <c r="W516" s="15"/>
      <c r="X516" s="15"/>
      <c r="Y516" s="19"/>
      <c r="Z516" s="5"/>
      <c r="AA516" s="5"/>
      <c r="AB516" s="5"/>
      <c r="AC516" s="5"/>
      <c r="AD516" s="5"/>
      <c r="AE516" s="5"/>
      <c r="AF516" s="5"/>
      <c r="AG516" s="5"/>
      <c r="AH516" s="5"/>
      <c r="AI516" s="5"/>
      <c r="AJ516" s="5"/>
      <c r="AK516" s="5"/>
      <c r="AL516" s="5"/>
      <c r="AM516" s="5"/>
      <c r="AN516" s="5"/>
      <c r="AO516" s="5"/>
      <c r="AP516" s="5"/>
      <c r="AQ516" s="5"/>
      <c r="AR516" s="5"/>
      <c r="AS516" s="21"/>
    </row>
    <row r="517" spans="2:47" ht="21" hidden="1">
      <c r="B517" s="1000" t="s">
        <v>1226</v>
      </c>
      <c r="C517" s="1000"/>
      <c r="D517" s="1136" t="s">
        <v>45</v>
      </c>
      <c r="E517" s="199" t="s">
        <v>1225</v>
      </c>
      <c r="F517" s="199"/>
      <c r="G517" s="199"/>
      <c r="H517" s="199"/>
      <c r="I517" s="199"/>
      <c r="J517" s="199"/>
      <c r="K517" s="199"/>
      <c r="L517" s="199"/>
      <c r="M517" s="5"/>
      <c r="N517" s="28"/>
      <c r="O517" s="5"/>
      <c r="P517" s="25"/>
      <c r="Q517" s="5"/>
      <c r="R517" s="5"/>
      <c r="S517" s="5"/>
      <c r="T517" s="5"/>
      <c r="U517" s="5"/>
      <c r="V517" s="5"/>
      <c r="W517" s="5"/>
      <c r="X517" s="5"/>
      <c r="Y517" s="5"/>
      <c r="Z517" s="5"/>
      <c r="AA517" s="19"/>
      <c r="AB517" s="5"/>
      <c r="AC517" s="5"/>
      <c r="AD517" s="5"/>
      <c r="AE517" s="5"/>
      <c r="AF517" s="5"/>
      <c r="AG517" s="5"/>
      <c r="AH517" s="5"/>
      <c r="AI517" s="5"/>
      <c r="AJ517" s="5"/>
      <c r="AK517" s="5"/>
      <c r="AL517" s="5"/>
      <c r="AM517" s="5"/>
      <c r="AN517" s="5"/>
      <c r="AO517" s="5"/>
      <c r="AP517" s="5"/>
      <c r="AQ517" s="5"/>
      <c r="AR517" s="5"/>
      <c r="AS517" s="5"/>
      <c r="AT517" s="5"/>
      <c r="AU517" s="21"/>
    </row>
    <row r="518" spans="2:47" hidden="1">
      <c r="B518" s="1000" t="s">
        <v>1226</v>
      </c>
      <c r="C518" s="1000"/>
      <c r="E518" s="320" t="s">
        <v>414</v>
      </c>
      <c r="F518" s="320"/>
      <c r="G518" s="320" t="s">
        <v>353</v>
      </c>
      <c r="H518" s="321"/>
      <c r="I518" s="321">
        <f ca="1">OFFSET(I518,0,-1)+1</f>
        <v>1</v>
      </c>
      <c r="J518" s="321">
        <f ca="1">OFFSET(J518,0,-1)+1</f>
        <v>2</v>
      </c>
      <c r="K518" s="321">
        <f ca="1">OFFSET(K518,0,-1)+1</f>
        <v>3</v>
      </c>
      <c r="L518" s="321"/>
      <c r="M518" s="19"/>
      <c r="N518" s="29"/>
      <c r="O518" s="15"/>
      <c r="P518" s="23"/>
      <c r="Q518" s="23"/>
      <c r="R518" s="23"/>
      <c r="S518" s="15"/>
      <c r="T518" s="15"/>
      <c r="U518" s="15"/>
      <c r="V518" s="15"/>
      <c r="W518" s="15"/>
      <c r="X518" s="15"/>
      <c r="Y518" s="15"/>
      <c r="Z518" s="15"/>
      <c r="AA518" s="19"/>
      <c r="AB518" s="5"/>
      <c r="AC518" s="5"/>
      <c r="AD518" s="5"/>
      <c r="AE518" s="5"/>
      <c r="AF518" s="5"/>
      <c r="AG518" s="5"/>
      <c r="AH518" s="5"/>
      <c r="AI518" s="5"/>
      <c r="AJ518" s="5"/>
      <c r="AK518" s="5"/>
      <c r="AL518" s="5"/>
      <c r="AM518" s="5"/>
      <c r="AN518" s="5"/>
      <c r="AO518" s="5"/>
      <c r="AP518" s="5"/>
      <c r="AQ518" s="5"/>
      <c r="AR518" s="5"/>
      <c r="AS518" s="5"/>
      <c r="AT518" s="5"/>
      <c r="AU518" s="21"/>
    </row>
    <row r="519" spans="2:47" ht="18.75" hidden="1">
      <c r="B519" s="1000" t="s">
        <v>1226</v>
      </c>
      <c r="C519" s="1000"/>
      <c r="E519" s="877" t="str">
        <f>E517</f>
        <v>BACS - Building Automation and Control System</v>
      </c>
      <c r="F519" s="338"/>
      <c r="G519" s="339"/>
      <c r="H519" s="340"/>
      <c r="I519" s="340"/>
      <c r="J519" s="340"/>
      <c r="K519" s="340"/>
      <c r="L519" s="340"/>
      <c r="M519" s="19"/>
      <c r="N519" s="19"/>
      <c r="O519" s="19"/>
      <c r="P519" s="15"/>
      <c r="Q519" s="15"/>
      <c r="R519" s="15"/>
      <c r="S519" s="15"/>
      <c r="T519" s="15"/>
      <c r="U519" s="15"/>
      <c r="V519" s="15"/>
      <c r="W519" s="15"/>
      <c r="X519" s="15"/>
      <c r="Y519" s="15"/>
      <c r="Z519" s="15"/>
      <c r="AA519" s="19"/>
      <c r="AB519" s="15"/>
      <c r="AC519" s="5"/>
      <c r="AD519" s="5"/>
      <c r="AE519" s="5"/>
      <c r="AF519" s="5"/>
      <c r="AG519" s="5"/>
      <c r="AH519" s="5"/>
      <c r="AI519" s="5"/>
      <c r="AJ519" s="5"/>
      <c r="AK519" s="5"/>
      <c r="AL519" s="5"/>
      <c r="AM519" s="5"/>
      <c r="AN519" s="5"/>
      <c r="AO519" s="5"/>
      <c r="AP519" s="5"/>
      <c r="AQ519" s="5"/>
      <c r="AR519" s="5"/>
      <c r="AS519" s="5"/>
      <c r="AT519" s="5"/>
      <c r="AU519" s="21"/>
    </row>
    <row r="520" spans="2:47" ht="25.5" hidden="1">
      <c r="B520" s="1000" t="s">
        <v>1226</v>
      </c>
      <c r="C520" s="1000"/>
      <c r="E520" s="878" t="s">
        <v>1227</v>
      </c>
      <c r="F520" s="330"/>
      <c r="G520" s="329" t="s">
        <v>65</v>
      </c>
      <c r="H520" s="342"/>
      <c r="I520" s="936" t="s">
        <v>1234</v>
      </c>
      <c r="J520" s="936" t="s">
        <v>1229</v>
      </c>
      <c r="K520" s="879" t="s">
        <v>1230</v>
      </c>
      <c r="L520" s="342"/>
      <c r="M520" s="15"/>
      <c r="N520" s="29"/>
      <c r="O520" s="15"/>
      <c r="P520" s="23"/>
      <c r="Q520" s="23"/>
      <c r="R520" s="23"/>
      <c r="S520" s="15"/>
      <c r="T520" s="15"/>
      <c r="U520" s="15"/>
      <c r="V520" s="15"/>
      <c r="W520" s="15"/>
      <c r="X520" s="15"/>
      <c r="Y520" s="15"/>
      <c r="Z520" s="15"/>
      <c r="AA520" s="19"/>
      <c r="AB520" s="5"/>
      <c r="AC520" s="5"/>
      <c r="AD520" s="5"/>
      <c r="AE520" s="5"/>
      <c r="AF520" s="5"/>
      <c r="AG520" s="5"/>
      <c r="AH520" s="5"/>
      <c r="AI520" s="5"/>
      <c r="AJ520" s="5"/>
      <c r="AK520" s="5"/>
      <c r="AL520" s="5"/>
      <c r="AM520" s="5"/>
      <c r="AN520" s="5"/>
      <c r="AO520" s="5"/>
      <c r="AP520" s="5"/>
      <c r="AQ520" s="5"/>
      <c r="AR520" s="5"/>
      <c r="AS520" s="5"/>
      <c r="AT520" s="5"/>
      <c r="AU520" s="21"/>
    </row>
    <row r="521" spans="2:47" hidden="1">
      <c r="B521" s="1000" t="s">
        <v>1226</v>
      </c>
      <c r="C521" s="1000"/>
      <c r="E521" s="878" t="s">
        <v>1228</v>
      </c>
      <c r="F521" s="330"/>
      <c r="G521" s="329" t="s">
        <v>65</v>
      </c>
      <c r="H521" s="342"/>
      <c r="I521" s="1063">
        <v>1</v>
      </c>
      <c r="J521" s="1063">
        <v>1.05</v>
      </c>
      <c r="K521" s="474">
        <v>1</v>
      </c>
      <c r="L521" s="342"/>
      <c r="M521" s="15"/>
      <c r="N521" s="29"/>
      <c r="O521" s="15"/>
      <c r="P521" s="23"/>
      <c r="Q521" s="23"/>
      <c r="R521" s="23"/>
      <c r="S521" s="15"/>
      <c r="T521" s="15"/>
      <c r="U521" s="15"/>
      <c r="V521" s="15"/>
      <c r="W521" s="15"/>
      <c r="X521" s="15"/>
      <c r="Y521" s="15"/>
      <c r="Z521" s="15"/>
      <c r="AA521" s="19"/>
      <c r="AB521" s="5"/>
      <c r="AC521" s="5"/>
      <c r="AD521" s="5"/>
      <c r="AE521" s="5"/>
      <c r="AF521" s="5"/>
      <c r="AG521" s="5"/>
      <c r="AH521" s="5"/>
      <c r="AI521" s="5"/>
      <c r="AJ521" s="5"/>
      <c r="AK521" s="5"/>
      <c r="AL521" s="5"/>
      <c r="AM521" s="5"/>
      <c r="AN521" s="5"/>
      <c r="AO521" s="5"/>
      <c r="AP521" s="5"/>
      <c r="AQ521" s="5"/>
      <c r="AR521" s="5"/>
      <c r="AS521" s="5"/>
      <c r="AT521" s="5"/>
      <c r="AU521" s="21"/>
    </row>
    <row r="522" spans="2:47" ht="178.5" hidden="1">
      <c r="B522" s="1000" t="s">
        <v>1226</v>
      </c>
      <c r="C522" s="1000"/>
      <c r="E522" s="1064" t="s">
        <v>1235</v>
      </c>
      <c r="F522" s="330"/>
      <c r="G522" s="329" t="s">
        <v>65</v>
      </c>
      <c r="H522" s="342"/>
      <c r="I522" s="936" t="s">
        <v>1231</v>
      </c>
      <c r="J522" s="936" t="s">
        <v>1233</v>
      </c>
      <c r="K522" s="936" t="s">
        <v>1232</v>
      </c>
      <c r="L522" s="342"/>
      <c r="M522" s="15"/>
      <c r="N522" s="29"/>
      <c r="O522" s="15"/>
      <c r="P522" s="23"/>
      <c r="Q522" s="23"/>
      <c r="R522" s="23"/>
      <c r="S522" s="15"/>
      <c r="T522" s="15"/>
      <c r="U522" s="15"/>
      <c r="V522" s="15"/>
      <c r="W522" s="15"/>
      <c r="X522" s="15"/>
      <c r="Y522" s="15"/>
      <c r="Z522" s="15"/>
      <c r="AA522" s="19"/>
      <c r="AB522" s="5"/>
      <c r="AC522" s="5"/>
      <c r="AD522" s="5"/>
      <c r="AE522" s="5"/>
      <c r="AF522" s="5"/>
      <c r="AG522" s="5"/>
      <c r="AH522" s="5"/>
      <c r="AI522" s="5"/>
      <c r="AJ522" s="5"/>
      <c r="AK522" s="5"/>
      <c r="AL522" s="5"/>
      <c r="AM522" s="5"/>
      <c r="AN522" s="5"/>
      <c r="AO522" s="5"/>
      <c r="AP522" s="5"/>
      <c r="AQ522" s="5"/>
      <c r="AR522" s="5"/>
      <c r="AS522" s="5"/>
      <c r="AT522" s="5"/>
      <c r="AU522" s="21"/>
    </row>
    <row r="523" spans="2:47" hidden="1">
      <c r="B523" s="1000" t="s">
        <v>1226</v>
      </c>
      <c r="C523" s="1000"/>
      <c r="E523" s="5"/>
      <c r="F523" s="5"/>
      <c r="G523" s="5"/>
      <c r="H523" s="15"/>
      <c r="I523" s="15"/>
      <c r="J523" s="15"/>
      <c r="K523" s="15"/>
      <c r="L523" s="15"/>
      <c r="M523" s="15"/>
      <c r="N523" s="15"/>
      <c r="O523" s="15"/>
      <c r="P523" s="15"/>
      <c r="Q523" s="15"/>
      <c r="R523" s="15"/>
      <c r="S523" s="15"/>
      <c r="T523" s="15"/>
      <c r="U523" s="15"/>
      <c r="V523" s="15"/>
      <c r="W523" s="15"/>
      <c r="X523" s="15"/>
      <c r="Y523" s="19"/>
      <c r="Z523" s="5"/>
      <c r="AA523" s="5"/>
      <c r="AB523" s="5"/>
      <c r="AC523" s="5"/>
      <c r="AD523" s="5"/>
      <c r="AE523" s="5"/>
      <c r="AF523" s="5"/>
      <c r="AG523" s="5"/>
      <c r="AH523" s="5"/>
      <c r="AI523" s="5"/>
      <c r="AJ523" s="5"/>
      <c r="AK523" s="5"/>
      <c r="AL523" s="5"/>
      <c r="AM523" s="5"/>
      <c r="AN523" s="5"/>
      <c r="AO523" s="5"/>
      <c r="AP523" s="5"/>
      <c r="AQ523" s="5"/>
      <c r="AR523" s="5"/>
      <c r="AS523" s="21"/>
    </row>
    <row r="524" spans="2:47" hidden="1">
      <c r="B524" s="1000" t="s">
        <v>867</v>
      </c>
      <c r="C524" s="1000"/>
      <c r="E524" s="5"/>
      <c r="F524" s="5"/>
      <c r="G524" s="5"/>
      <c r="H524" s="15"/>
      <c r="I524" s="15"/>
      <c r="J524" s="15"/>
      <c r="K524" s="19"/>
      <c r="L524" s="15"/>
      <c r="M524" s="15"/>
      <c r="N524" s="15"/>
      <c r="O524" s="15"/>
      <c r="P524" s="15"/>
      <c r="Q524" s="15"/>
      <c r="R524" s="15"/>
      <c r="S524" s="15"/>
      <c r="T524" s="15"/>
      <c r="U524" s="15"/>
      <c r="V524" s="15"/>
      <c r="W524" s="15"/>
      <c r="X524" s="15"/>
      <c r="Y524" s="19"/>
      <c r="Z524" s="5"/>
      <c r="AA524" s="5"/>
      <c r="AB524" s="5"/>
      <c r="AC524" s="5"/>
      <c r="AD524" s="5"/>
      <c r="AE524" s="5"/>
      <c r="AF524" s="5"/>
      <c r="AG524" s="5"/>
      <c r="AH524" s="5"/>
      <c r="AI524" s="5"/>
      <c r="AJ524" s="5"/>
      <c r="AK524" s="5"/>
      <c r="AL524" s="5"/>
      <c r="AM524" s="5"/>
      <c r="AN524" s="5"/>
      <c r="AO524" s="5"/>
      <c r="AP524" s="5"/>
      <c r="AQ524" s="5"/>
      <c r="AR524" s="5"/>
      <c r="AS524" s="21"/>
    </row>
    <row r="525" spans="2:47" ht="21" hidden="1">
      <c r="B525" s="1000" t="s">
        <v>867</v>
      </c>
      <c r="C525" s="1000"/>
      <c r="D525" s="1135"/>
      <c r="E525" s="199" t="s">
        <v>867</v>
      </c>
      <c r="F525" s="199"/>
      <c r="G525" s="199"/>
      <c r="H525" s="199"/>
      <c r="I525" s="199"/>
      <c r="J525" s="199"/>
      <c r="K525" s="199"/>
      <c r="L525" s="199"/>
      <c r="M525" s="199"/>
      <c r="N525" s="5"/>
      <c r="O525" s="25"/>
      <c r="P525" s="15"/>
      <c r="Q525" s="5"/>
      <c r="R525" s="5"/>
      <c r="S525" s="5"/>
      <c r="T525" s="5"/>
      <c r="U525" s="5"/>
      <c r="V525" s="5"/>
      <c r="W525" s="5"/>
      <c r="X525" s="5"/>
      <c r="Y525" s="19"/>
      <c r="Z525" s="5"/>
      <c r="AA525" s="5"/>
      <c r="AB525" s="5"/>
      <c r="AC525" s="5"/>
      <c r="AD525" s="5"/>
      <c r="AE525" s="5"/>
      <c r="AF525" s="5"/>
      <c r="AG525" s="5"/>
      <c r="AH525" s="5"/>
      <c r="AI525" s="5"/>
      <c r="AJ525" s="5"/>
      <c r="AK525" s="5"/>
      <c r="AL525" s="5"/>
      <c r="AM525" s="5"/>
      <c r="AN525" s="5"/>
      <c r="AO525" s="5"/>
      <c r="AP525" s="5"/>
      <c r="AQ525" s="5"/>
      <c r="AR525" s="5"/>
      <c r="AS525" s="21"/>
    </row>
    <row r="526" spans="2:47" hidden="1">
      <c r="B526" s="1000" t="s">
        <v>867</v>
      </c>
      <c r="C526" s="1000"/>
      <c r="E526" s="320" t="s">
        <v>414</v>
      </c>
      <c r="F526" s="320"/>
      <c r="G526" s="320" t="s">
        <v>353</v>
      </c>
      <c r="H526" s="321"/>
      <c r="I526" s="321">
        <f ca="1">OFFSET(I526,0,-1)+1</f>
        <v>1</v>
      </c>
      <c r="J526" s="321">
        <f ca="1">OFFSET(J526,0,-1)+1</f>
        <v>2</v>
      </c>
      <c r="K526" s="321">
        <f ca="1">OFFSET(K526,0,-1)+1</f>
        <v>3</v>
      </c>
      <c r="L526" s="321">
        <f ca="1">OFFSET(L526,0,-1)+1</f>
        <v>4</v>
      </c>
      <c r="M526" s="321"/>
      <c r="N526" s="5"/>
      <c r="O526" s="25"/>
      <c r="P526" s="15"/>
      <c r="Q526" s="5"/>
      <c r="R526" s="5"/>
      <c r="S526" s="5"/>
      <c r="T526" s="5"/>
      <c r="U526" s="5"/>
      <c r="V526" s="15"/>
      <c r="W526" s="15"/>
      <c r="X526" s="15"/>
      <c r="Y526" s="19"/>
      <c r="Z526" s="5"/>
      <c r="AA526" s="5"/>
      <c r="AB526" s="5"/>
      <c r="AC526" s="5"/>
      <c r="AD526" s="5"/>
      <c r="AE526" s="5"/>
      <c r="AF526" s="5"/>
      <c r="AG526" s="5"/>
      <c r="AH526" s="5"/>
      <c r="AI526" s="5"/>
      <c r="AJ526" s="5"/>
      <c r="AK526" s="5"/>
      <c r="AL526" s="5"/>
      <c r="AM526" s="5"/>
      <c r="AN526" s="5"/>
      <c r="AO526" s="5"/>
      <c r="AP526" s="5"/>
      <c r="AQ526" s="5"/>
      <c r="AR526" s="5"/>
      <c r="AS526" s="21"/>
    </row>
    <row r="527" spans="2:47" ht="18.75" hidden="1">
      <c r="B527" s="1000" t="s">
        <v>867</v>
      </c>
      <c r="C527" s="1000"/>
      <c r="E527" s="337" t="s">
        <v>868</v>
      </c>
      <c r="F527" s="338"/>
      <c r="G527" s="339"/>
      <c r="H527" s="339"/>
      <c r="I527" s="339"/>
      <c r="J527" s="339"/>
      <c r="K527" s="339"/>
      <c r="L527" s="339"/>
      <c r="M527" s="339"/>
      <c r="N527" s="5"/>
      <c r="O527" s="25"/>
      <c r="P527" s="15"/>
      <c r="Q527" s="5"/>
      <c r="R527" s="5"/>
      <c r="S527" s="5"/>
      <c r="T527" s="5"/>
      <c r="U527" s="5"/>
      <c r="V527" s="19"/>
      <c r="W527" s="15"/>
      <c r="X527" s="15"/>
      <c r="Y527" s="19"/>
      <c r="Z527" s="5"/>
      <c r="AA527" s="5"/>
      <c r="AB527" s="5"/>
      <c r="AC527" s="5"/>
      <c r="AD527" s="5"/>
      <c r="AE527" s="5"/>
      <c r="AF527" s="5"/>
      <c r="AG527" s="5"/>
      <c r="AH527" s="5"/>
      <c r="AI527" s="5"/>
      <c r="AJ527" s="5"/>
      <c r="AK527" s="5"/>
      <c r="AL527" s="5"/>
      <c r="AM527" s="5"/>
      <c r="AN527" s="5"/>
      <c r="AO527" s="5"/>
      <c r="AP527" s="5"/>
      <c r="AQ527" s="5"/>
      <c r="AR527" s="5"/>
    </row>
    <row r="528" spans="2:47" hidden="1">
      <c r="B528" s="1000" t="s">
        <v>867</v>
      </c>
      <c r="C528" s="1000"/>
      <c r="E528" s="329" t="s">
        <v>869</v>
      </c>
      <c r="F528" s="330"/>
      <c r="G528" s="329" t="s">
        <v>65</v>
      </c>
      <c r="H528" s="342"/>
      <c r="I528" s="474" t="s">
        <v>679</v>
      </c>
      <c r="J528" s="474" t="s">
        <v>678</v>
      </c>
      <c r="K528" s="474" t="s">
        <v>680</v>
      </c>
      <c r="L528" s="474" t="s">
        <v>537</v>
      </c>
      <c r="M528" s="342"/>
      <c r="N528" s="5"/>
      <c r="O528" s="25"/>
      <c r="P528" s="15"/>
      <c r="Q528" s="5"/>
      <c r="R528" s="5"/>
      <c r="S528" s="5"/>
      <c r="T528" s="5"/>
      <c r="U528" s="5"/>
      <c r="V528" s="15"/>
      <c r="W528" s="15"/>
      <c r="X528" s="15"/>
      <c r="Y528" s="19"/>
      <c r="Z528" s="5"/>
      <c r="AA528" s="5"/>
      <c r="AB528" s="5"/>
      <c r="AC528" s="5"/>
      <c r="AD528" s="5"/>
      <c r="AE528" s="5"/>
      <c r="AF528" s="5"/>
      <c r="AG528" s="5"/>
      <c r="AH528" s="5"/>
      <c r="AI528" s="5"/>
      <c r="AJ528" s="5"/>
      <c r="AK528" s="5"/>
      <c r="AL528" s="5"/>
      <c r="AM528" s="5"/>
      <c r="AN528" s="5"/>
      <c r="AO528" s="5"/>
      <c r="AP528" s="5"/>
      <c r="AQ528" s="5"/>
      <c r="AR528" s="5"/>
      <c r="AS528" s="21"/>
    </row>
    <row r="529" spans="1:1089" ht="18.75" hidden="1">
      <c r="B529" s="1000" t="s">
        <v>867</v>
      </c>
      <c r="C529" s="1000"/>
      <c r="E529" s="337" t="s">
        <v>870</v>
      </c>
      <c r="F529" s="338"/>
      <c r="G529" s="339"/>
      <c r="H529" s="339"/>
      <c r="I529" s="339"/>
      <c r="J529" s="339"/>
      <c r="K529" s="339"/>
      <c r="L529" s="339"/>
      <c r="M529" s="339"/>
      <c r="N529" s="5"/>
      <c r="O529" s="25"/>
      <c r="P529" s="15"/>
      <c r="Q529" s="5"/>
      <c r="R529" s="5"/>
      <c r="S529" s="5"/>
      <c r="T529" s="5"/>
      <c r="U529" s="5"/>
      <c r="V529" s="19"/>
      <c r="W529" s="15"/>
      <c r="X529" s="15"/>
      <c r="Y529" s="19"/>
      <c r="Z529" s="5"/>
      <c r="AA529" s="5"/>
      <c r="AB529" s="5"/>
      <c r="AC529" s="5"/>
      <c r="AD529" s="5"/>
      <c r="AE529" s="5"/>
      <c r="AF529" s="5"/>
      <c r="AG529" s="5"/>
      <c r="AH529" s="5"/>
      <c r="AI529" s="5"/>
      <c r="AJ529" s="5"/>
      <c r="AK529" s="5"/>
      <c r="AL529" s="5"/>
      <c r="AM529" s="5"/>
      <c r="AN529" s="5"/>
      <c r="AO529" s="5"/>
      <c r="AP529" s="5"/>
      <c r="AQ529" s="5"/>
      <c r="AR529" s="5"/>
    </row>
    <row r="530" spans="1:1089" s="2" customFormat="1" hidden="1">
      <c r="A530" s="1010"/>
      <c r="B530" s="1000" t="s">
        <v>867</v>
      </c>
      <c r="C530" s="1000"/>
      <c r="D530" s="726"/>
      <c r="E530" s="203" t="s">
        <v>871</v>
      </c>
      <c r="F530" s="475"/>
      <c r="G530" s="203" t="s">
        <v>65</v>
      </c>
      <c r="H530" s="476"/>
      <c r="I530" s="478" t="s">
        <v>501</v>
      </c>
      <c r="J530" s="478" t="s">
        <v>593</v>
      </c>
      <c r="K530" s="478" t="s">
        <v>502</v>
      </c>
      <c r="L530" s="476"/>
      <c r="M530" s="476"/>
      <c r="N530" s="5"/>
      <c r="O530" s="25"/>
      <c r="P530" s="15"/>
      <c r="Q530" s="5"/>
      <c r="R530" s="5"/>
      <c r="S530" s="5"/>
      <c r="T530" s="5"/>
      <c r="U530" s="5"/>
      <c r="V530" s="9"/>
      <c r="W530" s="9"/>
      <c r="X530" s="9"/>
      <c r="Y530" s="8"/>
      <c r="Z530" s="4"/>
      <c r="AA530" s="4"/>
      <c r="AB530" s="4"/>
      <c r="AC530" s="4"/>
      <c r="AD530" s="4"/>
      <c r="AE530" s="4"/>
      <c r="AF530" s="4"/>
      <c r="AG530" s="4"/>
      <c r="AH530" s="4"/>
      <c r="AI530" s="4"/>
      <c r="AJ530" s="4"/>
      <c r="AK530" s="4"/>
      <c r="AL530" s="4"/>
      <c r="AM530" s="4"/>
      <c r="AN530" s="4"/>
      <c r="AO530" s="4"/>
      <c r="AP530" s="4"/>
      <c r="AQ530" s="4"/>
      <c r="AR530" s="4"/>
      <c r="AS530" s="21"/>
    </row>
    <row r="531" spans="1:1089" ht="51" hidden="1">
      <c r="B531" s="1000" t="s">
        <v>867</v>
      </c>
      <c r="C531" s="1000"/>
      <c r="E531" s="329" t="s">
        <v>872</v>
      </c>
      <c r="F531" s="330"/>
      <c r="G531" s="329" t="s">
        <v>65</v>
      </c>
      <c r="H531" s="342"/>
      <c r="I531" s="341" t="s">
        <v>873</v>
      </c>
      <c r="J531" s="341" t="s">
        <v>874</v>
      </c>
      <c r="K531" s="341" t="s">
        <v>875</v>
      </c>
      <c r="L531" s="342"/>
      <c r="M531" s="342"/>
      <c r="N531" s="5"/>
      <c r="O531" s="25"/>
      <c r="P531" s="15"/>
      <c r="Q531" s="5"/>
      <c r="R531" s="5"/>
      <c r="S531" s="5"/>
      <c r="T531" s="5"/>
      <c r="U531" s="5"/>
      <c r="V531" s="15"/>
      <c r="W531" s="15"/>
      <c r="X531" s="15"/>
      <c r="Y531" s="19"/>
      <c r="Z531" s="5"/>
      <c r="AA531" s="5"/>
      <c r="AB531" s="5"/>
      <c r="AC531" s="5"/>
      <c r="AD531" s="5"/>
      <c r="AE531" s="5"/>
      <c r="AF531" s="5"/>
      <c r="AG531" s="5"/>
      <c r="AH531" s="5"/>
      <c r="AI531" s="5"/>
      <c r="AJ531" s="5"/>
      <c r="AK531" s="5"/>
      <c r="AL531" s="5"/>
      <c r="AM531" s="5"/>
      <c r="AN531" s="5"/>
      <c r="AO531" s="5"/>
      <c r="AP531" s="5"/>
      <c r="AQ531" s="5"/>
      <c r="AR531" s="5"/>
      <c r="AS531" s="21"/>
    </row>
    <row r="532" spans="1:1089" ht="18.75" hidden="1">
      <c r="B532" s="1000" t="s">
        <v>867</v>
      </c>
      <c r="C532" s="1000"/>
      <c r="E532" s="337" t="s">
        <v>876</v>
      </c>
      <c r="F532" s="338"/>
      <c r="G532" s="339"/>
      <c r="H532" s="339"/>
      <c r="I532" s="339"/>
      <c r="J532" s="339"/>
      <c r="K532" s="339"/>
      <c r="L532" s="339"/>
      <c r="M532" s="339"/>
      <c r="N532" s="5"/>
      <c r="O532" s="25"/>
      <c r="P532" s="15"/>
      <c r="Q532" s="5"/>
      <c r="R532" s="5"/>
      <c r="S532" s="5"/>
      <c r="T532" s="5"/>
      <c r="U532" s="5"/>
      <c r="V532" s="19"/>
      <c r="W532" s="15"/>
      <c r="X532" s="15"/>
      <c r="Y532" s="19"/>
      <c r="Z532" s="5"/>
      <c r="AA532" s="5"/>
      <c r="AB532" s="5"/>
      <c r="AC532" s="5"/>
      <c r="AD532" s="5"/>
      <c r="AE532" s="5"/>
      <c r="AF532" s="5"/>
      <c r="AG532" s="5"/>
      <c r="AH532" s="5"/>
      <c r="AI532" s="5"/>
      <c r="AJ532" s="5"/>
      <c r="AK532" s="5"/>
      <c r="AL532" s="5"/>
      <c r="AM532" s="5"/>
      <c r="AN532" s="5"/>
      <c r="AO532" s="5"/>
      <c r="AP532" s="5"/>
      <c r="AQ532" s="5"/>
      <c r="AR532" s="5"/>
    </row>
    <row r="533" spans="1:1089" s="2" customFormat="1" hidden="1">
      <c r="A533" s="1010"/>
      <c r="B533" s="1000" t="s">
        <v>867</v>
      </c>
      <c r="C533" s="1000"/>
      <c r="D533" s="726"/>
      <c r="E533" s="203" t="s">
        <v>877</v>
      </c>
      <c r="F533" s="475"/>
      <c r="G533" s="203" t="s">
        <v>65</v>
      </c>
      <c r="H533" s="476"/>
      <c r="I533" s="478" t="s">
        <v>878</v>
      </c>
      <c r="J533" s="476"/>
      <c r="K533" s="476"/>
      <c r="L533" s="476"/>
      <c r="M533" s="476"/>
      <c r="N533" s="5"/>
      <c r="O533" s="25"/>
      <c r="P533" s="15"/>
      <c r="Q533" s="5"/>
      <c r="R533" s="5"/>
      <c r="S533" s="5"/>
      <c r="T533" s="5"/>
      <c r="U533" s="5"/>
      <c r="V533" s="9"/>
      <c r="W533" s="9"/>
      <c r="X533" s="9"/>
      <c r="Y533" s="8"/>
      <c r="Z533" s="4"/>
      <c r="AA533" s="4"/>
      <c r="AB533" s="4"/>
      <c r="AC533" s="4"/>
      <c r="AD533" s="4"/>
      <c r="AE533" s="4"/>
      <c r="AF533" s="4"/>
      <c r="AG533" s="4"/>
      <c r="AH533" s="4"/>
      <c r="AI533" s="4"/>
      <c r="AJ533" s="4"/>
      <c r="AK533" s="4"/>
      <c r="AL533" s="4"/>
      <c r="AM533" s="4"/>
      <c r="AN533" s="4"/>
      <c r="AO533" s="4"/>
      <c r="AP533" s="4"/>
      <c r="AQ533" s="4"/>
      <c r="AR533" s="4"/>
      <c r="AS533" s="21"/>
    </row>
    <row r="534" spans="1:1089" s="2" customFormat="1" hidden="1">
      <c r="A534" s="1010"/>
      <c r="B534" s="1000" t="s">
        <v>867</v>
      </c>
      <c r="C534" s="1000"/>
      <c r="D534" s="726"/>
      <c r="E534" s="203" t="s">
        <v>879</v>
      </c>
      <c r="F534" s="475"/>
      <c r="G534" s="203" t="s">
        <v>65</v>
      </c>
      <c r="H534" s="476"/>
      <c r="I534" s="478" t="s">
        <v>880</v>
      </c>
      <c r="J534" s="476"/>
      <c r="K534" s="476"/>
      <c r="L534" s="476"/>
      <c r="M534" s="476"/>
      <c r="N534" s="5"/>
      <c r="O534" s="25"/>
      <c r="P534" s="15"/>
      <c r="Q534" s="5"/>
      <c r="R534" s="5"/>
      <c r="S534" s="5"/>
      <c r="T534" s="5"/>
      <c r="U534" s="5"/>
      <c r="V534" s="9"/>
      <c r="W534" s="9"/>
      <c r="X534" s="9"/>
      <c r="Y534" s="8"/>
      <c r="Z534" s="4"/>
      <c r="AA534" s="4"/>
      <c r="AB534" s="4"/>
      <c r="AC534" s="4"/>
      <c r="AD534" s="4"/>
      <c r="AE534" s="4"/>
      <c r="AF534" s="4"/>
      <c r="AG534" s="4"/>
      <c r="AH534" s="4"/>
      <c r="AI534" s="4"/>
      <c r="AJ534" s="4"/>
      <c r="AK534" s="4"/>
      <c r="AL534" s="4"/>
      <c r="AM534" s="4"/>
      <c r="AN534" s="4"/>
      <c r="AO534" s="4"/>
      <c r="AP534" s="4"/>
      <c r="AQ534" s="4"/>
      <c r="AR534" s="4"/>
      <c r="AS534" s="21"/>
    </row>
    <row r="535" spans="1:1089" ht="18.75" hidden="1">
      <c r="B535" s="1000" t="s">
        <v>867</v>
      </c>
      <c r="C535" s="1000"/>
      <c r="E535" s="337" t="s">
        <v>881</v>
      </c>
      <c r="F535" s="338"/>
      <c r="G535" s="339"/>
      <c r="H535" s="339"/>
      <c r="I535" s="339"/>
      <c r="J535" s="339"/>
      <c r="K535" s="339"/>
      <c r="L535" s="339"/>
      <c r="M535" s="339"/>
      <c r="N535" s="5"/>
      <c r="O535" s="25"/>
      <c r="P535" s="15"/>
      <c r="Q535" s="5"/>
      <c r="R535" s="5"/>
      <c r="S535" s="5"/>
      <c r="T535" s="5"/>
      <c r="U535" s="5"/>
      <c r="V535" s="19"/>
      <c r="W535" s="15"/>
      <c r="X535" s="15"/>
      <c r="Y535" s="19"/>
      <c r="Z535" s="5"/>
      <c r="AA535" s="5"/>
      <c r="AB535" s="5"/>
      <c r="AC535" s="5"/>
      <c r="AD535" s="5"/>
      <c r="AE535" s="5"/>
      <c r="AF535" s="5"/>
      <c r="AG535" s="5"/>
      <c r="AH535" s="5"/>
      <c r="AI535" s="5"/>
      <c r="AJ535" s="5"/>
      <c r="AK535" s="5"/>
      <c r="AL535" s="5"/>
      <c r="AM535" s="5"/>
      <c r="AN535" s="5"/>
      <c r="AO535" s="5"/>
      <c r="AP535" s="5"/>
      <c r="AQ535" s="5"/>
      <c r="AR535" s="5"/>
    </row>
    <row r="536" spans="1:1089" hidden="1">
      <c r="B536" s="1000" t="s">
        <v>867</v>
      </c>
      <c r="C536" s="1000"/>
      <c r="E536" s="475" t="s">
        <v>882</v>
      </c>
      <c r="F536" s="475"/>
      <c r="G536" s="203" t="s">
        <v>65</v>
      </c>
      <c r="H536" s="476"/>
      <c r="I536" s="479" t="s">
        <v>883</v>
      </c>
      <c r="J536" s="479" t="s">
        <v>884</v>
      </c>
      <c r="K536" s="476"/>
      <c r="L536" s="476"/>
      <c r="M536" s="476"/>
      <c r="N536" s="5"/>
      <c r="O536" s="25"/>
      <c r="P536" s="15"/>
      <c r="Q536" s="5"/>
      <c r="R536" s="5"/>
      <c r="S536" s="5"/>
      <c r="T536" s="5"/>
      <c r="U536" s="5"/>
      <c r="V536" s="5"/>
      <c r="W536" s="5"/>
      <c r="X536" s="5"/>
      <c r="Y536" s="19"/>
      <c r="Z536" s="5"/>
      <c r="AA536" s="5"/>
      <c r="AB536" s="5"/>
      <c r="AC536" s="5"/>
      <c r="AD536" s="5"/>
      <c r="AE536" s="5"/>
      <c r="AF536" s="5"/>
      <c r="AG536" s="5"/>
      <c r="AH536" s="5"/>
      <c r="AI536" s="5"/>
      <c r="AJ536" s="5"/>
      <c r="AK536" s="5"/>
      <c r="AL536" s="5"/>
      <c r="AM536" s="5"/>
      <c r="AN536" s="5"/>
      <c r="AO536" s="5"/>
      <c r="AP536" s="5"/>
      <c r="AQ536" s="5"/>
      <c r="AR536" s="5"/>
      <c r="AS536" s="21"/>
    </row>
    <row r="537" spans="1:1089" hidden="1">
      <c r="B537" s="1000" t="s">
        <v>867</v>
      </c>
      <c r="C537" s="1000"/>
      <c r="E537" s="475" t="s">
        <v>885</v>
      </c>
      <c r="F537" s="475"/>
      <c r="G537" s="203" t="s">
        <v>65</v>
      </c>
      <c r="H537" s="476"/>
      <c r="I537" s="479">
        <v>0</v>
      </c>
      <c r="J537" s="479">
        <v>1</v>
      </c>
      <c r="K537" s="476"/>
      <c r="L537" s="476"/>
      <c r="M537" s="476"/>
      <c r="N537" s="5"/>
      <c r="O537" s="5"/>
      <c r="P537" s="5"/>
      <c r="Q537" s="5"/>
      <c r="R537" s="5"/>
      <c r="S537" s="5"/>
      <c r="T537" s="5"/>
      <c r="U537" s="5"/>
      <c r="V537" s="5"/>
      <c r="W537" s="5"/>
      <c r="X537" s="5"/>
      <c r="Y537" s="19"/>
      <c r="Z537" s="5"/>
      <c r="AA537" s="5"/>
      <c r="AB537" s="5"/>
      <c r="AC537" s="5"/>
      <c r="AD537" s="5"/>
      <c r="AE537" s="5"/>
      <c r="AF537" s="5"/>
      <c r="AG537" s="5"/>
      <c r="AH537" s="5"/>
      <c r="AI537" s="5"/>
      <c r="AJ537" s="5"/>
      <c r="AK537" s="5"/>
      <c r="AL537" s="5"/>
      <c r="AM537" s="5"/>
      <c r="AN537" s="5"/>
      <c r="AO537" s="5"/>
      <c r="AP537" s="5"/>
      <c r="AQ537" s="5"/>
      <c r="AR537" s="5"/>
      <c r="AS537" s="21"/>
    </row>
    <row r="538" spans="1:1089" hidden="1">
      <c r="B538" s="1000" t="s">
        <v>867</v>
      </c>
      <c r="C538" s="1000"/>
      <c r="E538" s="203" t="s">
        <v>886</v>
      </c>
      <c r="F538" s="475"/>
      <c r="G538" s="203" t="s">
        <v>65</v>
      </c>
      <c r="H538" s="476"/>
      <c r="I538" s="479" t="s">
        <v>166</v>
      </c>
      <c r="J538" s="479"/>
      <c r="K538" s="476"/>
      <c r="L538" s="476"/>
      <c r="M538" s="476"/>
      <c r="N538" s="5"/>
      <c r="O538" s="5"/>
      <c r="P538" s="5"/>
      <c r="Q538" s="5"/>
      <c r="R538" s="5"/>
      <c r="S538" s="5"/>
      <c r="T538" s="5"/>
      <c r="U538" s="5"/>
      <c r="V538" s="5"/>
      <c r="W538" s="5"/>
      <c r="X538" s="5"/>
      <c r="Y538" s="19"/>
      <c r="Z538" s="5"/>
      <c r="AA538" s="5"/>
      <c r="AB538" s="5"/>
      <c r="AC538" s="5"/>
      <c r="AD538" s="5"/>
      <c r="AE538" s="5"/>
      <c r="AF538" s="5"/>
      <c r="AG538" s="5"/>
      <c r="AH538" s="5"/>
      <c r="AI538" s="5"/>
      <c r="AJ538" s="5"/>
      <c r="AK538" s="5"/>
      <c r="AL538" s="5"/>
      <c r="AM538" s="5"/>
      <c r="AN538" s="5"/>
      <c r="AO538" s="5"/>
      <c r="AP538" s="5"/>
      <c r="AQ538" s="5"/>
      <c r="AR538" s="5"/>
      <c r="AS538" s="21"/>
    </row>
    <row r="539" spans="1:1089" hidden="1">
      <c r="B539" s="1000" t="s">
        <v>867</v>
      </c>
      <c r="C539" s="1000"/>
      <c r="E539" s="475" t="s">
        <v>887</v>
      </c>
      <c r="F539" s="475"/>
      <c r="G539" s="203" t="s">
        <v>65</v>
      </c>
      <c r="H539" s="476"/>
      <c r="I539" s="479" t="b">
        <v>0</v>
      </c>
      <c r="J539" s="479" t="b">
        <v>1</v>
      </c>
      <c r="K539" s="476"/>
      <c r="L539" s="476"/>
      <c r="M539" s="476"/>
      <c r="N539" s="5"/>
      <c r="O539" s="5"/>
      <c r="P539" s="5"/>
      <c r="Q539" s="5"/>
      <c r="R539" s="5"/>
      <c r="S539" s="5"/>
      <c r="T539" s="5"/>
      <c r="U539" s="5"/>
      <c r="V539" s="5"/>
      <c r="W539" s="5"/>
      <c r="X539" s="5"/>
      <c r="Y539" s="19"/>
      <c r="Z539" s="5"/>
      <c r="AA539" s="5"/>
      <c r="AB539" s="5"/>
      <c r="AC539" s="5"/>
      <c r="AD539" s="5"/>
      <c r="AE539" s="5"/>
      <c r="AF539" s="5"/>
      <c r="AG539" s="5"/>
      <c r="AH539" s="5"/>
      <c r="AI539" s="5"/>
      <c r="AJ539" s="5"/>
      <c r="AK539" s="5"/>
      <c r="AL539" s="5"/>
      <c r="AM539" s="5"/>
      <c r="AN539" s="5"/>
      <c r="AO539" s="5"/>
      <c r="AP539" s="5"/>
      <c r="AQ539" s="5"/>
      <c r="AR539" s="5"/>
      <c r="AS539" s="21"/>
    </row>
    <row r="540" spans="1:1089" s="36" customFormat="1" hidden="1">
      <c r="A540" s="1005"/>
      <c r="B540" s="1000" t="s">
        <v>867</v>
      </c>
      <c r="C540" s="1000"/>
      <c r="D540" s="724"/>
      <c r="E540" s="330" t="s">
        <v>888</v>
      </c>
      <c r="F540" s="330"/>
      <c r="G540" s="462" t="s">
        <v>65</v>
      </c>
      <c r="H540" s="342"/>
      <c r="I540" s="450" t="s">
        <v>889</v>
      </c>
      <c r="J540" s="450" t="s">
        <v>890</v>
      </c>
      <c r="K540" s="342"/>
      <c r="L540" s="342"/>
      <c r="M540" s="342"/>
      <c r="N540" s="66"/>
      <c r="O540" s="66"/>
      <c r="P540" s="66"/>
      <c r="Q540" s="66"/>
      <c r="R540" s="66"/>
      <c r="S540" s="66"/>
      <c r="T540" s="66"/>
      <c r="U540" s="66"/>
      <c r="V540" s="66"/>
      <c r="W540" s="66"/>
      <c r="X540" s="66"/>
      <c r="Y540" s="19"/>
      <c r="Z540" s="66"/>
      <c r="AA540" s="66"/>
      <c r="AB540" s="66"/>
      <c r="AC540" s="66"/>
      <c r="AD540" s="66"/>
      <c r="AE540" s="66"/>
      <c r="AF540" s="66"/>
      <c r="AG540" s="66"/>
      <c r="AH540" s="66"/>
      <c r="AI540" s="66"/>
      <c r="AJ540" s="66"/>
      <c r="AK540" s="66"/>
      <c r="AL540" s="66"/>
      <c r="AM540" s="66"/>
      <c r="AN540" s="66"/>
      <c r="AO540" s="66"/>
      <c r="AP540" s="66"/>
      <c r="AQ540" s="66"/>
      <c r="AR540" s="66"/>
      <c r="AS540" s="21"/>
    </row>
    <row r="541" spans="1:1089" s="36" customFormat="1" ht="38.25" hidden="1">
      <c r="A541" s="1005"/>
      <c r="B541" s="1000" t="s">
        <v>867</v>
      </c>
      <c r="C541" s="1000"/>
      <c r="D541" s="724"/>
      <c r="E541" s="462" t="s">
        <v>891</v>
      </c>
      <c r="F541" s="330"/>
      <c r="G541" s="462" t="s">
        <v>65</v>
      </c>
      <c r="H541" s="342"/>
      <c r="I541" s="450" t="s">
        <v>892</v>
      </c>
      <c r="J541" s="450" t="s">
        <v>893</v>
      </c>
      <c r="K541" s="342"/>
      <c r="L541" s="342"/>
      <c r="M541" s="342"/>
      <c r="N541" s="66"/>
      <c r="O541" s="66"/>
      <c r="P541" s="66"/>
      <c r="Q541" s="66"/>
      <c r="R541" s="66"/>
      <c r="S541" s="66"/>
      <c r="T541" s="66"/>
      <c r="U541" s="66"/>
      <c r="V541" s="66"/>
      <c r="W541" s="66"/>
      <c r="X541" s="66"/>
      <c r="Y541" s="19"/>
      <c r="Z541" s="66"/>
      <c r="AA541" s="66"/>
      <c r="AB541" s="66"/>
      <c r="AC541" s="66"/>
      <c r="AD541" s="66"/>
      <c r="AE541" s="66"/>
      <c r="AF541" s="66"/>
      <c r="AG541" s="66"/>
      <c r="AH541" s="66"/>
      <c r="AI541" s="66"/>
      <c r="AJ541" s="66"/>
      <c r="AK541" s="66"/>
      <c r="AL541" s="66"/>
      <c r="AM541" s="66"/>
      <c r="AN541" s="66"/>
      <c r="AO541" s="66"/>
      <c r="AP541" s="66"/>
      <c r="AQ541" s="66"/>
      <c r="AR541" s="66"/>
      <c r="AS541" s="21"/>
    </row>
    <row r="542" spans="1:1089" hidden="1">
      <c r="B542" s="1000" t="s">
        <v>867</v>
      </c>
      <c r="C542" s="1000"/>
      <c r="E542" s="5"/>
      <c r="F542" s="5"/>
      <c r="G542" s="5"/>
      <c r="H542" s="15"/>
      <c r="I542" s="74"/>
      <c r="J542" s="15"/>
      <c r="K542" s="15"/>
      <c r="L542" s="15"/>
      <c r="M542" s="15"/>
      <c r="N542" s="15"/>
      <c r="O542" s="15"/>
      <c r="P542" s="15"/>
      <c r="Q542" s="15"/>
      <c r="R542" s="15"/>
      <c r="S542" s="15"/>
      <c r="T542" s="15"/>
      <c r="U542" s="15"/>
      <c r="V542" s="15"/>
      <c r="W542" s="15"/>
      <c r="X542" s="15"/>
      <c r="Y542" s="19"/>
      <c r="Z542" s="5"/>
      <c r="AA542" s="5"/>
      <c r="AB542" s="5"/>
      <c r="AC542" s="5"/>
      <c r="AD542" s="5"/>
      <c r="AE542" s="5"/>
      <c r="AF542" s="5"/>
      <c r="AG542" s="5"/>
      <c r="AH542" s="5"/>
      <c r="AI542" s="5"/>
      <c r="AJ542" s="5"/>
      <c r="AK542" s="5"/>
      <c r="AL542" s="5"/>
      <c r="AM542" s="5"/>
      <c r="AN542" s="5"/>
      <c r="AO542" s="5"/>
      <c r="AP542" s="5"/>
      <c r="AQ542" s="5"/>
      <c r="AR542" s="5"/>
      <c r="AS542" s="21"/>
    </row>
    <row r="543" spans="1:1089" ht="21">
      <c r="A543" s="1004" t="s">
        <v>82</v>
      </c>
      <c r="B543" s="1219" t="s">
        <v>82</v>
      </c>
      <c r="C543" s="1219" t="s">
        <v>82</v>
      </c>
      <c r="D543" s="1234" t="s">
        <v>82</v>
      </c>
      <c r="E543" s="1229" t="s">
        <v>82</v>
      </c>
      <c r="F543" s="1229" t="s">
        <v>82</v>
      </c>
      <c r="G543" s="1229" t="s">
        <v>82</v>
      </c>
      <c r="H543" s="1229" t="s">
        <v>82</v>
      </c>
      <c r="I543" s="1229" t="s">
        <v>82</v>
      </c>
      <c r="J543" s="1229" t="s">
        <v>82</v>
      </c>
      <c r="K543" s="1229" t="s">
        <v>82</v>
      </c>
      <c r="L543" s="1229" t="s">
        <v>82</v>
      </c>
      <c r="M543" s="1229" t="s">
        <v>82</v>
      </c>
      <c r="N543" s="1229" t="s">
        <v>82</v>
      </c>
      <c r="O543" s="1229" t="s">
        <v>82</v>
      </c>
      <c r="P543" s="1229" t="s">
        <v>82</v>
      </c>
      <c r="Q543" s="1229" t="s">
        <v>82</v>
      </c>
      <c r="R543" s="1229" t="s">
        <v>82</v>
      </c>
      <c r="S543" s="1229" t="s">
        <v>82</v>
      </c>
      <c r="T543" s="1229" t="s">
        <v>82</v>
      </c>
      <c r="U543" s="1229" t="s">
        <v>82</v>
      </c>
      <c r="V543" s="1229" t="s">
        <v>82</v>
      </c>
      <c r="W543" s="1229" t="s">
        <v>82</v>
      </c>
      <c r="X543" s="1229" t="s">
        <v>82</v>
      </c>
      <c r="Y543" s="1229" t="s">
        <v>82</v>
      </c>
      <c r="Z543" s="1229" t="s">
        <v>82</v>
      </c>
      <c r="AA543" s="1229" t="s">
        <v>82</v>
      </c>
      <c r="AB543" s="1229" t="s">
        <v>82</v>
      </c>
      <c r="AC543" s="1229" t="s">
        <v>82</v>
      </c>
      <c r="AD543" s="1229" t="s">
        <v>82</v>
      </c>
      <c r="AE543" s="1229" t="s">
        <v>82</v>
      </c>
      <c r="AF543" s="1229" t="s">
        <v>82</v>
      </c>
      <c r="AG543" s="1229" t="s">
        <v>82</v>
      </c>
      <c r="AH543" s="1229" t="s">
        <v>82</v>
      </c>
      <c r="AI543" s="1229" t="s">
        <v>82</v>
      </c>
      <c r="AJ543" s="1229" t="s">
        <v>82</v>
      </c>
      <c r="AK543" s="1229" t="s">
        <v>82</v>
      </c>
      <c r="AL543" s="1229" t="s">
        <v>82</v>
      </c>
      <c r="AM543" s="1229" t="s">
        <v>82</v>
      </c>
      <c r="AN543" s="1229" t="s">
        <v>82</v>
      </c>
      <c r="AO543" s="1229" t="s">
        <v>82</v>
      </c>
      <c r="AP543" s="1229" t="s">
        <v>82</v>
      </c>
      <c r="AQ543" s="1229" t="s">
        <v>82</v>
      </c>
      <c r="AR543" s="1229" t="s">
        <v>82</v>
      </c>
      <c r="AS543" s="1229" t="s">
        <v>82</v>
      </c>
      <c r="AT543" s="1229" t="s">
        <v>82</v>
      </c>
      <c r="AU543" s="1229" t="s">
        <v>82</v>
      </c>
      <c r="AV543" s="1229" t="s">
        <v>82</v>
      </c>
      <c r="AW543" s="1229" t="s">
        <v>82</v>
      </c>
      <c r="AX543" s="1229" t="s">
        <v>82</v>
      </c>
      <c r="AY543" s="1229" t="s">
        <v>82</v>
      </c>
      <c r="AZ543" s="1229" t="s">
        <v>82</v>
      </c>
      <c r="BA543" s="1229" t="s">
        <v>82</v>
      </c>
      <c r="BB543" s="1229" t="s">
        <v>82</v>
      </c>
      <c r="BC543" s="1229" t="s">
        <v>82</v>
      </c>
      <c r="BD543" s="1229" t="s">
        <v>82</v>
      </c>
      <c r="BE543" s="1229" t="s">
        <v>82</v>
      </c>
      <c r="BF543" s="1229" t="s">
        <v>82</v>
      </c>
      <c r="BG543" s="1229" t="s">
        <v>82</v>
      </c>
      <c r="BH543" s="1229" t="s">
        <v>82</v>
      </c>
      <c r="BI543" s="1229" t="s">
        <v>82</v>
      </c>
      <c r="BJ543" s="1229" t="s">
        <v>82</v>
      </c>
      <c r="BK543" s="1229" t="s">
        <v>82</v>
      </c>
      <c r="BL543" s="1229" t="s">
        <v>82</v>
      </c>
      <c r="BM543" s="1229" t="s">
        <v>82</v>
      </c>
      <c r="BN543" s="1229" t="s">
        <v>82</v>
      </c>
      <c r="BO543" s="1229" t="s">
        <v>82</v>
      </c>
      <c r="BP543" s="1229" t="s">
        <v>82</v>
      </c>
      <c r="BQ543" s="1229" t="s">
        <v>82</v>
      </c>
      <c r="BR543" s="1229" t="s">
        <v>82</v>
      </c>
      <c r="BS543" s="1229" t="s">
        <v>82</v>
      </c>
      <c r="BT543" s="1229" t="s">
        <v>82</v>
      </c>
      <c r="BU543" s="1229" t="s">
        <v>82</v>
      </c>
      <c r="BV543" s="1229" t="s">
        <v>82</v>
      </c>
      <c r="BW543" s="1229" t="s">
        <v>82</v>
      </c>
      <c r="BX543" s="1229" t="s">
        <v>82</v>
      </c>
      <c r="BY543" s="1229" t="s">
        <v>82</v>
      </c>
      <c r="BZ543" s="1229" t="s">
        <v>82</v>
      </c>
      <c r="CA543" s="1229" t="s">
        <v>82</v>
      </c>
      <c r="CB543" s="1229" t="s">
        <v>82</v>
      </c>
      <c r="CC543" s="1229" t="s">
        <v>82</v>
      </c>
      <c r="CD543" s="1229" t="s">
        <v>82</v>
      </c>
      <c r="CE543" s="1229" t="s">
        <v>82</v>
      </c>
      <c r="CF543" s="1229" t="s">
        <v>82</v>
      </c>
      <c r="CG543" s="1229" t="s">
        <v>82</v>
      </c>
      <c r="CH543" s="1229" t="s">
        <v>82</v>
      </c>
      <c r="CI543" s="1229" t="s">
        <v>82</v>
      </c>
      <c r="CJ543" s="1229" t="s">
        <v>82</v>
      </c>
      <c r="CK543" s="1229" t="s">
        <v>82</v>
      </c>
      <c r="CL543" s="1229" t="s">
        <v>82</v>
      </c>
      <c r="CM543" s="1229" t="s">
        <v>82</v>
      </c>
      <c r="CN543" s="1229" t="s">
        <v>82</v>
      </c>
      <c r="CO543" s="1229" t="s">
        <v>82</v>
      </c>
      <c r="CP543" s="1229" t="s">
        <v>82</v>
      </c>
      <c r="CQ543" s="1229" t="s">
        <v>82</v>
      </c>
      <c r="CR543" s="1229" t="s">
        <v>82</v>
      </c>
      <c r="CS543" s="1229" t="s">
        <v>82</v>
      </c>
      <c r="CT543" s="1229" t="s">
        <v>82</v>
      </c>
      <c r="CU543" s="1229" t="s">
        <v>82</v>
      </c>
      <c r="CV543" s="1229" t="s">
        <v>82</v>
      </c>
      <c r="CW543" s="1229" t="s">
        <v>82</v>
      </c>
      <c r="CX543" s="1229" t="s">
        <v>82</v>
      </c>
      <c r="CY543" s="1229" t="s">
        <v>82</v>
      </c>
      <c r="CZ543" s="1229" t="s">
        <v>82</v>
      </c>
      <c r="DA543" s="1229" t="s">
        <v>82</v>
      </c>
      <c r="DB543" s="1229" t="s">
        <v>82</v>
      </c>
      <c r="DC543" s="1229" t="s">
        <v>82</v>
      </c>
      <c r="DD543" s="1229" t="s">
        <v>82</v>
      </c>
      <c r="DE543" s="1229" t="s">
        <v>82</v>
      </c>
      <c r="DF543" s="1229" t="s">
        <v>82</v>
      </c>
      <c r="DG543" s="1229" t="s">
        <v>82</v>
      </c>
      <c r="DH543" s="1229" t="s">
        <v>82</v>
      </c>
      <c r="DI543" s="1229" t="s">
        <v>82</v>
      </c>
      <c r="DJ543" s="1229" t="s">
        <v>82</v>
      </c>
      <c r="DK543" s="1229" t="s">
        <v>82</v>
      </c>
      <c r="DL543" s="1229" t="s">
        <v>82</v>
      </c>
      <c r="DM543" s="1229" t="s">
        <v>82</v>
      </c>
      <c r="DN543" s="1229" t="s">
        <v>82</v>
      </c>
      <c r="DO543" s="1229" t="s">
        <v>82</v>
      </c>
      <c r="DP543" s="1229" t="s">
        <v>82</v>
      </c>
      <c r="DQ543" s="1229" t="s">
        <v>82</v>
      </c>
      <c r="DR543" s="1229" t="s">
        <v>82</v>
      </c>
      <c r="DS543" s="1229" t="s">
        <v>82</v>
      </c>
      <c r="DT543" s="1229" t="s">
        <v>82</v>
      </c>
      <c r="DU543" s="1229" t="s">
        <v>82</v>
      </c>
      <c r="DV543" s="1229" t="s">
        <v>82</v>
      </c>
      <c r="DW543" s="1229" t="s">
        <v>82</v>
      </c>
      <c r="DX543" s="1229" t="s">
        <v>82</v>
      </c>
      <c r="DY543" s="1229" t="s">
        <v>82</v>
      </c>
      <c r="DZ543" s="1229" t="s">
        <v>82</v>
      </c>
      <c r="EA543" s="1229" t="s">
        <v>82</v>
      </c>
      <c r="EB543" s="1229" t="s">
        <v>82</v>
      </c>
      <c r="EC543" s="1229" t="s">
        <v>82</v>
      </c>
      <c r="ED543" s="1229" t="s">
        <v>82</v>
      </c>
      <c r="EE543" s="1229" t="s">
        <v>82</v>
      </c>
      <c r="EF543" s="1229" t="s">
        <v>82</v>
      </c>
      <c r="EG543" s="1229" t="s">
        <v>82</v>
      </c>
      <c r="EH543" s="1229" t="s">
        <v>82</v>
      </c>
      <c r="EI543" s="1229" t="s">
        <v>82</v>
      </c>
      <c r="EJ543" s="1229" t="s">
        <v>82</v>
      </c>
      <c r="EK543" s="1229" t="s">
        <v>82</v>
      </c>
      <c r="EL543" s="1229" t="s">
        <v>82</v>
      </c>
      <c r="EM543" s="1229" t="s">
        <v>82</v>
      </c>
      <c r="EN543" s="1229" t="s">
        <v>82</v>
      </c>
      <c r="EO543" s="1229" t="s">
        <v>82</v>
      </c>
      <c r="EP543" s="1229" t="s">
        <v>82</v>
      </c>
      <c r="EQ543" s="1229" t="s">
        <v>82</v>
      </c>
      <c r="ER543" s="1229" t="s">
        <v>82</v>
      </c>
      <c r="ES543" s="1229" t="s">
        <v>82</v>
      </c>
      <c r="ET543" s="1229" t="s">
        <v>82</v>
      </c>
      <c r="EU543" s="1229" t="s">
        <v>82</v>
      </c>
      <c r="EV543" s="1229" t="s">
        <v>82</v>
      </c>
      <c r="EW543" s="1229" t="s">
        <v>82</v>
      </c>
      <c r="EX543" s="1229" t="s">
        <v>82</v>
      </c>
      <c r="EY543" s="1229" t="s">
        <v>82</v>
      </c>
      <c r="EZ543" s="1229" t="s">
        <v>82</v>
      </c>
      <c r="FA543" s="1229" t="s">
        <v>82</v>
      </c>
      <c r="FB543" s="1229" t="s">
        <v>82</v>
      </c>
      <c r="FC543" s="1229" t="s">
        <v>82</v>
      </c>
      <c r="FD543" s="1229" t="s">
        <v>82</v>
      </c>
      <c r="FE543" s="1229" t="s">
        <v>82</v>
      </c>
      <c r="FF543" s="1229" t="s">
        <v>82</v>
      </c>
      <c r="FG543" s="1229" t="s">
        <v>82</v>
      </c>
      <c r="FH543" s="1229" t="s">
        <v>82</v>
      </c>
      <c r="FI543" s="1229" t="s">
        <v>82</v>
      </c>
      <c r="FJ543" s="1229" t="s">
        <v>82</v>
      </c>
      <c r="FK543" s="1229" t="s">
        <v>82</v>
      </c>
      <c r="FL543" s="1229" t="s">
        <v>82</v>
      </c>
      <c r="FM543" s="1229" t="s">
        <v>82</v>
      </c>
      <c r="FN543" s="1229" t="s">
        <v>82</v>
      </c>
      <c r="FO543" s="1229" t="s">
        <v>82</v>
      </c>
      <c r="FP543" s="1229" t="s">
        <v>82</v>
      </c>
      <c r="FQ543" s="1229" t="s">
        <v>82</v>
      </c>
      <c r="FR543" s="1229" t="s">
        <v>82</v>
      </c>
      <c r="FS543" s="1229" t="s">
        <v>82</v>
      </c>
      <c r="FT543" s="1229" t="s">
        <v>82</v>
      </c>
      <c r="FU543" s="1229" t="s">
        <v>82</v>
      </c>
      <c r="FV543" s="1229" t="s">
        <v>82</v>
      </c>
      <c r="FW543" s="1229" t="s">
        <v>82</v>
      </c>
      <c r="FX543" s="1229" t="s">
        <v>82</v>
      </c>
      <c r="FY543" s="1229" t="s">
        <v>82</v>
      </c>
      <c r="FZ543" s="1229" t="s">
        <v>82</v>
      </c>
      <c r="GA543" s="1229" t="s">
        <v>82</v>
      </c>
      <c r="GB543" s="1229" t="s">
        <v>82</v>
      </c>
      <c r="GC543" s="1229" t="s">
        <v>82</v>
      </c>
      <c r="GD543" s="1229" t="s">
        <v>82</v>
      </c>
      <c r="GE543" s="1229" t="s">
        <v>82</v>
      </c>
      <c r="GF543" s="1229" t="s">
        <v>82</v>
      </c>
      <c r="GG543" s="1229" t="s">
        <v>82</v>
      </c>
      <c r="GH543" s="1229" t="s">
        <v>82</v>
      </c>
      <c r="GI543" s="1229" t="s">
        <v>82</v>
      </c>
      <c r="GJ543" s="1229" t="s">
        <v>82</v>
      </c>
      <c r="GK543" s="1229" t="s">
        <v>82</v>
      </c>
      <c r="GL543" s="1229" t="s">
        <v>82</v>
      </c>
      <c r="GM543" s="1229" t="s">
        <v>82</v>
      </c>
      <c r="GN543" s="1229" t="s">
        <v>82</v>
      </c>
      <c r="GO543" s="1229" t="s">
        <v>82</v>
      </c>
      <c r="GP543" s="1229" t="s">
        <v>82</v>
      </c>
      <c r="GQ543" s="1229" t="s">
        <v>82</v>
      </c>
      <c r="GR543" s="1229" t="s">
        <v>82</v>
      </c>
      <c r="GS543" s="1229" t="s">
        <v>82</v>
      </c>
      <c r="GT543" s="1229" t="s">
        <v>82</v>
      </c>
      <c r="GU543" s="1229" t="s">
        <v>82</v>
      </c>
      <c r="GV543" s="1229" t="s">
        <v>82</v>
      </c>
      <c r="GW543" s="1229" t="s">
        <v>82</v>
      </c>
      <c r="GX543" s="1229" t="s">
        <v>82</v>
      </c>
      <c r="GY543" s="1229" t="s">
        <v>82</v>
      </c>
      <c r="GZ543" s="1229" t="s">
        <v>82</v>
      </c>
      <c r="HA543" s="1229" t="s">
        <v>82</v>
      </c>
      <c r="HB543" s="1229" t="s">
        <v>82</v>
      </c>
      <c r="HC543" s="1229" t="s">
        <v>82</v>
      </c>
      <c r="HD543" s="1229" t="s">
        <v>82</v>
      </c>
      <c r="HE543" s="1229" t="s">
        <v>82</v>
      </c>
      <c r="HF543" s="1229" t="s">
        <v>82</v>
      </c>
      <c r="HG543" s="1229" t="s">
        <v>82</v>
      </c>
      <c r="HH543" s="1229" t="s">
        <v>82</v>
      </c>
      <c r="HI543" s="1229" t="s">
        <v>82</v>
      </c>
      <c r="HJ543" s="1229" t="s">
        <v>82</v>
      </c>
      <c r="HK543" s="1229" t="s">
        <v>82</v>
      </c>
      <c r="HL543" s="1229" t="s">
        <v>82</v>
      </c>
      <c r="HM543" s="1229" t="s">
        <v>82</v>
      </c>
      <c r="HN543" s="1229" t="s">
        <v>82</v>
      </c>
      <c r="HO543" s="1229" t="s">
        <v>82</v>
      </c>
      <c r="HP543" s="1229" t="s">
        <v>82</v>
      </c>
      <c r="HQ543" s="1229" t="s">
        <v>82</v>
      </c>
      <c r="HR543" s="1229" t="s">
        <v>82</v>
      </c>
      <c r="HS543" s="1229" t="s">
        <v>82</v>
      </c>
      <c r="HT543" s="1229" t="s">
        <v>82</v>
      </c>
      <c r="HU543" s="1229" t="s">
        <v>82</v>
      </c>
      <c r="HV543" s="1229" t="s">
        <v>82</v>
      </c>
      <c r="HW543" s="1229" t="s">
        <v>82</v>
      </c>
      <c r="HX543" s="1229" t="s">
        <v>82</v>
      </c>
      <c r="HY543" s="1229" t="s">
        <v>82</v>
      </c>
      <c r="HZ543" s="1229" t="s">
        <v>82</v>
      </c>
      <c r="IA543" s="1229" t="s">
        <v>82</v>
      </c>
      <c r="IB543" s="1229" t="s">
        <v>82</v>
      </c>
      <c r="IC543" s="1229" t="s">
        <v>82</v>
      </c>
      <c r="ID543" s="1229" t="s">
        <v>82</v>
      </c>
      <c r="IE543" s="1229" t="s">
        <v>82</v>
      </c>
      <c r="IF543" s="1229" t="s">
        <v>82</v>
      </c>
      <c r="IG543" s="1229" t="s">
        <v>82</v>
      </c>
      <c r="IH543" s="1229" t="s">
        <v>82</v>
      </c>
      <c r="II543" s="1229" t="s">
        <v>82</v>
      </c>
      <c r="IJ543" s="1229" t="s">
        <v>82</v>
      </c>
      <c r="IK543" s="1229" t="s">
        <v>82</v>
      </c>
      <c r="IL543" s="1229" t="s">
        <v>82</v>
      </c>
      <c r="IM543" s="1229" t="s">
        <v>82</v>
      </c>
      <c r="IN543" s="1229" t="s">
        <v>82</v>
      </c>
      <c r="IO543" s="1229" t="s">
        <v>82</v>
      </c>
      <c r="IP543" s="1229" t="s">
        <v>82</v>
      </c>
      <c r="IQ543" s="1229" t="s">
        <v>82</v>
      </c>
      <c r="IR543" s="1229" t="s">
        <v>82</v>
      </c>
      <c r="IS543" s="1229" t="s">
        <v>82</v>
      </c>
      <c r="IT543" s="1229" t="s">
        <v>82</v>
      </c>
      <c r="IU543" s="1229" t="s">
        <v>82</v>
      </c>
      <c r="IV543" s="1229" t="s">
        <v>82</v>
      </c>
      <c r="IW543" s="1229" t="s">
        <v>82</v>
      </c>
      <c r="IX543" s="1229" t="s">
        <v>82</v>
      </c>
      <c r="IY543" s="1229" t="s">
        <v>82</v>
      </c>
      <c r="IZ543" s="1229" t="s">
        <v>82</v>
      </c>
      <c r="JA543" s="1229" t="s">
        <v>82</v>
      </c>
      <c r="JB543" s="1229" t="s">
        <v>82</v>
      </c>
      <c r="JC543" s="1229" t="s">
        <v>82</v>
      </c>
      <c r="JD543" s="1229" t="s">
        <v>82</v>
      </c>
      <c r="JE543" s="1229" t="s">
        <v>82</v>
      </c>
      <c r="JF543" s="1229" t="s">
        <v>82</v>
      </c>
      <c r="JG543" s="1229" t="s">
        <v>82</v>
      </c>
      <c r="JH543" s="1229" t="s">
        <v>82</v>
      </c>
      <c r="JI543" s="1229" t="s">
        <v>82</v>
      </c>
      <c r="JJ543" s="1229" t="s">
        <v>82</v>
      </c>
      <c r="JK543" s="1229" t="s">
        <v>82</v>
      </c>
      <c r="JL543" s="1229" t="s">
        <v>82</v>
      </c>
      <c r="JM543" s="1229" t="s">
        <v>82</v>
      </c>
      <c r="JN543" s="1229" t="s">
        <v>82</v>
      </c>
      <c r="JO543" s="1229" t="s">
        <v>82</v>
      </c>
      <c r="JP543" s="1229" t="s">
        <v>82</v>
      </c>
      <c r="JQ543" s="1229" t="s">
        <v>82</v>
      </c>
      <c r="JR543" s="1229" t="s">
        <v>82</v>
      </c>
      <c r="JS543" s="1229" t="s">
        <v>82</v>
      </c>
      <c r="JT543" s="1229" t="s">
        <v>82</v>
      </c>
      <c r="JU543" s="1229" t="s">
        <v>82</v>
      </c>
      <c r="JV543" s="1229" t="s">
        <v>82</v>
      </c>
      <c r="JW543" s="1229" t="s">
        <v>82</v>
      </c>
      <c r="JX543" s="1229" t="s">
        <v>82</v>
      </c>
      <c r="JY543" s="1229" t="s">
        <v>82</v>
      </c>
      <c r="JZ543" s="1229" t="s">
        <v>82</v>
      </c>
      <c r="KA543" s="1229" t="s">
        <v>82</v>
      </c>
      <c r="KB543" s="1229" t="s">
        <v>82</v>
      </c>
      <c r="KC543" s="1229" t="s">
        <v>82</v>
      </c>
      <c r="KD543" s="1229" t="s">
        <v>82</v>
      </c>
      <c r="KE543" s="1229" t="s">
        <v>82</v>
      </c>
      <c r="KF543" s="1229" t="s">
        <v>82</v>
      </c>
      <c r="KG543" s="1229" t="s">
        <v>82</v>
      </c>
      <c r="KH543" s="1229" t="s">
        <v>82</v>
      </c>
      <c r="KI543" s="1229" t="s">
        <v>82</v>
      </c>
      <c r="KJ543" s="1229" t="s">
        <v>82</v>
      </c>
      <c r="KK543" s="1229" t="s">
        <v>82</v>
      </c>
      <c r="KL543" s="1229" t="s">
        <v>82</v>
      </c>
      <c r="KM543" s="1229" t="s">
        <v>82</v>
      </c>
      <c r="KN543" s="1229" t="s">
        <v>82</v>
      </c>
      <c r="KO543" s="1229" t="s">
        <v>82</v>
      </c>
      <c r="KP543" s="1229" t="s">
        <v>82</v>
      </c>
      <c r="KQ543" s="1229" t="s">
        <v>82</v>
      </c>
      <c r="KR543" s="1229" t="s">
        <v>82</v>
      </c>
      <c r="KS543" s="1229" t="s">
        <v>82</v>
      </c>
      <c r="KT543" s="1229" t="s">
        <v>82</v>
      </c>
      <c r="KU543" s="1229" t="s">
        <v>82</v>
      </c>
      <c r="KV543" s="1229" t="s">
        <v>82</v>
      </c>
      <c r="KW543" s="1229" t="s">
        <v>82</v>
      </c>
      <c r="KX543" s="1229" t="s">
        <v>82</v>
      </c>
      <c r="KY543" s="1229" t="s">
        <v>82</v>
      </c>
      <c r="KZ543" s="1229" t="s">
        <v>82</v>
      </c>
      <c r="LA543" s="1229" t="s">
        <v>82</v>
      </c>
      <c r="LB543" s="1229" t="s">
        <v>82</v>
      </c>
      <c r="LC543" s="1229" t="s">
        <v>82</v>
      </c>
      <c r="LD543" s="1229" t="s">
        <v>82</v>
      </c>
      <c r="LE543" s="1229" t="s">
        <v>82</v>
      </c>
      <c r="LF543" s="1229" t="s">
        <v>82</v>
      </c>
      <c r="LG543" s="1229" t="s">
        <v>82</v>
      </c>
      <c r="LH543" s="1229" t="s">
        <v>82</v>
      </c>
      <c r="LI543" s="1229" t="s">
        <v>82</v>
      </c>
      <c r="LJ543" s="1229" t="s">
        <v>82</v>
      </c>
      <c r="LK543" s="1229" t="s">
        <v>82</v>
      </c>
      <c r="LL543" s="1229" t="s">
        <v>82</v>
      </c>
      <c r="LM543" s="1229" t="s">
        <v>82</v>
      </c>
      <c r="LN543" s="1229" t="s">
        <v>82</v>
      </c>
      <c r="LO543" s="1229" t="s">
        <v>82</v>
      </c>
      <c r="LP543" s="1229" t="s">
        <v>82</v>
      </c>
      <c r="LQ543" s="1229" t="s">
        <v>82</v>
      </c>
      <c r="LR543" s="1229" t="s">
        <v>82</v>
      </c>
      <c r="LS543" s="1229" t="s">
        <v>82</v>
      </c>
      <c r="LT543" s="1229" t="s">
        <v>82</v>
      </c>
      <c r="LU543" s="1229" t="s">
        <v>82</v>
      </c>
      <c r="LV543" s="1229" t="s">
        <v>82</v>
      </c>
      <c r="LW543" s="1229" t="s">
        <v>82</v>
      </c>
      <c r="LX543" s="1229" t="s">
        <v>82</v>
      </c>
      <c r="LY543" s="1229" t="s">
        <v>82</v>
      </c>
      <c r="LZ543" s="1229" t="s">
        <v>82</v>
      </c>
      <c r="MA543" s="1229" t="s">
        <v>82</v>
      </c>
      <c r="MB543" s="1229" t="s">
        <v>82</v>
      </c>
      <c r="MC543" s="1229" t="s">
        <v>82</v>
      </c>
      <c r="MD543" s="1229" t="s">
        <v>82</v>
      </c>
      <c r="ME543" s="1229" t="s">
        <v>82</v>
      </c>
      <c r="MF543" s="1229" t="s">
        <v>82</v>
      </c>
      <c r="MG543" s="1229" t="s">
        <v>82</v>
      </c>
      <c r="MH543" s="1229" t="s">
        <v>82</v>
      </c>
      <c r="MI543" s="1229" t="s">
        <v>82</v>
      </c>
      <c r="MJ543" s="1229" t="s">
        <v>82</v>
      </c>
      <c r="MK543" s="1229" t="s">
        <v>82</v>
      </c>
      <c r="ML543" s="1229" t="s">
        <v>82</v>
      </c>
      <c r="MM543" s="1229" t="s">
        <v>82</v>
      </c>
      <c r="MN543" s="1229" t="s">
        <v>82</v>
      </c>
      <c r="MO543" s="1229" t="s">
        <v>82</v>
      </c>
      <c r="MP543" s="1229" t="s">
        <v>82</v>
      </c>
      <c r="MQ543" s="1229" t="s">
        <v>82</v>
      </c>
      <c r="MR543" s="1229" t="s">
        <v>82</v>
      </c>
      <c r="MS543" s="1229" t="s">
        <v>82</v>
      </c>
      <c r="MT543" s="1229" t="s">
        <v>82</v>
      </c>
      <c r="MU543" s="1229" t="s">
        <v>82</v>
      </c>
      <c r="MV543" s="1229" t="s">
        <v>82</v>
      </c>
      <c r="MW543" s="1229" t="s">
        <v>82</v>
      </c>
      <c r="MX543" s="1229" t="s">
        <v>82</v>
      </c>
      <c r="MY543" s="1229" t="s">
        <v>82</v>
      </c>
      <c r="MZ543" s="1229" t="s">
        <v>82</v>
      </c>
      <c r="NA543" s="1229" t="s">
        <v>82</v>
      </c>
      <c r="NB543" s="1229" t="s">
        <v>82</v>
      </c>
      <c r="NC543" s="1229" t="s">
        <v>82</v>
      </c>
      <c r="ND543" s="1229" t="s">
        <v>82</v>
      </c>
      <c r="NE543" s="1229" t="s">
        <v>82</v>
      </c>
      <c r="NF543" s="1229" t="s">
        <v>82</v>
      </c>
      <c r="NG543" s="1229" t="s">
        <v>82</v>
      </c>
      <c r="NH543" s="1229" t="s">
        <v>82</v>
      </c>
      <c r="NI543" s="1229" t="s">
        <v>82</v>
      </c>
      <c r="NJ543" s="1229" t="s">
        <v>82</v>
      </c>
      <c r="NK543" s="1229" t="s">
        <v>82</v>
      </c>
      <c r="NL543" s="1229" t="s">
        <v>82</v>
      </c>
      <c r="NM543" s="1229" t="s">
        <v>82</v>
      </c>
      <c r="NN543" s="1229" t="s">
        <v>82</v>
      </c>
      <c r="NO543" s="1229" t="s">
        <v>82</v>
      </c>
      <c r="NP543" s="1229" t="s">
        <v>82</v>
      </c>
      <c r="NQ543" s="1229" t="s">
        <v>82</v>
      </c>
      <c r="NR543" s="1229" t="s">
        <v>82</v>
      </c>
      <c r="NS543" s="1229" t="s">
        <v>82</v>
      </c>
      <c r="NT543" s="1229" t="s">
        <v>82</v>
      </c>
      <c r="NU543" s="1229" t="s">
        <v>82</v>
      </c>
      <c r="NV543" s="1229" t="s">
        <v>82</v>
      </c>
      <c r="NW543" s="1229" t="s">
        <v>82</v>
      </c>
      <c r="NX543" s="1229" t="s">
        <v>82</v>
      </c>
      <c r="NY543" s="1229" t="s">
        <v>82</v>
      </c>
      <c r="NZ543" s="1229" t="s">
        <v>82</v>
      </c>
      <c r="OA543" s="1229" t="s">
        <v>82</v>
      </c>
      <c r="OB543" s="1229" t="s">
        <v>82</v>
      </c>
      <c r="OC543" s="1229" t="s">
        <v>82</v>
      </c>
      <c r="OD543" s="1229" t="s">
        <v>82</v>
      </c>
      <c r="OE543" s="1229" t="s">
        <v>82</v>
      </c>
      <c r="OF543" s="1229" t="s">
        <v>82</v>
      </c>
      <c r="OG543" s="1229" t="s">
        <v>82</v>
      </c>
      <c r="OH543" s="1229" t="s">
        <v>82</v>
      </c>
      <c r="OI543" s="1229" t="s">
        <v>82</v>
      </c>
      <c r="OJ543" s="1229" t="s">
        <v>82</v>
      </c>
      <c r="OK543" s="1229" t="s">
        <v>82</v>
      </c>
      <c r="OL543" s="1229" t="s">
        <v>82</v>
      </c>
      <c r="OM543" s="1229" t="s">
        <v>82</v>
      </c>
      <c r="ON543" s="1229" t="s">
        <v>82</v>
      </c>
      <c r="OO543" s="1229" t="s">
        <v>82</v>
      </c>
      <c r="OP543" s="1229" t="s">
        <v>82</v>
      </c>
      <c r="OQ543" s="1229" t="s">
        <v>82</v>
      </c>
      <c r="OR543" s="1229" t="s">
        <v>82</v>
      </c>
      <c r="OS543" s="1229" t="s">
        <v>82</v>
      </c>
      <c r="OT543" s="1229" t="s">
        <v>82</v>
      </c>
      <c r="OU543" s="1229" t="s">
        <v>82</v>
      </c>
      <c r="OV543" s="1229" t="s">
        <v>82</v>
      </c>
      <c r="OW543" s="1229" t="s">
        <v>82</v>
      </c>
      <c r="OX543" s="1229" t="s">
        <v>82</v>
      </c>
      <c r="OY543" s="1229" t="s">
        <v>82</v>
      </c>
      <c r="OZ543" s="1229" t="s">
        <v>82</v>
      </c>
      <c r="PA543" s="1229" t="s">
        <v>82</v>
      </c>
      <c r="PB543" s="1229" t="s">
        <v>82</v>
      </c>
      <c r="PC543" s="1229" t="s">
        <v>82</v>
      </c>
      <c r="PD543" s="1229" t="s">
        <v>82</v>
      </c>
      <c r="PE543" s="1229" t="s">
        <v>82</v>
      </c>
      <c r="PF543" s="1229" t="s">
        <v>82</v>
      </c>
      <c r="PG543" s="1229" t="s">
        <v>82</v>
      </c>
      <c r="PH543" s="1229" t="s">
        <v>82</v>
      </c>
      <c r="PI543" s="1229" t="s">
        <v>82</v>
      </c>
      <c r="PJ543" s="1229" t="s">
        <v>82</v>
      </c>
      <c r="PK543" s="1229" t="s">
        <v>82</v>
      </c>
      <c r="PL543" s="1229" t="s">
        <v>82</v>
      </c>
      <c r="PM543" s="1229" t="s">
        <v>82</v>
      </c>
      <c r="PN543" s="1229" t="s">
        <v>82</v>
      </c>
      <c r="PO543" s="1229" t="s">
        <v>82</v>
      </c>
      <c r="PP543" s="1229" t="s">
        <v>82</v>
      </c>
      <c r="PQ543" s="1229" t="s">
        <v>82</v>
      </c>
      <c r="PR543" s="1229" t="s">
        <v>82</v>
      </c>
      <c r="PS543" s="1229" t="s">
        <v>82</v>
      </c>
      <c r="PT543" s="1229" t="s">
        <v>82</v>
      </c>
      <c r="PU543" s="1229" t="s">
        <v>82</v>
      </c>
      <c r="PV543" s="1229" t="s">
        <v>82</v>
      </c>
      <c r="PW543" s="1229" t="s">
        <v>82</v>
      </c>
      <c r="PX543" s="1229" t="s">
        <v>82</v>
      </c>
      <c r="PY543" s="1229" t="s">
        <v>82</v>
      </c>
      <c r="PZ543" s="1229" t="s">
        <v>82</v>
      </c>
      <c r="QA543" s="1229" t="s">
        <v>82</v>
      </c>
      <c r="QB543" s="1229" t="s">
        <v>82</v>
      </c>
      <c r="QC543" s="1229" t="s">
        <v>82</v>
      </c>
      <c r="QD543" s="1229" t="s">
        <v>82</v>
      </c>
      <c r="QE543" s="1229" t="s">
        <v>82</v>
      </c>
      <c r="QF543" s="1229" t="s">
        <v>82</v>
      </c>
      <c r="QG543" s="1229" t="s">
        <v>82</v>
      </c>
      <c r="QH543" s="1229" t="s">
        <v>82</v>
      </c>
      <c r="QI543" s="1229" t="s">
        <v>82</v>
      </c>
      <c r="QJ543" s="1229" t="s">
        <v>82</v>
      </c>
      <c r="QK543" s="1229" t="s">
        <v>82</v>
      </c>
      <c r="QL543" s="1229" t="s">
        <v>82</v>
      </c>
      <c r="QM543" s="1229" t="s">
        <v>82</v>
      </c>
      <c r="QN543" s="1229" t="s">
        <v>82</v>
      </c>
      <c r="QO543" s="1229" t="s">
        <v>82</v>
      </c>
      <c r="QP543" s="1229" t="s">
        <v>82</v>
      </c>
      <c r="QQ543" s="1229" t="s">
        <v>82</v>
      </c>
      <c r="QR543" s="1229" t="s">
        <v>82</v>
      </c>
      <c r="QS543" s="1229" t="s">
        <v>82</v>
      </c>
      <c r="QT543" s="1229" t="s">
        <v>82</v>
      </c>
      <c r="QU543" s="1229" t="s">
        <v>82</v>
      </c>
      <c r="QV543" s="1229" t="s">
        <v>82</v>
      </c>
      <c r="QW543" s="1229" t="s">
        <v>82</v>
      </c>
      <c r="QX543" s="1229" t="s">
        <v>82</v>
      </c>
      <c r="QY543" s="1229" t="s">
        <v>82</v>
      </c>
      <c r="QZ543" s="1229" t="s">
        <v>82</v>
      </c>
      <c r="RA543" s="1229" t="s">
        <v>82</v>
      </c>
      <c r="RB543" s="1229" t="s">
        <v>82</v>
      </c>
      <c r="RC543" s="1229" t="s">
        <v>82</v>
      </c>
      <c r="RD543" s="1229" t="s">
        <v>82</v>
      </c>
      <c r="RE543" s="1229" t="s">
        <v>82</v>
      </c>
      <c r="RF543" s="1229" t="s">
        <v>82</v>
      </c>
      <c r="RG543" s="1229" t="s">
        <v>82</v>
      </c>
      <c r="RH543" s="1229" t="s">
        <v>82</v>
      </c>
      <c r="RI543" s="1229" t="s">
        <v>82</v>
      </c>
      <c r="RJ543" s="1229" t="s">
        <v>82</v>
      </c>
      <c r="RK543" s="1229" t="s">
        <v>82</v>
      </c>
      <c r="RL543" s="1229" t="s">
        <v>82</v>
      </c>
      <c r="RM543" s="1229" t="s">
        <v>82</v>
      </c>
      <c r="RN543" s="1229" t="s">
        <v>82</v>
      </c>
      <c r="RO543" s="1229" t="s">
        <v>82</v>
      </c>
      <c r="RP543" s="1229" t="s">
        <v>82</v>
      </c>
      <c r="RQ543" s="1229" t="s">
        <v>82</v>
      </c>
      <c r="RR543" s="1229" t="s">
        <v>82</v>
      </c>
      <c r="RS543" s="1229" t="s">
        <v>82</v>
      </c>
      <c r="RT543" s="1229" t="s">
        <v>82</v>
      </c>
      <c r="RU543" s="1229" t="s">
        <v>82</v>
      </c>
      <c r="RV543" s="1229" t="s">
        <v>82</v>
      </c>
      <c r="RW543" s="1229" t="s">
        <v>82</v>
      </c>
      <c r="RX543" s="1229" t="s">
        <v>82</v>
      </c>
      <c r="RY543" s="1229" t="s">
        <v>82</v>
      </c>
      <c r="RZ543" s="1229" t="s">
        <v>82</v>
      </c>
      <c r="SA543" s="1229" t="s">
        <v>82</v>
      </c>
      <c r="SB543" s="1229" t="s">
        <v>82</v>
      </c>
      <c r="SC543" s="1229" t="s">
        <v>82</v>
      </c>
      <c r="SD543" s="1229" t="s">
        <v>82</v>
      </c>
      <c r="SE543" s="1229" t="s">
        <v>82</v>
      </c>
      <c r="SF543" s="1229" t="s">
        <v>82</v>
      </c>
      <c r="SG543" s="1229" t="s">
        <v>82</v>
      </c>
      <c r="SH543" s="1229" t="s">
        <v>82</v>
      </c>
      <c r="SI543" s="1229" t="s">
        <v>82</v>
      </c>
      <c r="SJ543" s="1229" t="s">
        <v>82</v>
      </c>
      <c r="SK543" s="1229" t="s">
        <v>82</v>
      </c>
      <c r="SL543" s="1229" t="s">
        <v>82</v>
      </c>
      <c r="SM543" s="1229" t="s">
        <v>82</v>
      </c>
      <c r="SN543" s="1229" t="s">
        <v>82</v>
      </c>
      <c r="SO543" s="1229" t="s">
        <v>82</v>
      </c>
      <c r="SP543" s="1229" t="s">
        <v>82</v>
      </c>
      <c r="SQ543" s="1229" t="s">
        <v>82</v>
      </c>
      <c r="SR543" s="1229" t="s">
        <v>82</v>
      </c>
      <c r="SS543" s="1229" t="s">
        <v>82</v>
      </c>
      <c r="ST543" s="1229" t="s">
        <v>82</v>
      </c>
      <c r="SU543" s="1229" t="s">
        <v>82</v>
      </c>
      <c r="SV543" s="1229" t="s">
        <v>82</v>
      </c>
      <c r="SW543" s="1229" t="s">
        <v>82</v>
      </c>
      <c r="SX543" s="1229" t="s">
        <v>82</v>
      </c>
      <c r="SY543" s="1229" t="s">
        <v>82</v>
      </c>
      <c r="SZ543" s="1229" t="s">
        <v>82</v>
      </c>
      <c r="TA543" s="1229" t="s">
        <v>82</v>
      </c>
      <c r="TB543" s="1229" t="s">
        <v>82</v>
      </c>
      <c r="TC543" s="1229" t="s">
        <v>82</v>
      </c>
      <c r="TD543" s="1229" t="s">
        <v>82</v>
      </c>
      <c r="TE543" s="1229" t="s">
        <v>82</v>
      </c>
      <c r="TF543" s="1229" t="s">
        <v>82</v>
      </c>
      <c r="TG543" s="1229" t="s">
        <v>82</v>
      </c>
      <c r="TH543" s="1229" t="s">
        <v>82</v>
      </c>
      <c r="TI543" s="1229" t="s">
        <v>82</v>
      </c>
      <c r="TJ543" s="1229" t="s">
        <v>82</v>
      </c>
      <c r="TK543" s="1229" t="s">
        <v>82</v>
      </c>
      <c r="TL543" s="1229" t="s">
        <v>82</v>
      </c>
      <c r="TM543" s="1229" t="s">
        <v>82</v>
      </c>
      <c r="TN543" s="1229" t="s">
        <v>82</v>
      </c>
      <c r="TO543" s="1229" t="s">
        <v>82</v>
      </c>
      <c r="TP543" s="1229" t="s">
        <v>82</v>
      </c>
      <c r="TQ543" s="1229" t="s">
        <v>82</v>
      </c>
      <c r="TR543" s="1229" t="s">
        <v>82</v>
      </c>
      <c r="TS543" s="1229" t="s">
        <v>82</v>
      </c>
      <c r="TT543" s="1229" t="s">
        <v>82</v>
      </c>
      <c r="TU543" s="1229" t="s">
        <v>82</v>
      </c>
      <c r="TV543" s="1229" t="s">
        <v>82</v>
      </c>
      <c r="TW543" s="1229" t="s">
        <v>82</v>
      </c>
      <c r="TX543" s="1229" t="s">
        <v>82</v>
      </c>
      <c r="TY543" s="1229" t="s">
        <v>82</v>
      </c>
      <c r="TZ543" s="1229" t="s">
        <v>82</v>
      </c>
      <c r="UA543" s="1229" t="s">
        <v>82</v>
      </c>
      <c r="UB543" s="1229" t="s">
        <v>82</v>
      </c>
      <c r="UC543" s="1229" t="s">
        <v>82</v>
      </c>
      <c r="UD543" s="1229" t="s">
        <v>82</v>
      </c>
      <c r="UE543" s="1229" t="s">
        <v>82</v>
      </c>
      <c r="UF543" s="1229" t="s">
        <v>82</v>
      </c>
      <c r="UG543" s="1229" t="s">
        <v>82</v>
      </c>
      <c r="UH543" s="1229" t="s">
        <v>82</v>
      </c>
      <c r="UI543" s="1229" t="s">
        <v>82</v>
      </c>
      <c r="UJ543" s="1229" t="s">
        <v>82</v>
      </c>
      <c r="UK543" s="1229" t="s">
        <v>82</v>
      </c>
      <c r="UL543" s="1229" t="s">
        <v>82</v>
      </c>
      <c r="UM543" s="1229" t="s">
        <v>82</v>
      </c>
      <c r="UN543" s="1229" t="s">
        <v>82</v>
      </c>
      <c r="UO543" s="1229" t="s">
        <v>82</v>
      </c>
      <c r="UP543" s="1229" t="s">
        <v>82</v>
      </c>
      <c r="UQ543" s="1229" t="s">
        <v>82</v>
      </c>
      <c r="UR543" s="1229" t="s">
        <v>82</v>
      </c>
      <c r="US543" s="1229" t="s">
        <v>82</v>
      </c>
      <c r="UT543" s="1229" t="s">
        <v>82</v>
      </c>
      <c r="UU543" s="1229" t="s">
        <v>82</v>
      </c>
      <c r="UV543" s="1229" t="s">
        <v>82</v>
      </c>
      <c r="UW543" s="1229" t="s">
        <v>82</v>
      </c>
      <c r="UX543" s="1229" t="s">
        <v>82</v>
      </c>
      <c r="UY543" s="1229" t="s">
        <v>82</v>
      </c>
      <c r="UZ543" s="1229" t="s">
        <v>82</v>
      </c>
      <c r="VA543" s="1229" t="s">
        <v>82</v>
      </c>
      <c r="VB543" s="1229" t="s">
        <v>82</v>
      </c>
      <c r="VC543" s="1229" t="s">
        <v>82</v>
      </c>
      <c r="VD543" s="1229" t="s">
        <v>82</v>
      </c>
      <c r="VE543" s="1229" t="s">
        <v>82</v>
      </c>
      <c r="VF543" s="1229" t="s">
        <v>82</v>
      </c>
      <c r="VG543" s="1229" t="s">
        <v>82</v>
      </c>
      <c r="VH543" s="1229" t="s">
        <v>82</v>
      </c>
      <c r="VI543" s="1229" t="s">
        <v>82</v>
      </c>
      <c r="VJ543" s="1229" t="s">
        <v>82</v>
      </c>
      <c r="VK543" s="1229" t="s">
        <v>82</v>
      </c>
      <c r="VL543" s="1229" t="s">
        <v>82</v>
      </c>
      <c r="VM543" s="1229" t="s">
        <v>82</v>
      </c>
      <c r="VN543" s="1229" t="s">
        <v>82</v>
      </c>
      <c r="VO543" s="1229" t="s">
        <v>82</v>
      </c>
      <c r="VP543" s="1229" t="s">
        <v>82</v>
      </c>
      <c r="VQ543" s="1229" t="s">
        <v>82</v>
      </c>
      <c r="VR543" s="1229" t="s">
        <v>82</v>
      </c>
      <c r="VS543" s="1229" t="s">
        <v>82</v>
      </c>
      <c r="VT543" s="1229" t="s">
        <v>82</v>
      </c>
      <c r="VU543" s="1229" t="s">
        <v>82</v>
      </c>
      <c r="VV543" s="1229" t="s">
        <v>82</v>
      </c>
      <c r="VW543" s="1229" t="s">
        <v>82</v>
      </c>
      <c r="VX543" s="1229" t="s">
        <v>82</v>
      </c>
      <c r="VY543" s="1229" t="s">
        <v>82</v>
      </c>
      <c r="VZ543" s="1229" t="s">
        <v>82</v>
      </c>
      <c r="WA543" s="1229" t="s">
        <v>82</v>
      </c>
      <c r="WB543" s="1229" t="s">
        <v>82</v>
      </c>
      <c r="WC543" s="1229" t="s">
        <v>82</v>
      </c>
      <c r="WD543" s="1229" t="s">
        <v>82</v>
      </c>
      <c r="WE543" s="1229" t="s">
        <v>82</v>
      </c>
      <c r="WF543" s="1229" t="s">
        <v>82</v>
      </c>
      <c r="WG543" s="1229" t="s">
        <v>82</v>
      </c>
      <c r="WH543" s="1229" t="s">
        <v>82</v>
      </c>
      <c r="WI543" s="1229" t="s">
        <v>82</v>
      </c>
      <c r="WJ543" s="1229" t="s">
        <v>82</v>
      </c>
      <c r="WK543" s="1229" t="s">
        <v>82</v>
      </c>
      <c r="WL543" s="1229" t="s">
        <v>82</v>
      </c>
      <c r="WM543" s="1229" t="s">
        <v>82</v>
      </c>
      <c r="WN543" s="1229" t="s">
        <v>82</v>
      </c>
      <c r="WO543" s="1229" t="s">
        <v>82</v>
      </c>
      <c r="WP543" s="1229" t="s">
        <v>82</v>
      </c>
      <c r="WQ543" s="1229" t="s">
        <v>82</v>
      </c>
      <c r="WR543" s="1229" t="s">
        <v>82</v>
      </c>
      <c r="WS543" s="1229" t="s">
        <v>82</v>
      </c>
      <c r="WT543" s="1229" t="s">
        <v>82</v>
      </c>
      <c r="WU543" s="1229" t="s">
        <v>82</v>
      </c>
      <c r="WV543" s="1229" t="s">
        <v>82</v>
      </c>
      <c r="WW543" s="1229" t="s">
        <v>82</v>
      </c>
      <c r="WX543" s="1229" t="s">
        <v>82</v>
      </c>
      <c r="WY543" s="1229" t="s">
        <v>82</v>
      </c>
      <c r="WZ543" s="1229" t="s">
        <v>82</v>
      </c>
      <c r="XA543" s="1229" t="s">
        <v>82</v>
      </c>
      <c r="XB543" s="1229" t="s">
        <v>82</v>
      </c>
      <c r="XC543" s="1229" t="s">
        <v>82</v>
      </c>
      <c r="XD543" s="1229" t="s">
        <v>82</v>
      </c>
      <c r="XE543" s="1229" t="s">
        <v>82</v>
      </c>
      <c r="XF543" s="1229" t="s">
        <v>82</v>
      </c>
      <c r="XG543" s="1229" t="s">
        <v>82</v>
      </c>
      <c r="XH543" s="1229" t="s">
        <v>82</v>
      </c>
      <c r="XI543" s="1229" t="s">
        <v>82</v>
      </c>
      <c r="XJ543" s="1229" t="s">
        <v>82</v>
      </c>
      <c r="XK543" s="1229" t="s">
        <v>82</v>
      </c>
      <c r="XL543" s="1229" t="s">
        <v>82</v>
      </c>
      <c r="XM543" s="1229" t="s">
        <v>82</v>
      </c>
      <c r="XN543" s="1229" t="s">
        <v>82</v>
      </c>
      <c r="XO543" s="1229" t="s">
        <v>82</v>
      </c>
      <c r="XP543" s="1229" t="s">
        <v>82</v>
      </c>
      <c r="XQ543" s="1229" t="s">
        <v>82</v>
      </c>
      <c r="XR543" s="1229" t="s">
        <v>82</v>
      </c>
      <c r="XS543" s="1229" t="s">
        <v>82</v>
      </c>
      <c r="XT543" s="1229" t="s">
        <v>82</v>
      </c>
      <c r="XU543" s="1229" t="s">
        <v>82</v>
      </c>
      <c r="XV543" s="1229" t="s">
        <v>82</v>
      </c>
      <c r="XW543" s="1229" t="s">
        <v>82</v>
      </c>
      <c r="XX543" s="1229" t="s">
        <v>82</v>
      </c>
      <c r="XY543" s="1229" t="s">
        <v>82</v>
      </c>
      <c r="XZ543" s="1229" t="s">
        <v>82</v>
      </c>
      <c r="YA543" s="1229" t="s">
        <v>82</v>
      </c>
      <c r="YB543" s="1229" t="s">
        <v>82</v>
      </c>
      <c r="YC543" s="1229" t="s">
        <v>82</v>
      </c>
      <c r="YD543" s="1229" t="s">
        <v>82</v>
      </c>
      <c r="YE543" s="1229" t="s">
        <v>82</v>
      </c>
      <c r="YF543" s="1229" t="s">
        <v>82</v>
      </c>
      <c r="YG543" s="1229" t="s">
        <v>82</v>
      </c>
      <c r="YH543" s="1229" t="s">
        <v>82</v>
      </c>
      <c r="YI543" s="1229" t="s">
        <v>82</v>
      </c>
      <c r="YJ543" s="1229" t="s">
        <v>82</v>
      </c>
      <c r="YK543" s="1229" t="s">
        <v>82</v>
      </c>
      <c r="YL543" s="1229" t="s">
        <v>82</v>
      </c>
      <c r="YM543" s="1229" t="s">
        <v>82</v>
      </c>
      <c r="YN543" s="1229" t="s">
        <v>82</v>
      </c>
      <c r="YO543" s="1229" t="s">
        <v>82</v>
      </c>
      <c r="YP543" s="1229" t="s">
        <v>82</v>
      </c>
      <c r="YQ543" s="1229" t="s">
        <v>82</v>
      </c>
      <c r="YR543" s="1229" t="s">
        <v>82</v>
      </c>
      <c r="YS543" s="1229" t="s">
        <v>82</v>
      </c>
      <c r="YT543" s="1229" t="s">
        <v>82</v>
      </c>
      <c r="YU543" s="1229" t="s">
        <v>82</v>
      </c>
      <c r="YV543" s="1229" t="s">
        <v>82</v>
      </c>
      <c r="YW543" s="1229" t="s">
        <v>82</v>
      </c>
      <c r="YX543" s="1229" t="s">
        <v>82</v>
      </c>
      <c r="YY543" s="1229" t="s">
        <v>82</v>
      </c>
      <c r="YZ543" s="1229" t="s">
        <v>82</v>
      </c>
      <c r="ZA543" s="1229" t="s">
        <v>82</v>
      </c>
      <c r="ZB543" s="1229" t="s">
        <v>82</v>
      </c>
      <c r="ZC543" s="1229" t="s">
        <v>82</v>
      </c>
      <c r="ZD543" s="1229" t="s">
        <v>82</v>
      </c>
      <c r="ZE543" s="1229" t="s">
        <v>82</v>
      </c>
      <c r="ZF543" s="1229" t="s">
        <v>82</v>
      </c>
      <c r="ZG543" s="1229" t="s">
        <v>82</v>
      </c>
      <c r="ZH543" s="1229" t="s">
        <v>82</v>
      </c>
      <c r="ZI543" s="1229" t="s">
        <v>82</v>
      </c>
      <c r="ZJ543" s="1229" t="s">
        <v>82</v>
      </c>
      <c r="ZK543" s="1229" t="s">
        <v>82</v>
      </c>
      <c r="ZL543" s="1229" t="s">
        <v>82</v>
      </c>
      <c r="ZM543" s="1229" t="s">
        <v>82</v>
      </c>
      <c r="ZN543" s="1229" t="s">
        <v>82</v>
      </c>
      <c r="ZO543" s="1229" t="s">
        <v>82</v>
      </c>
      <c r="ZP543" s="1229" t="s">
        <v>82</v>
      </c>
      <c r="ZQ543" s="1229" t="s">
        <v>82</v>
      </c>
      <c r="ZR543" s="1229" t="s">
        <v>82</v>
      </c>
      <c r="ZS543" s="1229" t="s">
        <v>82</v>
      </c>
      <c r="ZT543" s="1229" t="s">
        <v>82</v>
      </c>
      <c r="ZU543" s="1229" t="s">
        <v>82</v>
      </c>
      <c r="ZV543" s="1229" t="s">
        <v>82</v>
      </c>
      <c r="ZW543" s="1229" t="s">
        <v>82</v>
      </c>
      <c r="ZX543" s="1229" t="s">
        <v>82</v>
      </c>
      <c r="ZY543" s="1229" t="s">
        <v>82</v>
      </c>
      <c r="ZZ543" s="1229" t="s">
        <v>82</v>
      </c>
      <c r="AAA543" s="1229" t="s">
        <v>82</v>
      </c>
      <c r="AAB543" s="1229" t="s">
        <v>82</v>
      </c>
      <c r="AAC543" s="1229" t="s">
        <v>82</v>
      </c>
      <c r="AAD543" s="1229" t="s">
        <v>82</v>
      </c>
      <c r="AAE543" s="1229" t="s">
        <v>82</v>
      </c>
      <c r="AAF543" s="1229" t="s">
        <v>82</v>
      </c>
      <c r="AAG543" s="1229" t="s">
        <v>82</v>
      </c>
      <c r="AAH543" s="1229" t="s">
        <v>82</v>
      </c>
      <c r="AAI543" s="1229" t="s">
        <v>82</v>
      </c>
      <c r="AAJ543" s="1229" t="s">
        <v>82</v>
      </c>
      <c r="AAK543" s="1229" t="s">
        <v>82</v>
      </c>
      <c r="AAL543" s="1229" t="s">
        <v>82</v>
      </c>
      <c r="AAM543" s="1229" t="s">
        <v>82</v>
      </c>
      <c r="AAN543" s="1229" t="s">
        <v>82</v>
      </c>
      <c r="AAO543" s="1229" t="s">
        <v>82</v>
      </c>
      <c r="AAP543" s="1229" t="s">
        <v>82</v>
      </c>
      <c r="AAQ543" s="1229" t="s">
        <v>82</v>
      </c>
      <c r="AAR543" s="1229" t="s">
        <v>82</v>
      </c>
      <c r="AAS543" s="1229" t="s">
        <v>82</v>
      </c>
      <c r="AAT543" s="1229" t="s">
        <v>82</v>
      </c>
      <c r="AAU543" s="1229" t="s">
        <v>82</v>
      </c>
      <c r="AAV543" s="1229" t="s">
        <v>82</v>
      </c>
      <c r="AAW543" s="1229" t="s">
        <v>82</v>
      </c>
      <c r="AAX543" s="1229" t="s">
        <v>82</v>
      </c>
      <c r="AAY543" s="1229" t="s">
        <v>82</v>
      </c>
      <c r="AAZ543" s="1229" t="s">
        <v>82</v>
      </c>
      <c r="ABA543" s="1229" t="s">
        <v>82</v>
      </c>
      <c r="ABB543" s="1229" t="s">
        <v>82</v>
      </c>
      <c r="ABC543" s="1229" t="s">
        <v>82</v>
      </c>
      <c r="ABD543" s="1229" t="s">
        <v>82</v>
      </c>
      <c r="ABE543" s="1229" t="s">
        <v>82</v>
      </c>
      <c r="ABF543" s="1229" t="s">
        <v>82</v>
      </c>
      <c r="ABG543" s="1229" t="s">
        <v>82</v>
      </c>
      <c r="ABH543" s="1229" t="s">
        <v>82</v>
      </c>
      <c r="ABI543" s="1229" t="s">
        <v>82</v>
      </c>
      <c r="ABJ543" s="1229" t="s">
        <v>82</v>
      </c>
      <c r="ABK543" s="1229" t="s">
        <v>82</v>
      </c>
      <c r="ABL543" s="1229" t="s">
        <v>82</v>
      </c>
      <c r="ABM543" s="1229" t="s">
        <v>82</v>
      </c>
      <c r="ABN543" s="1229" t="s">
        <v>82</v>
      </c>
      <c r="ABO543" s="1229" t="s">
        <v>82</v>
      </c>
      <c r="ABP543" s="1229" t="s">
        <v>82</v>
      </c>
      <c r="ABQ543" s="1229" t="s">
        <v>82</v>
      </c>
      <c r="ABR543" s="1229" t="s">
        <v>82</v>
      </c>
      <c r="ABS543" s="1229" t="s">
        <v>82</v>
      </c>
      <c r="ABT543" s="1229" t="s">
        <v>82</v>
      </c>
      <c r="ABU543" s="1229" t="s">
        <v>82</v>
      </c>
      <c r="ABV543" s="1229" t="s">
        <v>82</v>
      </c>
      <c r="ABW543" s="1229" t="s">
        <v>82</v>
      </c>
      <c r="ABX543" s="1229" t="s">
        <v>82</v>
      </c>
      <c r="ABY543" s="1229" t="s">
        <v>82</v>
      </c>
      <c r="ABZ543" s="1229" t="s">
        <v>82</v>
      </c>
      <c r="ACA543" s="1229" t="s">
        <v>82</v>
      </c>
      <c r="ACB543" s="1229" t="s">
        <v>82</v>
      </c>
      <c r="ACC543" s="1229" t="s">
        <v>82</v>
      </c>
      <c r="ACD543" s="1229" t="s">
        <v>82</v>
      </c>
      <c r="ACE543" s="1229" t="s">
        <v>82</v>
      </c>
      <c r="ACF543" s="1229" t="s">
        <v>82</v>
      </c>
      <c r="ACG543" s="1229" t="s">
        <v>82</v>
      </c>
      <c r="ACH543" s="1229" t="s">
        <v>82</v>
      </c>
      <c r="ACI543" s="1229" t="s">
        <v>82</v>
      </c>
      <c r="ACJ543" s="1229" t="s">
        <v>82</v>
      </c>
      <c r="ACK543" s="1229" t="s">
        <v>82</v>
      </c>
      <c r="ACL543" s="1229" t="s">
        <v>82</v>
      </c>
      <c r="ACM543" s="1229" t="s">
        <v>82</v>
      </c>
      <c r="ACN543" s="1229" t="s">
        <v>82</v>
      </c>
      <c r="ACO543" s="1229" t="s">
        <v>82</v>
      </c>
      <c r="ACP543" s="1229" t="s">
        <v>82</v>
      </c>
      <c r="ACQ543" s="1229" t="s">
        <v>82</v>
      </c>
      <c r="ACR543" s="1229" t="s">
        <v>82</v>
      </c>
      <c r="ACS543" s="1229" t="s">
        <v>82</v>
      </c>
      <c r="ACT543" s="1229" t="s">
        <v>82</v>
      </c>
      <c r="ACU543" s="1229" t="s">
        <v>82</v>
      </c>
      <c r="ACV543" s="1229" t="s">
        <v>82</v>
      </c>
      <c r="ACW543" s="1229" t="s">
        <v>82</v>
      </c>
      <c r="ACX543" s="1229" t="s">
        <v>82</v>
      </c>
      <c r="ACY543" s="1229" t="s">
        <v>82</v>
      </c>
      <c r="ACZ543" s="1229" t="s">
        <v>82</v>
      </c>
      <c r="ADA543" s="1229" t="s">
        <v>82</v>
      </c>
      <c r="ADB543" s="1229" t="s">
        <v>82</v>
      </c>
      <c r="ADC543" s="1229" t="s">
        <v>82</v>
      </c>
      <c r="ADD543" s="1229" t="s">
        <v>82</v>
      </c>
      <c r="ADE543" s="1229" t="s">
        <v>82</v>
      </c>
      <c r="ADF543" s="1229" t="s">
        <v>82</v>
      </c>
      <c r="ADG543" s="1229" t="s">
        <v>82</v>
      </c>
      <c r="ADH543" s="1229" t="s">
        <v>82</v>
      </c>
      <c r="ADI543" s="1229" t="s">
        <v>82</v>
      </c>
      <c r="ADJ543" s="1229" t="s">
        <v>82</v>
      </c>
      <c r="ADK543" s="1229" t="s">
        <v>82</v>
      </c>
      <c r="ADL543" s="1229" t="s">
        <v>82</v>
      </c>
      <c r="ADM543" s="1229" t="s">
        <v>82</v>
      </c>
      <c r="ADN543" s="1229" t="s">
        <v>82</v>
      </c>
      <c r="ADO543" s="1229" t="s">
        <v>82</v>
      </c>
      <c r="ADP543" s="1229" t="s">
        <v>82</v>
      </c>
      <c r="ADQ543" s="1229" t="s">
        <v>82</v>
      </c>
      <c r="ADR543" s="1229" t="s">
        <v>82</v>
      </c>
      <c r="ADS543" s="1229" t="s">
        <v>82</v>
      </c>
      <c r="ADT543" s="1229" t="s">
        <v>82</v>
      </c>
      <c r="ADU543" s="1229" t="s">
        <v>82</v>
      </c>
      <c r="ADV543" s="1229" t="s">
        <v>82</v>
      </c>
      <c r="ADW543" s="1229" t="s">
        <v>82</v>
      </c>
      <c r="ADX543" s="1229" t="s">
        <v>82</v>
      </c>
      <c r="ADY543" s="1229" t="s">
        <v>82</v>
      </c>
      <c r="ADZ543" s="1229" t="s">
        <v>82</v>
      </c>
      <c r="AEA543" s="1229" t="s">
        <v>82</v>
      </c>
      <c r="AEB543" s="1229" t="s">
        <v>82</v>
      </c>
      <c r="AEC543" s="1229" t="s">
        <v>82</v>
      </c>
      <c r="AED543" s="1229" t="s">
        <v>82</v>
      </c>
      <c r="AEE543" s="1229" t="s">
        <v>82</v>
      </c>
      <c r="AEF543" s="1229" t="s">
        <v>82</v>
      </c>
      <c r="AEG543" s="1229" t="s">
        <v>82</v>
      </c>
      <c r="AEH543" s="1229" t="s">
        <v>82</v>
      </c>
      <c r="AEI543" s="1229" t="s">
        <v>82</v>
      </c>
      <c r="AEJ543" s="1229" t="s">
        <v>82</v>
      </c>
      <c r="AEK543" s="1229" t="s">
        <v>82</v>
      </c>
      <c r="AEL543" s="1229" t="s">
        <v>82</v>
      </c>
      <c r="AEM543" s="1229" t="s">
        <v>82</v>
      </c>
      <c r="AEN543" s="1229" t="s">
        <v>82</v>
      </c>
      <c r="AEO543" s="1229" t="s">
        <v>82</v>
      </c>
      <c r="AEP543" s="1229" t="s">
        <v>82</v>
      </c>
      <c r="AEQ543" s="1229" t="s">
        <v>82</v>
      </c>
      <c r="AER543" s="1229" t="s">
        <v>82</v>
      </c>
      <c r="AES543" s="1229" t="s">
        <v>82</v>
      </c>
      <c r="AET543" s="1229" t="s">
        <v>82</v>
      </c>
      <c r="AEU543" s="1229" t="s">
        <v>82</v>
      </c>
      <c r="AEV543" s="1229" t="s">
        <v>82</v>
      </c>
      <c r="AEW543" s="1229" t="s">
        <v>82</v>
      </c>
      <c r="AEX543" s="1229" t="s">
        <v>82</v>
      </c>
      <c r="AEY543" s="1229" t="s">
        <v>82</v>
      </c>
      <c r="AEZ543" s="1229" t="s">
        <v>82</v>
      </c>
      <c r="AFA543" s="1229" t="s">
        <v>82</v>
      </c>
      <c r="AFB543" s="1229" t="s">
        <v>82</v>
      </c>
      <c r="AFC543" s="1229" t="s">
        <v>82</v>
      </c>
      <c r="AFD543" s="1229" t="s">
        <v>82</v>
      </c>
      <c r="AFE543" s="1229" t="s">
        <v>82</v>
      </c>
      <c r="AFF543" s="1229" t="s">
        <v>82</v>
      </c>
      <c r="AFG543" s="1229" t="s">
        <v>82</v>
      </c>
      <c r="AFH543" s="1229" t="s">
        <v>82</v>
      </c>
      <c r="AFI543" s="1229" t="s">
        <v>82</v>
      </c>
      <c r="AFJ543" s="1229" t="s">
        <v>82</v>
      </c>
      <c r="AFK543" s="1229" t="s">
        <v>82</v>
      </c>
      <c r="AFL543" s="1229" t="s">
        <v>82</v>
      </c>
      <c r="AFM543" s="1229" t="s">
        <v>82</v>
      </c>
      <c r="AFN543" s="1229" t="s">
        <v>82</v>
      </c>
      <c r="AFO543" s="1229" t="s">
        <v>82</v>
      </c>
      <c r="AFP543" s="1229" t="s">
        <v>82</v>
      </c>
      <c r="AFQ543" s="1229" t="s">
        <v>82</v>
      </c>
      <c r="AFR543" s="1229" t="s">
        <v>82</v>
      </c>
      <c r="AFS543" s="1229" t="s">
        <v>82</v>
      </c>
      <c r="AFT543" s="1229" t="s">
        <v>82</v>
      </c>
      <c r="AFU543" s="1229" t="s">
        <v>82</v>
      </c>
      <c r="AFV543" s="1229" t="s">
        <v>82</v>
      </c>
      <c r="AFW543" s="1229" t="s">
        <v>82</v>
      </c>
      <c r="AFX543" s="1229" t="s">
        <v>82</v>
      </c>
      <c r="AFY543" s="1229" t="s">
        <v>82</v>
      </c>
      <c r="AFZ543" s="1229" t="s">
        <v>82</v>
      </c>
      <c r="AGA543" s="1229" t="s">
        <v>82</v>
      </c>
      <c r="AGB543" s="1229" t="s">
        <v>82</v>
      </c>
      <c r="AGC543" s="1229" t="s">
        <v>82</v>
      </c>
      <c r="AGD543" s="1229" t="s">
        <v>82</v>
      </c>
      <c r="AGE543" s="1229" t="s">
        <v>82</v>
      </c>
      <c r="AGF543" s="1229" t="s">
        <v>82</v>
      </c>
      <c r="AGG543" s="1229" t="s">
        <v>82</v>
      </c>
      <c r="AGH543" s="1229" t="s">
        <v>82</v>
      </c>
      <c r="AGI543" s="1229" t="s">
        <v>82</v>
      </c>
      <c r="AGJ543" s="1229" t="s">
        <v>82</v>
      </c>
      <c r="AGK543" s="1229" t="s">
        <v>82</v>
      </c>
      <c r="AGL543" s="1229" t="s">
        <v>82</v>
      </c>
      <c r="AGM543" s="1229" t="s">
        <v>82</v>
      </c>
      <c r="AGN543" s="1229" t="s">
        <v>82</v>
      </c>
      <c r="AGO543" s="1229" t="s">
        <v>82</v>
      </c>
      <c r="AGP543" s="1229" t="s">
        <v>82</v>
      </c>
      <c r="AGQ543" s="1229" t="s">
        <v>82</v>
      </c>
      <c r="AGR543" s="1229" t="s">
        <v>82</v>
      </c>
      <c r="AGS543" s="1229" t="s">
        <v>82</v>
      </c>
      <c r="AGT543" s="1229" t="s">
        <v>82</v>
      </c>
      <c r="AGU543" s="1229" t="s">
        <v>82</v>
      </c>
      <c r="AGV543" s="1229" t="s">
        <v>82</v>
      </c>
      <c r="AGW543" s="1229" t="s">
        <v>82</v>
      </c>
      <c r="AGX543" s="1229" t="s">
        <v>82</v>
      </c>
      <c r="AGY543" s="1229" t="s">
        <v>82</v>
      </c>
      <c r="AGZ543" s="1229" t="s">
        <v>82</v>
      </c>
      <c r="AHA543" s="1229" t="s">
        <v>82</v>
      </c>
      <c r="AHB543" s="1229" t="s">
        <v>82</v>
      </c>
      <c r="AHC543" s="1229" t="s">
        <v>82</v>
      </c>
      <c r="AHD543" s="1229" t="s">
        <v>82</v>
      </c>
      <c r="AHE543" s="1229" t="s">
        <v>82</v>
      </c>
      <c r="AHF543" s="1229" t="s">
        <v>82</v>
      </c>
      <c r="AHG543" s="1229" t="s">
        <v>82</v>
      </c>
      <c r="AHH543" s="1229" t="s">
        <v>82</v>
      </c>
      <c r="AHI543" s="1229" t="s">
        <v>82</v>
      </c>
      <c r="AHJ543" s="1229" t="s">
        <v>82</v>
      </c>
      <c r="AHK543" s="1229" t="s">
        <v>82</v>
      </c>
      <c r="AHL543" s="1229" t="s">
        <v>82</v>
      </c>
      <c r="AHM543" s="1229" t="s">
        <v>82</v>
      </c>
      <c r="AHN543" s="1229" t="s">
        <v>82</v>
      </c>
      <c r="AHO543" s="1229" t="s">
        <v>82</v>
      </c>
      <c r="AHP543" s="1229" t="s">
        <v>82</v>
      </c>
      <c r="AHQ543" s="1229" t="s">
        <v>82</v>
      </c>
      <c r="AHR543" s="1229" t="s">
        <v>82</v>
      </c>
      <c r="AHS543" s="1229" t="s">
        <v>82</v>
      </c>
      <c r="AHT543" s="1229" t="s">
        <v>82</v>
      </c>
      <c r="AHU543" s="1229" t="s">
        <v>82</v>
      </c>
      <c r="AHV543" s="1229" t="s">
        <v>82</v>
      </c>
      <c r="AHW543" s="1229" t="s">
        <v>82</v>
      </c>
      <c r="AHX543" s="1229" t="s">
        <v>82</v>
      </c>
      <c r="AHY543" s="1229" t="s">
        <v>82</v>
      </c>
      <c r="AHZ543" s="1229" t="s">
        <v>82</v>
      </c>
      <c r="AIA543" s="1229" t="s">
        <v>82</v>
      </c>
      <c r="AIB543" s="1229" t="s">
        <v>82</v>
      </c>
      <c r="AIC543" s="1229" t="s">
        <v>82</v>
      </c>
      <c r="AID543" s="1229" t="s">
        <v>82</v>
      </c>
      <c r="AIE543" s="1229" t="s">
        <v>82</v>
      </c>
      <c r="AIF543" s="1229" t="s">
        <v>82</v>
      </c>
      <c r="AIG543" s="1229" t="s">
        <v>82</v>
      </c>
      <c r="AIH543" s="1229" t="s">
        <v>82</v>
      </c>
      <c r="AII543" s="1229" t="s">
        <v>82</v>
      </c>
      <c r="AIJ543" s="1229" t="s">
        <v>82</v>
      </c>
      <c r="AIK543" s="1229" t="s">
        <v>82</v>
      </c>
      <c r="AIL543" s="1229" t="s">
        <v>82</v>
      </c>
      <c r="AIM543" s="1229" t="s">
        <v>82</v>
      </c>
      <c r="AIN543" s="1229" t="s">
        <v>82</v>
      </c>
      <c r="AIO543" s="1229" t="s">
        <v>82</v>
      </c>
      <c r="AIP543" s="1229" t="s">
        <v>82</v>
      </c>
      <c r="AIQ543" s="1229" t="s">
        <v>82</v>
      </c>
      <c r="AIR543" s="1229" t="s">
        <v>82</v>
      </c>
      <c r="AIS543" s="1229" t="s">
        <v>82</v>
      </c>
      <c r="AIT543" s="1229" t="s">
        <v>82</v>
      </c>
      <c r="AIU543" s="1229" t="s">
        <v>82</v>
      </c>
      <c r="AIV543" s="1229" t="s">
        <v>82</v>
      </c>
      <c r="AIW543" s="1229" t="s">
        <v>82</v>
      </c>
      <c r="AIX543" s="1229" t="s">
        <v>82</v>
      </c>
      <c r="AIY543" s="1229" t="s">
        <v>82</v>
      </c>
      <c r="AIZ543" s="1229" t="s">
        <v>82</v>
      </c>
      <c r="AJA543" s="1229" t="s">
        <v>82</v>
      </c>
      <c r="AJB543" s="1229" t="s">
        <v>82</v>
      </c>
      <c r="AJC543" s="1229" t="s">
        <v>82</v>
      </c>
      <c r="AJD543" s="1229" t="s">
        <v>82</v>
      </c>
      <c r="AJE543" s="1229" t="s">
        <v>82</v>
      </c>
      <c r="AJF543" s="1229" t="s">
        <v>82</v>
      </c>
      <c r="AJG543" s="1229" t="s">
        <v>82</v>
      </c>
      <c r="AJH543" s="1229" t="s">
        <v>82</v>
      </c>
      <c r="AJI543" s="1229" t="s">
        <v>82</v>
      </c>
      <c r="AJJ543" s="1229" t="s">
        <v>82</v>
      </c>
      <c r="AJK543" s="1229" t="s">
        <v>82</v>
      </c>
      <c r="AJL543" s="1229" t="s">
        <v>82</v>
      </c>
      <c r="AJM543" s="1229" t="s">
        <v>82</v>
      </c>
      <c r="AJN543" s="1229" t="s">
        <v>82</v>
      </c>
      <c r="AJO543" s="1229" t="s">
        <v>82</v>
      </c>
      <c r="AJP543" s="1229" t="s">
        <v>82</v>
      </c>
      <c r="AJQ543" s="1229" t="s">
        <v>82</v>
      </c>
      <c r="AJR543" s="1229" t="s">
        <v>82</v>
      </c>
      <c r="AJS543" s="1229" t="s">
        <v>82</v>
      </c>
      <c r="AJT543" s="1229" t="s">
        <v>82</v>
      </c>
      <c r="AJU543" s="1229" t="s">
        <v>82</v>
      </c>
      <c r="AJV543" s="1229" t="s">
        <v>82</v>
      </c>
      <c r="AJW543" s="1229" t="s">
        <v>82</v>
      </c>
      <c r="AJX543" s="1229" t="s">
        <v>82</v>
      </c>
      <c r="AJY543" s="1229" t="s">
        <v>82</v>
      </c>
      <c r="AJZ543" s="1229" t="s">
        <v>82</v>
      </c>
      <c r="AKA543" s="1229" t="s">
        <v>82</v>
      </c>
      <c r="AKB543" s="1229" t="s">
        <v>82</v>
      </c>
      <c r="AKC543" s="1229" t="s">
        <v>82</v>
      </c>
      <c r="AKD543" s="1229" t="s">
        <v>82</v>
      </c>
      <c r="AKE543" s="1229" t="s">
        <v>82</v>
      </c>
      <c r="AKF543" s="1229" t="s">
        <v>82</v>
      </c>
      <c r="AKG543" s="1229" t="s">
        <v>82</v>
      </c>
      <c r="AKH543" s="1229" t="s">
        <v>82</v>
      </c>
      <c r="AKI543" s="1229" t="s">
        <v>82</v>
      </c>
      <c r="AKJ543" s="1229" t="s">
        <v>82</v>
      </c>
      <c r="AKK543" s="1229" t="s">
        <v>82</v>
      </c>
      <c r="AKL543" s="1229" t="s">
        <v>82</v>
      </c>
      <c r="AKM543" s="1229" t="s">
        <v>82</v>
      </c>
      <c r="AKN543" s="1229" t="s">
        <v>82</v>
      </c>
      <c r="AKO543" s="1229" t="s">
        <v>82</v>
      </c>
      <c r="AKP543" s="1229" t="s">
        <v>82</v>
      </c>
      <c r="AKQ543" s="1229" t="s">
        <v>82</v>
      </c>
      <c r="AKR543" s="1229" t="s">
        <v>82</v>
      </c>
      <c r="AKS543" s="1229" t="s">
        <v>82</v>
      </c>
      <c r="AKT543" s="1229" t="s">
        <v>82</v>
      </c>
      <c r="AKU543" s="1229" t="s">
        <v>82</v>
      </c>
      <c r="AKV543" s="1229" t="s">
        <v>82</v>
      </c>
      <c r="AKW543" s="1229" t="s">
        <v>82</v>
      </c>
      <c r="AKX543" s="1229" t="s">
        <v>82</v>
      </c>
      <c r="AKY543" s="1229" t="s">
        <v>82</v>
      </c>
      <c r="AKZ543" s="1229" t="s">
        <v>82</v>
      </c>
      <c r="ALA543" s="1229" t="s">
        <v>82</v>
      </c>
      <c r="ALB543" s="1229" t="s">
        <v>82</v>
      </c>
      <c r="ALC543" s="1229" t="s">
        <v>82</v>
      </c>
      <c r="ALD543" s="1229" t="s">
        <v>82</v>
      </c>
      <c r="ALE543" s="1229" t="s">
        <v>82</v>
      </c>
      <c r="ALF543" s="1229" t="s">
        <v>82</v>
      </c>
      <c r="ALG543" s="1229" t="s">
        <v>82</v>
      </c>
      <c r="ALH543" s="1229" t="s">
        <v>82</v>
      </c>
      <c r="ALI543" s="1229" t="s">
        <v>82</v>
      </c>
      <c r="ALJ543" s="1229" t="s">
        <v>82</v>
      </c>
      <c r="ALK543" s="1229" t="s">
        <v>82</v>
      </c>
      <c r="ALL543" s="1229" t="s">
        <v>82</v>
      </c>
      <c r="ALM543" s="1229" t="s">
        <v>82</v>
      </c>
      <c r="ALN543" s="1229" t="s">
        <v>82</v>
      </c>
      <c r="ALO543" s="1229" t="s">
        <v>82</v>
      </c>
      <c r="ALP543" s="1229" t="s">
        <v>82</v>
      </c>
      <c r="ALQ543" s="1229" t="s">
        <v>82</v>
      </c>
      <c r="ALR543" s="1229" t="s">
        <v>82</v>
      </c>
      <c r="ALS543" s="1229" t="s">
        <v>82</v>
      </c>
      <c r="ALT543" s="1229" t="s">
        <v>82</v>
      </c>
      <c r="ALU543" s="1229" t="s">
        <v>82</v>
      </c>
      <c r="ALV543" s="1229" t="s">
        <v>82</v>
      </c>
      <c r="ALW543" s="1229" t="s">
        <v>82</v>
      </c>
      <c r="ALX543" s="1229" t="s">
        <v>82</v>
      </c>
      <c r="ALY543" s="1229" t="s">
        <v>82</v>
      </c>
      <c r="ALZ543" s="1229" t="s">
        <v>82</v>
      </c>
      <c r="AMA543" s="1229" t="s">
        <v>82</v>
      </c>
      <c r="AMB543" s="1229" t="s">
        <v>82</v>
      </c>
      <c r="AMC543" s="1229" t="s">
        <v>82</v>
      </c>
      <c r="AMD543" s="1229" t="s">
        <v>82</v>
      </c>
      <c r="AME543" s="1229" t="s">
        <v>82</v>
      </c>
      <c r="AMF543" s="1229" t="s">
        <v>82</v>
      </c>
      <c r="AMG543" s="1229" t="s">
        <v>82</v>
      </c>
      <c r="AMH543" s="1229" t="s">
        <v>82</v>
      </c>
      <c r="AMI543" s="1229" t="s">
        <v>82</v>
      </c>
      <c r="AMJ543" s="1229" t="s">
        <v>82</v>
      </c>
      <c r="AMK543" s="1229" t="s">
        <v>82</v>
      </c>
      <c r="AML543" s="1229" t="s">
        <v>82</v>
      </c>
      <c r="AMM543" s="1229" t="s">
        <v>82</v>
      </c>
      <c r="AMN543" s="1229" t="s">
        <v>82</v>
      </c>
      <c r="AMO543" s="1229" t="s">
        <v>82</v>
      </c>
      <c r="AMP543" s="1229" t="s">
        <v>82</v>
      </c>
      <c r="AMQ543" s="1229" t="s">
        <v>82</v>
      </c>
      <c r="AMR543" s="1229" t="s">
        <v>82</v>
      </c>
      <c r="AMS543" s="1229" t="s">
        <v>82</v>
      </c>
      <c r="AMT543" s="1229" t="s">
        <v>82</v>
      </c>
      <c r="AMU543" s="1229" t="s">
        <v>82</v>
      </c>
      <c r="AMV543" s="1229" t="s">
        <v>82</v>
      </c>
      <c r="AMW543" s="1229" t="s">
        <v>82</v>
      </c>
      <c r="AMX543" s="1229" t="s">
        <v>82</v>
      </c>
      <c r="AMY543" s="1229" t="s">
        <v>82</v>
      </c>
      <c r="AMZ543" s="1229" t="s">
        <v>82</v>
      </c>
      <c r="ANA543" s="1229" t="s">
        <v>82</v>
      </c>
      <c r="ANB543" s="1229" t="s">
        <v>82</v>
      </c>
      <c r="ANC543" s="1229" t="s">
        <v>82</v>
      </c>
      <c r="AND543" s="1229" t="s">
        <v>82</v>
      </c>
      <c r="ANE543" s="1229" t="s">
        <v>82</v>
      </c>
      <c r="ANF543" s="1229" t="s">
        <v>82</v>
      </c>
      <c r="ANG543" s="1229" t="s">
        <v>82</v>
      </c>
      <c r="ANH543" s="1229" t="s">
        <v>82</v>
      </c>
      <c r="ANI543" s="1229" t="s">
        <v>82</v>
      </c>
      <c r="ANJ543" s="1229" t="s">
        <v>82</v>
      </c>
      <c r="ANK543" s="1229" t="s">
        <v>82</v>
      </c>
      <c r="ANL543" s="1229" t="s">
        <v>82</v>
      </c>
      <c r="ANM543" s="1229" t="s">
        <v>82</v>
      </c>
      <c r="ANN543" s="1229" t="s">
        <v>82</v>
      </c>
      <c r="ANO543" s="1229" t="s">
        <v>82</v>
      </c>
      <c r="ANP543" s="1229" t="s">
        <v>82</v>
      </c>
      <c r="ANQ543" s="1229" t="s">
        <v>82</v>
      </c>
      <c r="ANR543" s="1229" t="s">
        <v>82</v>
      </c>
      <c r="ANS543" s="1229" t="s">
        <v>82</v>
      </c>
      <c r="ANT543" s="1229" t="s">
        <v>82</v>
      </c>
      <c r="ANU543" s="1229" t="s">
        <v>82</v>
      </c>
      <c r="ANV543" s="1229" t="s">
        <v>82</v>
      </c>
      <c r="ANW543" s="1229" t="s">
        <v>82</v>
      </c>
      <c r="ANX543" s="1229" t="s">
        <v>82</v>
      </c>
      <c r="ANY543" s="1229" t="s">
        <v>82</v>
      </c>
      <c r="ANZ543" s="1229" t="s">
        <v>82</v>
      </c>
      <c r="AOA543" s="1229" t="s">
        <v>82</v>
      </c>
      <c r="AOB543" s="1229" t="s">
        <v>82</v>
      </c>
      <c r="AOC543" s="1229" t="s">
        <v>82</v>
      </c>
      <c r="AOD543" s="1229" t="s">
        <v>82</v>
      </c>
      <c r="AOE543" s="1229" t="s">
        <v>82</v>
      </c>
      <c r="AOF543" s="1229" t="s">
        <v>82</v>
      </c>
      <c r="AOG543" s="1229" t="s">
        <v>82</v>
      </c>
      <c r="AOH543" s="1229" t="s">
        <v>82</v>
      </c>
      <c r="AOI543" s="1229" t="s">
        <v>82</v>
      </c>
      <c r="AOJ543" s="1229" t="s">
        <v>82</v>
      </c>
      <c r="AOK543" s="1229" t="s">
        <v>82</v>
      </c>
      <c r="AOL543" s="1229" t="s">
        <v>82</v>
      </c>
      <c r="AOM543" s="1229" t="s">
        <v>82</v>
      </c>
      <c r="AON543" s="1229" t="s">
        <v>82</v>
      </c>
      <c r="AOO543" s="1229" t="s">
        <v>82</v>
      </c>
      <c r="AOP543" s="1229" t="s">
        <v>82</v>
      </c>
      <c r="AOQ543" s="1229" t="s">
        <v>82</v>
      </c>
      <c r="AOR543" s="1229" t="s">
        <v>82</v>
      </c>
      <c r="AOS543" s="1229" t="s">
        <v>82</v>
      </c>
      <c r="AOT543" s="1229" t="s">
        <v>82</v>
      </c>
      <c r="AOU543" s="1229" t="s">
        <v>82</v>
      </c>
      <c r="AOV543" s="1229" t="s">
        <v>82</v>
      </c>
      <c r="AOW543" s="1229" t="s">
        <v>82</v>
      </c>
    </row>
    <row r="544" spans="1:1089" hidden="1">
      <c r="W544" s="923"/>
      <c r="X544" s="920"/>
      <c r="Y544" s="922"/>
    </row>
    <row r="545" spans="15:23" hidden="1">
      <c r="O545" s="52"/>
      <c r="P545" s="52"/>
      <c r="W545" s="36"/>
    </row>
    <row r="546" spans="15:23" hidden="1">
      <c r="W546" s="924"/>
    </row>
    <row r="548" spans="15:23">
      <c r="W548" s="857"/>
    </row>
  </sheetData>
  <sheetProtection algorithmName="SHA-512" hashValue="o6tJuZTrzKCmgh3wVFPV8gct/Eweb1IeehmA3W3+lHy2HhrSI6jYcHdMvUCFo/UWArBvdO5F+D36EMpNAPWg4Q==" saltValue="V6LYO46tpSD9KGU62lvLOg==" spinCount="100000" sheet="1" objects="1" scenarios="1" formatColumns="0" autoFilter="0"/>
  <autoFilter ref="B8:B546" xr:uid="{00000000-0009-0000-0000-00000A000000}">
    <filterColumn colId="0">
      <filters>
        <filter val="EINDE"/>
        <filter val="installaties koeling"/>
        <filter val="installaties ruimteverwarming"/>
        <filter val="installaties warmtapwater"/>
        <filter val="woningen|utiliteitsgebouwen"/>
      </filters>
    </filterColumn>
  </autoFilter>
  <sortState xmlns:xlrd2="http://schemas.microsoft.com/office/spreadsheetml/2017/richdata2" ref="K492:AA503">
    <sortCondition descending="1" ref="K492:K503"/>
  </sortState>
  <mergeCells count="6">
    <mergeCell ref="F4:G4"/>
    <mergeCell ref="F5:G5"/>
    <mergeCell ref="F3:G3"/>
    <mergeCell ref="B4:B7"/>
    <mergeCell ref="E60:F60"/>
    <mergeCell ref="E59:F59"/>
  </mergeCells>
  <phoneticPr fontId="0" type="noConversion"/>
  <conditionalFormatting sqref="D98:D99 D101:D102 D154:D155">
    <cfRule type="expression" dxfId="1155" priority="6522">
      <formula>SUMPRODUCT($H$101:$BE$101,$H$102:$BE$102)&gt;0</formula>
    </cfRule>
  </conditionalFormatting>
  <conditionalFormatting sqref="D157:D158">
    <cfRule type="expression" dxfId="1154" priority="6456">
      <formula>SUMPRODUCT($H$157:$BB$157,$H$158:$BB$158)&gt;0</formula>
    </cfRule>
  </conditionalFormatting>
  <conditionalFormatting sqref="F5">
    <cfRule type="expression" dxfId="1153" priority="442">
      <formula>F5=""</formula>
    </cfRule>
  </conditionalFormatting>
  <conditionalFormatting sqref="I376">
    <cfRule type="expression" dxfId="1152" priority="479">
      <formula>AND(I$90&gt;0,I376="")</formula>
    </cfRule>
    <cfRule type="expression" dxfId="1151" priority="477">
      <formula>I$90=0</formula>
    </cfRule>
  </conditionalFormatting>
  <conditionalFormatting sqref="I179:K179 I183:I184">
    <cfRule type="expression" dxfId="1150" priority="20">
      <formula>COUNTIF(toestellen_KOEL_invoer,I179)&gt;1</formula>
    </cfRule>
  </conditionalFormatting>
  <conditionalFormatting sqref="I84:N84 P84 R84 T84:AJ84 AN84:AO84 AK84:AM85 I85:AJ85 AN85:BD85 I87:BD88 I90:BD90 I92:BD94 I96:BD102 I104:BD105 I107:BD107 I109:BD115 I117:BD119">
    <cfRule type="expression" dxfId="1149" priority="93">
      <formula>I$83=""</formula>
    </cfRule>
  </conditionalFormatting>
  <conditionalFormatting sqref="I441:N441">
    <cfRule type="dataBar" priority="414">
      <dataBar>
        <cfvo type="min"/>
        <cfvo type="max"/>
        <color rgb="FF638EC6"/>
      </dataBar>
      <extLst>
        <ext xmlns:x14="http://schemas.microsoft.com/office/spreadsheetml/2009/9/main" uri="{B025F937-C7B1-47D3-B67F-A62EFF666E3E}">
          <x14:id>{AE131E70-2231-4B09-9066-E04D54D89432}</x14:id>
        </ext>
      </extLst>
    </cfRule>
  </conditionalFormatting>
  <conditionalFormatting sqref="I141:T141 V141:AD141 AF141:AO141">
    <cfRule type="expression" dxfId="1148" priority="560">
      <formula>AND(I$139&lt;&gt;"",I141&lt;&gt;"",ISERROR(MATCH(I141,geografische_niveaus_installaties,0))=TRUE)</formula>
    </cfRule>
  </conditionalFormatting>
  <conditionalFormatting sqref="I431:T431">
    <cfRule type="dataBar" priority="415">
      <dataBar>
        <cfvo type="min"/>
        <cfvo type="max"/>
        <color rgb="FF638EC6"/>
      </dataBar>
      <extLst>
        <ext xmlns:x14="http://schemas.microsoft.com/office/spreadsheetml/2009/9/main" uri="{B025F937-C7B1-47D3-B67F-A62EFF666E3E}">
          <x14:id>{030D5D8A-7B40-4792-A2BB-75EF26F48F80}</x14:id>
        </ext>
      </extLst>
    </cfRule>
  </conditionalFormatting>
  <conditionalFormatting sqref="I41:V41">
    <cfRule type="expression" dxfId="1147" priority="592">
      <formula>COUNTIF($H41:$W41,I41)&gt;1</formula>
    </cfRule>
  </conditionalFormatting>
  <conditionalFormatting sqref="I190:AB190">
    <cfRule type="expression" dxfId="1146" priority="511">
      <formula>COUNTIF(toestellen_KOEL_invoer,I190)&gt;1</formula>
    </cfRule>
  </conditionalFormatting>
  <conditionalFormatting sqref="I197:AB197">
    <cfRule type="expression" dxfId="1145" priority="504">
      <formula>ISERROR(MATCH(I197,energiedragers_geschikt_voor_KOEL,0))=TRUE</formula>
    </cfRule>
  </conditionalFormatting>
  <conditionalFormatting sqref="I204:AB204 I206:AB206">
    <cfRule type="expression" dxfId="1144" priority="421">
      <formula>OR(I$199=1,I$199="")</formula>
    </cfRule>
  </conditionalFormatting>
  <conditionalFormatting sqref="I204:AB204">
    <cfRule type="expression" dxfId="1143" priority="500">
      <formula>AND(I204="",ISERROR(MATCH(I204,energiedragers_geschikt_voor_KOEL,0))=TRUE)</formula>
    </cfRule>
  </conditionalFormatting>
  <conditionalFormatting sqref="I261:AE265">
    <cfRule type="expression" dxfId="1142" priority="68">
      <formula>AND(I$259&lt;&gt;"",I261="")</formula>
    </cfRule>
  </conditionalFormatting>
  <conditionalFormatting sqref="I265:AE265">
    <cfRule type="expression" dxfId="1141" priority="184">
      <formula>ISERROR(MATCH(I265,energiedragers_gebouwaansluiting,0))=TRUE</formula>
    </cfRule>
  </conditionalFormatting>
  <conditionalFormatting sqref="I268:AE268">
    <cfRule type="expression" dxfId="1140" priority="187">
      <formula>ISERROR(MATCH(I268,hernieuwbare_energiebron_namen,0))=TRUE</formula>
    </cfRule>
  </conditionalFormatting>
  <conditionalFormatting sqref="I271:AE271 I273:AE273 I275:AE277">
    <cfRule type="expression" dxfId="1139" priority="542">
      <formula>AND(INDEX(hernieuwbare_energiebron_getalswaarde_bij_toestellen,MATCH(I$268,hernieuwbare_energiebron_namen,0))=1,I$259&lt;&gt;"",I271="")</formula>
    </cfRule>
  </conditionalFormatting>
  <conditionalFormatting sqref="I275:AE277">
    <cfRule type="expression" dxfId="1138" priority="248">
      <formula>AND(I$259&lt;&gt;"",OR(I275="",AND(I275&lt;&gt;0,I275&lt;&gt;1)))</formula>
    </cfRule>
  </conditionalFormatting>
  <conditionalFormatting sqref="I139:AI139 AN139:BA139">
    <cfRule type="expression" dxfId="1137" priority="135">
      <formula>COUNTIF(toestellen_TAP_invoer,I139)&gt;1</formula>
    </cfRule>
  </conditionalFormatting>
  <conditionalFormatting sqref="I142:AO142">
    <cfRule type="expression" dxfId="1136" priority="465">
      <formula>IF(I$141=centraal,AND(I142&lt;&gt;0,I142&lt;&gt;1),I142&lt;&gt;0)</formula>
    </cfRule>
  </conditionalFormatting>
  <conditionalFormatting sqref="I152:AO152">
    <cfRule type="expression" dxfId="1135" priority="608">
      <formula>AND(I152&lt;&gt;"",ISERROR(MATCH(I152,energiedragers_geschikt_voor_TAP,FALSE)))</formula>
    </cfRule>
  </conditionalFormatting>
  <conditionalFormatting sqref="I157:AO158">
    <cfRule type="expression" dxfId="1134" priority="239">
      <formula>AND(I$157&gt;0,I$158&gt;0)</formula>
    </cfRule>
  </conditionalFormatting>
  <conditionalFormatting sqref="I259:AP260 I266:AP266 I273:AP273">
    <cfRule type="expression" dxfId="1133" priority="59">
      <formula>I259=""</formula>
    </cfRule>
  </conditionalFormatting>
  <conditionalFormatting sqref="I260:AP266 T268:AE268 I268:S273 T269:AP273 I275:AP281">
    <cfRule type="expression" dxfId="1132" priority="58">
      <formula>I$259=""</formula>
    </cfRule>
  </conditionalFormatting>
  <conditionalFormatting sqref="I271:AP271 I273:AP273">
    <cfRule type="expression" dxfId="1131" priority="60">
      <formula>AND(I$259&lt;&gt;"",I271="",INDEX(hernieuwbare_energiebron_getalswaarde_bij_toestellen,MATCH(I$268,hernieuwbare_energiebron_namen,0))=1)</formula>
    </cfRule>
  </conditionalFormatting>
  <conditionalFormatting sqref="I143:AR144 I148:BA150 I156:BA158 I165:AO166 AP166:AR166">
    <cfRule type="expression" dxfId="1130" priority="132">
      <formula>AND(I$139&lt;&gt;"",I$142=1,I143&lt;&gt;0)</formula>
    </cfRule>
  </conditionalFormatting>
  <conditionalFormatting sqref="I160:BA160">
    <cfRule type="expression" dxfId="1129" priority="5261">
      <formula>AND(I$139&lt;&gt;"",I$154=1,I$160&lt;&gt;geen)</formula>
    </cfRule>
  </conditionalFormatting>
  <conditionalFormatting sqref="I160:BA163 AK141:AR144 I141:T141 V141:AD141 AF141:AJ141 I142:AJ144 I146:BA146 I148:BA150 I152:AJ154 AK152:BA158 I155:T155 V155:AJ155 I156:AJ158 I165:AO166 AP166:AR166">
    <cfRule type="expression" dxfId="1128" priority="131">
      <formula>AND(I$139&lt;&gt;"",I141="")</formula>
    </cfRule>
  </conditionalFormatting>
  <conditionalFormatting sqref="I161:BA161">
    <cfRule type="expression" dxfId="1127" priority="92">
      <formula>AND(I161&lt;&gt;"",ISERROR(MATCH(I161,energiedragers_geschikt_voor_TAP,0))=TRUE)</formula>
    </cfRule>
  </conditionalFormatting>
  <conditionalFormatting sqref="I161:BA163">
    <cfRule type="expression" dxfId="1126" priority="130">
      <formula>OR(I$154=1,I$154="")</formula>
    </cfRule>
  </conditionalFormatting>
  <conditionalFormatting sqref="I85:BD85">
    <cfRule type="expression" dxfId="1125" priority="573">
      <formula>AND(I85&lt;&gt;"",ISERROR(MATCH(I85,geografische_niveaus_installaties,0))=TRUE)</formula>
    </cfRule>
  </conditionalFormatting>
  <conditionalFormatting sqref="I86:BD86">
    <cfRule type="expression" dxfId="1124" priority="215">
      <formula>IF(I$85=centraal,AND(I86&lt;&gt;0,I86&lt;&gt;1),I86&lt;&gt;0)</formula>
    </cfRule>
  </conditionalFormatting>
  <conditionalFormatting sqref="I87:BD88 I92:BD94 I100:BD102 I109:BD115 I117:BD118">
    <cfRule type="expression" dxfId="1123" priority="563">
      <formula>AND(I$83&lt;&gt;"",I$86=1,I87&lt;&gt;0)</formula>
    </cfRule>
  </conditionalFormatting>
  <conditionalFormatting sqref="I96:BD96">
    <cfRule type="expression" dxfId="1122" priority="210">
      <formula>AND(I96&lt;&gt;"",ISERROR(MATCH(I96,energiedragers_geschikt_voor_RV,0)))=TRUE</formula>
    </cfRule>
  </conditionalFormatting>
  <conditionalFormatting sqref="I97:BD97">
    <cfRule type="expression" dxfId="1121" priority="180">
      <formula>AND(I$83&lt;&gt;"",I$85="")</formula>
    </cfRule>
  </conditionalFormatting>
  <conditionalFormatting sqref="I101:BD102">
    <cfRule type="expression" dxfId="1120" priority="438">
      <formula>AND(I$101&gt;0,I$102&gt;0)</formula>
    </cfRule>
  </conditionalFormatting>
  <conditionalFormatting sqref="I104:BD104">
    <cfRule type="expression" dxfId="1119" priority="466">
      <formula>AND(I$83&lt;&gt;"",I$98=1,I$104&lt;&gt;geen)</formula>
    </cfRule>
  </conditionalFormatting>
  <conditionalFormatting sqref="I104:BD105 I107:BD107 I85:BD85 I87:BD88 I90:BD90 I92:BD94 I96:BD96 I98:BD102 I109:BD115 I117:BD118">
    <cfRule type="expression" dxfId="1118" priority="242">
      <formula>AND(I$83&lt;&gt;"",I85="")</formula>
    </cfRule>
  </conditionalFormatting>
  <conditionalFormatting sqref="I105:BD105 I107:BD107">
    <cfRule type="expression" dxfId="1117" priority="212">
      <formula>OR(I$98="",I$98=1)</formula>
    </cfRule>
  </conditionalFormatting>
  <conditionalFormatting sqref="I105:BD105">
    <cfRule type="expression" dxfId="1116" priority="581">
      <formula>AND(I105&lt;&gt;"",ISERROR(MATCH(I105,energiedragers_geschikt_voor_RV,0)))</formula>
    </cfRule>
  </conditionalFormatting>
  <conditionalFormatting sqref="I288:DD290">
    <cfRule type="expression" dxfId="1115" priority="100">
      <formula>AND(I288&lt;&gt;0,I288&lt;&gt;1)</formula>
    </cfRule>
  </conditionalFormatting>
  <conditionalFormatting sqref="I288:DD297">
    <cfRule type="expression" dxfId="1114" priority="99">
      <formula>AND(I$287&lt;&gt;"",I288="")</formula>
    </cfRule>
  </conditionalFormatting>
  <conditionalFormatting sqref="I20:FB20">
    <cfRule type="expression" dxfId="1113" priority="597">
      <formula>OR(COUNTIF(woningen_gebouwen_namen,I20)&gt;1,LEN(I20)&gt;20)</formula>
    </cfRule>
  </conditionalFormatting>
  <conditionalFormatting sqref="I21:FB21">
    <cfRule type="expression" dxfId="1112" priority="380">
      <formula>AND(I21&lt;&gt;"",ISERROR(MATCH(I21,gebruiksfuncties_namen,0))=TRUE)</formula>
    </cfRule>
  </conditionalFormatting>
  <conditionalFormatting sqref="I22:FB22">
    <cfRule type="expression" dxfId="1111" priority="537">
      <formula>ISERROR(MATCH(I22,NulEen,0))=TRUE</formula>
    </cfRule>
    <cfRule type="expression" dxfId="1110" priority="311">
      <formula>AND(I$21&lt;&gt;woning,I$21&lt;&gt;woongebouw)</formula>
    </cfRule>
  </conditionalFormatting>
  <conditionalFormatting sqref="I24:FB24">
    <cfRule type="expression" dxfId="1109" priority="531">
      <formula>ISERROR(MATCH(I24,isolatiepakketten_gebouwschil_namen,0))=TRUE</formula>
    </cfRule>
  </conditionalFormatting>
  <conditionalFormatting sqref="J305:L308 J309:R312 M313:R313">
    <cfRule type="expression" dxfId="1108" priority="454">
      <formula>J$304=""</formula>
    </cfRule>
  </conditionalFormatting>
  <conditionalFormatting sqref="J305:L308 J309:R312">
    <cfRule type="expression" dxfId="1107" priority="455">
      <formula>AND(J$304&lt;&gt;"",J305="")</formula>
    </cfRule>
  </conditionalFormatting>
  <conditionalFormatting sqref="J238:U240">
    <cfRule type="colorScale" priority="5">
      <colorScale>
        <cfvo type="min"/>
        <cfvo type="max"/>
        <color rgb="FFFCFCFF"/>
        <color rgb="FF63BE7B"/>
      </colorScale>
    </cfRule>
  </conditionalFormatting>
  <conditionalFormatting sqref="L179:M181">
    <cfRule type="expression" dxfId="1106" priority="19">
      <formula>L179=""</formula>
    </cfRule>
  </conditionalFormatting>
  <conditionalFormatting sqref="M313:R313 J304:K304">
    <cfRule type="expression" dxfId="1105" priority="456">
      <formula>J304=""</formula>
    </cfRule>
  </conditionalFormatting>
  <conditionalFormatting sqref="O84">
    <cfRule type="expression" dxfId="1104" priority="53">
      <formula>O$139=""</formula>
    </cfRule>
  </conditionalFormatting>
  <conditionalFormatting sqref="O167">
    <cfRule type="expression" dxfId="1103" priority="52">
      <formula>O$83=""</formula>
    </cfRule>
  </conditionalFormatting>
  <conditionalFormatting sqref="P41:V41">
    <cfRule type="expression" dxfId="1102" priority="529">
      <formula>P41=""</formula>
    </cfRule>
  </conditionalFormatting>
  <conditionalFormatting sqref="P42:V45 P51:V52">
    <cfRule type="expression" dxfId="1101" priority="528">
      <formula>AND(P$41&lt;&gt;"",P42="")</formula>
    </cfRule>
  </conditionalFormatting>
  <conditionalFormatting sqref="P42:V52">
    <cfRule type="expression" dxfId="1100" priority="527">
      <formula>P$41=""</formula>
    </cfRule>
  </conditionalFormatting>
  <conditionalFormatting sqref="Q84">
    <cfRule type="expression" dxfId="1099" priority="54">
      <formula>Q$139=""</formula>
    </cfRule>
  </conditionalFormatting>
  <conditionalFormatting sqref="S84">
    <cfRule type="expression" dxfId="1098" priority="55">
      <formula>S$139=""</formula>
    </cfRule>
  </conditionalFormatting>
  <conditionalFormatting sqref="T190:AB190">
    <cfRule type="expression" dxfId="1097" priority="2948">
      <formula>T190=""</formula>
    </cfRule>
  </conditionalFormatting>
  <conditionalFormatting sqref="T191:AB191 T210:AC210">
    <cfRule type="expression" dxfId="1096" priority="420">
      <formula>AND(T$190&lt;&gt;"",T191="")</formula>
    </cfRule>
  </conditionalFormatting>
  <conditionalFormatting sqref="T191:AB195 T197:AB197 T199:AB201 T203:AB204 T206:AB206 T208:AB210">
    <cfRule type="expression" dxfId="1095" priority="91">
      <formula>T$190=""</formula>
    </cfRule>
  </conditionalFormatting>
  <conditionalFormatting sqref="T192:AB192">
    <cfRule type="expression" dxfId="1094" priority="503">
      <formula>AND(T192&lt;&gt;"",ISERROR(MATCH(T192,geografische_niveaus_installaties,0))=TRUE)</formula>
    </cfRule>
  </conditionalFormatting>
  <conditionalFormatting sqref="T203:AB204 T206:AB206 T192:AB195 T197:AB197 T199:AB201 T208:AB209">
    <cfRule type="expression" dxfId="1093" priority="575">
      <formula>T192=""</formula>
    </cfRule>
  </conditionalFormatting>
  <conditionalFormatting sqref="U141">
    <cfRule type="expression" dxfId="1092" priority="34">
      <formula>U$83=""</formula>
    </cfRule>
    <cfRule type="expression" dxfId="1091" priority="35">
      <formula>AND(U$83&lt;&gt;"",U141="")</formula>
    </cfRule>
    <cfRule type="expression" dxfId="1090" priority="36">
      <formula>AND(U141&lt;&gt;"",ISERROR(MATCH(U141,geografische_niveaus_installaties,0))=TRUE)</formula>
    </cfRule>
  </conditionalFormatting>
  <conditionalFormatting sqref="U155">
    <cfRule type="expression" dxfId="1089" priority="29">
      <formula>U$83=""</formula>
    </cfRule>
    <cfRule type="expression" dxfId="1088" priority="30">
      <formula>AND(U$83&lt;&gt;"",U155="")</formula>
    </cfRule>
  </conditionalFormatting>
  <conditionalFormatting sqref="U167">
    <cfRule type="expression" dxfId="1087" priority="28">
      <formula>U$83=""</formula>
    </cfRule>
  </conditionalFormatting>
  <conditionalFormatting sqref="AC167:AE167">
    <cfRule type="expression" dxfId="1086" priority="27">
      <formula>AC$83=""</formula>
    </cfRule>
  </conditionalFormatting>
  <conditionalFormatting sqref="AE141">
    <cfRule type="expression" dxfId="1085" priority="32">
      <formula>AND(AE$83&lt;&gt;"",AE141="")</formula>
    </cfRule>
    <cfRule type="expression" dxfId="1084" priority="31">
      <formula>AE$83=""</formula>
    </cfRule>
    <cfRule type="expression" dxfId="1083" priority="33">
      <formula>AND(AE141&lt;&gt;"",ISERROR(MATCH(AE141,geografische_niveaus_installaties,0))=TRUE)</formula>
    </cfRule>
  </conditionalFormatting>
  <conditionalFormatting sqref="AJ83:AM83">
    <cfRule type="expression" dxfId="1082" priority="6">
      <formula>AJ83=""</formula>
    </cfRule>
  </conditionalFormatting>
  <conditionalFormatting sqref="AJ139:AM139">
    <cfRule type="expression" dxfId="1081" priority="9">
      <formula>AJ139=""</formula>
    </cfRule>
  </conditionalFormatting>
  <conditionalFormatting sqref="AK152:BA158 AK140:BA150 I142:AJ150 I156:AJ158 I165:AO166 AP166:AR167 I141:T141 V141:AD141 AF141:AJ141 I152:AJ154 I155:T155 V155:AJ155 I160:BA163 I140:AJ140 I167:N167 P167:T167 V167:AB167 AF167:AI167">
    <cfRule type="expression" dxfId="1080" priority="151">
      <formula>I$139=""</formula>
    </cfRule>
  </conditionalFormatting>
  <conditionalFormatting sqref="AN160:AO160">
    <cfRule type="expression" dxfId="1079" priority="199">
      <formula>AND(AN$154=1,AN160&lt;&gt;"geen")</formula>
    </cfRule>
  </conditionalFormatting>
  <conditionalFormatting sqref="AN167:AO167">
    <cfRule type="expression" dxfId="1078" priority="26">
      <formula>AN$83=""</formula>
    </cfRule>
  </conditionalFormatting>
  <conditionalFormatting sqref="AP165:AQ165">
    <cfRule type="expression" dxfId="1077" priority="125">
      <formula>AND(AP$139&lt;&gt;"",AP$142=1,AP165&lt;&gt;0)</formula>
    </cfRule>
    <cfRule type="expression" dxfId="1076" priority="124">
      <formula>AND(AP$139&lt;&gt;"",AP165="")</formula>
    </cfRule>
    <cfRule type="expression" dxfId="1075" priority="123">
      <formula>AP$139=""</formula>
    </cfRule>
  </conditionalFormatting>
  <conditionalFormatting sqref="AP140:AR144">
    <cfRule type="expression" dxfId="1074" priority="129">
      <formula>AP$139=""</formula>
    </cfRule>
  </conditionalFormatting>
  <conditionalFormatting sqref="AP141:AR141">
    <cfRule type="expression" dxfId="1073" priority="138">
      <formula>AND(AP$139&lt;&gt;"",AP141&lt;&gt;"",ISERROR(MATCH(AP141,geografische_niveaus_installaties,0))=TRUE)</formula>
    </cfRule>
  </conditionalFormatting>
  <conditionalFormatting sqref="AP142:AR142">
    <cfRule type="expression" dxfId="1072" priority="136">
      <formula>IF(AP$141=centraal,AND(AP142&lt;&gt;0,AP142&lt;&gt;1),AP142&lt;&gt;0)</formula>
    </cfRule>
  </conditionalFormatting>
  <conditionalFormatting sqref="AP152:AT152">
    <cfRule type="expression" dxfId="1071" priority="139">
      <formula>AND(AP152&lt;&gt;"",ISERROR(MATCH(AP152,energiedragers_geschikt_voor_TAP,FALSE)))</formula>
    </cfRule>
  </conditionalFormatting>
  <conditionalFormatting sqref="AP157:AT158">
    <cfRule type="expression" dxfId="1070" priority="134">
      <formula>AND(AP$157&gt;0,AP$158&gt;0)</formula>
    </cfRule>
  </conditionalFormatting>
  <conditionalFormatting sqref="AP83:BD83">
    <cfRule type="expression" dxfId="1069" priority="445">
      <formula>AP83=""</formula>
    </cfRule>
  </conditionalFormatting>
  <conditionalFormatting sqref="AP84:BD84">
    <cfRule type="expression" dxfId="1068" priority="25">
      <formula>AND(AP$87&lt;&gt;"",AP84="")</formula>
    </cfRule>
    <cfRule type="expression" dxfId="1067" priority="24">
      <formula>AP$87=""</formula>
    </cfRule>
  </conditionalFormatting>
  <conditionalFormatting sqref="AP86:BD86">
    <cfRule type="expression" dxfId="1066" priority="213">
      <formula>AP$83=""</formula>
    </cfRule>
    <cfRule type="expression" dxfId="1065" priority="214">
      <formula>AND(AP$83&lt;&gt;"",AP86="")</formula>
    </cfRule>
  </conditionalFormatting>
  <conditionalFormatting sqref="AP119:BD119">
    <cfRule type="expression" dxfId="1064" priority="288">
      <formula>AND(AP$83&lt;&gt;"",AP119="")</formula>
    </cfRule>
  </conditionalFormatting>
  <conditionalFormatting sqref="AS139:BA139 AS167:BA167">
    <cfRule type="expression" dxfId="1063" priority="164">
      <formula>AS139=""</formula>
    </cfRule>
  </conditionalFormatting>
  <conditionalFormatting sqref="AS140:BA140">
    <cfRule type="expression" dxfId="1062" priority="157">
      <formula>AND(AS$139&lt;&gt;"",AS140="")</formula>
    </cfRule>
  </conditionalFormatting>
  <conditionalFormatting sqref="AS141:BA141">
    <cfRule type="expression" dxfId="1061" priority="162">
      <formula>AND(AS$139&lt;&gt;"",AS141&lt;&gt;"",ISERROR(MATCH(AS141,geografische_niveaus_installaties,0))=TRUE)</formula>
    </cfRule>
  </conditionalFormatting>
  <conditionalFormatting sqref="AS141:BA144">
    <cfRule type="expression" dxfId="1060" priority="154">
      <formula>AND(AS$139&lt;&gt;"",AS141="")</formula>
    </cfRule>
  </conditionalFormatting>
  <conditionalFormatting sqref="AS142:BA142">
    <cfRule type="expression" dxfId="1059" priority="160">
      <formula>IF(AS$141=centraal,AND(AS142&lt;&gt;0,AS142&lt;&gt;1),AS142&lt;&gt;0)</formula>
    </cfRule>
  </conditionalFormatting>
  <conditionalFormatting sqref="AS143:BA144">
    <cfRule type="expression" dxfId="1058" priority="155">
      <formula>AND(AS$139&lt;&gt;"",AS$142=1,AS143&lt;&gt;0)</formula>
    </cfRule>
  </conditionalFormatting>
  <conditionalFormatting sqref="AS160:BA160">
    <cfRule type="expression" dxfId="1057" priority="153">
      <formula>AND(AS$154=1,AS160&lt;&gt;"geen")</formula>
    </cfRule>
  </conditionalFormatting>
  <conditionalFormatting sqref="AS165:BA166">
    <cfRule type="expression" dxfId="1056" priority="203">
      <formula>AND(AS$139&lt;&gt;"",AS$142=1,AS165&lt;&gt;0)</formula>
    </cfRule>
    <cfRule type="expression" dxfId="1055" priority="200">
      <formula>AND(AS$139&lt;&gt;"",AS165="")</formula>
    </cfRule>
  </conditionalFormatting>
  <conditionalFormatting sqref="AS165:BA167">
    <cfRule type="expression" dxfId="1054" priority="197">
      <formula>AS$139=""</formula>
    </cfRule>
  </conditionalFormatting>
  <conditionalFormatting sqref="AU167:AV167">
    <cfRule type="expression" dxfId="1053" priority="2737">
      <formula>AU167=""</formula>
    </cfRule>
  </conditionalFormatting>
  <conditionalFormatting sqref="AU152:BA152">
    <cfRule type="expression" dxfId="1052" priority="177">
      <formula>AND(AU152&lt;&gt;"",ISERROR(MATCH(AU152,energiedragers_geschikt_voor_TAP,FALSE)))</formula>
    </cfRule>
  </conditionalFormatting>
  <conditionalFormatting sqref="AU157:BA158">
    <cfRule type="expression" dxfId="1051" priority="172">
      <formula>AND(AU$157&gt;0,AU$158&gt;0)</formula>
    </cfRule>
  </conditionalFormatting>
  <conditionalFormatting sqref="DU21:FB24 DU26:FB31">
    <cfRule type="expression" dxfId="1050" priority="532">
      <formula>AND(DU$20&lt;&gt;"",DU21="")</formula>
    </cfRule>
  </conditionalFormatting>
  <conditionalFormatting sqref="DU21:FB24 DU26:FB35">
    <cfRule type="expression" dxfId="1049" priority="56">
      <formula>DU$20=""</formula>
    </cfRule>
  </conditionalFormatting>
  <dataValidations xWindow="1256" yWindow="738" count="158">
    <dataValidation type="decimal" allowBlank="1" showInputMessage="1" showErrorMessage="1" sqref="N199:P199" xr:uid="{00000000-0002-0000-0A00-000002000000}">
      <formula1>0</formula1>
      <formula2>1</formula2>
    </dataValidation>
    <dataValidation type="decimal" allowBlank="1" showInputMessage="1" showErrorMessage="1" sqref="Q199:S199 N206:S206 N201:S201" xr:uid="{00000000-0002-0000-0A00-000004000000}">
      <formula1>0</formula1>
      <formula2>25</formula2>
    </dataValidation>
    <dataValidation allowBlank="1" showErrorMessage="1" sqref="K264 I252:Q252 I250:J250 AF270:AF271 AG271:AP271 I305:J311 AF272:AP272 AF261:AP265 AF268:AP268 J251 I273:AE273 I271:AE271 I275:AP280 I269:AP269 M305:R307" xr:uid="{00000000-0002-0000-0A00-000008000000}"/>
    <dataValidation allowBlank="1" showInputMessage="1" showErrorMessage="1" prompt="Klik op de naam van het toestel voor meer informatie." sqref="G84 G140 G191" xr:uid="{00000000-0002-0000-0A00-00000A000000}"/>
    <dataValidation allowBlank="1" showInputMessage="1" showErrorMessage="1" promptTitle="ind WP, coll grondw, elek bijsto" prompt="individuele warmtepomp met collectieve bron op grondwater, Tsup 45-50 °C, elektrische bijstook, met regeneratie van de bron" sqref="K84" xr:uid="{D3DDC8D6-FA11-470A-9658-3FF52C63FFBB}"/>
    <dataValidation allowBlank="1" showInputMessage="1" showErrorMessage="1" promptTitle="ind WP, coll grondw, gas bijstoo" prompt="individuele warmtepomp met collectieve bron op grondwater, Tsup 45-50 °C, bijstook met gas, met regeneratie van de bron" sqref="M84" xr:uid="{C855820D-89FA-42E3-A2B9-CB24C0F4A2FB}"/>
    <dataValidation allowBlank="1" showInputMessage="1" showErrorMessage="1" promptTitle="ind WP, ind bodem, elek bijstook" prompt="individuele warmtepomp met individuele bodembron, Tsup 45-50 °C, elektrische bijstook, met regeneratie van de bron" sqref="L84" xr:uid="{5DE753EC-3456-44D1-85A9-18991CB9D77E}"/>
    <dataValidation allowBlank="1" showInputMessage="1" showErrorMessage="1" promptTitle="coll WP | grond, gas bijstook" prompt="collectieve warmtepomp met collectieve bron grondwater, Tsup 45-50 °C, bijstook met collectieve gasgestookte hulpketel, met regeneratie van de bron" sqref="R84" xr:uid="{00000000-0002-0000-0A00-00000F000000}"/>
    <dataValidation allowBlank="1" showInputMessage="1" showErrorMessage="1" promptTitle="Biomassa verbranding, tot 10 MWe" prompt="Centrale voor het verbranden van biomassa, tot een elektrisch vermogen van 10 MW" sqref="AA84 Z140" xr:uid="{00000000-0002-0000-0A00-000014000000}"/>
    <dataValidation allowBlank="1" showInputMessage="1" showErrorMessage="1" promptTitle="Biomassa verbranding, 10-50 MWe" prompt="Centrale voor het verbranden van biomassa, elektrisch vermogen van 10 tot 50 MW" sqref="AB84 AA140" xr:uid="{00000000-0002-0000-0A00-000015000000}"/>
    <dataValidation allowBlank="1" showInputMessage="1" showErrorMessage="1" promptTitle="ind WP, coll grondw, elek bijsto" prompt="individuele combi-warmtepomp met collectieve bron op grondwater, Tsup 45-50 °C, elektrische bijstook, met regeneratie van de bron" sqref="K140" xr:uid="{00000000-0002-0000-0A00-000016000000}"/>
    <dataValidation allowBlank="1" showInputMessage="1" showErrorMessage="1" promptTitle="ind WP, ind bodem, elek bijstook" prompt="individuele combi-warmtepomp met individuele bodembron, Tsup 45-50 °C, elektrische bijstook, met regeneratie van de bron" sqref="L140" xr:uid="{00000000-0002-0000-0A00-000017000000}"/>
    <dataValidation allowBlank="1" showInputMessage="1" showErrorMessage="1" promptTitle="ind WP, coll grondw, gas bijstoo" prompt="individuele combi-warmtepomp met collectieve bron op grondwater, Tsup 45-50 °C, bijstook met gas, met regeneratie van de bron" sqref="M140" xr:uid="{00000000-0002-0000-0A00-000018000000}"/>
    <dataValidation allowBlank="1" showInputMessage="1" showErrorMessage="1" promptTitle="ind WP, ind bodem, gas bijstook" prompt="individuele combi-warmtepomp met individuele bodembron, Tsup 45-50 °C, bijstook op gas, met regeneratie van de bron" sqref="N140" xr:uid="{00000000-0002-0000-0A00-000019000000}"/>
    <dataValidation allowBlank="1" showInputMessage="1" showErrorMessage="1" promptTitle="ind wp buitenlucht, elek bijstoo" prompt="individuele combi-warmtepomp, bron buitenlucht, elektrische bijstook" sqref="P140" xr:uid="{00000000-0002-0000-0A00-00001A000000}"/>
    <dataValidation allowBlank="1" showInputMessage="1" showErrorMessage="1" promptTitle="Afgifterendement" prompt="1,00 bij verwarming of_x000a_        LT-radiatoren in_x000a_        geïsoleerd gebouw_x000a_        (Rc &gt; 2,5 m2K/W);_x000a_0,90 bij HT-systemen;_x000a_0,95 in overige situaties." sqref="D90" xr:uid="{00000000-0002-0000-0A00-000028000000}"/>
    <dataValidation type="textLength" allowBlank="1" showInputMessage="1" showErrorMessage="1" errorTitle="Maximaal 65 karakters" error="Maximaal 65 karakters" sqref="F5" xr:uid="{00000000-0002-0000-0A00-000033000000}">
      <formula1>0</formula1>
      <formula2>65</formula2>
    </dataValidation>
    <dataValidation type="textLength" errorStyle="warning" allowBlank="1" showInputMessage="1" showErrorMessage="1" errorTitle="Maximaal 30 karakters" error="Maximaal 30 karakters" sqref="F3:F4" xr:uid="{00000000-0002-0000-0A00-000034000000}">
      <formula1>0</formula1>
      <formula2>30</formula2>
    </dataValidation>
    <dataValidation allowBlank="1" showInputMessage="1" showErrorMessage="1" promptTitle="Gegevensfilter (links)" prompt="Het pijltje links geeft toegang tot het gegevensfilter, waarmee informatie zichtbaar/onzichtbaar gemaakt kan worden." sqref="D542" xr:uid="{00000000-0002-0000-0A00-000032000000}"/>
    <dataValidation allowBlank="1" showInputMessage="1" showErrorMessage="1" promptTitle="ind wp buitenlucht, el. bijstook" prompt="individuele warmtepomp, bron buitenlucht, elektrische bijstook" sqref="T84 P84" xr:uid="{BBBD7C22-9B70-4C36-8EBC-0728B28237A8}"/>
    <dataValidation allowBlank="1" showInputMessage="1" showErrorMessage="1" prompt="_x000a_" sqref="E194:E195" xr:uid="{2F881783-DB4C-4160-B0D8-E79DA785B6CE}"/>
    <dataValidation allowBlank="1" showErrorMessage="1" prompt="_x000a_" sqref="E143 E193" xr:uid="{41192548-A091-41DC-B3CD-961ED33B28C1}"/>
    <dataValidation type="list" allowBlank="1" showInputMessage="1" showErrorMessage="1" sqref="T192:AB192 U141 AE141 I85:BD85" xr:uid="{E2CE6FBB-0373-4567-A5B7-73008EDE858D}">
      <formula1>geografische_niveaus_installaties</formula1>
    </dataValidation>
    <dataValidation allowBlank="1" showInputMessage="1" showErrorMessage="1" promptTitle="alleen cf. bijlage P uit NTA8800" prompt="Getalswaarden voor de primaire energiefactor mogen uitsluitend gebruikt worden bij een berekening volgens bijlage P (NTA8800); aanvulling op tabel 5.2 (NTA8800)." sqref="U260:W260" xr:uid="{30311724-01A7-4160-BD1B-2224EBF501F4}"/>
    <dataValidation allowBlank="1" showInputMessage="1" showErrorMessage="1" promptTitle="bm. Activiteitenbesluit [bmA]" prompt="Biomassa voor met vaste biomassa gestookte kachels en ketels (&gt;100 kW thermisch vermogen) die vallen onder het Activiteitenbesluit._x000a_(NTA8800 tabel 5.2/5.3)" sqref="M260" xr:uid="{300F30B6-BD18-4C19-B40E-02F4CF5F7161}"/>
    <dataValidation allowBlank="1" showInputMessage="1" showErrorMessage="1" promptTitle="biomassa cf bijlage R [bmB]" prompt="Biomassa voor met vaste biomassa gestookte kachels en ketels (&lt;100 kW thermisch vermogen) die voldoen aan een minimale verbrandingskwaliteit en een maximaal emissieniveau, zoals in bijlage R._x000a_(NTA8800 tabel 5.2/5.3, bijage R)" sqref="N260" xr:uid="{F50A77FD-D6D9-4528-8613-A6B6EF5B9EE8}"/>
    <dataValidation allowBlank="1" showInputMessage="1" showErrorMessage="1" promptTitle="biomassa overig [bmC]" prompt="Biomassa voor met vaste biomassa gestookte kachels en ketels die niet voldoen aan de criteria van biomassa bmA en bmB._x000a_(NTA8800 tabel 5.2/5.3)" sqref="O260" xr:uid="{5C2635F0-EFAF-43AB-ABFD-BC750FF82636}"/>
    <dataValidation allowBlank="1" showInputMessage="1" showErrorMessage="1" promptTitle="elektriciteit hernieuwbaar" prompt="Hernieuwbaar opgewekte elektriciteit." sqref="J249" xr:uid="{196F2A43-BF5C-4726-A2D2-0CC840FA7506}"/>
    <dataValidation allowBlank="1" showInputMessage="1" showErrorMessage="1" promptTitle="Biomassa (bmA)" prompt="Biomassa voor op een vaste biomassa gestookte kachels en ketels die vallen onder het Activiteitenbesluit" sqref="M249" xr:uid="{62CDB3D3-E90D-4380-A5AB-AF3F530FBB68}"/>
    <dataValidation allowBlank="1" showInputMessage="1" showErrorMessage="1" promptTitle="Biomassa (bmB)" prompt="Biomassa voor op een vaste biomassa gestookte kachels en ketels die voldoen aan een minimale verbrandingskwaliteit en een maximaal emissieniveau, zoals aangegeven in bijlage R." sqref="N249" xr:uid="{005A43AC-0403-497B-9B2C-DFE65C3AD82F}"/>
    <dataValidation allowBlank="1" showInputMessage="1" showErrorMessage="1" promptTitle="Biomassa (bmC)" prompt="Biomassa voor op een vaste biomassa gestookte kachels en ketels die niet aan de hierboven criteria voldoen." sqref="O249" xr:uid="{D5844B97-9D82-44F4-B49A-D6DDAF2F0730}"/>
    <dataValidation allowBlank="1" showInputMessage="1" showErrorMessage="1" promptTitle="Externe warmte of koude (forf)" prompt="Externe warmte- of koudelevering waarvoor geen kwaliteitsverklaring op basis van NEN 7125 beschikbaar is." sqref="P249" xr:uid="{E813DF6B-2350-445B-8895-22CDFE98D61D}"/>
    <dataValidation allowBlank="1" showInputMessage="1" showErrorMessage="1" promptTitle="Externe warmte/koude (kwal)" prompt="Externe warmte- of koudelevering waarvoor een kwaliteitsverklaring op basis van NEN 7125 beschikbaar is." sqref="Q249" xr:uid="{A16AD7EF-B50F-418B-88C5-81A45DA7E899}"/>
    <dataValidation allowBlank="1" showInputMessage="1" showErrorMessage="1" promptTitle="heeft toestel hernieuwbare bron?" prompt="Nodig voor bepalen bijdrage warmtepomp aan BENG-indicator hernieuwbare energie." sqref="D87" xr:uid="{1A7D99ED-06BD-4E28-8851-A423266F3082}"/>
    <dataValidation type="list" allowBlank="1" showInputMessage="1" showErrorMessage="1" sqref="BB87:BD88 I193:S195 AX87:AZ88 I288:DD290" xr:uid="{49E50999-05B7-4E62-8117-FFD65A8BA711}">
      <formula1>"0,1"</formula1>
    </dataValidation>
    <dataValidation type="decimal" showInputMessage="1" showErrorMessage="1" errorTitle="Bereik 0,1-15,0" error="De ingevulde waarde valt buiten het bereik." sqref="AS163:BA163" xr:uid="{78A938DF-F845-4E76-9487-E3B3F1BD2BB6}">
      <formula1>0.1</formula1>
      <formula2>15</formula2>
    </dataValidation>
    <dataValidation type="decimal" allowBlank="1" showInputMessage="1" showErrorMessage="1" errorTitle="Bereik 0,0-2,0" error="De ingevoerde waarde valt buiten het bereik." sqref="X261:AE263 M309:R310" xr:uid="{1A66FC1A-5649-41F1-A082-FE5C139D3624}">
      <formula1>0</formula1>
      <formula2>2</formula2>
    </dataValidation>
    <dataValidation type="decimal" allowBlank="1" showInputMessage="1" showErrorMessage="1" errorTitle="Bereik 0,1-15,0" error="De ingevoerde waarde valt buiten het bereik." sqref="T206:AB206 AW107:BD107" xr:uid="{F15622FB-66E5-426F-A106-D860DDAED259}">
      <formula1>0.1</formula1>
      <formula2>15</formula2>
    </dataValidation>
    <dataValidation type="decimal" allowBlank="1" showInputMessage="1" showErrorMessage="1" errorTitle="Bereik 0,0-0,7" error="De ingevoerde waarde valt buiten het bereik." sqref="T201:AB201" xr:uid="{93FEC512-4AB2-41CB-9C0B-56F4B7C14BC1}">
      <formula1>0</formula1>
      <formula2>0.7</formula2>
    </dataValidation>
    <dataValidation type="decimal" allowBlank="1" showInputMessage="1" showErrorMessage="1" errorTitle="Bereik 0,0-0,5" error="De ingevoerde waarde valt buiten het bereik." sqref="X264:AE264 M311:R312" xr:uid="{925B59E4-B5B4-45A5-9270-4C153E0338DA}">
      <formula1>0</formula1>
      <formula2>0.5</formula2>
    </dataValidation>
    <dataValidation type="decimal" allowBlank="1" showInputMessage="1" showErrorMessage="1" errorTitle="Bereik 0,0-1,0" error="De ingevoerde waarde valt buiten het bereik." sqref="T199:AB199" xr:uid="{F7428E62-C497-4CBD-B519-0CF73175A84D}">
      <formula1>0</formula1>
      <formula2>1</formula2>
    </dataValidation>
    <dataValidation type="decimal" allowBlank="1" showInputMessage="1" showErrorMessage="1" errorTitle="Bereik 0,00-0,01" error="De ingevoerde waarde valt buiten het bereik." sqref="T208:AB208" xr:uid="{E98728CF-9368-461C-9B5D-C61A111F4E61}">
      <formula1>0</formula1>
      <formula2>0.01</formula2>
    </dataValidation>
    <dataValidation type="decimal" allowBlank="1" showInputMessage="1" showErrorMessage="1" errorTitle="Bereik 0,0-0,1" error="De ingevoerde waarde valt buiten het bereik." sqref="T209:AB209" xr:uid="{24937FF8-355D-4545-96D6-8107781F888D}">
      <formula1>0</formula1>
      <formula2>0.1</formula2>
    </dataValidation>
    <dataValidation type="list" allowBlank="1" showInputMessage="1" showErrorMessage="1" errorTitle="Bereik 0,0-1,0" error="De ingevoerde waarde valt buiten het bereik." sqref="T193:AB195" xr:uid="{D31D1193-0062-4127-8BB8-775BB9D6B1EF}">
      <formula1>"0,1"</formula1>
    </dataValidation>
    <dataValidation allowBlank="1" showInputMessage="1" showErrorMessage="1" promptTitle="Gegevensfilter en navigatie" prompt="&lt;-_x000a_Het gegevensfilter biedt de mogelijkheid om (delen van) tabellen in de UMGO te filteren._x000a__x000a_-&gt;_x000a_Navigatieknoppen naar andere tabbladen." sqref="D8" xr:uid="{19B41AF7-4152-4772-80B1-D2D9E7EE36A7}"/>
    <dataValidation allowBlank="1" showInputMessage="1" showErrorMessage="1" promptTitle="Voorbeeldwoningen en -gebouwen" prompt="De voorbeeldgebouwen bestaan uit:_x000a_- RVO referentiewoningen nieuwbouw_x000a_   &gt;vrij L, tussenwon S, .._x000a_- Voorbeeldwoningen 2020_x000a_   &gt;type (vrij, 2/1 kap,..) _x000a_   &gt;bouwjaarklasse (92-05=1992-2005)_x000a_- Voorbeeldgebouwen utiliteit_x000a_- Door gebruiker ingevoerde gebouwen" sqref="D20" xr:uid="{1CA6AC46-007D-4A79-B903-C1FD4D1B65B8}"/>
    <dataValidation allowBlank="1" showInputMessage="1" showErrorMessage="1" promptTitle="Warmtebehoefte tapwater MWA - U" prompt="De warmtebehoefte voor warmtapwater van utiliteitsgebouwen is afhankelijk van de gebruiksoppervlakte van het gebouw. Hier staan kentallen die gebruikt worden bij het berekenen van het maatwerkadvies MWA." sqref="D336" xr:uid="{FFE92F8D-2118-4BA5-9655-CD14B673D07C}"/>
    <dataValidation allowBlank="1" showInputMessage="1" showErrorMessage="1" promptTitle="aftapwarmte" prompt="Aftapwarmte van elektriciteitscentrale. Bij aftap van warmte daalt de elektriciteitsproductie. Die daling wordt gecompenseerd door het NL elektriciteitsnet. Het primair energiegebruik en de CO2 emissie van die compensatie wordt in rekening gebracht." sqref="X260:Y260" xr:uid="{CD204899-04B9-4BFA-A8BD-26A66E05A52D}"/>
    <dataValidation allowBlank="1" showInputMessage="1" showErrorMessage="1" promptTitle="elektr. derving aftapwarmte" prompt="Verhouding elektriciteitsderving Δε;chp;el en jaargemiddelde thermische omzettingsgetal van WKK ε;chp;th._x000a__x000a_forfaitair 0,18 (NEN 7125)_x000a__x000a_NEN 7125 (WKK installaties met derving)" sqref="D158" xr:uid="{ADBC9DB5-F0BE-4DB4-A86F-75CC53891240}"/>
    <dataValidation allowBlank="1" showInputMessage="1" showErrorMessage="1" promptTitle="elek omzettingsgetal WKK" prompt="Het elektrische omzettingsgetal voor WKK._x000a_Voorbeelden in NTA 8800_x000a__x000a_NB als hier een waarde wordt ingevuld moet de waarde in de volgende regel (over elektriciteitsderving bij WKK) nul zijn._x000a__x000a_Dat geldt omgekeerd ook." sqref="D157" xr:uid="{4F6DB6C2-8A2C-4BB4-9252-E5EECB32FF0F}"/>
    <dataValidation allowBlank="1" showInputMessage="1" showErrorMessage="1" promptTitle="geografisch niveau" prompt="GEBOUW: individuele/collectieve installatie in woning of (woon)gebouw._x000a__x000a_GEBIED: collectieve installatie gedimensioneerd op warmtevraag (woon)gebouw._x000a__x000a_CENTRAAL: warmtelevering met opwekkingsrendement 1,0 en verrekening via fPdel en fPren van energiedrager" sqref="D85 D141" xr:uid="{BFDAA655-576D-4520-B89B-778BE981F31A}"/>
    <dataValidation allowBlank="1" showInputMessage="1" showErrorMessage="1" promptTitle="geografisch niveau" prompt="Er zijn alleengebouwgebonden installaties mogelijk._x000a__x000a_GEBOUW: individuele/collectieve installatie in woning of (woon)gebouw." sqref="D192" xr:uid="{7160980F-A570-4F34-B578-F1CFC46B2133}"/>
    <dataValidation allowBlank="1" showInputMessage="1" showErrorMessage="1" promptTitle="EMG verklaring" prompt="Bij geografisch niveau 'centraal': de externe warmtelevering heeft een EMG-verklaring (NEN 7125)." sqref="D142" xr:uid="{07798A9B-670A-49B8-B360-497F4528AD80}"/>
    <dataValidation type="list" allowBlank="1" showInputMessage="1" showErrorMessage="1" promptTitle="bij EMG-verklaring: 0" prompt=" " sqref="BA87:BA88 I143:BA144 I87:AW88" xr:uid="{5ACEEAF3-8309-4208-A179-7E3E1206D55F}">
      <formula1>"0,1"</formula1>
    </dataValidation>
    <dataValidation type="decimal" showInputMessage="1" showErrorMessage="1" errorTitle="Bereik 0,0-0,1" error="De ingevulde waarde valt buiten het bereik." promptTitle="bij EMG-veklaring: 0,000" prompt=" " sqref="I160 AP160:AR160 I166:BA166" xr:uid="{CC7C84C8-EB3E-4BF2-9D22-A2193467AA28}">
      <formula1>0</formula1>
      <formula2>0.1</formula2>
    </dataValidation>
    <dataValidation allowBlank="1" showInputMessage="1" showErrorMessage="1" promptTitle="dekkingsgraad install. preferent" prompt="De dekkingsgraad van preferente installaties met een kwaliteitsverklaring is altijd 100%." sqref="D98" xr:uid="{D8E01A53-876A-4CE2-B77A-223D14A8DA4E}"/>
    <dataValidation allowBlank="1" showInputMessage="1" showErrorMessage="1" promptTitle="opwekkingsrendement" prompt="Het opwekkingsrendement cf NTA 8800 H9._x000a__x000a_Opwekkingsrendement installaties met een EMG-verklaring of WKK met elektriciteitsderving: 1,0._x000a__x000a_Primair (hernieuwbaar) energiegebruik wordt berekend op basis van de fPdel en de fPren van de energiedrager." sqref="D99" xr:uid="{56B2620A-DF78-4394-88EF-43763B597CEA}"/>
    <dataValidation allowBlank="1" showInputMessage="1" showErrorMessage="1" promptTitle="opwekkingsrendement" prompt="Het opwekkingsrendement cf NTA 8800_x000a__x000a_Opwekkingsrendement installaties met een EMG-verklaring of WKK met elektriciteitsderving: 1,0._x000a__x000a_Primair (hernieuwbaar) energiegebruik wordt berekend op basis van de fPdel en de fPren van de energiedrager." sqref="D155" xr:uid="{3247C4CD-1D4A-409A-B742-356D91F10EBA}"/>
    <dataValidation type="list" allowBlank="1" showInputMessage="1" showErrorMessage="1" sqref="I197:AB197 I204:AB204" xr:uid="{2734E281-1A3D-4865-9DF6-B142A2446830}">
      <formula1>energiedragers_geschikt_voor_KOEL</formula1>
    </dataValidation>
    <dataValidation allowBlank="1" showInputMessage="1" showErrorMessage="1" promptTitle="dekkingsgraad install. preferent" prompt="De dekkingsgraad van preferente installaties met een EMG-verklaring is altijd 100%._x000a_Bij een booster-WP is deze afhankelijk van de COP van de booster-WP, =(COP-1)/COP. Kies ook een warmteopwekker/warmtenet." sqref="D154" xr:uid="{2ACFAE3D-CA93-482B-BFFB-EFFB779AD56E}"/>
    <dataValidation type="list" allowBlank="1" showInputMessage="1" showErrorMessage="1" sqref="AF259:AP259" xr:uid="{5DC61995-9CF6-4C98-92D6-A478CB1D9FBB}">
      <formula1>warmtenetten_NL_namen</formula1>
    </dataValidation>
    <dataValidation allowBlank="1" showInputMessage="1" showErrorMessage="1" promptTitle="ind WP, ind bodem, gas bijstook" prompt="individuele warmtepomp met individuele bodembron, Tsup 45-50 °C, bijstook op gas, met regeneratie van de bron" sqref="N84 P84" xr:uid="{58ED24A9-3CD1-46CC-9C46-41414AA01296}"/>
    <dataValidation type="decimal" allowBlank="1" showInputMessage="1" showErrorMessage="1" errorTitle="Bereik 0,1-15,0" error="De ingevoerde waarde valt buiten het bereik." promptTitle="bij EMG-verklaring: 100%" prompt=" " sqref="I154:N154 P154:BA154" xr:uid="{EFD90231-4F63-4E96-9CFC-A96356D00EF4}">
      <formula1>0.1</formula1>
      <formula2>15</formula2>
    </dataValidation>
    <dataValidation type="decimal" allowBlank="1" showInputMessage="1" showErrorMessage="1" errorTitle="Bereik 0,1-15,0" error="De ingevoerde waarde valt buiten het bereik." promptTitle="bij 'centraal': 1,000" prompt=" " sqref="I155:T155 V155:BA155" xr:uid="{11CAD9FF-8B85-4857-81F8-AC5B0607627A}">
      <formula1>0.1</formula1>
      <formula2>15</formula2>
    </dataValidation>
    <dataValidation type="decimal" allowBlank="1" showInputMessage="1" showErrorMessage="1" errorTitle="Bereik 0,1-15,0" error="De ingevoerde waarde valt buiten het bereik." promptTitle="bij EMG-verklaring: 100%" prompt=" " sqref="O154" xr:uid="{05636036-F71F-488F-9A13-7F4EFBCFF062}">
      <formula1>0</formula1>
      <formula2>15</formula2>
    </dataValidation>
    <dataValidation allowBlank="1" showInputMessage="1" showErrorMessage="1" promptTitle="Renocatiestandaard utiliteit" prompt="De renovatiestandaard is een vrijwillige richtlijn voor de energieprestatie van utiliteitsgebouwen. Na 2030 wordt er een verplichte eindnorm bepaald waaraan de energieprestaties van alle gebouwen moeten voldoen in 2050." sqref="D463" xr:uid="{F204B2DC-4A43-4E2F-AC39-D0A76BD2F8F3}"/>
    <dataValidation type="decimal" allowBlank="1" showInputMessage="1" showErrorMessage="1" errorTitle="Bereik 0,1-15,0" error="De ingevoerde waarde valt buiten het bereik." promptTitle="bij 'centraal' altijd 1,000" prompt="Bij installaties geografisch niveau: 'centraal' is het opwekkingsrendement van het preferente toestel altijd 1,000." sqref="U155 I99:BD99" xr:uid="{FC46EFC5-5649-4BBA-B5A1-F19F6299843F}">
      <formula1>0.1</formula1>
      <formula2>30</formula2>
    </dataValidation>
    <dataValidation allowBlank="1" showInputMessage="1" showErrorMessage="1" promptTitle="externe warmte kwaliteitsverkl." prompt="Externe warmtelevering voor verwarming waarvoor een kwaliteitsverklaring op basis van bijlage P van NTA8800 beschikbaar is." sqref="AH260:AI260 AF260 AA260:AC260" xr:uid="{2621C369-387F-4A01-8EAF-793DC5AC66F5}"/>
    <dataValidation allowBlank="1" showInputMessage="1" showErrorMessage="1" promptTitle="externe koude forfaitair" prompt="Externe koudelevering voor koeling waarvoor GEEN kwaliteitsverklaring op basis van bijlage P van NTA8800 beschikbaar is." sqref="T260" xr:uid="{D632DF66-64D4-4C96-86C8-F331BA870608}"/>
    <dataValidation allowBlank="1" showInputMessage="1" showErrorMessage="1" promptTitle="externe koude kwaliteitsverkl." prompt="Externe koudelevering voor koeling waarvoor een kwaliteitsverklaring op basis van bijlage P van NTA8800 beschikbaar is." sqref="AG260" xr:uid="{38BED0F4-4888-46B9-B5ED-431586D2ED41}"/>
    <dataValidation allowBlank="1" showInputMessage="1" showErrorMessage="1" promptTitle="Waterstof (groen)" prompt="Impact waterstof op basis van CO2indicatoren.nl (op 23-4-2025: 1,140 Kg CO₂-eq/kg) &gt; 0,000033kg/kWh" sqref="AD260" xr:uid="{234D0818-9B89-4349-A035-C69FDD0263E1}"/>
    <dataValidation allowBlank="1" showInputMessage="1" showErrorMessage="1" promptTitle="Waterstof (grijs)" prompt="Impact waterstof op basis van CO2indicatoren.nl (op 23-4-2025: 12,516 Kg CO₂-eq/kg) &gt; 0,000375kg/kWh" sqref="AE260" xr:uid="{E08CE867-16BA-4E48-A62F-AF5B66E6D7F0}"/>
    <dataValidation type="list" allowBlank="1" showInputMessage="1" showErrorMessage="1" sqref="N192:S192 AF141:BA141 V141:AD141 I141:T141" xr:uid="{00000000-0002-0000-0A00-000000000000}">
      <formula1>$I$530:$K$530</formula1>
    </dataValidation>
    <dataValidation allowBlank="1" showInputMessage="1" showErrorMessage="1" promptTitle="EMG verklaring" prompt="Bij geografisch niveau 'centraal': de externe warmtelevering heeft een kwaliteitsverklaring cf NTA 8800, bijlage P." sqref="D86" xr:uid="{A01C1476-16E4-47CA-B1C4-A3BDB665D481}"/>
    <dataValidation allowBlank="1" showInputMessage="1" showErrorMessage="1" promptTitle="elek omzettingsgetal WKK" prompt="Het elektrische omzettingsgetal voor WKK._x000a_Voorbeelden in NTA 8800._x000a__x000a_NB als hier een waarde wordt ingevuld moet de waarde in de volgende regel (over elektriciteitsderving bij WKK) nul zijn._x000a__x000a_Dat geldt omgekeerd ook." sqref="D101" xr:uid="{4526155C-2423-44B2-9F21-D45C5F79DE40}"/>
    <dataValidation allowBlank="1" showInputMessage="1" showErrorMessage="1" promptTitle="elektr. derving aftapwarmte" prompt="Verhouding elektriciteitsderving Δε;chp;el en jaargemiddelde thermische omzettingsgetal van WKK ε;chp;th._x000a__x000a_forfaitair 0,18 (NEN 7125)_x000a_NEN 7125 (WKK installaties met derving.)" sqref="D102" xr:uid="{C48D23B4-43B5-4874-8E4D-F40760CFF5E0}"/>
    <dataValidation type="decimal" allowBlank="1" showInputMessage="1" showErrorMessage="1" sqref="L181:M181" xr:uid="{A3BEE088-ABF9-4156-80A9-3A410352FCC6}">
      <formula1>0.75</formula1>
      <formula2>1</formula2>
    </dataValidation>
    <dataValidation type="decimal" allowBlank="1" showInputMessage="1" showErrorMessage="1" sqref="L180:M180" xr:uid="{A6475B45-D987-467B-B655-D60BD8180FF9}">
      <formula1>0</formula1>
      <formula2>0.6</formula2>
    </dataValidation>
    <dataValidation allowBlank="1" showInputMessage="1" showErrorMessage="1" promptTitle="Warmtebehoefte tapwater EP - U" prompt="De warmtebehoefte voor warmtapwater van utiliteitsgebouwen is afhankelijk van de gebruiksoppervlakte van het gebouw. Hier staan kentallen die gebruikt worden bij het berekenen van de Energieprestatie EP." sqref="D335" xr:uid="{94A16D9C-09C6-4AD4-B3F2-C5110073E70D}"/>
    <dataValidation allowBlank="1" showInputMessage="1" showErrorMessage="1" promptTitle="Warmtebehoefte tapwater EP - WON" prompt="De warmtebehoefte voor warmtapwater van woningen is afhankelijk van de warmtebehoefte voor warmtapwater per persoon. Hier staan kentallen die gebruikt worden bij het berekenen van de energieprestatie EP." sqref="D337" xr:uid="{4D328478-7EC3-445A-84C0-D21B5C1CC8DB}"/>
    <dataValidation allowBlank="1" showInputMessage="1" showErrorMessage="1" promptTitle="Warmtebehoefte tapwater MWA WON" prompt="De warmtebehoefte voor warmtapwater van woningen is afhankelijk van de warmtebehoefte voor warmtapwater per persoon. Hier staan kentallen die gebruikt worden bij het berekenen van het maatwerkadvies MWA." sqref="D338" xr:uid="{1E6DC190-D2DB-48D7-A751-1B75FB80710A}"/>
    <dataValidation type="decimal" allowBlank="1" showInputMessage="1" showErrorMessage="1" sqref="I200:AB200" xr:uid="{156A5C65-6699-4D8A-BB74-716137D7CC98}">
      <formula1>0.1</formula1>
      <formula2>100</formula2>
    </dataValidation>
    <dataValidation allowBlank="1" showInputMessage="1" showErrorMessage="1" promptTitle="Weegfactoren ext. warmtelevering" prompt="Het temperatuurniveau van de aangeleverde warmte bepaalt met welke weegfactor er gerekend moet worden. Indien deze informatie onbekend is, dient er gerekend te worden met de weegfactor voor T_afleverwarmte &gt;= 60°C." sqref="D294" xr:uid="{124805EA-95C6-4D5E-A6C9-7BF1F140DB21}"/>
    <dataValidation allowBlank="1" showInputMessage="1" showErrorMessage="1" promptTitle="externe warmte forfaitair, laag" prompt="T_aflever:warmte = 20-40°C_x000a_Externe warmtelevering voor verwarming waarvoor GEEN kwaliteitsverklaring op basis van bijlage P van NTA8800 beschikbaar is." sqref="R260:S260" xr:uid="{DCFF869D-9658-45DD-8CD7-9DD8DA18E77C}"/>
    <dataValidation allowBlank="1" showInputMessage="1" showErrorMessage="1" promptTitle="externe warmte forfaitair, hoog" prompt="T_aflever:warmte &gt;= 60°C_x000a_Externe warmtelevering voor verwarming waarvoor GEEN _x000a_kwaliteitsverklaring op basis van bijlage P van NTA8800 beschikbaar is." sqref="P260" xr:uid="{BB3F02E8-9BA1-4BDB-9E03-4B2D38BF7BB1}"/>
    <dataValidation allowBlank="1" showInputMessage="1" showErrorMessage="1" promptTitle="externe warmte forfaitair,middel" prompt="T_aflever:warmte = 40-60°C_x000a_Externe warmtelevering voor verwarming waarvoor GEEN kwaliteitsverklaring op basis van bijlage P van NTA8800 beschikbaar is." sqref="Q260" xr:uid="{2791B506-9B0C-4489-975D-D4219C6B2B59}"/>
    <dataValidation type="list" allowBlank="1" showInputMessage="1" showErrorMessage="1" sqref="I265:AE265" xr:uid="{1A48BDD9-54B2-4185-8ED8-932973FFF7D6}">
      <formula1>energiedragers_gebouwaansluiting</formula1>
    </dataValidation>
    <dataValidation type="list" allowBlank="1" showInputMessage="1" showErrorMessage="1" sqref="I268:AE268" xr:uid="{1FD6B478-F635-42E3-8EA8-367C31AFF0F2}">
      <formula1>hernieuwbare_energiebron_namen</formula1>
    </dataValidation>
    <dataValidation type="list" allowBlank="1" showInputMessage="1" showErrorMessage="1" sqref="I162:BA162 I153:BA153" xr:uid="{00000000-0002-0000-0A00-000001000000}">
      <formula1>energiedragers_namen</formula1>
    </dataValidation>
    <dataValidation type="decimal" allowBlank="1" showInputMessage="1" showErrorMessage="1" sqref="I146:BA146" xr:uid="{15BBED8E-0041-46BE-831A-FF14378BED1A}">
      <formula1>0.5</formula1>
      <formula2>1</formula2>
    </dataValidation>
    <dataValidation type="decimal" allowBlank="1" showInputMessage="1" showErrorMessage="1" errorTitle="Bereik 0,0-2,0" error="Ingevulde waarde valt buiten bereik." promptTitle="bij EMG-verklaring: 0,0" prompt=" " sqref="I148:BA149" xr:uid="{8A29092C-A42D-4226-9F70-7050174AB17A}">
      <formula1>0</formula1>
      <formula2>2</formula2>
    </dataValidation>
    <dataValidation type="decimal" operator="greaterThanOrEqual" allowBlank="1" showInputMessage="1" showErrorMessage="1" errorTitle="Bereik ≥0,0" error="Ingevulde waarde valt buiten bereik." promptTitle="bij EMG-verklaring: 0,0" prompt=" " sqref="I150:BA150" xr:uid="{0FAAA25F-D328-48D2-9BAE-F713D049410E}">
      <formula1>0</formula1>
    </dataValidation>
    <dataValidation type="decimal" showInputMessage="1" showErrorMessage="1" errorTitle="Bereik 0-50" error="De ingevulde waarde valt buiten het bereik." promptTitle="bij EMG-veklaring: 0" prompt=" " sqref="I156:BA156" xr:uid="{7E7F5BBE-57BD-44E5-9D6E-024D55EEC9A2}">
      <formula1>0</formula1>
      <formula2>50</formula2>
    </dataValidation>
    <dataValidation type="decimal" showInputMessage="1" showErrorMessage="1" errorTitle="Bereik 0,0-0,7" error="De ingevulde waarde valt buiten het bereik." promptTitle="bij EMG-veklaring: 0,000" prompt=" " sqref="I157:BA157" xr:uid="{7532409B-82A5-499A-8DA8-D63D4C84CF1D}">
      <formula1>0</formula1>
      <formula2>0.7</formula2>
    </dataValidation>
    <dataValidation type="decimal" showInputMessage="1" showErrorMessage="1" errorTitle="Bereik 0,0-0,5" error="De ingevulde waarde valt buiten het bereik." promptTitle="bij EMG-veklaring: 0,00" prompt=" " sqref="I158:BA158" xr:uid="{6ABB4136-9313-4369-94D1-BFF7EE94D83B}">
      <formula1>0</formula1>
      <formula2>0.5</formula2>
    </dataValidation>
    <dataValidation allowBlank="1" showInputMessage="1" showErrorMessage="1" promptTitle="bij EMG-veklaring: geen" prompt=" " sqref="I160:BA160" xr:uid="{8D11B1C3-8D3C-4ED8-8D03-1B3C9883641A}"/>
    <dataValidation type="decimal" showInputMessage="1" showErrorMessage="1" errorTitle="Bereik 0,00-0,01" error="De ingevulde waarde valt buiten het bereik." promptTitle="bij EMG-veklaring: 0,0000" prompt=" " sqref="I165:BA165" xr:uid="{73FA6B2A-353C-4A5F-B03A-353404CFF917}">
      <formula1>0</formula1>
      <formula2>0.01</formula2>
    </dataValidation>
    <dataValidation type="list" allowBlank="1" showInputMessage="1" showErrorMessage="1" errorTitle="Bereik ≥0,0" error="De ingevoerde waarde valt buiten het bereik." promptTitle="alleen bij 'centraal'" prompt=" _x000a_" sqref="I142:BA142" xr:uid="{1E3CF4DD-6911-4963-A5CB-CE4178BFDBCD}">
      <formula1>"0,1"</formula1>
    </dataValidation>
    <dataValidation type="list" allowBlank="1" showInputMessage="1" showErrorMessage="1" sqref="I152:BA152 I161:BA161" xr:uid="{1BE9EE0B-53D8-4A26-9211-B8BD6EE33533}">
      <formula1>energiedragers_geschikt_voor_TAP</formula1>
    </dataValidation>
    <dataValidation type="list" allowBlank="1" showInputMessage="1" showErrorMessage="1" sqref="I90:BD90" xr:uid="{E239F5FF-DABC-4625-9C6B-29F5EC7DF187}">
      <mc:AlternateContent xmlns:x12ac="http://schemas.microsoft.com/office/spreadsheetml/2011/1/ac" xmlns:mc="http://schemas.openxmlformats.org/markup-compatibility/2006">
        <mc:Choice Requires="x12ac">
          <x12ac:list>"0,90","0,95","1,00"</x12ac:list>
        </mc:Choice>
        <mc:Fallback>
          <formula1>"0,90,0,95,1,00"</formula1>
        </mc:Fallback>
      </mc:AlternateContent>
    </dataValidation>
    <dataValidation type="decimal" allowBlank="1" showInputMessage="1" showErrorMessage="1" promptTitle="bij EMG-verklaring altijd 100%" prompt="Bij installaties met externe warmtelevering (geografisch niveau: 'centraal') en een EMG-verklaring is de dekkingsgraad van het preferente toestel altijd 100%." sqref="I98:BD98" xr:uid="{3DB9A9FF-2707-42DE-A191-AA66BD5DC381}">
      <formula1>0</formula1>
      <formula2>1</formula2>
    </dataValidation>
    <dataValidation type="decimal" allowBlank="1" showInputMessage="1" showErrorMessage="1" errorTitle="Bereik 0-50" error="De ingevoerde waarde valt buiten het bereik." promptTitle="bij EMG-verklaring altijd 0" prompt="Bij installaties met externe warmtelevering (geografisch niveau: 'centraal') en een EMG-verklaring is de pompenergie aquifer altijd 0." sqref="I100:BD100" xr:uid="{178A693D-2A55-4F73-8072-58FCAE701C0E}">
      <formula1>0</formula1>
      <formula2>50</formula2>
    </dataValidation>
    <dataValidation type="decimal" allowBlank="1" showInputMessage="1" showErrorMessage="1" errorTitle="Bereik 0,0-0,7" error="De ingevoerde waarde valt buiten het bereik." promptTitle="bij EMG-verklaring altijd 0,000" prompt="Bij installaties met externe warmtelevering (geografisch niveau: 'centraal') en een EMG-verklaring is het elektrische omzettingsgetal van het preferente toestel altijd 0,000." sqref="I101:BD101" xr:uid="{07736C17-7F4C-48E0-8F8A-476D7985091D}">
      <formula1>0</formula1>
      <formula2>0.7</formula2>
    </dataValidation>
    <dataValidation type="list" allowBlank="1" showInputMessage="1" showErrorMessage="1" errorTitle="Bereik ≥0,0" error="De ingevoerde waarde valt buiten het bereik." promptTitle="alleen bij 'centraal'" sqref="I86:BD86" xr:uid="{6C8C5E51-5D55-4FB5-B1C2-5C6BC753153B}">
      <formula1>"0,1"</formula1>
    </dataValidation>
    <dataValidation allowBlank="1" showInputMessage="1" showErrorMessage="1" promptTitle="bij EMG-verklaring altijd 0,00" prompt="Bij installaties met externe warmtelevering (geografisch niveau: 'centraal') en een EMG-verklaring is de elektriciteitsderving van het preferente toestel altijd 0,000." sqref="I102:BD102" xr:uid="{40728D25-2345-45BA-BC34-EEF9C2BDF0DD}"/>
    <dataValidation allowBlank="1" showInputMessage="1" showErrorMessage="1" promptTitle="dekkinsgraad pref 100: 'geen'" prompt="Als de dekkingsgraad van het preferente toestel 100% is, moet hier 'geen' worden ingevuld." sqref="I104:BD104" xr:uid="{3C4910A4-8289-4DD8-8111-33530B67284F}"/>
    <dataValidation type="decimal" allowBlank="1" showInputMessage="1" showErrorMessage="1" errorTitle="Bereik 0-100" error="De ingevoerde waarde valt buiten het bereik." promptTitle="bij EMG-verklaring: 0,0" prompt=" " sqref="I109:BD109" xr:uid="{33217118-7F3D-4A1A-BFF7-E1CC5C90BA7B}">
      <formula1>0</formula1>
      <formula2>100</formula2>
    </dataValidation>
    <dataValidation type="decimal" allowBlank="1" showInputMessage="1" showErrorMessage="1" errorTitle="Bereik 0,0-1,0" error="De ingevoerde waarde valt buiten het bereik." promptTitle="bij EMG-verklaring: 0,000" prompt=" " sqref="I110:BD111" xr:uid="{6DBCB3E3-3890-4D88-B69B-1D195EFEE122}">
      <formula1>0</formula1>
      <formula2>1</formula2>
    </dataValidation>
    <dataValidation type="decimal" operator="greaterThanOrEqual" allowBlank="1" showInputMessage="1" showErrorMessage="1" errorTitle="Bereik ≥0,0" error="De ingevoerde waarde valt buiten het bereik." promptTitle="bij EMG-verklaring: 0" prompt=" " sqref="I112:BD112" xr:uid="{56CA5FC8-F7B8-4FF2-8133-8CE712240ECB}">
      <formula1>0</formula1>
    </dataValidation>
    <dataValidation type="decimal" allowBlank="1" showInputMessage="1" showErrorMessage="1" errorTitle="Bereik 0-1" error="De ingevoerde waarde valt buiten het bereik." promptTitle="bij EMG-verklaring: 0" prompt=" " sqref="I113:BD113" xr:uid="{99DEF0EE-01F5-4D68-95FB-9B6060F16910}">
      <formula1>0</formula1>
      <formula2>1</formula2>
    </dataValidation>
    <dataValidation type="decimal" allowBlank="1" showInputMessage="1" showErrorMessage="1" errorTitle="Bereik 0-10" error="De ingevoerde waarde valt buiten het bereik." promptTitle="bij EMG-verklaring: 0,0" prompt=" " sqref="I114:BD114" xr:uid="{96DFC818-B1B1-4102-994D-F2310C35A68E}">
      <formula1>0</formula1>
      <formula2>10</formula2>
    </dataValidation>
    <dataValidation type="decimal" allowBlank="1" showInputMessage="1" showErrorMessage="1" errorTitle="Bereik 0-8760" error="De ingevoerde waarde valt buiten het bereik." promptTitle="bij EMG-verklaring: 0" prompt=" " sqref="I115:BD115" xr:uid="{A6C34AE8-081B-43DF-8358-1EC055D6C99E}">
      <formula1>0</formula1>
      <formula2>8760</formula2>
    </dataValidation>
    <dataValidation type="decimal" allowBlank="1" showInputMessage="1" showErrorMessage="1" errorTitle="Bereik 0,00-0,01" error="De ingevoerde waarde valt buiten het bereik." promptTitle="bij EMG-verklaring: 0,0000" prompt=" " sqref="I117:BD117" xr:uid="{B938E806-F0FC-45D8-8B15-9F43E0CDBAF1}">
      <formula1>0</formula1>
      <formula2>0.01</formula2>
    </dataValidation>
    <dataValidation type="decimal" allowBlank="1" showInputMessage="1" showErrorMessage="1" errorTitle="Bereik 0,0-0,1" error="De ingevoerde waarde valt buiten het bereik." promptTitle="bij EMG-verklaring: 0,000" prompt=" " sqref="I118:BD118" xr:uid="{54D1F4DD-A5C3-41CB-BDE9-8955CF67B25B}">
      <formula1>0</formula1>
      <formula2>0.1</formula2>
    </dataValidation>
    <dataValidation type="decimal" operator="greaterThanOrEqual" allowBlank="1" showInputMessage="1" showErrorMessage="1" errorTitle="Bereik 0,0-2,0" error="De ingevoerde waarde valt buiten het bereik." promptTitle="bij EMG-verklaring: 0,0" prompt=" " sqref="I92:BD93" xr:uid="{F78D557F-E2A4-42C8-A773-9E09C048145E}">
      <formula1>0</formula1>
    </dataValidation>
    <dataValidation type="decimal" operator="greaterThanOrEqual" allowBlank="1" showInputMessage="1" showErrorMessage="1" errorTitle="Bereik ≥0,0" error="De ingevoerde waarde valt buiten het bereik." promptTitle="bij EMG-verklaring: 0,0" prompt=" " sqref="I94:BD94" xr:uid="{60C06FC5-DD77-42B7-94D5-7922EF221BA8}">
      <formula1>0</formula1>
    </dataValidation>
    <dataValidation type="list" allowBlank="1" showInputMessage="1" showErrorMessage="1" sqref="I105:BD105 I96:BD96" xr:uid="{0BA5E193-2C2A-4B76-B466-B47BFBEFB36A}">
      <formula1>energiedragers_geschikt_voor_RV</formula1>
    </dataValidation>
    <dataValidation type="list" allowBlank="1" showInputMessage="1" showErrorMessage="1" sqref="I22:FB22" xr:uid="{00000000-0002-0000-0A00-000003000000}">
      <formula1>NulEen</formula1>
    </dataValidation>
    <dataValidation type="list" allowBlank="1" showInputMessage="1" showErrorMessage="1" sqref="I21:FB21" xr:uid="{DB9D2971-F283-4B87-8D8F-90C452C4CCF5}">
      <formula1>gebruiksfuncties_namen</formula1>
    </dataValidation>
    <dataValidation type="textLength" operator="lessThanOrEqual" allowBlank="1" showInputMessage="1" showErrorMessage="1" errorTitle="aantal karakters &gt;13" error="Het maximaal aantal karakters in de naam is 13." promptTitle="max 20 karakters in de naam" prompt="Beperk de naam van het type woning of utiliteitsgebouw tot maximaal 20 karakters ivm de leesbaarheid." sqref="I20:FB20" xr:uid="{6B233861-F685-4BE9-9537-8D3AF77BB518}">
      <formula1>20</formula1>
    </dataValidation>
    <dataValidation type="list" allowBlank="1" showInputMessage="1" showErrorMessage="1" sqref="I24:FB24" xr:uid="{03A5F0B7-0A8B-48AB-A01A-B503D53F4866}">
      <formula1>isolatiepakketten_gebouwschil_namen</formula1>
    </dataValidation>
    <dataValidation allowBlank="1" showInputMessage="1" showErrorMessage="1" promptTitle="?" sqref="D380 D213 D220 D525" xr:uid="{9B5003AC-D985-42C6-888E-66FE8BA51C45}"/>
    <dataValidation allowBlank="1" showInputMessage="1" showErrorMessage="1" promptTitle="BACS - Building Automation [...]" prompt="Let op: niet actief! Tabel is klaargezet voor toekomstige inbedding in het rekenmodel. Met ingang van de jul'26 update van de NTA8800, wordt het effect van BACS meegenomen in de energievraag berekening. Factoren voor deze inschatting staan in deze tabel." sqref="D517" xr:uid="{9F9C7F3F-A44D-4C7A-BBF6-E60AA6441771}"/>
    <dataValidation allowBlank="1" showInputMessage="1" showErrorMessage="1" promptTitle="Specifieke interne [...]" prompt="Specifieke interne warmtecap., afhankelijk van de bouwmassa van het gebouw, teruggebracht naar een lichte bouwvariant (55) en een zware bouwvariant (450). Waarden zijn toegepast bij het bepalen van de warmtevraag van een gebouw en zijn niet aanpasbaar." sqref="D511" xr:uid="{4B7DC543-A826-4C52-8555-4C8F8C3F8C84}"/>
    <dataValidation allowBlank="1" showInputMessage="1" showErrorMessage="1" promptTitle="Energielabels" prompt="Deze tabel toont de energielabelgrenzen, uitgedrukt in kWh_prim/m2. Let op: het gaat hier om ondergrenzen. Bijvoorbeeld, energielabel C bij een kantoor begint vanaf een energiegebruik van 225kWh/m2, label B vanaf 200kWh/m2." sqref="D485" xr:uid="{22802542-2EC9-4A09-AAE0-3E2860C1128F}"/>
    <dataValidation allowBlank="1" showInputMessage="1" showErrorMessage="1" promptTitle="Standaardwaarden netto [...]" prompt="De aangehouden standaard warmtebehoeftewaarden voor woningbouw, van toepassing als de berekende waarde niet wordt gebruikt. " sqref="D471" xr:uid="{BA60B546-B436-4184-A99B-41A1748EF752}"/>
    <dataValidation allowBlank="1" showInputMessage="1" showErrorMessage="1" promptTitle="BENG-eisen" prompt="BENG 1,2 &amp; 3 eisen, uitgedrukt in respectievelijk energiegebruik, primair energiegebruik en in % herniewbaar. De eisen verschillen per funcite en zijn afhankelijk van een aantal voorwaarden, hier ook weergegeven. " sqref="D444" xr:uid="{924E3DCB-00C7-4A7C-A2D2-62B916A6DC9E}"/>
    <dataValidation allowBlank="1" showInputMessage="1" showErrorMessage="1" promptTitle="effect verlichtingsregeling." prompt="Deze tabel toont de energievraag-reductiefactoren voor verlichting bij verschillende verlichtingsregelingen. De regelingen kunnen worden gespecificeerd bij de invoer van de energiemaatregelen op het variantenblad. " sqref="D436" xr:uid="{98212EE1-2DF7-4F67-BE13-739E05B495C3}"/>
    <dataValidation allowBlank="1" showInputMessage="1" showErrorMessage="1" promptTitle="parameters verlichting QL" prompt="Tabel toont de factoren die worden toegepast bij de berekening van verlichtingsenergie voor verschillende gebruiksfuncties, en de forfaitaire waarden.  " sqref="D424" xr:uid="{6A1088F5-BBE6-4362-AE69-193C6DE0B460}"/>
    <dataValidation allowBlank="1" showInputMessage="1" showErrorMessage="1" promptTitle="Beschikbare fitformules" prompt="Zie hierboven voor de toelichting van de formules." sqref="D418" xr:uid="{56B3BC10-0EB1-4907-958E-2CB46EDA9BE9}"/>
    <dataValidation allowBlank="1" showInputMessage="1" showErrorMessage="1" promptTitle="fitcurves NTA8800 [...]" prompt="Vanuit een batchberekening met ~32K gebouwen zijn de onderstaande formules opgesteld waarmee de warmte en koelvraag van gebouwen kan worden ingeschat. Er zijn 1080 unieke formules mogelijk. " sqref="D387" xr:uid="{9BE5F268-807F-4B0A-8B0C-AB9684ED7E3B}"/>
    <dataValidation allowBlank="1" showInputMessage="1" showErrorMessage="1" promptTitle="Huishoudelijk elek. [...]" prompt="Inschatting van het gebruikers-elektricteitsgebruik bij woningen, o.b.v. CBS data, rekening houdend met energie voor koken. Deze tabel wordt bij elke variant van de UMGO geactualiseerd. " sqref="D365" xr:uid="{D93D067F-ACF8-414D-B5DB-DE27D50E83CA}"/>
    <dataValidation allowBlank="1" showInputMessage="1" showErrorMessage="1" promptTitle="koken" prompt="Inschatting van het energiegebruik voor koken op elektricteit en op gas bij huishoudens, op basis van een extern onderzoek." sqref="D352" xr:uid="{B21E1631-039A-42AC-B273-101D95DF13EE}"/>
    <dataValidation allowBlank="1" showInputMessage="1" showErrorMessage="1" promptTitle="specifiek niet-gebouw [...]" prompt="Inschatting, per gebruiksfunctie, van de niet-gebouwgebonden elektricteitsvraag  (o.b.v. de NTA8800, tabel 7.3). Jaarverbruik wordt hier handmatig uitgerekend, o.b.v. 8760 uur. " sqref="D343" xr:uid="{BA0F8059-830F-4600-9C20-4626F107592F}"/>
    <dataValidation allowBlank="1" showInputMessage="1" showErrorMessage="1" promptTitle="netto warmtebehoefte [...]" prompt="Inschatting van de specifieke warmtebehoefte voor tapwater, per functie, voor EP berekening en de MWA berekening (woonfuncties)" sqref="D331" xr:uid="{9EAE80B5-8C10-469A-BDA5-6F6F454CE895}"/>
    <dataValidation allowBlank="1" showInputMessage="1" showErrorMessage="1" promptTitle="correctiefactor warmtebeh. [...]" prompt="Vanaf de UMGO versie 5.3 is deze tabel niet langer in gebruik." sqref="D323" xr:uid="{B56F0683-ACBA-4B0B-A9B1-11DD00E3598B}"/>
    <dataValidation allowBlank="1" showInputMessage="1" showErrorMessage="1" promptTitle="Gebruiksfuncties" prompt="Lijst met de gebruiksfuncites die zijn toegevoegd aan de UMGO" sqref="D316" xr:uid="{11B076E1-56DF-4D80-907B-221D825CC709}"/>
    <dataValidation allowBlank="1" showInputMessage="1" showErrorMessage="1" promptTitle="energiedrager elek. [...]" prompt="PEF, PEF_totaal, weegfactoren PEF_totaal en CO2 emissiecoefficienten cf. de NTA8800, en een projectie van deze waarden voor 2030 en 2040. Let op: vanaf de UMGO v5.3 zijn de 2040 waarden niet langer beschikbaar omdat de KEV deze projectie niet langer doet." sqref="D301" xr:uid="{D63CABA3-CA78-452F-B5AE-8AAC1DD206E8}"/>
    <dataValidation allowBlank="1" showInputMessage="1" showErrorMessage="1" promptTitle="Warmte/-koudenettten in UMGO" prompt="Overzicht van de warmte &amp; koudenetten in NL waarvoor een BCRG verklaring beschikbaar is en daarmee uniform zijn beoordeeld. Tabel geeft de kenmerken van deze netten. Let op: deze tabel wrodt regelmatig geactualiseerd en uitgebreid. " sqref="D284" xr:uid="{6A2144A6-F739-409C-BDC3-E192BB65061E}"/>
    <dataValidation allowBlank="1" showInputMessage="1" showErrorMessage="1" promptTitle="Instal. ruimteverwarming" prompt="Tabel met alle RVW installaties die in de UMGO gekozen kunnen worden, met bijborende installatiekenmerken die mee worden genomen bij de energieberekeningen. Aan het einde van de tabel is ruimte om zelf een installatie toe te voegen. " sqref="D80" xr:uid="{7375C9DF-6BED-4F43-B434-7D9877256CD8}"/>
    <dataValidation allowBlank="1" showInputMessage="1" showErrorMessage="1" promptTitle="Instal. warmtapwater" prompt="Tabel met alle warm-tapwater installaties die in de UMGO gekozen kunnen worden, met bijborende installatiekenmerken die mee worden genomen bij de energieberekeningen. Aan het einde van de tabel is ruimte om zelf een installatie toe te voegen. " sqref="D136" xr:uid="{E9A2107F-A467-47D3-AB28-1CDE18319517}"/>
    <dataValidation allowBlank="1" showInputMessage="1" showErrorMessage="1" promptTitle="Aandeel doucheverbruik" prompt="Aangehouden percentages om een inschatting te maken van het energieverbruik van douchen bij verschillende gebruiksfuncties. " sqref="D170" xr:uid="{F4F43850-2376-4C55-858B-CA5AFC9FE259}"/>
    <dataValidation allowBlank="1" showInputMessage="1" showErrorMessage="1" promptTitle="installatiesystemen koeling" prompt="Tabel met alle installatiesystemen voor koeling die in de UMGO gekozen kunnen worden, met bijborende installatiekenmerken die mee worden genomen bij de energieberekeningen. Aan het einde van de tabel is ruimte om zelf een installatie toe te voegen. " sqref="D187" xr:uid="{2C9E8EF5-31B5-49E5-B3F4-1DF0B64D2C19}"/>
    <dataValidation allowBlank="1" showInputMessage="1" showErrorMessage="1" promptTitle="douchewater WTW" prompt="Vanaf de UMGO v5.3 worden douche-warmteterugwinning systemen als standaard optie aangeboden als energiemaatregel. Dit verlaagt de energievraag. In deze tabel staan de opties + kenmerken. Er is ruimte om zelf een WTW toe te voegen." sqref="D176" xr:uid="{CDFA694A-0499-4DF4-9655-90257C8C8370}"/>
    <dataValidation allowBlank="1" showInputMessage="1" showErrorMessage="1" promptTitle="Direct gebruik batterij" prompt="Nieuw vanaf de UMGO v5.3 is de toevoeging van batterijen aan de energieberekening. De rekenmethode sluit aan de bij NTA8800-2026 update. " sqref="D227" xr:uid="{03AB6D47-7EEE-4B7A-A971-679F8C6E4F7A}"/>
    <dataValidation allowBlank="1" showInputMessage="1" showErrorMessage="1" promptTitle="PEF hernieuwbaar" prompt="Tabel met hernieuwbare neergiedragers, met de bijbehorende primair hernieuwbare energiefactoren. Zie ook de aanvullende toelichtingen in de tabel. " sqref="D245" xr:uid="{45BEBBE5-0CFD-4E44-8FDD-A15255CB2335}"/>
    <dataValidation allowBlank="1" showInputMessage="1" showErrorMessage="1" promptTitle="Lijst met energiedragers" prompt="Tabel met energiedragers (anders dan elektriciteit), met de primair fossiele en primair totale energiefactoren, emissie coefficienten, weegfactoren en geschikheid voor toepassingen voor RVW, Koeling, en TapW." sqref="D256" xr:uid="{22155650-61F8-4B47-85DF-1C07D51CB8C0}"/>
    <dataValidation allowBlank="1" showInputMessage="1" showErrorMessage="1" promptTitle="Tabel AB.1 uit NTA8800" prompt="Eigen gebruik van eigen opwek, per maand, voor w-bouw, onderwijs en overig utilitair. Let op: omdat de UMGO op jaarbasis rekent, zijn de maandwaarden uit de NTA omgerekend naar een jaarwaarde o.b.v. zoninstraling (MWA zoninstraling waarden toegepast). " sqref="D235" xr:uid="{AE759C6B-A7FD-489E-B0C0-33D23040B5C9}"/>
    <dataValidation allowBlank="1" showInputMessage="1" showErrorMessage="1" promptTitle="Waardering opslag hern. energie" prompt="Let op. Vanaf een geinstalleerde opslagcapaciteit van 5kWh, geldt een energievraag reductiefactor van 5%. Deze factor is ongeacht het werkelijke geinstalleerde vermogen. " sqref="D232" xr:uid="{1F5D0D70-5C4E-453D-AB06-2A7FB904E3AD}"/>
    <dataValidation allowBlank="1" showInputMessage="1" showErrorMessage="1" promptTitle="Ventilatorenergie" prompt="Overzicht van de jaarlijkse energiebehoefte (elek.) van ventilatiesystemen B/C en D, per functie, in kWh/m2. De energiebehoefte is afhankelijk van de energiebron. " sqref="D63" xr:uid="{372892FC-9C70-40CB-8BF8-1ECF8D7E68D0}"/>
    <dataValidation allowBlank="1" showInputMessage="1" showErrorMessage="1" promptTitle="ventilatiesystemen" prompt="Overzicht van de doorgerekende ventilatiesystemen. Vanwege een vergelijkbaar effect op de energieprestatie van een gebouw zijn sommige subsystemen samengevoegd. Let op: deze lijst is gewijzigd en opnieuw doorgerekend in de UMGO v5.3." sqref="D55" xr:uid="{F2868107-04F5-447C-B0F0-F39DF8156CA5}"/>
    <dataValidation allowBlank="1" showInputMessage="1" showErrorMessage="1" promptTitle="Vergelijkbare ventilatiesystemen" prompt="Per ventilatiesysteem zijn 100 gebouwen doorgerekend met de validatietool. Systemen waarbij het ventilatieprincipe een vergelijkbaar effect op de energiepresatie van het gebouw had, zijn samengebracht onder 1 systeem om het aantal fitcurves te reduceren. " sqref="D59" xr:uid="{370863EF-459F-4FDC-9DCA-000EDD38AA36}"/>
    <dataValidation allowBlank="1" showInputMessage="1" showErrorMessage="1" promptTitle="Vergelijkbare ventilatiesystemen" prompt="Voorbeeld: _x000a_is in je gebouw systeem C5a of C4b van toepassing, kies dan het ventilatiesysteem C4c, zie rechts. Het effect van systeem C4c op de energiebehoefte is vergelijkbaar, al dan niet identiek aan het effect van systeem C5a en C4b._x000a_" sqref="D60" xr:uid="{389A5A56-D57F-4FA1-B882-8B51A5EA91F7}"/>
    <dataValidation allowBlank="1" showInputMessage="1" showErrorMessage="1" promptTitle="Isolatiepakketten" prompt="Er zijn verschillende isolatiepakketten samengesteld, met Rc of u-waarden per geveldeel die passend zijn bij de bouwperiode van een gebouw. Rechts is ruimte om je eigen pakketten samen te stellen. Per referentiegebouw (zie hierboven) is een pakket gekozen" sqref="D38" xr:uid="{711B8894-4DE9-41FA-B27F-B152335FEB02}"/>
    <dataValidation allowBlank="1" showInputMessage="1" showErrorMessage="1" promptTitle="Voorbeeld gebouwen" prompt="Deze tabel toont de gebouwen die als voorbeeldgebouwen in de UMGO zijn opgenomen, met de bijbehorende oppervlakten per bouwdeel en het isoaltiepakket. Rechts is ruimte om zelf een gebouw in te voeren." sqref="D17" xr:uid="{950B602B-8406-411B-9680-BBC7DEFFD6DC}"/>
    <dataValidation allowBlank="1" showInputMessage="1" showErrorMessage="1" promptTitle="direct gebruik elektriciteit wkk" prompt="Let op: geldt alleen voor de warmtekrachtkoppeling (WKK), waarbij zowel warmte als elektriciteit wordt opgewekt. _x000a__x000a_Volgens formule AB.65 in paragraaf AB.2.3.2. uit NTA 8800 2026." sqref="D230" xr:uid="{8505A661-B4CD-46FF-A8C1-8CB28F629CB9}"/>
    <dataValidation allowBlank="1" showInputMessage="1" showErrorMessage="1" promptTitle="parameters vermogen RVW" prompt="Per locatie wordt een inschatting gemaakt voor het benodigde vermogens van de RVW installatie. De belangrijkste parameters voor de berekening hiervan worden in deze tabel getoond." sqref="D121" xr:uid="{46C390B9-762C-4112-9FDA-F9519DD72183}"/>
    <dataValidation allowBlank="1" showInputMessage="1" showErrorMessage="1" promptTitle="weegfactor E;pr;el;ren;tot" prompt="Weegfactor energy;produced;electrical;renewable;total_x000a__x000a_Verdeling van duurzaam geproduceerde elektriciteit, per maand. O.b.v. zoninstraling, relatieve bijdrage, op zuid georienteerd. " sqref="D242" xr:uid="{06B0E11A-5AC6-4808-90E9-AFCD41341318}"/>
  </dataValidations>
  <hyperlinks>
    <hyperlink ref="J368" r:id="rId1" location="/CBS/nl/dataset/81528NED/table?ts=1554110396669" display="Statline CBS 2020" xr:uid="{7A49E362-062A-430E-9076-588BBDA2B22F}"/>
    <hyperlink ref="J369" r:id="rId2" location="/CBS/nl/dataset/82550NED/table?ts=1554109983459" display="Statline CBS 2020" xr:uid="{B2373D25-5C5F-484D-AD49-F1E0D545640D}"/>
    <hyperlink ref="E362" r:id="rId3" display="bron: Correctie elektriciteitsverbruik koken&quot;, ECN-N-014-024, 29 september 2014" xr:uid="{EBC1AB2A-F9F3-4373-A5C3-2D805704A857}"/>
    <hyperlink ref="E502" r:id="rId4" display="De energielabelgrenzen zijn overgenomen uit 'Conceptregeling bepalingsmethodiek energieprestatie en inijking energielabels'" xr:uid="{E446BB85-799C-4D9F-ABBD-05FF72EF0D2C}"/>
    <hyperlink ref="E482" r:id="rId5" xr:uid="{2448417B-2880-4C3D-9055-80C961213182}"/>
    <hyperlink ref="E468" r:id="rId6" tooltip="besluit over BENG in het Staatsblad" xr:uid="{70A41905-1DF7-4B02-B299-9BD6F53CBB9A}"/>
    <hyperlink ref="E298" r:id="rId7" tooltip="bron EMG-verklaringen" xr:uid="{100DE91F-9E0D-47BC-812A-3FAFB943EC11}"/>
    <hyperlink ref="O119" r:id="rId8" xr:uid="{009E4363-F229-4362-A315-7CEFB755D3D7}"/>
    <hyperlink ref="O167" r:id="rId9" xr:uid="{5E24B4C5-1411-49E6-A6C0-B0A0A5E03980}"/>
    <hyperlink ref="E465" r:id="rId10" tooltip="besluit over BENG in het Staatsblad" xr:uid="{D19A34BE-91F6-43A2-8795-E387EB19CF9C}"/>
    <hyperlink ref="CS35" r:id="rId11" display="BENG referentie utiliteit" xr:uid="{1DCC01A2-14B2-4C00-919C-9F60DD2E64AD}"/>
    <hyperlink ref="CT35:DT35" r:id="rId12" display="BENG referentie utiliteit" xr:uid="{1E3A103B-D84C-4D8A-A80E-95E07A8A4C02}"/>
  </hyperlinks>
  <printOptions horizontalCentered="1"/>
  <pageMargins left="0.27559055118110237" right="0.27559055118110237" top="0.51181102362204722" bottom="0.23622047244094491" header="0.51181102362204722" footer="0.23622047244094491"/>
  <pageSetup paperSize="9" scale="10" orientation="portrait" r:id="rId13"/>
  <headerFooter alignWithMargins="0">
    <oddFooter>&amp;L_x000D_&amp;1#&amp;"Aptos"&amp;10&amp;K000000 Intern gebruik</oddFooter>
  </headerFooter>
  <ignoredErrors>
    <ignoredError sqref="T428:T429" unlockedFormula="1"/>
  </ignoredErrors>
  <drawing r:id="rId14"/>
  <legacyDrawing r:id="rId15"/>
  <extLst>
    <ext xmlns:x14="http://schemas.microsoft.com/office/spreadsheetml/2009/9/main" uri="{78C0D931-6437-407d-A8EE-F0AAD7539E65}">
      <x14:conditionalFormattings>
        <x14:conditionalFormatting xmlns:xm="http://schemas.microsoft.com/office/excel/2006/main">
          <x14:cfRule type="dataBar" id="{AE131E70-2231-4B09-9066-E04D54D89432}">
            <x14:dataBar minLength="0" maxLength="100" border="1" negativeBarBorderColorSameAsPositive="0">
              <x14:cfvo type="autoMin"/>
              <x14:cfvo type="autoMax"/>
              <x14:borderColor rgb="FF638EC6"/>
              <x14:negativeFillColor rgb="FFFF0000"/>
              <x14:negativeBorderColor rgb="FFFF0000"/>
              <x14:axisColor rgb="FF000000"/>
            </x14:dataBar>
          </x14:cfRule>
          <xm:sqref>I441:N441</xm:sqref>
        </x14:conditionalFormatting>
        <x14:conditionalFormatting xmlns:xm="http://schemas.microsoft.com/office/excel/2006/main">
          <x14:cfRule type="dataBar" id="{030D5D8A-7B40-4792-A2BB-75EF26F48F80}">
            <x14:dataBar minLength="0" maxLength="100" border="1" negativeBarBorderColorSameAsPositive="0">
              <x14:cfvo type="autoMin"/>
              <x14:cfvo type="autoMax"/>
              <x14:borderColor rgb="FF638EC6"/>
              <x14:negativeFillColor rgb="FFFF0000"/>
              <x14:negativeBorderColor rgb="FFFF0000"/>
              <x14:axisColor rgb="FF000000"/>
            </x14:dataBar>
          </x14:cfRule>
          <xm:sqref>I431:T431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C3EB8-836C-4C5F-919C-DECC3BE16CEC}">
  <sheetPr codeName="Blad12">
    <tabColor theme="6" tint="0.39997558519241921"/>
  </sheetPr>
  <dimension ref="A2:AU24"/>
  <sheetViews>
    <sheetView showGridLines="0" showRowColHeaders="0" topLeftCell="R1" zoomScaleNormal="100" workbookViewId="0">
      <selection activeCell="Y7" sqref="Y7:Z7"/>
    </sheetView>
  </sheetViews>
  <sheetFormatPr defaultColWidth="9.140625" defaultRowHeight="15"/>
  <cols>
    <col min="1" max="1" width="2" style="732" customWidth="1"/>
    <col min="2" max="2" width="11.7109375" customWidth="1"/>
    <col min="3" max="3" width="2" style="732" customWidth="1"/>
    <col min="4" max="11" width="11.7109375" customWidth="1"/>
    <col min="12" max="12" width="6.7109375" customWidth="1"/>
    <col min="13" max="13" width="15.5703125" customWidth="1"/>
    <col min="14" max="14" width="2" style="732" customWidth="1"/>
    <col min="15" max="23" width="11.7109375" customWidth="1"/>
    <col min="24" max="24" width="6.7109375" customWidth="1"/>
    <col min="25" max="25" width="11.7109375" customWidth="1"/>
    <col min="26" max="26" width="2" style="732" customWidth="1"/>
    <col min="27" max="34" width="11.7109375" customWidth="1"/>
    <col min="35" max="35" width="6.7109375" customWidth="1"/>
    <col min="36" max="36" width="15.5703125" customWidth="1"/>
    <col min="37" max="37" width="2" style="732" customWidth="1"/>
    <col min="38" max="46" width="11.85546875" customWidth="1"/>
    <col min="47" max="47" width="6.7109375" customWidth="1"/>
  </cols>
  <sheetData>
    <row r="2" spans="1:47" ht="21" customHeight="1">
      <c r="B2" s="1251" t="s">
        <v>894</v>
      </c>
      <c r="C2" s="1251"/>
      <c r="D2" s="1251"/>
      <c r="E2" s="1251"/>
      <c r="F2" s="1251"/>
      <c r="G2" s="1251"/>
      <c r="H2" s="1251"/>
      <c r="I2" s="1251"/>
      <c r="J2" s="1251"/>
      <c r="K2" s="1251"/>
      <c r="M2" s="1251" t="s">
        <v>895</v>
      </c>
      <c r="N2" s="1251"/>
      <c r="O2" s="1251"/>
      <c r="P2" s="1251"/>
      <c r="Q2" s="1251"/>
      <c r="R2" s="1251"/>
      <c r="S2" s="1251"/>
      <c r="T2" s="1251"/>
      <c r="U2" s="1251"/>
      <c r="V2" s="1251"/>
      <c r="W2" s="1251"/>
      <c r="Y2" s="1249" t="s">
        <v>896</v>
      </c>
      <c r="Z2" s="1249"/>
      <c r="AA2" s="1249"/>
      <c r="AB2" s="1249"/>
      <c r="AC2" s="1249"/>
      <c r="AD2" s="1249"/>
      <c r="AE2" s="1249"/>
      <c r="AF2" s="1249"/>
      <c r="AG2" s="1249"/>
      <c r="AH2" s="1249"/>
      <c r="AJ2" s="1249" t="s">
        <v>897</v>
      </c>
      <c r="AK2" s="1249"/>
      <c r="AL2" s="1249"/>
      <c r="AM2" s="1249"/>
      <c r="AN2" s="1249"/>
      <c r="AO2" s="1249"/>
      <c r="AP2" s="1249"/>
      <c r="AQ2" s="1249"/>
      <c r="AR2" s="1249"/>
      <c r="AS2" s="1249"/>
      <c r="AT2" s="1249"/>
    </row>
    <row r="4" spans="1:47" s="671" customFormat="1" ht="25.5">
      <c r="A4" s="981"/>
      <c r="B4" s="988" t="s">
        <v>115</v>
      </c>
      <c r="C4" s="986"/>
      <c r="D4" s="986"/>
      <c r="E4" s="1242" t="s">
        <v>1030</v>
      </c>
      <c r="F4" s="1242"/>
      <c r="G4" s="986"/>
      <c r="H4" s="988" t="s">
        <v>136</v>
      </c>
      <c r="I4" s="986"/>
      <c r="J4" s="1243" t="s">
        <v>1299</v>
      </c>
      <c r="K4" s="1244"/>
      <c r="M4" s="264" t="s">
        <v>115</v>
      </c>
      <c r="N4" s="264"/>
      <c r="O4" s="264"/>
      <c r="P4" s="1242" t="s">
        <v>393</v>
      </c>
      <c r="Q4" s="1242"/>
      <c r="R4" s="558"/>
      <c r="S4" s="558"/>
      <c r="T4" s="150" t="s">
        <v>898</v>
      </c>
      <c r="U4" s="408"/>
      <c r="V4" s="1243" t="s">
        <v>909</v>
      </c>
      <c r="W4" s="1244"/>
      <c r="Y4" s="264" t="s">
        <v>115</v>
      </c>
      <c r="Z4" s="264"/>
      <c r="AA4" s="264"/>
      <c r="AB4" s="1242" t="s">
        <v>393</v>
      </c>
      <c r="AC4" s="1242"/>
      <c r="AD4" s="558"/>
      <c r="AE4" s="149" t="s">
        <v>136</v>
      </c>
      <c r="AF4" s="558"/>
      <c r="AG4" s="1243" t="s">
        <v>1295</v>
      </c>
      <c r="AH4" s="1244"/>
      <c r="AJ4" s="264" t="s">
        <v>115</v>
      </c>
      <c r="AK4" s="264"/>
      <c r="AL4" s="264"/>
      <c r="AM4" s="1242" t="s">
        <v>393</v>
      </c>
      <c r="AN4" s="1242"/>
      <c r="AO4" s="987"/>
      <c r="AP4" s="987"/>
      <c r="AQ4" s="264" t="s">
        <v>900</v>
      </c>
      <c r="AR4" s="558"/>
      <c r="AS4" s="1243" t="s">
        <v>425</v>
      </c>
      <c r="AT4" s="1250"/>
    </row>
    <row r="5" spans="1:47">
      <c r="Y5" s="180" t="s">
        <v>901</v>
      </c>
      <c r="Z5" s="180"/>
      <c r="AA5" s="180"/>
      <c r="AB5" s="1245">
        <v>120</v>
      </c>
      <c r="AC5" s="1246"/>
      <c r="AD5" s="168"/>
      <c r="AE5" s="180" t="s">
        <v>902</v>
      </c>
      <c r="AF5" s="168"/>
      <c r="AG5" s="1247">
        <v>0.15</v>
      </c>
      <c r="AH5" s="1248"/>
      <c r="AJ5" s="180" t="s">
        <v>901</v>
      </c>
      <c r="AK5" s="180"/>
      <c r="AL5" s="180"/>
      <c r="AM5" s="1245">
        <v>120</v>
      </c>
      <c r="AN5" s="1246"/>
      <c r="AO5" s="168"/>
      <c r="AP5" s="168"/>
      <c r="AQ5" s="180" t="s">
        <v>902</v>
      </c>
      <c r="AR5" s="168"/>
      <c r="AS5" s="1247">
        <v>0.2</v>
      </c>
      <c r="AT5" s="1248"/>
    </row>
    <row r="6" spans="1:47">
      <c r="B6" s="296" t="s">
        <v>1061</v>
      </c>
      <c r="C6" s="296"/>
      <c r="D6" s="296"/>
      <c r="E6" s="1237">
        <v>450</v>
      </c>
      <c r="F6" s="1237"/>
      <c r="G6" s="296"/>
      <c r="H6" s="296" t="s">
        <v>1062</v>
      </c>
      <c r="I6" s="296"/>
      <c r="J6" s="1240" t="s">
        <v>803</v>
      </c>
      <c r="K6" s="1241"/>
      <c r="M6" s="296" t="s">
        <v>1061</v>
      </c>
      <c r="N6" s="296"/>
      <c r="O6" s="296"/>
      <c r="P6" s="1237" t="s">
        <v>1154</v>
      </c>
      <c r="Q6" s="1237"/>
      <c r="R6" s="296"/>
      <c r="S6" s="296"/>
      <c r="T6" s="898" t="s">
        <v>1062</v>
      </c>
      <c r="U6" s="898" t="s">
        <v>1062</v>
      </c>
      <c r="V6" s="1240" t="s">
        <v>803</v>
      </c>
      <c r="W6" s="1241"/>
      <c r="Y6" s="296" t="s">
        <v>1061</v>
      </c>
      <c r="Z6" s="296"/>
      <c r="AA6" s="180"/>
      <c r="AB6" s="1237">
        <v>450</v>
      </c>
      <c r="AC6" s="1237"/>
      <c r="AD6" s="296"/>
      <c r="AE6" s="295" t="s">
        <v>1062</v>
      </c>
      <c r="AF6" s="898"/>
      <c r="AG6" s="1240" t="s">
        <v>804</v>
      </c>
      <c r="AH6" s="1241"/>
      <c r="AJ6" s="296" t="s">
        <v>1061</v>
      </c>
      <c r="AK6" s="296"/>
      <c r="AL6" s="296"/>
      <c r="AM6" s="1237">
        <v>450</v>
      </c>
      <c r="AN6" s="1237"/>
      <c r="AO6" s="168"/>
      <c r="AP6" s="168"/>
      <c r="AQ6" s="295" t="s">
        <v>1062</v>
      </c>
      <c r="AR6" s="898"/>
      <c r="AS6" s="1240" t="s">
        <v>804</v>
      </c>
      <c r="AT6" s="1241"/>
    </row>
    <row r="7" spans="1:47">
      <c r="B7" s="1237" t="s">
        <v>1120</v>
      </c>
      <c r="C7" s="1237"/>
      <c r="M7" s="1237" t="s">
        <v>1119</v>
      </c>
      <c r="N7" s="1237"/>
      <c r="Y7" s="1237" t="s">
        <v>1120</v>
      </c>
      <c r="Z7" s="1237"/>
      <c r="AJ7" s="1237" t="s">
        <v>1120</v>
      </c>
      <c r="AK7" s="1237"/>
    </row>
    <row r="8" spans="1:47">
      <c r="B8" s="735" t="s">
        <v>903</v>
      </c>
      <c r="D8" s="1239" t="s">
        <v>904</v>
      </c>
      <c r="E8" s="1239"/>
      <c r="F8" s="1239"/>
      <c r="G8" s="1239"/>
      <c r="H8" s="1239"/>
      <c r="I8" s="1239"/>
      <c r="J8" s="1239"/>
      <c r="K8" s="1239"/>
      <c r="M8" s="735" t="s">
        <v>903</v>
      </c>
      <c r="O8" s="732"/>
      <c r="P8" s="1239" t="s">
        <v>905</v>
      </c>
      <c r="Q8" s="1239"/>
      <c r="R8" s="1239"/>
      <c r="S8" s="1239"/>
      <c r="T8" s="1239"/>
      <c r="U8" s="1239"/>
      <c r="V8" s="1239"/>
      <c r="W8" s="1239"/>
      <c r="Y8" s="735" t="s">
        <v>903</v>
      </c>
      <c r="AA8" s="1239" t="s">
        <v>906</v>
      </c>
      <c r="AB8" s="1239"/>
      <c r="AC8" s="1239"/>
      <c r="AD8" s="1239"/>
      <c r="AE8" s="1239"/>
      <c r="AF8" s="1239"/>
      <c r="AG8" s="1239"/>
      <c r="AH8" s="1239"/>
      <c r="AJ8" s="735" t="s">
        <v>903</v>
      </c>
      <c r="AL8" s="735"/>
      <c r="AM8" s="1239" t="s">
        <v>905</v>
      </c>
      <c r="AN8" s="1239"/>
      <c r="AO8" s="1239"/>
      <c r="AP8" s="1239"/>
      <c r="AQ8" s="1239"/>
      <c r="AR8" s="1239"/>
      <c r="AS8" s="1239"/>
      <c r="AT8" s="1239"/>
    </row>
    <row r="9" spans="1:47" s="36" customFormat="1">
      <c r="A9" s="729"/>
      <c r="B9" s="736"/>
      <c r="C9" s="729"/>
      <c r="D9" s="407">
        <v>2.6500000000000004</v>
      </c>
      <c r="E9" s="407">
        <v>1.35</v>
      </c>
      <c r="F9" s="407">
        <v>0.95000000000000007</v>
      </c>
      <c r="G9" s="407">
        <v>0.75</v>
      </c>
      <c r="H9" s="407">
        <v>0.5</v>
      </c>
      <c r="I9" s="407">
        <v>0.45</v>
      </c>
      <c r="J9" s="407">
        <v>0.4</v>
      </c>
      <c r="K9" s="407">
        <v>0.3</v>
      </c>
      <c r="M9" s="736"/>
      <c r="N9" s="729"/>
      <c r="O9" s="407">
        <f t="shared" ref="O9:W9" si="0">INDEX($D$9:$K$9,MATCH($V$4,$D$11:$K$11,0))</f>
        <v>0.3</v>
      </c>
      <c r="P9" s="407">
        <f t="shared" si="0"/>
        <v>0.3</v>
      </c>
      <c r="Q9" s="407">
        <f t="shared" si="0"/>
        <v>0.3</v>
      </c>
      <c r="R9" s="407">
        <f t="shared" si="0"/>
        <v>0.3</v>
      </c>
      <c r="S9" s="407">
        <f t="shared" si="0"/>
        <v>0.3</v>
      </c>
      <c r="T9" s="407">
        <f t="shared" si="0"/>
        <v>0.3</v>
      </c>
      <c r="U9" s="407">
        <f t="shared" si="0"/>
        <v>0.3</v>
      </c>
      <c r="V9" s="407">
        <f t="shared" si="0"/>
        <v>0.3</v>
      </c>
      <c r="W9" s="407">
        <f t="shared" si="0"/>
        <v>0.3</v>
      </c>
      <c r="Y9" s="736"/>
      <c r="Z9" s="729"/>
      <c r="AA9" s="407">
        <v>2.6500000000000004</v>
      </c>
      <c r="AB9" s="407">
        <v>1.35</v>
      </c>
      <c r="AC9" s="407">
        <v>0.95000000000000007</v>
      </c>
      <c r="AD9" s="407">
        <v>0.75</v>
      </c>
      <c r="AE9" s="407">
        <v>0.5</v>
      </c>
      <c r="AF9" s="407">
        <v>0.45</v>
      </c>
      <c r="AG9" s="407">
        <v>0.4</v>
      </c>
      <c r="AH9" s="407">
        <v>0.3</v>
      </c>
      <c r="AJ9" s="736"/>
      <c r="AK9" s="729"/>
      <c r="AL9" s="734">
        <f>INDEX($AA$9:$AH$9,MATCH($AS$4,$AA$11:$AH$11,0))</f>
        <v>0.5</v>
      </c>
      <c r="AM9" s="734">
        <f t="shared" ref="AM9:AT9" si="1">INDEX($AA$9:$AH$9,MATCH($AS$4,$AA$11:$AH$11,0))</f>
        <v>0.5</v>
      </c>
      <c r="AN9" s="734">
        <f t="shared" si="1"/>
        <v>0.5</v>
      </c>
      <c r="AO9" s="734">
        <f t="shared" si="1"/>
        <v>0.5</v>
      </c>
      <c r="AP9" s="734">
        <f t="shared" si="1"/>
        <v>0.5</v>
      </c>
      <c r="AQ9" s="734">
        <f t="shared" si="1"/>
        <v>0.5</v>
      </c>
      <c r="AR9" s="734">
        <f t="shared" si="1"/>
        <v>0.5</v>
      </c>
      <c r="AS9" s="734">
        <f t="shared" si="1"/>
        <v>0.5</v>
      </c>
      <c r="AT9" s="734">
        <f t="shared" si="1"/>
        <v>0.5</v>
      </c>
    </row>
    <row r="10" spans="1:47">
      <c r="B10" s="736"/>
      <c r="D10" s="1238" t="s">
        <v>898</v>
      </c>
      <c r="E10" s="1238"/>
      <c r="F10" s="1238"/>
      <c r="G10" s="1238"/>
      <c r="H10" s="1238"/>
      <c r="I10" s="1238"/>
      <c r="J10" s="1238"/>
      <c r="K10" s="1238"/>
      <c r="M10" s="736"/>
      <c r="O10" s="1238" t="s">
        <v>907</v>
      </c>
      <c r="P10" s="1238"/>
      <c r="Q10" s="1238"/>
      <c r="R10" s="1238"/>
      <c r="S10" s="1238"/>
      <c r="T10" s="1238"/>
      <c r="U10" s="1238"/>
      <c r="V10" s="1238"/>
      <c r="W10" s="1238"/>
      <c r="Y10" s="736"/>
      <c r="AA10" s="1238" t="s">
        <v>898</v>
      </c>
      <c r="AB10" s="1238"/>
      <c r="AC10" s="1238"/>
      <c r="AD10" s="1238"/>
      <c r="AE10" s="1238"/>
      <c r="AF10" s="1238"/>
      <c r="AG10" s="1238"/>
      <c r="AH10" s="1238"/>
      <c r="AI10" s="733"/>
      <c r="AJ10" s="736"/>
      <c r="AL10" s="1238" t="s">
        <v>907</v>
      </c>
      <c r="AM10" s="1238"/>
      <c r="AN10" s="1238"/>
      <c r="AO10" s="1238"/>
      <c r="AP10" s="1238"/>
      <c r="AQ10" s="1238"/>
      <c r="AR10" s="1238"/>
      <c r="AS10" s="1238"/>
      <c r="AT10" s="1238"/>
      <c r="AU10" s="733"/>
    </row>
    <row r="11" spans="1:47" s="671" customFormat="1" ht="38.25">
      <c r="A11" s="981"/>
      <c r="B11" s="982"/>
      <c r="C11" s="983"/>
      <c r="D11" s="985" t="s">
        <v>429</v>
      </c>
      <c r="E11" s="985" t="s">
        <v>428</v>
      </c>
      <c r="F11" s="985" t="s">
        <v>427</v>
      </c>
      <c r="G11" s="985" t="s">
        <v>426</v>
      </c>
      <c r="H11" s="985" t="s">
        <v>425</v>
      </c>
      <c r="I11" s="985" t="s">
        <v>908</v>
      </c>
      <c r="J11" s="985" t="s">
        <v>899</v>
      </c>
      <c r="K11" s="985" t="s">
        <v>909</v>
      </c>
      <c r="M11" s="982"/>
      <c r="N11" s="983"/>
      <c r="O11" s="985" t="str" cm="1">
        <f t="array" ref="O11">INDEX(ventilatiesystemen_namen,COLUMNS($N10:O10))</f>
        <v>A1 - standaard</v>
      </c>
      <c r="P11" s="985" t="str" cm="1">
        <f t="array" ref="P11">INDEX(ventilatiesystemen_namen,COLUMNS($N10:P10))</f>
        <v>A2b - luchtdruk roosters</v>
      </c>
      <c r="Q11" s="985" t="str" cm="1">
        <f t="array" ref="Q11">INDEX(ventilatiesystemen_namen,COLUMNS($N10:Q10))</f>
        <v>C1 - standaard</v>
      </c>
      <c r="R11" s="985" t="str" cm="1">
        <f t="array" ref="R11">INDEX(ventilatiesystemen_namen,COLUMNS($N10:R10))</f>
        <v>C2a - geregelde roosters</v>
      </c>
      <c r="S11" s="985" t="str" cm="1">
        <f t="array" ref="S11">INDEX(ventilatiesystemen_namen,COLUMNS($N10:S10))</f>
        <v>C3b - tijdsturing toevoer</v>
      </c>
      <c r="T11" s="985" t="str" cm="1">
        <f t="array" ref="T11">INDEX(ventilatiesystemen_namen,COLUMNS($N10:T10))</f>
        <v>C4c  - CO2 sturing toevoer</v>
      </c>
      <c r="U11" s="985" t="str" cm="1">
        <f t="array" ref="U11">INDEX(ventilatiesystemen_namen,COLUMNS($N10:U10))</f>
        <v>D1 - geen wtw</v>
      </c>
      <c r="V11" s="985" t="str" cm="1">
        <f t="array" ref="V11">INDEX(ventilatiesystemen_namen,COLUMNS($N10:V10))</f>
        <v>D2/D4a - met wtw</v>
      </c>
      <c r="W11" s="985" t="str" cm="1">
        <f t="array" ref="W11">INDEX(ventilatiesystemen_namen,COLUMNS($N10:W10))</f>
        <v>D5a - CO2 regeling</v>
      </c>
      <c r="Y11" s="982"/>
      <c r="Z11" s="983"/>
      <c r="AA11" s="985" t="s">
        <v>429</v>
      </c>
      <c r="AB11" s="985" t="s">
        <v>428</v>
      </c>
      <c r="AC11" s="985" t="s">
        <v>427</v>
      </c>
      <c r="AD11" s="985" t="s">
        <v>426</v>
      </c>
      <c r="AE11" s="985" t="s">
        <v>425</v>
      </c>
      <c r="AF11" s="985" t="s">
        <v>908</v>
      </c>
      <c r="AG11" s="985" t="s">
        <v>899</v>
      </c>
      <c r="AH11" s="985" t="s">
        <v>909</v>
      </c>
      <c r="AJ11" s="982"/>
      <c r="AK11" s="983"/>
      <c r="AL11" s="985" t="str" cm="1">
        <f t="array" ref="AL11">INDEX(ventilatiesystemen_namen,COLUMNS($AK10:AL10))</f>
        <v>A1 - standaard</v>
      </c>
      <c r="AM11" s="985" t="str" cm="1">
        <f t="array" ref="AM11">INDEX(ventilatiesystemen_namen,COLUMNS($AK10:AM10))</f>
        <v>A2b - luchtdruk roosters</v>
      </c>
      <c r="AN11" s="985" t="str" cm="1">
        <f t="array" ref="AN11">INDEX(ventilatiesystemen_namen,COLUMNS($AK10:AN10))</f>
        <v>C1 - standaard</v>
      </c>
      <c r="AO11" s="985" t="str" cm="1">
        <f t="array" ref="AO11">INDEX(ventilatiesystemen_namen,COLUMNS($AK10:AO10))</f>
        <v>C2a - geregelde roosters</v>
      </c>
      <c r="AP11" s="985" t="str" cm="1">
        <f t="array" ref="AP11">INDEX(ventilatiesystemen_namen,COLUMNS($AK10:AP10))</f>
        <v>C3b - tijdsturing toevoer</v>
      </c>
      <c r="AQ11" s="985" t="str" cm="1">
        <f t="array" ref="AQ11">INDEX(ventilatiesystemen_namen,COLUMNS($AK10:AQ10))</f>
        <v>C4c  - CO2 sturing toevoer</v>
      </c>
      <c r="AR11" s="985" t="str" cm="1">
        <f t="array" ref="AR11">INDEX(ventilatiesystemen_namen,COLUMNS($AK10:AR10))</f>
        <v>D1 - geen wtw</v>
      </c>
      <c r="AS11" s="985" t="str" cm="1">
        <f t="array" ref="AS11">INDEX(ventilatiesystemen_namen,COLUMNS($AK10:AS10))</f>
        <v>D2/D4a - met wtw</v>
      </c>
      <c r="AT11" s="985" t="str" cm="1">
        <f t="array" ref="AT11">INDEX(ventilatiesystemen_namen,COLUMNS($AK10:AT10))</f>
        <v>D5a - CO2 regeling</v>
      </c>
      <c r="AU11" s="984"/>
    </row>
    <row r="12" spans="1:47">
      <c r="B12" s="736" t="s">
        <v>910</v>
      </c>
      <c r="D12" s="1238" t="s">
        <v>911</v>
      </c>
      <c r="E12" s="1238"/>
      <c r="F12" s="1238"/>
      <c r="G12" s="1238"/>
      <c r="H12" s="1238"/>
      <c r="I12" s="1238"/>
      <c r="J12" s="1238"/>
      <c r="K12" s="1238"/>
      <c r="M12" s="736" t="s">
        <v>910</v>
      </c>
      <c r="O12" s="1238" t="s">
        <v>911</v>
      </c>
      <c r="P12" s="1238"/>
      <c r="Q12" s="1238"/>
      <c r="R12" s="1238"/>
      <c r="S12" s="1238"/>
      <c r="T12" s="1238"/>
      <c r="U12" s="1238"/>
      <c r="V12" s="1238"/>
      <c r="W12" s="1238"/>
      <c r="Y12" s="736" t="s">
        <v>910</v>
      </c>
      <c r="AA12" s="1238" t="s">
        <v>912</v>
      </c>
      <c r="AB12" s="1238"/>
      <c r="AC12" s="1238"/>
      <c r="AD12" s="1238"/>
      <c r="AE12" s="1238"/>
      <c r="AF12" s="1238"/>
      <c r="AG12" s="1238"/>
      <c r="AH12" s="1238"/>
      <c r="AI12" s="733"/>
      <c r="AJ12" s="736" t="s">
        <v>910</v>
      </c>
      <c r="AL12" s="1238" t="s">
        <v>912</v>
      </c>
      <c r="AM12" s="1238"/>
      <c r="AN12" s="1238"/>
      <c r="AO12" s="1238"/>
      <c r="AP12" s="1238"/>
      <c r="AQ12" s="1238"/>
      <c r="AR12" s="1238"/>
      <c r="AS12" s="1238"/>
      <c r="AT12" s="1238"/>
      <c r="AU12" s="733"/>
    </row>
    <row r="13" spans="1:47">
      <c r="B13" s="737">
        <v>0.5</v>
      </c>
      <c r="D13" s="284">
        <f>MAX(warmtebehoefte_verwarming_ondergrens,
HLOOKUP(D$22,fitcurves_NTA8800,MATCH(fit_a0,parameters_fitformule,0),FALSE)
+HLOOKUP(D$22,fitcurves_NTA8800,MATCH(fit_a1,parameters_fitformule,0),FALSE)
*D$9*$B13^HLOOKUP(D$22,fitcurves_NTA8800,MATCH(fit_n1,parameters_fitformule,0),FALSE)
)</f>
        <v>88.088332081020795</v>
      </c>
      <c r="E13" s="284">
        <f t="shared" ref="D13:K18" si="2">MAX(warmtebehoefte_verwarming_ondergrens,
HLOOKUP(E$22,fitcurves_NTA8800,MATCH(fit_a0,parameters_fitformule,0),FALSE)
+HLOOKUP(E$22,fitcurves_NTA8800,MATCH(fit_a1,parameters_fitformule,0),FALSE)
*E$9*$B13^HLOOKUP(E$22,fitcurves_NTA8800,MATCH(fit_n1,parameters_fitformule,0),FALSE)
)</f>
        <v>44.919422488799</v>
      </c>
      <c r="F13" s="284">
        <f t="shared" si="2"/>
        <v>31.636681075807683</v>
      </c>
      <c r="G13" s="284">
        <f t="shared" si="2"/>
        <v>24.995310369312019</v>
      </c>
      <c r="H13" s="284">
        <f t="shared" si="2"/>
        <v>16.693596986192446</v>
      </c>
      <c r="I13" s="284">
        <f t="shared" si="2"/>
        <v>15.033254309568528</v>
      </c>
      <c r="J13" s="284">
        <f>MAX(warmtebehoefte_verwarming_ondergrens,
HLOOKUP(J$22,fitcurves_NTA8800,MATCH(fit_a0,parameters_fitformule,0),FALSE)
+HLOOKUP(J$22,fitcurves_NTA8800,MATCH(fit_a1,parameters_fitformule,0),FALSE)
*J$9*$B13^HLOOKUP(J$22,fitcurves_NTA8800,MATCH(fit_n1,parameters_fitformule,0),FALSE)
)</f>
        <v>13.372911632944614</v>
      </c>
      <c r="K13" s="284">
        <f t="shared" si="2"/>
        <v>10.052226279696784</v>
      </c>
      <c r="M13" s="737">
        <v>0.5</v>
      </c>
      <c r="O13" s="284">
        <f>MAX(warmtebehoefte_verwarming_ondergrens,
HLOOKUP(O$22,fitcurves_NTA8800,MATCH(fit_a0,parameters_fitformule,0),FALSE)
+HLOOKUP(O$22,fitcurves_NTA8800,MATCH(fit_a1,parameters_fitformule,0),FALSE)
*O$9*$M13^HLOOKUP(O$22,fitcurves_NTA8800,MATCH(fit_n1,parameters_fitformule,0),FALSE)
)</f>
        <v>70.099808945916152</v>
      </c>
      <c r="P13" s="284">
        <f t="shared" ref="O13:W18" si="3">MAX(warmtebehoefte_verwarming_ondergrens,
HLOOKUP(P$22,fitcurves_NTA8800,MATCH(fit_a0,parameters_fitformule,0),FALSE)
+HLOOKUP(P$22,fitcurves_NTA8800,MATCH(fit_a1,parameters_fitformule,0),FALSE)
*P$9*$M13^HLOOKUP(P$22,fitcurves_NTA8800,MATCH(fit_n1,parameters_fitformule,0),FALSE)
)</f>
        <v>65.606005508271679</v>
      </c>
      <c r="Q13" s="284">
        <f t="shared" si="3"/>
        <v>58.795617762609083</v>
      </c>
      <c r="R13" s="284">
        <f t="shared" si="3"/>
        <v>53.09713670202018</v>
      </c>
      <c r="S13" s="284">
        <f t="shared" si="3"/>
        <v>50.38121067792904</v>
      </c>
      <c r="T13" s="284">
        <f t="shared" si="3"/>
        <v>44.963564228950965</v>
      </c>
      <c r="U13" s="284">
        <f t="shared" si="3"/>
        <v>37.199526499830704</v>
      </c>
      <c r="V13" s="284">
        <f t="shared" si="3"/>
        <v>35.945101502722736</v>
      </c>
      <c r="W13" s="284">
        <f t="shared" si="3"/>
        <v>31.120849124510745</v>
      </c>
      <c r="Y13" s="737">
        <v>0.5</v>
      </c>
      <c r="AA13" s="750">
        <f t="shared" ref="AA13:AH18" si="4">MAX(koudebehoefte_koeling_ondergrens,
HLOOKUP(AA$22,fitcurves_NTA8800,MATCH(fit_a0,parameters_fitformule,0),FALSE)
+HLOOKUP(AA$22,fitcurves_NTA8800,MATCH(fit_a1,parameters_fitformule,0),FALSE)
*($AG$5*$AB$5)^HLOOKUP(AA$22,fitcurves_NTA8800,MATCH(fit_n1,parameters_fitformule,0),FALSE)
+HLOOKUP(AA$22,fitcurves_NTA8800,MATCH(fit_a2,parameters_fitformule,0),FALSE)
*$Y13^HLOOKUP(AA$22,fitcurves_NTA8800,MATCH(fit_n2,parameters_fitformule,0),FALSE)
+HLOOKUP(AA$22,fitcurves_NTA8800,MATCH(fit_a3,parameters_fitformule,0),FALSE)
*AA$9^HLOOKUP(AA$22,fitcurves_NTA8800,MATCH(fit_n3,parameters_fitformule,0),FALSE)
+HLOOKUP(AA$22,fitcurves_NTA8800,MATCH(fit_a4,parameters_fitformule,0),FALSE)
*$AG$5^HLOOKUP(AA$22,fitcurves_NTA8800,MATCH(fit_n4,parameters_fitformule,0),FALSE)
)</f>
        <v>9.3661251514770392</v>
      </c>
      <c r="AB13" s="750">
        <f t="shared" si="4"/>
        <v>11.523586596964609</v>
      </c>
      <c r="AC13" s="750">
        <f t="shared" si="4"/>
        <v>12.647689813564515</v>
      </c>
      <c r="AD13" s="750">
        <f t="shared" si="4"/>
        <v>13.403901957723296</v>
      </c>
      <c r="AE13" s="750">
        <f t="shared" si="4"/>
        <v>14.701024248008483</v>
      </c>
      <c r="AF13" s="750">
        <f t="shared" si="4"/>
        <v>15.038089352301771</v>
      </c>
      <c r="AG13" s="750">
        <f t="shared" si="4"/>
        <v>15.414899291025225</v>
      </c>
      <c r="AH13" s="750">
        <f t="shared" si="4"/>
        <v>16.335262242324692</v>
      </c>
      <c r="AJ13" s="737">
        <v>0.5</v>
      </c>
      <c r="AL13" s="750">
        <f t="shared" ref="AL13:AT18" si="5">MAX(koudebehoefte_koeling_ondergrens,
HLOOKUP(AL$22,fitcurves_NTA8800,MATCH(fit_a0,parameters_fitformule,0),FALSE)
+HLOOKUP(AL$22,fitcurves_NTA8800,MATCH(fit_a1,parameters_fitformule,0),FALSE)
*($AS$5*$AM$5)^HLOOKUP(AL$22,fitcurves_NTA8800,MATCH(fit_n1,parameters_fitformule,0),FALSE)
+HLOOKUP(AL$22,fitcurves_NTA8800,MATCH(fit_a2,parameters_fitformule,0),FALSE)
*$AJ13^HLOOKUP(AL$22,fitcurves_NTA8800,MATCH(fit_n2,parameters_fitformule,0),FALSE)
+HLOOKUP(AL$22,fitcurves_NTA8800,MATCH(fit_a3,parameters_fitformule,0),FALSE)
*AL$9^HLOOKUP(AL$22,fitcurves_NTA8800,MATCH(fit_n3,parameters_fitformule,0),FALSE)
+HLOOKUP(AL$22,fitcurves_NTA8800,MATCH(fit_a4,parameters_fitformule,0),FALSE)
*$AS$5^HLOOKUP(AL$22,fitcurves_NTA8800,MATCH(fit_n4,parameters_fitformule,0),FALSE)
)</f>
        <v>17.252598496673265</v>
      </c>
      <c r="AM13" s="750">
        <f t="shared" si="5"/>
        <v>17.691855487754914</v>
      </c>
      <c r="AN13" s="750">
        <f t="shared" si="5"/>
        <v>17.968387622087256</v>
      </c>
      <c r="AO13" s="750">
        <f t="shared" si="5"/>
        <v>18.068379156526007</v>
      </c>
      <c r="AP13" s="750">
        <f t="shared" si="5"/>
        <v>18.116313892786202</v>
      </c>
      <c r="AQ13" s="750">
        <f t="shared" si="5"/>
        <v>18.21186121404137</v>
      </c>
      <c r="AR13" s="750">
        <f t="shared" si="5"/>
        <v>20.251025817409317</v>
      </c>
      <c r="AS13" s="750">
        <f t="shared" si="5"/>
        <v>20.284708713113901</v>
      </c>
      <c r="AT13" s="750">
        <f t="shared" si="5"/>
        <v>20.416868368336097</v>
      </c>
      <c r="AU13" s="733"/>
    </row>
    <row r="14" spans="1:47">
      <c r="B14" s="737">
        <f>B13+0.25</f>
        <v>0.75</v>
      </c>
      <c r="D14" s="284">
        <f t="shared" si="2"/>
        <v>123.61095958262166</v>
      </c>
      <c r="E14" s="284">
        <f t="shared" si="2"/>
        <v>63.015855366973028</v>
      </c>
      <c r="F14" s="284">
        <f t="shared" si="2"/>
        <v>44.371207916004217</v>
      </c>
      <c r="G14" s="284">
        <f t="shared" si="2"/>
        <v>35.048884190519807</v>
      </c>
      <c r="H14" s="284">
        <f t="shared" si="2"/>
        <v>23.395979533664306</v>
      </c>
      <c r="I14" s="284">
        <f t="shared" si="2"/>
        <v>21.065398602293207</v>
      </c>
      <c r="J14" s="284">
        <f t="shared" si="2"/>
        <v>18.734817670922105</v>
      </c>
      <c r="K14" s="284">
        <f t="shared" si="2"/>
        <v>14.0736558081799</v>
      </c>
      <c r="M14" s="737">
        <f>M13+0.25</f>
        <v>0.75</v>
      </c>
      <c r="O14" s="284">
        <f t="shared" si="3"/>
        <v>73.42778860954563</v>
      </c>
      <c r="P14" s="284">
        <f t="shared" si="3"/>
        <v>68.953474632626836</v>
      </c>
      <c r="Q14" s="284">
        <f t="shared" si="3"/>
        <v>62.215103281302454</v>
      </c>
      <c r="R14" s="284">
        <f t="shared" si="3"/>
        <v>56.536137335376715</v>
      </c>
      <c r="S14" s="284">
        <f t="shared" si="3"/>
        <v>53.829845586619697</v>
      </c>
      <c r="T14" s="284">
        <f t="shared" si="3"/>
        <v>48.429529081969292</v>
      </c>
      <c r="U14" s="284">
        <f t="shared" si="3"/>
        <v>40.664263734407214</v>
      </c>
      <c r="V14" s="284">
        <f t="shared" si="3"/>
        <v>39.415635198067761</v>
      </c>
      <c r="W14" s="284">
        <f t="shared" si="3"/>
        <v>34.616678097144337</v>
      </c>
      <c r="Y14" s="737">
        <f>Y13+0.25</f>
        <v>0.75</v>
      </c>
      <c r="AA14" s="750">
        <f t="shared" si="4"/>
        <v>6.4174527539200916</v>
      </c>
      <c r="AB14" s="750">
        <f t="shared" si="4"/>
        <v>8.5749141994076616</v>
      </c>
      <c r="AC14" s="750">
        <f t="shared" si="4"/>
        <v>9.6990174160075675</v>
      </c>
      <c r="AD14" s="750">
        <f t="shared" si="4"/>
        <v>10.455229560166348</v>
      </c>
      <c r="AE14" s="750">
        <f t="shared" si="4"/>
        <v>11.752351850451536</v>
      </c>
      <c r="AF14" s="750">
        <f t="shared" si="4"/>
        <v>12.089416954744824</v>
      </c>
      <c r="AG14" s="750">
        <f t="shared" si="4"/>
        <v>12.466226893468278</v>
      </c>
      <c r="AH14" s="750">
        <f t="shared" si="4"/>
        <v>13.386589844767744</v>
      </c>
      <c r="AJ14" s="737">
        <f>AJ13+0.25</f>
        <v>0.75</v>
      </c>
      <c r="AL14" s="750">
        <f t="shared" si="5"/>
        <v>14.467979817879488</v>
      </c>
      <c r="AM14" s="750">
        <f t="shared" si="5"/>
        <v>14.821398706807633</v>
      </c>
      <c r="AN14" s="750">
        <f t="shared" si="5"/>
        <v>15.04090216819103</v>
      </c>
      <c r="AO14" s="750">
        <f t="shared" si="5"/>
        <v>15.119706758969061</v>
      </c>
      <c r="AP14" s="750">
        <f t="shared" si="5"/>
        <v>15.157437267224234</v>
      </c>
      <c r="AQ14" s="750">
        <f t="shared" si="5"/>
        <v>15.232337649061471</v>
      </c>
      <c r="AR14" s="750">
        <f t="shared" si="5"/>
        <v>16.910152909936659</v>
      </c>
      <c r="AS14" s="750">
        <f t="shared" si="5"/>
        <v>16.936274294877762</v>
      </c>
      <c r="AT14" s="750">
        <f t="shared" si="5"/>
        <v>17.037758716830965</v>
      </c>
      <c r="AU14" s="733"/>
    </row>
    <row r="15" spans="1:47">
      <c r="B15" s="737">
        <f>B14+0.25</f>
        <v>1</v>
      </c>
      <c r="D15" s="284">
        <f t="shared" si="2"/>
        <v>157.20865168175712</v>
      </c>
      <c r="E15" s="284">
        <f t="shared" si="2"/>
        <v>80.131660775966552</v>
      </c>
      <c r="F15" s="284">
        <f t="shared" si="2"/>
        <v>56.415663574184848</v>
      </c>
      <c r="G15" s="284">
        <f t="shared" si="2"/>
        <v>44.557664973293988</v>
      </c>
      <c r="H15" s="284">
        <f t="shared" si="2"/>
        <v>29.735166722180427</v>
      </c>
      <c r="I15" s="284">
        <f t="shared" si="2"/>
        <v>26.770667071957714</v>
      </c>
      <c r="J15" s="284">
        <f t="shared" si="2"/>
        <v>23.806167421735001</v>
      </c>
      <c r="K15" s="284">
        <f t="shared" si="2"/>
        <v>17.877168121289575</v>
      </c>
      <c r="M15" s="737">
        <f>M14+0.25</f>
        <v>1</v>
      </c>
      <c r="O15" s="284">
        <f t="shared" si="3"/>
        <v>76.78939784391163</v>
      </c>
      <c r="P15" s="284">
        <f t="shared" si="3"/>
        <v>72.339072798598906</v>
      </c>
      <c r="Q15" s="284">
        <f t="shared" si="3"/>
        <v>65.676089660759359</v>
      </c>
      <c r="R15" s="284">
        <f t="shared" si="3"/>
        <v>60.021421526881163</v>
      </c>
      <c r="S15" s="284">
        <f t="shared" si="3"/>
        <v>57.327176607503944</v>
      </c>
      <c r="T15" s="284">
        <f t="shared" si="3"/>
        <v>51.949581489377152</v>
      </c>
      <c r="U15" s="284">
        <f t="shared" si="3"/>
        <v>44.153466680149116</v>
      </c>
      <c r="V15" s="284">
        <f t="shared" si="3"/>
        <v>42.915931073587309</v>
      </c>
      <c r="W15" s="284">
        <f t="shared" si="3"/>
        <v>38.160159275552672</v>
      </c>
      <c r="Y15" s="737">
        <f>Y14+0.25</f>
        <v>1</v>
      </c>
      <c r="AA15" s="750">
        <f t="shared" si="4"/>
        <v>4.3252555284327663</v>
      </c>
      <c r="AB15" s="750">
        <f t="shared" si="4"/>
        <v>6.4827169739203363</v>
      </c>
      <c r="AC15" s="750">
        <f t="shared" si="4"/>
        <v>7.6068201905202422</v>
      </c>
      <c r="AD15" s="750">
        <f t="shared" si="4"/>
        <v>8.3630323346790227</v>
      </c>
      <c r="AE15" s="750">
        <f t="shared" si="4"/>
        <v>9.6601546249642105</v>
      </c>
      <c r="AF15" s="750">
        <f t="shared" si="4"/>
        <v>9.9972197292574982</v>
      </c>
      <c r="AG15" s="750">
        <f t="shared" si="4"/>
        <v>10.374029667980952</v>
      </c>
      <c r="AH15" s="750">
        <f t="shared" si="4"/>
        <v>11.294392619280419</v>
      </c>
      <c r="AJ15" s="737">
        <f>AJ14+0.25</f>
        <v>1</v>
      </c>
      <c r="AL15" s="750">
        <f t="shared" si="5"/>
        <v>12.492174134119516</v>
      </c>
      <c r="AM15" s="750">
        <f t="shared" si="5"/>
        <v>12.784697493544774</v>
      </c>
      <c r="AN15" s="750">
        <f t="shared" si="5"/>
        <v>12.963736628625417</v>
      </c>
      <c r="AO15" s="750">
        <f t="shared" si="5"/>
        <v>13.027509533481735</v>
      </c>
      <c r="AP15" s="750">
        <f t="shared" si="5"/>
        <v>13.058008052851003</v>
      </c>
      <c r="AQ15" s="750">
        <f t="shared" si="5"/>
        <v>13.11826361095266</v>
      </c>
      <c r="AR15" s="750">
        <f t="shared" si="5"/>
        <v>14.539668788851049</v>
      </c>
      <c r="AS15" s="750">
        <f t="shared" si="5"/>
        <v>14.560407895338244</v>
      </c>
      <c r="AT15" s="750">
        <f t="shared" si="5"/>
        <v>14.640149507116391</v>
      </c>
    </row>
    <row r="16" spans="1:47">
      <c r="B16" s="737">
        <v>1.5</v>
      </c>
      <c r="D16" s="284">
        <f t="shared" si="2"/>
        <v>220.6334002508988</v>
      </c>
      <c r="E16" s="284">
        <f t="shared" si="2"/>
        <v>112.44238174515193</v>
      </c>
      <c r="F16" s="284">
        <f t="shared" si="2"/>
        <v>79.152837589537526</v>
      </c>
      <c r="G16" s="284">
        <f t="shared" si="2"/>
        <v>62.508065511730315</v>
      </c>
      <c r="H16" s="284">
        <f t="shared" si="2"/>
        <v>41.702100414471303</v>
      </c>
      <c r="I16" s="284">
        <f t="shared" si="2"/>
        <v>37.540907395019502</v>
      </c>
      <c r="J16" s="284">
        <f t="shared" si="2"/>
        <v>33.379714375567701</v>
      </c>
      <c r="K16" s="284">
        <f t="shared" si="2"/>
        <v>25.057328336664106</v>
      </c>
      <c r="M16" s="737">
        <v>1.5</v>
      </c>
      <c r="O16" s="284">
        <f t="shared" si="3"/>
        <v>83.583319463514925</v>
      </c>
      <c r="P16" s="284">
        <f t="shared" si="3"/>
        <v>79.190541953022802</v>
      </c>
      <c r="Q16" s="284">
        <f t="shared" si="3"/>
        <v>72.685503388332037</v>
      </c>
      <c r="R16" s="284">
        <f t="shared" si="3"/>
        <v>67.089645150691283</v>
      </c>
      <c r="S16" s="284">
        <f t="shared" si="3"/>
        <v>64.424656563078884</v>
      </c>
      <c r="T16" s="284">
        <f t="shared" si="3"/>
        <v>59.10406808973957</v>
      </c>
      <c r="U16" s="284">
        <f t="shared" si="3"/>
        <v>51.183142528455257</v>
      </c>
      <c r="V16" s="284">
        <f t="shared" si="3"/>
        <v>49.978993041816651</v>
      </c>
      <c r="W16" s="284">
        <f t="shared" si="3"/>
        <v>45.347683100378426</v>
      </c>
      <c r="Y16" s="737">
        <v>1.5</v>
      </c>
      <c r="AA16" s="750">
        <f t="shared" si="4"/>
        <v>1.3763551807990133</v>
      </c>
      <c r="AB16" s="750">
        <f t="shared" si="4"/>
        <v>3.5338166262865833</v>
      </c>
      <c r="AC16" s="750">
        <f t="shared" si="4"/>
        <v>4.6579198428864892</v>
      </c>
      <c r="AD16" s="750">
        <f t="shared" si="4"/>
        <v>5.4141319870452698</v>
      </c>
      <c r="AE16" s="750">
        <f t="shared" si="4"/>
        <v>6.7112542773304575</v>
      </c>
      <c r="AF16" s="750">
        <f t="shared" si="4"/>
        <v>7.0483193816237453</v>
      </c>
      <c r="AG16" s="750">
        <f t="shared" si="4"/>
        <v>7.4251293203471995</v>
      </c>
      <c r="AH16" s="750">
        <f t="shared" si="4"/>
        <v>8.3454922716466662</v>
      </c>
      <c r="AJ16" s="737">
        <v>1.5</v>
      </c>
      <c r="AL16" s="750">
        <f t="shared" si="5"/>
        <v>9.707309395550503</v>
      </c>
      <c r="AM16" s="750">
        <f t="shared" si="5"/>
        <v>9.9140160016023966</v>
      </c>
      <c r="AN16" s="750">
        <f t="shared" si="5"/>
        <v>10.036021280014472</v>
      </c>
      <c r="AO16" s="750">
        <f t="shared" si="5"/>
        <v>10.078609185847982</v>
      </c>
      <c r="AP16" s="750">
        <f t="shared" si="5"/>
        <v>10.098926102442713</v>
      </c>
      <c r="AQ16" s="750">
        <f t="shared" si="5"/>
        <v>10.138547160903933</v>
      </c>
      <c r="AR16" s="750">
        <f t="shared" si="5"/>
        <v>11.198522249740126</v>
      </c>
      <c r="AS16" s="750">
        <f t="shared" si="5"/>
        <v>11.211651073905045</v>
      </c>
      <c r="AT16" s="750">
        <f t="shared" si="5"/>
        <v>11.260778382243686</v>
      </c>
    </row>
    <row r="17" spans="2:47">
      <c r="B17" s="737">
        <v>2</v>
      </c>
      <c r="D17" s="284">
        <f t="shared" si="2"/>
        <v>280.62122558265582</v>
      </c>
      <c r="E17" s="284">
        <f t="shared" si="2"/>
        <v>143.00221729151875</v>
      </c>
      <c r="F17" s="284">
        <f t="shared" si="2"/>
        <v>100.65790704809194</v>
      </c>
      <c r="G17" s="284">
        <f t="shared" si="2"/>
        <v>79.485751926378541</v>
      </c>
      <c r="H17" s="284">
        <f t="shared" si="2"/>
        <v>53.020558024236792</v>
      </c>
      <c r="I17" s="284">
        <f t="shared" si="2"/>
        <v>47.727519243808437</v>
      </c>
      <c r="J17" s="284">
        <f t="shared" si="2"/>
        <v>42.43448046338009</v>
      </c>
      <c r="K17" s="284">
        <f t="shared" si="2"/>
        <v>31.848402902523393</v>
      </c>
      <c r="M17" s="737">
        <v>2</v>
      </c>
      <c r="O17" s="284">
        <f t="shared" si="3"/>
        <v>90.445894347494161</v>
      </c>
      <c r="P17" s="284">
        <f t="shared" si="3"/>
        <v>86.120052141679182</v>
      </c>
      <c r="Q17" s="284">
        <f t="shared" si="3"/>
        <v>79.779987428836819</v>
      </c>
      <c r="R17" s="284">
        <f t="shared" si="3"/>
        <v>74.252995985564397</v>
      </c>
      <c r="S17" s="284">
        <f t="shared" si="3"/>
        <v>71.622355790730836</v>
      </c>
      <c r="T17" s="284">
        <f t="shared" si="3"/>
        <v>66.370202874528701</v>
      </c>
      <c r="U17" s="284">
        <f t="shared" si="3"/>
        <v>58.262457355779667</v>
      </c>
      <c r="V17" s="284">
        <f t="shared" si="3"/>
        <v>57.102625556634891</v>
      </c>
      <c r="W17" s="284">
        <f t="shared" si="3"/>
        <v>52.633181215992622</v>
      </c>
      <c r="Y17" s="737">
        <v>2</v>
      </c>
      <c r="AA17" s="750">
        <f t="shared" si="4"/>
        <v>1</v>
      </c>
      <c r="AB17" s="750">
        <f t="shared" si="4"/>
        <v>1.4414576613983208</v>
      </c>
      <c r="AC17" s="750">
        <f t="shared" si="4"/>
        <v>2.5655608779982266</v>
      </c>
      <c r="AD17" s="750">
        <f t="shared" si="4"/>
        <v>3.3217730221570072</v>
      </c>
      <c r="AE17" s="750">
        <f t="shared" si="4"/>
        <v>4.618895312442195</v>
      </c>
      <c r="AF17" s="750">
        <f t="shared" si="4"/>
        <v>4.9559604167354827</v>
      </c>
      <c r="AG17" s="750">
        <f t="shared" si="4"/>
        <v>5.332770355458937</v>
      </c>
      <c r="AH17" s="750">
        <f t="shared" si="4"/>
        <v>6.2531333067584036</v>
      </c>
      <c r="AJ17" s="737">
        <v>2</v>
      </c>
      <c r="AL17" s="750">
        <f t="shared" si="5"/>
        <v>7.7313291218842934</v>
      </c>
      <c r="AM17" s="750">
        <f t="shared" si="5"/>
        <v>7.8771553471225726</v>
      </c>
      <c r="AN17" s="750">
        <f t="shared" si="5"/>
        <v>7.9586926211407327</v>
      </c>
      <c r="AO17" s="750">
        <f t="shared" si="5"/>
        <v>7.9862502209597199</v>
      </c>
      <c r="AP17" s="750">
        <f t="shared" si="5"/>
        <v>7.9993512027343261</v>
      </c>
      <c r="AQ17" s="750">
        <f t="shared" si="5"/>
        <v>8.0243362642297384</v>
      </c>
      <c r="AR17" s="750">
        <f t="shared" si="5"/>
        <v>8.8278439759829048</v>
      </c>
      <c r="AS17" s="750">
        <f t="shared" si="5"/>
        <v>8.8355559146492624</v>
      </c>
      <c r="AT17" s="750">
        <f t="shared" si="5"/>
        <v>8.8629836470332037</v>
      </c>
    </row>
    <row r="18" spans="2:47">
      <c r="B18" s="737">
        <v>2.5</v>
      </c>
      <c r="D18" s="284">
        <f t="shared" si="2"/>
        <v>338.17643375394931</v>
      </c>
      <c r="E18" s="284">
        <f t="shared" si="2"/>
        <v>172.32279503915885</v>
      </c>
      <c r="F18" s="284">
        <f t="shared" si="2"/>
        <v>121.29090620383867</v>
      </c>
      <c r="G18" s="284">
        <f t="shared" si="2"/>
        <v>95.774961786178579</v>
      </c>
      <c r="H18" s="284">
        <f t="shared" si="2"/>
        <v>63.880031264103486</v>
      </c>
      <c r="I18" s="284">
        <f t="shared" si="2"/>
        <v>57.501045159688466</v>
      </c>
      <c r="J18" s="284">
        <f t="shared" si="2"/>
        <v>51.122059055273446</v>
      </c>
      <c r="K18" s="284">
        <f t="shared" si="2"/>
        <v>38.364086846443406</v>
      </c>
      <c r="M18" s="737">
        <v>2.5</v>
      </c>
      <c r="O18" s="284">
        <f t="shared" si="3"/>
        <v>97.359975541117024</v>
      </c>
      <c r="P18" s="284">
        <f t="shared" si="3"/>
        <v>93.108177611990754</v>
      </c>
      <c r="Q18" s="284">
        <f t="shared" si="3"/>
        <v>86.938408023594889</v>
      </c>
      <c r="R18" s="284">
        <f t="shared" si="3"/>
        <v>81.487924465005676</v>
      </c>
      <c r="S18" s="284">
        <f t="shared" si="3"/>
        <v>78.895507711586987</v>
      </c>
      <c r="T18" s="284">
        <f t="shared" si="3"/>
        <v>73.720503776652436</v>
      </c>
      <c r="U18" s="284">
        <f t="shared" si="3"/>
        <v>65.378913942100638</v>
      </c>
      <c r="V18" s="284">
        <f t="shared" si="3"/>
        <v>64.271639535609452</v>
      </c>
      <c r="W18" s="284">
        <f t="shared" si="3"/>
        <v>59.992410351450587</v>
      </c>
      <c r="Y18" s="737">
        <v>2.5</v>
      </c>
      <c r="AA18" s="750">
        <f t="shared" si="4"/>
        <v>1</v>
      </c>
      <c r="AB18" s="750">
        <f t="shared" si="4"/>
        <v>1</v>
      </c>
      <c r="AC18" s="750">
        <f t="shared" si="4"/>
        <v>1</v>
      </c>
      <c r="AD18" s="750">
        <f t="shared" si="4"/>
        <v>1.6987670916189508</v>
      </c>
      <c r="AE18" s="750">
        <f t="shared" si="4"/>
        <v>2.9958893819041386</v>
      </c>
      <c r="AF18" s="750">
        <f t="shared" si="4"/>
        <v>3.3329544861974263</v>
      </c>
      <c r="AG18" s="750">
        <f t="shared" si="4"/>
        <v>3.7097644249208805</v>
      </c>
      <c r="AH18" s="750">
        <f t="shared" si="4"/>
        <v>4.6301273762203472</v>
      </c>
      <c r="AJ18" s="737">
        <v>2.5</v>
      </c>
      <c r="AL18" s="750">
        <f t="shared" si="5"/>
        <v>6.1985898438679143</v>
      </c>
      <c r="AM18" s="750">
        <f t="shared" si="5"/>
        <v>6.2971979073692292</v>
      </c>
      <c r="AN18" s="750">
        <f t="shared" si="5"/>
        <v>6.3473447072458722</v>
      </c>
      <c r="AO18" s="750">
        <f t="shared" si="5"/>
        <v>6.3632442904216635</v>
      </c>
      <c r="AP18" s="750">
        <f t="shared" si="5"/>
        <v>6.3707527473218963</v>
      </c>
      <c r="AQ18" s="750">
        <f t="shared" si="5"/>
        <v>6.3843877706760637</v>
      </c>
      <c r="AR18" s="750">
        <f t="shared" si="5"/>
        <v>6.9889475528412</v>
      </c>
      <c r="AS18" s="750">
        <f t="shared" si="5"/>
        <v>6.9924479361997101</v>
      </c>
      <c r="AT18" s="750">
        <f t="shared" si="5"/>
        <v>7.0030565284228459</v>
      </c>
    </row>
    <row r="19" spans="2:47">
      <c r="B19" s="900"/>
      <c r="D19" s="732"/>
      <c r="AU19" s="733"/>
    </row>
    <row r="20" spans="2:47" ht="23.25">
      <c r="B20" s="1119" t="s">
        <v>1301</v>
      </c>
      <c r="D20" s="732"/>
      <c r="M20" s="1119" t="s">
        <v>1301</v>
      </c>
      <c r="Y20" s="1119" t="s">
        <v>1302</v>
      </c>
      <c r="AJ20" s="1119" t="s">
        <v>1302</v>
      </c>
      <c r="AU20" s="733"/>
    </row>
    <row r="21" spans="2:47" s="1116" customFormat="1" ht="8.25">
      <c r="B21" s="1117"/>
      <c r="AU21" s="1118"/>
    </row>
    <row r="22" spans="2:47">
      <c r="D22" s="899" t="str">
        <f t="shared" ref="D22:K22" si="6">$B$7&amp;INDEX(gebruiksfuncties_fitcurve_NTA8800,MATCH($E$4,gebruiksfuncties_namen,0))
&amp;INDEX(ventilatiesystemen_code,MATCH($J$4,ventilatiesystemen_namen,0))
&amp;$E$6
&amp;$J$6</f>
        <v>MWAzorg met bedD4a450QH;nd</v>
      </c>
      <c r="E22" s="899" t="str">
        <f t="shared" si="6"/>
        <v>MWAzorg met bedD4a450QH;nd</v>
      </c>
      <c r="F22" s="899" t="str">
        <f t="shared" si="6"/>
        <v>MWAzorg met bedD4a450QH;nd</v>
      </c>
      <c r="G22" s="899" t="str">
        <f t="shared" si="6"/>
        <v>MWAzorg met bedD4a450QH;nd</v>
      </c>
      <c r="H22" s="899" t="str">
        <f t="shared" si="6"/>
        <v>MWAzorg met bedD4a450QH;nd</v>
      </c>
      <c r="I22" s="899" t="str">
        <f t="shared" si="6"/>
        <v>MWAzorg met bedD4a450QH;nd</v>
      </c>
      <c r="J22" s="899" t="str">
        <f t="shared" si="6"/>
        <v>MWAzorg met bedD4a450QH;nd</v>
      </c>
      <c r="K22" s="899" t="str">
        <f t="shared" si="6"/>
        <v>MWAzorg met bedD4a450QH;nd</v>
      </c>
      <c r="O22" s="899" t="str">
        <f t="shared" ref="O22:W22" si="7">$M$7&amp;INDEX(gebruiksfuncties_fitcurve_NTA8800,MATCH($P$4,gebruiksfuncties_namen,0))
&amp;INDEX(ventilatiesystemen_code,MATCH(O$11,ventilatiesystemen_namen,0))
&amp;$P$6
&amp;$V$6</f>
        <v>EPwoningA1055QH;nd</v>
      </c>
      <c r="P22" s="899" t="str">
        <f t="shared" si="7"/>
        <v>EPwoningA2b055QH;nd</v>
      </c>
      <c r="Q22" s="899" t="str">
        <f t="shared" si="7"/>
        <v>EPwoningC1055QH;nd</v>
      </c>
      <c r="R22" s="899" t="str">
        <f t="shared" si="7"/>
        <v>EPwoningC2a055QH;nd</v>
      </c>
      <c r="S22" s="899" t="str">
        <f t="shared" si="7"/>
        <v>EPwoningC3b055QH;nd</v>
      </c>
      <c r="T22" s="899" t="str">
        <f t="shared" si="7"/>
        <v>EPwoningC4c055QH;nd</v>
      </c>
      <c r="U22" s="899" t="str">
        <f t="shared" si="7"/>
        <v>EPwoningD1055QH;nd</v>
      </c>
      <c r="V22" s="899" t="str">
        <f t="shared" si="7"/>
        <v>EPwoningD4a055QH;nd</v>
      </c>
      <c r="W22" s="899" t="str">
        <f t="shared" si="7"/>
        <v>EPwoningD5a055QH;nd</v>
      </c>
      <c r="AA22" s="899" t="str">
        <f t="shared" ref="AA22:AH22" si="8">$Y$7&amp;INDEX(gebruiksfuncties_fitcurve_NTA8800,MATCH($AB$4,gebruiksfuncties_namen,0))
&amp;INDEX(ventilatiesystemen_code,MATCH($AG$4,ventilatiesystemen_namen,0))
&amp;$AB$6
&amp;$AG$6</f>
        <v>MWAwoningC2a450QC;nd</v>
      </c>
      <c r="AB22" s="899" t="str">
        <f t="shared" si="8"/>
        <v>MWAwoningC2a450QC;nd</v>
      </c>
      <c r="AC22" s="899" t="str">
        <f t="shared" si="8"/>
        <v>MWAwoningC2a450QC;nd</v>
      </c>
      <c r="AD22" s="899" t="str">
        <f t="shared" si="8"/>
        <v>MWAwoningC2a450QC;nd</v>
      </c>
      <c r="AE22" s="899" t="str">
        <f t="shared" si="8"/>
        <v>MWAwoningC2a450QC;nd</v>
      </c>
      <c r="AF22" s="899" t="str">
        <f t="shared" si="8"/>
        <v>MWAwoningC2a450QC;nd</v>
      </c>
      <c r="AG22" s="899" t="str">
        <f t="shared" si="8"/>
        <v>MWAwoningC2a450QC;nd</v>
      </c>
      <c r="AH22" s="899" t="str">
        <f t="shared" si="8"/>
        <v>MWAwoningC2a450QC;nd</v>
      </c>
      <c r="AL22" s="899" t="str">
        <f t="shared" ref="AL22:AT22" si="9">$AJ$7&amp;INDEX(gebruiksfuncties_fitcurve_NTA8800,MATCH($AM$4,gebruiksfuncties_namen,0))
&amp;INDEX(ventilatiesystemen_code,MATCH(AL$11,ventilatiesystemen_namen,0))
&amp;$AM$6
&amp;$AS$6</f>
        <v>MWAwoningA1450QC;nd</v>
      </c>
      <c r="AM22" s="899" t="str">
        <f t="shared" si="9"/>
        <v>MWAwoningA2b450QC;nd</v>
      </c>
      <c r="AN22" s="899" t="str">
        <f t="shared" si="9"/>
        <v>MWAwoningC1450QC;nd</v>
      </c>
      <c r="AO22" s="899" t="str">
        <f t="shared" si="9"/>
        <v>MWAwoningC2a450QC;nd</v>
      </c>
      <c r="AP22" s="899" t="str">
        <f t="shared" si="9"/>
        <v>MWAwoningC3b450QC;nd</v>
      </c>
      <c r="AQ22" s="899" t="str">
        <f t="shared" si="9"/>
        <v>MWAwoningC4c450QC;nd</v>
      </c>
      <c r="AR22" s="899" t="str">
        <f t="shared" si="9"/>
        <v>MWAwoningD1450QC;nd</v>
      </c>
      <c r="AS22" s="899" t="str">
        <f t="shared" si="9"/>
        <v>MWAwoningD4a450QC;nd</v>
      </c>
      <c r="AT22" s="899" t="str">
        <f t="shared" si="9"/>
        <v>MWAwoningD5a450QC;nd</v>
      </c>
    </row>
    <row r="23" spans="2:47">
      <c r="B23" t="str">
        <f>IF(E6=450,"zwaar","licht")</f>
        <v>zwaar</v>
      </c>
      <c r="D23" s="899" t="s">
        <v>1063</v>
      </c>
      <c r="M23" t="str">
        <f>IF(P6=450,"zwaar","licht")</f>
        <v>licht</v>
      </c>
      <c r="Y23" t="str">
        <f>IF(AB6=450,"zwaar","licht")</f>
        <v>zwaar</v>
      </c>
      <c r="AJ23" t="str">
        <f>IF(AM6=450,"zwaar","licht")</f>
        <v>zwaar</v>
      </c>
    </row>
    <row r="24" spans="2:47">
      <c r="D24" s="899" t="s">
        <v>1064</v>
      </c>
      <c r="M24" t="s">
        <v>662</v>
      </c>
      <c r="Y24" t="str">
        <f>TEXT($AG$5,"#.##0,00")&amp;" m2 raam/m2 GBO"</f>
        <v>0,15 m2 raam/m2 GBO</v>
      </c>
      <c r="AJ24" t="str">
        <f>TEXT($AS$5,"#.##0,00")&amp;" m2 raam/m2 GBO"</f>
        <v>0,20 m2 raam/m2 GBO</v>
      </c>
    </row>
  </sheetData>
  <sheetProtection algorithmName="SHA-512" hashValue="5xXJRjFVOHSfwJg5MMlzUS/x9p/9yLXtbLiOE5nwAKkSMGtUJvcHiirkpK/3+JrMWAuYcoxfDSCf2F9pYIIAYA==" saltValue="zs+Wzt7LJyoVLJj3nx/MqQ==" spinCount="100000" sheet="1" objects="1" scenarios="1" formatColumns="0" selectLockedCells="1" autoFilter="0"/>
  <mergeCells count="40">
    <mergeCell ref="E6:F6"/>
    <mergeCell ref="P6:Q6"/>
    <mergeCell ref="J6:K6"/>
    <mergeCell ref="V6:W6"/>
    <mergeCell ref="O10:W10"/>
    <mergeCell ref="Y2:AH2"/>
    <mergeCell ref="AS4:AT4"/>
    <mergeCell ref="AS5:AT5"/>
    <mergeCell ref="B2:K2"/>
    <mergeCell ref="M2:W2"/>
    <mergeCell ref="J4:K4"/>
    <mergeCell ref="E4:F4"/>
    <mergeCell ref="AM8:AT8"/>
    <mergeCell ref="AS6:AT6"/>
    <mergeCell ref="AL10:AT10"/>
    <mergeCell ref="AL12:AT12"/>
    <mergeCell ref="AJ2:AT2"/>
    <mergeCell ref="AM4:AN4"/>
    <mergeCell ref="AM5:AN5"/>
    <mergeCell ref="AB6:AC6"/>
    <mergeCell ref="AM6:AN6"/>
    <mergeCell ref="AG6:AH6"/>
    <mergeCell ref="P4:Q4"/>
    <mergeCell ref="V4:W4"/>
    <mergeCell ref="AB4:AC4"/>
    <mergeCell ref="AG4:AH4"/>
    <mergeCell ref="AB5:AC5"/>
    <mergeCell ref="AG5:AH5"/>
    <mergeCell ref="B7:C7"/>
    <mergeCell ref="M7:N7"/>
    <mergeCell ref="Y7:Z7"/>
    <mergeCell ref="AJ7:AK7"/>
    <mergeCell ref="O12:W12"/>
    <mergeCell ref="AA10:AH10"/>
    <mergeCell ref="AA8:AH8"/>
    <mergeCell ref="AA12:AH12"/>
    <mergeCell ref="P8:W8"/>
    <mergeCell ref="D12:K12"/>
    <mergeCell ref="D10:K10"/>
    <mergeCell ref="D8:K8"/>
  </mergeCells>
  <conditionalFormatting sqref="E4:F4">
    <cfRule type="expression" dxfId="1710" priority="20">
      <formula>ISERROR(MATCH(E4,gebruiksfuncties_namen,0))=TRUE</formula>
    </cfRule>
  </conditionalFormatting>
  <conditionalFormatting sqref="E6:F6">
    <cfRule type="expression" dxfId="1709" priority="14">
      <formula>ISERROR(MATCH(E6,specifieke_interne_warmtecapaciteit,0))=TRUE</formula>
    </cfRule>
  </conditionalFormatting>
  <conditionalFormatting sqref="J4:K4">
    <cfRule type="expression" dxfId="1708" priority="16">
      <formula>ISERROR(MATCH(J4,ventilatiesystemen_namen,0))=TRUE</formula>
    </cfRule>
  </conditionalFormatting>
  <conditionalFormatting sqref="P4:Q4">
    <cfRule type="expression" dxfId="1707" priority="19">
      <formula>ISERROR(MATCH(P4,gebruiksfuncties_namen,0))=TRUE</formula>
    </cfRule>
  </conditionalFormatting>
  <conditionalFormatting sqref="P6:Q6">
    <cfRule type="expression" dxfId="1706" priority="13">
      <formula>ISERROR(MATCH(P6,specifieke_interne_warmtecapaciteit,0))=TRUE</formula>
    </cfRule>
  </conditionalFormatting>
  <conditionalFormatting sqref="AB4:AC4">
    <cfRule type="expression" dxfId="1705" priority="18">
      <formula>ISERROR(MATCH(AB4,gebruiksfuncties_namen,0))=TRUE</formula>
    </cfRule>
  </conditionalFormatting>
  <conditionalFormatting sqref="AB6:AC6">
    <cfRule type="expression" dxfId="1704" priority="12">
      <formula>ISERROR(MATCH(AB6,specifieke_interne_warmtecapaciteit,0))=TRUE</formula>
    </cfRule>
  </conditionalFormatting>
  <conditionalFormatting sqref="AG4:AH4">
    <cfRule type="expression" dxfId="1703" priority="15">
      <formula>ISERROR(MATCH(AG4,ventilatiesystemen_namen,0))=TRUE</formula>
    </cfRule>
  </conditionalFormatting>
  <conditionalFormatting sqref="AM4:AN4">
    <cfRule type="expression" dxfId="1702" priority="17">
      <formula>ISERROR(MATCH(AM4,gebruiksfuncties_namen,0))=TRUE</formula>
    </cfRule>
  </conditionalFormatting>
  <conditionalFormatting sqref="AM6:AN6">
    <cfRule type="expression" dxfId="1701" priority="11">
      <formula>ISERROR(MATCH(AM6,specifieke_interne_warmtecapaciteit,0))=TRUE</formula>
    </cfRule>
  </conditionalFormatting>
  <dataValidations count="8">
    <dataValidation type="decimal" operator="greaterThanOrEqual" allowBlank="1" showInputMessage="1" showErrorMessage="1" sqref="AM5 AB5" xr:uid="{E3F6B050-99BD-48CE-BD5F-794E3A392A0E}">
      <formula1>20</formula1>
    </dataValidation>
    <dataValidation type="decimal" allowBlank="1" showInputMessage="1" showErrorMessage="1" sqref="AG5 AS5" xr:uid="{C292D8FC-3655-49D4-B723-3763E2D81279}">
      <formula1>0.05</formula1>
      <formula2>0.5</formula2>
    </dataValidation>
    <dataValidation type="list" allowBlank="1" showInputMessage="1" showErrorMessage="1" sqref="E4:E5 AB4:AB5 P4:P5 AM4:AM5" xr:uid="{2C40FEB7-B545-4E21-B577-7C4908FFB2FD}">
      <formula1>gebruiksfuncties_namen</formula1>
    </dataValidation>
    <dataValidation type="list" allowBlank="1" showInputMessage="1" showErrorMessage="1" sqref="J4:J5 AG4:AG5" xr:uid="{F72F76DF-9436-4E5B-8AA9-86D9ADF6F874}">
      <formula1>ventilatiesystemen_namen</formula1>
    </dataValidation>
    <dataValidation type="list" allowBlank="1" showInputMessage="1" showErrorMessage="1" sqref="V4:W5 AS4:AS5" xr:uid="{8B6DB1A0-3650-4D5F-BA3E-B9F51B5F0E6C}">
      <formula1>$D$11:$K$11</formula1>
    </dataValidation>
    <dataValidation type="list" allowBlank="1" showInputMessage="1" showErrorMessage="1" sqref="E6:F6 AB6:AC6 P6:Q6 AM6:AN6" xr:uid="{DEC2045A-5835-4833-8C71-5CAA57A23CEC}">
      <formula1>specifieke_interne_warmtecapaciteit</formula1>
    </dataValidation>
    <dataValidation type="list" allowBlank="1" showInputMessage="1" showErrorMessage="1" sqref="J6:K6 AS6:AT6 V6:W6 AG6" xr:uid="{1C558356-5802-43D6-899B-BBF7E9D37768}">
      <formula1>beschikbare_fitformules_NTA8800</formula1>
    </dataValidation>
    <dataValidation type="list" allowBlank="1" showInputMessage="1" showErrorMessage="1" sqref="B7 M7 Y7 AJ7" xr:uid="{8B930FE5-4A36-4948-8FE0-86D545483B9D}">
      <formula1>rekenmethode_EP_MWA</formula1>
    </dataValidation>
  </dataValidations>
  <pageMargins left="0.7" right="0.7" top="0.75" bottom="0.75" header="0.3" footer="0.3"/>
  <pageSetup paperSize="9" orientation="portrait" horizontalDpi="4294967295" verticalDpi="4294967295" r:id="rId1"/>
  <headerFooter>
    <oddFooter>&amp;L_x000D_&amp;1#&amp;"Aptos"&amp;10&amp;K000000 Intern gebruik</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A22576BD-983B-4D31-BECC-6328BE81BE61}">
            <xm:f>ISERROR(MATCH(B7,bibliotheek!$H$14:$K$14,0))=TRUE</xm:f>
            <x14:dxf>
              <font>
                <color theme="0"/>
              </font>
              <fill>
                <patternFill>
                  <bgColor rgb="FFFF0000"/>
                </patternFill>
              </fill>
            </x14:dxf>
          </x14:cfRule>
          <xm:sqref>B7:C7</xm:sqref>
        </x14:conditionalFormatting>
        <x14:conditionalFormatting xmlns:xm="http://schemas.microsoft.com/office/excel/2006/main">
          <x14:cfRule type="expression" priority="3" id="{FEA7A3C6-2D6F-4B72-887E-40D6E71DC732}">
            <xm:f>ISERROR(MATCH(M7,bibliotheek!$H$14:$K$14,0))=TRUE</xm:f>
            <x14:dxf>
              <font>
                <color theme="0"/>
              </font>
              <fill>
                <patternFill>
                  <bgColor rgb="FFFF0000"/>
                </patternFill>
              </fill>
            </x14:dxf>
          </x14:cfRule>
          <xm:sqref>M7:N7</xm:sqref>
        </x14:conditionalFormatting>
        <x14:conditionalFormatting xmlns:xm="http://schemas.microsoft.com/office/excel/2006/main">
          <x14:cfRule type="expression" priority="2" id="{C6F36036-A48E-4B84-A3DD-53A717EE9F79}">
            <xm:f>ISERROR(MATCH(Y7,bibliotheek!$H$14:$K$14,0))=TRUE</xm:f>
            <x14:dxf>
              <font>
                <color theme="0"/>
              </font>
              <fill>
                <patternFill>
                  <bgColor rgb="FFFF0000"/>
                </patternFill>
              </fill>
            </x14:dxf>
          </x14:cfRule>
          <xm:sqref>Y7:Z7</xm:sqref>
        </x14:conditionalFormatting>
        <x14:conditionalFormatting xmlns:xm="http://schemas.microsoft.com/office/excel/2006/main">
          <x14:cfRule type="expression" priority="1" id="{AEA2FDB7-870E-4E2A-A29B-EE3469BBB4A1}">
            <xm:f>ISERROR(MATCH(AJ7,bibliotheek!$H$14:$K$14,0))=TRUE</xm:f>
            <x14:dxf>
              <font>
                <color theme="0"/>
              </font>
              <fill>
                <patternFill>
                  <bgColor rgb="FFFF0000"/>
                </patternFill>
              </fill>
            </x14:dxf>
          </x14:cfRule>
          <xm:sqref>AJ7:AK7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0">
    <tabColor rgb="FF0070C0"/>
    <outlinePr showOutlineSymbols="0"/>
    <pageSetUpPr fitToPage="1"/>
  </sheetPr>
  <dimension ref="B1:BH39"/>
  <sheetViews>
    <sheetView showGridLines="0" showRowColHeaders="0" zoomScaleNormal="100" workbookViewId="0">
      <pane ySplit="3" topLeftCell="A28" activePane="bottomLeft" state="frozen"/>
      <selection pane="bottomLeft" activeCell="E1" sqref="E1"/>
    </sheetView>
  </sheetViews>
  <sheetFormatPr defaultRowHeight="12.75"/>
  <cols>
    <col min="1" max="1" width="0.5703125" customWidth="1"/>
    <col min="2" max="4" width="2.7109375" customWidth="1"/>
    <col min="5" max="5" width="104" style="383" customWidth="1"/>
  </cols>
  <sheetData>
    <row r="1" spans="2:60" s="699" customFormat="1" ht="21">
      <c r="B1" s="693"/>
      <c r="C1" s="693"/>
      <c r="D1" s="693"/>
      <c r="E1" s="1216" t="str">
        <f>disclaimer!$E$7&amp;" - "&amp;"versie "&amp;TEXT(disclaimer!$E$8,"d mmm jjjj")</f>
        <v>Uniforme Maatlat Gebouwde Omgeving 5.3.0 - versie 7 aug 2026</v>
      </c>
      <c r="F1" s="697"/>
      <c r="G1" s="697"/>
      <c r="H1" s="696"/>
      <c r="I1" s="697"/>
      <c r="J1" s="695"/>
      <c r="K1" s="698"/>
      <c r="L1" s="698"/>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2:60" ht="23.25">
      <c r="B2" s="3"/>
      <c r="C2" s="575"/>
      <c r="D2" s="3"/>
      <c r="E2" s="562" t="s">
        <v>21</v>
      </c>
      <c r="F2" s="3"/>
    </row>
    <row r="3" spans="2:60" ht="19.5">
      <c r="B3" s="3"/>
      <c r="C3" s="313"/>
      <c r="D3" s="532"/>
      <c r="E3" s="578"/>
      <c r="F3" s="568"/>
      <c r="G3" s="31"/>
      <c r="H3" s="31"/>
      <c r="I3" s="31"/>
      <c r="J3" s="70"/>
      <c r="K3" s="68"/>
      <c r="L3" s="68"/>
      <c r="M3" s="31"/>
      <c r="N3" s="31"/>
      <c r="O3" s="31"/>
      <c r="P3" s="31"/>
      <c r="Q3" s="31"/>
      <c r="R3" s="31"/>
      <c r="S3" s="31"/>
      <c r="T3" s="4"/>
      <c r="U3" s="4"/>
    </row>
    <row r="4" spans="2:60" s="534" customFormat="1" ht="9" customHeight="1">
      <c r="B4" s="563"/>
      <c r="C4" s="563"/>
      <c r="D4" s="533"/>
      <c r="E4" s="533"/>
      <c r="F4" s="564"/>
      <c r="G4" s="564"/>
      <c r="H4" s="564"/>
      <c r="I4" s="564"/>
      <c r="J4" s="565"/>
      <c r="K4" s="565"/>
      <c r="L4" s="565"/>
      <c r="M4" s="564"/>
      <c r="N4" s="564"/>
      <c r="O4" s="564"/>
      <c r="P4" s="564"/>
      <c r="Q4" s="564"/>
      <c r="R4" s="564"/>
      <c r="S4" s="564"/>
      <c r="T4" s="533"/>
      <c r="U4" s="533"/>
    </row>
    <row r="5" spans="2:60" ht="15.75">
      <c r="B5" s="43"/>
      <c r="C5" s="38"/>
      <c r="D5" s="43"/>
      <c r="E5" s="574" t="s">
        <v>22</v>
      </c>
      <c r="F5" s="43"/>
    </row>
    <row r="6" spans="2:60" ht="242.25">
      <c r="B6" s="43"/>
      <c r="C6" s="39"/>
      <c r="D6" s="43"/>
      <c r="E6" s="576" t="s">
        <v>1363</v>
      </c>
      <c r="F6" s="43"/>
    </row>
    <row r="7" spans="2:60" ht="15.75">
      <c r="B7" s="43"/>
      <c r="C7" s="39"/>
      <c r="D7" s="43"/>
      <c r="E7" s="915" t="s">
        <v>23</v>
      </c>
      <c r="F7" s="43"/>
      <c r="G7" s="231"/>
    </row>
    <row r="8" spans="2:60" ht="15.75">
      <c r="B8" s="43"/>
      <c r="C8" s="43"/>
      <c r="D8" s="43"/>
      <c r="E8" s="382"/>
      <c r="F8" s="43"/>
    </row>
    <row r="9" spans="2:60" ht="15.75">
      <c r="B9" s="43"/>
      <c r="C9" s="38"/>
      <c r="D9" s="43"/>
      <c r="E9" s="574" t="s">
        <v>24</v>
      </c>
      <c r="F9" s="43"/>
      <c r="G9" s="419"/>
    </row>
    <row r="10" spans="2:60" ht="76.5">
      <c r="B10" s="44"/>
      <c r="C10" s="40"/>
      <c r="D10" s="44"/>
      <c r="E10" s="576" t="s">
        <v>1364</v>
      </c>
      <c r="F10" s="44"/>
    </row>
    <row r="11" spans="2:60" ht="15.75">
      <c r="B11" s="43"/>
      <c r="C11" s="43"/>
      <c r="D11" s="43"/>
      <c r="E11" s="382"/>
      <c r="F11" s="43"/>
    </row>
    <row r="12" spans="2:60" ht="15.75">
      <c r="B12" s="43"/>
      <c r="C12" s="38"/>
      <c r="D12" s="43"/>
      <c r="E12" s="574" t="s">
        <v>25</v>
      </c>
      <c r="F12" s="43"/>
      <c r="G12" s="419"/>
    </row>
    <row r="13" spans="2:60" ht="191.25">
      <c r="B13" s="44"/>
      <c r="C13" s="40"/>
      <c r="D13" s="44"/>
      <c r="E13" s="577" t="s">
        <v>1365</v>
      </c>
      <c r="F13" s="44"/>
    </row>
    <row r="14" spans="2:60" ht="15.75">
      <c r="B14" s="43"/>
      <c r="C14" s="43"/>
      <c r="D14" s="43"/>
      <c r="E14" s="382"/>
      <c r="F14" s="43"/>
    </row>
    <row r="15" spans="2:60" ht="15.75">
      <c r="B15" s="43"/>
      <c r="C15" s="38"/>
      <c r="D15" s="43"/>
      <c r="E15" s="574" t="s">
        <v>26</v>
      </c>
      <c r="F15" s="43"/>
      <c r="G15" s="419"/>
    </row>
    <row r="16" spans="2:60" ht="15.75">
      <c r="B16" s="44"/>
      <c r="C16" s="40"/>
      <c r="D16" s="44"/>
      <c r="E16" s="576" t="s">
        <v>27</v>
      </c>
      <c r="F16" s="44"/>
    </row>
    <row r="17" spans="2:7" ht="15.75">
      <c r="B17" s="44"/>
      <c r="C17" s="40"/>
      <c r="D17" s="44"/>
      <c r="E17" s="634" t="s">
        <v>28</v>
      </c>
      <c r="F17" s="44"/>
    </row>
    <row r="18" spans="2:7" ht="15.75">
      <c r="B18" s="44"/>
      <c r="C18" s="40"/>
      <c r="D18" s="44"/>
      <c r="E18" s="635" t="s">
        <v>29</v>
      </c>
      <c r="F18" s="44"/>
    </row>
    <row r="19" spans="2:7" ht="15.75">
      <c r="B19" s="44"/>
      <c r="C19" s="40"/>
      <c r="D19" s="44"/>
      <c r="E19" s="636" t="s">
        <v>30</v>
      </c>
      <c r="F19" s="44"/>
    </row>
    <row r="20" spans="2:7" ht="15.75">
      <c r="B20" s="44"/>
      <c r="C20" s="40"/>
      <c r="D20" s="44"/>
      <c r="E20" s="1217" t="s">
        <v>31</v>
      </c>
      <c r="F20" s="44"/>
    </row>
    <row r="21" spans="2:7" ht="15.75">
      <c r="B21" s="43"/>
      <c r="C21" s="43"/>
      <c r="D21" s="43"/>
      <c r="E21" s="382"/>
      <c r="F21" s="43"/>
    </row>
    <row r="22" spans="2:7" ht="15.75">
      <c r="B22" s="43"/>
      <c r="C22" s="38"/>
      <c r="D22" s="43"/>
      <c r="E22" s="574" t="s">
        <v>32</v>
      </c>
      <c r="F22" s="43"/>
      <c r="G22" s="419"/>
    </row>
    <row r="23" spans="2:7" ht="76.5">
      <c r="B23" s="44"/>
      <c r="C23" s="40"/>
      <c r="D23" s="44"/>
      <c r="E23" s="576" t="s">
        <v>33</v>
      </c>
      <c r="F23" s="44"/>
    </row>
    <row r="24" spans="2:7" ht="15.75">
      <c r="B24" s="43"/>
      <c r="C24" s="43"/>
      <c r="D24" s="43"/>
      <c r="E24" s="382"/>
      <c r="F24" s="43"/>
    </row>
    <row r="25" spans="2:7" ht="15.75">
      <c r="B25" s="43"/>
      <c r="C25" s="38"/>
      <c r="D25" s="43"/>
      <c r="E25" s="574" t="s">
        <v>34</v>
      </c>
      <c r="F25" s="43"/>
    </row>
    <row r="26" spans="2:7" ht="242.25">
      <c r="B26" s="43"/>
      <c r="C26" s="40"/>
      <c r="D26" s="43"/>
      <c r="E26" s="576" t="s">
        <v>35</v>
      </c>
      <c r="F26" s="43"/>
    </row>
    <row r="27" spans="2:7" ht="15.75">
      <c r="B27" s="43"/>
      <c r="C27" s="43"/>
      <c r="D27" s="43"/>
      <c r="E27" s="382"/>
      <c r="F27" s="43"/>
    </row>
    <row r="28" spans="2:7" ht="15.75">
      <c r="B28" s="43"/>
      <c r="C28" s="42"/>
      <c r="D28" s="43"/>
      <c r="E28" s="574" t="s">
        <v>36</v>
      </c>
      <c r="F28" s="43"/>
    </row>
    <row r="29" spans="2:7" ht="51">
      <c r="B29" s="43"/>
      <c r="C29" s="41"/>
      <c r="D29" s="43"/>
      <c r="E29" s="576" t="s">
        <v>37</v>
      </c>
      <c r="F29" s="43"/>
    </row>
    <row r="30" spans="2:7" ht="15.75">
      <c r="B30" s="43"/>
      <c r="C30" s="43"/>
      <c r="D30" s="43"/>
      <c r="E30" s="382"/>
      <c r="F30" s="43"/>
    </row>
    <row r="31" spans="2:7" ht="15.75">
      <c r="B31" s="43"/>
      <c r="C31" s="42"/>
      <c r="D31" s="43"/>
      <c r="E31" s="574" t="s">
        <v>38</v>
      </c>
      <c r="F31" s="43"/>
    </row>
    <row r="32" spans="2:7" ht="38.25">
      <c r="B32" s="43"/>
      <c r="C32" s="41"/>
      <c r="D32" s="43"/>
      <c r="E32" s="576" t="s">
        <v>39</v>
      </c>
      <c r="F32" s="43"/>
    </row>
    <row r="33" spans="2:7" ht="63.75">
      <c r="B33" s="43"/>
      <c r="C33" s="41"/>
      <c r="D33" s="43"/>
      <c r="E33" s="576" t="s">
        <v>40</v>
      </c>
      <c r="F33" s="43"/>
    </row>
    <row r="34" spans="2:7" ht="15.75">
      <c r="B34" s="43"/>
      <c r="C34" s="37"/>
      <c r="D34" s="43"/>
      <c r="E34" s="382"/>
      <c r="F34" s="43"/>
    </row>
    <row r="35" spans="2:7" ht="15.75">
      <c r="B35" s="43"/>
      <c r="C35" s="42"/>
      <c r="D35" s="43"/>
      <c r="E35" s="574" t="s">
        <v>41</v>
      </c>
      <c r="F35" s="43"/>
    </row>
    <row r="36" spans="2:7" ht="38.25">
      <c r="B36" s="43"/>
      <c r="C36" s="41"/>
      <c r="D36" s="43"/>
      <c r="E36" s="576" t="s">
        <v>42</v>
      </c>
      <c r="F36" s="43"/>
    </row>
    <row r="37" spans="2:7" ht="15.75">
      <c r="B37" s="43"/>
      <c r="C37" s="37"/>
      <c r="D37" s="43"/>
      <c r="E37" s="382"/>
      <c r="F37" s="43"/>
    </row>
    <row r="38" spans="2:7" ht="15.75">
      <c r="B38" s="43"/>
      <c r="C38" s="38"/>
      <c r="D38" s="43"/>
      <c r="E38" s="574" t="s">
        <v>43</v>
      </c>
      <c r="F38" s="43"/>
      <c r="G38" s="419"/>
    </row>
    <row r="39" spans="2:7" ht="38.25">
      <c r="B39" s="43"/>
      <c r="C39" s="41"/>
      <c r="D39" s="43"/>
      <c r="E39" s="576" t="s">
        <v>44</v>
      </c>
      <c r="F39" s="43"/>
    </row>
  </sheetData>
  <sheetProtection algorithmName="SHA-512" hashValue="9BLqifzmskYqfm7Fa0kD2ioDqaiE4lyk/KEsbGzfHG6rsYkYIWOab5SJLulmFfoW2vZEQspE31ToeL0hqG3gPw==" saltValue="fZ5rDsBOWlDLFHo3mkcy9g==" spinCount="100000" sheet="1" objects="1" scenarios="1" formatColumns="0" autoFilter="0"/>
  <phoneticPr fontId="4" type="noConversion"/>
  <hyperlinks>
    <hyperlink ref="E7" r:id="rId1" xr:uid="{A1A8C231-69DE-400F-BB3A-2FF5DA8C3C05}"/>
  </hyperlinks>
  <pageMargins left="0.25" right="0.25" top="0.75" bottom="0.75" header="0.3" footer="0.3"/>
  <pageSetup paperSize="9" scale="91" fitToHeight="0" orientation="portrait" r:id="rId2"/>
  <headerFooter>
    <oddFooter>&amp;L_x000D_&amp;1#&amp;"Aptos"&amp;10&amp;K000000 Intern gebruik</oddFooter>
  </headerFooter>
  <rowBreaks count="2" manualBreakCount="2">
    <brk id="24" min="2" max="2" man="1"/>
    <brk id="30" min="2" max="2"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91CDE-CC8F-4275-81BF-B5F9CB14A7EE}">
  <sheetPr codeName="Blad2">
    <tabColor theme="6" tint="0.59999389629810485"/>
    <outlinePr showOutlineSymbols="0"/>
    <pageSetUpPr fitToPage="1"/>
  </sheetPr>
  <dimension ref="A1:BH78"/>
  <sheetViews>
    <sheetView showGridLines="0" showRowColHeaders="0" zoomScaleNormal="100" workbookViewId="0">
      <pane xSplit="11" ySplit="13" topLeftCell="L73" activePane="bottomRight" state="frozen"/>
      <selection pane="topRight" activeCell="L1" sqref="L1"/>
      <selection pane="bottomLeft" activeCell="A14" sqref="A14"/>
      <selection pane="bottomRight" activeCell="F84" sqref="F84"/>
    </sheetView>
  </sheetViews>
  <sheetFormatPr defaultRowHeight="15.75"/>
  <cols>
    <col min="1" max="1" width="0.5703125" style="535" customWidth="1"/>
    <col min="2" max="3" width="2.7109375" customWidth="1"/>
    <col min="4" max="4" width="2.7109375" style="732" customWidth="1"/>
    <col min="5" max="6" width="31.5703125" customWidth="1"/>
    <col min="7" max="7" width="20.7109375" customWidth="1"/>
    <col min="8" max="9" width="0.28515625" customWidth="1"/>
    <col min="10" max="10" width="15.7109375" customWidth="1"/>
    <col min="11" max="11" width="0.28515625" customWidth="1"/>
    <col min="12" max="20" width="15.7109375" customWidth="1"/>
    <col min="21" max="21" width="1" customWidth="1"/>
  </cols>
  <sheetData>
    <row r="1" spans="1:60" s="699" customFormat="1" ht="21">
      <c r="A1" s="693"/>
      <c r="B1" s="693"/>
      <c r="C1" s="693"/>
      <c r="D1" s="723"/>
      <c r="E1" s="1216" t="str">
        <f>disclaimer!$E$7&amp;" - "&amp;"versie "&amp;TEXT(disclaimer!$E$8,"d mmm jjjj")</f>
        <v>Uniforme Maatlat Gebouwde Omgeving 5.3.0 - versie 7 aug 2026</v>
      </c>
      <c r="F1" s="697"/>
      <c r="G1" s="697"/>
      <c r="H1" s="696"/>
      <c r="I1" s="697"/>
      <c r="J1" s="695"/>
      <c r="K1" s="698"/>
      <c r="L1" s="698"/>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1:60" ht="23.25">
      <c r="B2" s="59"/>
      <c r="C2" s="59"/>
      <c r="D2" s="645" t="s">
        <v>45</v>
      </c>
      <c r="E2" s="562" t="s">
        <v>46</v>
      </c>
      <c r="F2" s="4"/>
      <c r="G2" s="677" t="str">
        <f>IF(ISERROR(SUM(J11:J12))=TRUE,"controleer invoer","")</f>
        <v/>
      </c>
      <c r="H2" s="4"/>
      <c r="I2" s="9"/>
      <c r="J2" s="63"/>
      <c r="K2" s="63"/>
      <c r="L2" s="63"/>
      <c r="M2" s="63"/>
      <c r="N2" s="63"/>
      <c r="O2" s="62"/>
      <c r="P2" s="61"/>
      <c r="Q2" s="61"/>
      <c r="R2" s="61"/>
      <c r="S2" s="61"/>
      <c r="T2" s="61"/>
      <c r="U2" s="61"/>
    </row>
    <row r="3" spans="1:60">
      <c r="B3" s="33"/>
      <c r="C3" s="33"/>
      <c r="D3" s="34"/>
      <c r="E3" s="720" t="s">
        <v>47</v>
      </c>
      <c r="F3" s="1254"/>
      <c r="G3" s="1255"/>
      <c r="H3" s="5"/>
      <c r="I3" s="15"/>
      <c r="J3" s="64"/>
      <c r="K3" s="64"/>
      <c r="L3" s="64"/>
      <c r="M3" s="64"/>
      <c r="N3" s="64"/>
      <c r="O3" s="64"/>
      <c r="P3" s="64"/>
      <c r="Q3" s="64"/>
      <c r="R3" s="64"/>
      <c r="S3" s="64"/>
      <c r="T3" s="64"/>
      <c r="U3" s="64"/>
    </row>
    <row r="4" spans="1:60" ht="15.75" customHeight="1">
      <c r="B4" s="1256" t="s">
        <v>48</v>
      </c>
      <c r="C4" s="32"/>
      <c r="D4" s="60"/>
      <c r="E4" s="721" t="s">
        <v>49</v>
      </c>
      <c r="F4" s="1257"/>
      <c r="G4" s="1258"/>
      <c r="H4" s="4"/>
      <c r="I4" s="9"/>
      <c r="J4" s="61"/>
      <c r="K4" s="61"/>
      <c r="L4" s="61"/>
      <c r="M4" s="61"/>
      <c r="N4" s="61"/>
      <c r="O4" s="61"/>
      <c r="P4" s="61"/>
      <c r="Q4" s="61"/>
      <c r="R4" s="61"/>
      <c r="S4" s="61"/>
      <c r="T4" s="61"/>
      <c r="U4" s="61"/>
    </row>
    <row r="5" spans="1:60" ht="15.75" customHeight="1">
      <c r="B5" s="1256"/>
      <c r="C5" s="32"/>
      <c r="D5" s="34"/>
      <c r="E5" s="722" t="s">
        <v>50</v>
      </c>
      <c r="F5" s="1259"/>
      <c r="G5" s="1260"/>
      <c r="H5" s="4"/>
      <c r="I5" s="9"/>
      <c r="J5" s="61"/>
      <c r="K5" s="61"/>
      <c r="L5" s="61"/>
      <c r="M5" s="61"/>
      <c r="N5" s="61"/>
      <c r="O5" s="61"/>
      <c r="P5" s="61"/>
      <c r="Q5" s="61"/>
      <c r="R5" s="61"/>
      <c r="S5" s="61"/>
      <c r="T5" s="61"/>
      <c r="U5" s="61"/>
    </row>
    <row r="6" spans="1:60" s="534" customFormat="1" ht="9" customHeight="1">
      <c r="A6" s="571"/>
      <c r="B6" s="1256"/>
      <c r="C6" s="533"/>
      <c r="D6" s="728"/>
      <c r="E6" s="564"/>
      <c r="F6" s="564"/>
      <c r="G6" s="564"/>
      <c r="H6" s="564"/>
      <c r="I6" s="565"/>
      <c r="J6" s="565"/>
      <c r="K6" s="565"/>
      <c r="L6" s="564"/>
      <c r="M6" s="564"/>
      <c r="N6" s="564"/>
      <c r="O6" s="564"/>
      <c r="P6" s="564"/>
      <c r="Q6" s="564"/>
      <c r="R6" s="564"/>
      <c r="S6" s="564"/>
      <c r="T6" s="533"/>
      <c r="U6" s="533"/>
    </row>
    <row r="7" spans="1:60" ht="19.5">
      <c r="A7" s="579"/>
      <c r="B7" s="313"/>
      <c r="C7" s="532"/>
      <c r="D7" s="639" t="s">
        <v>45</v>
      </c>
      <c r="E7" s="568"/>
      <c r="F7" s="31"/>
      <c r="G7" s="31"/>
      <c r="H7" s="31"/>
      <c r="I7" s="70"/>
      <c r="J7" s="68"/>
      <c r="K7" s="68"/>
      <c r="L7" s="31"/>
      <c r="M7" s="31"/>
      <c r="N7" s="31"/>
      <c r="O7" s="31"/>
      <c r="P7" s="31"/>
      <c r="Q7" s="31"/>
      <c r="R7" s="31"/>
      <c r="S7" s="31"/>
      <c r="T7" s="4"/>
      <c r="U7" s="4"/>
    </row>
    <row r="8" spans="1:60" s="534" customFormat="1" ht="9" customHeight="1">
      <c r="A8" s="571"/>
      <c r="B8" s="563"/>
      <c r="C8" s="533"/>
      <c r="D8" s="728"/>
      <c r="E8" s="564"/>
      <c r="F8" s="564"/>
      <c r="G8" s="564"/>
      <c r="H8" s="564"/>
      <c r="I8" s="565"/>
      <c r="J8" s="565"/>
      <c r="K8" s="565"/>
      <c r="L8" s="564"/>
      <c r="M8" s="564"/>
      <c r="N8" s="564"/>
      <c r="O8" s="564"/>
      <c r="P8" s="564"/>
      <c r="Q8" s="564"/>
      <c r="R8" s="564"/>
      <c r="S8" s="564"/>
      <c r="T8" s="533"/>
      <c r="U8" s="533"/>
    </row>
    <row r="9" spans="1:60" ht="21">
      <c r="B9" s="570" t="s">
        <v>51</v>
      </c>
      <c r="C9" s="36"/>
      <c r="D9" s="729"/>
      <c r="E9" s="209" t="s">
        <v>52</v>
      </c>
      <c r="F9" s="1253"/>
      <c r="G9" s="1253"/>
      <c r="H9" s="69"/>
      <c r="I9" s="66"/>
      <c r="J9" s="256" t="s">
        <v>53</v>
      </c>
      <c r="K9" s="66"/>
      <c r="L9" s="373" t="s">
        <v>54</v>
      </c>
      <c r="M9" s="373" t="s">
        <v>55</v>
      </c>
    </row>
    <row r="10" spans="1:60" ht="18.75">
      <c r="B10" s="570" t="s">
        <v>51</v>
      </c>
      <c r="C10" s="406"/>
      <c r="D10" s="730" t="s">
        <v>56</v>
      </c>
      <c r="E10" s="195" t="s">
        <v>57</v>
      </c>
      <c r="F10" s="195"/>
      <c r="G10" s="195"/>
      <c r="H10" s="78"/>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c r="AZ10" s="195"/>
      <c r="BA10" s="195"/>
      <c r="BB10" s="36"/>
      <c r="BC10" s="36"/>
      <c r="BD10" s="229"/>
    </row>
    <row r="11" spans="1:60" s="36" customFormat="1">
      <c r="A11" s="535"/>
      <c r="B11" s="570" t="s">
        <v>51</v>
      </c>
      <c r="D11" s="729"/>
      <c r="E11" s="149" t="s">
        <v>58</v>
      </c>
      <c r="F11" s="149"/>
      <c r="G11" s="150" t="s">
        <v>59</v>
      </c>
      <c r="H11" s="66"/>
      <c r="I11" s="405"/>
      <c r="J11" s="190">
        <f>SUM(K11:U11)</f>
        <v>0</v>
      </c>
      <c r="K11" s="405"/>
      <c r="L11" s="396">
        <f>J22+J38+J54+J70</f>
        <v>0</v>
      </c>
      <c r="M11" s="396">
        <f>J23+J39+J55+J71</f>
        <v>0</v>
      </c>
    </row>
    <row r="12" spans="1:60" s="36" customFormat="1">
      <c r="A12" s="535"/>
      <c r="B12" s="570" t="s">
        <v>51</v>
      </c>
      <c r="D12" s="729"/>
      <c r="E12" s="149" t="s">
        <v>60</v>
      </c>
      <c r="F12" s="149"/>
      <c r="G12" s="150" t="s">
        <v>61</v>
      </c>
      <c r="H12" s="66"/>
      <c r="I12" s="405"/>
      <c r="J12" s="190">
        <f>SUM(K12:U12)</f>
        <v>0</v>
      </c>
      <c r="K12" s="405"/>
      <c r="L12" s="396">
        <f>SUMPRODUCT(K22:U22,$K$24:$U$24)+SUMPRODUCT(K38:U38,$K$40:$U$40)+SUMPRODUCT(K54:U54,$K$56:$U$56)+SUMPRODUCT(K70:U70,$K$72:$U$72)</f>
        <v>0</v>
      </c>
      <c r="M12" s="396">
        <f>SUMPRODUCT(K23:U23,$K$24:$U$24)+SUMPRODUCT(K39:U39,$K$40:$U$40)+SUMPRODUCT(K55:U55,$K$56:$U$56)+SUMPRODUCT(K71:U71,$K$72:$U$72)</f>
        <v>0</v>
      </c>
    </row>
    <row r="13" spans="1:60">
      <c r="B13" s="570" t="s">
        <v>51</v>
      </c>
      <c r="C13" s="36"/>
      <c r="D13" s="729"/>
      <c r="E13" s="36"/>
      <c r="F13" s="36"/>
      <c r="G13" s="36"/>
      <c r="H13" s="36"/>
      <c r="I13" s="36"/>
      <c r="J13" s="65"/>
      <c r="K13" s="36"/>
      <c r="L13" s="65"/>
      <c r="M13" s="65"/>
      <c r="N13" s="65"/>
      <c r="O13" s="65"/>
      <c r="P13" s="65"/>
      <c r="Q13" s="65"/>
      <c r="R13" s="65"/>
      <c r="S13" s="65"/>
      <c r="T13" s="65"/>
      <c r="U13" s="65"/>
    </row>
    <row r="14" spans="1:60">
      <c r="B14" s="570" t="s">
        <v>62</v>
      </c>
      <c r="C14" s="36"/>
      <c r="D14" s="729"/>
      <c r="E14" s="36"/>
      <c r="F14" s="36"/>
      <c r="G14" s="36"/>
      <c r="H14" s="36"/>
      <c r="I14" s="36"/>
      <c r="J14" s="65"/>
      <c r="K14" s="36"/>
      <c r="L14" s="65"/>
      <c r="M14" s="65"/>
      <c r="N14" s="65"/>
      <c r="O14" s="65"/>
      <c r="P14" s="65"/>
      <c r="Q14" s="65"/>
      <c r="R14" s="65"/>
      <c r="S14" s="65"/>
      <c r="T14" s="65"/>
      <c r="U14" s="65"/>
    </row>
    <row r="15" spans="1:60" ht="21">
      <c r="B15" s="570" t="s">
        <v>62</v>
      </c>
      <c r="C15" s="36"/>
      <c r="D15" s="729"/>
      <c r="E15" s="209" t="s">
        <v>62</v>
      </c>
      <c r="F15" s="1253"/>
      <c r="G15" s="1253"/>
      <c r="H15" s="69"/>
      <c r="I15" s="66"/>
      <c r="J15" s="256" t="s">
        <v>53</v>
      </c>
      <c r="K15" s="66"/>
      <c r="L15" s="373">
        <f ca="1">OFFSET(L15,0,-1)+1</f>
        <v>1</v>
      </c>
      <c r="M15" s="373">
        <f t="shared" ref="M15:T15" ca="1" si="0">OFFSET(M15,0,-1)+1</f>
        <v>2</v>
      </c>
      <c r="N15" s="373">
        <f t="shared" ca="1" si="0"/>
        <v>3</v>
      </c>
      <c r="O15" s="373">
        <f t="shared" ca="1" si="0"/>
        <v>4</v>
      </c>
      <c r="P15" s="373">
        <f t="shared" ca="1" si="0"/>
        <v>5</v>
      </c>
      <c r="Q15" s="373">
        <f t="shared" ca="1" si="0"/>
        <v>6</v>
      </c>
      <c r="R15" s="373">
        <f t="shared" ca="1" si="0"/>
        <v>7</v>
      </c>
      <c r="S15" s="373">
        <f t="shared" ca="1" si="0"/>
        <v>8</v>
      </c>
      <c r="T15" s="373">
        <f t="shared" ca="1" si="0"/>
        <v>9</v>
      </c>
      <c r="U15" s="66"/>
    </row>
    <row r="16" spans="1:60" ht="18.75">
      <c r="B16" s="570" t="s">
        <v>62</v>
      </c>
      <c r="C16" s="406"/>
      <c r="D16" s="730" t="s">
        <v>56</v>
      </c>
      <c r="E16" s="195" t="s">
        <v>63</v>
      </c>
      <c r="F16" s="195"/>
      <c r="G16" s="195"/>
      <c r="H16" s="78"/>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5"/>
      <c r="AV16" s="195"/>
      <c r="AW16" s="195"/>
      <c r="AX16" s="195"/>
      <c r="AY16" s="195"/>
      <c r="AZ16" s="195"/>
      <c r="BA16" s="195"/>
      <c r="BB16" s="36"/>
      <c r="BC16" s="36"/>
      <c r="BD16" s="229"/>
    </row>
    <row r="17" spans="1:56" s="2" customFormat="1">
      <c r="A17" s="536"/>
      <c r="B17" s="570" t="s">
        <v>62</v>
      </c>
      <c r="D17" s="731"/>
      <c r="E17" s="180" t="s">
        <v>64</v>
      </c>
      <c r="F17" s="180"/>
      <c r="G17" s="181" t="s">
        <v>65</v>
      </c>
      <c r="H17" s="4"/>
      <c r="I17" s="409"/>
      <c r="J17" s="554"/>
      <c r="K17" s="409"/>
      <c r="L17" s="1252"/>
      <c r="M17" s="1252"/>
      <c r="N17" s="1252"/>
      <c r="O17" s="1252"/>
      <c r="P17" s="1252"/>
      <c r="Q17" s="1252"/>
      <c r="R17" s="1252"/>
      <c r="S17" s="1252"/>
      <c r="T17" s="1252"/>
      <c r="U17" s="555"/>
    </row>
    <row r="18" spans="1:56" s="2" customFormat="1">
      <c r="A18" s="536"/>
      <c r="B18" s="570" t="s">
        <v>62</v>
      </c>
      <c r="D18" s="642" t="s">
        <v>45</v>
      </c>
      <c r="E18" s="180" t="s">
        <v>66</v>
      </c>
      <c r="F18" s="180"/>
      <c r="G18" s="181" t="s">
        <v>65</v>
      </c>
      <c r="H18" s="4"/>
      <c r="I18" s="409"/>
      <c r="J18" s="554"/>
      <c r="K18" s="409"/>
      <c r="L18" s="902"/>
      <c r="M18" s="902"/>
      <c r="N18" s="902"/>
      <c r="O18" s="902"/>
      <c r="P18" s="902"/>
      <c r="Q18" s="902"/>
      <c r="R18" s="902"/>
      <c r="S18" s="902"/>
      <c r="T18" s="902"/>
      <c r="U18" s="555"/>
    </row>
    <row r="19" spans="1:56" s="2" customFormat="1">
      <c r="A19" s="536"/>
      <c r="B19" s="570"/>
      <c r="D19" s="731"/>
      <c r="E19" s="255" t="s">
        <v>68</v>
      </c>
      <c r="F19" s="180"/>
      <c r="G19" s="181" t="s">
        <v>65</v>
      </c>
      <c r="H19" s="4"/>
      <c r="I19" s="409"/>
      <c r="J19" s="554"/>
      <c r="K19" s="409"/>
      <c r="L19" s="609" t="str">
        <f>IF(L18="","",INDEX(bibliotheek!$H$21:$FC$21,MATCH(L18,woningen_gebouwen_namen,0)))</f>
        <v/>
      </c>
      <c r="M19" s="609" t="str">
        <f>IF(M18="","",INDEX(bibliotheek!$H$21:$FC$21,MATCH(M18,woningen_gebouwen_namen,0)))</f>
        <v/>
      </c>
      <c r="N19" s="609" t="str">
        <f>IF(N18="","",INDEX(bibliotheek!$H$21:$FC$21,MATCH(N18,woningen_gebouwen_namen,0)))</f>
        <v/>
      </c>
      <c r="O19" s="609" t="str">
        <f>IF(O18="","",INDEX(bibliotheek!$H$21:$FC$21,MATCH(O18,woningen_gebouwen_namen,0)))</f>
        <v/>
      </c>
      <c r="P19" s="609" t="str">
        <f>IF(P18="","",INDEX(bibliotheek!$H$21:$FC$21,MATCH(P18,woningen_gebouwen_namen,0)))</f>
        <v/>
      </c>
      <c r="Q19" s="609" t="str">
        <f>IF(Q18="","",INDEX(bibliotheek!$H$21:$FC$21,MATCH(Q18,woningen_gebouwen_namen,0)))</f>
        <v/>
      </c>
      <c r="R19" s="609" t="str">
        <f>IF(R18="","",INDEX(bibliotheek!$H$21:$FC$21,MATCH(R18,woningen_gebouwen_namen,0)))</f>
        <v/>
      </c>
      <c r="S19" s="609" t="str">
        <f>IF(S18="","",INDEX(bibliotheek!$H$21:$FC$21,MATCH(S18,woningen_gebouwen_namen,0)))</f>
        <v/>
      </c>
      <c r="T19" s="609" t="str">
        <f>IF(T18="","",INDEX(bibliotheek!$H$21:$FC$21,MATCH(T18,woningen_gebouwen_namen,0)))</f>
        <v/>
      </c>
      <c r="U19" s="555"/>
    </row>
    <row r="20" spans="1:56" s="2" customFormat="1">
      <c r="A20" s="536"/>
      <c r="B20" s="570" t="s">
        <v>62</v>
      </c>
      <c r="D20" s="731"/>
      <c r="E20" s="1218" t="s">
        <v>69</v>
      </c>
      <c r="F20" s="180"/>
      <c r="G20" s="181" t="s">
        <v>65</v>
      </c>
      <c r="H20" s="4"/>
      <c r="I20" s="409"/>
      <c r="J20" s="554"/>
      <c r="K20" s="409"/>
      <c r="L20" s="608"/>
      <c r="M20" s="608"/>
      <c r="N20" s="608"/>
      <c r="O20" s="608"/>
      <c r="P20" s="608"/>
      <c r="Q20" s="608"/>
      <c r="R20" s="608"/>
      <c r="S20" s="608"/>
      <c r="T20" s="608"/>
      <c r="U20" s="555"/>
    </row>
    <row r="21" spans="1:56" s="2" customFormat="1">
      <c r="A21" s="536"/>
      <c r="B21" s="570" t="s">
        <v>62</v>
      </c>
      <c r="D21" s="731"/>
      <c r="E21" s="180" t="s">
        <v>70</v>
      </c>
      <c r="F21" s="180"/>
      <c r="G21" s="181" t="s">
        <v>59</v>
      </c>
      <c r="H21" s="4"/>
      <c r="I21" s="13"/>
      <c r="J21" s="190">
        <f>J22+J23</f>
        <v>0</v>
      </c>
      <c r="K21" s="409"/>
      <c r="L21" s="267"/>
      <c r="M21" s="267"/>
      <c r="N21" s="267"/>
      <c r="O21" s="267"/>
      <c r="P21" s="267"/>
      <c r="Q21" s="267"/>
      <c r="R21" s="267"/>
      <c r="S21" s="267"/>
      <c r="T21" s="267"/>
      <c r="U21" s="410"/>
    </row>
    <row r="22" spans="1:56" s="2" customFormat="1">
      <c r="A22" s="536"/>
      <c r="B22" s="570" t="s">
        <v>62</v>
      </c>
      <c r="D22" s="731"/>
      <c r="E22" s="254" t="s">
        <v>71</v>
      </c>
      <c r="F22" s="254"/>
      <c r="G22" s="291" t="s">
        <v>72</v>
      </c>
      <c r="H22" s="4"/>
      <c r="I22" s="13"/>
      <c r="J22" s="190">
        <f>SUM(K22:U22)</f>
        <v>0</v>
      </c>
      <c r="K22" s="409"/>
      <c r="L22" s="556" t="str">
        <f>IF(L18="","",IF(OR(HLOOKUP(L18,woningen_gebouwen_gegevens,ROWS(bibliotheek!$E$20:$E$21),FALSE)=woning,HLOOKUP(L18,woningen_gebouwen_gegevens,ROWS(bibliotheek!$E$20:$E$21),FALSE)=woongebouw),L21,0))</f>
        <v/>
      </c>
      <c r="M22" s="556" t="str">
        <f>IF(M18="","",IF(OR(HLOOKUP(M18,woningen_gebouwen_gegevens,ROWS(bibliotheek!$E$20:$E$21),FALSE)=woning,HLOOKUP(M18,woningen_gebouwen_gegevens,ROWS(bibliotheek!$E$20:$E$21),FALSE)=woongebouw),M21,0))</f>
        <v/>
      </c>
      <c r="N22" s="556" t="str">
        <f>IF(N18="","",IF(OR(HLOOKUP(N18,woningen_gebouwen_gegevens,ROWS(bibliotheek!$E$20:$E$21),FALSE)=woning,HLOOKUP(N18,woningen_gebouwen_gegevens,ROWS(bibliotheek!$E$20:$E$21),FALSE)=woongebouw),N21,0))</f>
        <v/>
      </c>
      <c r="O22" s="556" t="str">
        <f>IF(O18="","",IF(OR(HLOOKUP(O18,woningen_gebouwen_gegevens,ROWS(bibliotheek!$E$20:$E$21),FALSE)=woning,HLOOKUP(O18,woningen_gebouwen_gegevens,ROWS(bibliotheek!$E$20:$E$21),FALSE)=woongebouw),O21,0))</f>
        <v/>
      </c>
      <c r="P22" s="556" t="str">
        <f>IF(P18="","",IF(OR(HLOOKUP(P18,woningen_gebouwen_gegevens,ROWS(bibliotheek!$E$20:$E$21),FALSE)=woning,HLOOKUP(P18,woningen_gebouwen_gegevens,ROWS(bibliotheek!$E$20:$E$21),FALSE)=woongebouw),P21,0))</f>
        <v/>
      </c>
      <c r="Q22" s="556" t="str">
        <f>IF(Q18="","",IF(OR(HLOOKUP(Q18,woningen_gebouwen_gegevens,ROWS(bibliotheek!$E$20:$E$21),FALSE)=woning,HLOOKUP(Q18,woningen_gebouwen_gegevens,ROWS(bibliotheek!$E$20:$E$21),FALSE)=woongebouw),Q21,0))</f>
        <v/>
      </c>
      <c r="R22" s="556" t="str">
        <f>IF(R18="","",IF(OR(HLOOKUP(R18,woningen_gebouwen_gegevens,ROWS(bibliotheek!$E$20:$E$21),FALSE)=woning,HLOOKUP(R18,woningen_gebouwen_gegevens,ROWS(bibliotheek!$E$20:$E$21),FALSE)=woongebouw),R21,0))</f>
        <v/>
      </c>
      <c r="S22" s="556" t="str">
        <f>IF(S18="","",IF(OR(HLOOKUP(S18,woningen_gebouwen_gegevens,ROWS(bibliotheek!$E$20:$E$21),FALSE)=woning,HLOOKUP(S18,woningen_gebouwen_gegevens,ROWS(bibliotheek!$E$20:$E$21),FALSE)=woongebouw),S21,0))</f>
        <v/>
      </c>
      <c r="T22" s="556" t="str">
        <f>IF(T18="","",IF(OR(HLOOKUP(T18,woningen_gebouwen_gegevens,ROWS(bibliotheek!$E$20:$E$21),FALSE)=woning,HLOOKUP(T18,woningen_gebouwen_gegevens,ROWS(bibliotheek!$E$20:$E$21),FALSE)=woongebouw),T21,0))</f>
        <v/>
      </c>
      <c r="U22" s="410"/>
    </row>
    <row r="23" spans="1:56" s="2" customFormat="1">
      <c r="A23" s="536"/>
      <c r="B23" s="570" t="s">
        <v>62</v>
      </c>
      <c r="D23" s="731"/>
      <c r="E23" s="254" t="s">
        <v>73</v>
      </c>
      <c r="F23" s="254"/>
      <c r="G23" s="291" t="s">
        <v>74</v>
      </c>
      <c r="H23" s="4"/>
      <c r="I23" s="13"/>
      <c r="J23" s="190">
        <f>SUM(K23:U23)</f>
        <v>0</v>
      </c>
      <c r="K23" s="409"/>
      <c r="L23" s="397" t="str">
        <f>IF(L18="","""",L21-L22)</f>
        <v>"</v>
      </c>
      <c r="M23" s="397" t="str">
        <f t="shared" ref="M23:T23" si="1">IF(M18="","""",M21-M22)</f>
        <v>"</v>
      </c>
      <c r="N23" s="397" t="str">
        <f t="shared" si="1"/>
        <v>"</v>
      </c>
      <c r="O23" s="397" t="str">
        <f t="shared" si="1"/>
        <v>"</v>
      </c>
      <c r="P23" s="397" t="str">
        <f t="shared" si="1"/>
        <v>"</v>
      </c>
      <c r="Q23" s="397" t="str">
        <f t="shared" si="1"/>
        <v>"</v>
      </c>
      <c r="R23" s="397" t="str">
        <f t="shared" si="1"/>
        <v>"</v>
      </c>
      <c r="S23" s="397" t="str">
        <f>IF(S18="","""",S21-S22)</f>
        <v>"</v>
      </c>
      <c r="T23" s="397" t="str">
        <f t="shared" si="1"/>
        <v>"</v>
      </c>
      <c r="U23" s="410"/>
    </row>
    <row r="24" spans="1:56" s="2" customFormat="1">
      <c r="A24" s="536"/>
      <c r="B24" s="570" t="s">
        <v>62</v>
      </c>
      <c r="D24" s="731"/>
      <c r="E24" s="254" t="s">
        <v>75</v>
      </c>
      <c r="F24" s="254"/>
      <c r="G24" s="291" t="s">
        <v>76</v>
      </c>
      <c r="J24" s="189">
        <f>SUMPRODUCT(K21:U21,K24:U24)</f>
        <v>0</v>
      </c>
      <c r="L24" s="384" t="str">
        <f>IF(L18="","",IF(L25&lt;&gt;"",L25,HLOOKUP(L18,woningen_gebouwen_gegevens,ROWS(bibliotheek!$E$20:$E$23),FALSE)))</f>
        <v/>
      </c>
      <c r="M24" s="384" t="str">
        <f>IF(M18="","",IF(M25&lt;&gt;"",M25,HLOOKUP(M18,woningen_gebouwen_gegevens,ROWS(bibliotheek!$E$20:$E$23),FALSE)))</f>
        <v/>
      </c>
      <c r="N24" s="384" t="str">
        <f>IF(N18="","",IF(N25&lt;&gt;"",N25,HLOOKUP(N18,woningen_gebouwen_gegevens,ROWS(bibliotheek!$E$20:$E$23),FALSE)))</f>
        <v/>
      </c>
      <c r="O24" s="384" t="str">
        <f>IF(O18="","",IF(O25&lt;&gt;"",O25,HLOOKUP(O18,woningen_gebouwen_gegevens,ROWS(bibliotheek!$E$20:$E$23),FALSE)))</f>
        <v/>
      </c>
      <c r="P24" s="384" t="str">
        <f>IF(P18="","",IF(P25&lt;&gt;"",P25,HLOOKUP(P18,woningen_gebouwen_gegevens,ROWS(bibliotheek!$E$20:$E$23),FALSE)))</f>
        <v/>
      </c>
      <c r="Q24" s="384" t="str">
        <f>IF(Q18="","",IF(Q25&lt;&gt;"",Q25,HLOOKUP(Q18,woningen_gebouwen_gegevens,ROWS(bibliotheek!$E$20:$E$23),FALSE)))</f>
        <v/>
      </c>
      <c r="R24" s="384" t="str">
        <f>IF(R18="","",IF(R25&lt;&gt;"",R25,HLOOKUP(R18,woningen_gebouwen_gegevens,ROWS(bibliotheek!$E$20:$E$23),FALSE)))</f>
        <v/>
      </c>
      <c r="S24" s="384" t="str">
        <f>IF(S18="","",IF(S25&lt;&gt;"",S25,HLOOKUP(S18,woningen_gebouwen_gegevens,ROWS(bibliotheek!$E$20:$E$23),FALSE)))</f>
        <v/>
      </c>
      <c r="T24" s="384" t="str">
        <f>IF(T18="","",IF(T25&lt;&gt;"",T25,HLOOKUP(T18,woningen_gebouwen_gegevens,ROWS(bibliotheek!$E$20:$E$23),FALSE)))</f>
        <v/>
      </c>
      <c r="U24" s="374"/>
    </row>
    <row r="25" spans="1:56" s="2" customFormat="1">
      <c r="A25" s="536"/>
      <c r="B25" s="570" t="s">
        <v>62</v>
      </c>
      <c r="D25" s="731"/>
      <c r="E25" s="1218" t="s">
        <v>77</v>
      </c>
      <c r="F25" s="255"/>
      <c r="G25" s="292"/>
      <c r="J25" s="198"/>
      <c r="L25" s="142"/>
      <c r="M25" s="142"/>
      <c r="N25" s="142"/>
      <c r="O25" s="142"/>
      <c r="P25" s="142"/>
      <c r="Q25" s="142"/>
      <c r="R25" s="142"/>
      <c r="S25" s="142"/>
      <c r="T25" s="142"/>
      <c r="U25" s="374"/>
    </row>
    <row r="26" spans="1:56" s="2" customFormat="1">
      <c r="A26" s="536"/>
      <c r="B26" s="570" t="s">
        <v>62</v>
      </c>
      <c r="D26" s="731"/>
      <c r="E26" s="1099" t="s">
        <v>78</v>
      </c>
      <c r="F26" s="254"/>
      <c r="G26" s="291" t="s">
        <v>76</v>
      </c>
      <c r="H26" s="4"/>
      <c r="I26" s="409"/>
      <c r="J26" s="190">
        <f>SUMPRODUCT(K21:U21,K26:U26)</f>
        <v>0</v>
      </c>
      <c r="K26" s="409"/>
      <c r="L26" s="227" t="str">
        <f>IF(L18="","",IF(L27&lt;&gt;"",L27,L24*HLOOKUP(L18,woningen_gebouwen_gegevens,ROWS(bibliotheek!$E$20:$E$33),FALSE)))</f>
        <v/>
      </c>
      <c r="M26" s="227" t="str">
        <f>IF(M18="","",IF(M27&lt;&gt;"",M27,M24*HLOOKUP(M18,woningen_gebouwen_gegevens,ROWS(bibliotheek!$E$20:$E$33),FALSE)))</f>
        <v/>
      </c>
      <c r="N26" s="227" t="str">
        <f>IF(N18="","",IF(N27&lt;&gt;"",N27,N24*HLOOKUP(N18,woningen_gebouwen_gegevens,ROWS(bibliotheek!$E$20:$E$33),FALSE)))</f>
        <v/>
      </c>
      <c r="O26" s="227" t="str">
        <f>IF(O18="","",IF(O27&lt;&gt;"",O27,O24*HLOOKUP(O18,woningen_gebouwen_gegevens,ROWS(bibliotheek!$E$20:$E$33),FALSE)))</f>
        <v/>
      </c>
      <c r="P26" s="227" t="str">
        <f>IF(P18="","",IF(P27&lt;&gt;"",P27,P24*HLOOKUP(P18,woningen_gebouwen_gegevens,ROWS(bibliotheek!$E$20:$E$33),FALSE)))</f>
        <v/>
      </c>
      <c r="Q26" s="227" t="str">
        <f>IF(Q18="","",IF(Q27&lt;&gt;"",Q27,Q24*HLOOKUP(Q18,woningen_gebouwen_gegevens,ROWS(bibliotheek!$E$20:$E$33),FALSE)))</f>
        <v/>
      </c>
      <c r="R26" s="227" t="str">
        <f>IF(R18="","",IF(R27&lt;&gt;"",R27,R24*HLOOKUP(R18,woningen_gebouwen_gegevens,ROWS(bibliotheek!$E$20:$E$33),FALSE)))</f>
        <v/>
      </c>
      <c r="S26" s="227" t="str">
        <f>IF(S18="","",IF(S27&lt;&gt;"",S27,S24*HLOOKUP(S18,woningen_gebouwen_gegevens,ROWS(bibliotheek!$E$20:$E$33),FALSE)))</f>
        <v/>
      </c>
      <c r="T26" s="227" t="str">
        <f>IF(T18="","",IF(T27&lt;&gt;"",T27,T24*HLOOKUP(T18,woningen_gebouwen_gegevens,ROWS(bibliotheek!$E$20:$E$33),FALSE)))</f>
        <v/>
      </c>
      <c r="U26" s="375"/>
    </row>
    <row r="27" spans="1:56" s="2" customFormat="1">
      <c r="A27" s="536"/>
      <c r="B27" s="570" t="s">
        <v>62</v>
      </c>
      <c r="D27" s="731"/>
      <c r="E27" s="1218" t="s">
        <v>77</v>
      </c>
      <c r="F27" s="255"/>
      <c r="G27" s="292"/>
      <c r="J27" s="198"/>
      <c r="L27" s="142"/>
      <c r="M27" s="142"/>
      <c r="N27" s="142"/>
      <c r="O27" s="142"/>
      <c r="P27" s="142"/>
      <c r="Q27" s="142"/>
      <c r="R27" s="142"/>
      <c r="S27" s="142"/>
      <c r="T27" s="142"/>
      <c r="U27" s="374"/>
    </row>
    <row r="28" spans="1:56" s="2" customFormat="1">
      <c r="A28" s="536"/>
      <c r="B28" s="570" t="s">
        <v>62</v>
      </c>
      <c r="D28" s="731"/>
      <c r="E28" s="1099" t="s">
        <v>903</v>
      </c>
      <c r="F28" s="254"/>
      <c r="G28" s="291" t="s">
        <v>1332</v>
      </c>
      <c r="H28" s="4"/>
      <c r="I28" s="409"/>
      <c r="J28" s="190"/>
      <c r="K28" s="409"/>
      <c r="L28" s="227" t="str">
        <f>IF(L18="","",IFERROR(L26/L24,0))</f>
        <v/>
      </c>
      <c r="M28" s="227" t="str">
        <f t="shared" ref="M28:T28" si="2">IF(M18="","",IFERROR(M26/M24,0))</f>
        <v/>
      </c>
      <c r="N28" s="227" t="str">
        <f t="shared" si="2"/>
        <v/>
      </c>
      <c r="O28" s="227" t="str">
        <f t="shared" si="2"/>
        <v/>
      </c>
      <c r="P28" s="227" t="str">
        <f t="shared" si="2"/>
        <v/>
      </c>
      <c r="Q28" s="227" t="str">
        <f t="shared" si="2"/>
        <v/>
      </c>
      <c r="R28" s="227" t="str">
        <f t="shared" si="2"/>
        <v/>
      </c>
      <c r="S28" s="227" t="str">
        <f t="shared" si="2"/>
        <v/>
      </c>
      <c r="T28" s="227" t="str">
        <f t="shared" si="2"/>
        <v/>
      </c>
      <c r="U28" s="375"/>
    </row>
    <row r="29" spans="1:56">
      <c r="B29" s="570" t="s">
        <v>62</v>
      </c>
      <c r="C29" s="36"/>
      <c r="D29" s="729"/>
      <c r="E29" s="36"/>
      <c r="F29" s="36"/>
      <c r="G29" s="36"/>
      <c r="H29" s="36"/>
      <c r="I29" s="36"/>
      <c r="J29" s="65"/>
      <c r="K29" s="36"/>
      <c r="L29" s="65"/>
      <c r="M29" s="65"/>
      <c r="N29" s="65"/>
      <c r="O29" s="65"/>
      <c r="P29" s="65"/>
      <c r="Q29" s="65"/>
      <c r="R29" s="65"/>
      <c r="S29" s="65"/>
      <c r="T29" s="65"/>
      <c r="U29" s="65"/>
    </row>
    <row r="30" spans="1:56">
      <c r="B30" s="570" t="s">
        <v>79</v>
      </c>
      <c r="C30" s="36"/>
      <c r="D30" s="729"/>
      <c r="E30" s="36"/>
      <c r="F30" s="36"/>
      <c r="G30" s="36"/>
      <c r="H30" s="36"/>
      <c r="I30" s="36"/>
      <c r="J30" s="65"/>
      <c r="K30" s="36"/>
      <c r="L30" s="65"/>
      <c r="M30" s="65"/>
      <c r="N30" s="65"/>
      <c r="O30" s="65"/>
      <c r="P30" s="65"/>
      <c r="Q30" s="65"/>
      <c r="R30" s="65"/>
      <c r="S30" s="65"/>
      <c r="T30" s="65"/>
      <c r="U30" s="65"/>
    </row>
    <row r="31" spans="1:56" ht="21">
      <c r="B31" s="570" t="s">
        <v>79</v>
      </c>
      <c r="C31" s="36"/>
      <c r="D31" s="729"/>
      <c r="E31" s="209" t="s">
        <v>79</v>
      </c>
      <c r="F31" s="1253"/>
      <c r="G31" s="1253"/>
      <c r="H31" s="69"/>
      <c r="I31" s="66"/>
      <c r="J31" s="256" t="str">
        <f>$J$15</f>
        <v>totaal</v>
      </c>
      <c r="K31" s="66"/>
      <c r="L31" s="373">
        <f ca="1">OFFSET(L31,0,-1)+1</f>
        <v>1</v>
      </c>
      <c r="M31" s="373">
        <f t="shared" ref="M31:T31" ca="1" si="3">OFFSET(M31,0,-1)+1</f>
        <v>2</v>
      </c>
      <c r="N31" s="373">
        <f t="shared" ca="1" si="3"/>
        <v>3</v>
      </c>
      <c r="O31" s="373">
        <f t="shared" ca="1" si="3"/>
        <v>4</v>
      </c>
      <c r="P31" s="373">
        <f t="shared" ca="1" si="3"/>
        <v>5</v>
      </c>
      <c r="Q31" s="373">
        <f t="shared" ca="1" si="3"/>
        <v>6</v>
      </c>
      <c r="R31" s="373">
        <f t="shared" ca="1" si="3"/>
        <v>7</v>
      </c>
      <c r="S31" s="373">
        <f t="shared" ca="1" si="3"/>
        <v>8</v>
      </c>
      <c r="T31" s="373">
        <f t="shared" ca="1" si="3"/>
        <v>9</v>
      </c>
      <c r="U31" s="66"/>
    </row>
    <row r="32" spans="1:56" ht="18.75">
      <c r="B32" s="570" t="s">
        <v>79</v>
      </c>
      <c r="C32" s="406"/>
      <c r="D32" s="730"/>
      <c r="E32" s="195" t="s">
        <v>63</v>
      </c>
      <c r="F32" s="195"/>
      <c r="G32" s="195"/>
      <c r="H32" s="78"/>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36"/>
      <c r="BC32" s="36"/>
      <c r="BD32" s="229"/>
    </row>
    <row r="33" spans="1:56" s="2" customFormat="1" ht="15.75" customHeight="1">
      <c r="A33" s="536"/>
      <c r="B33" s="570" t="s">
        <v>79</v>
      </c>
      <c r="D33" s="731"/>
      <c r="E33" s="180" t="s">
        <v>64</v>
      </c>
      <c r="F33" s="180"/>
      <c r="G33" s="181" t="s">
        <v>65</v>
      </c>
      <c r="H33" s="4"/>
      <c r="I33" s="409"/>
      <c r="J33" s="554"/>
      <c r="K33" s="409"/>
      <c r="L33" s="1252"/>
      <c r="M33" s="1252"/>
      <c r="N33" s="1252"/>
      <c r="O33" s="1252"/>
      <c r="P33" s="1252"/>
      <c r="Q33" s="1252"/>
      <c r="R33" s="1252"/>
      <c r="S33" s="1252"/>
      <c r="T33" s="1252"/>
      <c r="U33" s="555"/>
    </row>
    <row r="34" spans="1:56" s="2" customFormat="1">
      <c r="A34" s="536"/>
      <c r="B34" s="570" t="s">
        <v>79</v>
      </c>
      <c r="D34" s="642" t="s">
        <v>45</v>
      </c>
      <c r="E34" s="180" t="s">
        <v>66</v>
      </c>
      <c r="F34" s="180"/>
      <c r="G34" s="181" t="s">
        <v>65</v>
      </c>
      <c r="H34" s="4"/>
      <c r="I34" s="409"/>
      <c r="J34" s="554"/>
      <c r="K34" s="409"/>
      <c r="L34" s="902"/>
      <c r="M34" s="902"/>
      <c r="N34" s="902"/>
      <c r="O34" s="902"/>
      <c r="P34" s="902"/>
      <c r="Q34" s="902"/>
      <c r="R34" s="902"/>
      <c r="S34" s="902"/>
      <c r="T34" s="902"/>
      <c r="U34" s="555"/>
    </row>
    <row r="35" spans="1:56" s="2" customFormat="1">
      <c r="A35" s="536"/>
      <c r="B35" s="570"/>
      <c r="D35" s="731"/>
      <c r="E35" s="255" t="s">
        <v>68</v>
      </c>
      <c r="F35" s="180"/>
      <c r="G35" s="181" t="s">
        <v>65</v>
      </c>
      <c r="H35" s="4"/>
      <c r="I35" s="409"/>
      <c r="J35" s="554"/>
      <c r="K35" s="409"/>
      <c r="L35" s="609" t="str">
        <f>IF(L34="","",INDEX(bibliotheek!$H$21:$FC$21,MATCH(L34,woningen_gebouwen_namen,0)))</f>
        <v/>
      </c>
      <c r="M35" s="609" t="str">
        <f>IF(M34="","",INDEX(bibliotheek!$H$21:$FC$21,MATCH(M34,woningen_gebouwen_namen,0)))</f>
        <v/>
      </c>
      <c r="N35" s="609" t="str">
        <f>IF(N34="","",INDEX(bibliotheek!$H$21:$FC$21,MATCH(N34,woningen_gebouwen_namen,0)))</f>
        <v/>
      </c>
      <c r="O35" s="609" t="str">
        <f>IF(O34="","",INDEX(bibliotheek!$H$21:$FC$21,MATCH(O34,woningen_gebouwen_namen,0)))</f>
        <v/>
      </c>
      <c r="P35" s="609" t="str">
        <f>IF(P34="","",INDEX(bibliotheek!$H$21:$FC$21,MATCH(P34,woningen_gebouwen_namen,0)))</f>
        <v/>
      </c>
      <c r="Q35" s="609" t="str">
        <f>IF(Q34="","",INDEX(bibliotheek!$H$21:$FC$21,MATCH(Q34,woningen_gebouwen_namen,0)))</f>
        <v/>
      </c>
      <c r="R35" s="609" t="str">
        <f>IF(R34="","",INDEX(bibliotheek!$H$21:$FC$21,MATCH(R34,woningen_gebouwen_namen,0)))</f>
        <v/>
      </c>
      <c r="S35" s="609" t="str">
        <f>IF(S34="","",INDEX(bibliotheek!$H$21:$FC$21,MATCH(S34,woningen_gebouwen_namen,0)))</f>
        <v/>
      </c>
      <c r="T35" s="609" t="str">
        <f>IF(T34="","",INDEX(bibliotheek!$H$21:$FC$21,MATCH(T34,woningen_gebouwen_namen,0)))</f>
        <v/>
      </c>
      <c r="U35" s="555"/>
    </row>
    <row r="36" spans="1:56" s="2" customFormat="1">
      <c r="A36" s="536"/>
      <c r="B36" s="570" t="s">
        <v>79</v>
      </c>
      <c r="D36" s="731"/>
      <c r="E36" s="1218" t="s">
        <v>69</v>
      </c>
      <c r="F36" s="180"/>
      <c r="G36" s="181" t="s">
        <v>65</v>
      </c>
      <c r="H36" s="4"/>
      <c r="I36" s="409"/>
      <c r="J36" s="554"/>
      <c r="K36" s="409"/>
      <c r="L36" s="608"/>
      <c r="M36" s="608"/>
      <c r="N36" s="608"/>
      <c r="O36" s="608"/>
      <c r="P36" s="608"/>
      <c r="Q36" s="608"/>
      <c r="R36" s="608"/>
      <c r="S36" s="608"/>
      <c r="T36" s="608"/>
      <c r="U36" s="555"/>
    </row>
    <row r="37" spans="1:56" s="2" customFormat="1">
      <c r="A37" s="536"/>
      <c r="B37" s="570" t="s">
        <v>79</v>
      </c>
      <c r="D37" s="731"/>
      <c r="E37" s="180" t="s">
        <v>70</v>
      </c>
      <c r="F37" s="180"/>
      <c r="G37" s="181" t="s">
        <v>59</v>
      </c>
      <c r="H37" s="4"/>
      <c r="I37" s="13"/>
      <c r="J37" s="190">
        <f>J38+J39</f>
        <v>0</v>
      </c>
      <c r="K37" s="409"/>
      <c r="L37" s="267"/>
      <c r="M37" s="267"/>
      <c r="N37" s="267"/>
      <c r="O37" s="267"/>
      <c r="P37" s="267"/>
      <c r="Q37" s="267"/>
      <c r="R37" s="267"/>
      <c r="S37" s="267"/>
      <c r="T37" s="267"/>
      <c r="U37" s="410"/>
    </row>
    <row r="38" spans="1:56" s="2" customFormat="1">
      <c r="A38" s="536"/>
      <c r="B38" s="570" t="s">
        <v>79</v>
      </c>
      <c r="D38" s="731"/>
      <c r="E38" s="254" t="s">
        <v>71</v>
      </c>
      <c r="F38" s="254"/>
      <c r="G38" s="291" t="s">
        <v>72</v>
      </c>
      <c r="H38" s="4"/>
      <c r="I38" s="13"/>
      <c r="J38" s="190">
        <f>SUM(K38:U38)</f>
        <v>0</v>
      </c>
      <c r="K38" s="409"/>
      <c r="L38" s="556" t="str">
        <f>IF(L34="","",IF(OR(HLOOKUP(L34,woningen_gebouwen_gegevens,ROWS(bibliotheek!$E$20:$E$21),FALSE)=woning,HLOOKUP(L34,woningen_gebouwen_gegevens,ROWS(bibliotheek!$E$20:$E$21),FALSE)=woongebouw),L37,0))</f>
        <v/>
      </c>
      <c r="M38" s="556" t="str">
        <f>IF(M34="","",IF(OR(HLOOKUP(M34,woningen_gebouwen_gegevens,ROWS(bibliotheek!$E$20:$E$21),FALSE)=woning,HLOOKUP(M34,woningen_gebouwen_gegevens,ROWS(bibliotheek!$E$20:$E$21),FALSE)=woongebouw),M37,0))</f>
        <v/>
      </c>
      <c r="N38" s="556" t="str">
        <f>IF(N34="","",IF(OR(HLOOKUP(N34,woningen_gebouwen_gegevens,ROWS(bibliotheek!$E$20:$E$21),FALSE)=woning,HLOOKUP(N34,woningen_gebouwen_gegevens,ROWS(bibliotheek!$E$20:$E$21),FALSE)=woongebouw),N37,0))</f>
        <v/>
      </c>
      <c r="O38" s="556" t="str">
        <f>IF(O34="","",IF(OR(HLOOKUP(O34,woningen_gebouwen_gegevens,ROWS(bibliotheek!$E$20:$E$21),FALSE)=woning,HLOOKUP(O34,woningen_gebouwen_gegevens,ROWS(bibliotheek!$E$20:$E$21),FALSE)=woongebouw),O37,0))</f>
        <v/>
      </c>
      <c r="P38" s="556" t="str">
        <f>IF(P34="","",IF(OR(HLOOKUP(P34,woningen_gebouwen_gegevens,ROWS(bibliotheek!$E$20:$E$21),FALSE)=woning,HLOOKUP(P34,woningen_gebouwen_gegevens,ROWS(bibliotheek!$E$20:$E$21),FALSE)=woongebouw),P37,0))</f>
        <v/>
      </c>
      <c r="Q38" s="556" t="str">
        <f>IF(Q34="","",IF(OR(HLOOKUP(Q34,woningen_gebouwen_gegevens,ROWS(bibliotheek!$E$20:$E$21),FALSE)=woning,HLOOKUP(Q34,woningen_gebouwen_gegevens,ROWS(bibliotheek!$E$20:$E$21),FALSE)=woongebouw),Q37,0))</f>
        <v/>
      </c>
      <c r="R38" s="556" t="str">
        <f>IF(R34="","",IF(OR(HLOOKUP(R34,woningen_gebouwen_gegevens,ROWS(bibliotheek!$E$20:$E$21),FALSE)=woning,HLOOKUP(R34,woningen_gebouwen_gegevens,ROWS(bibliotheek!$E$20:$E$21),FALSE)=woongebouw),R37,0))</f>
        <v/>
      </c>
      <c r="S38" s="556" t="str">
        <f>IF(S34="","",IF(OR(HLOOKUP(S34,woningen_gebouwen_gegevens,ROWS(bibliotheek!$E$20:$E$21),FALSE)=woning,HLOOKUP(S34,woningen_gebouwen_gegevens,ROWS(bibliotheek!$E$20:$E$21),FALSE)=woongebouw),S37,0))</f>
        <v/>
      </c>
      <c r="T38" s="556" t="str">
        <f>IF(T34="","",IF(OR(HLOOKUP(T34,woningen_gebouwen_gegevens,ROWS(bibliotheek!$E$20:$E$21),FALSE)=woning,HLOOKUP(T34,woningen_gebouwen_gegevens,ROWS(bibliotheek!$E$20:$E$21),FALSE)=woongebouw),T37,0))</f>
        <v/>
      </c>
      <c r="U38" s="410"/>
    </row>
    <row r="39" spans="1:56" s="2" customFormat="1">
      <c r="A39" s="536"/>
      <c r="B39" s="570" t="s">
        <v>79</v>
      </c>
      <c r="D39" s="731"/>
      <c r="E39" s="254" t="s">
        <v>73</v>
      </c>
      <c r="F39" s="254"/>
      <c r="G39" s="291" t="s">
        <v>74</v>
      </c>
      <c r="H39" s="4"/>
      <c r="I39" s="13"/>
      <c r="J39" s="190">
        <f>SUM(K39:U39)</f>
        <v>0</v>
      </c>
      <c r="K39" s="409"/>
      <c r="L39" s="397" t="str">
        <f>IF(L34="","""",L37-L38)</f>
        <v>"</v>
      </c>
      <c r="M39" s="397" t="str">
        <f t="shared" ref="M39:T39" si="4">IF(M34="","""",M37-M38)</f>
        <v>"</v>
      </c>
      <c r="N39" s="397" t="str">
        <f t="shared" si="4"/>
        <v>"</v>
      </c>
      <c r="O39" s="397" t="str">
        <f t="shared" si="4"/>
        <v>"</v>
      </c>
      <c r="P39" s="397" t="str">
        <f t="shared" si="4"/>
        <v>"</v>
      </c>
      <c r="Q39" s="397" t="str">
        <f t="shared" si="4"/>
        <v>"</v>
      </c>
      <c r="R39" s="397" t="str">
        <f t="shared" si="4"/>
        <v>"</v>
      </c>
      <c r="S39" s="397" t="str">
        <f t="shared" si="4"/>
        <v>"</v>
      </c>
      <c r="T39" s="397" t="str">
        <f t="shared" si="4"/>
        <v>"</v>
      </c>
      <c r="U39" s="410"/>
    </row>
    <row r="40" spans="1:56" s="2" customFormat="1">
      <c r="A40" s="536"/>
      <c r="B40" s="570" t="s">
        <v>79</v>
      </c>
      <c r="D40" s="731"/>
      <c r="E40" s="254" t="s">
        <v>75</v>
      </c>
      <c r="F40" s="254"/>
      <c r="G40" s="291" t="s">
        <v>76</v>
      </c>
      <c r="J40" s="189">
        <f>SUMPRODUCT(K37:U37,K40:U40)</f>
        <v>0</v>
      </c>
      <c r="L40" s="384" t="str">
        <f>IF(L34="","",IF(L41&lt;&gt;"",L41,HLOOKUP(L34,woningen_gebouwen_gegevens,ROWS(bibliotheek!$E$20:$E$23),FALSE)))</f>
        <v/>
      </c>
      <c r="M40" s="384" t="str">
        <f>IF(M34="","",IF(M41&lt;&gt;"",M41,HLOOKUP(M34,woningen_gebouwen_gegevens,ROWS(bibliotheek!$E$20:$E$23),FALSE)))</f>
        <v/>
      </c>
      <c r="N40" s="384" t="str">
        <f>IF(N34="","",IF(N41&lt;&gt;"",N41,HLOOKUP(N34,woningen_gebouwen_gegevens,ROWS(bibliotheek!$E$20:$E$23),FALSE)))</f>
        <v/>
      </c>
      <c r="O40" s="384" t="str">
        <f>IF(O34="","",IF(O41&lt;&gt;"",O41,HLOOKUP(O34,woningen_gebouwen_gegevens,ROWS(bibliotheek!$E$20:$E$23),FALSE)))</f>
        <v/>
      </c>
      <c r="P40" s="384" t="str">
        <f>IF(P34="","",IF(P41&lt;&gt;"",P41,HLOOKUP(P34,woningen_gebouwen_gegevens,ROWS(bibliotheek!$E$20:$E$23),FALSE)))</f>
        <v/>
      </c>
      <c r="Q40" s="384" t="str">
        <f>IF(Q34="","",IF(Q41&lt;&gt;"",Q41,HLOOKUP(Q34,woningen_gebouwen_gegevens,ROWS(bibliotheek!$E$20:$E$23),FALSE)))</f>
        <v/>
      </c>
      <c r="R40" s="384" t="str">
        <f>IF(R34="","",IF(R41&lt;&gt;"",R41,HLOOKUP(R34,woningen_gebouwen_gegevens,ROWS(bibliotheek!$E$20:$E$23),FALSE)))</f>
        <v/>
      </c>
      <c r="S40" s="384" t="str">
        <f>IF(S34="","",IF(S41&lt;&gt;"",S41,HLOOKUP(S34,woningen_gebouwen_gegevens,ROWS(bibliotheek!$E$20:$E$23),FALSE)))</f>
        <v/>
      </c>
      <c r="T40" s="384" t="str">
        <f>IF(T34="","",IF(T41&lt;&gt;"",T41,HLOOKUP(T34,woningen_gebouwen_gegevens,ROWS(bibliotheek!$E$20:$E$23),FALSE)))</f>
        <v/>
      </c>
      <c r="U40" s="374"/>
    </row>
    <row r="41" spans="1:56" s="2" customFormat="1">
      <c r="A41" s="536"/>
      <c r="B41" s="570" t="s">
        <v>79</v>
      </c>
      <c r="D41" s="731"/>
      <c r="E41" s="1218" t="s">
        <v>77</v>
      </c>
      <c r="F41" s="255"/>
      <c r="G41" s="292"/>
      <c r="J41" s="198"/>
      <c r="L41" s="142"/>
      <c r="M41" s="142"/>
      <c r="N41" s="142"/>
      <c r="O41" s="142"/>
      <c r="P41" s="142"/>
      <c r="Q41" s="142"/>
      <c r="R41" s="142"/>
      <c r="S41" s="142"/>
      <c r="T41" s="142"/>
      <c r="U41" s="374"/>
    </row>
    <row r="42" spans="1:56" s="2" customFormat="1">
      <c r="A42" s="536"/>
      <c r="B42" s="570" t="s">
        <v>79</v>
      </c>
      <c r="D42" s="731"/>
      <c r="E42" s="1099" t="s">
        <v>78</v>
      </c>
      <c r="F42" s="254"/>
      <c r="G42" s="291" t="s">
        <v>76</v>
      </c>
      <c r="H42" s="4"/>
      <c r="I42" s="409"/>
      <c r="J42" s="190">
        <f>SUMPRODUCT(K37:U37,K42:U42)</f>
        <v>0</v>
      </c>
      <c r="K42" s="409"/>
      <c r="L42" s="227" t="str">
        <f>IF(L34="","",IF(L43&lt;&gt;"",L43,L40*HLOOKUP(L34,woningen_gebouwen_gegevens,ROWS(bibliotheek!$E$20:$E$33),FALSE)))</f>
        <v/>
      </c>
      <c r="M42" s="227" t="str">
        <f>IF(M34="","",IF(M43&lt;&gt;"",M43,M40*HLOOKUP(M34,woningen_gebouwen_gegevens,ROWS(bibliotheek!$E$20:$E$33),FALSE)))</f>
        <v/>
      </c>
      <c r="N42" s="227" t="str">
        <f>IF(N34="","",IF(N43&lt;&gt;"",N43,N40*HLOOKUP(N34,woningen_gebouwen_gegevens,ROWS(bibliotheek!$E$20:$E$33),FALSE)))</f>
        <v/>
      </c>
      <c r="O42" s="227" t="str">
        <f>IF(O34="","",IF(O43&lt;&gt;"",O43,O40*HLOOKUP(O34,woningen_gebouwen_gegevens,ROWS(bibliotheek!$E$20:$E$33),FALSE)))</f>
        <v/>
      </c>
      <c r="P42" s="227" t="str">
        <f>IF(P34="","",IF(P43&lt;&gt;"",P43,P40*HLOOKUP(P34,woningen_gebouwen_gegevens,ROWS(bibliotheek!$E$20:$E$33),FALSE)))</f>
        <v/>
      </c>
      <c r="Q42" s="227" t="str">
        <f>IF(Q34="","",IF(Q43&lt;&gt;"",Q43,Q40*HLOOKUP(Q34,woningen_gebouwen_gegevens,ROWS(bibliotheek!$E$20:$E$33),FALSE)))</f>
        <v/>
      </c>
      <c r="R42" s="227" t="str">
        <f>IF(R34="","",IF(R43&lt;&gt;"",R43,R40*HLOOKUP(R34,woningen_gebouwen_gegevens,ROWS(bibliotheek!$E$20:$E$33),FALSE)))</f>
        <v/>
      </c>
      <c r="S42" s="227" t="str">
        <f>IF(S34="","",IF(S43&lt;&gt;"",S43,S40*HLOOKUP(S34,woningen_gebouwen_gegevens,ROWS(bibliotheek!$E$20:$E$33),FALSE)))</f>
        <v/>
      </c>
      <c r="T42" s="227" t="str">
        <f>IF(T34="","",IF(T43&lt;&gt;"",T43,T40*HLOOKUP(T34,woningen_gebouwen_gegevens,ROWS(bibliotheek!$E$20:$E$33),FALSE)))</f>
        <v/>
      </c>
      <c r="U42" s="375"/>
    </row>
    <row r="43" spans="1:56" s="2" customFormat="1">
      <c r="A43" s="536"/>
      <c r="B43" s="570" t="s">
        <v>62</v>
      </c>
      <c r="D43" s="731"/>
      <c r="E43" s="1218" t="s">
        <v>77</v>
      </c>
      <c r="F43" s="255"/>
      <c r="G43" s="292"/>
      <c r="J43" s="198"/>
      <c r="L43" s="142"/>
      <c r="M43" s="142"/>
      <c r="N43" s="142"/>
      <c r="O43" s="142"/>
      <c r="P43" s="142"/>
      <c r="Q43" s="142"/>
      <c r="R43" s="142"/>
      <c r="S43" s="142"/>
      <c r="T43" s="142"/>
      <c r="U43" s="374"/>
    </row>
    <row r="44" spans="1:56" s="2" customFormat="1">
      <c r="A44" s="536"/>
      <c r="B44" s="570" t="s">
        <v>62</v>
      </c>
      <c r="D44" s="731"/>
      <c r="E44" s="1099" t="s">
        <v>903</v>
      </c>
      <c r="F44" s="254"/>
      <c r="G44" s="291" t="s">
        <v>1332</v>
      </c>
      <c r="H44" s="4"/>
      <c r="I44" s="409"/>
      <c r="J44" s="190"/>
      <c r="K44" s="409"/>
      <c r="L44" s="227" t="str">
        <f>IF(L34="","",IFERROR(L42/L40,0))</f>
        <v/>
      </c>
      <c r="M44" s="227" t="str">
        <f t="shared" ref="M44:T44" si="5">IF(M34="","",IFERROR(M42/M40,0))</f>
        <v/>
      </c>
      <c r="N44" s="227" t="str">
        <f t="shared" si="5"/>
        <v/>
      </c>
      <c r="O44" s="227" t="str">
        <f t="shared" si="5"/>
        <v/>
      </c>
      <c r="P44" s="227" t="str">
        <f t="shared" si="5"/>
        <v/>
      </c>
      <c r="Q44" s="227" t="str">
        <f t="shared" si="5"/>
        <v/>
      </c>
      <c r="R44" s="227" t="str">
        <f t="shared" si="5"/>
        <v/>
      </c>
      <c r="S44" s="227" t="str">
        <f t="shared" si="5"/>
        <v/>
      </c>
      <c r="T44" s="227" t="str">
        <f t="shared" si="5"/>
        <v/>
      </c>
      <c r="U44" s="375"/>
    </row>
    <row r="45" spans="1:56">
      <c r="B45" s="570" t="s">
        <v>79</v>
      </c>
      <c r="C45" s="36"/>
      <c r="D45" s="729"/>
      <c r="E45" s="36"/>
      <c r="F45" s="36"/>
      <c r="G45" s="36"/>
      <c r="H45" s="36"/>
      <c r="I45" s="36"/>
      <c r="J45" s="65"/>
      <c r="K45" s="36"/>
      <c r="L45" s="65"/>
      <c r="M45" s="65"/>
      <c r="N45" s="65"/>
      <c r="O45" s="65"/>
      <c r="P45" s="65"/>
      <c r="Q45" s="65"/>
      <c r="R45" s="65"/>
      <c r="S45" s="65"/>
      <c r="T45" s="65"/>
      <c r="U45" s="65"/>
    </row>
    <row r="46" spans="1:56">
      <c r="B46" s="570" t="s">
        <v>80</v>
      </c>
      <c r="C46" s="36"/>
      <c r="D46" s="729"/>
      <c r="E46" s="36"/>
      <c r="F46" s="36"/>
      <c r="G46" s="36"/>
      <c r="H46" s="36"/>
      <c r="I46" s="36"/>
      <c r="J46" s="65"/>
      <c r="K46" s="36"/>
      <c r="L46" s="65"/>
      <c r="M46" s="65"/>
      <c r="N46" s="65"/>
      <c r="O46" s="65"/>
      <c r="P46" s="65"/>
      <c r="Q46" s="65"/>
      <c r="R46" s="65"/>
      <c r="S46" s="65"/>
      <c r="T46" s="65"/>
      <c r="U46" s="65"/>
    </row>
    <row r="47" spans="1:56" ht="21">
      <c r="B47" s="570" t="s">
        <v>80</v>
      </c>
      <c r="C47" s="36"/>
      <c r="D47" s="729"/>
      <c r="E47" s="209" t="s">
        <v>80</v>
      </c>
      <c r="F47" s="1253"/>
      <c r="G47" s="1253"/>
      <c r="H47" s="69"/>
      <c r="I47" s="66"/>
      <c r="J47" s="256" t="str">
        <f>$J$15</f>
        <v>totaal</v>
      </c>
      <c r="K47" s="66"/>
      <c r="L47" s="373">
        <f ca="1">OFFSET(L47,0,-1)+1</f>
        <v>1</v>
      </c>
      <c r="M47" s="373">
        <f t="shared" ref="M47:T47" ca="1" si="6">OFFSET(M47,0,-1)+1</f>
        <v>2</v>
      </c>
      <c r="N47" s="373">
        <f t="shared" ca="1" si="6"/>
        <v>3</v>
      </c>
      <c r="O47" s="373">
        <f t="shared" ca="1" si="6"/>
        <v>4</v>
      </c>
      <c r="P47" s="373">
        <f t="shared" ca="1" si="6"/>
        <v>5</v>
      </c>
      <c r="Q47" s="373">
        <f t="shared" ca="1" si="6"/>
        <v>6</v>
      </c>
      <c r="R47" s="373">
        <f t="shared" ca="1" si="6"/>
        <v>7</v>
      </c>
      <c r="S47" s="373">
        <f t="shared" ca="1" si="6"/>
        <v>8</v>
      </c>
      <c r="T47" s="373">
        <f t="shared" ca="1" si="6"/>
        <v>9</v>
      </c>
      <c r="U47" s="66"/>
    </row>
    <row r="48" spans="1:56" ht="18.75">
      <c r="B48" s="570" t="s">
        <v>80</v>
      </c>
      <c r="C48" s="406"/>
      <c r="D48" s="730"/>
      <c r="E48" s="195" t="s">
        <v>63</v>
      </c>
      <c r="F48" s="195"/>
      <c r="G48" s="195"/>
      <c r="H48" s="78"/>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36"/>
      <c r="BC48" s="36"/>
      <c r="BD48" s="229"/>
    </row>
    <row r="49" spans="1:56" s="2" customFormat="1" ht="15.75" customHeight="1">
      <c r="A49" s="536"/>
      <c r="B49" s="570" t="s">
        <v>80</v>
      </c>
      <c r="D49" s="731"/>
      <c r="E49" s="180" t="s">
        <v>64</v>
      </c>
      <c r="F49" s="180"/>
      <c r="G49" s="181" t="s">
        <v>65</v>
      </c>
      <c r="H49" s="4"/>
      <c r="I49" s="409"/>
      <c r="J49" s="554"/>
      <c r="K49" s="409"/>
      <c r="L49" s="1252"/>
      <c r="M49" s="1252"/>
      <c r="N49" s="1252"/>
      <c r="O49" s="1252"/>
      <c r="P49" s="1252"/>
      <c r="Q49" s="1252"/>
      <c r="R49" s="1252"/>
      <c r="S49" s="1252"/>
      <c r="T49" s="1252"/>
      <c r="U49" s="555"/>
    </row>
    <row r="50" spans="1:56" s="2" customFormat="1">
      <c r="A50" s="536"/>
      <c r="B50" s="570" t="s">
        <v>80</v>
      </c>
      <c r="D50" s="642" t="s">
        <v>45</v>
      </c>
      <c r="E50" s="180" t="s">
        <v>66</v>
      </c>
      <c r="F50" s="180"/>
      <c r="G50" s="181" t="s">
        <v>65</v>
      </c>
      <c r="H50" s="4"/>
      <c r="I50" s="409"/>
      <c r="J50" s="554"/>
      <c r="K50" s="409"/>
      <c r="L50" s="902"/>
      <c r="M50" s="902"/>
      <c r="N50" s="902"/>
      <c r="O50" s="902"/>
      <c r="P50" s="902"/>
      <c r="Q50" s="902"/>
      <c r="R50" s="902"/>
      <c r="S50" s="902"/>
      <c r="T50" s="902"/>
      <c r="U50" s="555"/>
    </row>
    <row r="51" spans="1:56" s="2" customFormat="1">
      <c r="A51" s="536"/>
      <c r="B51" s="570"/>
      <c r="D51" s="731"/>
      <c r="E51" s="255" t="s">
        <v>68</v>
      </c>
      <c r="F51" s="180"/>
      <c r="G51" s="181" t="s">
        <v>65</v>
      </c>
      <c r="H51" s="4"/>
      <c r="I51" s="409"/>
      <c r="J51" s="554"/>
      <c r="K51" s="409"/>
      <c r="L51" s="609" t="str">
        <f>IF(L50="","",INDEX(bibliotheek!$H$21:$FC$21,MATCH(L50,woningen_gebouwen_namen,0)))</f>
        <v/>
      </c>
      <c r="M51" s="609" t="str">
        <f>IF(M50="","",INDEX(bibliotheek!$H$21:$FC$21,MATCH(M50,woningen_gebouwen_namen,0)))</f>
        <v/>
      </c>
      <c r="N51" s="609" t="str">
        <f>IF(N50="","",INDEX(bibliotheek!$H$21:$FC$21,MATCH(N50,woningen_gebouwen_namen,0)))</f>
        <v/>
      </c>
      <c r="O51" s="609" t="str">
        <f>IF(O50="","",INDEX(bibliotheek!$H$21:$FC$21,MATCH(O50,woningen_gebouwen_namen,0)))</f>
        <v/>
      </c>
      <c r="P51" s="609" t="str">
        <f>IF(P50="","",INDEX(bibliotheek!$H$21:$FC$21,MATCH(P50,woningen_gebouwen_namen,0)))</f>
        <v/>
      </c>
      <c r="Q51" s="609" t="str">
        <f>IF(Q50="","",INDEX(bibliotheek!$H$21:$FC$21,MATCH(Q50,woningen_gebouwen_namen,0)))</f>
        <v/>
      </c>
      <c r="R51" s="609" t="str">
        <f>IF(R50="","",INDEX(bibliotheek!$H$21:$FC$21,MATCH(R50,woningen_gebouwen_namen,0)))</f>
        <v/>
      </c>
      <c r="S51" s="609" t="str">
        <f>IF(S50="","",INDEX(bibliotheek!$H$21:$FC$21,MATCH(S50,woningen_gebouwen_namen,0)))</f>
        <v/>
      </c>
      <c r="T51" s="609" t="str">
        <f>IF(T50="","",INDEX(bibliotheek!$H$21:$FC$21,MATCH(T50,woningen_gebouwen_namen,0)))</f>
        <v/>
      </c>
      <c r="U51" s="555"/>
    </row>
    <row r="52" spans="1:56" s="2" customFormat="1">
      <c r="A52" s="536"/>
      <c r="B52" s="570" t="s">
        <v>80</v>
      </c>
      <c r="D52" s="731"/>
      <c r="E52" s="1218" t="s">
        <v>69</v>
      </c>
      <c r="F52" s="180"/>
      <c r="G52" s="181" t="s">
        <v>65</v>
      </c>
      <c r="H52" s="4"/>
      <c r="I52" s="409"/>
      <c r="J52" s="554"/>
      <c r="K52" s="409"/>
      <c r="L52" s="608"/>
      <c r="M52" s="608"/>
      <c r="N52" s="608"/>
      <c r="O52" s="608"/>
      <c r="P52" s="608"/>
      <c r="Q52" s="608"/>
      <c r="R52" s="608"/>
      <c r="S52" s="608"/>
      <c r="T52" s="608"/>
      <c r="U52" s="555"/>
    </row>
    <row r="53" spans="1:56" s="2" customFormat="1">
      <c r="A53" s="536"/>
      <c r="B53" s="570" t="s">
        <v>80</v>
      </c>
      <c r="D53" s="731"/>
      <c r="E53" s="180" t="s">
        <v>70</v>
      </c>
      <c r="F53" s="180"/>
      <c r="G53" s="181" t="s">
        <v>59</v>
      </c>
      <c r="H53" s="4"/>
      <c r="I53" s="13"/>
      <c r="J53" s="190">
        <f>J54+J55</f>
        <v>0</v>
      </c>
      <c r="K53" s="409"/>
      <c r="L53" s="267"/>
      <c r="M53" s="267"/>
      <c r="N53" s="267"/>
      <c r="O53" s="267"/>
      <c r="P53" s="267"/>
      <c r="Q53" s="267"/>
      <c r="R53" s="267"/>
      <c r="S53" s="267"/>
      <c r="T53" s="267"/>
      <c r="U53" s="410"/>
    </row>
    <row r="54" spans="1:56" s="2" customFormat="1">
      <c r="A54" s="536"/>
      <c r="B54" s="570" t="s">
        <v>80</v>
      </c>
      <c r="D54" s="731"/>
      <c r="E54" s="254" t="s">
        <v>71</v>
      </c>
      <c r="F54" s="254"/>
      <c r="G54" s="291" t="s">
        <v>72</v>
      </c>
      <c r="H54" s="4"/>
      <c r="I54" s="13"/>
      <c r="J54" s="190">
        <f>SUM(K54:U54)</f>
        <v>0</v>
      </c>
      <c r="K54" s="409"/>
      <c r="L54" s="556" t="str">
        <f>IF(L50="","",IF(OR(HLOOKUP(L50,woningen_gebouwen_gegevens,ROWS(bibliotheek!$E$20:$E$21),FALSE)=woning,HLOOKUP(L50,woningen_gebouwen_gegevens,ROWS(bibliotheek!$E$20:$E$21),FALSE)=woongebouw),L53,0))</f>
        <v/>
      </c>
      <c r="M54" s="556" t="str">
        <f>IF(M50="","",IF(OR(HLOOKUP(M50,woningen_gebouwen_gegevens,ROWS(bibliotheek!$E$20:$E$21),FALSE)=woning,HLOOKUP(M50,woningen_gebouwen_gegevens,ROWS(bibliotheek!$E$20:$E$21),FALSE)=woongebouw),M53,0))</f>
        <v/>
      </c>
      <c r="N54" s="556" t="str">
        <f>IF(N50="","",IF(OR(HLOOKUP(N50,woningen_gebouwen_gegevens,ROWS(bibliotheek!$E$20:$E$21),FALSE)=woning,HLOOKUP(N50,woningen_gebouwen_gegevens,ROWS(bibliotheek!$E$20:$E$21),FALSE)=woongebouw),N53,0))</f>
        <v/>
      </c>
      <c r="O54" s="556" t="str">
        <f>IF(O50="","",IF(OR(HLOOKUP(O50,woningen_gebouwen_gegevens,ROWS(bibliotheek!$E$20:$E$21),FALSE)=woning,HLOOKUP(O50,woningen_gebouwen_gegevens,ROWS(bibliotheek!$E$20:$E$21),FALSE)=woongebouw),O53,0))</f>
        <v/>
      </c>
      <c r="P54" s="556" t="str">
        <f>IF(P50="","",IF(OR(HLOOKUP(P50,woningen_gebouwen_gegevens,ROWS(bibliotheek!$E$20:$E$21),FALSE)=woning,HLOOKUP(P50,woningen_gebouwen_gegevens,ROWS(bibliotheek!$E$20:$E$21),FALSE)=woongebouw),P53,0))</f>
        <v/>
      </c>
      <c r="Q54" s="556" t="str">
        <f>IF(Q50="","",IF(OR(HLOOKUP(Q50,woningen_gebouwen_gegevens,ROWS(bibliotheek!$E$20:$E$21),FALSE)=woning,HLOOKUP(Q50,woningen_gebouwen_gegevens,ROWS(bibliotheek!$E$20:$E$21),FALSE)=woongebouw),Q53,0))</f>
        <v/>
      </c>
      <c r="R54" s="556" t="str">
        <f>IF(R50="","",IF(OR(HLOOKUP(R50,woningen_gebouwen_gegevens,ROWS(bibliotheek!$E$20:$E$21),FALSE)=woning,HLOOKUP(R50,woningen_gebouwen_gegevens,ROWS(bibliotheek!$E$20:$E$21),FALSE)=woongebouw),R53,0))</f>
        <v/>
      </c>
      <c r="S54" s="556" t="str">
        <f>IF(S50="","",IF(OR(HLOOKUP(S50,woningen_gebouwen_gegevens,ROWS(bibliotheek!$E$20:$E$21),FALSE)=woning,HLOOKUP(S50,woningen_gebouwen_gegevens,ROWS(bibliotheek!$E$20:$E$21),FALSE)=woongebouw),S53,0))</f>
        <v/>
      </c>
      <c r="T54" s="556" t="str">
        <f>IF(T50="","",IF(OR(HLOOKUP(T50,woningen_gebouwen_gegevens,ROWS(bibliotheek!$E$20:$E$21),FALSE)=woning,HLOOKUP(T50,woningen_gebouwen_gegevens,ROWS(bibliotheek!$E$20:$E$21),FALSE)=woongebouw),T53,0))</f>
        <v/>
      </c>
      <c r="U54" s="410"/>
    </row>
    <row r="55" spans="1:56" s="2" customFormat="1">
      <c r="A55" s="536"/>
      <c r="B55" s="570" t="s">
        <v>80</v>
      </c>
      <c r="D55" s="731"/>
      <c r="E55" s="254" t="s">
        <v>73</v>
      </c>
      <c r="F55" s="254"/>
      <c r="G55" s="291" t="s">
        <v>74</v>
      </c>
      <c r="H55" s="4"/>
      <c r="I55" s="13"/>
      <c r="J55" s="190">
        <f>SUM(K55:U55)</f>
        <v>0</v>
      </c>
      <c r="K55" s="409"/>
      <c r="L55" s="397" t="str">
        <f t="shared" ref="L55:T55" si="7">IF(L50="","""",L53-L54)</f>
        <v>"</v>
      </c>
      <c r="M55" s="397" t="str">
        <f t="shared" si="7"/>
        <v>"</v>
      </c>
      <c r="N55" s="397" t="str">
        <f t="shared" si="7"/>
        <v>"</v>
      </c>
      <c r="O55" s="397" t="str">
        <f t="shared" si="7"/>
        <v>"</v>
      </c>
      <c r="P55" s="397" t="str">
        <f t="shared" si="7"/>
        <v>"</v>
      </c>
      <c r="Q55" s="397" t="str">
        <f t="shared" si="7"/>
        <v>"</v>
      </c>
      <c r="R55" s="397" t="str">
        <f t="shared" si="7"/>
        <v>"</v>
      </c>
      <c r="S55" s="397" t="str">
        <f t="shared" si="7"/>
        <v>"</v>
      </c>
      <c r="T55" s="397" t="str">
        <f t="shared" si="7"/>
        <v>"</v>
      </c>
      <c r="U55" s="410"/>
    </row>
    <row r="56" spans="1:56" s="2" customFormat="1">
      <c r="A56" s="536"/>
      <c r="B56" s="570" t="s">
        <v>80</v>
      </c>
      <c r="D56" s="731"/>
      <c r="E56" s="254" t="s">
        <v>75</v>
      </c>
      <c r="F56" s="254"/>
      <c r="G56" s="291" t="s">
        <v>76</v>
      </c>
      <c r="J56" s="189">
        <f>SUMPRODUCT(K53:U53,K56:U56)</f>
        <v>0</v>
      </c>
      <c r="L56" s="384" t="str">
        <f>IF(L50="","",IF(L57&lt;&gt;"",L57,HLOOKUP(L50,woningen_gebouwen_gegevens,ROWS(bibliotheek!$E$20:$E$23),FALSE)))</f>
        <v/>
      </c>
      <c r="M56" s="384" t="str">
        <f>IF(M50="","",IF(M57&lt;&gt;"",M57,HLOOKUP(M50,woningen_gebouwen_gegevens,ROWS(bibliotheek!$E$20:$E$23),FALSE)))</f>
        <v/>
      </c>
      <c r="N56" s="384" t="str">
        <f>IF(N50="","",IF(N57&lt;&gt;"",N57,HLOOKUP(N50,woningen_gebouwen_gegevens,ROWS(bibliotheek!$E$20:$E$23),FALSE)))</f>
        <v/>
      </c>
      <c r="O56" s="384" t="str">
        <f>IF(O50="","",IF(O57&lt;&gt;"",O57,HLOOKUP(O50,woningen_gebouwen_gegevens,ROWS(bibliotheek!$E$20:$E$23),FALSE)))</f>
        <v/>
      </c>
      <c r="P56" s="384" t="str">
        <f>IF(P50="","",IF(P57&lt;&gt;"",P57,HLOOKUP(P50,woningen_gebouwen_gegevens,ROWS(bibliotheek!$E$20:$E$23),FALSE)))</f>
        <v/>
      </c>
      <c r="Q56" s="384" t="str">
        <f>IF(Q50="","",IF(Q57&lt;&gt;"",Q57,HLOOKUP(Q50,woningen_gebouwen_gegevens,ROWS(bibliotheek!$E$20:$E$23),FALSE)))</f>
        <v/>
      </c>
      <c r="R56" s="384" t="str">
        <f>IF(R50="","",IF(R57&lt;&gt;"",R57,HLOOKUP(R50,woningen_gebouwen_gegevens,ROWS(bibliotheek!$E$20:$E$23),FALSE)))</f>
        <v/>
      </c>
      <c r="S56" s="384" t="str">
        <f>IF(S50="","",IF(S57&lt;&gt;"",S57,HLOOKUP(S50,woningen_gebouwen_gegevens,ROWS(bibliotheek!$E$20:$E$23),FALSE)))</f>
        <v/>
      </c>
      <c r="T56" s="384" t="str">
        <f>IF(T50="","",IF(T57&lt;&gt;"",T57,HLOOKUP(T50,woningen_gebouwen_gegevens,ROWS(bibliotheek!$E$20:$E$23),FALSE)))</f>
        <v/>
      </c>
      <c r="U56" s="374"/>
    </row>
    <row r="57" spans="1:56" s="2" customFormat="1">
      <c r="A57" s="536"/>
      <c r="B57" s="570" t="s">
        <v>80</v>
      </c>
      <c r="D57" s="731"/>
      <c r="E57" s="1218" t="s">
        <v>77</v>
      </c>
      <c r="F57" s="255"/>
      <c r="G57" s="292"/>
      <c r="J57" s="198"/>
      <c r="L57" s="142"/>
      <c r="M57" s="142"/>
      <c r="N57" s="142"/>
      <c r="O57" s="142"/>
      <c r="P57" s="142"/>
      <c r="Q57" s="142"/>
      <c r="R57" s="142"/>
      <c r="S57" s="142"/>
      <c r="T57" s="142"/>
      <c r="U57" s="374"/>
    </row>
    <row r="58" spans="1:56" s="2" customFormat="1">
      <c r="A58" s="536"/>
      <c r="B58" s="570" t="s">
        <v>80</v>
      </c>
      <c r="D58" s="731"/>
      <c r="E58" s="1099" t="s">
        <v>78</v>
      </c>
      <c r="F58" s="254"/>
      <c r="G58" s="291" t="s">
        <v>76</v>
      </c>
      <c r="H58" s="4"/>
      <c r="I58" s="409"/>
      <c r="J58" s="190">
        <f>SUMPRODUCT(K53:U53,K58:U58)</f>
        <v>0</v>
      </c>
      <c r="K58" s="409"/>
      <c r="L58" s="227" t="str">
        <f>IF(L50="","",IF(L59&lt;&gt;"",L59,L56*HLOOKUP(L50,woningen_gebouwen_gegevens,ROWS(bibliotheek!$E$20:$E$33),FALSE)))</f>
        <v/>
      </c>
      <c r="M58" s="227" t="str">
        <f>IF(M50="","",IF(M59&lt;&gt;"",M59,M56*HLOOKUP(M50,woningen_gebouwen_gegevens,ROWS(bibliotheek!$E$20:$E$33),FALSE)))</f>
        <v/>
      </c>
      <c r="N58" s="227" t="str">
        <f>IF(N50="","",IF(N59&lt;&gt;"",N59,N56*HLOOKUP(N50,woningen_gebouwen_gegevens,ROWS(bibliotheek!$E$20:$E$33),FALSE)))</f>
        <v/>
      </c>
      <c r="O58" s="227" t="str">
        <f>IF(O50="","",IF(O59&lt;&gt;"",O59,O56*HLOOKUP(O50,woningen_gebouwen_gegevens,ROWS(bibliotheek!$E$20:$E$33),FALSE)))</f>
        <v/>
      </c>
      <c r="P58" s="227" t="str">
        <f>IF(P50="","",IF(P59&lt;&gt;"",P59,P56*HLOOKUP(P50,woningen_gebouwen_gegevens,ROWS(bibliotheek!$E$20:$E$33),FALSE)))</f>
        <v/>
      </c>
      <c r="Q58" s="227" t="str">
        <f>IF(Q50="","",IF(Q59&lt;&gt;"",Q59,Q56*HLOOKUP(Q50,woningen_gebouwen_gegevens,ROWS(bibliotheek!$E$20:$E$33),FALSE)))</f>
        <v/>
      </c>
      <c r="R58" s="227" t="str">
        <f>IF(R50="","",IF(R59&lt;&gt;"",R59,R56*HLOOKUP(R50,woningen_gebouwen_gegevens,ROWS(bibliotheek!$E$20:$E$33),FALSE)))</f>
        <v/>
      </c>
      <c r="S58" s="227" t="str">
        <f>IF(S50="","",IF(S59&lt;&gt;"",S59,S56*HLOOKUP(S50,woningen_gebouwen_gegevens,ROWS(bibliotheek!$E$20:$E$33),FALSE)))</f>
        <v/>
      </c>
      <c r="T58" s="227" t="str">
        <f>IF(T50="","",IF(T59&lt;&gt;"",T59,T56*HLOOKUP(T50,woningen_gebouwen_gegevens,ROWS(bibliotheek!$E$20:$E$33),FALSE)))</f>
        <v/>
      </c>
      <c r="U58" s="375"/>
    </row>
    <row r="59" spans="1:56" s="2" customFormat="1">
      <c r="A59" s="536"/>
      <c r="B59" s="570" t="s">
        <v>62</v>
      </c>
      <c r="D59" s="731"/>
      <c r="E59" s="1218" t="s">
        <v>77</v>
      </c>
      <c r="F59" s="255"/>
      <c r="G59" s="292"/>
      <c r="J59" s="198"/>
      <c r="L59" s="142"/>
      <c r="M59" s="142"/>
      <c r="N59" s="142"/>
      <c r="O59" s="142"/>
      <c r="P59" s="142"/>
      <c r="Q59" s="142"/>
      <c r="R59" s="142"/>
      <c r="S59" s="142"/>
      <c r="T59" s="142"/>
      <c r="U59" s="374"/>
    </row>
    <row r="60" spans="1:56" s="2" customFormat="1">
      <c r="A60" s="536"/>
      <c r="B60" s="570" t="s">
        <v>62</v>
      </c>
      <c r="D60" s="731"/>
      <c r="E60" s="1099" t="s">
        <v>903</v>
      </c>
      <c r="F60" s="254"/>
      <c r="G60" s="291" t="s">
        <v>1332</v>
      </c>
      <c r="H60" s="4"/>
      <c r="I60" s="409"/>
      <c r="J60" s="190"/>
      <c r="K60" s="409"/>
      <c r="L60" s="227" t="str">
        <f>IF(L50="","",IFERROR(L58/L56,0))</f>
        <v/>
      </c>
      <c r="M60" s="227" t="str">
        <f t="shared" ref="M60:T60" si="8">IF(M50="","",IFERROR(M58/M56,0))</f>
        <v/>
      </c>
      <c r="N60" s="227" t="str">
        <f t="shared" si="8"/>
        <v/>
      </c>
      <c r="O60" s="227" t="str">
        <f t="shared" si="8"/>
        <v/>
      </c>
      <c r="P60" s="227" t="str">
        <f t="shared" si="8"/>
        <v/>
      </c>
      <c r="Q60" s="227" t="str">
        <f t="shared" si="8"/>
        <v/>
      </c>
      <c r="R60" s="227" t="str">
        <f t="shared" si="8"/>
        <v/>
      </c>
      <c r="S60" s="227" t="str">
        <f t="shared" si="8"/>
        <v/>
      </c>
      <c r="T60" s="227" t="str">
        <f t="shared" si="8"/>
        <v/>
      </c>
      <c r="U60" s="375"/>
    </row>
    <row r="61" spans="1:56">
      <c r="B61" s="570" t="s">
        <v>80</v>
      </c>
      <c r="C61" s="36"/>
      <c r="D61" s="729"/>
      <c r="E61" s="36"/>
      <c r="F61" s="36"/>
      <c r="G61" s="36"/>
      <c r="H61" s="36"/>
      <c r="I61" s="36"/>
      <c r="J61" s="65"/>
      <c r="K61" s="36"/>
      <c r="L61" s="65"/>
      <c r="M61" s="65"/>
      <c r="N61" s="65"/>
      <c r="O61" s="65"/>
      <c r="P61" s="65"/>
      <c r="Q61" s="65"/>
      <c r="R61" s="65"/>
      <c r="S61" s="65"/>
      <c r="T61" s="65"/>
      <c r="U61" s="65"/>
    </row>
    <row r="62" spans="1:56">
      <c r="B62" s="570" t="s">
        <v>81</v>
      </c>
      <c r="C62" s="36"/>
      <c r="D62" s="729"/>
      <c r="E62" s="36"/>
      <c r="F62" s="36"/>
      <c r="G62" s="36"/>
      <c r="H62" s="36"/>
      <c r="I62" s="36"/>
      <c r="J62" s="65"/>
      <c r="K62" s="36"/>
      <c r="L62" s="65"/>
      <c r="M62" s="65"/>
      <c r="N62" s="65"/>
      <c r="O62" s="65"/>
      <c r="P62" s="65"/>
      <c r="Q62" s="65"/>
      <c r="R62" s="65"/>
      <c r="S62" s="65"/>
      <c r="T62" s="65"/>
      <c r="U62" s="65"/>
    </row>
    <row r="63" spans="1:56" ht="21">
      <c r="B63" s="570" t="s">
        <v>81</v>
      </c>
      <c r="C63" s="36"/>
      <c r="D63" s="729"/>
      <c r="E63" s="209" t="s">
        <v>81</v>
      </c>
      <c r="F63" s="1253"/>
      <c r="G63" s="1253"/>
      <c r="H63" s="69"/>
      <c r="I63" s="66"/>
      <c r="J63" s="256" t="str">
        <f>$J$15</f>
        <v>totaal</v>
      </c>
      <c r="K63" s="66"/>
      <c r="L63" s="373">
        <f ca="1">OFFSET(L63,0,-1)+1</f>
        <v>1</v>
      </c>
      <c r="M63" s="373">
        <f t="shared" ref="M63:T63" ca="1" si="9">OFFSET(M63,0,-1)+1</f>
        <v>2</v>
      </c>
      <c r="N63" s="373">
        <f t="shared" ca="1" si="9"/>
        <v>3</v>
      </c>
      <c r="O63" s="373">
        <f t="shared" ca="1" si="9"/>
        <v>4</v>
      </c>
      <c r="P63" s="373">
        <f t="shared" ca="1" si="9"/>
        <v>5</v>
      </c>
      <c r="Q63" s="373">
        <f t="shared" ca="1" si="9"/>
        <v>6</v>
      </c>
      <c r="R63" s="373">
        <f t="shared" ca="1" si="9"/>
        <v>7</v>
      </c>
      <c r="S63" s="373">
        <f t="shared" ca="1" si="9"/>
        <v>8</v>
      </c>
      <c r="T63" s="373">
        <f t="shared" ca="1" si="9"/>
        <v>9</v>
      </c>
      <c r="U63" s="66"/>
    </row>
    <row r="64" spans="1:56" ht="18.75">
      <c r="B64" s="570" t="s">
        <v>81</v>
      </c>
      <c r="C64" s="406"/>
      <c r="D64" s="730"/>
      <c r="E64" s="195" t="s">
        <v>63</v>
      </c>
      <c r="F64" s="195"/>
      <c r="G64" s="195"/>
      <c r="H64" s="78"/>
      <c r="I64" s="195"/>
      <c r="J64" s="195"/>
      <c r="K64" s="195"/>
      <c r="L64" s="195"/>
      <c r="M64" s="195"/>
      <c r="N64" s="195"/>
      <c r="O64" s="195"/>
      <c r="P64" s="195"/>
      <c r="Q64" s="195"/>
      <c r="R64" s="195"/>
      <c r="S64" s="195"/>
      <c r="T64" s="195"/>
      <c r="U64" s="195"/>
      <c r="V64" s="195"/>
      <c r="W64" s="195"/>
      <c r="X64" s="195"/>
      <c r="Y64" s="195"/>
      <c r="Z64" s="195"/>
      <c r="AA64" s="195"/>
      <c r="AB64" s="195"/>
      <c r="AC64" s="195"/>
      <c r="AD64" s="195"/>
      <c r="AE64" s="195"/>
      <c r="AF64" s="195"/>
      <c r="AG64" s="195"/>
      <c r="AH64" s="195"/>
      <c r="AI64" s="195"/>
      <c r="AJ64" s="195"/>
      <c r="AK64" s="195"/>
      <c r="AL64" s="195"/>
      <c r="AM64" s="195"/>
      <c r="AN64" s="195"/>
      <c r="AO64" s="195"/>
      <c r="AP64" s="195"/>
      <c r="AQ64" s="195"/>
      <c r="AR64" s="195"/>
      <c r="AS64" s="195"/>
      <c r="AT64" s="195"/>
      <c r="AU64" s="195"/>
      <c r="AV64" s="195"/>
      <c r="AW64" s="195"/>
      <c r="AX64" s="195"/>
      <c r="AY64" s="195"/>
      <c r="AZ64" s="195"/>
      <c r="BA64" s="195"/>
      <c r="BB64" s="36"/>
      <c r="BC64" s="36"/>
      <c r="BD64" s="229"/>
    </row>
    <row r="65" spans="1:21" s="2" customFormat="1" ht="15.75" customHeight="1">
      <c r="A65" s="536"/>
      <c r="B65" s="570" t="s">
        <v>81</v>
      </c>
      <c r="D65" s="731"/>
      <c r="E65" s="180" t="s">
        <v>64</v>
      </c>
      <c r="F65" s="180"/>
      <c r="G65" s="181" t="s">
        <v>65</v>
      </c>
      <c r="H65" s="4"/>
      <c r="I65" s="409"/>
      <c r="J65" s="554"/>
      <c r="K65" s="409"/>
      <c r="L65" s="1252"/>
      <c r="M65" s="1252"/>
      <c r="N65" s="1252"/>
      <c r="O65" s="1252"/>
      <c r="P65" s="1252"/>
      <c r="Q65" s="1252"/>
      <c r="R65" s="1252"/>
      <c r="S65" s="1252"/>
      <c r="T65" s="1252"/>
      <c r="U65" s="555"/>
    </row>
    <row r="66" spans="1:21" s="2" customFormat="1">
      <c r="A66" s="536"/>
      <c r="B66" s="570" t="s">
        <v>81</v>
      </c>
      <c r="D66" s="642" t="s">
        <v>45</v>
      </c>
      <c r="E66" s="180" t="s">
        <v>66</v>
      </c>
      <c r="F66" s="180"/>
      <c r="G66" s="181" t="s">
        <v>65</v>
      </c>
      <c r="H66" s="4"/>
      <c r="I66" s="409"/>
      <c r="J66" s="554"/>
      <c r="K66" s="409"/>
      <c r="L66" s="902"/>
      <c r="M66" s="902"/>
      <c r="N66" s="902"/>
      <c r="O66" s="902"/>
      <c r="P66" s="902"/>
      <c r="Q66" s="902"/>
      <c r="R66" s="902"/>
      <c r="S66" s="902"/>
      <c r="T66" s="902"/>
      <c r="U66" s="555"/>
    </row>
    <row r="67" spans="1:21" s="2" customFormat="1">
      <c r="A67" s="536"/>
      <c r="B67" s="570"/>
      <c r="D67" s="731"/>
      <c r="E67" s="255" t="s">
        <v>68</v>
      </c>
      <c r="F67" s="180"/>
      <c r="G67" s="181" t="s">
        <v>65</v>
      </c>
      <c r="H67" s="4"/>
      <c r="I67" s="409"/>
      <c r="J67" s="554"/>
      <c r="K67" s="409"/>
      <c r="L67" s="609" t="str">
        <f>IF(L66="","",INDEX(bibliotheek!$H$21:$FC$21,MATCH(L66,woningen_gebouwen_namen,0)))</f>
        <v/>
      </c>
      <c r="M67" s="609" t="str">
        <f>IF(M66="","",INDEX(bibliotheek!$H$21:$FC$21,MATCH(M66,woningen_gebouwen_namen,0)))</f>
        <v/>
      </c>
      <c r="N67" s="609" t="str">
        <f>IF(N66="","",INDEX(bibliotheek!$H$21:$FC$21,MATCH(N66,woningen_gebouwen_namen,0)))</f>
        <v/>
      </c>
      <c r="O67" s="609" t="str">
        <f>IF(O66="","",INDEX(bibliotheek!$H$21:$FC$21,MATCH(O66,woningen_gebouwen_namen,0)))</f>
        <v/>
      </c>
      <c r="P67" s="609" t="str">
        <f>IF(P66="","",INDEX(bibliotheek!$H$21:$FC$21,MATCH(P66,woningen_gebouwen_namen,0)))</f>
        <v/>
      </c>
      <c r="Q67" s="609" t="str">
        <f>IF(Q66="","",INDEX(bibliotheek!$H$21:$FC$21,MATCH(Q66,woningen_gebouwen_namen,0)))</f>
        <v/>
      </c>
      <c r="R67" s="609" t="str">
        <f>IF(R66="","",INDEX(bibliotheek!$H$21:$FC$21,MATCH(R66,woningen_gebouwen_namen,0)))</f>
        <v/>
      </c>
      <c r="S67" s="609" t="str">
        <f>IF(S66="","",INDEX(bibliotheek!$H$21:$FC$21,MATCH(S66,woningen_gebouwen_namen,0)))</f>
        <v/>
      </c>
      <c r="T67" s="609" t="str">
        <f>IF(T66="","",INDEX(bibliotheek!$H$21:$FC$21,MATCH(T66,woningen_gebouwen_namen,0)))</f>
        <v/>
      </c>
      <c r="U67" s="555"/>
    </row>
    <row r="68" spans="1:21" s="2" customFormat="1">
      <c r="A68" s="536"/>
      <c r="B68" s="570" t="s">
        <v>81</v>
      </c>
      <c r="D68" s="731"/>
      <c r="E68" s="1218" t="s">
        <v>69</v>
      </c>
      <c r="F68" s="180"/>
      <c r="G68" s="181" t="s">
        <v>65</v>
      </c>
      <c r="H68" s="4"/>
      <c r="I68" s="409"/>
      <c r="J68" s="554"/>
      <c r="K68" s="409"/>
      <c r="L68" s="608"/>
      <c r="M68" s="608"/>
      <c r="N68" s="608"/>
      <c r="O68" s="608"/>
      <c r="P68" s="608"/>
      <c r="Q68" s="608"/>
      <c r="R68" s="608"/>
      <c r="S68" s="608"/>
      <c r="T68" s="608"/>
      <c r="U68" s="555"/>
    </row>
    <row r="69" spans="1:21" s="2" customFormat="1">
      <c r="A69" s="536"/>
      <c r="B69" s="570" t="s">
        <v>81</v>
      </c>
      <c r="D69" s="731"/>
      <c r="E69" s="180" t="s">
        <v>70</v>
      </c>
      <c r="F69" s="180"/>
      <c r="G69" s="181" t="s">
        <v>59</v>
      </c>
      <c r="H69" s="4"/>
      <c r="I69" s="13"/>
      <c r="J69" s="190">
        <f>J70+J71</f>
        <v>0</v>
      </c>
      <c r="K69" s="409"/>
      <c r="L69" s="267"/>
      <c r="M69" s="267"/>
      <c r="N69" s="267"/>
      <c r="O69" s="267"/>
      <c r="P69" s="267"/>
      <c r="Q69" s="267"/>
      <c r="R69" s="267"/>
      <c r="S69" s="267"/>
      <c r="T69" s="267"/>
      <c r="U69" s="410"/>
    </row>
    <row r="70" spans="1:21" s="2" customFormat="1">
      <c r="A70" s="536"/>
      <c r="B70" s="570" t="s">
        <v>81</v>
      </c>
      <c r="D70" s="731"/>
      <c r="E70" s="254" t="s">
        <v>71</v>
      </c>
      <c r="F70" s="254"/>
      <c r="G70" s="291" t="s">
        <v>72</v>
      </c>
      <c r="H70" s="4"/>
      <c r="I70" s="13"/>
      <c r="J70" s="190">
        <f>SUM(K70:U70)</f>
        <v>0</v>
      </c>
      <c r="K70" s="409"/>
      <c r="L70" s="556" t="str">
        <f>IF(L66="","",IF(OR(HLOOKUP(L66,woningen_gebouwen_gegevens,ROWS(bibliotheek!$E$20:$E$21),FALSE)=woning,HLOOKUP(L66,woningen_gebouwen_gegevens,ROWS(bibliotheek!$E$20:$E$21),FALSE)=woongebouw),L69,0))</f>
        <v/>
      </c>
      <c r="M70" s="556" t="str">
        <f>IF(M66="","",IF(OR(HLOOKUP(M66,woningen_gebouwen_gegevens,ROWS(bibliotheek!$E$20:$E$21),FALSE)=woning,HLOOKUP(M66,woningen_gebouwen_gegevens,ROWS(bibliotheek!$E$20:$E$21),FALSE)=woongebouw),M69,0))</f>
        <v/>
      </c>
      <c r="N70" s="556" t="str">
        <f>IF(N66="","",IF(OR(HLOOKUP(N66,woningen_gebouwen_gegevens,ROWS(bibliotheek!$E$20:$E$21),FALSE)=woning,HLOOKUP(N66,woningen_gebouwen_gegevens,ROWS(bibliotheek!$E$20:$E$21),FALSE)=woongebouw),N69,0))</f>
        <v/>
      </c>
      <c r="O70" s="556" t="str">
        <f>IF(O66="","",IF(OR(HLOOKUP(O66,woningen_gebouwen_gegevens,ROWS(bibliotheek!$E$20:$E$21),FALSE)=woning,HLOOKUP(O66,woningen_gebouwen_gegevens,ROWS(bibliotheek!$E$20:$E$21),FALSE)=woongebouw),O69,0))</f>
        <v/>
      </c>
      <c r="P70" s="556" t="str">
        <f>IF(P66="","",IF(OR(HLOOKUP(P66,woningen_gebouwen_gegevens,ROWS(bibliotheek!$E$20:$E$21),FALSE)=woning,HLOOKUP(P66,woningen_gebouwen_gegevens,ROWS(bibliotheek!$E$20:$E$21),FALSE)=woongebouw),P69,0))</f>
        <v/>
      </c>
      <c r="Q70" s="556" t="str">
        <f>IF(Q66="","",IF(OR(HLOOKUP(Q66,woningen_gebouwen_gegevens,ROWS(bibliotheek!$E$20:$E$21),FALSE)=woning,HLOOKUP(Q66,woningen_gebouwen_gegevens,ROWS(bibliotheek!$E$20:$E$21),FALSE)=woongebouw),Q69,0))</f>
        <v/>
      </c>
      <c r="R70" s="556" t="str">
        <f>IF(R66="","",IF(OR(HLOOKUP(R66,woningen_gebouwen_gegevens,ROWS(bibliotheek!$E$20:$E$21),FALSE)=woning,HLOOKUP(R66,woningen_gebouwen_gegevens,ROWS(bibliotheek!$E$20:$E$21),FALSE)=woongebouw),R69,0))</f>
        <v/>
      </c>
      <c r="S70" s="556" t="str">
        <f>IF(S66="","",IF(OR(HLOOKUP(S66,woningen_gebouwen_gegevens,ROWS(bibliotheek!$E$20:$E$21),FALSE)=woning,HLOOKUP(S66,woningen_gebouwen_gegevens,ROWS(bibliotheek!$E$20:$E$21),FALSE)=woongebouw),S69,0))</f>
        <v/>
      </c>
      <c r="T70" s="556" t="str">
        <f>IF(T66="","",IF(OR(HLOOKUP(T66,woningen_gebouwen_gegevens,ROWS(bibliotheek!$E$20:$E$21),FALSE)=woning,HLOOKUP(T66,woningen_gebouwen_gegevens,ROWS(bibliotheek!$E$20:$E$21),FALSE)=woongebouw),T69,0))</f>
        <v/>
      </c>
      <c r="U70" s="410"/>
    </row>
    <row r="71" spans="1:21" s="2" customFormat="1">
      <c r="A71" s="536"/>
      <c r="B71" s="570" t="s">
        <v>81</v>
      </c>
      <c r="D71" s="731"/>
      <c r="E71" s="254" t="s">
        <v>73</v>
      </c>
      <c r="F71" s="254"/>
      <c r="G71" s="291" t="s">
        <v>74</v>
      </c>
      <c r="H71" s="4"/>
      <c r="I71" s="13"/>
      <c r="J71" s="190">
        <f>SUM(K71:U71)</f>
        <v>0</v>
      </c>
      <c r="K71" s="409"/>
      <c r="L71" s="397" t="str">
        <f t="shared" ref="L71:T71" si="10">IF(L66="","""",L69-L70)</f>
        <v>"</v>
      </c>
      <c r="M71" s="397" t="str">
        <f t="shared" si="10"/>
        <v>"</v>
      </c>
      <c r="N71" s="397" t="str">
        <f t="shared" si="10"/>
        <v>"</v>
      </c>
      <c r="O71" s="397" t="str">
        <f t="shared" si="10"/>
        <v>"</v>
      </c>
      <c r="P71" s="397" t="str">
        <f t="shared" si="10"/>
        <v>"</v>
      </c>
      <c r="Q71" s="397" t="str">
        <f t="shared" si="10"/>
        <v>"</v>
      </c>
      <c r="R71" s="397" t="str">
        <f t="shared" si="10"/>
        <v>"</v>
      </c>
      <c r="S71" s="397" t="str">
        <f t="shared" si="10"/>
        <v>"</v>
      </c>
      <c r="T71" s="397" t="str">
        <f t="shared" si="10"/>
        <v>"</v>
      </c>
      <c r="U71" s="410"/>
    </row>
    <row r="72" spans="1:21" s="2" customFormat="1">
      <c r="A72" s="536"/>
      <c r="B72" s="570" t="s">
        <v>81</v>
      </c>
      <c r="D72" s="731"/>
      <c r="E72" s="254" t="s">
        <v>75</v>
      </c>
      <c r="F72" s="254"/>
      <c r="G72" s="291" t="s">
        <v>76</v>
      </c>
      <c r="J72" s="189">
        <f>SUMPRODUCT(K69:U69,K72:U72)</f>
        <v>0</v>
      </c>
      <c r="L72" s="384" t="str">
        <f>IF(L66="","",IF(L73&lt;&gt;"",L73,HLOOKUP(L66,woningen_gebouwen_gegevens,ROWS(bibliotheek!$E$20:$E$23),FALSE)))</f>
        <v/>
      </c>
      <c r="M72" s="384" t="str">
        <f>IF(M66="","",IF(M73&lt;&gt;"",M73,HLOOKUP(M66,woningen_gebouwen_gegevens,ROWS(bibliotheek!$E$20:$E$23),FALSE)))</f>
        <v/>
      </c>
      <c r="N72" s="384" t="str">
        <f>IF(N66="","",IF(N73&lt;&gt;"",N73,HLOOKUP(N66,woningen_gebouwen_gegevens,ROWS(bibliotheek!$E$20:$E$23),FALSE)))</f>
        <v/>
      </c>
      <c r="O72" s="384" t="str">
        <f>IF(O66="","",IF(O73&lt;&gt;"",O73,HLOOKUP(O66,woningen_gebouwen_gegevens,ROWS(bibliotheek!$E$20:$E$23),FALSE)))</f>
        <v/>
      </c>
      <c r="P72" s="384" t="str">
        <f>IF(P66="","",IF(P73&lt;&gt;"",P73,HLOOKUP(P66,woningen_gebouwen_gegevens,ROWS(bibliotheek!$E$20:$E$23),FALSE)))</f>
        <v/>
      </c>
      <c r="Q72" s="384" t="str">
        <f>IF(Q66="","",IF(Q73&lt;&gt;"",Q73,HLOOKUP(Q66,woningen_gebouwen_gegevens,ROWS(bibliotheek!$E$20:$E$23),FALSE)))</f>
        <v/>
      </c>
      <c r="R72" s="384" t="str">
        <f>IF(R66="","",IF(R73&lt;&gt;"",R73,HLOOKUP(R66,woningen_gebouwen_gegevens,ROWS(bibliotheek!$E$20:$E$23),FALSE)))</f>
        <v/>
      </c>
      <c r="S72" s="384" t="str">
        <f>IF(S66="","",IF(S73&lt;&gt;"",S73,HLOOKUP(S66,woningen_gebouwen_gegevens,ROWS(bibliotheek!$E$20:$E$23),FALSE)))</f>
        <v/>
      </c>
      <c r="T72" s="384" t="str">
        <f>IF(T66="","",IF(T73&lt;&gt;"",T73,HLOOKUP(T66,woningen_gebouwen_gegevens,ROWS(bibliotheek!$E$20:$E$23),FALSE)))</f>
        <v/>
      </c>
      <c r="U72" s="374"/>
    </row>
    <row r="73" spans="1:21" s="2" customFormat="1">
      <c r="A73" s="536"/>
      <c r="B73" s="570" t="s">
        <v>81</v>
      </c>
      <c r="D73" s="731"/>
      <c r="E73" s="1218" t="s">
        <v>77</v>
      </c>
      <c r="F73" s="255"/>
      <c r="G73" s="292"/>
      <c r="J73" s="198"/>
      <c r="L73" s="142"/>
      <c r="M73" s="142"/>
      <c r="N73" s="142"/>
      <c r="O73" s="142"/>
      <c r="P73" s="142"/>
      <c r="Q73" s="142"/>
      <c r="R73" s="142"/>
      <c r="S73" s="142"/>
      <c r="T73" s="142"/>
      <c r="U73" s="374"/>
    </row>
    <row r="74" spans="1:21" s="2" customFormat="1">
      <c r="A74" s="536"/>
      <c r="B74" s="570" t="s">
        <v>81</v>
      </c>
      <c r="D74" s="731"/>
      <c r="E74" s="1099" t="s">
        <v>78</v>
      </c>
      <c r="F74" s="254"/>
      <c r="G74" s="291" t="s">
        <v>76</v>
      </c>
      <c r="H74" s="4"/>
      <c r="I74" s="409"/>
      <c r="J74" s="190">
        <f>SUMPRODUCT(K69:U69,K74:U74)</f>
        <v>0</v>
      </c>
      <c r="K74" s="409"/>
      <c r="L74" s="227" t="str">
        <f>IF(L66="","",IF(L75&lt;&gt;"",L75,L72*HLOOKUP(L66,woningen_gebouwen_gegevens,ROWS(bibliotheek!$E$20:$E$33),FALSE)))</f>
        <v/>
      </c>
      <c r="M74" s="227" t="str">
        <f>IF(M66="","",IF(M75&lt;&gt;"",M75,M72*HLOOKUP(M66,woningen_gebouwen_gegevens,ROWS(bibliotheek!$E$20:$E$33),FALSE)))</f>
        <v/>
      </c>
      <c r="N74" s="227" t="str">
        <f>IF(N66="","",IF(N75&lt;&gt;"",N75,N72*HLOOKUP(N66,woningen_gebouwen_gegevens,ROWS(bibliotheek!$E$20:$E$33),FALSE)))</f>
        <v/>
      </c>
      <c r="O74" s="227" t="str">
        <f>IF(O66="","",IF(O75&lt;&gt;"",O75,O72*HLOOKUP(O66,woningen_gebouwen_gegevens,ROWS(bibliotheek!$E$20:$E$33),FALSE)))</f>
        <v/>
      </c>
      <c r="P74" s="227" t="str">
        <f>IF(P66="","",IF(P75&lt;&gt;"",P75,P72*HLOOKUP(P66,woningen_gebouwen_gegevens,ROWS(bibliotheek!$E$20:$E$33),FALSE)))</f>
        <v/>
      </c>
      <c r="Q74" s="227" t="str">
        <f>IF(Q66="","",IF(Q75&lt;&gt;"",Q75,Q72*HLOOKUP(Q66,woningen_gebouwen_gegevens,ROWS(bibliotheek!$E$20:$E$33),FALSE)))</f>
        <v/>
      </c>
      <c r="R74" s="227" t="str">
        <f>IF(R66="","",IF(R75&lt;&gt;"",R75,R72*HLOOKUP(R66,woningen_gebouwen_gegevens,ROWS(bibliotheek!$E$20:$E$33),FALSE)))</f>
        <v/>
      </c>
      <c r="S74" s="227" t="str">
        <f>IF(S66="","",IF(S75&lt;&gt;"",S75,S72*HLOOKUP(S66,woningen_gebouwen_gegevens,ROWS(bibliotheek!$E$20:$E$33),FALSE)))</f>
        <v/>
      </c>
      <c r="T74" s="227" t="str">
        <f>IF(T66="","",IF(T75&lt;&gt;"",T75,T72*HLOOKUP(T66,woningen_gebouwen_gegevens,ROWS(bibliotheek!$E$20:$E$33),FALSE)))</f>
        <v/>
      </c>
      <c r="U74" s="375"/>
    </row>
    <row r="75" spans="1:21" s="2" customFormat="1">
      <c r="A75" s="536"/>
      <c r="B75" s="570" t="s">
        <v>62</v>
      </c>
      <c r="D75" s="731"/>
      <c r="E75" s="1218" t="s">
        <v>77</v>
      </c>
      <c r="F75" s="255"/>
      <c r="G75" s="292"/>
      <c r="J75" s="198"/>
      <c r="L75" s="142"/>
      <c r="M75" s="142"/>
      <c r="N75" s="142"/>
      <c r="O75" s="142"/>
      <c r="P75" s="142"/>
      <c r="Q75" s="142"/>
      <c r="R75" s="142"/>
      <c r="S75" s="142"/>
      <c r="T75" s="142"/>
      <c r="U75" s="374"/>
    </row>
    <row r="76" spans="1:21" s="2" customFormat="1">
      <c r="A76" s="536"/>
      <c r="B76" s="570" t="s">
        <v>62</v>
      </c>
      <c r="D76" s="731"/>
      <c r="E76" s="1099" t="s">
        <v>903</v>
      </c>
      <c r="F76" s="254"/>
      <c r="G76" s="291" t="s">
        <v>1332</v>
      </c>
      <c r="H76" s="4"/>
      <c r="I76" s="409"/>
      <c r="J76" s="190"/>
      <c r="K76" s="409"/>
      <c r="L76" s="227" t="str">
        <f>IF(L66="","",IFERROR(L74/L72,0))</f>
        <v/>
      </c>
      <c r="M76" s="227" t="str">
        <f t="shared" ref="M76:T76" si="11">IF(M66="","",IFERROR(M74/M72,0))</f>
        <v/>
      </c>
      <c r="N76" s="227" t="str">
        <f t="shared" si="11"/>
        <v/>
      </c>
      <c r="O76" s="227" t="str">
        <f t="shared" si="11"/>
        <v/>
      </c>
      <c r="P76" s="227" t="str">
        <f t="shared" si="11"/>
        <v/>
      </c>
      <c r="Q76" s="227" t="str">
        <f t="shared" si="11"/>
        <v/>
      </c>
      <c r="R76" s="227" t="str">
        <f t="shared" si="11"/>
        <v/>
      </c>
      <c r="S76" s="227" t="str">
        <f t="shared" si="11"/>
        <v/>
      </c>
      <c r="T76" s="227" t="str">
        <f t="shared" si="11"/>
        <v/>
      </c>
      <c r="U76" s="375"/>
    </row>
    <row r="77" spans="1:21">
      <c r="B77" s="570" t="s">
        <v>81</v>
      </c>
    </row>
    <row r="78" spans="1:21" ht="21">
      <c r="A78" s="567"/>
      <c r="B78" s="420" t="s">
        <v>82</v>
      </c>
      <c r="C78" s="569" t="s">
        <v>83</v>
      </c>
      <c r="D78" s="643" t="s">
        <v>84</v>
      </c>
      <c r="E78" s="1219" t="s">
        <v>82</v>
      </c>
      <c r="F78" s="1219" t="s">
        <v>82</v>
      </c>
      <c r="G78" s="1219" t="s">
        <v>82</v>
      </c>
      <c r="H78" s="1219" t="s">
        <v>82</v>
      </c>
      <c r="I78" s="1219" t="s">
        <v>82</v>
      </c>
      <c r="J78" s="1219" t="s">
        <v>82</v>
      </c>
      <c r="K78" s="1219" t="s">
        <v>82</v>
      </c>
      <c r="L78" s="1219" t="s">
        <v>82</v>
      </c>
      <c r="M78" s="1219" t="s">
        <v>82</v>
      </c>
      <c r="N78" s="1219" t="s">
        <v>82</v>
      </c>
      <c r="O78" s="1219" t="s">
        <v>82</v>
      </c>
      <c r="P78" s="1219" t="s">
        <v>82</v>
      </c>
      <c r="Q78" s="1219" t="s">
        <v>82</v>
      </c>
      <c r="R78" s="1219" t="s">
        <v>82</v>
      </c>
      <c r="S78" s="1219" t="s">
        <v>82</v>
      </c>
      <c r="T78" s="1219" t="s">
        <v>82</v>
      </c>
    </row>
  </sheetData>
  <sheetProtection algorithmName="SHA-512" hashValue="gfrI899FKyC5sVHDUsN/odqE/0YIuwJOosTvPS1K8n+wml71JILkRPMAq3eC2m7hLS2xPE1EBmXJ8eu8DK3QDQ==" saltValue="3kcFaY1j4h1vpGCUa+NCDg==" spinCount="100000" sheet="1" objects="1" scenarios="1" formatColumns="0" autoFilter="0"/>
  <autoFilter ref="B7:B78" xr:uid="{18FFC9CE-6F07-49A1-A37C-715ECAC0CC7F}"/>
  <mergeCells count="13">
    <mergeCell ref="F3:G3"/>
    <mergeCell ref="F15:G15"/>
    <mergeCell ref="F31:G31"/>
    <mergeCell ref="B4:B6"/>
    <mergeCell ref="L17:T17"/>
    <mergeCell ref="F4:G4"/>
    <mergeCell ref="F5:G5"/>
    <mergeCell ref="L33:T33"/>
    <mergeCell ref="L49:T49"/>
    <mergeCell ref="L65:T65"/>
    <mergeCell ref="F9:G9"/>
    <mergeCell ref="F47:G47"/>
    <mergeCell ref="F63:G63"/>
  </mergeCells>
  <conditionalFormatting sqref="B78:C78">
    <cfRule type="expression" dxfId="1048" priority="104">
      <formula>B78=""</formula>
    </cfRule>
  </conditionalFormatting>
  <conditionalFormatting sqref="F3:F5">
    <cfRule type="expression" dxfId="1047" priority="175">
      <formula>F3=""</formula>
    </cfRule>
  </conditionalFormatting>
  <conditionalFormatting sqref="G2">
    <cfRule type="expression" dxfId="1046" priority="39">
      <formula>ISERROR(SUM($J$11:$J$12))=TRUE</formula>
    </cfRule>
  </conditionalFormatting>
  <conditionalFormatting sqref="L17">
    <cfRule type="expression" dxfId="1045" priority="263">
      <formula>L17=""</formula>
    </cfRule>
  </conditionalFormatting>
  <conditionalFormatting sqref="L33">
    <cfRule type="expression" dxfId="1044" priority="103">
      <formula>L33=""</formula>
    </cfRule>
  </conditionalFormatting>
  <conditionalFormatting sqref="L49">
    <cfRule type="expression" dxfId="1043" priority="101">
      <formula>L49=""</formula>
    </cfRule>
  </conditionalFormatting>
  <conditionalFormatting sqref="L65">
    <cfRule type="expression" dxfId="1042" priority="99">
      <formula>L65=""</formula>
    </cfRule>
  </conditionalFormatting>
  <conditionalFormatting sqref="L18:T18">
    <cfRule type="expression" dxfId="1041" priority="284">
      <formula>AND(L18&lt;&gt;"",ISERROR(MATCH(L18,woningen_gebouwen_namen,0))=TRUE)</formula>
    </cfRule>
    <cfRule type="expression" dxfId="1040" priority="285">
      <formula>L18=""</formula>
    </cfRule>
  </conditionalFormatting>
  <conditionalFormatting sqref="L19:T19">
    <cfRule type="expression" dxfId="1039" priority="43">
      <formula>L18=""</formula>
    </cfRule>
  </conditionalFormatting>
  <conditionalFormatting sqref="L20:T20">
    <cfRule type="expression" dxfId="1038" priority="91">
      <formula>L18=""</formula>
    </cfRule>
    <cfRule type="expression" dxfId="1037" priority="92">
      <formula>AND(L18&lt;&gt;"",L20="")</formula>
    </cfRule>
  </conditionalFormatting>
  <conditionalFormatting sqref="L21:T21">
    <cfRule type="expression" dxfId="1036" priority="4">
      <formula>AND(L18&lt;&gt;"",L21="")</formula>
    </cfRule>
  </conditionalFormatting>
  <conditionalFormatting sqref="L23:T23">
    <cfRule type="expression" dxfId="1035" priority="90">
      <formula>L18=""</formula>
    </cfRule>
  </conditionalFormatting>
  <conditionalFormatting sqref="L25:T25">
    <cfRule type="expression" dxfId="1034" priority="95">
      <formula>L18=""</formula>
    </cfRule>
    <cfRule type="expression" dxfId="1033" priority="96">
      <formula>AND(L18&lt;&gt;"",L25="")</formula>
    </cfRule>
  </conditionalFormatting>
  <conditionalFormatting sqref="L27:T27">
    <cfRule type="expression" dxfId="1032" priority="24">
      <formula>AND(L18&lt;&gt;"",L27="")</formula>
    </cfRule>
    <cfRule type="expression" dxfId="1031" priority="23">
      <formula>L18=""</formula>
    </cfRule>
  </conditionalFormatting>
  <conditionalFormatting sqref="L34:T34">
    <cfRule type="expression" dxfId="1030" priority="36">
      <formula>L34=""</formula>
    </cfRule>
    <cfRule type="expression" dxfId="1029" priority="35">
      <formula>AND(L34&lt;&gt;"",ISERROR(MATCH(L34,woningen_gebouwen_namen,0))=TRUE)</formula>
    </cfRule>
  </conditionalFormatting>
  <conditionalFormatting sqref="L35:T35">
    <cfRule type="expression" dxfId="1028" priority="42">
      <formula>L34=""</formula>
    </cfRule>
  </conditionalFormatting>
  <conditionalFormatting sqref="L36:T36">
    <cfRule type="expression" dxfId="1027" priority="80">
      <formula>L34=""</formula>
    </cfRule>
    <cfRule type="expression" dxfId="1026" priority="81">
      <formula>AND(L34&lt;&gt;"",L36="")</formula>
    </cfRule>
  </conditionalFormatting>
  <conditionalFormatting sqref="L37:T37">
    <cfRule type="expression" dxfId="1025" priority="3">
      <formula>AND(L34&lt;&gt;"",L37="")</formula>
    </cfRule>
  </conditionalFormatting>
  <conditionalFormatting sqref="L39:T39">
    <cfRule type="expression" dxfId="1024" priority="79">
      <formula>L34=""</formula>
    </cfRule>
  </conditionalFormatting>
  <conditionalFormatting sqref="L41:T41">
    <cfRule type="expression" dxfId="1023" priority="85">
      <formula>AND(L34&lt;&gt;"",L41="")</formula>
    </cfRule>
    <cfRule type="expression" dxfId="1022" priority="84">
      <formula>L34=""</formula>
    </cfRule>
  </conditionalFormatting>
  <conditionalFormatting sqref="L43:T43">
    <cfRule type="expression" dxfId="1021" priority="9">
      <formula>L34=""</formula>
    </cfRule>
    <cfRule type="expression" dxfId="1020" priority="10">
      <formula>AND(L34&lt;&gt;"",L43="")</formula>
    </cfRule>
  </conditionalFormatting>
  <conditionalFormatting sqref="L50:T50">
    <cfRule type="expression" dxfId="1019" priority="32">
      <formula>L50=""</formula>
    </cfRule>
    <cfRule type="expression" dxfId="1018" priority="31">
      <formula>AND(L50&lt;&gt;"",ISERROR(MATCH(L50,woningen_gebouwen_namen,0))=TRUE)</formula>
    </cfRule>
  </conditionalFormatting>
  <conditionalFormatting sqref="L51:T51">
    <cfRule type="expression" dxfId="1017" priority="41">
      <formula>L50=""</formula>
    </cfRule>
  </conditionalFormatting>
  <conditionalFormatting sqref="L52:T52">
    <cfRule type="expression" dxfId="1016" priority="70">
      <formula>AND(L50&lt;&gt;"",L52="")</formula>
    </cfRule>
    <cfRule type="expression" dxfId="1015" priority="69">
      <formula>L50=""</formula>
    </cfRule>
  </conditionalFormatting>
  <conditionalFormatting sqref="L53:T53">
    <cfRule type="expression" dxfId="1014" priority="2">
      <formula>AND(L50&lt;&gt;"",L53="")</formula>
    </cfRule>
  </conditionalFormatting>
  <conditionalFormatting sqref="L55:T55">
    <cfRule type="expression" dxfId="1013" priority="68">
      <formula>L50=""</formula>
    </cfRule>
  </conditionalFormatting>
  <conditionalFormatting sqref="L57:T57">
    <cfRule type="expression" dxfId="1012" priority="74">
      <formula>AND(L50&lt;&gt;"",L57="")</formula>
    </cfRule>
    <cfRule type="expression" dxfId="1011" priority="73">
      <formula>L50=""</formula>
    </cfRule>
  </conditionalFormatting>
  <conditionalFormatting sqref="L59:T59">
    <cfRule type="expression" dxfId="1010" priority="7">
      <formula>L50=""</formula>
    </cfRule>
    <cfRule type="expression" dxfId="1009" priority="8">
      <formula>AND(L50&lt;&gt;"",L59="")</formula>
    </cfRule>
  </conditionalFormatting>
  <conditionalFormatting sqref="L66:T66">
    <cfRule type="expression" dxfId="1008" priority="27">
      <formula>AND(L66&lt;&gt;"",ISERROR(MATCH(L66,woningen_gebouwen_namen,0))=TRUE)</formula>
    </cfRule>
    <cfRule type="expression" dxfId="1007" priority="28">
      <formula>L66=""</formula>
    </cfRule>
  </conditionalFormatting>
  <conditionalFormatting sqref="L67:T67">
    <cfRule type="expression" dxfId="1006" priority="40">
      <formula>L66=""</formula>
    </cfRule>
  </conditionalFormatting>
  <conditionalFormatting sqref="L68:T68">
    <cfRule type="expression" dxfId="1005" priority="59">
      <formula>AND(L66&lt;&gt;"",L68="")</formula>
    </cfRule>
    <cfRule type="expression" dxfId="1004" priority="58">
      <formula>L66=""</formula>
    </cfRule>
  </conditionalFormatting>
  <conditionalFormatting sqref="L69:T69">
    <cfRule type="expression" dxfId="1003" priority="1">
      <formula>AND(L66&lt;&gt;"",L69="")</formula>
    </cfRule>
  </conditionalFormatting>
  <conditionalFormatting sqref="L71:T71">
    <cfRule type="expression" dxfId="1002" priority="57">
      <formula>L66=""</formula>
    </cfRule>
  </conditionalFormatting>
  <conditionalFormatting sqref="L73:T73">
    <cfRule type="expression" dxfId="1001" priority="63">
      <formula>AND(L66&lt;&gt;"",L73="")</formula>
    </cfRule>
    <cfRule type="expression" dxfId="1000" priority="62">
      <formula>L66=""</formula>
    </cfRule>
  </conditionalFormatting>
  <conditionalFormatting sqref="L75:T75">
    <cfRule type="expression" dxfId="999" priority="5">
      <formula>L66=""</formula>
    </cfRule>
    <cfRule type="expression" dxfId="998" priority="6">
      <formula>AND(L66&lt;&gt;"",L75="")</formula>
    </cfRule>
  </conditionalFormatting>
  <conditionalFormatting sqref="S18">
    <cfRule type="expression" dxfId="997" priority="93">
      <formula>AND(S18&lt;&gt;"",ISERROR(MATCH(S18,woningen_gebouwen_namen,0))=TRUE)</formula>
    </cfRule>
    <cfRule type="expression" dxfId="996" priority="94">
      <formula>S18=""</formula>
    </cfRule>
  </conditionalFormatting>
  <dataValidations count="8">
    <dataValidation type="textLength" errorStyle="warning" allowBlank="1" showInputMessage="1" showErrorMessage="1" errorTitle="Maximaal 65 karakters" error="Maximaal 65 karakters" sqref="F5" xr:uid="{E43991F4-1CE5-4D59-9BD6-7B823E1CE537}">
      <formula1>0</formula1>
      <formula2>65</formula2>
    </dataValidation>
    <dataValidation type="textLength" errorStyle="warning" allowBlank="1" showInputMessage="1" showErrorMessage="1" errorTitle="Maximaal 30 karakters" error="Maximaal 30 karakters" sqref="F3" xr:uid="{29C98048-4C2A-47DF-AA2A-613D1AEF4819}">
      <formula1>0</formula1>
      <formula2>30</formula2>
    </dataValidation>
    <dataValidation allowBlank="1" showInputMessage="1" showErrorMessage="1" promptTitle="Invoer kenmerken gebouwen" prompt="Op dit tabblad worden aantallen en geometrische kenmerken van de woningen, woongebouwen en/of utiliteitsgebouwen ingevoerd._x000a__x000a_De energetische kenmerken worden ingevoerd voor de referentie (tabblad 'referentie') en varianten daarop (tabblad 'variant x')." sqref="D2:D3" xr:uid="{634EAEF5-4149-4801-ACAC-3D7BF2FDE41D}"/>
    <dataValidation type="decimal" operator="greaterThanOrEqual" allowBlank="1" showInputMessage="1" showErrorMessage="1" sqref="L39:T44 L69:T69 L53:T53 L37:T37 L21:T21 L55:T60 L23:T28 L71:T76" xr:uid="{999E6106-0095-4B84-A10D-32E2461AFDC6}">
      <formula1>0</formula1>
    </dataValidation>
    <dataValidation type="list" allowBlank="1" showInputMessage="1" showErrorMessage="1" sqref="L34:T34 L50:T50 L66:T66 L18:T18" xr:uid="{F89DE403-C942-4AEB-9989-5D3221A1FEB8}">
      <formula1>woningen_gebouwen_namen</formula1>
    </dataValidation>
    <dataValidation allowBlank="1" showInputMessage="1" showErrorMessage="1" promptTitle="Gegevensfilter en navigatie" prompt="&lt;-_x000a_Het gegevensfilter biedt de mogelijkheid om (delen van) tabellen in de UMGO te filteren._x000a__x000a_-&gt;_x000a_Navigatieknoppen naar andere tabbladen." sqref="D7" xr:uid="{34A873A8-7BE9-4CC3-B1D1-3FDB63023865}"/>
    <dataValidation type="textLength" errorStyle="warning" allowBlank="1" showInputMessage="1" showErrorMessage="1" errorTitle="Maximaal 30 karakters" error="Maximaal 30 karakters" sqref="F4" xr:uid="{434D77DE-8141-4CCD-A518-1FB44DF7FE09}">
      <formula1>0</formula1>
      <formula2>50</formula2>
    </dataValidation>
    <dataValidation allowBlank="1" showInputMessage="1" showErrorMessage="1" promptTitle="woningen|utiliteitsgebouwen" prompt="De te kiezen typen RVO woningen en utiliteitsgebouwen:_x000a_- BENG referentiewoningen;_x000a_- BENG utiliteitsgebouwen;_x000a_- Voorbeeldwoningen_x000a_   bestaande bouw 2020_x000a_   (in de lijst de woningtypen_x000a_   met een bouwjaarklasse)" sqref="D18 D34 D50 D66" xr:uid="{586E4DFD-6BB3-4B5E-B8F0-DF718311E2EE}"/>
  </dataValidations>
  <pageMargins left="0.75" right="0.75" top="1" bottom="1" header="0.5" footer="0.5"/>
  <pageSetup paperSize="9" scale="56" orientation="landscape" horizontalDpi="4294967293" verticalDpi="4294967293" r:id="rId1"/>
  <headerFooter alignWithMargins="0">
    <oddFooter>&amp;L_x000D_&amp;1#&amp;"Aptos"&amp;10&amp;K000000 Intern gebruik</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A1F1-0416-462C-B532-30E342FC77A1}">
  <sheetPr codeName="Blad7" filterMode="1">
    <tabColor theme="6" tint="0.39997558519241921"/>
    <outlinePr showOutlineSymbols="0"/>
    <pageSetUpPr fitToPage="1"/>
  </sheetPr>
  <dimension ref="A1:BH376"/>
  <sheetViews>
    <sheetView showGridLines="0" showRowColHeaders="0" zoomScaleNormal="100" workbookViewId="0">
      <pane xSplit="11" ySplit="14" topLeftCell="L36" activePane="bottomRight" state="frozen"/>
      <selection pane="topRight" activeCell="L1" sqref="L1"/>
      <selection pane="bottomLeft" activeCell="A15" sqref="A15"/>
      <selection pane="bottomRight" activeCell="E3" sqref="E3:F3"/>
    </sheetView>
  </sheetViews>
  <sheetFormatPr defaultRowHeight="17.25"/>
  <cols>
    <col min="1" max="1" width="0.5703125" style="1047" customWidth="1"/>
    <col min="2" max="3" width="2.7109375" style="1113" customWidth="1"/>
    <col min="4" max="4" width="2.7109375" style="192" customWidth="1"/>
    <col min="5" max="5" width="26.7109375" customWidth="1"/>
    <col min="6" max="7" width="17.7109375" customWidth="1"/>
    <col min="8" max="8" width="24.140625" bestFit="1" customWidth="1"/>
    <col min="9" max="9" width="0.28515625" customWidth="1"/>
    <col min="10" max="10" width="16.7109375" customWidth="1"/>
    <col min="11" max="12" width="1.42578125" customWidth="1"/>
    <col min="13" max="13" width="15.7109375" customWidth="1"/>
    <col min="14" max="14" width="0.28515625" customWidth="1"/>
    <col min="15" max="15" width="12.5703125" customWidth="1"/>
    <col min="16" max="23" width="12.7109375" customWidth="1"/>
    <col min="24" max="24" width="2.7109375" customWidth="1"/>
    <col min="25" max="25" width="15.7109375" customWidth="1"/>
    <col min="26" max="26" width="0.28515625" customWidth="1"/>
    <col min="27" max="35" width="12.7109375" customWidth="1"/>
    <col min="36" max="36" width="2.7109375" customWidth="1"/>
    <col min="37" max="37" width="15.7109375" customWidth="1"/>
    <col min="38" max="38" width="0.28515625" customWidth="1"/>
    <col min="39" max="47" width="12.7109375" customWidth="1"/>
    <col min="48" max="48" width="2.7109375" customWidth="1"/>
    <col min="49" max="49" width="15.7109375" customWidth="1"/>
    <col min="50" max="50" width="0.28515625" customWidth="1"/>
    <col min="51" max="59" width="12.7109375" customWidth="1"/>
    <col min="60" max="60" width="1.140625" customWidth="1"/>
    <col min="61" max="65" width="9.140625" customWidth="1"/>
  </cols>
  <sheetData>
    <row r="1" spans="1:60" s="699" customFormat="1" ht="21">
      <c r="A1" s="1036"/>
      <c r="B1" s="989"/>
      <c r="C1" s="989"/>
      <c r="D1" s="694"/>
      <c r="E1" s="1216" t="str">
        <f>disclaimer!$E$7&amp;" - "&amp;"versie "&amp;TEXT(disclaimer!$E$8,"d mmm jjjj")</f>
        <v>Uniforme Maatlat Gebouwde Omgeving 5.3.0 - versie 7 aug 2026</v>
      </c>
      <c r="F1" s="697"/>
      <c r="G1" s="697"/>
      <c r="H1" s="696"/>
      <c r="I1" s="697"/>
      <c r="J1" s="695"/>
      <c r="K1" s="1049"/>
      <c r="L1" s="1049"/>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1:60" s="764" customFormat="1" ht="26.25">
      <c r="A2" s="1037"/>
      <c r="B2" s="1101"/>
      <c r="C2" s="1101"/>
      <c r="D2" s="762"/>
      <c r="E2" s="1048" t="str">
        <f ca="1">IFERROR(MID(CELL("bestandsnaam",A1),SEARCH("]",CELL("bestandsnaam",A1),1)+1,99),"bestand nog niet opgeslagen")</f>
        <v>variant 1</v>
      </c>
      <c r="F2" s="763" t="str">
        <f>IF('woningen|utiliteit'!$G$2&lt;&gt;"","Controleer invoer gebouwen",IF(J52&lt;&gt;"ja","NB  Energiemaatregelen niet correct/volledig ingevuld",IF(J83&lt;&gt;"ja","NB  Vul alle installaties in","")))</f>
        <v/>
      </c>
      <c r="G2" s="763"/>
      <c r="H2" s="763"/>
      <c r="I2" s="710"/>
      <c r="J2" s="710"/>
      <c r="K2" s="1050"/>
      <c r="L2" s="1050"/>
      <c r="M2" s="767" t="s">
        <v>85</v>
      </c>
      <c r="N2" s="766"/>
      <c r="O2" s="771" t="s">
        <v>86</v>
      </c>
      <c r="P2" s="765"/>
      <c r="Q2" s="765"/>
      <c r="R2" s="765"/>
      <c r="S2" s="765"/>
      <c r="T2" s="765"/>
      <c r="U2" s="765"/>
      <c r="V2" s="765"/>
      <c r="W2" s="765"/>
      <c r="X2" s="765"/>
      <c r="Y2" s="767" t="s">
        <v>85</v>
      </c>
      <c r="Z2" s="766"/>
      <c r="AA2" s="771" t="s">
        <v>86</v>
      </c>
      <c r="AB2" s="765"/>
      <c r="AC2" s="765"/>
      <c r="AD2" s="765"/>
      <c r="AE2" s="765"/>
      <c r="AF2" s="765"/>
      <c r="AG2" s="765"/>
      <c r="AH2" s="765"/>
      <c r="AI2" s="765"/>
      <c r="AJ2" s="765"/>
      <c r="AK2" s="767" t="s">
        <v>85</v>
      </c>
      <c r="AL2" s="766"/>
      <c r="AM2" s="771" t="s">
        <v>86</v>
      </c>
      <c r="AN2" s="765"/>
      <c r="AO2" s="765"/>
      <c r="AP2" s="765"/>
      <c r="AQ2" s="765"/>
      <c r="AR2" s="765"/>
      <c r="AS2" s="765"/>
      <c r="AT2" s="765"/>
      <c r="AU2" s="765"/>
      <c r="AV2" s="765"/>
      <c r="AW2" s="767" t="s">
        <v>85</v>
      </c>
      <c r="AX2" s="766"/>
      <c r="AY2" s="771" t="s">
        <v>86</v>
      </c>
      <c r="AZ2" s="765"/>
      <c r="BA2" s="765"/>
      <c r="BB2" s="765"/>
      <c r="BC2" s="765"/>
      <c r="BD2" s="765"/>
      <c r="BE2" s="765"/>
      <c r="BF2" s="765"/>
      <c r="BG2" s="765"/>
      <c r="BH2" s="211"/>
    </row>
    <row r="3" spans="1:60">
      <c r="A3" s="1038"/>
      <c r="B3" s="990" t="s">
        <v>1118</v>
      </c>
      <c r="C3" s="990" t="s">
        <v>1118</v>
      </c>
      <c r="D3" s="638"/>
      <c r="E3" s="1261" t="str">
        <f>"project: "&amp;IF('woningen|utiliteit'!$F$3="","",'woningen|utiliteit'!$F$3)</f>
        <v xml:space="preserve">project: </v>
      </c>
      <c r="F3" s="1262"/>
      <c r="G3" s="713" t="s">
        <v>87</v>
      </c>
      <c r="H3" s="714"/>
      <c r="I3" s="79"/>
      <c r="K3" s="1050"/>
      <c r="L3" s="1050"/>
      <c r="M3" s="751" t="s">
        <v>88</v>
      </c>
      <c r="N3" s="752"/>
      <c r="O3" s="772" t="str">
        <f>IF(M22=0,"-",O104&amp;IF(O108=1,"","   |  "&amp;O140))</f>
        <v>-</v>
      </c>
      <c r="P3" s="753"/>
      <c r="Q3" s="754"/>
      <c r="R3" s="754"/>
      <c r="S3" s="754"/>
      <c r="T3" s="754"/>
      <c r="U3" s="754"/>
      <c r="V3" s="754"/>
      <c r="W3" s="754"/>
      <c r="X3" s="80"/>
      <c r="Y3" s="751" t="s">
        <v>88</v>
      </c>
      <c r="Z3" s="752"/>
      <c r="AA3" s="772" t="str">
        <f>IF(Y22=0,"-",AA104&amp;IF(AA108=1,"","   |  "&amp;AA140))</f>
        <v>-</v>
      </c>
      <c r="AB3" s="753"/>
      <c r="AC3" s="754"/>
      <c r="AD3" s="754"/>
      <c r="AE3" s="754"/>
      <c r="AF3" s="754"/>
      <c r="AG3" s="754"/>
      <c r="AH3" s="754"/>
      <c r="AI3" s="754"/>
      <c r="AJ3" s="80"/>
      <c r="AK3" s="751" t="s">
        <v>88</v>
      </c>
      <c r="AL3" s="752"/>
      <c r="AM3" s="772" t="str">
        <f>IF(AK22=0,"-",AM104&amp;IF(AM108=1,"","   |  "&amp;AM140))</f>
        <v>-</v>
      </c>
      <c r="AN3" s="753"/>
      <c r="AO3" s="754"/>
      <c r="AP3" s="754"/>
      <c r="AQ3" s="754"/>
      <c r="AR3" s="754"/>
      <c r="AS3" s="754"/>
      <c r="AT3" s="754"/>
      <c r="AU3" s="754"/>
      <c r="AV3" s="80"/>
      <c r="AW3" s="751" t="s">
        <v>88</v>
      </c>
      <c r="AX3" s="752"/>
      <c r="AY3" s="772" t="str">
        <f>IF(AW22=0,"-",AY104&amp;IF(AY108=1,"","   |  "&amp;AY140))</f>
        <v>-</v>
      </c>
      <c r="AZ3" s="753"/>
      <c r="BA3" s="754"/>
      <c r="BB3" s="754"/>
      <c r="BC3" s="754"/>
      <c r="BD3" s="754"/>
      <c r="BE3" s="754"/>
      <c r="BF3" s="754"/>
      <c r="BG3" s="754"/>
      <c r="BH3" s="211"/>
    </row>
    <row r="4" spans="1:60">
      <c r="A4" s="1038"/>
      <c r="B4" s="1102"/>
      <c r="C4" s="1102"/>
      <c r="D4" s="638"/>
      <c r="E4" s="715" t="s">
        <v>89</v>
      </c>
      <c r="F4" s="1263"/>
      <c r="G4" s="1263"/>
      <c r="H4" s="1264"/>
      <c r="I4" s="79"/>
      <c r="K4" s="1050"/>
      <c r="L4" s="1050"/>
      <c r="M4" s="755" t="s">
        <v>90</v>
      </c>
      <c r="N4" s="752"/>
      <c r="O4" s="773" t="str">
        <f>IF(M22=0,"-",P104&amp;IF(P108=1,"","   |  "&amp;P140))</f>
        <v>-</v>
      </c>
      <c r="P4" s="756"/>
      <c r="Q4" s="757"/>
      <c r="R4" s="754"/>
      <c r="S4" s="754"/>
      <c r="T4" s="754"/>
      <c r="U4" s="754"/>
      <c r="V4" s="754"/>
      <c r="W4" s="754"/>
      <c r="X4" s="80"/>
      <c r="Y4" s="755" t="s">
        <v>90</v>
      </c>
      <c r="Z4" s="752"/>
      <c r="AA4" s="773" t="str">
        <f>IF(Y22=0,"-",AB104&amp;IF(AB108=1,"","   |  "&amp;AB140))</f>
        <v>-</v>
      </c>
      <c r="AB4" s="756"/>
      <c r="AC4" s="757"/>
      <c r="AD4" s="754"/>
      <c r="AE4" s="754"/>
      <c r="AF4" s="754"/>
      <c r="AG4" s="754"/>
      <c r="AH4" s="754"/>
      <c r="AI4" s="754"/>
      <c r="AJ4" s="80"/>
      <c r="AK4" s="755" t="s">
        <v>90</v>
      </c>
      <c r="AL4" s="752"/>
      <c r="AM4" s="773" t="str">
        <f>IF(AK22=0,"-",AN104&amp;IF(AN108=1,"","   |  "&amp;AN140))</f>
        <v>-</v>
      </c>
      <c r="AN4" s="756"/>
      <c r="AO4" s="757"/>
      <c r="AP4" s="754"/>
      <c r="AQ4" s="754"/>
      <c r="AR4" s="754"/>
      <c r="AS4" s="754"/>
      <c r="AT4" s="754"/>
      <c r="AU4" s="754"/>
      <c r="AV4" s="80"/>
      <c r="AW4" s="755" t="s">
        <v>90</v>
      </c>
      <c r="AX4" s="752"/>
      <c r="AY4" s="773" t="str">
        <f>IF(AW22=0,"-",AZ104&amp;IF(AZ108=1,"","   |  "&amp;AZ140))</f>
        <v>-</v>
      </c>
      <c r="AZ4" s="756"/>
      <c r="BA4" s="757"/>
      <c r="BB4" s="754"/>
      <c r="BC4" s="754"/>
      <c r="BD4" s="754"/>
      <c r="BE4" s="754"/>
      <c r="BF4" s="754"/>
      <c r="BG4" s="754"/>
      <c r="BH4" s="211"/>
    </row>
    <row r="5" spans="1:60">
      <c r="A5" s="1038"/>
      <c r="B5" s="1265" t="s">
        <v>91</v>
      </c>
      <c r="C5" s="1265" t="s">
        <v>92</v>
      </c>
      <c r="D5" s="638"/>
      <c r="E5" s="1187" t="s">
        <v>1370</v>
      </c>
      <c r="F5" s="806" t="s">
        <v>1384</v>
      </c>
      <c r="G5" s="807">
        <f>HLOOKUP($F$5,bibliotheek!$E$304:$R$311,ROWS(bibliotheek!$E$304:$E$305),FALSE)</f>
        <v>1.45</v>
      </c>
      <c r="H5" s="808">
        <f>HLOOKUP($F$5,bibliotheek!$E$304:$R$311,ROWS(bibliotheek!$E$304:$E$311),FALSE)</f>
        <v>0.26800000000000002</v>
      </c>
      <c r="I5" s="79"/>
      <c r="J5" s="701"/>
      <c r="K5" s="80"/>
      <c r="L5" s="80"/>
      <c r="M5" s="751" t="s">
        <v>94</v>
      </c>
      <c r="N5" s="752"/>
      <c r="O5" s="772" t="str">
        <f>IF(M22=0,"-",Q104&amp;IF(Q108=1,"","   |  "&amp;Q140))</f>
        <v>-</v>
      </c>
      <c r="P5" s="754"/>
      <c r="Q5" s="754"/>
      <c r="R5" s="754"/>
      <c r="S5" s="754"/>
      <c r="T5" s="754"/>
      <c r="U5" s="754"/>
      <c r="V5" s="754"/>
      <c r="W5" s="754"/>
      <c r="X5" s="80"/>
      <c r="Y5" s="751" t="s">
        <v>94</v>
      </c>
      <c r="Z5" s="752"/>
      <c r="AA5" s="772" t="str">
        <f>IF(Y22=0,"-",AC104&amp;IF(AC108=1,"","   |  "&amp;AC140))</f>
        <v>-</v>
      </c>
      <c r="AB5" s="754"/>
      <c r="AC5" s="754"/>
      <c r="AD5" s="754"/>
      <c r="AE5" s="754"/>
      <c r="AF5" s="754"/>
      <c r="AG5" s="754"/>
      <c r="AH5" s="754"/>
      <c r="AI5" s="754"/>
      <c r="AJ5" s="80"/>
      <c r="AK5" s="751" t="s">
        <v>94</v>
      </c>
      <c r="AL5" s="752"/>
      <c r="AM5" s="772" t="str">
        <f>IF(AK22=0,"-",AO104&amp;IF(AO108=1,"","   |  "&amp;AO140))</f>
        <v>-</v>
      </c>
      <c r="AN5" s="754"/>
      <c r="AO5" s="754"/>
      <c r="AP5" s="754"/>
      <c r="AQ5" s="754"/>
      <c r="AR5" s="754"/>
      <c r="AS5" s="754"/>
      <c r="AT5" s="754"/>
      <c r="AU5" s="754"/>
      <c r="AV5" s="80"/>
      <c r="AW5" s="751" t="s">
        <v>94</v>
      </c>
      <c r="AX5" s="752"/>
      <c r="AY5" s="772" t="str">
        <f>IF(AW22=0,"-",BA104&amp;IF(BA108=1,"","   |  "&amp;BA140))</f>
        <v>-</v>
      </c>
      <c r="AZ5" s="754"/>
      <c r="BA5" s="754"/>
      <c r="BB5" s="754"/>
      <c r="BC5" s="754"/>
      <c r="BD5" s="754"/>
      <c r="BE5" s="754"/>
      <c r="BF5" s="754"/>
      <c r="BG5" s="754"/>
      <c r="BH5" s="211"/>
    </row>
    <row r="6" spans="1:60">
      <c r="A6" s="1038"/>
      <c r="B6" s="1265"/>
      <c r="C6" s="1265"/>
      <c r="D6" s="639" t="s">
        <v>45</v>
      </c>
      <c r="E6" s="716" t="s">
        <v>1162</v>
      </c>
      <c r="F6" s="806" t="s">
        <v>1119</v>
      </c>
      <c r="G6" s="957" t="str">
        <f>IF(F6=EP,"energieprestatieberekening","maatwerkadvies (geen resultaten EP)")</f>
        <v>energieprestatieberekening</v>
      </c>
      <c r="H6" s="935"/>
      <c r="I6" s="79"/>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1"/>
      <c r="AZ6" s="701"/>
      <c r="BA6" s="701"/>
      <c r="BB6" s="701"/>
      <c r="BC6" s="701"/>
      <c r="BD6" s="701"/>
      <c r="BE6" s="701"/>
      <c r="BF6" s="701"/>
      <c r="BG6" s="701"/>
      <c r="BH6" s="211"/>
    </row>
    <row r="7" spans="1:60" s="761" customFormat="1">
      <c r="A7" s="1039"/>
      <c r="B7" s="1265"/>
      <c r="C7" s="1265"/>
      <c r="D7" s="758"/>
      <c r="E7" s="759"/>
      <c r="F7" s="759"/>
      <c r="G7" s="759"/>
      <c r="H7" s="759"/>
      <c r="I7" s="759"/>
      <c r="J7" s="760"/>
      <c r="K7" s="760"/>
      <c r="L7" s="760"/>
      <c r="M7" s="759"/>
      <c r="N7" s="759"/>
      <c r="O7" s="858"/>
      <c r="P7" s="1168"/>
      <c r="Q7" s="759"/>
      <c r="R7" s="1168"/>
      <c r="S7" s="759"/>
      <c r="T7" s="758"/>
      <c r="U7" s="758"/>
      <c r="V7" s="758"/>
    </row>
    <row r="8" spans="1:60" ht="21">
      <c r="A8" s="1038"/>
      <c r="B8" s="1103"/>
      <c r="C8" s="1103"/>
      <c r="D8" s="639" t="s">
        <v>45</v>
      </c>
      <c r="E8" s="708"/>
      <c r="F8" s="1"/>
      <c r="G8" s="1"/>
      <c r="H8" s="1"/>
      <c r="I8" s="2"/>
      <c r="J8" s="709" t="s">
        <v>1167</v>
      </c>
      <c r="K8" s="710"/>
      <c r="L8" s="710"/>
      <c r="M8" s="709" t="s">
        <v>62</v>
      </c>
      <c r="N8" s="711"/>
      <c r="O8" s="711" t="str">
        <f>IF(M22=0,"[geen gebouwgegevens ingevoerd]",IF('woningen|utiliteit'!$L$17="","[geen naam locatie ingevoerd]",'woningen|utiliteit'!$L$17))</f>
        <v>[geen gebouwgegevens ingevoerd]</v>
      </c>
      <c r="P8" s="711"/>
      <c r="Q8" s="711"/>
      <c r="R8" s="711"/>
      <c r="S8" s="711"/>
      <c r="T8" s="712"/>
      <c r="U8" s="712"/>
      <c r="V8" s="711"/>
      <c r="W8" s="711"/>
      <c r="X8" s="710"/>
      <c r="Y8" s="709" t="s">
        <v>79</v>
      </c>
      <c r="Z8" s="711"/>
      <c r="AA8" s="711" t="str">
        <f>IF(Y22=0,"[geen gebouwgegevens ingevoerd]",IF('woningen|utiliteit'!$L$33="","[geen naam locatie ingevoerd]",'woningen|utiliteit'!$L$33))</f>
        <v>[geen gebouwgegevens ingevoerd]</v>
      </c>
      <c r="AB8" s="711"/>
      <c r="AC8" s="711"/>
      <c r="AD8" s="711"/>
      <c r="AE8" s="711"/>
      <c r="AF8" s="712"/>
      <c r="AG8" s="712"/>
      <c r="AH8" s="711"/>
      <c r="AI8" s="711"/>
      <c r="AJ8" s="710"/>
      <c r="AK8" s="709" t="s">
        <v>80</v>
      </c>
      <c r="AL8" s="711"/>
      <c r="AM8" s="711" t="str">
        <f>IF(AK22=0,"[geen gebouwgegevens ingevoerd]",IF('woningen|utiliteit'!$L$49="","[geen naam locatie ingevoerd]",'woningen|utiliteit'!$L$49))</f>
        <v>[geen gebouwgegevens ingevoerd]</v>
      </c>
      <c r="AN8" s="711"/>
      <c r="AO8" s="711"/>
      <c r="AP8" s="711"/>
      <c r="AQ8" s="711"/>
      <c r="AR8" s="712"/>
      <c r="AS8" s="712"/>
      <c r="AT8" s="711"/>
      <c r="AU8" s="711"/>
      <c r="AV8" s="710"/>
      <c r="AW8" s="709" t="s">
        <v>81</v>
      </c>
      <c r="AX8" s="711"/>
      <c r="AY8" s="711" t="str">
        <f>IF(AW22=0,"[geen gebouwgegevens ingevoerd]",IF('woningen|utiliteit'!$L$65="","[geen naam locatie ingevoerd]",'woningen|utiliteit'!$L$65))</f>
        <v>[geen gebouwgegevens ingevoerd]</v>
      </c>
      <c r="AZ8" s="178"/>
      <c r="BA8" s="178"/>
      <c r="BB8" s="178"/>
      <c r="BC8" s="178"/>
      <c r="BD8" s="179"/>
      <c r="BE8" s="179"/>
      <c r="BF8" s="178"/>
      <c r="BG8" s="178"/>
      <c r="BH8" s="1"/>
    </row>
    <row r="9" spans="1:60" s="591" customFormat="1" ht="5.25">
      <c r="A9" s="1104" t="s">
        <v>95</v>
      </c>
      <c r="B9" s="1104" t="s">
        <v>95</v>
      </c>
      <c r="C9" s="1105" t="s">
        <v>96</v>
      </c>
      <c r="D9" s="588"/>
      <c r="E9" s="589"/>
      <c r="F9" s="589"/>
      <c r="G9" s="589"/>
      <c r="H9" s="589"/>
      <c r="I9" s="589"/>
      <c r="J9" s="590"/>
      <c r="K9" s="590"/>
      <c r="L9" s="590"/>
      <c r="M9" s="589"/>
      <c r="N9" s="589"/>
      <c r="O9" s="589"/>
      <c r="P9" s="589"/>
      <c r="Q9" s="589"/>
      <c r="R9" s="589"/>
      <c r="S9" s="589"/>
      <c r="T9" s="588"/>
      <c r="U9" s="588"/>
      <c r="V9" s="588"/>
    </row>
    <row r="10" spans="1:60" ht="21">
      <c r="A10" s="1040"/>
      <c r="B10" s="1106" t="s">
        <v>95</v>
      </c>
      <c r="C10" s="1107" t="s">
        <v>96</v>
      </c>
      <c r="D10" s="639" t="s">
        <v>45</v>
      </c>
      <c r="E10" s="580" t="s">
        <v>1158</v>
      </c>
      <c r="F10" s="580"/>
      <c r="G10" s="580"/>
      <c r="H10" s="971" t="s">
        <v>1157</v>
      </c>
      <c r="I10" s="77"/>
      <c r="J10" s="176" t="str">
        <f>J$8</f>
        <v>alle locaties</v>
      </c>
      <c r="K10" s="126"/>
      <c r="L10" s="126"/>
      <c r="M10" s="176" t="str">
        <f>M$8</f>
        <v>locatie 1</v>
      </c>
      <c r="N10" s="182"/>
      <c r="O10" s="177" t="s">
        <v>88</v>
      </c>
      <c r="P10" s="177" t="s">
        <v>90</v>
      </c>
      <c r="Q10" s="177" t="s">
        <v>97</v>
      </c>
      <c r="R10" s="177" t="s">
        <v>98</v>
      </c>
      <c r="S10" s="177" t="s">
        <v>99</v>
      </c>
      <c r="T10" s="177" t="s">
        <v>100</v>
      </c>
      <c r="U10" s="177" t="s">
        <v>101</v>
      </c>
      <c r="V10" s="177" t="s">
        <v>102</v>
      </c>
      <c r="W10" s="177" t="s">
        <v>103</v>
      </c>
      <c r="X10" s="174"/>
      <c r="Y10" s="176" t="str">
        <f>Y8</f>
        <v>locatie 2</v>
      </c>
      <c r="Z10" s="182"/>
      <c r="AA10" s="177" t="str">
        <f>$O$10</f>
        <v>verwarming</v>
      </c>
      <c r="AB10" s="177" t="str">
        <f>$P$10</f>
        <v>koeling</v>
      </c>
      <c r="AC10" s="177" t="str">
        <f>$Q$10</f>
        <v>tapwater</v>
      </c>
      <c r="AD10" s="177" t="str">
        <f>$R$10</f>
        <v>verlichting</v>
      </c>
      <c r="AE10" s="177" t="str">
        <f>$S$10</f>
        <v>ventilatoren</v>
      </c>
      <c r="AF10" s="177" t="str">
        <f>$T$10</f>
        <v>kookgas</v>
      </c>
      <c r="AG10" s="177" t="str">
        <f>$U$10</f>
        <v>overig elektra</v>
      </c>
      <c r="AH10" s="177" t="str">
        <f>$V$10</f>
        <v>mobiliteit</v>
      </c>
      <c r="AI10" s="177" t="str">
        <f>$W$10</f>
        <v>zonnepanelen</v>
      </c>
      <c r="AJ10" s="174"/>
      <c r="AK10" s="176" t="str">
        <f>AK8</f>
        <v>locatie 3</v>
      </c>
      <c r="AL10" s="182"/>
      <c r="AM10" s="177" t="str">
        <f>$O$10</f>
        <v>verwarming</v>
      </c>
      <c r="AN10" s="177" t="str">
        <f>$P$10</f>
        <v>koeling</v>
      </c>
      <c r="AO10" s="177" t="str">
        <f>$Q$10</f>
        <v>tapwater</v>
      </c>
      <c r="AP10" s="177" t="str">
        <f>$R$10</f>
        <v>verlichting</v>
      </c>
      <c r="AQ10" s="177" t="str">
        <f>$S$10</f>
        <v>ventilatoren</v>
      </c>
      <c r="AR10" s="177" t="str">
        <f>$T$10</f>
        <v>kookgas</v>
      </c>
      <c r="AS10" s="177" t="str">
        <f>$U$10</f>
        <v>overig elektra</v>
      </c>
      <c r="AT10" s="177" t="str">
        <f>$V$10</f>
        <v>mobiliteit</v>
      </c>
      <c r="AU10" s="177" t="str">
        <f>$W$10</f>
        <v>zonnepanelen</v>
      </c>
      <c r="AV10" s="174"/>
      <c r="AW10" s="176" t="str">
        <f>AW8</f>
        <v>locatie 4</v>
      </c>
      <c r="AX10" s="182"/>
      <c r="AY10" s="177" t="str">
        <f>$O$10</f>
        <v>verwarming</v>
      </c>
      <c r="AZ10" s="177" t="str">
        <f>$P$10</f>
        <v>koeling</v>
      </c>
      <c r="BA10" s="177" t="str">
        <f>$Q$10</f>
        <v>tapwater</v>
      </c>
      <c r="BB10" s="177" t="str">
        <f>$R$10</f>
        <v>verlichting</v>
      </c>
      <c r="BC10" s="177" t="str">
        <f>$S$10</f>
        <v>ventilatoren</v>
      </c>
      <c r="BD10" s="177" t="str">
        <f>$T$10</f>
        <v>kookgas</v>
      </c>
      <c r="BE10" s="177" t="str">
        <f>$U$10</f>
        <v>overig elektra</v>
      </c>
      <c r="BF10" s="177" t="str">
        <f>$V$10</f>
        <v>mobiliteit</v>
      </c>
      <c r="BG10" s="177" t="str">
        <f>$W$10</f>
        <v>zonnepanelen</v>
      </c>
      <c r="BH10" s="1"/>
    </row>
    <row r="11" spans="1:60">
      <c r="A11" s="1040"/>
      <c r="B11" s="1106" t="s">
        <v>95</v>
      </c>
      <c r="C11" s="1107" t="s">
        <v>104</v>
      </c>
      <c r="D11" s="638"/>
      <c r="E11" s="180" t="s">
        <v>1220</v>
      </c>
      <c r="F11" s="180"/>
      <c r="G11" s="180"/>
      <c r="H11" s="181" t="s">
        <v>106</v>
      </c>
      <c r="I11" s="83"/>
      <c r="J11" s="202">
        <f>M11+Y11+AK11+AW11</f>
        <v>0</v>
      </c>
      <c r="K11" s="243"/>
      <c r="L11" s="243"/>
      <c r="M11" s="202">
        <f>SUM(N11:X11)</f>
        <v>0</v>
      </c>
      <c r="N11" s="84"/>
      <c r="O11" s="168">
        <f t="shared" ref="O11:W11" si="0">O120+O151+O174-O214</f>
        <v>0</v>
      </c>
      <c r="P11" s="168">
        <f t="shared" si="0"/>
        <v>0</v>
      </c>
      <c r="Q11" s="168">
        <f t="shared" si="0"/>
        <v>0</v>
      </c>
      <c r="R11" s="168">
        <f t="shared" si="0"/>
        <v>0</v>
      </c>
      <c r="S11" s="168">
        <f t="shared" si="0"/>
        <v>0</v>
      </c>
      <c r="T11" s="168">
        <f t="shared" si="0"/>
        <v>0</v>
      </c>
      <c r="U11" s="168">
        <f t="shared" si="0"/>
        <v>0</v>
      </c>
      <c r="V11" s="168">
        <f t="shared" si="0"/>
        <v>0</v>
      </c>
      <c r="W11" s="168">
        <f t="shared" si="0"/>
        <v>0</v>
      </c>
      <c r="X11" s="262"/>
      <c r="Y11" s="202">
        <f>SUM(Z11:AJ11)</f>
        <v>0</v>
      </c>
      <c r="Z11" s="84"/>
      <c r="AA11" s="168">
        <f t="shared" ref="AA11:AI11" si="1">AA120+AA151+AA174-AA214</f>
        <v>0</v>
      </c>
      <c r="AB11" s="168">
        <f t="shared" si="1"/>
        <v>0</v>
      </c>
      <c r="AC11" s="168">
        <f t="shared" si="1"/>
        <v>0</v>
      </c>
      <c r="AD11" s="168">
        <f t="shared" si="1"/>
        <v>0</v>
      </c>
      <c r="AE11" s="168">
        <f t="shared" si="1"/>
        <v>0</v>
      </c>
      <c r="AF11" s="168">
        <f t="shared" si="1"/>
        <v>0</v>
      </c>
      <c r="AG11" s="168">
        <f t="shared" si="1"/>
        <v>0</v>
      </c>
      <c r="AH11" s="168">
        <f t="shared" si="1"/>
        <v>0</v>
      </c>
      <c r="AI11" s="168">
        <f t="shared" si="1"/>
        <v>0</v>
      </c>
      <c r="AJ11" s="262"/>
      <c r="AK11" s="202">
        <f>SUM(AL11:AV11)</f>
        <v>0</v>
      </c>
      <c r="AL11" s="84"/>
      <c r="AM11" s="168">
        <f t="shared" ref="AM11:AU11" si="2">AM120+AM151+AM174-AM214</f>
        <v>0</v>
      </c>
      <c r="AN11" s="168">
        <f t="shared" si="2"/>
        <v>0</v>
      </c>
      <c r="AO11" s="168">
        <f t="shared" si="2"/>
        <v>0</v>
      </c>
      <c r="AP11" s="168">
        <f t="shared" si="2"/>
        <v>0</v>
      </c>
      <c r="AQ11" s="168">
        <f t="shared" si="2"/>
        <v>0</v>
      </c>
      <c r="AR11" s="168">
        <f t="shared" si="2"/>
        <v>0</v>
      </c>
      <c r="AS11" s="168">
        <f t="shared" si="2"/>
        <v>0</v>
      </c>
      <c r="AT11" s="168">
        <f t="shared" si="2"/>
        <v>0</v>
      </c>
      <c r="AU11" s="168">
        <f t="shared" si="2"/>
        <v>0</v>
      </c>
      <c r="AV11" s="262"/>
      <c r="AW11" s="202">
        <f>SUM(AX11:BH11)</f>
        <v>0</v>
      </c>
      <c r="AX11" s="84"/>
      <c r="AY11" s="168">
        <f t="shared" ref="AY11:BG11" si="3">AY120+AY151+AY174-AY214</f>
        <v>0</v>
      </c>
      <c r="AZ11" s="168">
        <f t="shared" si="3"/>
        <v>0</v>
      </c>
      <c r="BA11" s="168">
        <f t="shared" si="3"/>
        <v>0</v>
      </c>
      <c r="BB11" s="168">
        <f t="shared" si="3"/>
        <v>0</v>
      </c>
      <c r="BC11" s="168">
        <f t="shared" si="3"/>
        <v>0</v>
      </c>
      <c r="BD11" s="168">
        <f t="shared" si="3"/>
        <v>0</v>
      </c>
      <c r="BE11" s="168">
        <f t="shared" si="3"/>
        <v>0</v>
      </c>
      <c r="BF11" s="168">
        <f t="shared" si="3"/>
        <v>0</v>
      </c>
      <c r="BG11" s="168">
        <f t="shared" si="3"/>
        <v>0</v>
      </c>
      <c r="BH11" s="210"/>
    </row>
    <row r="12" spans="1:60">
      <c r="A12" s="1040"/>
      <c r="B12" s="1106" t="s">
        <v>95</v>
      </c>
      <c r="C12" s="1107" t="s">
        <v>104</v>
      </c>
      <c r="D12" s="638"/>
      <c r="E12" s="180" t="s">
        <v>107</v>
      </c>
      <c r="F12" s="180"/>
      <c r="G12" s="180"/>
      <c r="H12" s="181" t="s">
        <v>108</v>
      </c>
      <c r="I12" s="83"/>
      <c r="J12" s="202">
        <f>M12+Y12+AK12+AW12</f>
        <v>0</v>
      </c>
      <c r="K12" s="243"/>
      <c r="L12" s="243"/>
      <c r="M12" s="202">
        <f>SUM(N12:X12)</f>
        <v>0</v>
      </c>
      <c r="N12" s="84"/>
      <c r="O12" s="168">
        <f t="shared" ref="O12:V12" si="4">O130+O161+O181</f>
        <v>0</v>
      </c>
      <c r="P12" s="168">
        <f t="shared" si="4"/>
        <v>0</v>
      </c>
      <c r="Q12" s="168">
        <f t="shared" si="4"/>
        <v>0</v>
      </c>
      <c r="R12" s="168">
        <f t="shared" si="4"/>
        <v>0</v>
      </c>
      <c r="S12" s="168">
        <f t="shared" si="4"/>
        <v>0</v>
      </c>
      <c r="T12" s="168">
        <f t="shared" si="4"/>
        <v>0</v>
      </c>
      <c r="U12" s="168">
        <f t="shared" si="4"/>
        <v>0</v>
      </c>
      <c r="V12" s="168">
        <f t="shared" si="4"/>
        <v>0</v>
      </c>
      <c r="W12" s="168">
        <f>W130+W161+W181-W224</f>
        <v>0</v>
      </c>
      <c r="X12" s="262"/>
      <c r="Y12" s="202">
        <f>SUM(Z12:AJ12)</f>
        <v>0</v>
      </c>
      <c r="Z12" s="84"/>
      <c r="AA12" s="168">
        <f t="shared" ref="AA12:AH12" si="5">AA130+AA161+AA181</f>
        <v>0</v>
      </c>
      <c r="AB12" s="168">
        <f t="shared" si="5"/>
        <v>0</v>
      </c>
      <c r="AC12" s="168">
        <f t="shared" si="5"/>
        <v>0</v>
      </c>
      <c r="AD12" s="168">
        <f t="shared" si="5"/>
        <v>0</v>
      </c>
      <c r="AE12" s="168">
        <f t="shared" si="5"/>
        <v>0</v>
      </c>
      <c r="AF12" s="168">
        <f t="shared" si="5"/>
        <v>0</v>
      </c>
      <c r="AG12" s="168">
        <f t="shared" si="5"/>
        <v>0</v>
      </c>
      <c r="AH12" s="168">
        <f t="shared" si="5"/>
        <v>0</v>
      </c>
      <c r="AI12" s="168">
        <f>AI130+AI161+AI181-AI224</f>
        <v>0</v>
      </c>
      <c r="AJ12" s="262"/>
      <c r="AK12" s="202">
        <f>SUM(AL12:AV12)</f>
        <v>0</v>
      </c>
      <c r="AL12" s="84"/>
      <c r="AM12" s="168">
        <f t="shared" ref="AM12:AT12" si="6">AM130+AM161+AM181</f>
        <v>0</v>
      </c>
      <c r="AN12" s="168">
        <f t="shared" si="6"/>
        <v>0</v>
      </c>
      <c r="AO12" s="168">
        <f t="shared" si="6"/>
        <v>0</v>
      </c>
      <c r="AP12" s="168">
        <f t="shared" si="6"/>
        <v>0</v>
      </c>
      <c r="AQ12" s="168">
        <f t="shared" si="6"/>
        <v>0</v>
      </c>
      <c r="AR12" s="168">
        <f t="shared" si="6"/>
        <v>0</v>
      </c>
      <c r="AS12" s="168">
        <f t="shared" si="6"/>
        <v>0</v>
      </c>
      <c r="AT12" s="168">
        <f t="shared" si="6"/>
        <v>0</v>
      </c>
      <c r="AU12" s="168">
        <f>AU130+AU161+AU181-AU224</f>
        <v>0</v>
      </c>
      <c r="AV12" s="262"/>
      <c r="AW12" s="202">
        <f>SUM(AX12:BH12)</f>
        <v>0</v>
      </c>
      <c r="AX12" s="84"/>
      <c r="AY12" s="168">
        <f t="shared" ref="AY12:BF12" si="7">AY130+AY161+AY181</f>
        <v>0</v>
      </c>
      <c r="AZ12" s="168">
        <f t="shared" si="7"/>
        <v>0</v>
      </c>
      <c r="BA12" s="168">
        <f t="shared" si="7"/>
        <v>0</v>
      </c>
      <c r="BB12" s="168">
        <f t="shared" si="7"/>
        <v>0</v>
      </c>
      <c r="BC12" s="168">
        <f t="shared" si="7"/>
        <v>0</v>
      </c>
      <c r="BD12" s="168">
        <f t="shared" si="7"/>
        <v>0</v>
      </c>
      <c r="BE12" s="168">
        <f t="shared" si="7"/>
        <v>0</v>
      </c>
      <c r="BF12" s="168">
        <f t="shared" si="7"/>
        <v>0</v>
      </c>
      <c r="BG12" s="168">
        <f>BG130+BG161+BG181-BG224</f>
        <v>0</v>
      </c>
      <c r="BH12" s="210"/>
    </row>
    <row r="13" spans="1:60">
      <c r="A13" s="1040"/>
      <c r="B13" s="1106" t="s">
        <v>95</v>
      </c>
      <c r="C13" s="1107" t="s">
        <v>104</v>
      </c>
      <c r="D13" s="638"/>
      <c r="E13" s="180" t="s">
        <v>109</v>
      </c>
      <c r="F13" s="180"/>
      <c r="G13" s="180"/>
      <c r="H13" s="181" t="s">
        <v>110</v>
      </c>
      <c r="I13" s="83"/>
      <c r="J13" s="202">
        <f>M13+Y13+AK13+AW13</f>
        <v>0</v>
      </c>
      <c r="K13" s="243"/>
      <c r="L13" s="243"/>
      <c r="M13" s="202">
        <f>SUM(N13:X13)</f>
        <v>0</v>
      </c>
      <c r="N13" s="84"/>
      <c r="O13" s="168">
        <f t="shared" ref="O13:W13" si="8">O229*O27/1000</f>
        <v>0</v>
      </c>
      <c r="P13" s="168">
        <f t="shared" si="8"/>
        <v>0</v>
      </c>
      <c r="Q13" s="168">
        <f t="shared" si="8"/>
        <v>0</v>
      </c>
      <c r="R13" s="168">
        <f t="shared" si="8"/>
        <v>0</v>
      </c>
      <c r="S13" s="168">
        <f t="shared" si="8"/>
        <v>0</v>
      </c>
      <c r="T13" s="168">
        <f t="shared" si="8"/>
        <v>0</v>
      </c>
      <c r="U13" s="168">
        <f t="shared" si="8"/>
        <v>0</v>
      </c>
      <c r="V13" s="168">
        <f t="shared" si="8"/>
        <v>0</v>
      </c>
      <c r="W13" s="168">
        <f t="shared" si="8"/>
        <v>0</v>
      </c>
      <c r="X13" s="262"/>
      <c r="Y13" s="202">
        <f>SUM(Z13:AJ13)</f>
        <v>0</v>
      </c>
      <c r="Z13" s="84"/>
      <c r="AA13" s="168">
        <f t="shared" ref="AA13:AI13" si="9">AA229*AA27/1000</f>
        <v>0</v>
      </c>
      <c r="AB13" s="168">
        <f t="shared" si="9"/>
        <v>0</v>
      </c>
      <c r="AC13" s="168">
        <f t="shared" si="9"/>
        <v>0</v>
      </c>
      <c r="AD13" s="168">
        <f t="shared" si="9"/>
        <v>0</v>
      </c>
      <c r="AE13" s="168">
        <f t="shared" si="9"/>
        <v>0</v>
      </c>
      <c r="AF13" s="168">
        <f t="shared" si="9"/>
        <v>0</v>
      </c>
      <c r="AG13" s="168">
        <f t="shared" si="9"/>
        <v>0</v>
      </c>
      <c r="AH13" s="168">
        <f t="shared" si="9"/>
        <v>0</v>
      </c>
      <c r="AI13" s="168">
        <f t="shared" si="9"/>
        <v>0</v>
      </c>
      <c r="AJ13" s="262"/>
      <c r="AK13" s="202">
        <f>SUM(AL13:AV13)</f>
        <v>0</v>
      </c>
      <c r="AL13" s="84"/>
      <c r="AM13" s="168">
        <f t="shared" ref="AM13:AU13" si="10">AM229*AM27/1000</f>
        <v>0</v>
      </c>
      <c r="AN13" s="168">
        <f t="shared" si="10"/>
        <v>0</v>
      </c>
      <c r="AO13" s="168">
        <f t="shared" si="10"/>
        <v>0</v>
      </c>
      <c r="AP13" s="168">
        <f t="shared" si="10"/>
        <v>0</v>
      </c>
      <c r="AQ13" s="168">
        <f t="shared" si="10"/>
        <v>0</v>
      </c>
      <c r="AR13" s="168">
        <f t="shared" si="10"/>
        <v>0</v>
      </c>
      <c r="AS13" s="168">
        <f t="shared" si="10"/>
        <v>0</v>
      </c>
      <c r="AT13" s="168">
        <f t="shared" si="10"/>
        <v>0</v>
      </c>
      <c r="AU13" s="168">
        <f t="shared" si="10"/>
        <v>0</v>
      </c>
      <c r="AV13" s="262"/>
      <c r="AW13" s="202">
        <f>SUM(AX13:BH13)</f>
        <v>0</v>
      </c>
      <c r="AX13" s="84"/>
      <c r="AY13" s="168">
        <f t="shared" ref="AY13:BG13" si="11">AY229*AY27/1000</f>
        <v>0</v>
      </c>
      <c r="AZ13" s="168">
        <f t="shared" si="11"/>
        <v>0</v>
      </c>
      <c r="BA13" s="168">
        <f t="shared" si="11"/>
        <v>0</v>
      </c>
      <c r="BB13" s="168">
        <f t="shared" si="11"/>
        <v>0</v>
      </c>
      <c r="BC13" s="168">
        <f t="shared" si="11"/>
        <v>0</v>
      </c>
      <c r="BD13" s="168">
        <f t="shared" si="11"/>
        <v>0</v>
      </c>
      <c r="BE13" s="168">
        <f t="shared" si="11"/>
        <v>0</v>
      </c>
      <c r="BF13" s="168">
        <f t="shared" si="11"/>
        <v>0</v>
      </c>
      <c r="BG13" s="168">
        <f t="shared" si="11"/>
        <v>0</v>
      </c>
      <c r="BH13" s="212"/>
    </row>
    <row r="14" spans="1:60" s="707" customFormat="1" ht="5.25">
      <c r="A14" s="1012" t="s">
        <v>95</v>
      </c>
      <c r="B14" s="1108" t="s">
        <v>95</v>
      </c>
      <c r="C14" s="1104" t="s">
        <v>104</v>
      </c>
      <c r="D14" s="647"/>
      <c r="E14" s="704"/>
      <c r="F14" s="704"/>
      <c r="G14" s="704"/>
      <c r="H14" s="705"/>
      <c r="I14" s="704"/>
      <c r="J14" s="706"/>
      <c r="K14" s="704"/>
      <c r="L14" s="704"/>
      <c r="M14" s="706"/>
      <c r="N14" s="704"/>
      <c r="O14" s="706"/>
      <c r="P14" s="706"/>
      <c r="Q14" s="706"/>
      <c r="R14" s="706"/>
      <c r="S14" s="706"/>
      <c r="T14" s="706"/>
      <c r="U14" s="706"/>
      <c r="V14" s="706"/>
      <c r="W14" s="706"/>
      <c r="X14" s="706"/>
      <c r="Y14" s="706"/>
      <c r="Z14" s="704"/>
      <c r="AA14" s="706"/>
      <c r="AB14" s="706"/>
      <c r="AC14" s="706"/>
      <c r="AD14" s="706"/>
      <c r="AE14" s="706"/>
      <c r="AF14" s="706"/>
      <c r="AG14" s="706"/>
      <c r="AH14" s="706"/>
      <c r="AI14" s="706"/>
      <c r="AJ14" s="706"/>
      <c r="AK14" s="706"/>
      <c r="AL14" s="704"/>
      <c r="AM14" s="706"/>
      <c r="AN14" s="706"/>
      <c r="AO14" s="706"/>
      <c r="AP14" s="706"/>
      <c r="AQ14" s="706"/>
      <c r="AR14" s="706"/>
      <c r="AS14" s="706"/>
      <c r="AT14" s="706"/>
      <c r="AU14" s="706"/>
      <c r="AV14" s="706"/>
      <c r="AW14" s="706"/>
      <c r="AX14" s="704"/>
      <c r="AY14" s="706"/>
      <c r="AZ14" s="706"/>
      <c r="BA14" s="706"/>
      <c r="BB14" s="706"/>
      <c r="BC14" s="706"/>
      <c r="BD14" s="706"/>
      <c r="BE14" s="706"/>
      <c r="BF14" s="706"/>
      <c r="BG14" s="706"/>
      <c r="BH14" s="706"/>
    </row>
    <row r="15" spans="1:60" s="707" customFormat="1" ht="5.25">
      <c r="A15" s="1130"/>
      <c r="B15" s="1108" t="s">
        <v>111</v>
      </c>
      <c r="C15" s="1108" t="s">
        <v>96</v>
      </c>
      <c r="D15" s="647"/>
      <c r="E15" s="1131"/>
      <c r="F15" s="1131"/>
      <c r="G15" s="1131"/>
      <c r="H15" s="1132"/>
      <c r="I15" s="1131"/>
      <c r="J15" s="1133"/>
      <c r="K15" s="1131"/>
      <c r="L15" s="1131"/>
      <c r="M15" s="1133"/>
      <c r="N15" s="1131"/>
      <c r="O15" s="1133"/>
      <c r="P15" s="1133"/>
      <c r="Q15" s="1133"/>
      <c r="R15" s="1133"/>
      <c r="S15" s="1133"/>
      <c r="T15" s="1133"/>
      <c r="U15" s="1133"/>
      <c r="V15" s="1133"/>
      <c r="W15" s="1133"/>
      <c r="X15" s="1133"/>
      <c r="Y15" s="1133"/>
      <c r="Z15" s="1131"/>
      <c r="AA15" s="1133"/>
      <c r="AB15" s="1133"/>
      <c r="AC15" s="1133"/>
      <c r="AD15" s="1133"/>
      <c r="AE15" s="1133"/>
      <c r="AF15" s="1133"/>
      <c r="AG15" s="1133"/>
      <c r="AH15" s="1133"/>
      <c r="AI15" s="1133"/>
      <c r="AJ15" s="1133"/>
      <c r="AK15" s="1133"/>
      <c r="AL15" s="1131"/>
      <c r="AM15" s="1133"/>
      <c r="AN15" s="1133"/>
      <c r="AO15" s="1133"/>
      <c r="AP15" s="1133"/>
      <c r="AQ15" s="1133"/>
      <c r="AR15" s="1133"/>
      <c r="AS15" s="1133"/>
      <c r="AT15" s="1133"/>
      <c r="AU15" s="1133"/>
      <c r="AV15" s="1133"/>
      <c r="AW15" s="1133"/>
      <c r="AX15" s="1131"/>
      <c r="AY15" s="1133"/>
      <c r="AZ15" s="1133"/>
      <c r="BA15" s="1133"/>
      <c r="BB15" s="1133"/>
      <c r="BC15" s="1133"/>
      <c r="BD15" s="1133"/>
      <c r="BE15" s="1133"/>
      <c r="BF15" s="1133"/>
      <c r="BG15" s="1133"/>
      <c r="BH15" s="706"/>
    </row>
    <row r="16" spans="1:60" s="2" customFormat="1" ht="21">
      <c r="A16" s="1038"/>
      <c r="B16" s="1106" t="s">
        <v>111</v>
      </c>
      <c r="C16" s="1106" t="s">
        <v>96</v>
      </c>
      <c r="D16" s="639" t="s">
        <v>45</v>
      </c>
      <c r="E16" s="209" t="s">
        <v>112</v>
      </c>
      <c r="F16" s="209"/>
      <c r="G16" s="209"/>
      <c r="H16" s="209"/>
      <c r="I16" s="129"/>
      <c r="J16" s="256" t="str">
        <f>J$10</f>
        <v>alle locaties</v>
      </c>
      <c r="K16" s="126"/>
      <c r="L16" s="126"/>
      <c r="M16" s="257" t="str">
        <f>M$8</f>
        <v>locatie 1</v>
      </c>
      <c r="N16" s="193"/>
      <c r="O16" s="955" t="str">
        <f>$E16&amp;" per woning-/gebouwtype"</f>
        <v>woningen|utiliteitsgebouwen terugkoppeling invoer per woning-/gebouwtype</v>
      </c>
      <c r="P16" s="945"/>
      <c r="Q16" s="945"/>
      <c r="R16" s="945"/>
      <c r="S16" s="945"/>
      <c r="T16" s="945"/>
      <c r="U16" s="945"/>
      <c r="V16" s="945"/>
      <c r="W16" s="257"/>
      <c r="X16" s="174"/>
      <c r="Y16" s="257" t="str">
        <f>Y$10</f>
        <v>locatie 2</v>
      </c>
      <c r="Z16" s="193"/>
      <c r="AA16" s="955" t="str">
        <f>$E16&amp;" per woning-/gebouwtype"</f>
        <v>woningen|utiliteitsgebouwen terugkoppeling invoer per woning-/gebouwtype</v>
      </c>
      <c r="AB16" s="945"/>
      <c r="AC16" s="945"/>
      <c r="AD16" s="945"/>
      <c r="AE16" s="945"/>
      <c r="AF16" s="945"/>
      <c r="AG16" s="945"/>
      <c r="AH16" s="945"/>
      <c r="AI16" s="257"/>
      <c r="AJ16" s="174"/>
      <c r="AK16" s="257" t="str">
        <f>AK$10</f>
        <v>locatie 3</v>
      </c>
      <c r="AL16" s="193"/>
      <c r="AM16" s="955" t="str">
        <f>$E16&amp;" per woning-/gebouwtype"</f>
        <v>woningen|utiliteitsgebouwen terugkoppeling invoer per woning-/gebouwtype</v>
      </c>
      <c r="AN16" s="945"/>
      <c r="AO16" s="945"/>
      <c r="AP16" s="945"/>
      <c r="AQ16" s="945"/>
      <c r="AR16" s="945"/>
      <c r="AS16" s="945"/>
      <c r="AT16" s="945"/>
      <c r="AU16" s="257"/>
      <c r="AV16" s="174"/>
      <c r="AW16" s="257" t="str">
        <f>AW$10</f>
        <v>locatie 4</v>
      </c>
      <c r="AX16" s="193"/>
      <c r="AY16" s="955" t="str">
        <f>$E16&amp;" per woning-/gebouwtype"</f>
        <v>woningen|utiliteitsgebouwen terugkoppeling invoer per woning-/gebouwtype</v>
      </c>
      <c r="AZ16" s="945"/>
      <c r="BA16" s="945"/>
      <c r="BB16" s="945"/>
      <c r="BC16" s="945"/>
      <c r="BD16" s="945"/>
      <c r="BE16" s="945"/>
      <c r="BF16" s="945"/>
      <c r="BG16" s="257"/>
      <c r="BH16" s="1"/>
    </row>
    <row r="17" spans="1:60">
      <c r="A17" s="1040"/>
      <c r="B17" s="1106" t="s">
        <v>111</v>
      </c>
      <c r="C17" s="1106" t="s">
        <v>96</v>
      </c>
      <c r="D17" s="638"/>
      <c r="E17" s="942" t="s">
        <v>113</v>
      </c>
      <c r="F17" s="942"/>
      <c r="G17" s="942"/>
      <c r="H17" s="942" t="s">
        <v>65</v>
      </c>
      <c r="I17" s="129"/>
      <c r="J17" s="943"/>
      <c r="K17" s="126"/>
      <c r="L17" s="126"/>
      <c r="M17" s="944"/>
      <c r="N17" s="195"/>
      <c r="O17" s="258" t="str">
        <f>IF('woningen|utiliteit'!L18="","",'woningen|utiliteit'!L18)</f>
        <v/>
      </c>
      <c r="P17" s="258" t="str">
        <f>IF('woningen|utiliteit'!M18="","",'woningen|utiliteit'!M18)</f>
        <v/>
      </c>
      <c r="Q17" s="258" t="str">
        <f>IF('woningen|utiliteit'!N18="","",'woningen|utiliteit'!N18)</f>
        <v/>
      </c>
      <c r="R17" s="258" t="str">
        <f>IF('woningen|utiliteit'!O18="","",'woningen|utiliteit'!O18)</f>
        <v/>
      </c>
      <c r="S17" s="258" t="str">
        <f>IF('woningen|utiliteit'!P18="","",'woningen|utiliteit'!P18)</f>
        <v/>
      </c>
      <c r="T17" s="258" t="str">
        <f>IF('woningen|utiliteit'!Q18="","",'woningen|utiliteit'!Q18)</f>
        <v/>
      </c>
      <c r="U17" s="258" t="str">
        <f>IF('woningen|utiliteit'!R18="","",'woningen|utiliteit'!R18)</f>
        <v/>
      </c>
      <c r="V17" s="258" t="str">
        <f>IF('woningen|utiliteit'!S18="","",'woningen|utiliteit'!S18)</f>
        <v/>
      </c>
      <c r="W17" s="258" t="str">
        <f>IF('woningen|utiliteit'!T18="","",'woningen|utiliteit'!T18)</f>
        <v/>
      </c>
      <c r="X17" s="195"/>
      <c r="Y17" s="944"/>
      <c r="Z17" s="195"/>
      <c r="AA17" s="258" t="str">
        <f>IF('woningen|utiliteit'!L34="","",'woningen|utiliteit'!L34)</f>
        <v/>
      </c>
      <c r="AB17" s="258" t="str">
        <f>IF('woningen|utiliteit'!M34="","",'woningen|utiliteit'!M34)</f>
        <v/>
      </c>
      <c r="AC17" s="258" t="str">
        <f>IF('woningen|utiliteit'!N34="","",'woningen|utiliteit'!N34)</f>
        <v/>
      </c>
      <c r="AD17" s="258" t="str">
        <f>IF('woningen|utiliteit'!O34="","",'woningen|utiliteit'!O34)</f>
        <v/>
      </c>
      <c r="AE17" s="258" t="str">
        <f>IF('woningen|utiliteit'!P34="","",'woningen|utiliteit'!P34)</f>
        <v/>
      </c>
      <c r="AF17" s="258" t="str">
        <f>IF('woningen|utiliteit'!Q34="","",'woningen|utiliteit'!Q34)</f>
        <v/>
      </c>
      <c r="AG17" s="258" t="str">
        <f>IF('woningen|utiliteit'!R34="","",'woningen|utiliteit'!R34)</f>
        <v/>
      </c>
      <c r="AH17" s="258" t="str">
        <f>IF('woningen|utiliteit'!S34="","",'woningen|utiliteit'!S34)</f>
        <v/>
      </c>
      <c r="AI17" s="258" t="str">
        <f>IF('woningen|utiliteit'!T34="","",'woningen|utiliteit'!T34)</f>
        <v/>
      </c>
      <c r="AJ17" s="195"/>
      <c r="AK17" s="944"/>
      <c r="AL17" s="195"/>
      <c r="AM17" s="258" t="str">
        <f>IF('woningen|utiliteit'!L50="","",'woningen|utiliteit'!L50)</f>
        <v/>
      </c>
      <c r="AN17" s="258" t="str">
        <f>IF('woningen|utiliteit'!M50="","",'woningen|utiliteit'!M50)</f>
        <v/>
      </c>
      <c r="AO17" s="258" t="str">
        <f>IF('woningen|utiliteit'!N50="","",'woningen|utiliteit'!N50)</f>
        <v/>
      </c>
      <c r="AP17" s="258" t="str">
        <f>IF('woningen|utiliteit'!O50="","",'woningen|utiliteit'!O50)</f>
        <v/>
      </c>
      <c r="AQ17" s="258" t="str">
        <f>IF('woningen|utiliteit'!P50="","",'woningen|utiliteit'!P50)</f>
        <v/>
      </c>
      <c r="AR17" s="258" t="str">
        <f>IF('woningen|utiliteit'!Q50="","",'woningen|utiliteit'!Q50)</f>
        <v/>
      </c>
      <c r="AS17" s="258" t="str">
        <f>IF('woningen|utiliteit'!R50="","",'woningen|utiliteit'!R50)</f>
        <v/>
      </c>
      <c r="AT17" s="258" t="str">
        <f>IF('woningen|utiliteit'!S50="","",'woningen|utiliteit'!S50)</f>
        <v/>
      </c>
      <c r="AU17" s="258" t="str">
        <f>IF('woningen|utiliteit'!T50="","",'woningen|utiliteit'!T50)</f>
        <v/>
      </c>
      <c r="AV17" s="195"/>
      <c r="AW17" s="944"/>
      <c r="AX17" s="195"/>
      <c r="AY17" s="258" t="str">
        <f>IF('woningen|utiliteit'!L66="","",'woningen|utiliteit'!L66)</f>
        <v/>
      </c>
      <c r="AZ17" s="258" t="str">
        <f>IF('woningen|utiliteit'!M66="","",'woningen|utiliteit'!M66)</f>
        <v/>
      </c>
      <c r="BA17" s="258" t="str">
        <f>IF('woningen|utiliteit'!N66="","",'woningen|utiliteit'!N66)</f>
        <v/>
      </c>
      <c r="BB17" s="258" t="str">
        <f>IF('woningen|utiliteit'!O66="","",'woningen|utiliteit'!O66)</f>
        <v/>
      </c>
      <c r="BC17" s="258" t="str">
        <f>IF('woningen|utiliteit'!P66="","",'woningen|utiliteit'!P66)</f>
        <v/>
      </c>
      <c r="BD17" s="258" t="str">
        <f>IF('woningen|utiliteit'!Q66="","",'woningen|utiliteit'!Q66)</f>
        <v/>
      </c>
      <c r="BE17" s="258" t="str">
        <f>IF('woningen|utiliteit'!R66="","",'woningen|utiliteit'!R66)</f>
        <v/>
      </c>
      <c r="BF17" s="258" t="str">
        <f>IF('woningen|utiliteit'!S66="","",'woningen|utiliteit'!S66)</f>
        <v/>
      </c>
      <c r="BG17" s="258" t="str">
        <f>IF('woningen|utiliteit'!T66="","",'woningen|utiliteit'!T66)</f>
        <v/>
      </c>
      <c r="BH17" s="36"/>
    </row>
    <row r="18" spans="1:60" s="36" customFormat="1">
      <c r="A18" s="1040"/>
      <c r="B18" s="1107" t="s">
        <v>111</v>
      </c>
      <c r="C18" s="1107" t="s">
        <v>104</v>
      </c>
      <c r="D18" s="638"/>
      <c r="E18" s="236" t="s">
        <v>114</v>
      </c>
      <c r="F18" s="236"/>
      <c r="G18" s="236"/>
      <c r="H18" s="297" t="s">
        <v>65</v>
      </c>
      <c r="I18" s="621"/>
      <c r="J18" s="186"/>
      <c r="K18" s="1128"/>
      <c r="L18" s="1128"/>
      <c r="M18" s="186"/>
      <c r="N18" s="94"/>
      <c r="O18" s="1129" t="str">
        <f>IF('woningen|utiliteit'!L20="","",'woningen|utiliteit'!L20)</f>
        <v/>
      </c>
      <c r="P18" s="1129" t="str">
        <f>IF('woningen|utiliteit'!M20="","",'woningen|utiliteit'!M20)</f>
        <v/>
      </c>
      <c r="Q18" s="1129" t="str">
        <f>IF('woningen|utiliteit'!N20="","",'woningen|utiliteit'!N20)</f>
        <v/>
      </c>
      <c r="R18" s="1129" t="str">
        <f>IF('woningen|utiliteit'!O20="","",'woningen|utiliteit'!O20)</f>
        <v/>
      </c>
      <c r="S18" s="1129" t="str">
        <f>IF('woningen|utiliteit'!P20="","",'woningen|utiliteit'!P20)</f>
        <v/>
      </c>
      <c r="T18" s="1129" t="str">
        <f>IF('woningen|utiliteit'!Q20="","",'woningen|utiliteit'!Q20)</f>
        <v/>
      </c>
      <c r="U18" s="1129" t="str">
        <f>IF('woningen|utiliteit'!R20="","",'woningen|utiliteit'!R20)</f>
        <v/>
      </c>
      <c r="V18" s="1129" t="str">
        <f>IF('woningen|utiliteit'!S20="","",'woningen|utiliteit'!S20)</f>
        <v/>
      </c>
      <c r="W18" s="1129" t="str">
        <f>IF('woningen|utiliteit'!T20="","",'woningen|utiliteit'!T20)</f>
        <v/>
      </c>
      <c r="X18" s="87"/>
      <c r="Y18" s="186"/>
      <c r="Z18" s="94"/>
      <c r="AA18" s="1129" t="str">
        <f>IF('woningen|utiliteit'!L36="","",'woningen|utiliteit'!L36)</f>
        <v/>
      </c>
      <c r="AB18" s="1129" t="str">
        <f>IF('woningen|utiliteit'!M36="","",'woningen|utiliteit'!M36)</f>
        <v/>
      </c>
      <c r="AC18" s="1129" t="str">
        <f>IF('woningen|utiliteit'!N36="","",'woningen|utiliteit'!N36)</f>
        <v/>
      </c>
      <c r="AD18" s="1129" t="str">
        <f>IF('woningen|utiliteit'!O36="","",'woningen|utiliteit'!O36)</f>
        <v/>
      </c>
      <c r="AE18" s="1129" t="str">
        <f>IF('woningen|utiliteit'!P36="","",'woningen|utiliteit'!P36)</f>
        <v/>
      </c>
      <c r="AF18" s="1129" t="str">
        <f>IF('woningen|utiliteit'!Q36="","",'woningen|utiliteit'!Q36)</f>
        <v/>
      </c>
      <c r="AG18" s="1129" t="str">
        <f>IF('woningen|utiliteit'!R36="","",'woningen|utiliteit'!R36)</f>
        <v/>
      </c>
      <c r="AH18" s="1129" t="str">
        <f>IF('woningen|utiliteit'!S36="","",'woningen|utiliteit'!S36)</f>
        <v/>
      </c>
      <c r="AI18" s="1129" t="str">
        <f>IF('woningen|utiliteit'!T36="","",'woningen|utiliteit'!T36)</f>
        <v/>
      </c>
      <c r="AJ18" s="87"/>
      <c r="AK18" s="186"/>
      <c r="AL18" s="94"/>
      <c r="AM18" s="1129" t="str">
        <f>IF('woningen|utiliteit'!L52="","",'woningen|utiliteit'!L52)</f>
        <v/>
      </c>
      <c r="AN18" s="1129" t="str">
        <f>IF('woningen|utiliteit'!M52="","",'woningen|utiliteit'!M52)</f>
        <v/>
      </c>
      <c r="AO18" s="1129" t="str">
        <f>IF('woningen|utiliteit'!N52="","",'woningen|utiliteit'!N52)</f>
        <v/>
      </c>
      <c r="AP18" s="1129" t="str">
        <f>IF('woningen|utiliteit'!O52="","",'woningen|utiliteit'!O52)</f>
        <v/>
      </c>
      <c r="AQ18" s="1129" t="str">
        <f>IF('woningen|utiliteit'!P52="","",'woningen|utiliteit'!P52)</f>
        <v/>
      </c>
      <c r="AR18" s="1129" t="str">
        <f>IF('woningen|utiliteit'!Q52="","",'woningen|utiliteit'!Q52)</f>
        <v/>
      </c>
      <c r="AS18" s="1129" t="str">
        <f>IF('woningen|utiliteit'!R52="","",'woningen|utiliteit'!R52)</f>
        <v/>
      </c>
      <c r="AT18" s="1129" t="str">
        <f>IF('woningen|utiliteit'!S52="","",'woningen|utiliteit'!S52)</f>
        <v/>
      </c>
      <c r="AU18" s="1129" t="str">
        <f>IF('woningen|utiliteit'!T52="","",'woningen|utiliteit'!T52)</f>
        <v/>
      </c>
      <c r="AV18" s="87"/>
      <c r="AW18" s="186"/>
      <c r="AX18" s="94"/>
      <c r="AY18" s="1129" t="str">
        <f>IF('woningen|utiliteit'!L68="","",'woningen|utiliteit'!L68)</f>
        <v/>
      </c>
      <c r="AZ18" s="1129" t="str">
        <f>IF('woningen|utiliteit'!M68="","",'woningen|utiliteit'!M68)</f>
        <v/>
      </c>
      <c r="BA18" s="1129" t="str">
        <f>IF('woningen|utiliteit'!N68="","",'woningen|utiliteit'!N68)</f>
        <v/>
      </c>
      <c r="BB18" s="1129" t="str">
        <f>IF('woningen|utiliteit'!O68="","",'woningen|utiliteit'!O68)</f>
        <v/>
      </c>
      <c r="BC18" s="1129" t="str">
        <f>IF('woningen|utiliteit'!P68="","",'woningen|utiliteit'!P68)</f>
        <v/>
      </c>
      <c r="BD18" s="1129" t="str">
        <f>IF('woningen|utiliteit'!Q68="","",'woningen|utiliteit'!Q68)</f>
        <v/>
      </c>
      <c r="BE18" s="1129" t="str">
        <f>IF('woningen|utiliteit'!R68="","",'woningen|utiliteit'!R68)</f>
        <v/>
      </c>
      <c r="BF18" s="1129" t="str">
        <f>IF('woningen|utiliteit'!S68="","",'woningen|utiliteit'!S68)</f>
        <v/>
      </c>
      <c r="BG18" s="1129" t="str">
        <f>IF('woningen|utiliteit'!T68="","",'woningen|utiliteit'!T68)</f>
        <v/>
      </c>
      <c r="BH18" s="213"/>
    </row>
    <row r="19" spans="1:60" s="36" customFormat="1">
      <c r="A19" s="1040"/>
      <c r="B19" s="1106" t="s">
        <v>111</v>
      </c>
      <c r="C19" s="1107" t="s">
        <v>104</v>
      </c>
      <c r="D19" s="638"/>
      <c r="E19" s="254" t="s">
        <v>115</v>
      </c>
      <c r="F19" s="618"/>
      <c r="G19" s="618"/>
      <c r="H19" s="298" t="s">
        <v>65</v>
      </c>
      <c r="I19" s="86"/>
      <c r="J19" s="619"/>
      <c r="K19" s="93"/>
      <c r="L19" s="93"/>
      <c r="M19" s="619"/>
      <c r="N19" s="620"/>
      <c r="O19" s="539" t="str">
        <f>IF(O$17="","",HLOOKUP(O$17,woningen_gebouwen_gegevens,ROWS(bibliotheek!$E$20:$E$21),FALSE))</f>
        <v/>
      </c>
      <c r="P19" s="539" t="str">
        <f>IF(P$17="","",HLOOKUP(P$17,woningen_gebouwen_gegevens,ROWS(bibliotheek!$E$20:$E$21),FALSE))</f>
        <v/>
      </c>
      <c r="Q19" s="539" t="str">
        <f>IF(Q$17="","",HLOOKUP(Q$17,woningen_gebouwen_gegevens,ROWS(bibliotheek!$E$20:$E$21),FALSE))</f>
        <v/>
      </c>
      <c r="R19" s="539" t="str">
        <f>IF(R$17="","",HLOOKUP(R$17,woningen_gebouwen_gegevens,ROWS(bibliotheek!$E$20:$E$21),FALSE))</f>
        <v/>
      </c>
      <c r="S19" s="539" t="str">
        <f>IF(S$17="","",HLOOKUP(S$17,woningen_gebouwen_gegevens,ROWS(bibliotheek!$E$20:$E$21),FALSE))</f>
        <v/>
      </c>
      <c r="T19" s="539" t="str">
        <f>IF(T$17="","",HLOOKUP(T$17,woningen_gebouwen_gegevens,ROWS(bibliotheek!$E$20:$E$21),FALSE))</f>
        <v/>
      </c>
      <c r="U19" s="539" t="str">
        <f>IF(U$17="","",HLOOKUP(U$17,woningen_gebouwen_gegevens,ROWS(bibliotheek!$E$20:$E$21),FALSE))</f>
        <v/>
      </c>
      <c r="V19" s="539" t="str">
        <f>IF(V$17="","",HLOOKUP(V$17,woningen_gebouwen_gegevens,ROWS(bibliotheek!$E$20:$E$21),FALSE))</f>
        <v/>
      </c>
      <c r="W19" s="539" t="str">
        <f>IF(W$17="","",HLOOKUP(W$17,woningen_gebouwen_gegevens,ROWS(bibliotheek!$E$20:$E$21),FALSE))</f>
        <v/>
      </c>
      <c r="X19" s="322"/>
      <c r="Y19" s="148"/>
      <c r="Z19" s="323"/>
      <c r="AA19" s="385" t="str">
        <f>IF(AA$17="","",HLOOKUP(AA$17,woningen_gebouwen_gegevens,ROWS(bibliotheek!$E$20:$E$21),FALSE))</f>
        <v/>
      </c>
      <c r="AB19" s="385" t="str">
        <f>IF(AB$17="","",HLOOKUP(AB$17,woningen_gebouwen_gegevens,ROWS(bibliotheek!$E$20:$E$21),FALSE))</f>
        <v/>
      </c>
      <c r="AC19" s="385" t="str">
        <f>IF(AC$17="","",HLOOKUP(AC$17,woningen_gebouwen_gegevens,ROWS(bibliotheek!$E$20:$E$21),FALSE))</f>
        <v/>
      </c>
      <c r="AD19" s="385" t="str">
        <f>IF(AD$17="","",HLOOKUP(AD$17,woningen_gebouwen_gegevens,ROWS(bibliotheek!$E$20:$E$21),FALSE))</f>
        <v/>
      </c>
      <c r="AE19" s="385" t="str">
        <f>IF(AE$17="","",HLOOKUP(AE$17,woningen_gebouwen_gegevens,ROWS(bibliotheek!$E$20:$E$21),FALSE))</f>
        <v/>
      </c>
      <c r="AF19" s="385" t="str">
        <f>IF(AF$17="","",HLOOKUP(AF$17,woningen_gebouwen_gegevens,ROWS(bibliotheek!$E$20:$E$21),FALSE))</f>
        <v/>
      </c>
      <c r="AG19" s="385" t="str">
        <f>IF(AG$17="","",HLOOKUP(AG$17,woningen_gebouwen_gegevens,ROWS(bibliotheek!$E$20:$E$21),FALSE))</f>
        <v/>
      </c>
      <c r="AH19" s="385" t="str">
        <f>IF(AH$17="","",HLOOKUP(AH$17,woningen_gebouwen_gegevens,ROWS(bibliotheek!$E$20:$E$21),FALSE))</f>
        <v/>
      </c>
      <c r="AI19" s="385" t="str">
        <f>IF(AI$17="","",HLOOKUP(AI$17,woningen_gebouwen_gegevens,ROWS(bibliotheek!$E$20:$E$21),FALSE))</f>
        <v/>
      </c>
      <c r="AJ19" s="322"/>
      <c r="AK19" s="148"/>
      <c r="AL19" s="323"/>
      <c r="AM19" s="385" t="str">
        <f>IF(AM$17="","",HLOOKUP(AM$17,woningen_gebouwen_gegevens,ROWS(bibliotheek!$E$20:$E$21),FALSE))</f>
        <v/>
      </c>
      <c r="AN19" s="385" t="str">
        <f>IF(AN$17="","",HLOOKUP(AN$17,woningen_gebouwen_gegevens,ROWS(bibliotheek!$E$20:$E$21),FALSE))</f>
        <v/>
      </c>
      <c r="AO19" s="385" t="str">
        <f>IF(AO$17="","",HLOOKUP(AO$17,woningen_gebouwen_gegevens,ROWS(bibliotheek!$E$20:$E$21),FALSE))</f>
        <v/>
      </c>
      <c r="AP19" s="385" t="str">
        <f>IF(AP$17="","",HLOOKUP(AP$17,woningen_gebouwen_gegevens,ROWS(bibliotheek!$E$20:$E$21),FALSE))</f>
        <v/>
      </c>
      <c r="AQ19" s="385" t="str">
        <f>IF(AQ$17="","",HLOOKUP(AQ$17,woningen_gebouwen_gegevens,ROWS(bibliotheek!$E$20:$E$21),FALSE))</f>
        <v/>
      </c>
      <c r="AR19" s="385" t="str">
        <f>IF(AR$17="","",HLOOKUP(AR$17,woningen_gebouwen_gegevens,ROWS(bibliotheek!$E$20:$E$21),FALSE))</f>
        <v/>
      </c>
      <c r="AS19" s="385" t="str">
        <f>IF(AS$17="","",HLOOKUP(AS$17,woningen_gebouwen_gegevens,ROWS(bibliotheek!$E$20:$E$21),FALSE))</f>
        <v/>
      </c>
      <c r="AT19" s="385" t="str">
        <f>IF(AT$17="","",HLOOKUP(AT$17,woningen_gebouwen_gegevens,ROWS(bibliotheek!$E$20:$E$21),FALSE))</f>
        <v/>
      </c>
      <c r="AU19" s="385" t="str">
        <f>IF(AU$17="","",HLOOKUP(AU$17,woningen_gebouwen_gegevens,ROWS(bibliotheek!$E$20:$E$21),FALSE))</f>
        <v/>
      </c>
      <c r="AV19" s="322"/>
      <c r="AW19" s="148"/>
      <c r="AX19" s="323"/>
      <c r="AY19" s="385" t="str">
        <f>IF(AY$17="","",HLOOKUP(AY$17,woningen_gebouwen_gegevens,ROWS(bibliotheek!$E$20:$E$21),FALSE))</f>
        <v/>
      </c>
      <c r="AZ19" s="385" t="str">
        <f>IF(AZ$17="","",HLOOKUP(AZ$17,woningen_gebouwen_gegevens,ROWS(bibliotheek!$E$20:$E$21),FALSE))</f>
        <v/>
      </c>
      <c r="BA19" s="385" t="str">
        <f>IF(BA$17="","",HLOOKUP(BA$17,woningen_gebouwen_gegevens,ROWS(bibliotheek!$E$20:$E$21),FALSE))</f>
        <v/>
      </c>
      <c r="BB19" s="385" t="str">
        <f>IF(BB$17="","",HLOOKUP(BB$17,woningen_gebouwen_gegevens,ROWS(bibliotheek!$E$20:$E$21),FALSE))</f>
        <v/>
      </c>
      <c r="BC19" s="385" t="str">
        <f>IF(BC$17="","",HLOOKUP(BC$17,woningen_gebouwen_gegevens,ROWS(bibliotheek!$E$20:$E$21),FALSE))</f>
        <v/>
      </c>
      <c r="BD19" s="385" t="str">
        <f>IF(BD$17="","",HLOOKUP(BD$17,woningen_gebouwen_gegevens,ROWS(bibliotheek!$E$20:$E$21),FALSE))</f>
        <v/>
      </c>
      <c r="BE19" s="385" t="str">
        <f>IF(BE$17="","",HLOOKUP(BE$17,woningen_gebouwen_gegevens,ROWS(bibliotheek!$E$20:$E$21),FALSE))</f>
        <v/>
      </c>
      <c r="BF19" s="385" t="str">
        <f>IF(BF$17="","",HLOOKUP(BF$17,woningen_gebouwen_gegevens,ROWS(bibliotheek!$E$20:$E$21),FALSE))</f>
        <v/>
      </c>
      <c r="BG19" s="385" t="str">
        <f>IF(BG$17="","",HLOOKUP(BG$17,woningen_gebouwen_gegevens,ROWS(bibliotheek!$E$20:$E$21),FALSE))</f>
        <v/>
      </c>
      <c r="BH19" s="213"/>
    </row>
    <row r="20" spans="1:60">
      <c r="A20" s="1040"/>
      <c r="B20" s="1106" t="s">
        <v>111</v>
      </c>
      <c r="C20" s="1107" t="s">
        <v>104</v>
      </c>
      <c r="D20" s="638"/>
      <c r="E20" s="180" t="s">
        <v>116</v>
      </c>
      <c r="F20" s="180"/>
      <c r="G20" s="180"/>
      <c r="H20" s="181" t="s">
        <v>65</v>
      </c>
      <c r="I20" s="114"/>
      <c r="J20" s="624"/>
      <c r="K20" s="243"/>
      <c r="L20" s="243"/>
      <c r="M20" s="188"/>
      <c r="N20" s="89"/>
      <c r="O20" s="385" t="str">
        <f>IF(O$17="","",HLOOKUP(O$17,woningen_gebouwen_gegevens,ROWS(bibliotheek!$E$20:$E$22),FALSE))</f>
        <v/>
      </c>
      <c r="P20" s="385" t="str">
        <f>IF(P$17="","",HLOOKUP(P$17,woningen_gebouwen_gegevens,ROWS(bibliotheek!$E$20:$E$22),FALSE))</f>
        <v/>
      </c>
      <c r="Q20" s="385" t="str">
        <f>IF(Q$17="","",HLOOKUP(Q$17,woningen_gebouwen_gegevens,ROWS(bibliotheek!$E$20:$E$22),FALSE))</f>
        <v/>
      </c>
      <c r="R20" s="385" t="str">
        <f>IF(R$17="","",HLOOKUP(R$17,woningen_gebouwen_gegevens,ROWS(bibliotheek!$E$20:$E$22),FALSE))</f>
        <v/>
      </c>
      <c r="S20" s="385" t="str">
        <f>IF(S$17="","",HLOOKUP(S$17,woningen_gebouwen_gegevens,ROWS(bibliotheek!$E$20:$E$22),FALSE))</f>
        <v/>
      </c>
      <c r="T20" s="385" t="str">
        <f>IF(T$17="","",HLOOKUP(T$17,woningen_gebouwen_gegevens,ROWS(bibliotheek!$E$20:$E$22),FALSE))</f>
        <v/>
      </c>
      <c r="U20" s="385" t="str">
        <f>IF(U$17="","",HLOOKUP(U$17,woningen_gebouwen_gegevens,ROWS(bibliotheek!$E$20:$E$22),FALSE))</f>
        <v/>
      </c>
      <c r="V20" s="385" t="str">
        <f>IF(V$17="","",HLOOKUP(V$17,woningen_gebouwen_gegevens,ROWS(bibliotheek!$E$20:$E$22),FALSE))</f>
        <v/>
      </c>
      <c r="W20" s="385" t="str">
        <f>IF(W$17="","",HLOOKUP(W$17,woningen_gebouwen_gegevens,ROWS(bibliotheek!$E$20:$E$22),FALSE))</f>
        <v/>
      </c>
      <c r="X20" s="90"/>
      <c r="Y20" s="188"/>
      <c r="Z20" s="89"/>
      <c r="AA20" s="385" t="str">
        <f>IF(AA$17="","",HLOOKUP(AA$17,woningen_gebouwen_gegevens,ROWS(bibliotheek!$E$20:$E$22),FALSE))</f>
        <v/>
      </c>
      <c r="AB20" s="385" t="str">
        <f>IF(AB$17="","",HLOOKUP(AB$17,woningen_gebouwen_gegevens,ROWS(bibliotheek!$E$20:$E$22),FALSE))</f>
        <v/>
      </c>
      <c r="AC20" s="385" t="str">
        <f>IF(AC$17="","",HLOOKUP(AC$17,woningen_gebouwen_gegevens,ROWS(bibliotheek!$E$20:$E$22),FALSE))</f>
        <v/>
      </c>
      <c r="AD20" s="385" t="str">
        <f>IF(AD$17="","",HLOOKUP(AD$17,woningen_gebouwen_gegevens,ROWS(bibliotheek!$E$20:$E$22),FALSE))</f>
        <v/>
      </c>
      <c r="AE20" s="385" t="str">
        <f>IF(AE$17="","",HLOOKUP(AE$17,woningen_gebouwen_gegevens,ROWS(bibliotheek!$E$20:$E$22),FALSE))</f>
        <v/>
      </c>
      <c r="AF20" s="385" t="str">
        <f>IF(AF$17="","",HLOOKUP(AF$17,woningen_gebouwen_gegevens,ROWS(bibliotheek!$E$20:$E$22),FALSE))</f>
        <v/>
      </c>
      <c r="AG20" s="385" t="str">
        <f>IF(AG$17="","",HLOOKUP(AG$17,woningen_gebouwen_gegevens,ROWS(bibliotheek!$E$20:$E$22),FALSE))</f>
        <v/>
      </c>
      <c r="AH20" s="385" t="str">
        <f>IF(AH$17="","",HLOOKUP(AH$17,woningen_gebouwen_gegevens,ROWS(bibliotheek!$E$20:$E$22),FALSE))</f>
        <v/>
      </c>
      <c r="AI20" s="385" t="str">
        <f>IF(AI$17="","",HLOOKUP(AI$17,woningen_gebouwen_gegevens,ROWS(bibliotheek!$E$20:$E$22),FALSE))</f>
        <v/>
      </c>
      <c r="AJ20" s="90"/>
      <c r="AK20" s="188"/>
      <c r="AL20" s="89"/>
      <c r="AM20" s="385" t="str">
        <f>IF(AM$17="","",HLOOKUP(AM$17,woningen_gebouwen_gegevens,ROWS(bibliotheek!$E$20:$E$22),FALSE))</f>
        <v/>
      </c>
      <c r="AN20" s="385" t="str">
        <f>IF(AN$17="","",HLOOKUP(AN$17,woningen_gebouwen_gegevens,ROWS(bibliotheek!$E$20:$E$22),FALSE))</f>
        <v/>
      </c>
      <c r="AO20" s="385" t="str">
        <f>IF(AO$17="","",HLOOKUP(AO$17,woningen_gebouwen_gegevens,ROWS(bibliotheek!$E$20:$E$22),FALSE))</f>
        <v/>
      </c>
      <c r="AP20" s="385" t="str">
        <f>IF(AP$17="","",HLOOKUP(AP$17,woningen_gebouwen_gegevens,ROWS(bibliotheek!$E$20:$E$22),FALSE))</f>
        <v/>
      </c>
      <c r="AQ20" s="385" t="str">
        <f>IF(AQ$17="","",HLOOKUP(AQ$17,woningen_gebouwen_gegevens,ROWS(bibliotheek!$E$20:$E$22),FALSE))</f>
        <v/>
      </c>
      <c r="AR20" s="385" t="str">
        <f>IF(AR$17="","",HLOOKUP(AR$17,woningen_gebouwen_gegevens,ROWS(bibliotheek!$E$20:$E$22),FALSE))</f>
        <v/>
      </c>
      <c r="AS20" s="385" t="str">
        <f>IF(AS$17="","",HLOOKUP(AS$17,woningen_gebouwen_gegevens,ROWS(bibliotheek!$E$20:$E$22),FALSE))</f>
        <v/>
      </c>
      <c r="AT20" s="385" t="str">
        <f>IF(AT$17="","",HLOOKUP(AT$17,woningen_gebouwen_gegevens,ROWS(bibliotheek!$E$20:$E$22),FALSE))</f>
        <v/>
      </c>
      <c r="AU20" s="385" t="str">
        <f>IF(AU$17="","",HLOOKUP(AU$17,woningen_gebouwen_gegevens,ROWS(bibliotheek!$E$20:$E$22),FALSE))</f>
        <v/>
      </c>
      <c r="AV20" s="90"/>
      <c r="AW20" s="188"/>
      <c r="AX20" s="89"/>
      <c r="AY20" s="385" t="str">
        <f>IF(AY$17="","",HLOOKUP(AY$17,woningen_gebouwen_gegevens,ROWS(bibliotheek!$E$20:$E$22),FALSE))</f>
        <v/>
      </c>
      <c r="AZ20" s="385" t="str">
        <f>IF(AZ$17="","",HLOOKUP(AZ$17,woningen_gebouwen_gegevens,ROWS(bibliotheek!$E$20:$E$22),FALSE))</f>
        <v/>
      </c>
      <c r="BA20" s="385" t="str">
        <f>IF(BA$17="","",HLOOKUP(BA$17,woningen_gebouwen_gegevens,ROWS(bibliotheek!$E$20:$E$22),FALSE))</f>
        <v/>
      </c>
      <c r="BB20" s="385" t="str">
        <f>IF(BB$17="","",HLOOKUP(BB$17,woningen_gebouwen_gegevens,ROWS(bibliotheek!$E$20:$E$22),FALSE))</f>
        <v/>
      </c>
      <c r="BC20" s="385" t="str">
        <f>IF(BC$17="","",HLOOKUP(BC$17,woningen_gebouwen_gegevens,ROWS(bibliotheek!$E$20:$E$22),FALSE))</f>
        <v/>
      </c>
      <c r="BD20" s="385" t="str">
        <f>IF(BD$17="","",HLOOKUP(BD$17,woningen_gebouwen_gegevens,ROWS(bibliotheek!$E$20:$E$22),FALSE))</f>
        <v/>
      </c>
      <c r="BE20" s="385" t="str">
        <f>IF(BE$17="","",HLOOKUP(BE$17,woningen_gebouwen_gegevens,ROWS(bibliotheek!$E$20:$E$22),FALSE))</f>
        <v/>
      </c>
      <c r="BF20" s="385" t="str">
        <f>IF(BF$17="","",HLOOKUP(BF$17,woningen_gebouwen_gegevens,ROWS(bibliotheek!$E$20:$E$22),FALSE))</f>
        <v/>
      </c>
      <c r="BG20" s="385" t="str">
        <f>IF(BG$17="","",HLOOKUP(BG$17,woningen_gebouwen_gegevens,ROWS(bibliotheek!$E$20:$E$22),FALSE))</f>
        <v/>
      </c>
      <c r="BH20" s="214"/>
    </row>
    <row r="21" spans="1:60">
      <c r="A21" s="1040"/>
      <c r="B21" s="1106" t="s">
        <v>111</v>
      </c>
      <c r="C21" s="1106" t="s">
        <v>96</v>
      </c>
      <c r="D21" s="638"/>
      <c r="E21" s="942" t="s">
        <v>117</v>
      </c>
      <c r="F21" s="942"/>
      <c r="G21" s="942"/>
      <c r="H21" s="942"/>
      <c r="I21" s="129"/>
      <c r="J21" s="943"/>
      <c r="K21" s="126"/>
      <c r="L21" s="126"/>
      <c r="M21" s="944"/>
      <c r="N21" s="193"/>
      <c r="O21" s="258" t="str">
        <f>O$17</f>
        <v/>
      </c>
      <c r="P21" s="258" t="str">
        <f t="shared" ref="P21:W21" si="12">P$17</f>
        <v/>
      </c>
      <c r="Q21" s="258" t="str">
        <f t="shared" si="12"/>
        <v/>
      </c>
      <c r="R21" s="258" t="str">
        <f t="shared" si="12"/>
        <v/>
      </c>
      <c r="S21" s="258" t="str">
        <f t="shared" si="12"/>
        <v/>
      </c>
      <c r="T21" s="258" t="str">
        <f t="shared" si="12"/>
        <v/>
      </c>
      <c r="U21" s="258" t="str">
        <f t="shared" si="12"/>
        <v/>
      </c>
      <c r="V21" s="258" t="str">
        <f t="shared" si="12"/>
        <v/>
      </c>
      <c r="W21" s="258" t="str">
        <f t="shared" si="12"/>
        <v/>
      </c>
      <c r="X21" s="195"/>
      <c r="Y21" s="944"/>
      <c r="Z21" s="195"/>
      <c r="AA21" s="258" t="str">
        <f>IF('woningen|utiliteit'!X22="","",'woningen|utiliteit'!X22)</f>
        <v/>
      </c>
      <c r="AB21" s="258" t="str">
        <f>IF('woningen|utiliteit'!Y22="","",'woningen|utiliteit'!Y22)</f>
        <v/>
      </c>
      <c r="AC21" s="258" t="str">
        <f>IF('woningen|utiliteit'!Z22="","",'woningen|utiliteit'!Z22)</f>
        <v/>
      </c>
      <c r="AD21" s="258" t="str">
        <f>IF('woningen|utiliteit'!AA22="","",'woningen|utiliteit'!AA22)</f>
        <v/>
      </c>
      <c r="AE21" s="258" t="str">
        <f>IF('woningen|utiliteit'!AB22="","",'woningen|utiliteit'!AB22)</f>
        <v/>
      </c>
      <c r="AF21" s="258" t="str">
        <f>IF('woningen|utiliteit'!AC22="","",'woningen|utiliteit'!AC22)</f>
        <v/>
      </c>
      <c r="AG21" s="258" t="str">
        <f>IF('woningen|utiliteit'!AD22="","",'woningen|utiliteit'!AD22)</f>
        <v/>
      </c>
      <c r="AH21" s="258" t="str">
        <f>IF('woningen|utiliteit'!AE22="","",'woningen|utiliteit'!AE22)</f>
        <v/>
      </c>
      <c r="AI21" s="258" t="str">
        <f>IF('woningen|utiliteit'!AF22="","",'woningen|utiliteit'!AF22)</f>
        <v/>
      </c>
      <c r="AJ21" s="195"/>
      <c r="AK21" s="944"/>
      <c r="AL21" s="195"/>
      <c r="AM21" s="258" t="str">
        <f>IF('woningen|utiliteit'!AJ22="","",'woningen|utiliteit'!AJ22)</f>
        <v/>
      </c>
      <c r="AN21" s="258" t="str">
        <f>IF('woningen|utiliteit'!AK22="","",'woningen|utiliteit'!AK22)</f>
        <v/>
      </c>
      <c r="AO21" s="258" t="str">
        <f>IF('woningen|utiliteit'!AL22="","",'woningen|utiliteit'!AL22)</f>
        <v/>
      </c>
      <c r="AP21" s="258" t="str">
        <f>IF('woningen|utiliteit'!AM22="","",'woningen|utiliteit'!AM22)</f>
        <v/>
      </c>
      <c r="AQ21" s="258" t="str">
        <f>IF('woningen|utiliteit'!AN22="","",'woningen|utiliteit'!AN22)</f>
        <v/>
      </c>
      <c r="AR21" s="258" t="str">
        <f>IF('woningen|utiliteit'!AO22="","",'woningen|utiliteit'!AO22)</f>
        <v/>
      </c>
      <c r="AS21" s="258" t="str">
        <f>IF('woningen|utiliteit'!AP22="","",'woningen|utiliteit'!AP22)</f>
        <v/>
      </c>
      <c r="AT21" s="258" t="str">
        <f>IF('woningen|utiliteit'!AQ22="","",'woningen|utiliteit'!AQ22)</f>
        <v/>
      </c>
      <c r="AU21" s="258" t="str">
        <f>IF('woningen|utiliteit'!AR22="","",'woningen|utiliteit'!AR22)</f>
        <v/>
      </c>
      <c r="AV21" s="195"/>
      <c r="AW21" s="944"/>
      <c r="AX21" s="195"/>
      <c r="AY21" s="258" t="str">
        <f>IF('woningen|utiliteit'!AV22="","",'woningen|utiliteit'!AV22)</f>
        <v/>
      </c>
      <c r="AZ21" s="258" t="str">
        <f>IF('woningen|utiliteit'!AW22="","",'woningen|utiliteit'!AW22)</f>
        <v/>
      </c>
      <c r="BA21" s="258" t="str">
        <f>IF('woningen|utiliteit'!AX22="","",'woningen|utiliteit'!AX22)</f>
        <v/>
      </c>
      <c r="BB21" s="258" t="str">
        <f>IF('woningen|utiliteit'!AY22="","",'woningen|utiliteit'!AY22)</f>
        <v/>
      </c>
      <c r="BC21" s="258" t="str">
        <f>IF('woningen|utiliteit'!AZ22="","",'woningen|utiliteit'!AZ22)</f>
        <v/>
      </c>
      <c r="BD21" s="258" t="str">
        <f>IF('woningen|utiliteit'!BA22="","",'woningen|utiliteit'!BA22)</f>
        <v/>
      </c>
      <c r="BE21" s="258" t="str">
        <f>IF('woningen|utiliteit'!BB22="","",'woningen|utiliteit'!BB22)</f>
        <v/>
      </c>
      <c r="BF21" s="258" t="str">
        <f>IF('woningen|utiliteit'!BC22="","",'woningen|utiliteit'!BC22)</f>
        <v/>
      </c>
      <c r="BG21" s="258" t="str">
        <f>IF('woningen|utiliteit'!BD22="","",'woningen|utiliteit'!BD22)</f>
        <v/>
      </c>
      <c r="BH21" s="36"/>
    </row>
    <row r="22" spans="1:60">
      <c r="A22" s="1040"/>
      <c r="B22" s="1106" t="s">
        <v>111</v>
      </c>
      <c r="C22" s="1107" t="s">
        <v>118</v>
      </c>
      <c r="D22" s="638"/>
      <c r="E22" s="254" t="s">
        <v>119</v>
      </c>
      <c r="F22" s="254"/>
      <c r="G22" s="254"/>
      <c r="H22" s="298" t="s">
        <v>120</v>
      </c>
      <c r="I22" s="116"/>
      <c r="J22" s="185">
        <f>M22+Y22+AK22+AW22</f>
        <v>0</v>
      </c>
      <c r="K22" s="1051"/>
      <c r="L22" s="1051"/>
      <c r="M22" s="400">
        <f>SUM(N22:X22)</f>
        <v>0</v>
      </c>
      <c r="N22" s="91"/>
      <c r="O22" s="538">
        <f>IF('woningen|utiliteit'!L18="",0,IF(O23&lt;&gt;"",O23,'woningen|utiliteit'!L21))</f>
        <v>0</v>
      </c>
      <c r="P22" s="538">
        <f>IF('woningen|utiliteit'!M18="",0,IF(P23&lt;&gt;"",P23,'woningen|utiliteit'!M21))</f>
        <v>0</v>
      </c>
      <c r="Q22" s="539">
        <f>IF('woningen|utiliteit'!N18="",0,IF(Q23&lt;&gt;"",Q23,'woningen|utiliteit'!N21))</f>
        <v>0</v>
      </c>
      <c r="R22" s="539">
        <f>IF('woningen|utiliteit'!O18="",0,IF(R23&lt;&gt;"",R23,'woningen|utiliteit'!O21))</f>
        <v>0</v>
      </c>
      <c r="S22" s="539">
        <f>IF('woningen|utiliteit'!P18="",0,IF(S23&lt;&gt;"",S23,'woningen|utiliteit'!P21))</f>
        <v>0</v>
      </c>
      <c r="T22" s="539">
        <f>IF('woningen|utiliteit'!Q18="",0,IF(T23&lt;&gt;"",T23,'woningen|utiliteit'!Q21))</f>
        <v>0</v>
      </c>
      <c r="U22" s="539">
        <f>IF('woningen|utiliteit'!R18="",0,IF(U23&lt;&gt;"",U23,'woningen|utiliteit'!R21))</f>
        <v>0</v>
      </c>
      <c r="V22" s="539">
        <f>IF('woningen|utiliteit'!S18="",0,IF(V23&lt;&gt;"",V23,'woningen|utiliteit'!S21))</f>
        <v>0</v>
      </c>
      <c r="W22" s="538">
        <f>IF('woningen|utiliteit'!T18="",0,IF(W23&lt;&gt;"",W23,'woningen|utiliteit'!T21))</f>
        <v>0</v>
      </c>
      <c r="X22" s="92"/>
      <c r="Y22" s="189">
        <f>SUM(Z22:AJ22)</f>
        <v>0</v>
      </c>
      <c r="Z22" s="91"/>
      <c r="AA22" s="538">
        <f>IF('woningen|utiliteit'!L34="",0,IF(AA23&lt;&gt;"",AA23,'woningen|utiliteit'!L37))</f>
        <v>0</v>
      </c>
      <c r="AB22" s="538">
        <f>IF('woningen|utiliteit'!M34="",0,IF(AB23&lt;&gt;"",AB23,'woningen|utiliteit'!M37))</f>
        <v>0</v>
      </c>
      <c r="AC22" s="539">
        <f>IF('woningen|utiliteit'!N34="",0,IF(AC23&lt;&gt;"",AC23,'woningen|utiliteit'!N37))</f>
        <v>0</v>
      </c>
      <c r="AD22" s="539">
        <f>IF('woningen|utiliteit'!O34="",0,IF(AD23&lt;&gt;"",AD23,'woningen|utiliteit'!O37))</f>
        <v>0</v>
      </c>
      <c r="AE22" s="539">
        <f>IF('woningen|utiliteit'!P34="",0,IF(AE23&lt;&gt;"",AE23,'woningen|utiliteit'!P37))</f>
        <v>0</v>
      </c>
      <c r="AF22" s="539">
        <f>IF('woningen|utiliteit'!Q34="",0,IF(AF23&lt;&gt;"",AF23,'woningen|utiliteit'!Q37))</f>
        <v>0</v>
      </c>
      <c r="AG22" s="539">
        <f>IF('woningen|utiliteit'!R34="",0,IF(AG23&lt;&gt;"",AG23,'woningen|utiliteit'!R37))</f>
        <v>0</v>
      </c>
      <c r="AH22" s="539">
        <f>IF('woningen|utiliteit'!S34="",0,IF(AH23&lt;&gt;"",AH23,'woningen|utiliteit'!S37))</f>
        <v>0</v>
      </c>
      <c r="AI22" s="538">
        <f>IF('woningen|utiliteit'!T34="",0,IF(AI23&lt;&gt;"",AI23,'woningen|utiliteit'!T37))</f>
        <v>0</v>
      </c>
      <c r="AJ22" s="92"/>
      <c r="AK22" s="189">
        <f>SUM(AL22:AV22)</f>
        <v>0</v>
      </c>
      <c r="AL22" s="91"/>
      <c r="AM22" s="538">
        <f>IF('woningen|utiliteit'!L50="",0,IF(AM23&lt;&gt;"",AM23,'woningen|utiliteit'!L53))</f>
        <v>0</v>
      </c>
      <c r="AN22" s="538">
        <f>IF('woningen|utiliteit'!M50="",0,IF(AN23&lt;&gt;"",AN23,'woningen|utiliteit'!M53))</f>
        <v>0</v>
      </c>
      <c r="AO22" s="539">
        <f>IF('woningen|utiliteit'!N50="",0,IF(AO23&lt;&gt;"",AO23,'woningen|utiliteit'!N53))</f>
        <v>0</v>
      </c>
      <c r="AP22" s="539">
        <f>IF('woningen|utiliteit'!O50="",0,IF(AP23&lt;&gt;"",AP23,'woningen|utiliteit'!O53))</f>
        <v>0</v>
      </c>
      <c r="AQ22" s="539">
        <f>IF('woningen|utiliteit'!P50="",0,IF(AQ23&lt;&gt;"",AQ23,'woningen|utiliteit'!P53))</f>
        <v>0</v>
      </c>
      <c r="AR22" s="539">
        <f>IF('woningen|utiliteit'!Q50="",0,IF(AR23&lt;&gt;"",AR23,'woningen|utiliteit'!Q53))</f>
        <v>0</v>
      </c>
      <c r="AS22" s="539">
        <f>IF('woningen|utiliteit'!R50="",0,IF(AS23&lt;&gt;"",AS23,'woningen|utiliteit'!R53))</f>
        <v>0</v>
      </c>
      <c r="AT22" s="539">
        <f>IF('woningen|utiliteit'!S50="",0,IF(AT23&lt;&gt;"",AT23,'woningen|utiliteit'!S53))</f>
        <v>0</v>
      </c>
      <c r="AU22" s="538">
        <f>IF('woningen|utiliteit'!T50="",0,IF(AU23&lt;&gt;"",AU23,'woningen|utiliteit'!T53))</f>
        <v>0</v>
      </c>
      <c r="AV22" s="92"/>
      <c r="AW22" s="189">
        <f>SUM(AX22:BH22)</f>
        <v>0</v>
      </c>
      <c r="AX22" s="91"/>
      <c r="AY22" s="538">
        <f>IF('woningen|utiliteit'!L66="",0,IF(AY23&lt;&gt;"",AY23,'woningen|utiliteit'!L69))</f>
        <v>0</v>
      </c>
      <c r="AZ22" s="538">
        <f>IF('woningen|utiliteit'!M66="",0,IF(AZ23&lt;&gt;"",AZ23,'woningen|utiliteit'!M69))</f>
        <v>0</v>
      </c>
      <c r="BA22" s="539">
        <f>IF('woningen|utiliteit'!N66="",0,IF(BA23&lt;&gt;"",BA23,'woningen|utiliteit'!N69))</f>
        <v>0</v>
      </c>
      <c r="BB22" s="539">
        <f>IF('woningen|utiliteit'!O66="",0,IF(BB23&lt;&gt;"",BB23,'woningen|utiliteit'!O69))</f>
        <v>0</v>
      </c>
      <c r="BC22" s="539">
        <f>IF('woningen|utiliteit'!P66="",0,IF(BC23&lt;&gt;"",BC23,'woningen|utiliteit'!P69))</f>
        <v>0</v>
      </c>
      <c r="BD22" s="539">
        <f>IF('woningen|utiliteit'!Q66="",0,IF(BD23&lt;&gt;"",BD23,'woningen|utiliteit'!Q69))</f>
        <v>0</v>
      </c>
      <c r="BE22" s="539">
        <f>IF('woningen|utiliteit'!R66="",0,IF(BE23&lt;&gt;"",BE23,'woningen|utiliteit'!R69))</f>
        <v>0</v>
      </c>
      <c r="BF22" s="539">
        <f>IF('woningen|utiliteit'!S66="",0,IF(BF23&lt;&gt;"",BF23,'woningen|utiliteit'!S69))</f>
        <v>0</v>
      </c>
      <c r="BG22" s="538">
        <f>IF('woningen|utiliteit'!T66="",0,IF(BG23&lt;&gt;"",BG23,'woningen|utiliteit'!T69))</f>
        <v>0</v>
      </c>
      <c r="BH22" s="213"/>
    </row>
    <row r="23" spans="1:60">
      <c r="A23" s="1040"/>
      <c r="B23" s="1106" t="s">
        <v>111</v>
      </c>
      <c r="C23" s="1107" t="s">
        <v>118</v>
      </c>
      <c r="D23" s="638"/>
      <c r="E23" s="1218" t="s">
        <v>77</v>
      </c>
      <c r="F23" s="255"/>
      <c r="G23" s="255"/>
      <c r="H23" s="297"/>
      <c r="I23" s="86"/>
      <c r="J23" s="299"/>
      <c r="K23" s="93"/>
      <c r="L23" s="93"/>
      <c r="M23" s="398"/>
      <c r="N23" s="94"/>
      <c r="O23" s="263"/>
      <c r="P23" s="263"/>
      <c r="Q23" s="263"/>
      <c r="R23" s="263"/>
      <c r="S23" s="263"/>
      <c r="T23" s="263"/>
      <c r="U23" s="263"/>
      <c r="V23" s="263"/>
      <c r="W23" s="263"/>
      <c r="X23" s="87"/>
      <c r="Y23" s="197"/>
      <c r="Z23" s="94"/>
      <c r="AA23" s="263"/>
      <c r="AB23" s="263"/>
      <c r="AC23" s="263"/>
      <c r="AD23" s="263"/>
      <c r="AE23" s="263"/>
      <c r="AF23" s="263"/>
      <c r="AG23" s="263"/>
      <c r="AH23" s="263"/>
      <c r="AI23" s="263"/>
      <c r="AJ23" s="87"/>
      <c r="AK23" s="197"/>
      <c r="AL23" s="94"/>
      <c r="AM23" s="263"/>
      <c r="AN23" s="263"/>
      <c r="AO23" s="263"/>
      <c r="AP23" s="263"/>
      <c r="AQ23" s="263"/>
      <c r="AR23" s="263"/>
      <c r="AS23" s="263"/>
      <c r="AT23" s="263"/>
      <c r="AU23" s="263"/>
      <c r="AV23" s="87"/>
      <c r="AW23" s="197"/>
      <c r="AX23" s="94"/>
      <c r="AY23" s="263"/>
      <c r="AZ23" s="263"/>
      <c r="BA23" s="263"/>
      <c r="BB23" s="263"/>
      <c r="BC23" s="263"/>
      <c r="BD23" s="263"/>
      <c r="BE23" s="263"/>
      <c r="BF23" s="263"/>
      <c r="BG23" s="263"/>
      <c r="BH23" s="174"/>
    </row>
    <row r="24" spans="1:60">
      <c r="A24" s="1040"/>
      <c r="B24" s="1106" t="s">
        <v>111</v>
      </c>
      <c r="C24" s="1107" t="s">
        <v>104</v>
      </c>
      <c r="D24" s="638"/>
      <c r="E24" s="254" t="s">
        <v>121</v>
      </c>
      <c r="F24" s="180"/>
      <c r="G24" s="180"/>
      <c r="H24" s="150" t="s">
        <v>72</v>
      </c>
      <c r="I24" s="95"/>
      <c r="J24" s="185">
        <f>M24+Y24+AK24+AW24</f>
        <v>0</v>
      </c>
      <c r="K24" s="1051"/>
      <c r="L24" s="1051"/>
      <c r="M24" s="206">
        <f>SUM(N24:X24)</f>
        <v>0</v>
      </c>
      <c r="N24" s="96"/>
      <c r="O24" s="540">
        <f t="shared" ref="O24:W24" si="13">IF(O$19=woning,O$22,0)</f>
        <v>0</v>
      </c>
      <c r="P24" s="540">
        <f t="shared" si="13"/>
        <v>0</v>
      </c>
      <c r="Q24" s="540">
        <f t="shared" si="13"/>
        <v>0</v>
      </c>
      <c r="R24" s="540">
        <f t="shared" si="13"/>
        <v>0</v>
      </c>
      <c r="S24" s="540">
        <f t="shared" si="13"/>
        <v>0</v>
      </c>
      <c r="T24" s="540">
        <f t="shared" si="13"/>
        <v>0</v>
      </c>
      <c r="U24" s="540">
        <f t="shared" si="13"/>
        <v>0</v>
      </c>
      <c r="V24" s="540">
        <f t="shared" si="13"/>
        <v>0</v>
      </c>
      <c r="W24" s="540">
        <f t="shared" si="13"/>
        <v>0</v>
      </c>
      <c r="X24" s="97"/>
      <c r="Y24" s="400">
        <f>SUM(Z24:AJ24)</f>
        <v>0</v>
      </c>
      <c r="Z24" s="96"/>
      <c r="AA24" s="540">
        <f t="shared" ref="AA24:AI24" si="14">IF(AA$19=woning,AA$22,0)</f>
        <v>0</v>
      </c>
      <c r="AB24" s="540">
        <f t="shared" si="14"/>
        <v>0</v>
      </c>
      <c r="AC24" s="540">
        <f t="shared" si="14"/>
        <v>0</v>
      </c>
      <c r="AD24" s="540">
        <f t="shared" si="14"/>
        <v>0</v>
      </c>
      <c r="AE24" s="540">
        <f t="shared" si="14"/>
        <v>0</v>
      </c>
      <c r="AF24" s="540">
        <f t="shared" si="14"/>
        <v>0</v>
      </c>
      <c r="AG24" s="540">
        <f t="shared" si="14"/>
        <v>0</v>
      </c>
      <c r="AH24" s="540">
        <f t="shared" si="14"/>
        <v>0</v>
      </c>
      <c r="AI24" s="540">
        <f t="shared" si="14"/>
        <v>0</v>
      </c>
      <c r="AJ24" s="97"/>
      <c r="AK24" s="189">
        <f>SUM(AL24:AV24)</f>
        <v>0</v>
      </c>
      <c r="AL24" s="96"/>
      <c r="AM24" s="540">
        <f>IF(AM$19=woning,AM$22,0)</f>
        <v>0</v>
      </c>
      <c r="AN24" s="540">
        <f t="shared" ref="AN24:AU24" si="15">IF(AN$19=woning,AN$22,0)</f>
        <v>0</v>
      </c>
      <c r="AO24" s="540">
        <f t="shared" si="15"/>
        <v>0</v>
      </c>
      <c r="AP24" s="540">
        <f t="shared" si="15"/>
        <v>0</v>
      </c>
      <c r="AQ24" s="540">
        <f t="shared" si="15"/>
        <v>0</v>
      </c>
      <c r="AR24" s="540">
        <f t="shared" si="15"/>
        <v>0</v>
      </c>
      <c r="AS24" s="540">
        <f t="shared" si="15"/>
        <v>0</v>
      </c>
      <c r="AT24" s="540">
        <f t="shared" si="15"/>
        <v>0</v>
      </c>
      <c r="AU24" s="540">
        <f t="shared" si="15"/>
        <v>0</v>
      </c>
      <c r="AV24" s="97"/>
      <c r="AW24" s="400">
        <f>SUM(AX24:BH24)</f>
        <v>0</v>
      </c>
      <c r="AX24" s="96"/>
      <c r="AY24" s="540">
        <f t="shared" ref="AY24:BG24" si="16">IF(AY$19=woning,AY$22,0)</f>
        <v>0</v>
      </c>
      <c r="AZ24" s="540">
        <f t="shared" si="16"/>
        <v>0</v>
      </c>
      <c r="BA24" s="540">
        <f t="shared" si="16"/>
        <v>0</v>
      </c>
      <c r="BB24" s="540">
        <f t="shared" si="16"/>
        <v>0</v>
      </c>
      <c r="BC24" s="540">
        <f t="shared" si="16"/>
        <v>0</v>
      </c>
      <c r="BD24" s="540">
        <f t="shared" si="16"/>
        <v>0</v>
      </c>
      <c r="BE24" s="540">
        <f t="shared" si="16"/>
        <v>0</v>
      </c>
      <c r="BF24" s="540">
        <f t="shared" si="16"/>
        <v>0</v>
      </c>
      <c r="BG24" s="540">
        <f t="shared" si="16"/>
        <v>0</v>
      </c>
      <c r="BH24" s="174"/>
    </row>
    <row r="25" spans="1:60">
      <c r="A25" s="1040"/>
      <c r="B25" s="1106" t="s">
        <v>111</v>
      </c>
      <c r="C25" s="1107" t="s">
        <v>104</v>
      </c>
      <c r="D25" s="638"/>
      <c r="E25" s="254" t="s">
        <v>122</v>
      </c>
      <c r="F25" s="180"/>
      <c r="G25" s="180"/>
      <c r="H25" s="150" t="s">
        <v>72</v>
      </c>
      <c r="I25" s="95"/>
      <c r="J25" s="185">
        <f>M25+Y25+AK25+AW25</f>
        <v>0</v>
      </c>
      <c r="K25" s="1051"/>
      <c r="L25" s="1051"/>
      <c r="M25" s="206">
        <f>SUM(N25:X25)</f>
        <v>0</v>
      </c>
      <c r="N25" s="96"/>
      <c r="O25" s="540">
        <f t="shared" ref="O25:W25" si="17">IF(O$19=woongebouw,O$22,0)</f>
        <v>0</v>
      </c>
      <c r="P25" s="540">
        <f t="shared" si="17"/>
        <v>0</v>
      </c>
      <c r="Q25" s="540">
        <f t="shared" si="17"/>
        <v>0</v>
      </c>
      <c r="R25" s="540">
        <f t="shared" si="17"/>
        <v>0</v>
      </c>
      <c r="S25" s="540">
        <f t="shared" si="17"/>
        <v>0</v>
      </c>
      <c r="T25" s="540">
        <f t="shared" si="17"/>
        <v>0</v>
      </c>
      <c r="U25" s="540">
        <f t="shared" si="17"/>
        <v>0</v>
      </c>
      <c r="V25" s="540">
        <f t="shared" si="17"/>
        <v>0</v>
      </c>
      <c r="W25" s="540">
        <f t="shared" si="17"/>
        <v>0</v>
      </c>
      <c r="X25" s="97"/>
      <c r="Y25" s="400">
        <f>SUM(Z25:AJ25)</f>
        <v>0</v>
      </c>
      <c r="Z25" s="96"/>
      <c r="AA25" s="540">
        <f t="shared" ref="AA25:AI25" si="18">IF(AA$19=woongebouw,AA$22,0)</f>
        <v>0</v>
      </c>
      <c r="AB25" s="540">
        <f t="shared" si="18"/>
        <v>0</v>
      </c>
      <c r="AC25" s="540">
        <f t="shared" si="18"/>
        <v>0</v>
      </c>
      <c r="AD25" s="540">
        <f t="shared" si="18"/>
        <v>0</v>
      </c>
      <c r="AE25" s="540">
        <f t="shared" si="18"/>
        <v>0</v>
      </c>
      <c r="AF25" s="540">
        <f t="shared" si="18"/>
        <v>0</v>
      </c>
      <c r="AG25" s="540">
        <f t="shared" si="18"/>
        <v>0</v>
      </c>
      <c r="AH25" s="540">
        <f t="shared" si="18"/>
        <v>0</v>
      </c>
      <c r="AI25" s="540">
        <f t="shared" si="18"/>
        <v>0</v>
      </c>
      <c r="AJ25" s="97"/>
      <c r="AK25" s="189">
        <f>SUM(AL25:AV25)</f>
        <v>0</v>
      </c>
      <c r="AL25" s="96"/>
      <c r="AM25" s="540">
        <f>IF(AM$19=woongebouw,AM$22,0)</f>
        <v>0</v>
      </c>
      <c r="AN25" s="540">
        <f t="shared" ref="AN25:AU25" si="19">IF(AN$19=woongebouw,AN$22,0)</f>
        <v>0</v>
      </c>
      <c r="AO25" s="540">
        <f t="shared" si="19"/>
        <v>0</v>
      </c>
      <c r="AP25" s="540">
        <f t="shared" si="19"/>
        <v>0</v>
      </c>
      <c r="AQ25" s="540">
        <f t="shared" si="19"/>
        <v>0</v>
      </c>
      <c r="AR25" s="540">
        <f t="shared" si="19"/>
        <v>0</v>
      </c>
      <c r="AS25" s="540">
        <f t="shared" si="19"/>
        <v>0</v>
      </c>
      <c r="AT25" s="540">
        <f t="shared" si="19"/>
        <v>0</v>
      </c>
      <c r="AU25" s="540">
        <f t="shared" si="19"/>
        <v>0</v>
      </c>
      <c r="AV25" s="97"/>
      <c r="AW25" s="400">
        <f>SUM(AX25:BH25)</f>
        <v>0</v>
      </c>
      <c r="AX25" s="96"/>
      <c r="AY25" s="540">
        <f t="shared" ref="AY25:BG25" si="20">IF(AY$19=woongebouw,AY$22,0)</f>
        <v>0</v>
      </c>
      <c r="AZ25" s="540">
        <f t="shared" si="20"/>
        <v>0</v>
      </c>
      <c r="BA25" s="540">
        <f t="shared" si="20"/>
        <v>0</v>
      </c>
      <c r="BB25" s="540">
        <f t="shared" si="20"/>
        <v>0</v>
      </c>
      <c r="BC25" s="540">
        <f t="shared" si="20"/>
        <v>0</v>
      </c>
      <c r="BD25" s="540">
        <f t="shared" si="20"/>
        <v>0</v>
      </c>
      <c r="BE25" s="540">
        <f t="shared" si="20"/>
        <v>0</v>
      </c>
      <c r="BF25" s="540">
        <f t="shared" si="20"/>
        <v>0</v>
      </c>
      <c r="BG25" s="540">
        <f t="shared" si="20"/>
        <v>0</v>
      </c>
      <c r="BH25" s="174"/>
    </row>
    <row r="26" spans="1:60">
      <c r="A26" s="1040"/>
      <c r="B26" s="1106" t="s">
        <v>111</v>
      </c>
      <c r="C26" s="1107" t="s">
        <v>104</v>
      </c>
      <c r="D26" s="638"/>
      <c r="E26" s="254" t="s">
        <v>73</v>
      </c>
      <c r="F26" s="180"/>
      <c r="G26" s="180"/>
      <c r="H26" s="150" t="s">
        <v>74</v>
      </c>
      <c r="I26" s="95"/>
      <c r="J26" s="185">
        <f>M26+Y26+AK26+AW26</f>
        <v>0</v>
      </c>
      <c r="K26" s="1051"/>
      <c r="L26" s="1051"/>
      <c r="M26" s="399">
        <f>SUM(N26:X26)</f>
        <v>0</v>
      </c>
      <c r="N26" s="96"/>
      <c r="O26" s="540">
        <f>O22-O25-O24</f>
        <v>0</v>
      </c>
      <c r="P26" s="540">
        <f t="shared" ref="P26:W26" si="21">P22-P25-P24</f>
        <v>0</v>
      </c>
      <c r="Q26" s="540">
        <f t="shared" si="21"/>
        <v>0</v>
      </c>
      <c r="R26" s="540">
        <f t="shared" si="21"/>
        <v>0</v>
      </c>
      <c r="S26" s="540">
        <f t="shared" si="21"/>
        <v>0</v>
      </c>
      <c r="T26" s="540">
        <f t="shared" si="21"/>
        <v>0</v>
      </c>
      <c r="U26" s="540">
        <f t="shared" si="21"/>
        <v>0</v>
      </c>
      <c r="V26" s="540">
        <f t="shared" si="21"/>
        <v>0</v>
      </c>
      <c r="W26" s="540">
        <f t="shared" si="21"/>
        <v>0</v>
      </c>
      <c r="X26" s="97"/>
      <c r="Y26" s="206">
        <f>SUM(Z26:AJ26)</f>
        <v>0</v>
      </c>
      <c r="Z26" s="96"/>
      <c r="AA26" s="540">
        <f t="shared" ref="AA26:AI26" si="22">AA22-AA25-AA24</f>
        <v>0</v>
      </c>
      <c r="AB26" s="540">
        <f t="shared" si="22"/>
        <v>0</v>
      </c>
      <c r="AC26" s="540">
        <f t="shared" si="22"/>
        <v>0</v>
      </c>
      <c r="AD26" s="540">
        <f t="shared" si="22"/>
        <v>0</v>
      </c>
      <c r="AE26" s="540">
        <f t="shared" si="22"/>
        <v>0</v>
      </c>
      <c r="AF26" s="540">
        <f t="shared" si="22"/>
        <v>0</v>
      </c>
      <c r="AG26" s="540">
        <f t="shared" si="22"/>
        <v>0</v>
      </c>
      <c r="AH26" s="540">
        <f t="shared" si="22"/>
        <v>0</v>
      </c>
      <c r="AI26" s="540">
        <f t="shared" si="22"/>
        <v>0</v>
      </c>
      <c r="AJ26" s="97"/>
      <c r="AK26" s="400">
        <f>SUM(AL26:AV26)</f>
        <v>0</v>
      </c>
      <c r="AL26" s="96"/>
      <c r="AM26" s="540">
        <f t="shared" ref="AM26:AU26" si="23">AM22-AM25-AM24</f>
        <v>0</v>
      </c>
      <c r="AN26" s="540">
        <f t="shared" si="23"/>
        <v>0</v>
      </c>
      <c r="AO26" s="540">
        <f t="shared" si="23"/>
        <v>0</v>
      </c>
      <c r="AP26" s="540">
        <f t="shared" si="23"/>
        <v>0</v>
      </c>
      <c r="AQ26" s="540">
        <f t="shared" si="23"/>
        <v>0</v>
      </c>
      <c r="AR26" s="540">
        <f t="shared" si="23"/>
        <v>0</v>
      </c>
      <c r="AS26" s="540">
        <f t="shared" si="23"/>
        <v>0</v>
      </c>
      <c r="AT26" s="540">
        <f t="shared" si="23"/>
        <v>0</v>
      </c>
      <c r="AU26" s="540">
        <f t="shared" si="23"/>
        <v>0</v>
      </c>
      <c r="AV26" s="97"/>
      <c r="AW26" s="206">
        <f>SUM(AX26:BH26)</f>
        <v>0</v>
      </c>
      <c r="AX26" s="96"/>
      <c r="AY26" s="540">
        <f t="shared" ref="AY26:BG26" si="24">AY22-AY25-AY24</f>
        <v>0</v>
      </c>
      <c r="AZ26" s="540">
        <f t="shared" si="24"/>
        <v>0</v>
      </c>
      <c r="BA26" s="540">
        <f t="shared" si="24"/>
        <v>0</v>
      </c>
      <c r="BB26" s="540">
        <f t="shared" si="24"/>
        <v>0</v>
      </c>
      <c r="BC26" s="540">
        <f t="shared" si="24"/>
        <v>0</v>
      </c>
      <c r="BD26" s="540">
        <f t="shared" si="24"/>
        <v>0</v>
      </c>
      <c r="BE26" s="540">
        <f t="shared" si="24"/>
        <v>0</v>
      </c>
      <c r="BF26" s="540">
        <f t="shared" si="24"/>
        <v>0</v>
      </c>
      <c r="BG26" s="540">
        <f t="shared" si="24"/>
        <v>0</v>
      </c>
      <c r="BH26" s="174"/>
    </row>
    <row r="27" spans="1:60">
      <c r="A27" s="1040"/>
      <c r="B27" s="1106" t="s">
        <v>111</v>
      </c>
      <c r="C27" s="1107" t="s">
        <v>104</v>
      </c>
      <c r="D27" s="638"/>
      <c r="E27" s="180" t="s">
        <v>123</v>
      </c>
      <c r="F27" s="180"/>
      <c r="G27" s="180"/>
      <c r="H27" s="150" t="s">
        <v>59</v>
      </c>
      <c r="I27" s="95"/>
      <c r="J27" s="559"/>
      <c r="K27" s="1052"/>
      <c r="L27" s="1052"/>
      <c r="M27" s="559">
        <f>SUM(M24:M26)</f>
        <v>0</v>
      </c>
      <c r="N27" s="96"/>
      <c r="O27" s="540">
        <f>$M22</f>
        <v>0</v>
      </c>
      <c r="P27" s="540">
        <f t="shared" ref="P27:W27" si="25">$M22</f>
        <v>0</v>
      </c>
      <c r="Q27" s="540">
        <f t="shared" si="25"/>
        <v>0</v>
      </c>
      <c r="R27" s="540">
        <f t="shared" si="25"/>
        <v>0</v>
      </c>
      <c r="S27" s="540">
        <f t="shared" si="25"/>
        <v>0</v>
      </c>
      <c r="T27" s="540">
        <f t="shared" si="25"/>
        <v>0</v>
      </c>
      <c r="U27" s="540">
        <f t="shared" si="25"/>
        <v>0</v>
      </c>
      <c r="V27" s="540">
        <f t="shared" si="25"/>
        <v>0</v>
      </c>
      <c r="W27" s="540">
        <f t="shared" si="25"/>
        <v>0</v>
      </c>
      <c r="X27" s="97"/>
      <c r="Y27" s="559">
        <f>SUM(Y24:Y26)</f>
        <v>0</v>
      </c>
      <c r="Z27" s="96"/>
      <c r="AA27" s="540">
        <f>$Y22</f>
        <v>0</v>
      </c>
      <c r="AB27" s="540">
        <f t="shared" ref="AB27:AI27" si="26">$Y22</f>
        <v>0</v>
      </c>
      <c r="AC27" s="540">
        <f t="shared" si="26"/>
        <v>0</v>
      </c>
      <c r="AD27" s="540">
        <f t="shared" si="26"/>
        <v>0</v>
      </c>
      <c r="AE27" s="540">
        <f t="shared" si="26"/>
        <v>0</v>
      </c>
      <c r="AF27" s="540">
        <f t="shared" si="26"/>
        <v>0</v>
      </c>
      <c r="AG27" s="540">
        <f t="shared" si="26"/>
        <v>0</v>
      </c>
      <c r="AH27" s="540">
        <f t="shared" si="26"/>
        <v>0</v>
      </c>
      <c r="AI27" s="540">
        <f t="shared" si="26"/>
        <v>0</v>
      </c>
      <c r="AJ27" s="97"/>
      <c r="AK27" s="559">
        <f>SUM(AK24:AK26)</f>
        <v>0</v>
      </c>
      <c r="AL27" s="96"/>
      <c r="AM27" s="540">
        <f t="shared" ref="AM27:AU27" si="27">$AK22</f>
        <v>0</v>
      </c>
      <c r="AN27" s="540">
        <f t="shared" si="27"/>
        <v>0</v>
      </c>
      <c r="AO27" s="540">
        <f t="shared" si="27"/>
        <v>0</v>
      </c>
      <c r="AP27" s="540">
        <f t="shared" si="27"/>
        <v>0</v>
      </c>
      <c r="AQ27" s="540">
        <f t="shared" si="27"/>
        <v>0</v>
      </c>
      <c r="AR27" s="540">
        <f t="shared" si="27"/>
        <v>0</v>
      </c>
      <c r="AS27" s="540">
        <f t="shared" si="27"/>
        <v>0</v>
      </c>
      <c r="AT27" s="540">
        <f t="shared" si="27"/>
        <v>0</v>
      </c>
      <c r="AU27" s="540">
        <f t="shared" si="27"/>
        <v>0</v>
      </c>
      <c r="AV27" s="97"/>
      <c r="AW27" s="559"/>
      <c r="AX27" s="559">
        <f>SUM(AX24:AX26)</f>
        <v>0</v>
      </c>
      <c r="AY27" s="540">
        <f>$AW22</f>
        <v>0</v>
      </c>
      <c r="AZ27" s="540">
        <f t="shared" ref="AZ27:BG27" si="28">$AW22</f>
        <v>0</v>
      </c>
      <c r="BA27" s="540">
        <f t="shared" si="28"/>
        <v>0</v>
      </c>
      <c r="BB27" s="540">
        <f t="shared" si="28"/>
        <v>0</v>
      </c>
      <c r="BC27" s="540">
        <f t="shared" si="28"/>
        <v>0</v>
      </c>
      <c r="BD27" s="540">
        <f t="shared" si="28"/>
        <v>0</v>
      </c>
      <c r="BE27" s="540">
        <f t="shared" si="28"/>
        <v>0</v>
      </c>
      <c r="BF27" s="540">
        <f t="shared" si="28"/>
        <v>0</v>
      </c>
      <c r="BG27" s="540">
        <f t="shared" si="28"/>
        <v>0</v>
      </c>
      <c r="BH27" s="174"/>
    </row>
    <row r="28" spans="1:60">
      <c r="A28" s="1040"/>
      <c r="B28" s="1106" t="s">
        <v>111</v>
      </c>
      <c r="C28" s="1106" t="s">
        <v>96</v>
      </c>
      <c r="D28" s="638"/>
      <c r="E28" s="942" t="s">
        <v>124</v>
      </c>
      <c r="F28" s="942"/>
      <c r="G28" s="942"/>
      <c r="H28" s="942"/>
      <c r="I28" s="129"/>
      <c r="J28" s="943"/>
      <c r="K28" s="126"/>
      <c r="L28" s="126"/>
      <c r="M28" s="944"/>
      <c r="N28" s="195"/>
      <c r="O28" s="258" t="str">
        <f>O$17</f>
        <v/>
      </c>
      <c r="P28" s="258" t="str">
        <f t="shared" ref="P28:W28" si="29">P$17</f>
        <v/>
      </c>
      <c r="Q28" s="258" t="str">
        <f t="shared" si="29"/>
        <v/>
      </c>
      <c r="R28" s="258" t="str">
        <f t="shared" si="29"/>
        <v/>
      </c>
      <c r="S28" s="258" t="str">
        <f t="shared" si="29"/>
        <v/>
      </c>
      <c r="T28" s="258" t="str">
        <f t="shared" si="29"/>
        <v/>
      </c>
      <c r="U28" s="258" t="str">
        <f t="shared" si="29"/>
        <v/>
      </c>
      <c r="V28" s="258" t="str">
        <f t="shared" si="29"/>
        <v/>
      </c>
      <c r="W28" s="258" t="str">
        <f t="shared" si="29"/>
        <v/>
      </c>
      <c r="X28" s="195"/>
      <c r="Y28" s="944"/>
      <c r="Z28" s="195"/>
      <c r="AA28" s="258" t="str">
        <f>IF('woningen|utiliteit'!X31="","",'woningen|utiliteit'!X31)</f>
        <v/>
      </c>
      <c r="AB28" s="258" t="str">
        <f>IF('woningen|utiliteit'!Y31="","",'woningen|utiliteit'!Y31)</f>
        <v/>
      </c>
      <c r="AC28" s="258" t="str">
        <f>IF('woningen|utiliteit'!Z31="","",'woningen|utiliteit'!Z31)</f>
        <v/>
      </c>
      <c r="AD28" s="258" t="str">
        <f>IF('woningen|utiliteit'!AA31="","",'woningen|utiliteit'!AA31)</f>
        <v/>
      </c>
      <c r="AE28" s="258" t="str">
        <f>IF('woningen|utiliteit'!AB31="","",'woningen|utiliteit'!AB31)</f>
        <v/>
      </c>
      <c r="AF28" s="258" t="str">
        <f>IF('woningen|utiliteit'!AC31="","",'woningen|utiliteit'!AC31)</f>
        <v/>
      </c>
      <c r="AG28" s="258" t="str">
        <f>IF('woningen|utiliteit'!AD31="","",'woningen|utiliteit'!AD31)</f>
        <v/>
      </c>
      <c r="AH28" s="258" t="str">
        <f>IF('woningen|utiliteit'!AE31="","",'woningen|utiliteit'!AE31)</f>
        <v/>
      </c>
      <c r="AI28" s="258" t="str">
        <f>IF('woningen|utiliteit'!AF31="","",'woningen|utiliteit'!AF31)</f>
        <v/>
      </c>
      <c r="AJ28" s="195"/>
      <c r="AK28" s="944"/>
      <c r="AL28" s="195"/>
      <c r="AM28" s="258" t="str">
        <f>IF('woningen|utiliteit'!AJ31="","",'woningen|utiliteit'!AJ31)</f>
        <v/>
      </c>
      <c r="AN28" s="258" t="str">
        <f>IF('woningen|utiliteit'!AK31="","",'woningen|utiliteit'!AK31)</f>
        <v/>
      </c>
      <c r="AO28" s="258" t="str">
        <f>IF('woningen|utiliteit'!AL31="","",'woningen|utiliteit'!AL31)</f>
        <v/>
      </c>
      <c r="AP28" s="258" t="str">
        <f>IF('woningen|utiliteit'!AM31="","",'woningen|utiliteit'!AM31)</f>
        <v/>
      </c>
      <c r="AQ28" s="258" t="str">
        <f>IF('woningen|utiliteit'!AN31="","",'woningen|utiliteit'!AN31)</f>
        <v/>
      </c>
      <c r="AR28" s="258" t="str">
        <f>IF('woningen|utiliteit'!AO31="","",'woningen|utiliteit'!AO31)</f>
        <v/>
      </c>
      <c r="AS28" s="258" t="str">
        <f>IF('woningen|utiliteit'!AP31="","",'woningen|utiliteit'!AP31)</f>
        <v/>
      </c>
      <c r="AT28" s="258" t="str">
        <f>IF('woningen|utiliteit'!AQ31="","",'woningen|utiliteit'!AQ31)</f>
        <v/>
      </c>
      <c r="AU28" s="258" t="str">
        <f>IF('woningen|utiliteit'!AR31="","",'woningen|utiliteit'!AR31)</f>
        <v/>
      </c>
      <c r="AV28" s="195"/>
      <c r="AW28" s="944"/>
      <c r="AX28" s="195"/>
      <c r="AY28" s="258" t="str">
        <f>IF('woningen|utiliteit'!AV31="","",'woningen|utiliteit'!AV31)</f>
        <v/>
      </c>
      <c r="AZ28" s="258" t="str">
        <f>IF('woningen|utiliteit'!AW31="","",'woningen|utiliteit'!AW31)</f>
        <v/>
      </c>
      <c r="BA28" s="258" t="str">
        <f>IF('woningen|utiliteit'!AX31="","",'woningen|utiliteit'!AX31)</f>
        <v/>
      </c>
      <c r="BB28" s="258" t="str">
        <f>IF('woningen|utiliteit'!AY31="","",'woningen|utiliteit'!AY31)</f>
        <v/>
      </c>
      <c r="BC28" s="258" t="str">
        <f>IF('woningen|utiliteit'!AZ31="","",'woningen|utiliteit'!AZ31)</f>
        <v/>
      </c>
      <c r="BD28" s="258" t="str">
        <f>IF('woningen|utiliteit'!BA31="","",'woningen|utiliteit'!BA31)</f>
        <v/>
      </c>
      <c r="BE28" s="258" t="str">
        <f>IF('woningen|utiliteit'!BB31="","",'woningen|utiliteit'!BB31)</f>
        <v/>
      </c>
      <c r="BF28" s="258" t="str">
        <f>IF('woningen|utiliteit'!BC31="","",'woningen|utiliteit'!BC31)</f>
        <v/>
      </c>
      <c r="BG28" s="258" t="str">
        <f>IF('woningen|utiliteit'!BD31="","",'woningen|utiliteit'!BD31)</f>
        <v/>
      </c>
      <c r="BH28" s="36"/>
    </row>
    <row r="29" spans="1:60">
      <c r="A29" s="1040"/>
      <c r="B29" s="1106" t="s">
        <v>111</v>
      </c>
      <c r="C29" s="1107" t="s">
        <v>104</v>
      </c>
      <c r="D29" s="638"/>
      <c r="E29" s="254" t="s">
        <v>75</v>
      </c>
      <c r="F29" s="180" t="s">
        <v>125</v>
      </c>
      <c r="G29" s="180"/>
      <c r="H29" s="181" t="s">
        <v>76</v>
      </c>
      <c r="I29" s="79"/>
      <c r="J29" s="187">
        <f>M29+Y29+AK29+AW29</f>
        <v>0</v>
      </c>
      <c r="K29" s="243"/>
      <c r="L29" s="243"/>
      <c r="M29" s="187">
        <f>SUMPRODUCT(N$22:X$22,N29:X29)</f>
        <v>0</v>
      </c>
      <c r="N29" s="89"/>
      <c r="O29" s="385">
        <f>IF(O$17="",0,'woningen|utiliteit'!L24)</f>
        <v>0</v>
      </c>
      <c r="P29" s="385">
        <f>IF(P$17="",0,'woningen|utiliteit'!M24)</f>
        <v>0</v>
      </c>
      <c r="Q29" s="385">
        <f>IF(Q$17="",0,'woningen|utiliteit'!N24)</f>
        <v>0</v>
      </c>
      <c r="R29" s="385">
        <f>IF(R$17="",0,'woningen|utiliteit'!O24)</f>
        <v>0</v>
      </c>
      <c r="S29" s="385">
        <f>IF(S$17="",0,'woningen|utiliteit'!P24)</f>
        <v>0</v>
      </c>
      <c r="T29" s="385">
        <f>IF(T$17="",0,'woningen|utiliteit'!Q24)</f>
        <v>0</v>
      </c>
      <c r="U29" s="385">
        <f>IF(U$17="",0,'woningen|utiliteit'!R24)</f>
        <v>0</v>
      </c>
      <c r="V29" s="385">
        <f>IF(V$17="",0,'woningen|utiliteit'!S24)</f>
        <v>0</v>
      </c>
      <c r="W29" s="385">
        <f>IF(W$17="",0,'woningen|utiliteit'!T24)</f>
        <v>0</v>
      </c>
      <c r="X29" s="98"/>
      <c r="Y29" s="187">
        <f>SUMPRODUCT(Z$22:AJ$22,Z29:AJ29)</f>
        <v>0</v>
      </c>
      <c r="Z29" s="119"/>
      <c r="AA29" s="385">
        <f>IF(AA$17="",0,'woningen|utiliteit'!L40)</f>
        <v>0</v>
      </c>
      <c r="AB29" s="385">
        <f>IF(AB$17="",0,'woningen|utiliteit'!M40)</f>
        <v>0</v>
      </c>
      <c r="AC29" s="385">
        <f>IF(AC$17="",0,'woningen|utiliteit'!N40)</f>
        <v>0</v>
      </c>
      <c r="AD29" s="385">
        <f>IF(AD$17="",0,'woningen|utiliteit'!O40)</f>
        <v>0</v>
      </c>
      <c r="AE29" s="385">
        <f>IF(AE$17="",0,'woningen|utiliteit'!P40)</f>
        <v>0</v>
      </c>
      <c r="AF29" s="385">
        <f>IF(AF$17="",0,'woningen|utiliteit'!Q40)</f>
        <v>0</v>
      </c>
      <c r="AG29" s="385">
        <f>IF(AG$17="",0,'woningen|utiliteit'!R40)</f>
        <v>0</v>
      </c>
      <c r="AH29" s="385">
        <f>IF(AH$17="",0,'woningen|utiliteit'!S40)</f>
        <v>0</v>
      </c>
      <c r="AI29" s="385">
        <f>IF(AI$17="",0,'woningen|utiliteit'!T40)</f>
        <v>0</v>
      </c>
      <c r="AJ29" s="98"/>
      <c r="AK29" s="187">
        <f>SUMPRODUCT(AL$22:AV$22,AL29:AV29)</f>
        <v>0</v>
      </c>
      <c r="AL29" s="119"/>
      <c r="AM29" s="385">
        <f>IF(AM$17="",0,'woningen|utiliteit'!L56)</f>
        <v>0</v>
      </c>
      <c r="AN29" s="385">
        <f>IF(AN$17="",0,'woningen|utiliteit'!M56)</f>
        <v>0</v>
      </c>
      <c r="AO29" s="385">
        <f>IF(AO$17="",0,'woningen|utiliteit'!N56)</f>
        <v>0</v>
      </c>
      <c r="AP29" s="385">
        <f>IF(AP$17="",0,'woningen|utiliteit'!O56)</f>
        <v>0</v>
      </c>
      <c r="AQ29" s="385">
        <f>IF(AQ$17="",0,'woningen|utiliteit'!P56)</f>
        <v>0</v>
      </c>
      <c r="AR29" s="385">
        <f>IF(AR$17="",0,'woningen|utiliteit'!Q56)</f>
        <v>0</v>
      </c>
      <c r="AS29" s="385">
        <f>IF(AS$17="",0,'woningen|utiliteit'!R56)</f>
        <v>0</v>
      </c>
      <c r="AT29" s="385">
        <f>IF(AT$17="",0,'woningen|utiliteit'!S56)</f>
        <v>0</v>
      </c>
      <c r="AU29" s="385">
        <f>IF(AU$17="",0,'woningen|utiliteit'!T56)</f>
        <v>0</v>
      </c>
      <c r="AV29" s="98"/>
      <c r="AW29" s="187">
        <f>SUMPRODUCT(AX$22:BH$22,AX29:BH29)</f>
        <v>0</v>
      </c>
      <c r="AX29" s="119"/>
      <c r="AY29" s="385">
        <f>IF(AY$17="",0,'woningen|utiliteit'!L72)</f>
        <v>0</v>
      </c>
      <c r="AZ29" s="385">
        <f>IF(AZ$17="",0,'woningen|utiliteit'!M72)</f>
        <v>0</v>
      </c>
      <c r="BA29" s="385">
        <f>IF(BA$17="",0,'woningen|utiliteit'!N72)</f>
        <v>0</v>
      </c>
      <c r="BB29" s="385">
        <f>IF(BB$17="",0,'woningen|utiliteit'!O72)</f>
        <v>0</v>
      </c>
      <c r="BC29" s="385">
        <f>IF(BC$17="",0,'woningen|utiliteit'!P72)</f>
        <v>0</v>
      </c>
      <c r="BD29" s="385">
        <f>IF(BD$17="",0,'woningen|utiliteit'!Q72)</f>
        <v>0</v>
      </c>
      <c r="BE29" s="385">
        <f>IF(BE$17="",0,'woningen|utiliteit'!R72)</f>
        <v>0</v>
      </c>
      <c r="BF29" s="385">
        <f>IF(BF$17="",0,'woningen|utiliteit'!S72)</f>
        <v>0</v>
      </c>
      <c r="BG29" s="385">
        <f>IF(BG$17="",0,'woningen|utiliteit'!T72)</f>
        <v>0</v>
      </c>
      <c r="BH29" s="174"/>
    </row>
    <row r="30" spans="1:60">
      <c r="A30" s="1041"/>
      <c r="B30" s="1106" t="s">
        <v>111</v>
      </c>
      <c r="C30" s="1107" t="s">
        <v>104</v>
      </c>
      <c r="D30" s="638"/>
      <c r="E30" s="595"/>
      <c r="F30" s="180" t="s">
        <v>126</v>
      </c>
      <c r="G30" s="180"/>
      <c r="H30" s="181" t="s">
        <v>127</v>
      </c>
      <c r="I30" s="99"/>
      <c r="J30" s="187"/>
      <c r="K30" s="1053"/>
      <c r="L30" s="1053"/>
      <c r="M30" s="622"/>
      <c r="N30" s="623"/>
      <c r="O30" s="557">
        <f>O22*O29</f>
        <v>0</v>
      </c>
      <c r="P30" s="557">
        <f t="shared" ref="P30:W30" si="30">P22*P29</f>
        <v>0</v>
      </c>
      <c r="Q30" s="557">
        <f t="shared" si="30"/>
        <v>0</v>
      </c>
      <c r="R30" s="557">
        <f t="shared" si="30"/>
        <v>0</v>
      </c>
      <c r="S30" s="557">
        <f t="shared" si="30"/>
        <v>0</v>
      </c>
      <c r="T30" s="557">
        <f>T22*T29</f>
        <v>0</v>
      </c>
      <c r="U30" s="557">
        <f t="shared" si="30"/>
        <v>0</v>
      </c>
      <c r="V30" s="557">
        <f t="shared" si="30"/>
        <v>0</v>
      </c>
      <c r="W30" s="557">
        <f t="shared" si="30"/>
        <v>0</v>
      </c>
      <c r="X30" s="101"/>
      <c r="Y30" s="622"/>
      <c r="Z30" s="937"/>
      <c r="AA30" s="557">
        <f t="shared" ref="AA30:AI30" si="31">AA22*AA29</f>
        <v>0</v>
      </c>
      <c r="AB30" s="557">
        <f t="shared" si="31"/>
        <v>0</v>
      </c>
      <c r="AC30" s="557">
        <f t="shared" si="31"/>
        <v>0</v>
      </c>
      <c r="AD30" s="557">
        <f t="shared" si="31"/>
        <v>0</v>
      </c>
      <c r="AE30" s="557">
        <f t="shared" si="31"/>
        <v>0</v>
      </c>
      <c r="AF30" s="557">
        <f t="shared" si="31"/>
        <v>0</v>
      </c>
      <c r="AG30" s="557">
        <f t="shared" si="31"/>
        <v>0</v>
      </c>
      <c r="AH30" s="557">
        <f t="shared" si="31"/>
        <v>0</v>
      </c>
      <c r="AI30" s="557">
        <f t="shared" si="31"/>
        <v>0</v>
      </c>
      <c r="AJ30" s="101"/>
      <c r="AK30" s="622"/>
      <c r="AL30" s="937"/>
      <c r="AM30" s="557">
        <f t="shared" ref="AM30:AU30" si="32">AM22*AM29</f>
        <v>0</v>
      </c>
      <c r="AN30" s="557">
        <f t="shared" si="32"/>
        <v>0</v>
      </c>
      <c r="AO30" s="557">
        <f t="shared" si="32"/>
        <v>0</v>
      </c>
      <c r="AP30" s="557">
        <f t="shared" si="32"/>
        <v>0</v>
      </c>
      <c r="AQ30" s="557">
        <f t="shared" si="32"/>
        <v>0</v>
      </c>
      <c r="AR30" s="557">
        <f t="shared" si="32"/>
        <v>0</v>
      </c>
      <c r="AS30" s="557">
        <f t="shared" si="32"/>
        <v>0</v>
      </c>
      <c r="AT30" s="557">
        <f t="shared" si="32"/>
        <v>0</v>
      </c>
      <c r="AU30" s="557">
        <f t="shared" si="32"/>
        <v>0</v>
      </c>
      <c r="AV30" s="101"/>
      <c r="AW30" s="622"/>
      <c r="AX30" s="937"/>
      <c r="AY30" s="557">
        <f t="shared" ref="AY30:BG30" si="33">AY22*AY29</f>
        <v>0</v>
      </c>
      <c r="AZ30" s="557">
        <f t="shared" si="33"/>
        <v>0</v>
      </c>
      <c r="BA30" s="557">
        <f t="shared" si="33"/>
        <v>0</v>
      </c>
      <c r="BB30" s="557">
        <f t="shared" si="33"/>
        <v>0</v>
      </c>
      <c r="BC30" s="557">
        <f t="shared" si="33"/>
        <v>0</v>
      </c>
      <c r="BD30" s="557">
        <f t="shared" si="33"/>
        <v>0</v>
      </c>
      <c r="BE30" s="557">
        <f t="shared" si="33"/>
        <v>0</v>
      </c>
      <c r="BF30" s="557">
        <f t="shared" si="33"/>
        <v>0</v>
      </c>
      <c r="BG30" s="557">
        <f t="shared" si="33"/>
        <v>0</v>
      </c>
      <c r="BH30" s="174"/>
    </row>
    <row r="31" spans="1:60">
      <c r="A31" s="1041"/>
      <c r="B31" s="1106" t="s">
        <v>111</v>
      </c>
      <c r="C31" s="1107" t="s">
        <v>104</v>
      </c>
      <c r="D31" s="638"/>
      <c r="E31" s="255"/>
      <c r="F31" s="180" t="s">
        <v>128</v>
      </c>
      <c r="G31" s="180"/>
      <c r="H31" s="181" t="s">
        <v>127</v>
      </c>
      <c r="I31" s="99"/>
      <c r="J31" s="187"/>
      <c r="K31" s="1053"/>
      <c r="L31" s="1053"/>
      <c r="M31" s="187"/>
      <c r="N31" s="100"/>
      <c r="O31" s="385">
        <f>SUMPRODUCT($N22:$X22,$N29:$X29)</f>
        <v>0</v>
      </c>
      <c r="P31" s="385">
        <f t="shared" ref="P31:W31" si="34">SUMPRODUCT($N22:$X22,$N29:$X29)</f>
        <v>0</v>
      </c>
      <c r="Q31" s="385">
        <f t="shared" si="34"/>
        <v>0</v>
      </c>
      <c r="R31" s="385">
        <f t="shared" si="34"/>
        <v>0</v>
      </c>
      <c r="S31" s="385">
        <f t="shared" si="34"/>
        <v>0</v>
      </c>
      <c r="T31" s="385">
        <f t="shared" si="34"/>
        <v>0</v>
      </c>
      <c r="U31" s="385">
        <f t="shared" si="34"/>
        <v>0</v>
      </c>
      <c r="V31" s="385">
        <f t="shared" si="34"/>
        <v>0</v>
      </c>
      <c r="W31" s="385">
        <f t="shared" si="34"/>
        <v>0</v>
      </c>
      <c r="X31" s="101"/>
      <c r="Y31" s="187"/>
      <c r="Z31" s="100"/>
      <c r="AA31" s="385">
        <f t="shared" ref="AA31:AI31" si="35">SUMPRODUCT($Z$22:$AJ$22,$Z$29:$AJ$29)</f>
        <v>0</v>
      </c>
      <c r="AB31" s="385">
        <f t="shared" si="35"/>
        <v>0</v>
      </c>
      <c r="AC31" s="385">
        <f t="shared" si="35"/>
        <v>0</v>
      </c>
      <c r="AD31" s="385">
        <f t="shared" si="35"/>
        <v>0</v>
      </c>
      <c r="AE31" s="385">
        <f t="shared" si="35"/>
        <v>0</v>
      </c>
      <c r="AF31" s="385">
        <f t="shared" si="35"/>
        <v>0</v>
      </c>
      <c r="AG31" s="385">
        <f t="shared" si="35"/>
        <v>0</v>
      </c>
      <c r="AH31" s="385">
        <f t="shared" si="35"/>
        <v>0</v>
      </c>
      <c r="AI31" s="385">
        <f t="shared" si="35"/>
        <v>0</v>
      </c>
      <c r="AJ31" s="101"/>
      <c r="AK31" s="187"/>
      <c r="AL31" s="100"/>
      <c r="AM31" s="385">
        <f>SUMPRODUCT($AL$22:$AV$22,$AL$29:$AV$29)</f>
        <v>0</v>
      </c>
      <c r="AN31" s="385">
        <f t="shared" ref="AN31:AU31" si="36">SUMPRODUCT($AL$22:$AV$22,$AL$29:$AV$29)</f>
        <v>0</v>
      </c>
      <c r="AO31" s="385">
        <f t="shared" si="36"/>
        <v>0</v>
      </c>
      <c r="AP31" s="385">
        <f t="shared" si="36"/>
        <v>0</v>
      </c>
      <c r="AQ31" s="385">
        <f t="shared" si="36"/>
        <v>0</v>
      </c>
      <c r="AR31" s="385">
        <f t="shared" si="36"/>
        <v>0</v>
      </c>
      <c r="AS31" s="385">
        <f t="shared" si="36"/>
        <v>0</v>
      </c>
      <c r="AT31" s="385">
        <f t="shared" si="36"/>
        <v>0</v>
      </c>
      <c r="AU31" s="385">
        <f t="shared" si="36"/>
        <v>0</v>
      </c>
      <c r="AV31" s="101"/>
      <c r="AW31" s="187"/>
      <c r="AX31" s="100"/>
      <c r="AY31" s="385">
        <f>SUMPRODUCT($AX$22:$BH$22,$AX$29:$BH$29)</f>
        <v>0</v>
      </c>
      <c r="AZ31" s="385">
        <f t="shared" ref="AZ31:BG31" si="37">SUMPRODUCT($AX$22:$BH$22,$AX$29:$BH$29)</f>
        <v>0</v>
      </c>
      <c r="BA31" s="385">
        <f t="shared" si="37"/>
        <v>0</v>
      </c>
      <c r="BB31" s="385">
        <f t="shared" si="37"/>
        <v>0</v>
      </c>
      <c r="BC31" s="385">
        <f t="shared" si="37"/>
        <v>0</v>
      </c>
      <c r="BD31" s="385">
        <f t="shared" si="37"/>
        <v>0</v>
      </c>
      <c r="BE31" s="385">
        <f t="shared" si="37"/>
        <v>0</v>
      </c>
      <c r="BF31" s="385">
        <f t="shared" si="37"/>
        <v>0</v>
      </c>
      <c r="BG31" s="385">
        <f t="shared" si="37"/>
        <v>0</v>
      </c>
      <c r="BH31" s="174"/>
    </row>
    <row r="32" spans="1:60">
      <c r="A32" s="1041"/>
      <c r="B32" s="1106" t="s">
        <v>111</v>
      </c>
      <c r="C32" s="1107" t="s">
        <v>104</v>
      </c>
      <c r="D32" s="638"/>
      <c r="E32" s="180" t="s">
        <v>129</v>
      </c>
      <c r="F32" s="180"/>
      <c r="G32" s="180"/>
      <c r="H32" s="181" t="s">
        <v>130</v>
      </c>
      <c r="I32" s="79"/>
      <c r="J32" s="187"/>
      <c r="K32" s="243"/>
      <c r="L32" s="243"/>
      <c r="M32" s="187"/>
      <c r="N32" s="89"/>
      <c r="O32" s="151" t="str">
        <f>IF('woningen|utiliteit'!L28="","",'woningen|utiliteit'!L28)</f>
        <v/>
      </c>
      <c r="P32" s="151" t="str">
        <f>IF('woningen|utiliteit'!M28="","",'woningen|utiliteit'!M28)</f>
        <v/>
      </c>
      <c r="Q32" s="151" t="str">
        <f>IF('woningen|utiliteit'!N28="","",'woningen|utiliteit'!N28)</f>
        <v/>
      </c>
      <c r="R32" s="151" t="str">
        <f>IF('woningen|utiliteit'!O28="","",'woningen|utiliteit'!O28)</f>
        <v/>
      </c>
      <c r="S32" s="151" t="str">
        <f>IF('woningen|utiliteit'!P28="","",'woningen|utiliteit'!P28)</f>
        <v/>
      </c>
      <c r="T32" s="151" t="str">
        <f>IF('woningen|utiliteit'!Q28="","",'woningen|utiliteit'!Q28)</f>
        <v/>
      </c>
      <c r="U32" s="151" t="str">
        <f>IF('woningen|utiliteit'!R28="","",'woningen|utiliteit'!R28)</f>
        <v/>
      </c>
      <c r="V32" s="151" t="str">
        <f>IF('woningen|utiliteit'!S28="","",'woningen|utiliteit'!S28)</f>
        <v/>
      </c>
      <c r="W32" s="151" t="str">
        <f>IF('woningen|utiliteit'!T28="","",'woningen|utiliteit'!T28)</f>
        <v/>
      </c>
      <c r="X32" s="98"/>
      <c r="Y32" s="187"/>
      <c r="Z32" s="89"/>
      <c r="AA32" s="151" t="str">
        <f>IF('woningen|utiliteit'!L44="","",'woningen|utiliteit'!L44)</f>
        <v/>
      </c>
      <c r="AB32" s="151" t="str">
        <f>IF('woningen|utiliteit'!M44="","",'woningen|utiliteit'!M44)</f>
        <v/>
      </c>
      <c r="AC32" s="151" t="str">
        <f>IF('woningen|utiliteit'!N44="","",'woningen|utiliteit'!N44)</f>
        <v/>
      </c>
      <c r="AD32" s="151" t="str">
        <f>IF('woningen|utiliteit'!O44="","",'woningen|utiliteit'!O44)</f>
        <v/>
      </c>
      <c r="AE32" s="151" t="str">
        <f>IF('woningen|utiliteit'!P44="","",'woningen|utiliteit'!P44)</f>
        <v/>
      </c>
      <c r="AF32" s="151" t="str">
        <f>IF('woningen|utiliteit'!Q44="","",'woningen|utiliteit'!Q44)</f>
        <v/>
      </c>
      <c r="AG32" s="151" t="str">
        <f>IF('woningen|utiliteit'!R44="","",'woningen|utiliteit'!R44)</f>
        <v/>
      </c>
      <c r="AH32" s="151" t="str">
        <f>IF('woningen|utiliteit'!S44="","",'woningen|utiliteit'!S44)</f>
        <v/>
      </c>
      <c r="AI32" s="151" t="str">
        <f>IF('woningen|utiliteit'!T44="","",'woningen|utiliteit'!T44)</f>
        <v/>
      </c>
      <c r="AJ32" s="98"/>
      <c r="AK32" s="187"/>
      <c r="AL32" s="89"/>
      <c r="AM32" s="151" t="str">
        <f>IF('woningen|utiliteit'!L60="","",'woningen|utiliteit'!L60)</f>
        <v/>
      </c>
      <c r="AN32" s="151" t="str">
        <f>IF('woningen|utiliteit'!M60="","",'woningen|utiliteit'!M60)</f>
        <v/>
      </c>
      <c r="AO32" s="151" t="str">
        <f>IF('woningen|utiliteit'!N60="","",'woningen|utiliteit'!N60)</f>
        <v/>
      </c>
      <c r="AP32" s="151" t="str">
        <f>IF('woningen|utiliteit'!O60="","",'woningen|utiliteit'!O60)</f>
        <v/>
      </c>
      <c r="AQ32" s="151" t="str">
        <f>IF('woningen|utiliteit'!P60="","",'woningen|utiliteit'!P60)</f>
        <v/>
      </c>
      <c r="AR32" s="151" t="str">
        <f>IF('woningen|utiliteit'!Q60="","",'woningen|utiliteit'!Q60)</f>
        <v/>
      </c>
      <c r="AS32" s="151" t="str">
        <f>IF('woningen|utiliteit'!R60="","",'woningen|utiliteit'!R60)</f>
        <v/>
      </c>
      <c r="AT32" s="151" t="str">
        <f>IF('woningen|utiliteit'!S60="","",'woningen|utiliteit'!S60)</f>
        <v/>
      </c>
      <c r="AU32" s="151" t="str">
        <f>IF('woningen|utiliteit'!T60="","",'woningen|utiliteit'!T60)</f>
        <v/>
      </c>
      <c r="AV32" s="98"/>
      <c r="AW32" s="187"/>
      <c r="AX32" s="89"/>
      <c r="AY32" s="151" t="str">
        <f>IF('woningen|utiliteit'!L76="","",'woningen|utiliteit'!L76)</f>
        <v/>
      </c>
      <c r="AZ32" s="151" t="str">
        <f>IF('woningen|utiliteit'!M76="","",'woningen|utiliteit'!M76)</f>
        <v/>
      </c>
      <c r="BA32" s="151" t="str">
        <f>IF('woningen|utiliteit'!N76="","",'woningen|utiliteit'!N76)</f>
        <v/>
      </c>
      <c r="BB32" s="151" t="str">
        <f>IF('woningen|utiliteit'!O76="","",'woningen|utiliteit'!O76)</f>
        <v/>
      </c>
      <c r="BC32" s="151" t="str">
        <f>IF('woningen|utiliteit'!P76="","",'woningen|utiliteit'!P76)</f>
        <v/>
      </c>
      <c r="BD32" s="151" t="str">
        <f>IF('woningen|utiliteit'!Q76="","",'woningen|utiliteit'!Q76)</f>
        <v/>
      </c>
      <c r="BE32" s="151" t="str">
        <f>IF('woningen|utiliteit'!R76="","",'woningen|utiliteit'!R76)</f>
        <v/>
      </c>
      <c r="BF32" s="151" t="str">
        <f>IF('woningen|utiliteit'!S76="","",'woningen|utiliteit'!S76)</f>
        <v/>
      </c>
      <c r="BG32" s="151" t="str">
        <f>IF('woningen|utiliteit'!T76="","",'woningen|utiliteit'!T76)</f>
        <v/>
      </c>
      <c r="BH32" s="174"/>
    </row>
    <row r="33" spans="1:60">
      <c r="A33" s="1041"/>
      <c r="B33" s="1106" t="s">
        <v>111</v>
      </c>
      <c r="C33" s="1107" t="s">
        <v>104</v>
      </c>
      <c r="D33" s="638"/>
      <c r="E33" s="180" t="s">
        <v>131</v>
      </c>
      <c r="F33" s="180"/>
      <c r="G33" s="180"/>
      <c r="H33" s="181" t="s">
        <v>130</v>
      </c>
      <c r="I33" s="79"/>
      <c r="J33" s="187"/>
      <c r="K33" s="243"/>
      <c r="L33" s="243"/>
      <c r="M33" s="187"/>
      <c r="N33" s="89"/>
      <c r="O33" s="151" t="str">
        <f>IF(O$17="","",HLOOKUP(O$17,woningen_gebouwen_gegevens,ROWS(bibliotheek!$E$20:$E$34),FALSE))</f>
        <v/>
      </c>
      <c r="P33" s="151" t="str">
        <f>IF(P$17="","",HLOOKUP(P$17,woningen_gebouwen_gegevens,ROWS(bibliotheek!$E$20:$E$34),FALSE))</f>
        <v/>
      </c>
      <c r="Q33" s="151" t="str">
        <f>IF(Q$17="","",HLOOKUP(Q$17,woningen_gebouwen_gegevens,ROWS(bibliotheek!$E$20:$E$34),FALSE))</f>
        <v/>
      </c>
      <c r="R33" s="151" t="str">
        <f>IF(R$17="","",HLOOKUP(R$17,woningen_gebouwen_gegevens,ROWS(bibliotheek!$E$20:$E$34),FALSE))</f>
        <v/>
      </c>
      <c r="S33" s="151" t="str">
        <f>IF(S$17="","",HLOOKUP(S$17,woningen_gebouwen_gegevens,ROWS(bibliotheek!$E$20:$E$34),FALSE))</f>
        <v/>
      </c>
      <c r="T33" s="151" t="str">
        <f>IF(T$17="","",HLOOKUP(T$17,woningen_gebouwen_gegevens,ROWS(bibliotheek!$E$20:$E$34),FALSE))</f>
        <v/>
      </c>
      <c r="U33" s="151" t="str">
        <f>IF(U$17="","",HLOOKUP(U$17,woningen_gebouwen_gegevens,ROWS(bibliotheek!$E$20:$E$34),FALSE))</f>
        <v/>
      </c>
      <c r="V33" s="151" t="str">
        <f>IF(V$17="","",HLOOKUP(V$17,woningen_gebouwen_gegevens,ROWS(bibliotheek!$E$20:$E$34),FALSE))</f>
        <v/>
      </c>
      <c r="W33" s="151" t="str">
        <f>IF(W$17="","",HLOOKUP(W$17,woningen_gebouwen_gegevens,ROWS(bibliotheek!$E$20:$E$34),FALSE))</f>
        <v/>
      </c>
      <c r="X33" s="98"/>
      <c r="Y33" s="187"/>
      <c r="Z33" s="89"/>
      <c r="AA33" s="151" t="str">
        <f>IF(AA$17="","",HLOOKUP(AA$17,woningen_gebouwen_gegevens,ROWS(bibliotheek!$E$20:$E$34),FALSE))</f>
        <v/>
      </c>
      <c r="AB33" s="151" t="str">
        <f>IF(AB$17="","",HLOOKUP(AB$17,woningen_gebouwen_gegevens,ROWS(bibliotheek!$E$20:$E$34),FALSE))</f>
        <v/>
      </c>
      <c r="AC33" s="151" t="str">
        <f>IF(AC$17="","",HLOOKUP(AC$17,woningen_gebouwen_gegevens,ROWS(bibliotheek!$E$20:$E$34),FALSE))</f>
        <v/>
      </c>
      <c r="AD33" s="151" t="str">
        <f>IF(AD$17="","",HLOOKUP(AD$17,woningen_gebouwen_gegevens,ROWS(bibliotheek!$E$20:$E$34),FALSE))</f>
        <v/>
      </c>
      <c r="AE33" s="151" t="str">
        <f>IF(AE$17="","",HLOOKUP(AE$17,woningen_gebouwen_gegevens,ROWS(bibliotheek!$E$20:$E$34),FALSE))</f>
        <v/>
      </c>
      <c r="AF33" s="151" t="str">
        <f>IF(AF$17="","",HLOOKUP(AF$17,woningen_gebouwen_gegevens,ROWS(bibliotheek!$E$20:$E$34),FALSE))</f>
        <v/>
      </c>
      <c r="AG33" s="151" t="str">
        <f>IF(AG$17="","",HLOOKUP(AG$17,woningen_gebouwen_gegevens,ROWS(bibliotheek!$E$20:$E$34),FALSE))</f>
        <v/>
      </c>
      <c r="AH33" s="151" t="str">
        <f>IF(AH$17="","",HLOOKUP(AH$17,woningen_gebouwen_gegevens,ROWS(bibliotheek!$E$20:$E$34),FALSE))</f>
        <v/>
      </c>
      <c r="AI33" s="151" t="str">
        <f>IF(AI$17="","",HLOOKUP(AI$17,woningen_gebouwen_gegevens,ROWS(bibliotheek!$E$20:$E$34),FALSE))</f>
        <v/>
      </c>
      <c r="AJ33" s="98"/>
      <c r="AK33" s="187"/>
      <c r="AL33" s="89"/>
      <c r="AM33" s="151" t="str">
        <f>IF(AM$17="","",HLOOKUP(AM$17,woningen_gebouwen_gegevens,ROWS(bibliotheek!$E$20:$E$34),FALSE))</f>
        <v/>
      </c>
      <c r="AN33" s="151" t="str">
        <f>IF(AN$17="","",HLOOKUP(AN$17,woningen_gebouwen_gegevens,ROWS(bibliotheek!$E$20:$E$34),FALSE))</f>
        <v/>
      </c>
      <c r="AO33" s="151" t="str">
        <f>IF(AO$17="","",HLOOKUP(AO$17,woningen_gebouwen_gegevens,ROWS(bibliotheek!$E$20:$E$34),FALSE))</f>
        <v/>
      </c>
      <c r="AP33" s="151" t="str">
        <f>IF(AP$17="","",HLOOKUP(AP$17,woningen_gebouwen_gegevens,ROWS(bibliotheek!$E$20:$E$34),FALSE))</f>
        <v/>
      </c>
      <c r="AQ33" s="151" t="str">
        <f>IF(AQ$17="","",HLOOKUP(AQ$17,woningen_gebouwen_gegevens,ROWS(bibliotheek!$E$20:$E$34),FALSE))</f>
        <v/>
      </c>
      <c r="AR33" s="151" t="str">
        <f>IF(AR$17="","",HLOOKUP(AR$17,woningen_gebouwen_gegevens,ROWS(bibliotheek!$E$20:$E$34),FALSE))</f>
        <v/>
      </c>
      <c r="AS33" s="151" t="str">
        <f>IF(AS$17="","",HLOOKUP(AS$17,woningen_gebouwen_gegevens,ROWS(bibliotheek!$E$20:$E$34),FALSE))</f>
        <v/>
      </c>
      <c r="AT33" s="151" t="str">
        <f>IF(AT$17="","",HLOOKUP(AT$17,woningen_gebouwen_gegevens,ROWS(bibliotheek!$E$20:$E$34),FALSE))</f>
        <v/>
      </c>
      <c r="AU33" s="151" t="str">
        <f>IF(AU$17="","",HLOOKUP(AU$17,woningen_gebouwen_gegevens,ROWS(bibliotheek!$E$20:$E$34),FALSE))</f>
        <v/>
      </c>
      <c r="AV33" s="98"/>
      <c r="AW33" s="187"/>
      <c r="AX33" s="89"/>
      <c r="AY33" s="151" t="str">
        <f>IF(AY$17="","",HLOOKUP(AY$17,woningen_gebouwen_gegevens,ROWS(bibliotheek!$E$20:$E$34),FALSE))</f>
        <v/>
      </c>
      <c r="AZ33" s="151" t="str">
        <f>IF(AZ$17="","",HLOOKUP(AZ$17,woningen_gebouwen_gegevens,ROWS(bibliotheek!$E$20:$E$34),FALSE))</f>
        <v/>
      </c>
      <c r="BA33" s="151" t="str">
        <f>IF(BA$17="","",HLOOKUP(BA$17,woningen_gebouwen_gegevens,ROWS(bibliotheek!$E$20:$E$34),FALSE))</f>
        <v/>
      </c>
      <c r="BB33" s="151" t="str">
        <f>IF(BB$17="","",HLOOKUP(BB$17,woningen_gebouwen_gegevens,ROWS(bibliotheek!$E$20:$E$34),FALSE))</f>
        <v/>
      </c>
      <c r="BC33" s="151" t="str">
        <f>IF(BC$17="","",HLOOKUP(BC$17,woningen_gebouwen_gegevens,ROWS(bibliotheek!$E$20:$E$34),FALSE))</f>
        <v/>
      </c>
      <c r="BD33" s="151" t="str">
        <f>IF(BD$17="","",HLOOKUP(BD$17,woningen_gebouwen_gegevens,ROWS(bibliotheek!$E$20:$E$34),FALSE))</f>
        <v/>
      </c>
      <c r="BE33" s="151" t="str">
        <f>IF(BE$17="","",HLOOKUP(BE$17,woningen_gebouwen_gegevens,ROWS(bibliotheek!$E$20:$E$34),FALSE))</f>
        <v/>
      </c>
      <c r="BF33" s="151" t="str">
        <f>IF(BF$17="","",HLOOKUP(BF$17,woningen_gebouwen_gegevens,ROWS(bibliotheek!$E$20:$E$34),FALSE))</f>
        <v/>
      </c>
      <c r="BG33" s="151" t="str">
        <f>IF(BG$17="","",HLOOKUP(BG$17,woningen_gebouwen_gegevens,ROWS(bibliotheek!$E$20:$E$34),FALSE))</f>
        <v/>
      </c>
      <c r="BH33" s="174"/>
    </row>
    <row r="34" spans="1:60">
      <c r="A34" s="1041"/>
      <c r="B34" s="1106" t="s">
        <v>111</v>
      </c>
      <c r="C34" s="1107" t="s">
        <v>104</v>
      </c>
      <c r="D34" s="638"/>
      <c r="E34" s="79"/>
      <c r="F34" s="79"/>
      <c r="G34" s="79"/>
      <c r="H34" s="85"/>
      <c r="I34" s="79"/>
      <c r="J34" s="82"/>
      <c r="K34" s="79"/>
      <c r="L34" s="79"/>
      <c r="M34" s="82"/>
      <c r="N34" s="82"/>
      <c r="O34" s="82"/>
      <c r="P34" s="82"/>
      <c r="Q34" s="82"/>
      <c r="R34" s="82"/>
      <c r="S34" s="82"/>
      <c r="T34" s="82"/>
      <c r="U34" s="82"/>
      <c r="V34" s="82"/>
      <c r="W34" s="82"/>
      <c r="X34" s="82"/>
      <c r="Y34" s="82"/>
      <c r="Z34" s="79"/>
      <c r="AA34" s="82"/>
      <c r="AB34" s="82"/>
      <c r="AC34" s="82"/>
      <c r="AD34" s="82"/>
      <c r="AE34" s="82"/>
      <c r="AF34" s="82"/>
      <c r="AG34" s="82"/>
      <c r="AH34" s="82"/>
      <c r="AI34" s="82"/>
      <c r="AJ34" s="82"/>
      <c r="AK34" s="82"/>
      <c r="AL34" s="79"/>
      <c r="AM34" s="82"/>
      <c r="AN34" s="82"/>
      <c r="AO34" s="82"/>
      <c r="AP34" s="82"/>
      <c r="AQ34" s="82"/>
      <c r="AR34" s="82"/>
      <c r="AS34" s="82"/>
      <c r="AT34" s="82"/>
      <c r="AU34" s="82"/>
      <c r="AV34" s="82"/>
      <c r="AW34" s="82"/>
      <c r="AX34" s="79"/>
      <c r="AY34" s="82"/>
      <c r="AZ34" s="82"/>
      <c r="BA34" s="82"/>
      <c r="BB34" s="82"/>
      <c r="BC34" s="82"/>
      <c r="BD34" s="82"/>
      <c r="BE34" s="82"/>
      <c r="BF34" s="82"/>
      <c r="BG34" s="82"/>
      <c r="BH34" s="1"/>
    </row>
    <row r="35" spans="1:60">
      <c r="A35" s="1041"/>
      <c r="B35" s="1109" t="s">
        <v>132</v>
      </c>
      <c r="C35" s="1107" t="s">
        <v>96</v>
      </c>
      <c r="D35" s="638"/>
      <c r="E35" s="79"/>
      <c r="F35" s="79"/>
      <c r="G35" s="79"/>
      <c r="H35" s="85"/>
      <c r="I35" s="79"/>
      <c r="J35" s="82"/>
      <c r="K35" s="79"/>
      <c r="L35" s="79"/>
      <c r="M35" s="82"/>
      <c r="N35" s="82"/>
      <c r="O35" s="82"/>
      <c r="P35" s="82"/>
      <c r="Q35" s="82"/>
      <c r="R35" s="82"/>
      <c r="S35" s="82"/>
      <c r="T35" s="82"/>
      <c r="U35" s="82"/>
      <c r="V35" s="82"/>
      <c r="W35" s="82"/>
      <c r="X35" s="82"/>
      <c r="Y35" s="82"/>
      <c r="Z35" s="79"/>
      <c r="AA35" s="82"/>
      <c r="AB35" s="82"/>
      <c r="AC35" s="82"/>
      <c r="AD35" s="82"/>
      <c r="AE35" s="82"/>
      <c r="AF35" s="82"/>
      <c r="AG35" s="82"/>
      <c r="AH35" s="82"/>
      <c r="AI35" s="82"/>
      <c r="AJ35" s="82"/>
      <c r="AK35" s="82"/>
      <c r="AL35" s="79"/>
      <c r="AM35" s="82"/>
      <c r="AN35" s="82"/>
      <c r="AO35" s="82"/>
      <c r="AP35" s="82"/>
      <c r="AQ35" s="82"/>
      <c r="AR35" s="82"/>
      <c r="AS35" s="82"/>
      <c r="AT35" s="82"/>
      <c r="AU35" s="82"/>
      <c r="AV35" s="82"/>
      <c r="AW35" s="82"/>
      <c r="AX35" s="79"/>
      <c r="AY35" s="82"/>
      <c r="AZ35" s="82"/>
      <c r="BA35" s="82"/>
      <c r="BB35" s="82"/>
      <c r="BC35" s="82"/>
      <c r="BD35" s="82"/>
      <c r="BE35" s="82"/>
      <c r="BF35" s="82"/>
      <c r="BG35" s="82"/>
      <c r="BH35" s="1"/>
    </row>
    <row r="36" spans="1:60" s="2" customFormat="1" ht="21">
      <c r="A36" s="1042"/>
      <c r="B36" s="1109" t="s">
        <v>132</v>
      </c>
      <c r="C36" s="1106" t="s">
        <v>96</v>
      </c>
      <c r="D36" s="640"/>
      <c r="E36" s="209" t="s">
        <v>133</v>
      </c>
      <c r="F36" s="209"/>
      <c r="G36" s="209"/>
      <c r="H36" s="209"/>
      <c r="I36" s="129"/>
      <c r="J36" s="257" t="str">
        <f>J$8</f>
        <v>alle locaties</v>
      </c>
      <c r="K36" s="126"/>
      <c r="L36" s="126"/>
      <c r="M36" s="257" t="str">
        <f>M$8</f>
        <v>locatie 1</v>
      </c>
      <c r="N36" s="193"/>
      <c r="O36" s="955" t="str">
        <f>$E36&amp;" per woning-/gebouwtype"</f>
        <v>energiemaatregelen met effect op energiebehoefte per woning-/gebouwtype</v>
      </c>
      <c r="P36" s="945"/>
      <c r="Q36" s="945"/>
      <c r="R36" s="945"/>
      <c r="S36" s="945"/>
      <c r="T36" s="945"/>
      <c r="U36" s="945"/>
      <c r="V36" s="945"/>
      <c r="W36" s="257"/>
      <c r="X36" s="174"/>
      <c r="Y36" s="257" t="str">
        <f>Y$10</f>
        <v>locatie 2</v>
      </c>
      <c r="Z36" s="193"/>
      <c r="AA36" s="955" t="str">
        <f>$E36&amp;" per woning-/gebouwtype"</f>
        <v>energiemaatregelen met effect op energiebehoefte per woning-/gebouwtype</v>
      </c>
      <c r="AB36" s="945"/>
      <c r="AC36" s="945"/>
      <c r="AD36" s="945"/>
      <c r="AE36" s="945"/>
      <c r="AF36" s="945"/>
      <c r="AG36" s="945"/>
      <c r="AH36" s="945"/>
      <c r="AI36" s="257"/>
      <c r="AJ36" s="174"/>
      <c r="AK36" s="257" t="str">
        <f>AK$10</f>
        <v>locatie 3</v>
      </c>
      <c r="AL36" s="193"/>
      <c r="AM36" s="955" t="str">
        <f>$E36&amp;" per woning-/gebouwtype"</f>
        <v>energiemaatregelen met effect op energiebehoefte per woning-/gebouwtype</v>
      </c>
      <c r="AN36" s="945"/>
      <c r="AO36" s="945"/>
      <c r="AP36" s="945"/>
      <c r="AQ36" s="945"/>
      <c r="AR36" s="945"/>
      <c r="AS36" s="945"/>
      <c r="AT36" s="945"/>
      <c r="AU36" s="257"/>
      <c r="AV36" s="174"/>
      <c r="AW36" s="257" t="str">
        <f>AW$10</f>
        <v>locatie 4</v>
      </c>
      <c r="AX36" s="193"/>
      <c r="AY36" s="955" t="str">
        <f>$E36&amp;" per woning-/gebouwtype"</f>
        <v>energiemaatregelen met effect op energiebehoefte per woning-/gebouwtype</v>
      </c>
      <c r="AZ36" s="945"/>
      <c r="BA36" s="945"/>
      <c r="BB36" s="945"/>
      <c r="BC36" s="945"/>
      <c r="BD36" s="945"/>
      <c r="BE36" s="945"/>
      <c r="BF36" s="945"/>
      <c r="BG36" s="257"/>
      <c r="BH36" s="1"/>
    </row>
    <row r="37" spans="1:60">
      <c r="A37" s="1041"/>
      <c r="B37" s="1109" t="s">
        <v>132</v>
      </c>
      <c r="C37" s="1107" t="s">
        <v>118</v>
      </c>
      <c r="D37" s="638"/>
      <c r="E37" s="942" t="s">
        <v>134</v>
      </c>
      <c r="F37" s="942"/>
      <c r="G37" s="942"/>
      <c r="H37" s="942"/>
      <c r="I37" s="129"/>
      <c r="J37" s="943"/>
      <c r="K37" s="126"/>
      <c r="L37" s="126"/>
      <c r="M37" s="944"/>
      <c r="N37" s="195"/>
      <c r="O37" s="258" t="str">
        <f>O$17</f>
        <v/>
      </c>
      <c r="P37" s="258" t="str">
        <f t="shared" ref="P37:W37" si="38">P$17</f>
        <v/>
      </c>
      <c r="Q37" s="258" t="str">
        <f t="shared" si="38"/>
        <v/>
      </c>
      <c r="R37" s="258" t="str">
        <f t="shared" si="38"/>
        <v/>
      </c>
      <c r="S37" s="258" t="str">
        <f t="shared" si="38"/>
        <v/>
      </c>
      <c r="T37" s="258" t="str">
        <f t="shared" si="38"/>
        <v/>
      </c>
      <c r="U37" s="258" t="str">
        <f t="shared" si="38"/>
        <v/>
      </c>
      <c r="V37" s="258" t="str">
        <f t="shared" si="38"/>
        <v/>
      </c>
      <c r="W37" s="258" t="str">
        <f t="shared" si="38"/>
        <v/>
      </c>
      <c r="X37" s="195"/>
      <c r="Y37" s="944"/>
      <c r="Z37" s="195"/>
      <c r="AA37" s="258" t="str">
        <f>AA$17</f>
        <v/>
      </c>
      <c r="AB37" s="258" t="str">
        <f t="shared" ref="AB37:AI37" si="39">AB$17</f>
        <v/>
      </c>
      <c r="AC37" s="258" t="str">
        <f t="shared" si="39"/>
        <v/>
      </c>
      <c r="AD37" s="258" t="str">
        <f t="shared" si="39"/>
        <v/>
      </c>
      <c r="AE37" s="258" t="str">
        <f t="shared" si="39"/>
        <v/>
      </c>
      <c r="AF37" s="258" t="str">
        <f t="shared" si="39"/>
        <v/>
      </c>
      <c r="AG37" s="258" t="str">
        <f t="shared" si="39"/>
        <v/>
      </c>
      <c r="AH37" s="258" t="str">
        <f t="shared" si="39"/>
        <v/>
      </c>
      <c r="AI37" s="258" t="str">
        <f t="shared" si="39"/>
        <v/>
      </c>
      <c r="AJ37" s="195"/>
      <c r="AK37" s="944"/>
      <c r="AL37" s="195"/>
      <c r="AM37" s="258" t="str">
        <f>AM$17</f>
        <v/>
      </c>
      <c r="AN37" s="258" t="str">
        <f t="shared" ref="AN37:AU37" si="40">AN$17</f>
        <v/>
      </c>
      <c r="AO37" s="258" t="str">
        <f t="shared" si="40"/>
        <v/>
      </c>
      <c r="AP37" s="258" t="str">
        <f t="shared" si="40"/>
        <v/>
      </c>
      <c r="AQ37" s="258" t="str">
        <f t="shared" si="40"/>
        <v/>
      </c>
      <c r="AR37" s="258" t="str">
        <f t="shared" si="40"/>
        <v/>
      </c>
      <c r="AS37" s="258" t="str">
        <f t="shared" si="40"/>
        <v/>
      </c>
      <c r="AT37" s="258" t="str">
        <f t="shared" si="40"/>
        <v/>
      </c>
      <c r="AU37" s="258" t="str">
        <f t="shared" si="40"/>
        <v/>
      </c>
      <c r="AV37" s="195"/>
      <c r="AW37" s="944"/>
      <c r="AX37" s="195"/>
      <c r="AY37" s="258" t="str">
        <f>AY$17</f>
        <v/>
      </c>
      <c r="AZ37" s="258" t="str">
        <f t="shared" ref="AZ37:BG37" si="41">AZ$17</f>
        <v/>
      </c>
      <c r="BA37" s="258" t="str">
        <f t="shared" si="41"/>
        <v/>
      </c>
      <c r="BB37" s="258" t="str">
        <f t="shared" si="41"/>
        <v/>
      </c>
      <c r="BC37" s="258" t="str">
        <f t="shared" si="41"/>
        <v/>
      </c>
      <c r="BD37" s="258" t="str">
        <f t="shared" si="41"/>
        <v/>
      </c>
      <c r="BE37" s="258" t="str">
        <f t="shared" si="41"/>
        <v/>
      </c>
      <c r="BF37" s="258" t="str">
        <f t="shared" si="41"/>
        <v/>
      </c>
      <c r="BG37" s="258" t="str">
        <f t="shared" si="41"/>
        <v/>
      </c>
      <c r="BH37" s="36"/>
    </row>
    <row r="38" spans="1:60" s="2" customFormat="1">
      <c r="A38" s="1042"/>
      <c r="B38" s="1110" t="s">
        <v>132</v>
      </c>
      <c r="C38" s="1106" t="s">
        <v>118</v>
      </c>
      <c r="D38" s="645" t="s">
        <v>45</v>
      </c>
      <c r="E38" s="254" t="s">
        <v>135</v>
      </c>
      <c r="F38" s="254"/>
      <c r="G38" s="254"/>
      <c r="H38" s="181" t="s">
        <v>65</v>
      </c>
      <c r="I38" s="171"/>
      <c r="J38" s="1124"/>
      <c r="K38" s="79"/>
      <c r="L38" s="79"/>
      <c r="M38" s="554"/>
      <c r="N38" s="1120"/>
      <c r="O38" s="151" t="str">
        <f t="shared" ref="O38:W38" si="42">IF(O$17="","",IF(AND(O39&lt;&gt;"",
ISERROR(MATCH(O39,isolatiepakketten_gebouwschil_namen,0))=FALSE),O39,
INDEX(referentiepakketten_bij_gebouwen,MATCH(O$17,woningen_gebouwen_namen,0))))</f>
        <v/>
      </c>
      <c r="P38" s="151" t="str">
        <f t="shared" si="42"/>
        <v/>
      </c>
      <c r="Q38" s="151" t="str">
        <f t="shared" si="42"/>
        <v/>
      </c>
      <c r="R38" s="151" t="str">
        <f t="shared" si="42"/>
        <v/>
      </c>
      <c r="S38" s="151" t="str">
        <f t="shared" si="42"/>
        <v/>
      </c>
      <c r="T38" s="151" t="str">
        <f t="shared" si="42"/>
        <v/>
      </c>
      <c r="U38" s="151" t="str">
        <f t="shared" si="42"/>
        <v/>
      </c>
      <c r="V38" s="151" t="str">
        <f t="shared" si="42"/>
        <v/>
      </c>
      <c r="W38" s="151" t="str">
        <f t="shared" si="42"/>
        <v/>
      </c>
      <c r="X38" s="1120"/>
      <c r="Y38" s="554"/>
      <c r="Z38" s="1120"/>
      <c r="AA38" s="151" t="str">
        <f t="shared" ref="AA38:AI38" si="43">IF(AA$17="","",IF(AND(AA39&lt;&gt;"",
ISERROR(MATCH(AA39,isolatiepakketten_gebouwschil_namen,0))=FALSE),AA39,
INDEX(referentiepakketten_bij_gebouwen,MATCH(AA$17,woningen_gebouwen_namen,0))))</f>
        <v/>
      </c>
      <c r="AB38" s="151" t="str">
        <f t="shared" si="43"/>
        <v/>
      </c>
      <c r="AC38" s="151" t="str">
        <f t="shared" si="43"/>
        <v/>
      </c>
      <c r="AD38" s="151" t="str">
        <f t="shared" si="43"/>
        <v/>
      </c>
      <c r="AE38" s="151" t="str">
        <f t="shared" si="43"/>
        <v/>
      </c>
      <c r="AF38" s="151" t="str">
        <f t="shared" si="43"/>
        <v/>
      </c>
      <c r="AG38" s="151" t="str">
        <f t="shared" si="43"/>
        <v/>
      </c>
      <c r="AH38" s="151" t="str">
        <f t="shared" si="43"/>
        <v/>
      </c>
      <c r="AI38" s="151" t="str">
        <f t="shared" si="43"/>
        <v/>
      </c>
      <c r="AJ38" s="1120"/>
      <c r="AK38" s="554"/>
      <c r="AL38" s="195"/>
      <c r="AM38" s="151" t="str">
        <f t="shared" ref="AM38:AU38" si="44">IF(AM$17="","",IF(AND(AM39&lt;&gt;"",
ISERROR(MATCH(AM39,isolatiepakketten_gebouwschil_namen,0))=FALSE),AM39,
INDEX(referentiepakketten_bij_gebouwen,MATCH(AM$17,woningen_gebouwen_namen,0))))</f>
        <v/>
      </c>
      <c r="AN38" s="151" t="str">
        <f t="shared" si="44"/>
        <v/>
      </c>
      <c r="AO38" s="151" t="str">
        <f t="shared" si="44"/>
        <v/>
      </c>
      <c r="AP38" s="151" t="str">
        <f t="shared" si="44"/>
        <v/>
      </c>
      <c r="AQ38" s="151" t="str">
        <f t="shared" si="44"/>
        <v/>
      </c>
      <c r="AR38" s="151" t="str">
        <f t="shared" si="44"/>
        <v/>
      </c>
      <c r="AS38" s="151" t="str">
        <f t="shared" si="44"/>
        <v/>
      </c>
      <c r="AT38" s="151" t="str">
        <f t="shared" si="44"/>
        <v/>
      </c>
      <c r="AU38" s="151" t="str">
        <f t="shared" si="44"/>
        <v/>
      </c>
      <c r="AV38" s="195"/>
      <c r="AW38" s="554"/>
      <c r="AX38" s="195"/>
      <c r="AY38" s="151" t="str">
        <f t="shared" ref="AY38:BG38" si="45">IF(AY$17="","",IF(AND(AY39&lt;&gt;"",
ISERROR(MATCH(AY39,isolatiepakketten_gebouwschil_namen,0))=FALSE),AY39,
INDEX(referentiepakketten_bij_gebouwen,MATCH(AY$17,woningen_gebouwen_namen,0))))</f>
        <v/>
      </c>
      <c r="AZ38" s="151" t="str">
        <f t="shared" si="45"/>
        <v/>
      </c>
      <c r="BA38" s="151" t="str">
        <f t="shared" si="45"/>
        <v/>
      </c>
      <c r="BB38" s="151" t="str">
        <f t="shared" si="45"/>
        <v/>
      </c>
      <c r="BC38" s="151" t="str">
        <f t="shared" si="45"/>
        <v/>
      </c>
      <c r="BD38" s="151" t="str">
        <f t="shared" si="45"/>
        <v/>
      </c>
      <c r="BE38" s="151" t="str">
        <f t="shared" si="45"/>
        <v/>
      </c>
      <c r="BF38" s="151" t="str">
        <f t="shared" si="45"/>
        <v/>
      </c>
      <c r="BG38" s="151" t="str">
        <f t="shared" si="45"/>
        <v/>
      </c>
      <c r="BH38" s="215"/>
    </row>
    <row r="39" spans="1:60">
      <c r="A39" s="1041"/>
      <c r="B39" s="1109" t="s">
        <v>132</v>
      </c>
      <c r="C39" s="1106" t="s">
        <v>118</v>
      </c>
      <c r="D39" s="638"/>
      <c r="E39" s="1218" t="s">
        <v>951</v>
      </c>
      <c r="F39" s="236"/>
      <c r="G39" s="236"/>
      <c r="H39" s="150" t="s">
        <v>65</v>
      </c>
      <c r="I39" s="171"/>
      <c r="J39" s="616"/>
      <c r="K39" s="79"/>
      <c r="L39" s="79"/>
      <c r="M39" s="184"/>
      <c r="N39" s="195"/>
      <c r="O39" s="871"/>
      <c r="P39" s="871"/>
      <c r="Q39" s="871"/>
      <c r="R39" s="871"/>
      <c r="S39" s="871"/>
      <c r="T39" s="871"/>
      <c r="U39" s="871"/>
      <c r="V39" s="871"/>
      <c r="W39" s="871"/>
      <c r="X39" s="195"/>
      <c r="Y39" s="184"/>
      <c r="Z39" s="195"/>
      <c r="AA39" s="871"/>
      <c r="AB39" s="871"/>
      <c r="AC39" s="871"/>
      <c r="AD39" s="871"/>
      <c r="AE39" s="871"/>
      <c r="AF39" s="871"/>
      <c r="AG39" s="871"/>
      <c r="AH39" s="871"/>
      <c r="AI39" s="871"/>
      <c r="AJ39" s="195"/>
      <c r="AK39" s="184"/>
      <c r="AL39" s="195"/>
      <c r="AM39" s="871"/>
      <c r="AN39" s="871"/>
      <c r="AO39" s="871"/>
      <c r="AP39" s="871"/>
      <c r="AQ39" s="871"/>
      <c r="AR39" s="871"/>
      <c r="AS39" s="871"/>
      <c r="AT39" s="871"/>
      <c r="AU39" s="871"/>
      <c r="AV39" s="195"/>
      <c r="AW39" s="184"/>
      <c r="AX39" s="195"/>
      <c r="AY39" s="871"/>
      <c r="AZ39" s="871"/>
      <c r="BA39" s="871"/>
      <c r="BB39" s="871"/>
      <c r="BC39" s="871"/>
      <c r="BD39" s="871"/>
      <c r="BE39" s="871"/>
      <c r="BF39" s="871"/>
      <c r="BG39" s="871"/>
      <c r="BH39" s="215"/>
    </row>
    <row r="40" spans="1:60" s="36" customFormat="1" ht="17.25" customHeight="1">
      <c r="A40" s="1043"/>
      <c r="B40" s="1109" t="s">
        <v>132</v>
      </c>
      <c r="C40" s="1107" t="s">
        <v>118</v>
      </c>
      <c r="D40" s="642"/>
      <c r="E40" s="1266" t="s">
        <v>1291</v>
      </c>
      <c r="F40" s="1266"/>
      <c r="G40" s="1266"/>
      <c r="H40" s="150" t="s">
        <v>65</v>
      </c>
      <c r="I40" s="102"/>
      <c r="J40" s="616"/>
      <c r="K40" s="86"/>
      <c r="L40" s="86"/>
      <c r="M40" s="184"/>
      <c r="N40" s="88"/>
      <c r="O40" s="738" t="s">
        <v>1294</v>
      </c>
      <c r="P40" s="738" t="s">
        <v>1294</v>
      </c>
      <c r="Q40" s="738" t="s">
        <v>1294</v>
      </c>
      <c r="R40" s="738" t="s">
        <v>1294</v>
      </c>
      <c r="S40" s="738" t="s">
        <v>1294</v>
      </c>
      <c r="T40" s="738" t="s">
        <v>1294</v>
      </c>
      <c r="U40" s="738" t="s">
        <v>1294</v>
      </c>
      <c r="V40" s="738" t="s">
        <v>1294</v>
      </c>
      <c r="W40" s="738" t="s">
        <v>1294</v>
      </c>
      <c r="X40" s="659"/>
      <c r="Y40" s="184"/>
      <c r="Z40" s="660"/>
      <c r="AA40" s="738" t="s">
        <v>1294</v>
      </c>
      <c r="AB40" s="738" t="s">
        <v>1294</v>
      </c>
      <c r="AC40" s="738" t="s">
        <v>1294</v>
      </c>
      <c r="AD40" s="738" t="s">
        <v>1294</v>
      </c>
      <c r="AE40" s="738" t="s">
        <v>1294</v>
      </c>
      <c r="AF40" s="738" t="s">
        <v>1294</v>
      </c>
      <c r="AG40" s="738" t="s">
        <v>1294</v>
      </c>
      <c r="AH40" s="738" t="s">
        <v>1294</v>
      </c>
      <c r="AI40" s="738" t="s">
        <v>1294</v>
      </c>
      <c r="AJ40" s="659"/>
      <c r="AK40" s="184"/>
      <c r="AL40" s="661"/>
      <c r="AM40" s="738" t="s">
        <v>1294</v>
      </c>
      <c r="AN40" s="738" t="s">
        <v>1294</v>
      </c>
      <c r="AO40" s="738" t="s">
        <v>1294</v>
      </c>
      <c r="AP40" s="738" t="s">
        <v>1294</v>
      </c>
      <c r="AQ40" s="738" t="s">
        <v>1294</v>
      </c>
      <c r="AR40" s="738" t="s">
        <v>1294</v>
      </c>
      <c r="AS40" s="738" t="s">
        <v>1294</v>
      </c>
      <c r="AT40" s="738" t="s">
        <v>1294</v>
      </c>
      <c r="AU40" s="738" t="s">
        <v>1294</v>
      </c>
      <c r="AV40" s="659"/>
      <c r="AW40" s="184"/>
      <c r="AX40" s="661"/>
      <c r="AY40" s="738" t="s">
        <v>1294</v>
      </c>
      <c r="AZ40" s="738" t="s">
        <v>1294</v>
      </c>
      <c r="BA40" s="738" t="s">
        <v>1294</v>
      </c>
      <c r="BB40" s="738" t="s">
        <v>1294</v>
      </c>
      <c r="BC40" s="738" t="s">
        <v>1294</v>
      </c>
      <c r="BD40" s="738" t="s">
        <v>1294</v>
      </c>
      <c r="BE40" s="738" t="s">
        <v>1294</v>
      </c>
      <c r="BF40" s="738" t="s">
        <v>1294</v>
      </c>
      <c r="BG40" s="738" t="s">
        <v>1294</v>
      </c>
      <c r="BH40" s="217"/>
    </row>
    <row r="41" spans="1:60" ht="25.5">
      <c r="A41" s="1043"/>
      <c r="B41" s="1109" t="s">
        <v>132</v>
      </c>
      <c r="C41" s="1106" t="s">
        <v>118</v>
      </c>
      <c r="D41" s="642"/>
      <c r="E41" s="149" t="s">
        <v>137</v>
      </c>
      <c r="F41" s="149"/>
      <c r="G41" s="149"/>
      <c r="H41" s="150" t="s">
        <v>65</v>
      </c>
      <c r="I41" s="102"/>
      <c r="J41" s="184"/>
      <c r="K41" s="86"/>
      <c r="L41" s="86"/>
      <c r="M41" s="184"/>
      <c r="N41" s="88"/>
      <c r="O41" s="738" t="s">
        <v>138</v>
      </c>
      <c r="P41" s="738" t="s">
        <v>138</v>
      </c>
      <c r="Q41" s="738" t="s">
        <v>138</v>
      </c>
      <c r="R41" s="738" t="s">
        <v>138</v>
      </c>
      <c r="S41" s="738" t="s">
        <v>138</v>
      </c>
      <c r="T41" s="738" t="s">
        <v>138</v>
      </c>
      <c r="U41" s="738" t="s">
        <v>138</v>
      </c>
      <c r="V41" s="738" t="s">
        <v>138</v>
      </c>
      <c r="W41" s="738" t="s">
        <v>138</v>
      </c>
      <c r="X41" s="659"/>
      <c r="Y41" s="184"/>
      <c r="Z41" s="195"/>
      <c r="AA41" s="738" t="s">
        <v>138</v>
      </c>
      <c r="AB41" s="738" t="s">
        <v>138</v>
      </c>
      <c r="AC41" s="738" t="s">
        <v>138</v>
      </c>
      <c r="AD41" s="738" t="s">
        <v>138</v>
      </c>
      <c r="AE41" s="738" t="s">
        <v>138</v>
      </c>
      <c r="AF41" s="738" t="s">
        <v>138</v>
      </c>
      <c r="AG41" s="738" t="s">
        <v>138</v>
      </c>
      <c r="AH41" s="738" t="s">
        <v>138</v>
      </c>
      <c r="AI41" s="738" t="s">
        <v>138</v>
      </c>
      <c r="AJ41" s="659"/>
      <c r="AK41" s="184"/>
      <c r="AL41" s="661"/>
      <c r="AM41" s="738" t="s">
        <v>138</v>
      </c>
      <c r="AN41" s="738" t="s">
        <v>138</v>
      </c>
      <c r="AO41" s="738" t="s">
        <v>138</v>
      </c>
      <c r="AP41" s="738" t="s">
        <v>138</v>
      </c>
      <c r="AQ41" s="738" t="s">
        <v>138</v>
      </c>
      <c r="AR41" s="738" t="s">
        <v>138</v>
      </c>
      <c r="AS41" s="738" t="s">
        <v>138</v>
      </c>
      <c r="AT41" s="738" t="s">
        <v>138</v>
      </c>
      <c r="AU41" s="738" t="s">
        <v>138</v>
      </c>
      <c r="AV41" s="659"/>
      <c r="AW41" s="184"/>
      <c r="AX41" s="661"/>
      <c r="AY41" s="738" t="s">
        <v>138</v>
      </c>
      <c r="AZ41" s="738" t="s">
        <v>138</v>
      </c>
      <c r="BA41" s="738" t="s">
        <v>138</v>
      </c>
      <c r="BB41" s="738" t="s">
        <v>138</v>
      </c>
      <c r="BC41" s="738" t="s">
        <v>138</v>
      </c>
      <c r="BD41" s="738" t="s">
        <v>138</v>
      </c>
      <c r="BE41" s="738" t="s">
        <v>138</v>
      </c>
      <c r="BF41" s="738" t="s">
        <v>138</v>
      </c>
      <c r="BG41" s="738" t="s">
        <v>138</v>
      </c>
      <c r="BH41" s="217"/>
    </row>
    <row r="42" spans="1:60">
      <c r="A42" s="1043"/>
      <c r="B42" s="1109" t="s">
        <v>132</v>
      </c>
      <c r="C42" s="1106" t="s">
        <v>118</v>
      </c>
      <c r="D42" s="642"/>
      <c r="E42" s="149" t="s">
        <v>1126</v>
      </c>
      <c r="F42" s="149"/>
      <c r="G42" s="149"/>
      <c r="H42" s="150" t="s">
        <v>65</v>
      </c>
      <c r="I42" s="102"/>
      <c r="J42" s="184"/>
      <c r="K42" s="86"/>
      <c r="L42" s="86"/>
      <c r="M42" s="184"/>
      <c r="N42" s="88"/>
      <c r="O42" s="738" t="s">
        <v>166</v>
      </c>
      <c r="P42" s="738" t="s">
        <v>166</v>
      </c>
      <c r="Q42" s="738" t="s">
        <v>166</v>
      </c>
      <c r="R42" s="738" t="s">
        <v>166</v>
      </c>
      <c r="S42" s="738" t="s">
        <v>166</v>
      </c>
      <c r="T42" s="738" t="s">
        <v>166</v>
      </c>
      <c r="U42" s="738" t="s">
        <v>166</v>
      </c>
      <c r="V42" s="738" t="s">
        <v>166</v>
      </c>
      <c r="W42" s="738" t="s">
        <v>166</v>
      </c>
      <c r="X42" s="659"/>
      <c r="Y42" s="184"/>
      <c r="Z42" s="195"/>
      <c r="AA42" s="738" t="s">
        <v>166</v>
      </c>
      <c r="AB42" s="738" t="s">
        <v>166</v>
      </c>
      <c r="AC42" s="738" t="s">
        <v>166</v>
      </c>
      <c r="AD42" s="738" t="s">
        <v>166</v>
      </c>
      <c r="AE42" s="738" t="s">
        <v>166</v>
      </c>
      <c r="AF42" s="738" t="s">
        <v>166</v>
      </c>
      <c r="AG42" s="738" t="s">
        <v>166</v>
      </c>
      <c r="AH42" s="738" t="s">
        <v>166</v>
      </c>
      <c r="AI42" s="738" t="s">
        <v>166</v>
      </c>
      <c r="AJ42" s="659"/>
      <c r="AK42" s="184"/>
      <c r="AL42" s="661"/>
      <c r="AM42" s="738" t="s">
        <v>166</v>
      </c>
      <c r="AN42" s="738" t="s">
        <v>166</v>
      </c>
      <c r="AO42" s="738" t="s">
        <v>166</v>
      </c>
      <c r="AP42" s="738" t="s">
        <v>166</v>
      </c>
      <c r="AQ42" s="738" t="s">
        <v>166</v>
      </c>
      <c r="AR42" s="738" t="s">
        <v>166</v>
      </c>
      <c r="AS42" s="738" t="s">
        <v>166</v>
      </c>
      <c r="AT42" s="738" t="s">
        <v>166</v>
      </c>
      <c r="AU42" s="738" t="s">
        <v>166</v>
      </c>
      <c r="AV42" s="659"/>
      <c r="AW42" s="184"/>
      <c r="AX42" s="661"/>
      <c r="AY42" s="738" t="s">
        <v>166</v>
      </c>
      <c r="AZ42" s="738" t="s">
        <v>166</v>
      </c>
      <c r="BA42" s="738" t="s">
        <v>166</v>
      </c>
      <c r="BB42" s="738" t="s">
        <v>166</v>
      </c>
      <c r="BC42" s="738" t="s">
        <v>166</v>
      </c>
      <c r="BD42" s="738" t="s">
        <v>166</v>
      </c>
      <c r="BE42" s="738" t="s">
        <v>166</v>
      </c>
      <c r="BF42" s="738" t="s">
        <v>166</v>
      </c>
      <c r="BG42" s="738" t="s">
        <v>166</v>
      </c>
      <c r="BH42" s="217"/>
    </row>
    <row r="43" spans="1:60" s="2" customFormat="1" hidden="1">
      <c r="A43" s="1044"/>
      <c r="B43" s="1110" t="s">
        <v>132</v>
      </c>
      <c r="C43" s="1106" t="s">
        <v>181</v>
      </c>
      <c r="D43" s="639"/>
      <c r="E43" s="255" t="s">
        <v>1304</v>
      </c>
      <c r="F43" s="180"/>
      <c r="G43" s="180"/>
      <c r="H43" s="181" t="s">
        <v>65</v>
      </c>
      <c r="I43" s="171"/>
      <c r="J43" s="554"/>
      <c r="K43" s="79"/>
      <c r="L43" s="79"/>
      <c r="M43" s="554"/>
      <c r="N43" s="89"/>
      <c r="O43" s="1182"/>
      <c r="P43" s="1182"/>
      <c r="Q43" s="1182"/>
      <c r="R43" s="1182"/>
      <c r="S43" s="1182"/>
      <c r="T43" s="1182"/>
      <c r="U43" s="1182"/>
      <c r="V43" s="1182"/>
      <c r="W43" s="1182"/>
      <c r="X43" s="658"/>
      <c r="Y43" s="554"/>
      <c r="Z43" s="1120"/>
      <c r="AA43" s="1182"/>
      <c r="AB43" s="1182"/>
      <c r="AC43" s="1182"/>
      <c r="AD43" s="1182"/>
      <c r="AE43" s="1182"/>
      <c r="AF43" s="1182"/>
      <c r="AG43" s="1182"/>
      <c r="AH43" s="1182"/>
      <c r="AI43" s="1182"/>
      <c r="AJ43" s="658"/>
      <c r="AK43" s="554"/>
      <c r="AL43" s="662"/>
      <c r="AM43" s="1182"/>
      <c r="AN43" s="1182"/>
      <c r="AO43" s="1182"/>
      <c r="AP43" s="1182"/>
      <c r="AQ43" s="1182"/>
      <c r="AR43" s="1182"/>
      <c r="AS43" s="1182"/>
      <c r="AT43" s="1182"/>
      <c r="AU43" s="1182"/>
      <c r="AV43" s="658"/>
      <c r="AW43" s="554"/>
      <c r="AX43" s="662"/>
      <c r="AY43" s="1182"/>
      <c r="AZ43" s="1182"/>
      <c r="BA43" s="1182"/>
      <c r="BB43" s="1182"/>
      <c r="BC43" s="1182"/>
      <c r="BD43" s="1182"/>
      <c r="BE43" s="1182"/>
      <c r="BF43" s="1182"/>
      <c r="BG43" s="1182"/>
      <c r="BH43" s="216"/>
    </row>
    <row r="44" spans="1:60" s="2" customFormat="1">
      <c r="A44" s="1044"/>
      <c r="B44" s="1110" t="s">
        <v>132</v>
      </c>
      <c r="C44" s="1106" t="s">
        <v>118</v>
      </c>
      <c r="D44" s="645" t="s">
        <v>45</v>
      </c>
      <c r="E44" s="1220" t="s">
        <v>1378</v>
      </c>
      <c r="F44" s="180"/>
      <c r="G44" s="180"/>
      <c r="H44" s="181" t="s">
        <v>1165</v>
      </c>
      <c r="I44" s="171"/>
      <c r="J44" s="554"/>
      <c r="K44" s="79"/>
      <c r="L44" s="79"/>
      <c r="M44" s="554"/>
      <c r="N44" s="89"/>
      <c r="O44" s="739">
        <v>1</v>
      </c>
      <c r="P44" s="739">
        <v>1</v>
      </c>
      <c r="Q44" s="739">
        <v>1</v>
      </c>
      <c r="R44" s="739">
        <v>1</v>
      </c>
      <c r="S44" s="739">
        <v>1</v>
      </c>
      <c r="T44" s="739">
        <v>1</v>
      </c>
      <c r="U44" s="739">
        <v>1</v>
      </c>
      <c r="V44" s="739">
        <v>1</v>
      </c>
      <c r="W44" s="739">
        <v>1</v>
      </c>
      <c r="X44" s="658"/>
      <c r="Y44" s="554"/>
      <c r="Z44" s="1120"/>
      <c r="AA44" s="739">
        <v>1</v>
      </c>
      <c r="AB44" s="739">
        <v>1</v>
      </c>
      <c r="AC44" s="739">
        <v>1</v>
      </c>
      <c r="AD44" s="739">
        <v>1</v>
      </c>
      <c r="AE44" s="739">
        <v>1</v>
      </c>
      <c r="AF44" s="739">
        <v>1</v>
      </c>
      <c r="AG44" s="739">
        <v>1</v>
      </c>
      <c r="AH44" s="739">
        <v>1</v>
      </c>
      <c r="AI44" s="739">
        <v>1</v>
      </c>
      <c r="AJ44" s="658"/>
      <c r="AK44" s="554"/>
      <c r="AL44" s="662"/>
      <c r="AM44" s="739">
        <v>1</v>
      </c>
      <c r="AN44" s="739">
        <v>1</v>
      </c>
      <c r="AO44" s="739">
        <v>1</v>
      </c>
      <c r="AP44" s="739">
        <v>1</v>
      </c>
      <c r="AQ44" s="739">
        <v>1</v>
      </c>
      <c r="AR44" s="739">
        <v>1</v>
      </c>
      <c r="AS44" s="739">
        <v>1</v>
      </c>
      <c r="AT44" s="739">
        <v>1</v>
      </c>
      <c r="AU44" s="739">
        <v>1</v>
      </c>
      <c r="AV44" s="658"/>
      <c r="AW44" s="554"/>
      <c r="AX44" s="662"/>
      <c r="AY44" s="739">
        <v>1</v>
      </c>
      <c r="AZ44" s="739">
        <v>1</v>
      </c>
      <c r="BA44" s="739">
        <v>1</v>
      </c>
      <c r="BB44" s="739">
        <v>1</v>
      </c>
      <c r="BC44" s="739">
        <v>1</v>
      </c>
      <c r="BD44" s="739">
        <v>1</v>
      </c>
      <c r="BE44" s="739">
        <v>1</v>
      </c>
      <c r="BF44" s="739">
        <v>1</v>
      </c>
      <c r="BG44" s="739">
        <v>1</v>
      </c>
      <c r="BH44" s="216"/>
    </row>
    <row r="45" spans="1:60" s="2" customFormat="1">
      <c r="A45" s="1044"/>
      <c r="B45" s="1110" t="s">
        <v>132</v>
      </c>
      <c r="C45" s="1106" t="s">
        <v>118</v>
      </c>
      <c r="D45" s="645" t="s">
        <v>45</v>
      </c>
      <c r="E45" s="180" t="s">
        <v>140</v>
      </c>
      <c r="F45" s="180"/>
      <c r="G45" s="180"/>
      <c r="H45" s="181" t="s">
        <v>141</v>
      </c>
      <c r="I45" s="171"/>
      <c r="J45" s="202"/>
      <c r="K45" s="243"/>
      <c r="L45" s="243"/>
      <c r="M45" s="202"/>
      <c r="N45" s="89"/>
      <c r="O45" s="740"/>
      <c r="P45" s="740"/>
      <c r="Q45" s="740"/>
      <c r="R45" s="740"/>
      <c r="S45" s="740"/>
      <c r="T45" s="740"/>
      <c r="U45" s="740"/>
      <c r="V45" s="740"/>
      <c r="W45" s="740"/>
      <c r="X45" s="663"/>
      <c r="Y45" s="202"/>
      <c r="Z45" s="362"/>
      <c r="AA45" s="740"/>
      <c r="AB45" s="740"/>
      <c r="AC45" s="740"/>
      <c r="AD45" s="740"/>
      <c r="AE45" s="740"/>
      <c r="AF45" s="740"/>
      <c r="AG45" s="740"/>
      <c r="AH45" s="740"/>
      <c r="AI45" s="740"/>
      <c r="AJ45" s="663"/>
      <c r="AK45" s="202"/>
      <c r="AL45" s="664"/>
      <c r="AM45" s="740"/>
      <c r="AN45" s="740"/>
      <c r="AO45" s="740"/>
      <c r="AP45" s="740"/>
      <c r="AQ45" s="740"/>
      <c r="AR45" s="740"/>
      <c r="AS45" s="740"/>
      <c r="AT45" s="740"/>
      <c r="AU45" s="740"/>
      <c r="AV45" s="663"/>
      <c r="AW45" s="202"/>
      <c r="AX45" s="664"/>
      <c r="AY45" s="740"/>
      <c r="AZ45" s="740"/>
      <c r="BA45" s="740"/>
      <c r="BB45" s="740"/>
      <c r="BC45" s="740"/>
      <c r="BD45" s="740"/>
      <c r="BE45" s="740"/>
      <c r="BF45" s="740"/>
      <c r="BG45" s="740"/>
      <c r="BH45" s="216"/>
    </row>
    <row r="46" spans="1:60">
      <c r="A46" s="1043"/>
      <c r="B46" s="1109" t="s">
        <v>132</v>
      </c>
      <c r="C46" s="1106" t="s">
        <v>118</v>
      </c>
      <c r="D46" s="642"/>
      <c r="E46" s="149" t="s">
        <v>142</v>
      </c>
      <c r="F46" s="149"/>
      <c r="G46" s="149"/>
      <c r="H46" s="150" t="s">
        <v>65</v>
      </c>
      <c r="I46" s="102"/>
      <c r="J46" s="616"/>
      <c r="K46" s="86"/>
      <c r="L46" s="86"/>
      <c r="M46" s="184"/>
      <c r="N46" s="88"/>
      <c r="O46" s="738"/>
      <c r="P46" s="738"/>
      <c r="Q46" s="738"/>
      <c r="R46" s="738"/>
      <c r="S46" s="738"/>
      <c r="T46" s="738"/>
      <c r="U46" s="738"/>
      <c r="V46" s="738"/>
      <c r="W46" s="738"/>
      <c r="X46" s="659"/>
      <c r="Y46" s="184"/>
      <c r="Z46" s="195"/>
      <c r="AA46" s="738"/>
      <c r="AB46" s="738"/>
      <c r="AC46" s="738"/>
      <c r="AD46" s="738"/>
      <c r="AE46" s="738"/>
      <c r="AF46" s="738"/>
      <c r="AG46" s="738"/>
      <c r="AH46" s="738"/>
      <c r="AI46" s="738"/>
      <c r="AJ46" s="659"/>
      <c r="AK46" s="184"/>
      <c r="AL46" s="661"/>
      <c r="AM46" s="738"/>
      <c r="AN46" s="738"/>
      <c r="AO46" s="738"/>
      <c r="AP46" s="738"/>
      <c r="AQ46" s="738"/>
      <c r="AR46" s="738"/>
      <c r="AS46" s="738"/>
      <c r="AT46" s="738"/>
      <c r="AU46" s="738"/>
      <c r="AV46" s="659"/>
      <c r="AW46" s="184"/>
      <c r="AX46" s="661"/>
      <c r="AY46" s="738"/>
      <c r="AZ46" s="738"/>
      <c r="BA46" s="738"/>
      <c r="BB46" s="738"/>
      <c r="BC46" s="738"/>
      <c r="BD46" s="738"/>
      <c r="BE46" s="738"/>
      <c r="BF46" s="738"/>
      <c r="BG46" s="738"/>
      <c r="BH46" s="217"/>
    </row>
    <row r="47" spans="1:60" s="2" customFormat="1">
      <c r="A47" s="1044"/>
      <c r="B47" s="1110" t="s">
        <v>132</v>
      </c>
      <c r="C47" s="1106" t="s">
        <v>118</v>
      </c>
      <c r="D47" s="639"/>
      <c r="E47" s="180" t="s">
        <v>144</v>
      </c>
      <c r="F47" s="180"/>
      <c r="G47" s="180"/>
      <c r="H47" s="181" t="s">
        <v>65</v>
      </c>
      <c r="I47" s="171"/>
      <c r="J47" s="1124"/>
      <c r="K47" s="79"/>
      <c r="L47" s="79"/>
      <c r="M47" s="554"/>
      <c r="N47" s="89"/>
      <c r="O47" s="1084" t="s">
        <v>145</v>
      </c>
      <c r="P47" s="1084" t="s">
        <v>145</v>
      </c>
      <c r="Q47" s="1084" t="s">
        <v>145</v>
      </c>
      <c r="R47" s="1084" t="s">
        <v>145</v>
      </c>
      <c r="S47" s="1084" t="s">
        <v>145</v>
      </c>
      <c r="T47" s="1084" t="s">
        <v>145</v>
      </c>
      <c r="U47" s="1084" t="s">
        <v>145</v>
      </c>
      <c r="V47" s="1084" t="s">
        <v>145</v>
      </c>
      <c r="W47" s="1084" t="s">
        <v>145</v>
      </c>
      <c r="X47" s="658"/>
      <c r="Y47" s="554"/>
      <c r="Z47" s="1120"/>
      <c r="AA47" s="1084" t="s">
        <v>145</v>
      </c>
      <c r="AB47" s="1084" t="s">
        <v>145</v>
      </c>
      <c r="AC47" s="1084" t="s">
        <v>145</v>
      </c>
      <c r="AD47" s="1084" t="s">
        <v>145</v>
      </c>
      <c r="AE47" s="1084" t="s">
        <v>145</v>
      </c>
      <c r="AF47" s="1084" t="s">
        <v>145</v>
      </c>
      <c r="AG47" s="1084" t="s">
        <v>145</v>
      </c>
      <c r="AH47" s="1084" t="s">
        <v>145</v>
      </c>
      <c r="AI47" s="1084" t="s">
        <v>145</v>
      </c>
      <c r="AJ47" s="658"/>
      <c r="AK47" s="554"/>
      <c r="AL47" s="662"/>
      <c r="AM47" s="1084" t="s">
        <v>145</v>
      </c>
      <c r="AN47" s="1084" t="s">
        <v>145</v>
      </c>
      <c r="AO47" s="1084" t="s">
        <v>145</v>
      </c>
      <c r="AP47" s="1084" t="s">
        <v>145</v>
      </c>
      <c r="AQ47" s="1084" t="s">
        <v>145</v>
      </c>
      <c r="AR47" s="1084" t="s">
        <v>145</v>
      </c>
      <c r="AS47" s="1084" t="s">
        <v>145</v>
      </c>
      <c r="AT47" s="1084" t="s">
        <v>145</v>
      </c>
      <c r="AU47" s="1084" t="s">
        <v>145</v>
      </c>
      <c r="AV47" s="658"/>
      <c r="AW47" s="554"/>
      <c r="AX47" s="662"/>
      <c r="AY47" s="1084" t="s">
        <v>145</v>
      </c>
      <c r="AZ47" s="1084" t="s">
        <v>145</v>
      </c>
      <c r="BA47" s="1084" t="s">
        <v>145</v>
      </c>
      <c r="BB47" s="1084" t="s">
        <v>145</v>
      </c>
      <c r="BC47" s="1084" t="s">
        <v>145</v>
      </c>
      <c r="BD47" s="1084" t="s">
        <v>145</v>
      </c>
      <c r="BE47" s="1084" t="s">
        <v>145</v>
      </c>
      <c r="BF47" s="1084" t="s">
        <v>145</v>
      </c>
      <c r="BG47" s="1084" t="s">
        <v>145</v>
      </c>
      <c r="BH47" s="216"/>
    </row>
    <row r="48" spans="1:60" s="2" customFormat="1">
      <c r="A48" s="1044"/>
      <c r="B48" s="1110" t="s">
        <v>132</v>
      </c>
      <c r="C48" s="1106" t="s">
        <v>118</v>
      </c>
      <c r="D48" s="645" t="s">
        <v>45</v>
      </c>
      <c r="E48" s="180" t="s">
        <v>146</v>
      </c>
      <c r="F48" s="180"/>
      <c r="G48" s="180"/>
      <c r="H48" s="181" t="s">
        <v>139</v>
      </c>
      <c r="I48" s="171"/>
      <c r="J48" s="554"/>
      <c r="K48" s="79"/>
      <c r="L48" s="79"/>
      <c r="M48" s="554"/>
      <c r="N48" s="89"/>
      <c r="O48" s="739">
        <v>0</v>
      </c>
      <c r="P48" s="739">
        <v>0</v>
      </c>
      <c r="Q48" s="739">
        <v>0</v>
      </c>
      <c r="R48" s="739">
        <v>0</v>
      </c>
      <c r="S48" s="739">
        <v>0</v>
      </c>
      <c r="T48" s="739">
        <v>0</v>
      </c>
      <c r="U48" s="739">
        <v>0</v>
      </c>
      <c r="V48" s="739">
        <v>0</v>
      </c>
      <c r="W48" s="739">
        <v>0</v>
      </c>
      <c r="X48" s="658"/>
      <c r="Y48" s="554"/>
      <c r="Z48" s="1120"/>
      <c r="AA48" s="739">
        <v>0</v>
      </c>
      <c r="AB48" s="739">
        <v>0</v>
      </c>
      <c r="AC48" s="739">
        <v>0</v>
      </c>
      <c r="AD48" s="739">
        <v>0</v>
      </c>
      <c r="AE48" s="739">
        <v>0</v>
      </c>
      <c r="AF48" s="739">
        <v>0</v>
      </c>
      <c r="AG48" s="739">
        <v>0</v>
      </c>
      <c r="AH48" s="739">
        <v>0</v>
      </c>
      <c r="AI48" s="739">
        <v>0</v>
      </c>
      <c r="AJ48" s="658"/>
      <c r="AK48" s="554"/>
      <c r="AL48" s="662"/>
      <c r="AM48" s="739">
        <v>0</v>
      </c>
      <c r="AN48" s="739">
        <v>0</v>
      </c>
      <c r="AO48" s="739">
        <v>0</v>
      </c>
      <c r="AP48" s="739">
        <v>0</v>
      </c>
      <c r="AQ48" s="739">
        <v>0</v>
      </c>
      <c r="AR48" s="739">
        <v>0</v>
      </c>
      <c r="AS48" s="739">
        <v>0</v>
      </c>
      <c r="AT48" s="739">
        <v>0</v>
      </c>
      <c r="AU48" s="739">
        <v>0</v>
      </c>
      <c r="AV48" s="658"/>
      <c r="AW48" s="554"/>
      <c r="AX48" s="662"/>
      <c r="AY48" s="739">
        <v>0</v>
      </c>
      <c r="AZ48" s="739">
        <v>0</v>
      </c>
      <c r="BA48" s="739">
        <v>0</v>
      </c>
      <c r="BB48" s="739">
        <v>0</v>
      </c>
      <c r="BC48" s="739">
        <v>0</v>
      </c>
      <c r="BD48" s="739">
        <v>0</v>
      </c>
      <c r="BE48" s="739">
        <v>0</v>
      </c>
      <c r="BF48" s="739">
        <v>0</v>
      </c>
      <c r="BG48" s="739">
        <v>0</v>
      </c>
      <c r="BH48" s="216"/>
    </row>
    <row r="49" spans="1:60" s="2" customFormat="1">
      <c r="A49" s="1044"/>
      <c r="B49" s="1110" t="s">
        <v>132</v>
      </c>
      <c r="C49" s="1106" t="s">
        <v>118</v>
      </c>
      <c r="D49" s="645" t="s">
        <v>45</v>
      </c>
      <c r="E49" s="595" t="s">
        <v>1055</v>
      </c>
      <c r="F49" s="595"/>
      <c r="G49" s="595"/>
      <c r="H49" s="1013" t="s">
        <v>1056</v>
      </c>
      <c r="I49" s="171"/>
      <c r="J49" s="769"/>
      <c r="K49" s="79"/>
      <c r="L49" s="79"/>
      <c r="M49" s="769"/>
      <c r="N49" s="243"/>
      <c r="O49" s="1125">
        <v>450</v>
      </c>
      <c r="P49" s="1125">
        <v>450</v>
      </c>
      <c r="Q49" s="1125">
        <v>450</v>
      </c>
      <c r="R49" s="1125">
        <v>450</v>
      </c>
      <c r="S49" s="1125">
        <v>450</v>
      </c>
      <c r="T49" s="1125">
        <v>450</v>
      </c>
      <c r="U49" s="1125">
        <v>450</v>
      </c>
      <c r="V49" s="1125">
        <v>450</v>
      </c>
      <c r="W49" s="1125">
        <v>450</v>
      </c>
      <c r="X49" s="658"/>
      <c r="Y49" s="769"/>
      <c r="Z49" s="1120"/>
      <c r="AA49" s="1125">
        <v>450</v>
      </c>
      <c r="AB49" s="1125">
        <v>450</v>
      </c>
      <c r="AC49" s="1125">
        <v>450</v>
      </c>
      <c r="AD49" s="1125">
        <v>450</v>
      </c>
      <c r="AE49" s="1125">
        <v>450</v>
      </c>
      <c r="AF49" s="1125">
        <v>450</v>
      </c>
      <c r="AG49" s="1125">
        <v>450</v>
      </c>
      <c r="AH49" s="1125">
        <v>450</v>
      </c>
      <c r="AI49" s="1125">
        <v>450</v>
      </c>
      <c r="AJ49" s="658"/>
      <c r="AK49" s="769"/>
      <c r="AL49" s="658"/>
      <c r="AM49" s="1125">
        <v>450</v>
      </c>
      <c r="AN49" s="1125">
        <v>450</v>
      </c>
      <c r="AO49" s="1125">
        <v>450</v>
      </c>
      <c r="AP49" s="1125">
        <v>450</v>
      </c>
      <c r="AQ49" s="1125">
        <v>450</v>
      </c>
      <c r="AR49" s="1125">
        <v>450</v>
      </c>
      <c r="AS49" s="1125">
        <v>450</v>
      </c>
      <c r="AT49" s="1125">
        <v>450</v>
      </c>
      <c r="AU49" s="1125">
        <v>450</v>
      </c>
      <c r="AV49" s="658"/>
      <c r="AW49" s="769"/>
      <c r="AX49" s="658"/>
      <c r="AY49" s="1125">
        <v>450</v>
      </c>
      <c r="AZ49" s="1125">
        <v>450</v>
      </c>
      <c r="BA49" s="1125">
        <v>450</v>
      </c>
      <c r="BB49" s="1125">
        <v>450</v>
      </c>
      <c r="BC49" s="1125">
        <v>450</v>
      </c>
      <c r="BD49" s="1125"/>
      <c r="BE49" s="1125"/>
      <c r="BF49" s="1125"/>
      <c r="BG49" s="1125"/>
      <c r="BH49" s="216"/>
    </row>
    <row r="50" spans="1:60" s="2" customFormat="1">
      <c r="A50" s="1044"/>
      <c r="B50" s="1110" t="s">
        <v>132</v>
      </c>
      <c r="C50" s="1106" t="s">
        <v>118</v>
      </c>
      <c r="D50" s="645" t="s">
        <v>45</v>
      </c>
      <c r="E50" s="1162" t="s">
        <v>1280</v>
      </c>
      <c r="F50" s="180"/>
      <c r="G50" s="180"/>
      <c r="H50" s="181" t="s">
        <v>65</v>
      </c>
      <c r="I50" s="171"/>
      <c r="J50" s="1124"/>
      <c r="K50" s="79"/>
      <c r="L50" s="79"/>
      <c r="M50" s="1084" t="s">
        <v>174</v>
      </c>
      <c r="N50" s="89"/>
      <c r="O50" s="1085"/>
      <c r="P50" s="1085"/>
      <c r="Q50" s="1085"/>
      <c r="R50" s="1085"/>
      <c r="S50" s="1085"/>
      <c r="T50" s="1085"/>
      <c r="U50" s="1085"/>
      <c r="V50" s="1085"/>
      <c r="W50" s="1085"/>
      <c r="X50" s="658"/>
      <c r="Y50" s="1084" t="s">
        <v>174</v>
      </c>
      <c r="Z50" s="89"/>
      <c r="AA50" s="1085"/>
      <c r="AB50" s="1085"/>
      <c r="AC50" s="1085"/>
      <c r="AD50" s="1085"/>
      <c r="AE50" s="1085"/>
      <c r="AF50" s="1085"/>
      <c r="AG50" s="1085"/>
      <c r="AH50" s="1085"/>
      <c r="AI50" s="1085"/>
      <c r="AJ50" s="658"/>
      <c r="AK50" s="1084" t="s">
        <v>174</v>
      </c>
      <c r="AL50" s="89"/>
      <c r="AM50" s="1085"/>
      <c r="AN50" s="1085"/>
      <c r="AO50" s="1085"/>
      <c r="AP50" s="1085"/>
      <c r="AQ50" s="1085"/>
      <c r="AR50" s="1085"/>
      <c r="AS50" s="1085"/>
      <c r="AT50" s="1085"/>
      <c r="AU50" s="1085"/>
      <c r="AV50" s="658"/>
      <c r="AW50" s="1084" t="s">
        <v>174</v>
      </c>
      <c r="AX50" s="89"/>
      <c r="AY50" s="1085"/>
      <c r="AZ50" s="1085"/>
      <c r="BA50" s="1085"/>
      <c r="BB50" s="1085"/>
      <c r="BC50" s="1085"/>
      <c r="BD50" s="1085"/>
      <c r="BE50" s="1085"/>
      <c r="BF50" s="1085"/>
      <c r="BG50" s="1085"/>
      <c r="BH50" s="216"/>
    </row>
    <row r="51" spans="1:60" s="2" customFormat="1">
      <c r="A51" s="1042"/>
      <c r="B51" s="1110" t="s">
        <v>147</v>
      </c>
      <c r="C51" s="1106" t="s">
        <v>96</v>
      </c>
      <c r="D51" s="640"/>
      <c r="E51" s="942" t="s">
        <v>148</v>
      </c>
      <c r="F51" s="942"/>
      <c r="G51" s="942"/>
      <c r="H51" s="942"/>
      <c r="I51" s="129"/>
      <c r="J51" s="943"/>
      <c r="K51" s="126"/>
      <c r="L51" s="126"/>
      <c r="M51" s="944"/>
      <c r="N51" s="153"/>
      <c r="O51" s="258" t="str">
        <f>O$17</f>
        <v/>
      </c>
      <c r="P51" s="258" t="str">
        <f t="shared" ref="P51:W51" si="46">P$17</f>
        <v/>
      </c>
      <c r="Q51" s="258" t="str">
        <f t="shared" si="46"/>
        <v/>
      </c>
      <c r="R51" s="258" t="str">
        <f t="shared" si="46"/>
        <v/>
      </c>
      <c r="S51" s="258" t="str">
        <f t="shared" si="46"/>
        <v/>
      </c>
      <c r="T51" s="258" t="str">
        <f t="shared" si="46"/>
        <v/>
      </c>
      <c r="U51" s="258" t="str">
        <f t="shared" si="46"/>
        <v/>
      </c>
      <c r="V51" s="258" t="str">
        <f t="shared" si="46"/>
        <v/>
      </c>
      <c r="W51" s="258" t="str">
        <f t="shared" si="46"/>
        <v/>
      </c>
      <c r="X51" s="1126"/>
      <c r="Y51" s="944"/>
      <c r="Z51" s="1120"/>
      <c r="AA51" s="258" t="str">
        <f>AA$17</f>
        <v/>
      </c>
      <c r="AB51" s="258" t="str">
        <f t="shared" ref="AB51:AI51" si="47">AB$17</f>
        <v/>
      </c>
      <c r="AC51" s="258" t="str">
        <f t="shared" si="47"/>
        <v/>
      </c>
      <c r="AD51" s="258" t="str">
        <f t="shared" si="47"/>
        <v/>
      </c>
      <c r="AE51" s="258" t="str">
        <f t="shared" si="47"/>
        <v/>
      </c>
      <c r="AF51" s="258" t="str">
        <f t="shared" si="47"/>
        <v/>
      </c>
      <c r="AG51" s="258" t="str">
        <f t="shared" si="47"/>
        <v/>
      </c>
      <c r="AH51" s="258" t="str">
        <f t="shared" si="47"/>
        <v/>
      </c>
      <c r="AI51" s="258" t="str">
        <f t="shared" si="47"/>
        <v/>
      </c>
      <c r="AJ51" s="1126"/>
      <c r="AK51" s="944"/>
      <c r="AL51" s="1120"/>
      <c r="AM51" s="258" t="str">
        <f>AM$17</f>
        <v/>
      </c>
      <c r="AN51" s="258" t="str">
        <f t="shared" ref="AN51:AU51" si="48">AN$17</f>
        <v/>
      </c>
      <c r="AO51" s="258" t="str">
        <f t="shared" si="48"/>
        <v/>
      </c>
      <c r="AP51" s="258" t="str">
        <f t="shared" si="48"/>
        <v/>
      </c>
      <c r="AQ51" s="258" t="str">
        <f t="shared" si="48"/>
        <v/>
      </c>
      <c r="AR51" s="258" t="str">
        <f t="shared" si="48"/>
        <v/>
      </c>
      <c r="AS51" s="258" t="str">
        <f t="shared" si="48"/>
        <v/>
      </c>
      <c r="AT51" s="258" t="str">
        <f t="shared" si="48"/>
        <v/>
      </c>
      <c r="AU51" s="258" t="str">
        <f t="shared" si="48"/>
        <v/>
      </c>
      <c r="AV51" s="1126"/>
      <c r="AW51" s="944"/>
      <c r="AX51" s="1120"/>
      <c r="AY51" s="258" t="str">
        <f>AY$17</f>
        <v/>
      </c>
      <c r="AZ51" s="258" t="str">
        <f t="shared" ref="AZ51:BG51" si="49">AZ$17</f>
        <v/>
      </c>
      <c r="BA51" s="258" t="str">
        <f t="shared" si="49"/>
        <v/>
      </c>
      <c r="BB51" s="258" t="str">
        <f t="shared" si="49"/>
        <v/>
      </c>
      <c r="BC51" s="258" t="str">
        <f t="shared" si="49"/>
        <v/>
      </c>
      <c r="BD51" s="258" t="str">
        <f t="shared" si="49"/>
        <v/>
      </c>
      <c r="BE51" s="258" t="str">
        <f t="shared" si="49"/>
        <v/>
      </c>
      <c r="BF51" s="258" t="str">
        <f t="shared" si="49"/>
        <v/>
      </c>
      <c r="BG51" s="258" t="str">
        <f t="shared" si="49"/>
        <v/>
      </c>
      <c r="BH51" s="174"/>
    </row>
    <row r="52" spans="1:60" s="2" customFormat="1">
      <c r="A52" s="1044"/>
      <c r="B52" s="1110" t="s">
        <v>132</v>
      </c>
      <c r="C52" s="1106" t="s">
        <v>118</v>
      </c>
      <c r="D52" s="639"/>
      <c r="E52" s="180" t="s">
        <v>149</v>
      </c>
      <c r="F52" s="180"/>
      <c r="G52" s="180"/>
      <c r="H52" s="181" t="s">
        <v>65</v>
      </c>
      <c r="I52" s="104"/>
      <c r="J52" s="1222" t="str">
        <f>IF(COUNTIF(N52:X52,"nee")&gt;0,"nee: locatie 1",
IF(COUNTIF(Z52:AJ52,"nee")&gt;0,"nee: locatie 2",
IF(COUNTIF(AL52:AV52,"nee")&gt;0,"nee: locatie 3",
IF(COUNTIF(AX52:BH52,"nee")&gt;0,"nee: locatie 4",
"ja"))))</f>
        <v>ja</v>
      </c>
      <c r="K52" s="1054"/>
      <c r="L52" s="1054"/>
      <c r="M52" s="1222" t="str">
        <f>IF(COUNTIF(N52:X52,"nee")&gt;0,"nee","ja")</f>
        <v>ja</v>
      </c>
      <c r="N52" s="1127"/>
      <c r="O52" s="665" t="str">
        <f t="shared" ref="O52:W52" si="50">IF(OR(O$17="",O$22=0),"",IF(OR(O$38="",O$40="",AND(O$40&lt;&gt;ventilatie_A,O$41=""),AND(O49=""),O$44="",AND(O$19&lt;&gt;woning,O$19&lt;&gt;woongebouw,O$45=""),AND(O$19&lt;&gt;woning,O$19&lt;&gt;woongebouw,O$46=""),AND(OR(O$19=woning,O$19=woongebouw),O$47=""),O$48=""),"nee","ja"))</f>
        <v/>
      </c>
      <c r="P52" s="665" t="str">
        <f t="shared" si="50"/>
        <v/>
      </c>
      <c r="Q52" s="665" t="str">
        <f t="shared" si="50"/>
        <v/>
      </c>
      <c r="R52" s="665" t="str">
        <f t="shared" si="50"/>
        <v/>
      </c>
      <c r="S52" s="665" t="str">
        <f t="shared" si="50"/>
        <v/>
      </c>
      <c r="T52" s="665" t="str">
        <f t="shared" si="50"/>
        <v/>
      </c>
      <c r="U52" s="665" t="str">
        <f t="shared" si="50"/>
        <v/>
      </c>
      <c r="V52" s="665" t="str">
        <f t="shared" si="50"/>
        <v/>
      </c>
      <c r="W52" s="665" t="str">
        <f t="shared" si="50"/>
        <v/>
      </c>
      <c r="X52" s="666"/>
      <c r="Y52" s="1222" t="str">
        <f>IF(COUNTIF(Z52:AJ52,"nee")&gt;0,"nee","ja")</f>
        <v>ja</v>
      </c>
      <c r="Z52" s="1120"/>
      <c r="AA52" s="665" t="str">
        <f t="shared" ref="AA52:AI52" si="51">IF(OR(AA$17="",AA$22=0),"",IF(OR(AA$38="",AA$40="",AND(AA$40&lt;&gt;ventilatie_A,AA$41=""),AND(AA$49=""),AA$44="",AND(AA$19&lt;&gt;woning,AA$19&lt;&gt;woongebouw,AA$45=""),AND(AA$19&lt;&gt;woning,AA$19&lt;&gt;woongebouw,AA$46=""),AND(OR(AA$19=woning,AA$19=woongebouw),AA$47=""),AA$48=""),"nee","ja"))</f>
        <v/>
      </c>
      <c r="AB52" s="665" t="str">
        <f t="shared" si="51"/>
        <v/>
      </c>
      <c r="AC52" s="665" t="str">
        <f t="shared" si="51"/>
        <v/>
      </c>
      <c r="AD52" s="665" t="str">
        <f t="shared" si="51"/>
        <v/>
      </c>
      <c r="AE52" s="665" t="str">
        <f t="shared" si="51"/>
        <v/>
      </c>
      <c r="AF52" s="665" t="str">
        <f t="shared" si="51"/>
        <v/>
      </c>
      <c r="AG52" s="665" t="str">
        <f t="shared" si="51"/>
        <v/>
      </c>
      <c r="AH52" s="665" t="str">
        <f t="shared" si="51"/>
        <v/>
      </c>
      <c r="AI52" s="665" t="str">
        <f t="shared" si="51"/>
        <v/>
      </c>
      <c r="AJ52" s="666"/>
      <c r="AK52" s="1222" t="str">
        <f>IF(COUNTIF(AL52:AV52,"nee")&gt;0,"nee","ja")</f>
        <v>ja</v>
      </c>
      <c r="AL52" s="667"/>
      <c r="AM52" s="665" t="str">
        <f t="shared" ref="AM52:AU52" si="52">IF(OR(AM$17="",AM$22=0),"",IF(OR(AM$38="",AM$40="",AND(AM$40&lt;&gt;ventilatie_A,AM$41=""),AND(AM$49=""),AM$44="",AND(AM$19&lt;&gt;woning,AM$19&lt;&gt;woongebouw,AM$45=""),AND(AM$19&lt;&gt;woning,AM$19&lt;&gt;woongebouw,AM$46=""),AND(OR(AM$19=woning,AM$19=woongebouw),AM$47=""),AM$48=""),"nee","ja"))</f>
        <v/>
      </c>
      <c r="AN52" s="665" t="str">
        <f t="shared" si="52"/>
        <v/>
      </c>
      <c r="AO52" s="665" t="str">
        <f t="shared" si="52"/>
        <v/>
      </c>
      <c r="AP52" s="665" t="str">
        <f t="shared" si="52"/>
        <v/>
      </c>
      <c r="AQ52" s="665" t="str">
        <f t="shared" si="52"/>
        <v/>
      </c>
      <c r="AR52" s="665" t="str">
        <f t="shared" si="52"/>
        <v/>
      </c>
      <c r="AS52" s="665" t="str">
        <f t="shared" si="52"/>
        <v/>
      </c>
      <c r="AT52" s="665" t="str">
        <f t="shared" si="52"/>
        <v/>
      </c>
      <c r="AU52" s="665" t="str">
        <f t="shared" si="52"/>
        <v/>
      </c>
      <c r="AV52" s="666"/>
      <c r="AW52" s="1222" t="str">
        <f>IF(COUNTIF(AX52:BH52,"nee")&gt;0,"nee","ja")</f>
        <v>ja</v>
      </c>
      <c r="AX52" s="667"/>
      <c r="AY52" s="665" t="str">
        <f t="shared" ref="AY52:BG52" si="53">IF(OR(AY$17="",AY$22=0),"",IF(OR(AY$38="",AY$40="",AND(AY$40&lt;&gt;ventilatie_A,AY$41=""),AND(AY$49=""),AY$44="",AND(AY$19&lt;&gt;woning,AY$19&lt;&gt;woongebouw,AY$45=""),AND(AY$19&lt;&gt;woning,AY$19&lt;&gt;woongebouw,AY$46=""),AND(OR(AY$19=woning,AY$19=woongebouw),AY$47=""),AY$48=""),"nee","ja"))</f>
        <v/>
      </c>
      <c r="AZ52" s="665" t="str">
        <f t="shared" si="53"/>
        <v/>
      </c>
      <c r="BA52" s="665" t="str">
        <f t="shared" si="53"/>
        <v/>
      </c>
      <c r="BB52" s="665" t="str">
        <f t="shared" si="53"/>
        <v/>
      </c>
      <c r="BC52" s="665" t="str">
        <f t="shared" si="53"/>
        <v/>
      </c>
      <c r="BD52" s="665" t="str">
        <f t="shared" si="53"/>
        <v/>
      </c>
      <c r="BE52" s="665" t="str">
        <f t="shared" si="53"/>
        <v/>
      </c>
      <c r="BF52" s="665" t="str">
        <f t="shared" si="53"/>
        <v/>
      </c>
      <c r="BG52" s="665" t="str">
        <f t="shared" si="53"/>
        <v/>
      </c>
      <c r="BH52" s="216"/>
    </row>
    <row r="53" spans="1:60" s="2" customFormat="1">
      <c r="A53" s="1042"/>
      <c r="B53" s="1110" t="s">
        <v>147</v>
      </c>
      <c r="C53" s="1106" t="s">
        <v>96</v>
      </c>
      <c r="D53" s="640"/>
      <c r="E53" s="942" t="s">
        <v>150</v>
      </c>
      <c r="F53" s="942"/>
      <c r="G53" s="942"/>
      <c r="H53" s="942"/>
      <c r="I53" s="129"/>
      <c r="J53" s="943"/>
      <c r="K53" s="126"/>
      <c r="L53" s="126"/>
      <c r="M53" s="944"/>
      <c r="N53" s="153"/>
      <c r="O53" s="258" t="str">
        <f>O$17</f>
        <v/>
      </c>
      <c r="P53" s="258" t="str">
        <f t="shared" ref="P53:W53" si="54">P$17</f>
        <v/>
      </c>
      <c r="Q53" s="258" t="str">
        <f t="shared" si="54"/>
        <v/>
      </c>
      <c r="R53" s="258" t="str">
        <f t="shared" si="54"/>
        <v/>
      </c>
      <c r="S53" s="258" t="str">
        <f t="shared" si="54"/>
        <v/>
      </c>
      <c r="T53" s="258" t="str">
        <f t="shared" si="54"/>
        <v/>
      </c>
      <c r="U53" s="258" t="str">
        <f t="shared" si="54"/>
        <v/>
      </c>
      <c r="V53" s="258" t="str">
        <f t="shared" si="54"/>
        <v/>
      </c>
      <c r="W53" s="258" t="str">
        <f t="shared" si="54"/>
        <v/>
      </c>
      <c r="X53" s="153"/>
      <c r="Y53" s="944"/>
      <c r="Z53" s="1120"/>
      <c r="AA53" s="258" t="str">
        <f>AA$17</f>
        <v/>
      </c>
      <c r="AB53" s="258" t="str">
        <f t="shared" ref="AB53:AI53" si="55">AB$17</f>
        <v/>
      </c>
      <c r="AC53" s="258" t="str">
        <f t="shared" si="55"/>
        <v/>
      </c>
      <c r="AD53" s="258" t="str">
        <f t="shared" si="55"/>
        <v/>
      </c>
      <c r="AE53" s="258" t="str">
        <f t="shared" si="55"/>
        <v/>
      </c>
      <c r="AF53" s="258" t="str">
        <f t="shared" si="55"/>
        <v/>
      </c>
      <c r="AG53" s="258" t="str">
        <f t="shared" si="55"/>
        <v/>
      </c>
      <c r="AH53" s="258" t="str">
        <f t="shared" si="55"/>
        <v/>
      </c>
      <c r="AI53" s="258" t="str">
        <f t="shared" si="55"/>
        <v/>
      </c>
      <c r="AJ53" s="1126"/>
      <c r="AK53" s="944"/>
      <c r="AL53" s="1120"/>
      <c r="AM53" s="258" t="str">
        <f>AM$17</f>
        <v/>
      </c>
      <c r="AN53" s="258" t="str">
        <f t="shared" ref="AN53:AU53" si="56">AN$17</f>
        <v/>
      </c>
      <c r="AO53" s="258" t="str">
        <f t="shared" si="56"/>
        <v/>
      </c>
      <c r="AP53" s="258" t="str">
        <f t="shared" si="56"/>
        <v/>
      </c>
      <c r="AQ53" s="258" t="str">
        <f t="shared" si="56"/>
        <v/>
      </c>
      <c r="AR53" s="258" t="str">
        <f t="shared" si="56"/>
        <v/>
      </c>
      <c r="AS53" s="258" t="str">
        <f t="shared" si="56"/>
        <v/>
      </c>
      <c r="AT53" s="258" t="str">
        <f t="shared" si="56"/>
        <v/>
      </c>
      <c r="AU53" s="258" t="str">
        <f t="shared" si="56"/>
        <v/>
      </c>
      <c r="AV53" s="1126"/>
      <c r="AW53" s="944"/>
      <c r="AX53" s="1120"/>
      <c r="AY53" s="258" t="str">
        <f>AY$17</f>
        <v/>
      </c>
      <c r="AZ53" s="258" t="str">
        <f t="shared" ref="AZ53:BG53" si="57">AZ$17</f>
        <v/>
      </c>
      <c r="BA53" s="258" t="str">
        <f t="shared" si="57"/>
        <v/>
      </c>
      <c r="BB53" s="258" t="str">
        <f t="shared" si="57"/>
        <v/>
      </c>
      <c r="BC53" s="258" t="str">
        <f t="shared" si="57"/>
        <v/>
      </c>
      <c r="BD53" s="258" t="str">
        <f t="shared" si="57"/>
        <v/>
      </c>
      <c r="BE53" s="258" t="str">
        <f t="shared" si="57"/>
        <v/>
      </c>
      <c r="BF53" s="258" t="str">
        <f t="shared" si="57"/>
        <v/>
      </c>
      <c r="BG53" s="258" t="str">
        <f t="shared" si="57"/>
        <v/>
      </c>
      <c r="BH53" s="174"/>
    </row>
    <row r="54" spans="1:60" s="2" customFormat="1">
      <c r="A54" s="1044"/>
      <c r="B54" s="1110" t="s">
        <v>132</v>
      </c>
      <c r="C54" s="1106" t="s">
        <v>118</v>
      </c>
      <c r="D54" s="639"/>
      <c r="E54" s="180" t="s">
        <v>151</v>
      </c>
      <c r="F54" s="180"/>
      <c r="G54" s="180"/>
      <c r="H54" s="181" t="s">
        <v>152</v>
      </c>
      <c r="I54" s="104"/>
      <c r="J54" s="554"/>
      <c r="K54" s="1055"/>
      <c r="L54" s="1055"/>
      <c r="M54" s="554"/>
      <c r="N54" s="89"/>
      <c r="O54" s="872" t="str">
        <f ca="1">IF(OR(O$17="",O$38=""),"",
SUMPRODUCT(
OFFSET(bibliotheek!$H$26,0,MATCH(O$17,woningen_gebouwen_namen,0)-1,ROWS(bibliotheek!$I$26:$I$31),1),
OFFSET(bibliotheek!$H$47,0,MATCH(O$38,isolatiepakketten_gebouwschil_namen,0)-1,ROWS(bibliotheek!$I$26:$I$31),1)) /
HLOOKUP(O$17,woningen_gebouwen_gegevens,ROWS(bibliotheek!$E$20:$E$32),FALSE))</f>
        <v/>
      </c>
      <c r="P54" s="872" t="str">
        <f ca="1">IF(OR(P$17="",P$38=""),"",
SUMPRODUCT(
OFFSET(bibliotheek!$H$26,0,MATCH(P$17,woningen_gebouwen_namen,0)-1,ROWS(bibliotheek!$I$26:$I$31),1),
OFFSET(bibliotheek!$H$47,0,MATCH(P$38,isolatiepakketten_gebouwschil_namen,0)-1,ROWS(bibliotheek!$I$26:$I$31),1)) /
HLOOKUP(P$17,woningen_gebouwen_gegevens,ROWS(bibliotheek!$E$20:$E$32),FALSE))</f>
        <v/>
      </c>
      <c r="Q54" s="872" t="str">
        <f ca="1">IF(OR(Q$17="",Q$38=""),"",
SUMPRODUCT(
OFFSET(bibliotheek!$H$26,0,MATCH(Q$17,woningen_gebouwen_namen,0)-1,ROWS(bibliotheek!$I$26:$I$31),1),
OFFSET(bibliotheek!$H$47,0,MATCH(Q$38,isolatiepakketten_gebouwschil_namen,0)-1,ROWS(bibliotheek!$I$26:$I$31),1)) /
HLOOKUP(Q$17,woningen_gebouwen_gegevens,ROWS(bibliotheek!$E$20:$E$32),FALSE))</f>
        <v/>
      </c>
      <c r="R54" s="872" t="str">
        <f ca="1">IF(OR(R$17="",R$38=""),"",
SUMPRODUCT(
OFFSET(bibliotheek!$H$26,0,MATCH(R$17,woningen_gebouwen_namen,0)-1,ROWS(bibliotheek!$I$26:$I$31),1),
OFFSET(bibliotheek!$H$47,0,MATCH(R$38,isolatiepakketten_gebouwschil_namen,0)-1,ROWS(bibliotheek!$I$26:$I$31),1)) /
HLOOKUP(R$17,woningen_gebouwen_gegevens,ROWS(bibliotheek!$E$20:$E$32),FALSE))</f>
        <v/>
      </c>
      <c r="S54" s="872" t="str">
        <f ca="1">IF(OR(S$17="",S$38=""),"",
SUMPRODUCT(
OFFSET(bibliotheek!$H$26,0,MATCH(S$17,woningen_gebouwen_namen,0)-1,ROWS(bibliotheek!$I$26:$I$31),1),
OFFSET(bibliotheek!$H$47,0,MATCH(S$38,isolatiepakketten_gebouwschil_namen,0)-1,ROWS(bibliotheek!$I$26:$I$31),1)) /
HLOOKUP(S$17,woningen_gebouwen_gegevens,ROWS(bibliotheek!$E$20:$E$32),FALSE))</f>
        <v/>
      </c>
      <c r="T54" s="872" t="str">
        <f ca="1">IF(OR(T$17="",T$38=""),"",
SUMPRODUCT(
OFFSET(bibliotheek!$H$26,0,MATCH(T$17,woningen_gebouwen_namen,0)-1,ROWS(bibliotheek!$I$26:$I$31),1),
OFFSET(bibliotheek!$H$47,0,MATCH(T$38,isolatiepakketten_gebouwschil_namen,0)-1,ROWS(bibliotheek!$I$26:$I$31),1)) /
HLOOKUP(T$17,woningen_gebouwen_gegevens,ROWS(bibliotheek!$E$20:$E$32),FALSE))</f>
        <v/>
      </c>
      <c r="U54" s="872" t="str">
        <f ca="1">IF(OR(U$17="",U$38=""),"",
SUMPRODUCT(
OFFSET(bibliotheek!$H$26,0,MATCH(U$17,woningen_gebouwen_namen,0)-1,ROWS(bibliotheek!$I$26:$I$31),1),
OFFSET(bibliotheek!$H$47,0,MATCH(U$38,isolatiepakketten_gebouwschil_namen,0)-1,ROWS(bibliotheek!$I$26:$I$31),1)) /
HLOOKUP(U$17,woningen_gebouwen_gegevens,ROWS(bibliotheek!$E$20:$E$32),FALSE))</f>
        <v/>
      </c>
      <c r="V54" s="872" t="str">
        <f ca="1">IF(OR(V$17="",V$38=""),"",
SUMPRODUCT(
OFFSET(bibliotheek!$H$26,0,MATCH(V$17,woningen_gebouwen_namen,0)-1,ROWS(bibliotheek!$I$26:$I$31),1),
OFFSET(bibliotheek!$H$47,0,MATCH(V$38,isolatiepakketten_gebouwschil_namen,0)-1,ROWS(bibliotheek!$I$26:$I$31),1)) /
HLOOKUP(V$17,woningen_gebouwen_gegevens,ROWS(bibliotheek!$E$20:$E$32),FALSE))</f>
        <v/>
      </c>
      <c r="W54" s="872" t="str">
        <f ca="1">IF(OR(W$17="",W$38=""),"",
SUMPRODUCT(
OFFSET(bibliotheek!$H$26,0,MATCH(W$17,woningen_gebouwen_namen,0)-1,ROWS(bibliotheek!$I$26:$I$31),1),
OFFSET(bibliotheek!$H$47,0,MATCH(W$38,isolatiepakketten_gebouwschil_namen,0)-1,ROWS(bibliotheek!$I$26:$I$31),1)) /
HLOOKUP(W$17,woningen_gebouwen_gegevens,ROWS(bibliotheek!$E$20:$E$32),FALSE))</f>
        <v/>
      </c>
      <c r="X54" s="172"/>
      <c r="Y54" s="554"/>
      <c r="Z54" s="1120"/>
      <c r="AA54" s="196" t="str">
        <f ca="1">IF(OR(AA$17="",AA$38=""),"",
SUMPRODUCT(
OFFSET(bibliotheek!$H$26,0,MATCH(AA$17,woningen_gebouwen_namen,0)-1,ROWS(bibliotheek!$I$26:$I$31),1),
OFFSET(bibliotheek!$H$47,0,MATCH(AA$38,isolatiepakketten_gebouwschil_namen,0)-1,ROWS(bibliotheek!$I$26:$I$31),1)) /
HLOOKUP(AA$17,woningen_gebouwen_gegevens,ROWS(bibliotheek!$E$20:$E$32),FALSE))</f>
        <v/>
      </c>
      <c r="AB54" s="196" t="str">
        <f ca="1">IF(OR(AB$17="",AB$38=""),"",
SUMPRODUCT(
OFFSET(bibliotheek!$H$26,0,MATCH(AB$17,woningen_gebouwen_namen,0)-1,ROWS(bibliotheek!$I$26:$I$31),1),
OFFSET(bibliotheek!$H$47,0,MATCH(AB$38,isolatiepakketten_gebouwschil_namen,0)-1,ROWS(bibliotheek!$I$26:$I$31),1)) /
HLOOKUP(AB$17,woningen_gebouwen_gegevens,ROWS(bibliotheek!$E$20:$E$32),FALSE))</f>
        <v/>
      </c>
      <c r="AC54" s="196" t="str">
        <f ca="1">IF(OR(AC$17="",AC$38=""),"",
SUMPRODUCT(
OFFSET(bibliotheek!$H$26,0,MATCH(AC$17,woningen_gebouwen_namen,0)-1,ROWS(bibliotheek!$I$26:$I$31),1),
OFFSET(bibliotheek!$H$47,0,MATCH(AC$38,isolatiepakketten_gebouwschil_namen,0)-1,ROWS(bibliotheek!$I$26:$I$31),1)) /
HLOOKUP(AC$17,woningen_gebouwen_gegevens,ROWS(bibliotheek!$E$20:$E$32),FALSE))</f>
        <v/>
      </c>
      <c r="AD54" s="196" t="str">
        <f ca="1">IF(OR(AD$17="",AD$38=""),"",
SUMPRODUCT(
OFFSET(bibliotheek!$H$26,0,MATCH(AD$17,woningen_gebouwen_namen,0)-1,ROWS(bibliotheek!$I$26:$I$31),1),
OFFSET(bibliotheek!$H$47,0,MATCH(AD$38,isolatiepakketten_gebouwschil_namen,0)-1,ROWS(bibliotheek!$I$26:$I$31),1)) /
HLOOKUP(AD$17,woningen_gebouwen_gegevens,ROWS(bibliotheek!$E$20:$E$32),FALSE))</f>
        <v/>
      </c>
      <c r="AE54" s="196" t="str">
        <f ca="1">IF(OR(AE$17="",AE$38=""),"",
SUMPRODUCT(
OFFSET(bibliotheek!$H$26,0,MATCH(AE$17,woningen_gebouwen_namen,0)-1,ROWS(bibliotheek!$I$26:$I$31),1),
OFFSET(bibliotheek!$H$47,0,MATCH(AE$38,isolatiepakketten_gebouwschil_namen,0)-1,ROWS(bibliotheek!$I$26:$I$31),1)) /
HLOOKUP(AE$17,woningen_gebouwen_gegevens,ROWS(bibliotheek!$E$20:$E$32),FALSE))</f>
        <v/>
      </c>
      <c r="AF54" s="196" t="str">
        <f ca="1">IF(OR(AF$17="",AF$38=""),"",
SUMPRODUCT(
OFFSET(bibliotheek!$H$26,0,MATCH(AF$17,woningen_gebouwen_namen,0)-1,ROWS(bibliotheek!$I$26:$I$31),1),
OFFSET(bibliotheek!$H$47,0,MATCH(AF$38,isolatiepakketten_gebouwschil_namen,0)-1,ROWS(bibliotheek!$I$26:$I$31),1)) /
HLOOKUP(AF$17,woningen_gebouwen_gegevens,ROWS(bibliotheek!$E$20:$E$32),FALSE))</f>
        <v/>
      </c>
      <c r="AG54" s="196" t="str">
        <f ca="1">IF(OR(AG$17="",AG$38=""),"",
SUMPRODUCT(
OFFSET(bibliotheek!$H$26,0,MATCH(AG$17,woningen_gebouwen_namen,0)-1,ROWS(bibliotheek!$I$26:$I$31),1),
OFFSET(bibliotheek!$H$47,0,MATCH(AG$38,isolatiepakketten_gebouwschil_namen,0)-1,ROWS(bibliotheek!$I$26:$I$31),1)) /
HLOOKUP(AG$17,woningen_gebouwen_gegevens,ROWS(bibliotheek!$E$20:$E$32),FALSE))</f>
        <v/>
      </c>
      <c r="AH54" s="196" t="str">
        <f ca="1">IF(OR(AH$17="",AH$38=""),"",
SUMPRODUCT(
OFFSET(bibliotheek!$H$26,0,MATCH(AH$17,woningen_gebouwen_namen,0)-1,ROWS(bibliotheek!$I$26:$I$31),1),
OFFSET(bibliotheek!$H$47,0,MATCH(AH$38,isolatiepakketten_gebouwschil_namen,0)-1,ROWS(bibliotheek!$I$26:$I$31),1)) /
HLOOKUP(AH$17,woningen_gebouwen_gegevens,ROWS(bibliotheek!$E$20:$E$32),FALSE))</f>
        <v/>
      </c>
      <c r="AI54" s="196" t="str">
        <f ca="1">IF(OR(AI$17="",AI$38=""),"",
SUMPRODUCT(
OFFSET(bibliotheek!$H$26,0,MATCH(AI$17,woningen_gebouwen_namen,0)-1,ROWS(bibliotheek!$I$26:$I$31),1),
OFFSET(bibliotheek!$H$47,0,MATCH(AI$38,isolatiepakketten_gebouwschil_namen,0)-1,ROWS(bibliotheek!$I$26:$I$31),1)) /
HLOOKUP(AI$17,woningen_gebouwen_gegevens,ROWS(bibliotheek!$E$20:$E$32),FALSE))</f>
        <v/>
      </c>
      <c r="AJ54" s="172"/>
      <c r="AK54" s="554"/>
      <c r="AL54" s="173"/>
      <c r="AM54" s="196" t="str">
        <f ca="1">IF(OR(AM$17="",AM$38=""),"",
SUMPRODUCT(
OFFSET(bibliotheek!$H$26,0,MATCH(AM$17,woningen_gebouwen_namen,0)-1,ROWS(bibliotheek!$I$26:$I$31),1),
OFFSET(bibliotheek!$H$47,0,MATCH(AM$38,isolatiepakketten_gebouwschil_namen,0)-1,ROWS(bibliotheek!$I$26:$I$31),1)) /
HLOOKUP(AM$17,woningen_gebouwen_gegevens,ROWS(bibliotheek!$E$20:$E$32),FALSE))</f>
        <v/>
      </c>
      <c r="AN54" s="196" t="str">
        <f ca="1">IF(OR(AN$17="",AN$38=""),"",
SUMPRODUCT(
OFFSET(bibliotheek!$H$26,0,MATCH(AN$17,woningen_gebouwen_namen,0)-1,ROWS(bibliotheek!$I$26:$I$31),1),
OFFSET(bibliotheek!$H$47,0,MATCH(AN$38,isolatiepakketten_gebouwschil_namen,0)-1,ROWS(bibliotheek!$I$26:$I$31),1)) /
HLOOKUP(AN$17,woningen_gebouwen_gegevens,ROWS(bibliotheek!$E$20:$E$32),FALSE))</f>
        <v/>
      </c>
      <c r="AO54" s="196" t="str">
        <f ca="1">IF(OR(AO$17="",AO$38=""),"",
SUMPRODUCT(
OFFSET(bibliotheek!$H$26,0,MATCH(AO$17,woningen_gebouwen_namen,0)-1,ROWS(bibliotheek!$I$26:$I$31),1),
OFFSET(bibliotheek!$H$47,0,MATCH(AO$38,isolatiepakketten_gebouwschil_namen,0)-1,ROWS(bibliotheek!$I$26:$I$31),1)) /
HLOOKUP(AO$17,woningen_gebouwen_gegevens,ROWS(bibliotheek!$E$20:$E$32),FALSE))</f>
        <v/>
      </c>
      <c r="AP54" s="196" t="str">
        <f ca="1">IF(OR(AP$17="",AP$38=""),"",
SUMPRODUCT(
OFFSET(bibliotheek!$H$26,0,MATCH(AP$17,woningen_gebouwen_namen,0)-1,ROWS(bibliotheek!$I$26:$I$31),1),
OFFSET(bibliotheek!$H$47,0,MATCH(AP$38,isolatiepakketten_gebouwschil_namen,0)-1,ROWS(bibliotheek!$I$26:$I$31),1)) /
HLOOKUP(AP$17,woningen_gebouwen_gegevens,ROWS(bibliotheek!$E$20:$E$32),FALSE))</f>
        <v/>
      </c>
      <c r="AQ54" s="196" t="str">
        <f ca="1">IF(OR(AQ$17="",AQ$38=""),"",
SUMPRODUCT(
OFFSET(bibliotheek!$H$26,0,MATCH(AQ$17,woningen_gebouwen_namen,0)-1,ROWS(bibliotheek!$I$26:$I$31),1),
OFFSET(bibliotheek!$H$47,0,MATCH(AQ$38,isolatiepakketten_gebouwschil_namen,0)-1,ROWS(bibliotheek!$I$26:$I$31),1)) /
HLOOKUP(AQ$17,woningen_gebouwen_gegevens,ROWS(bibliotheek!$E$20:$E$32),FALSE))</f>
        <v/>
      </c>
      <c r="AR54" s="196" t="str">
        <f ca="1">IF(OR(AR$17="",AR$38=""),"",
SUMPRODUCT(
OFFSET(bibliotheek!$H$26,0,MATCH(AR$17,woningen_gebouwen_namen,0)-1,ROWS(bibliotheek!$I$26:$I$31),1),
OFFSET(bibliotheek!$H$47,0,MATCH(AR$38,isolatiepakketten_gebouwschil_namen,0)-1,ROWS(bibliotheek!$I$26:$I$31),1)) /
HLOOKUP(AR$17,woningen_gebouwen_gegevens,ROWS(bibliotheek!$E$20:$E$32),FALSE))</f>
        <v/>
      </c>
      <c r="AS54" s="196" t="str">
        <f ca="1">IF(OR(AS$17="",AS$38=""),"",
SUMPRODUCT(
OFFSET(bibliotheek!$H$26,0,MATCH(AS$17,woningen_gebouwen_namen,0)-1,ROWS(bibliotheek!$I$26:$I$31),1),
OFFSET(bibliotheek!$H$47,0,MATCH(AS$38,isolatiepakketten_gebouwschil_namen,0)-1,ROWS(bibliotheek!$I$26:$I$31),1)) /
HLOOKUP(AS$17,woningen_gebouwen_gegevens,ROWS(bibliotheek!$E$20:$E$32),FALSE))</f>
        <v/>
      </c>
      <c r="AT54" s="196" t="str">
        <f ca="1">IF(OR(AT$17="",AT$38=""),"",
SUMPRODUCT(
OFFSET(bibliotheek!$H$26,0,MATCH(AT$17,woningen_gebouwen_namen,0)-1,ROWS(bibliotheek!$I$26:$I$31),1),
OFFSET(bibliotheek!$H$47,0,MATCH(AT$38,isolatiepakketten_gebouwschil_namen,0)-1,ROWS(bibliotheek!$I$26:$I$31),1)) /
HLOOKUP(AT$17,woningen_gebouwen_gegevens,ROWS(bibliotheek!$E$20:$E$32),FALSE))</f>
        <v/>
      </c>
      <c r="AU54" s="196" t="str">
        <f ca="1">IF(OR(AU$17="",AU$38=""),"",
SUMPRODUCT(
OFFSET(bibliotheek!$H$26,0,MATCH(AU$17,woningen_gebouwen_namen,0)-1,ROWS(bibliotheek!$I$26:$I$31),1),
OFFSET(bibliotheek!$H$47,0,MATCH(AU$38,isolatiepakketten_gebouwschil_namen,0)-1,ROWS(bibliotheek!$I$26:$I$31),1)) /
HLOOKUP(AU$17,woningen_gebouwen_gegevens,ROWS(bibliotheek!$E$20:$E$32),FALSE))</f>
        <v/>
      </c>
      <c r="AV54" s="172"/>
      <c r="AW54" s="554"/>
      <c r="AX54" s="173"/>
      <c r="AY54" s="196" t="str">
        <f ca="1">IF(OR(AY$17="",AY$38=""),"",
SUMPRODUCT(
OFFSET(bibliotheek!$H$26,0,MATCH(AY$17,woningen_gebouwen_namen,0)-1,ROWS(bibliotheek!$I$26:$I$31),1),
OFFSET(bibliotheek!$H$47,0,MATCH(AY$38,isolatiepakketten_gebouwschil_namen,0)-1,ROWS(bibliotheek!$I$26:$I$31),1)) /
HLOOKUP(AY$17,woningen_gebouwen_gegevens,ROWS(bibliotheek!$E$20:$E$32),FALSE))</f>
        <v/>
      </c>
      <c r="AZ54" s="196" t="str">
        <f ca="1">IF(OR(AZ$17="",AZ$38=""),"",
SUMPRODUCT(
OFFSET(bibliotheek!$H$26,0,MATCH(AZ$17,woningen_gebouwen_namen,0)-1,ROWS(bibliotheek!$I$26:$I$31),1),
OFFSET(bibliotheek!$H$47,0,MATCH(AZ$38,isolatiepakketten_gebouwschil_namen,0)-1,ROWS(bibliotheek!$I$26:$I$31),1)) /
HLOOKUP(AZ$17,woningen_gebouwen_gegevens,ROWS(bibliotheek!$E$20:$E$32),FALSE))</f>
        <v/>
      </c>
      <c r="BA54" s="196" t="str">
        <f ca="1">IF(OR(BA$17="",BA$38=""),"",
SUMPRODUCT(
OFFSET(bibliotheek!$H$26,0,MATCH(BA$17,woningen_gebouwen_namen,0)-1,ROWS(bibliotheek!$I$26:$I$31),1),
OFFSET(bibliotheek!$H$47,0,MATCH(BA$38,isolatiepakketten_gebouwschil_namen,0)-1,ROWS(bibliotheek!$I$26:$I$31),1)) /
HLOOKUP(BA$17,woningen_gebouwen_gegevens,ROWS(bibliotheek!$E$20:$E$32),FALSE))</f>
        <v/>
      </c>
      <c r="BB54" s="196" t="str">
        <f ca="1">IF(OR(BB$17="",BB$38=""),"",
SUMPRODUCT(
OFFSET(bibliotheek!$H$26,0,MATCH(BB$17,woningen_gebouwen_namen,0)-1,ROWS(bibliotheek!$I$26:$I$31),1),
OFFSET(bibliotheek!$H$47,0,MATCH(BB$38,isolatiepakketten_gebouwschil_namen,0)-1,ROWS(bibliotheek!$I$26:$I$31),1)) /
HLOOKUP(BB$17,woningen_gebouwen_gegevens,ROWS(bibliotheek!$E$20:$E$32),FALSE))</f>
        <v/>
      </c>
      <c r="BC54" s="196" t="str">
        <f ca="1">IF(OR(BC$17="",BC$38=""),"",
SUMPRODUCT(
OFFSET(bibliotheek!$H$26,0,MATCH(BC$17,woningen_gebouwen_namen,0)-1,ROWS(bibliotheek!$I$26:$I$31),1),
OFFSET(bibliotheek!$H$47,0,MATCH(BC$38,isolatiepakketten_gebouwschil_namen,0)-1,ROWS(bibliotheek!$I$26:$I$31),1)) /
HLOOKUP(BC$17,woningen_gebouwen_gegevens,ROWS(bibliotheek!$E$20:$E$32),FALSE))</f>
        <v/>
      </c>
      <c r="BD54" s="196" t="str">
        <f ca="1">IF(OR(BD$17="",BD$38=""),"",
SUMPRODUCT(
OFFSET(bibliotheek!$H$26,0,MATCH(BD$17,woningen_gebouwen_namen,0)-1,ROWS(bibliotheek!$I$26:$I$31),1),
OFFSET(bibliotheek!$H$47,0,MATCH(BD$38,isolatiepakketten_gebouwschil_namen,0)-1,ROWS(bibliotheek!$I$26:$I$31),1)) /
HLOOKUP(BD$17,woningen_gebouwen_gegevens,ROWS(bibliotheek!$E$20:$E$32),FALSE))</f>
        <v/>
      </c>
      <c r="BE54" s="196" t="str">
        <f ca="1">IF(OR(BE$17="",BE$38=""),"",
SUMPRODUCT(
OFFSET(bibliotheek!$H$26,0,MATCH(BE$17,woningen_gebouwen_namen,0)-1,ROWS(bibliotheek!$I$26:$I$31),1),
OFFSET(bibliotheek!$H$47,0,MATCH(BE$38,isolatiepakketten_gebouwschil_namen,0)-1,ROWS(bibliotheek!$I$26:$I$31),1)) /
HLOOKUP(BE$17,woningen_gebouwen_gegevens,ROWS(bibliotheek!$E$20:$E$32),FALSE))</f>
        <v/>
      </c>
      <c r="BF54" s="196" t="str">
        <f ca="1">IF(OR(BF$17="",BF$38=""),"",
SUMPRODUCT(
OFFSET(bibliotheek!$H$26,0,MATCH(BF$17,woningen_gebouwen_namen,0)-1,ROWS(bibliotheek!$I$26:$I$31),1),
OFFSET(bibliotheek!$H$47,0,MATCH(BF$38,isolatiepakketten_gebouwschil_namen,0)-1,ROWS(bibliotheek!$I$26:$I$31),1)) /
HLOOKUP(BF$17,woningen_gebouwen_gegevens,ROWS(bibliotheek!$E$20:$E$32),FALSE))</f>
        <v/>
      </c>
      <c r="BG54" s="196" t="str">
        <f ca="1">IF(OR(BG$17="",BG$38=""),"",
SUMPRODUCT(
OFFSET(bibliotheek!$H$26,0,MATCH(BG$17,woningen_gebouwen_namen,0)-1,ROWS(bibliotheek!$I$26:$I$31),1),
OFFSET(bibliotheek!$H$47,0,MATCH(BG$38,isolatiepakketten_gebouwschil_namen,0)-1,ROWS(bibliotheek!$I$26:$I$31),1)) /
HLOOKUP(BG$17,woningen_gebouwen_gegevens,ROWS(bibliotheek!$E$20:$E$32),FALSE))</f>
        <v/>
      </c>
      <c r="BH54" s="216"/>
    </row>
    <row r="55" spans="1:60" s="2" customFormat="1">
      <c r="A55" s="1044"/>
      <c r="B55" s="1110" t="s">
        <v>132</v>
      </c>
      <c r="C55" s="1106" t="s">
        <v>118</v>
      </c>
      <c r="D55" s="639" t="s">
        <v>45</v>
      </c>
      <c r="E55" s="254" t="s">
        <v>1149</v>
      </c>
      <c r="F55" s="254"/>
      <c r="G55" s="180"/>
      <c r="H55" s="291" t="s">
        <v>154</v>
      </c>
      <c r="I55" s="104"/>
      <c r="J55" s="768"/>
      <c r="K55" s="1055"/>
      <c r="L55" s="1055"/>
      <c r="M55" s="873"/>
      <c r="N55" s="91"/>
      <c r="O55" s="929">
        <f t="shared" ref="O55:W55" si="58">IFERROR(IF(AND($F$6=MWA,O56&lt;&gt;""),O56,
IF(OR(O$17="",O$38="",O$40=""),0,MAX(warmtebehoefte_verwarming_ondergrens,
HLOOKUP(O$61,fitcurves_NTA8800,MATCH(fit_a0,parameters_fitformule,0),FALSE)
+HLOOKUP(O$61,fitcurves_NTA8800,MATCH(fit_a1,parameters_fitformule,0),FALSE)
*O$54*O$32^HLOOKUP(O$61,fitcurves_NTA8800,MATCH(fit_n1,parameters_fitformule,0),FALSE)
))),0)</f>
        <v>0</v>
      </c>
      <c r="P55" s="929">
        <f t="shared" si="58"/>
        <v>0</v>
      </c>
      <c r="Q55" s="929">
        <f t="shared" si="58"/>
        <v>0</v>
      </c>
      <c r="R55" s="929">
        <f t="shared" si="58"/>
        <v>0</v>
      </c>
      <c r="S55" s="929">
        <f t="shared" si="58"/>
        <v>0</v>
      </c>
      <c r="T55" s="929">
        <f t="shared" si="58"/>
        <v>0</v>
      </c>
      <c r="U55" s="929">
        <f t="shared" si="58"/>
        <v>0</v>
      </c>
      <c r="V55" s="929">
        <f t="shared" si="58"/>
        <v>0</v>
      </c>
      <c r="W55" s="929">
        <f t="shared" si="58"/>
        <v>0</v>
      </c>
      <c r="X55" s="930"/>
      <c r="Y55" s="931"/>
      <c r="Z55" s="932"/>
      <c r="AA55" s="933">
        <f t="shared" ref="AA55:AI55" si="59">IFERROR(IF(AND($F$6=MWA,AA56&lt;&gt;""),AA56,
IF(OR(AA$17="",AA$38="",AA$40=""),0,MAX(warmtebehoefte_verwarming_ondergrens,
HLOOKUP(AA$61,fitcurves_NTA8800,MATCH(fit_a0,parameters_fitformule,0),FALSE)
+HLOOKUP(AA$61,fitcurves_NTA8800,MATCH(fit_a1,parameters_fitformule,0),FALSE)
*AA$54*AA$32^HLOOKUP(AA$61,fitcurves_NTA8800,MATCH(fit_n1,parameters_fitformule,0),FALSE)
))),0)</f>
        <v>0</v>
      </c>
      <c r="AB55" s="933">
        <f t="shared" si="59"/>
        <v>0</v>
      </c>
      <c r="AC55" s="933">
        <f t="shared" si="59"/>
        <v>0</v>
      </c>
      <c r="AD55" s="933">
        <f t="shared" si="59"/>
        <v>0</v>
      </c>
      <c r="AE55" s="933">
        <f t="shared" si="59"/>
        <v>0</v>
      </c>
      <c r="AF55" s="933">
        <f t="shared" si="59"/>
        <v>0</v>
      </c>
      <c r="AG55" s="933">
        <f t="shared" si="59"/>
        <v>0</v>
      </c>
      <c r="AH55" s="933">
        <f t="shared" si="59"/>
        <v>0</v>
      </c>
      <c r="AI55" s="933">
        <f t="shared" si="59"/>
        <v>0</v>
      </c>
      <c r="AJ55" s="930"/>
      <c r="AK55" s="931"/>
      <c r="AL55" s="932"/>
      <c r="AM55" s="933">
        <f t="shared" ref="AM55:AU55" si="60">IFERROR(IF(AND($F$6=MWA,AM56&lt;&gt;""),AM56,
IF(OR(AM$17="",AM$38="",AM$40=""),0,MAX(warmtebehoefte_verwarming_ondergrens,
HLOOKUP(AM$61,fitcurves_NTA8800,MATCH(fit_a0,parameters_fitformule,0),FALSE)
+HLOOKUP(AM$61,fitcurves_NTA8800,MATCH(fit_a1,parameters_fitformule,0),FALSE)
*AM$54*AM$32^HLOOKUP(AM$61,fitcurves_NTA8800,MATCH(fit_n1,parameters_fitformule,0),FALSE)
))),0)</f>
        <v>0</v>
      </c>
      <c r="AN55" s="933">
        <f t="shared" si="60"/>
        <v>0</v>
      </c>
      <c r="AO55" s="933">
        <f t="shared" si="60"/>
        <v>0</v>
      </c>
      <c r="AP55" s="933">
        <f t="shared" si="60"/>
        <v>0</v>
      </c>
      <c r="AQ55" s="933">
        <f t="shared" si="60"/>
        <v>0</v>
      </c>
      <c r="AR55" s="933">
        <f t="shared" si="60"/>
        <v>0</v>
      </c>
      <c r="AS55" s="933">
        <f t="shared" si="60"/>
        <v>0</v>
      </c>
      <c r="AT55" s="933">
        <f t="shared" si="60"/>
        <v>0</v>
      </c>
      <c r="AU55" s="933">
        <f t="shared" si="60"/>
        <v>0</v>
      </c>
      <c r="AV55" s="930"/>
      <c r="AW55" s="931"/>
      <c r="AX55" s="932"/>
      <c r="AY55" s="933">
        <f t="shared" ref="AY55:BG55" si="61">IFERROR(IF(AND($F$6=MWA,AY56&lt;&gt;""),AY56,
IF(OR(AY$17="",AY$38="",AY$40=""),0,MAX(warmtebehoefte_verwarming_ondergrens,
HLOOKUP(AY$61,fitcurves_NTA8800,MATCH(fit_a0,parameters_fitformule,0),FALSE)
+HLOOKUP(AY$61,fitcurves_NTA8800,MATCH(fit_a1,parameters_fitformule,0),FALSE)
*AY$54*AY$32^HLOOKUP(AY$61,fitcurves_NTA8800,MATCH(fit_n1,parameters_fitformule,0),FALSE)
))),0)</f>
        <v>0</v>
      </c>
      <c r="AZ55" s="933">
        <f t="shared" si="61"/>
        <v>0</v>
      </c>
      <c r="BA55" s="933">
        <f t="shared" si="61"/>
        <v>0</v>
      </c>
      <c r="BB55" s="933">
        <f t="shared" si="61"/>
        <v>0</v>
      </c>
      <c r="BC55" s="933">
        <f t="shared" si="61"/>
        <v>0</v>
      </c>
      <c r="BD55" s="933">
        <f t="shared" si="61"/>
        <v>0</v>
      </c>
      <c r="BE55" s="933">
        <f t="shared" si="61"/>
        <v>0</v>
      </c>
      <c r="BF55" s="933">
        <f t="shared" si="61"/>
        <v>0</v>
      </c>
      <c r="BG55" s="933">
        <f t="shared" si="61"/>
        <v>0</v>
      </c>
      <c r="BH55" s="216"/>
    </row>
    <row r="56" spans="1:60" s="2" customFormat="1">
      <c r="A56" s="1044"/>
      <c r="B56" s="1110" t="s">
        <v>132</v>
      </c>
      <c r="C56" s="1106" t="s">
        <v>118</v>
      </c>
      <c r="D56" s="639"/>
      <c r="E56" s="1221" t="s">
        <v>1185</v>
      </c>
      <c r="F56" s="595"/>
      <c r="G56" s="595"/>
      <c r="H56" s="291" t="s">
        <v>154</v>
      </c>
      <c r="I56" s="104"/>
      <c r="J56" s="769"/>
      <c r="K56" s="1055"/>
      <c r="L56" s="1055"/>
      <c r="M56" s="770"/>
      <c r="N56" s="243"/>
      <c r="O56" s="958"/>
      <c r="P56" s="958"/>
      <c r="Q56" s="958"/>
      <c r="R56" s="958"/>
      <c r="S56" s="958"/>
      <c r="T56" s="958"/>
      <c r="U56" s="958"/>
      <c r="V56" s="958"/>
      <c r="W56" s="958"/>
      <c r="X56" s="172"/>
      <c r="Y56" s="770"/>
      <c r="Z56" s="243"/>
      <c r="AA56" s="958"/>
      <c r="AB56" s="958"/>
      <c r="AC56" s="958"/>
      <c r="AD56" s="958"/>
      <c r="AE56" s="958"/>
      <c r="AF56" s="958"/>
      <c r="AG56" s="958"/>
      <c r="AH56" s="958"/>
      <c r="AI56" s="958"/>
      <c r="AJ56" s="172"/>
      <c r="AK56" s="770"/>
      <c r="AL56" s="243"/>
      <c r="AM56" s="958"/>
      <c r="AN56" s="958"/>
      <c r="AO56" s="958"/>
      <c r="AP56" s="958"/>
      <c r="AQ56" s="958"/>
      <c r="AR56" s="958"/>
      <c r="AS56" s="958"/>
      <c r="AT56" s="958"/>
      <c r="AU56" s="958"/>
      <c r="AV56" s="172"/>
      <c r="AW56" s="770"/>
      <c r="AX56" s="243"/>
      <c r="AY56" s="958"/>
      <c r="AZ56" s="958"/>
      <c r="BA56" s="958"/>
      <c r="BB56" s="958"/>
      <c r="BC56" s="958"/>
      <c r="BD56" s="958"/>
      <c r="BE56" s="958"/>
      <c r="BF56" s="958"/>
      <c r="BG56" s="958"/>
      <c r="BH56" s="216"/>
    </row>
    <row r="57" spans="1:60">
      <c r="A57" s="1041"/>
      <c r="B57" s="1109" t="s">
        <v>147</v>
      </c>
      <c r="C57" s="1107" t="s">
        <v>96</v>
      </c>
      <c r="D57" s="638"/>
      <c r="E57" s="79"/>
      <c r="F57" s="79"/>
      <c r="G57" s="79"/>
      <c r="H57" s="85"/>
      <c r="I57" s="104"/>
      <c r="J57" s="82"/>
      <c r="K57" s="1055"/>
      <c r="L57" s="1055"/>
      <c r="M57" s="82"/>
      <c r="N57" s="82"/>
      <c r="O57" s="82"/>
      <c r="P57" s="82"/>
      <c r="Q57" s="82"/>
      <c r="R57" s="82"/>
      <c r="S57" s="82"/>
      <c r="T57" s="82"/>
      <c r="U57" s="82"/>
      <c r="V57" s="82"/>
      <c r="W57" s="82"/>
      <c r="X57" s="82"/>
      <c r="Y57" s="82"/>
      <c r="Z57" s="79"/>
      <c r="AA57" s="82"/>
      <c r="AB57" s="82"/>
      <c r="AC57" s="82"/>
      <c r="AD57" s="82"/>
      <c r="AE57" s="82"/>
      <c r="AF57" s="82"/>
      <c r="AG57" s="82"/>
      <c r="AH57" s="82"/>
      <c r="AI57" s="82"/>
      <c r="AJ57" s="82"/>
      <c r="AK57" s="82"/>
      <c r="AL57" s="79"/>
      <c r="AM57" s="82"/>
      <c r="AN57" s="82"/>
      <c r="AO57" s="82"/>
      <c r="AP57" s="82"/>
      <c r="AQ57" s="82"/>
      <c r="AR57" s="82"/>
      <c r="AS57" s="82"/>
      <c r="AT57" s="82"/>
      <c r="AU57" s="82"/>
      <c r="AV57" s="82"/>
      <c r="AW57" s="82"/>
      <c r="AX57" s="79"/>
      <c r="AY57" s="82"/>
      <c r="AZ57" s="82"/>
      <c r="BA57" s="82"/>
      <c r="BB57" s="82"/>
      <c r="BC57" s="82"/>
      <c r="BD57" s="82"/>
      <c r="BE57" s="82"/>
      <c r="BF57" s="82"/>
      <c r="BG57" s="82"/>
      <c r="BH57" s="1"/>
    </row>
    <row r="58" spans="1:60">
      <c r="A58" s="1041"/>
      <c r="B58" s="1109" t="s">
        <v>147</v>
      </c>
      <c r="C58" s="1106" t="s">
        <v>96</v>
      </c>
      <c r="D58" s="638"/>
      <c r="E58" s="230"/>
      <c r="F58" s="79"/>
      <c r="G58" s="79"/>
      <c r="H58" s="85"/>
      <c r="I58" s="79"/>
      <c r="J58" s="82"/>
      <c r="K58" s="79"/>
      <c r="L58" s="79"/>
      <c r="M58" s="82"/>
      <c r="N58" s="82"/>
      <c r="O58" s="82"/>
      <c r="P58" s="82"/>
      <c r="Q58" s="82"/>
      <c r="R58" s="82"/>
      <c r="S58" s="82"/>
      <c r="T58" s="82"/>
      <c r="U58" s="82"/>
      <c r="V58" s="82"/>
      <c r="W58" s="82"/>
      <c r="X58" s="82"/>
      <c r="Y58" s="82"/>
      <c r="Z58" s="79"/>
      <c r="AA58" s="82"/>
      <c r="AB58" s="82"/>
      <c r="AC58" s="82"/>
      <c r="AD58" s="82"/>
      <c r="AE58" s="82"/>
      <c r="AF58" s="82"/>
      <c r="AG58" s="82"/>
      <c r="AH58" s="82"/>
      <c r="AI58" s="82"/>
      <c r="AJ58" s="82"/>
      <c r="AK58" s="82"/>
      <c r="AL58" s="79"/>
      <c r="AM58" s="82"/>
      <c r="AN58" s="82"/>
      <c r="AO58" s="82"/>
      <c r="AP58" s="82"/>
      <c r="AQ58" s="82"/>
      <c r="AR58" s="82"/>
      <c r="AS58" s="82"/>
      <c r="AT58" s="82"/>
      <c r="AU58" s="82"/>
      <c r="AV58" s="82"/>
      <c r="AW58" s="82"/>
      <c r="AX58" s="79"/>
      <c r="AY58" s="82"/>
      <c r="AZ58" s="82"/>
      <c r="BA58" s="82"/>
      <c r="BB58" s="82"/>
      <c r="BC58" s="82"/>
      <c r="BD58" s="82"/>
      <c r="BE58" s="82"/>
      <c r="BF58" s="82"/>
      <c r="BG58" s="82"/>
      <c r="BH58" s="1"/>
    </row>
    <row r="59" spans="1:60" s="2" customFormat="1" ht="21">
      <c r="A59" s="1042"/>
      <c r="B59" s="1109" t="s">
        <v>147</v>
      </c>
      <c r="C59" s="1106" t="s">
        <v>96</v>
      </c>
      <c r="D59" s="640"/>
      <c r="E59" s="209" t="s">
        <v>1150</v>
      </c>
      <c r="F59" s="209"/>
      <c r="G59" s="209"/>
      <c r="H59" s="209"/>
      <c r="I59" s="129"/>
      <c r="J59" s="256" t="str">
        <f>"MWh "&amp;J$8</f>
        <v>MWh alle locaties</v>
      </c>
      <c r="K59" s="126"/>
      <c r="L59" s="126"/>
      <c r="M59" s="256" t="str">
        <f>"MWh "&amp;M$8</f>
        <v>MWh locatie 1</v>
      </c>
      <c r="N59" s="193"/>
      <c r="O59" s="955" t="str">
        <f>$E59&amp;" per woning-/gebouwtype"</f>
        <v>indicatie energiebehoefte per woning | utiliteitsgebouw per woning-/gebouwtype</v>
      </c>
      <c r="P59" s="945"/>
      <c r="Q59" s="945"/>
      <c r="R59" s="945"/>
      <c r="S59" s="945"/>
      <c r="T59" s="945"/>
      <c r="U59" s="945"/>
      <c r="V59" s="945"/>
      <c r="W59" s="257"/>
      <c r="X59" s="174"/>
      <c r="Y59" s="257" t="str">
        <f>Y$10&amp;" MWh"</f>
        <v>locatie 2 MWh</v>
      </c>
      <c r="Z59" s="193"/>
      <c r="AA59" s="955" t="str">
        <f>$E59&amp;" per woning-/gebouwtype"</f>
        <v>indicatie energiebehoefte per woning | utiliteitsgebouw per woning-/gebouwtype</v>
      </c>
      <c r="AB59" s="945"/>
      <c r="AC59" s="945"/>
      <c r="AD59" s="945"/>
      <c r="AE59" s="945"/>
      <c r="AF59" s="945"/>
      <c r="AG59" s="945"/>
      <c r="AH59" s="945"/>
      <c r="AI59" s="257"/>
      <c r="AJ59" s="174"/>
      <c r="AK59" s="257" t="str">
        <f>AK$10&amp;" MWh"</f>
        <v>locatie 3 MWh</v>
      </c>
      <c r="AL59" s="193"/>
      <c r="AM59" s="955" t="str">
        <f>$E59&amp;" per woning-/gebouwtype"</f>
        <v>indicatie energiebehoefte per woning | utiliteitsgebouw per woning-/gebouwtype</v>
      </c>
      <c r="AN59" s="945"/>
      <c r="AO59" s="945"/>
      <c r="AP59" s="945"/>
      <c r="AQ59" s="945"/>
      <c r="AR59" s="945"/>
      <c r="AS59" s="945"/>
      <c r="AT59" s="945"/>
      <c r="AU59" s="257"/>
      <c r="AV59" s="174"/>
      <c r="AW59" s="257" t="str">
        <f>AW$10&amp;" MWh"</f>
        <v>locatie 4 MWh</v>
      </c>
      <c r="AX59" s="193"/>
      <c r="AY59" s="955" t="str">
        <f>$E59&amp;" per woning-/gebouwtype"</f>
        <v>indicatie energiebehoefte per woning | utiliteitsgebouw per woning-/gebouwtype</v>
      </c>
      <c r="AZ59" s="945"/>
      <c r="BA59" s="945"/>
      <c r="BB59" s="945"/>
      <c r="BC59" s="945"/>
      <c r="BD59" s="945"/>
      <c r="BE59" s="945"/>
      <c r="BF59" s="945"/>
      <c r="BG59" s="257"/>
      <c r="BH59" s="1"/>
    </row>
    <row r="60" spans="1:60">
      <c r="A60" s="1041"/>
      <c r="B60" s="1109" t="s">
        <v>147</v>
      </c>
      <c r="C60" s="1106" t="s">
        <v>96</v>
      </c>
      <c r="D60" s="640"/>
      <c r="E60" s="942" t="s">
        <v>153</v>
      </c>
      <c r="F60" s="942"/>
      <c r="G60" s="942"/>
      <c r="H60" s="942"/>
      <c r="I60" s="129"/>
      <c r="J60" s="943"/>
      <c r="K60" s="126"/>
      <c r="L60" s="126"/>
      <c r="M60" s="944"/>
      <c r="N60" s="153"/>
      <c r="O60" s="258" t="str">
        <f>O$17</f>
        <v/>
      </c>
      <c r="P60" s="258" t="str">
        <f t="shared" ref="P60:W60" si="62">P$17</f>
        <v/>
      </c>
      <c r="Q60" s="258" t="str">
        <f t="shared" si="62"/>
        <v/>
      </c>
      <c r="R60" s="258" t="str">
        <f t="shared" si="62"/>
        <v/>
      </c>
      <c r="S60" s="258" t="str">
        <f t="shared" si="62"/>
        <v/>
      </c>
      <c r="T60" s="258" t="str">
        <f t="shared" si="62"/>
        <v/>
      </c>
      <c r="U60" s="258" t="str">
        <f t="shared" si="62"/>
        <v/>
      </c>
      <c r="V60" s="258" t="str">
        <f t="shared" si="62"/>
        <v/>
      </c>
      <c r="W60" s="258" t="str">
        <f t="shared" si="62"/>
        <v/>
      </c>
      <c r="X60" s="146"/>
      <c r="Y60" s="944"/>
      <c r="Z60" s="145"/>
      <c r="AA60" s="258" t="str">
        <f>AA$17</f>
        <v/>
      </c>
      <c r="AB60" s="258" t="str">
        <f t="shared" ref="AB60:AI60" si="63">AB$17</f>
        <v/>
      </c>
      <c r="AC60" s="258" t="str">
        <f t="shared" si="63"/>
        <v/>
      </c>
      <c r="AD60" s="258" t="str">
        <f t="shared" si="63"/>
        <v/>
      </c>
      <c r="AE60" s="258" t="str">
        <f t="shared" si="63"/>
        <v/>
      </c>
      <c r="AF60" s="258" t="str">
        <f t="shared" si="63"/>
        <v/>
      </c>
      <c r="AG60" s="258" t="str">
        <f t="shared" si="63"/>
        <v/>
      </c>
      <c r="AH60" s="258" t="str">
        <f t="shared" si="63"/>
        <v/>
      </c>
      <c r="AI60" s="258" t="str">
        <f t="shared" si="63"/>
        <v/>
      </c>
      <c r="AJ60" s="146"/>
      <c r="AK60" s="944"/>
      <c r="AL60" s="145"/>
      <c r="AM60" s="258" t="str">
        <f>AM$17</f>
        <v/>
      </c>
      <c r="AN60" s="258" t="str">
        <f t="shared" ref="AN60:AU60" si="64">AN$17</f>
        <v/>
      </c>
      <c r="AO60" s="258" t="str">
        <f t="shared" si="64"/>
        <v/>
      </c>
      <c r="AP60" s="258" t="str">
        <f t="shared" si="64"/>
        <v/>
      </c>
      <c r="AQ60" s="258" t="str">
        <f t="shared" si="64"/>
        <v/>
      </c>
      <c r="AR60" s="258" t="str">
        <f t="shared" si="64"/>
        <v/>
      </c>
      <c r="AS60" s="258" t="str">
        <f t="shared" si="64"/>
        <v/>
      </c>
      <c r="AT60" s="258" t="str">
        <f t="shared" si="64"/>
        <v/>
      </c>
      <c r="AU60" s="258" t="str">
        <f t="shared" si="64"/>
        <v/>
      </c>
      <c r="AV60" s="146"/>
      <c r="AW60" s="944"/>
      <c r="AX60" s="145"/>
      <c r="AY60" s="258" t="str">
        <f>AY$17</f>
        <v/>
      </c>
      <c r="AZ60" s="258" t="str">
        <f t="shared" ref="AZ60:BG60" si="65">AZ$17</f>
        <v/>
      </c>
      <c r="BA60" s="258" t="str">
        <f t="shared" si="65"/>
        <v/>
      </c>
      <c r="BB60" s="258" t="str">
        <f t="shared" si="65"/>
        <v/>
      </c>
      <c r="BC60" s="258" t="str">
        <f t="shared" si="65"/>
        <v/>
      </c>
      <c r="BD60" s="258" t="str">
        <f t="shared" si="65"/>
        <v/>
      </c>
      <c r="BE60" s="258" t="str">
        <f t="shared" si="65"/>
        <v/>
      </c>
      <c r="BF60" s="258" t="str">
        <f t="shared" si="65"/>
        <v/>
      </c>
      <c r="BG60" s="258" t="str">
        <f t="shared" si="65"/>
        <v/>
      </c>
      <c r="BH60" s="218"/>
    </row>
    <row r="61" spans="1:60" s="671" customFormat="1" ht="25.5" hidden="1">
      <c r="A61" s="1045"/>
      <c r="B61" s="1109" t="s">
        <v>147</v>
      </c>
      <c r="C61" s="1106" t="s">
        <v>262</v>
      </c>
      <c r="D61" s="946"/>
      <c r="E61" s="947" t="s">
        <v>1151</v>
      </c>
      <c r="F61" s="948"/>
      <c r="G61" s="949" t="s">
        <v>803</v>
      </c>
      <c r="H61" s="950" t="s">
        <v>65</v>
      </c>
      <c r="I61" s="951"/>
      <c r="J61" s="952"/>
      <c r="K61" s="953"/>
      <c r="L61" s="953"/>
      <c r="M61" s="952"/>
      <c r="N61" s="954" t="s">
        <v>84</v>
      </c>
      <c r="O61" s="934" t="e">
        <f t="shared" ref="O61:W61" si="66">$F$6
&amp;INDEX(gebruiksfuncties_fitcurve_NTA8800,MATCH(O$19,gebruiksfuncties_namen,0))
&amp;INDEX(ventilatiesystemen_code,MATCH(O$40,ventilatiesystemen_namen,0))
&amp;O$49
&amp;$G61</f>
        <v>#N/A</v>
      </c>
      <c r="P61" s="934" t="e">
        <f t="shared" si="66"/>
        <v>#N/A</v>
      </c>
      <c r="Q61" s="934" t="e">
        <f t="shared" si="66"/>
        <v>#N/A</v>
      </c>
      <c r="R61" s="934" t="e">
        <f t="shared" si="66"/>
        <v>#N/A</v>
      </c>
      <c r="S61" s="934" t="e">
        <f t="shared" si="66"/>
        <v>#N/A</v>
      </c>
      <c r="T61" s="934" t="e">
        <f t="shared" si="66"/>
        <v>#N/A</v>
      </c>
      <c r="U61" s="934" t="e">
        <f t="shared" si="66"/>
        <v>#N/A</v>
      </c>
      <c r="V61" s="934" t="e">
        <f t="shared" si="66"/>
        <v>#N/A</v>
      </c>
      <c r="W61" s="934" t="e">
        <f t="shared" si="66"/>
        <v>#N/A</v>
      </c>
      <c r="X61" s="953"/>
      <c r="Y61" s="952"/>
      <c r="Z61" s="954" t="s">
        <v>84</v>
      </c>
      <c r="AA61" s="934" t="e">
        <f>$F$6
&amp;INDEX(gebruiksfuncties_fitcurve_NTA8800,MATCH(AA$19,gebruiksfuncties_namen,0))
&amp;INDEX(ventilatiesystemen_code,MATCH(AA$40,ventilatiesystemen_namen,0))
&amp;AA$49
&amp;$G61</f>
        <v>#N/A</v>
      </c>
      <c r="AB61" s="934" t="e">
        <f t="shared" ref="AB61:AI61" si="67">$F$6
&amp;INDEX(gebruiksfuncties_fitcurve_NTA8800,MATCH(AB$19,gebruiksfuncties_namen,0))
&amp;INDEX(ventilatiesystemen_code,MATCH(AB$40,ventilatiesystemen_namen,0))
&amp;AB$49
&amp;$G61</f>
        <v>#N/A</v>
      </c>
      <c r="AC61" s="934" t="e">
        <f t="shared" si="67"/>
        <v>#N/A</v>
      </c>
      <c r="AD61" s="934" t="e">
        <f t="shared" si="67"/>
        <v>#N/A</v>
      </c>
      <c r="AE61" s="934" t="e">
        <f t="shared" si="67"/>
        <v>#N/A</v>
      </c>
      <c r="AF61" s="934" t="e">
        <f t="shared" si="67"/>
        <v>#N/A</v>
      </c>
      <c r="AG61" s="934" t="e">
        <f t="shared" si="67"/>
        <v>#N/A</v>
      </c>
      <c r="AH61" s="934" t="e">
        <f t="shared" si="67"/>
        <v>#N/A</v>
      </c>
      <c r="AI61" s="934" t="e">
        <f t="shared" si="67"/>
        <v>#N/A</v>
      </c>
      <c r="AJ61" s="953"/>
      <c r="AK61" s="952"/>
      <c r="AL61" s="954" t="s">
        <v>84</v>
      </c>
      <c r="AM61" s="934" t="e">
        <f t="shared" ref="AM61:AU61" si="68">$F$6
&amp;INDEX(gebruiksfuncties_fitcurve_NTA8800,MATCH(AM$19,gebruiksfuncties_namen,0))
&amp;INDEX(ventilatiesystemen_code,MATCH(AM$40,ventilatiesystemen_namen,0))
&amp;AM$49
&amp;$G61</f>
        <v>#N/A</v>
      </c>
      <c r="AN61" s="934" t="e">
        <f t="shared" si="68"/>
        <v>#N/A</v>
      </c>
      <c r="AO61" s="934" t="e">
        <f t="shared" si="68"/>
        <v>#N/A</v>
      </c>
      <c r="AP61" s="934" t="e">
        <f t="shared" si="68"/>
        <v>#N/A</v>
      </c>
      <c r="AQ61" s="934" t="e">
        <f t="shared" si="68"/>
        <v>#N/A</v>
      </c>
      <c r="AR61" s="934" t="e">
        <f t="shared" si="68"/>
        <v>#N/A</v>
      </c>
      <c r="AS61" s="934" t="e">
        <f t="shared" si="68"/>
        <v>#N/A</v>
      </c>
      <c r="AT61" s="934" t="e">
        <f t="shared" si="68"/>
        <v>#N/A</v>
      </c>
      <c r="AU61" s="934" t="e">
        <f t="shared" si="68"/>
        <v>#N/A</v>
      </c>
      <c r="AV61" s="953"/>
      <c r="AW61" s="952"/>
      <c r="AX61" s="954" t="s">
        <v>84</v>
      </c>
      <c r="AY61" s="934" t="e">
        <f t="shared" ref="AY61:BG61" si="69">$F$6
&amp;INDEX(gebruiksfuncties_fitcurve_NTA8800,MATCH(AY$19,gebruiksfuncties_namen,0))
&amp;INDEX(ventilatiesystemen_code,MATCH(AY$40,ventilatiesystemen_namen,0))
&amp;AY$49
&amp;$G61</f>
        <v>#N/A</v>
      </c>
      <c r="AZ61" s="934" t="e">
        <f t="shared" si="69"/>
        <v>#N/A</v>
      </c>
      <c r="BA61" s="934" t="e">
        <f t="shared" si="69"/>
        <v>#N/A</v>
      </c>
      <c r="BB61" s="934" t="e">
        <f t="shared" si="69"/>
        <v>#N/A</v>
      </c>
      <c r="BC61" s="934" t="e">
        <f t="shared" si="69"/>
        <v>#N/A</v>
      </c>
      <c r="BD61" s="934" t="e">
        <f t="shared" si="69"/>
        <v>#N/A</v>
      </c>
      <c r="BE61" s="934" t="e">
        <f t="shared" si="69"/>
        <v>#N/A</v>
      </c>
      <c r="BF61" s="934" t="e">
        <f t="shared" si="69"/>
        <v>#N/A</v>
      </c>
      <c r="BG61" s="934" t="e">
        <f t="shared" si="69"/>
        <v>#N/A</v>
      </c>
      <c r="BH61" s="223"/>
    </row>
    <row r="62" spans="1:60">
      <c r="A62" s="1041"/>
      <c r="B62" s="1109" t="s">
        <v>147</v>
      </c>
      <c r="C62" s="1107" t="s">
        <v>104</v>
      </c>
      <c r="D62" s="641" t="s">
        <v>45</v>
      </c>
      <c r="E62" s="413" t="str">
        <f>$O$10</f>
        <v>verwarming</v>
      </c>
      <c r="F62" s="296"/>
      <c r="G62" s="296"/>
      <c r="H62" s="295" t="s">
        <v>154</v>
      </c>
      <c r="I62" s="259"/>
      <c r="J62" s="261">
        <f t="shared" ref="J62:J69" si="70">M62+Y62+AK62+AW62</f>
        <v>0</v>
      </c>
      <c r="K62" s="126"/>
      <c r="L62" s="126"/>
      <c r="M62" s="261">
        <f t="shared" ref="M62:M69" si="71">SUMPRODUCT(N$22:X$22,N$29:X$29,N62:X62)/1000</f>
        <v>0</v>
      </c>
      <c r="N62" s="259"/>
      <c r="O62" s="260">
        <f t="shared" ref="O62:W62" si="72">IFERROR(IF(OR(O$17="",O$38="",O$40=""),0,MAX(warmtebehoefte_verwarming_ondergrens,O55)),0)</f>
        <v>0</v>
      </c>
      <c r="P62" s="260">
        <f t="shared" si="72"/>
        <v>0</v>
      </c>
      <c r="Q62" s="260">
        <f t="shared" si="72"/>
        <v>0</v>
      </c>
      <c r="R62" s="260">
        <f t="shared" si="72"/>
        <v>0</v>
      </c>
      <c r="S62" s="260">
        <f t="shared" si="72"/>
        <v>0</v>
      </c>
      <c r="T62" s="260">
        <f t="shared" si="72"/>
        <v>0</v>
      </c>
      <c r="U62" s="260">
        <f t="shared" si="72"/>
        <v>0</v>
      </c>
      <c r="V62" s="260">
        <f t="shared" si="72"/>
        <v>0</v>
      </c>
      <c r="W62" s="260">
        <f t="shared" si="72"/>
        <v>0</v>
      </c>
      <c r="X62" s="126"/>
      <c r="Y62" s="261">
        <f>SUMPRODUCT(Z$22:AJ$22,Z$29:AJ$29,Z62:AJ62)/1000</f>
        <v>0</v>
      </c>
      <c r="Z62" s="259"/>
      <c r="AA62" s="260">
        <f>IFERROR(IF(OR(AA$17="",AA$38="",AA$40=""),0,MAX(warmtebehoefte_verwarming_ondergrens,AA55)),0)</f>
        <v>0</v>
      </c>
      <c r="AB62" s="260">
        <f t="shared" ref="AB62:AI62" si="73">IFERROR(IF(OR(AB$17="",AB$38="",AB$40=""),0,MAX(warmtebehoefte_verwarming_ondergrens,AB55)),0)</f>
        <v>0</v>
      </c>
      <c r="AC62" s="260">
        <f t="shared" si="73"/>
        <v>0</v>
      </c>
      <c r="AD62" s="260">
        <f t="shared" si="73"/>
        <v>0</v>
      </c>
      <c r="AE62" s="260">
        <f t="shared" si="73"/>
        <v>0</v>
      </c>
      <c r="AF62" s="260">
        <f t="shared" si="73"/>
        <v>0</v>
      </c>
      <c r="AG62" s="260">
        <f t="shared" si="73"/>
        <v>0</v>
      </c>
      <c r="AH62" s="260">
        <f t="shared" si="73"/>
        <v>0</v>
      </c>
      <c r="AI62" s="260">
        <f t="shared" si="73"/>
        <v>0</v>
      </c>
      <c r="AJ62" s="126"/>
      <c r="AK62" s="261">
        <f>SUMPRODUCT(AL$22:AV$22,AL$29:AV$29,AL62:AV62)/1000</f>
        <v>0</v>
      </c>
      <c r="AL62" s="259"/>
      <c r="AM62" s="260">
        <f t="shared" ref="AM62:AU62" si="74">IFERROR(IF(OR(AM$17="",AM$38="",AM$40=""),0,MAX(warmtebehoefte_verwarming_ondergrens,AM55)),0)</f>
        <v>0</v>
      </c>
      <c r="AN62" s="260">
        <f t="shared" si="74"/>
        <v>0</v>
      </c>
      <c r="AO62" s="260">
        <f t="shared" si="74"/>
        <v>0</v>
      </c>
      <c r="AP62" s="260">
        <f t="shared" si="74"/>
        <v>0</v>
      </c>
      <c r="AQ62" s="260">
        <f t="shared" si="74"/>
        <v>0</v>
      </c>
      <c r="AR62" s="260">
        <f t="shared" si="74"/>
        <v>0</v>
      </c>
      <c r="AS62" s="260">
        <f t="shared" si="74"/>
        <v>0</v>
      </c>
      <c r="AT62" s="260">
        <f t="shared" si="74"/>
        <v>0</v>
      </c>
      <c r="AU62" s="260">
        <f t="shared" si="74"/>
        <v>0</v>
      </c>
      <c r="AV62" s="126"/>
      <c r="AW62" s="261">
        <f>SUMPRODUCT(AX$22:BH$22,AX$29:BH$29,AX62:BH62)/1000</f>
        <v>0</v>
      </c>
      <c r="AX62" s="259"/>
      <c r="AY62" s="260">
        <f t="shared" ref="AY62:BG62" si="75">IFERROR(IF(OR(AY$17="",AY$38="",AY$40=""),0,MAX(warmtebehoefte_verwarming_ondergrens,AY55)),0)</f>
        <v>0</v>
      </c>
      <c r="AZ62" s="260">
        <f t="shared" si="75"/>
        <v>0</v>
      </c>
      <c r="BA62" s="260">
        <f t="shared" si="75"/>
        <v>0</v>
      </c>
      <c r="BB62" s="260">
        <f t="shared" si="75"/>
        <v>0</v>
      </c>
      <c r="BC62" s="260">
        <f t="shared" si="75"/>
        <v>0</v>
      </c>
      <c r="BD62" s="260">
        <f t="shared" si="75"/>
        <v>0</v>
      </c>
      <c r="BE62" s="260">
        <f t="shared" si="75"/>
        <v>0</v>
      </c>
      <c r="BF62" s="260">
        <f t="shared" si="75"/>
        <v>0</v>
      </c>
      <c r="BG62" s="260">
        <f t="shared" si="75"/>
        <v>0</v>
      </c>
      <c r="BH62" s="210"/>
    </row>
    <row r="63" spans="1:60" s="671" customFormat="1" ht="25.5" hidden="1">
      <c r="A63" s="1045"/>
      <c r="B63" s="1109" t="s">
        <v>147</v>
      </c>
      <c r="C63" s="1106" t="s">
        <v>262</v>
      </c>
      <c r="D63" s="946"/>
      <c r="E63" s="947" t="s">
        <v>1152</v>
      </c>
      <c r="F63" s="948"/>
      <c r="G63" s="949" t="s">
        <v>804</v>
      </c>
      <c r="H63" s="950" t="s">
        <v>65</v>
      </c>
      <c r="I63" s="951"/>
      <c r="J63" s="952"/>
      <c r="K63" s="953"/>
      <c r="L63" s="953"/>
      <c r="M63" s="952"/>
      <c r="N63" s="954" t="s">
        <v>84</v>
      </c>
      <c r="O63" s="934" t="e">
        <f t="shared" ref="O63:W63" si="76">$F$6
&amp;INDEX(gebruiksfuncties_fitcurve_NTA8800,MATCH(O$19,gebruiksfuncties_namen,0))
&amp;INDEX(ventilatiesystemen_code,MATCH(O$40,ventilatiesystemen_namen,0))
&amp;O$49
&amp;$G63</f>
        <v>#N/A</v>
      </c>
      <c r="P63" s="934" t="e">
        <f t="shared" si="76"/>
        <v>#N/A</v>
      </c>
      <c r="Q63" s="934" t="e">
        <f t="shared" si="76"/>
        <v>#N/A</v>
      </c>
      <c r="R63" s="934" t="e">
        <f t="shared" si="76"/>
        <v>#N/A</v>
      </c>
      <c r="S63" s="934" t="e">
        <f t="shared" si="76"/>
        <v>#N/A</v>
      </c>
      <c r="T63" s="934" t="e">
        <f t="shared" si="76"/>
        <v>#N/A</v>
      </c>
      <c r="U63" s="934" t="e">
        <f t="shared" si="76"/>
        <v>#N/A</v>
      </c>
      <c r="V63" s="934" t="e">
        <f t="shared" si="76"/>
        <v>#N/A</v>
      </c>
      <c r="W63" s="934" t="e">
        <f t="shared" si="76"/>
        <v>#N/A</v>
      </c>
      <c r="X63" s="953"/>
      <c r="Y63" s="952"/>
      <c r="Z63" s="954" t="s">
        <v>84</v>
      </c>
      <c r="AA63" s="934" t="e">
        <f t="shared" ref="AA63:AI63" si="77">$F$6
&amp;INDEX(gebruiksfuncties_fitcurve_NTA8800,MATCH(AA$19,gebruiksfuncties_namen,0))
&amp;INDEX(ventilatiesystemen_code,MATCH(AA$40,ventilatiesystemen_namen,0))
&amp;AA$49
&amp;$G63</f>
        <v>#N/A</v>
      </c>
      <c r="AB63" s="934" t="e">
        <f t="shared" si="77"/>
        <v>#N/A</v>
      </c>
      <c r="AC63" s="934" t="e">
        <f t="shared" si="77"/>
        <v>#N/A</v>
      </c>
      <c r="AD63" s="934" t="e">
        <f t="shared" si="77"/>
        <v>#N/A</v>
      </c>
      <c r="AE63" s="934" t="e">
        <f t="shared" si="77"/>
        <v>#N/A</v>
      </c>
      <c r="AF63" s="934" t="e">
        <f t="shared" si="77"/>
        <v>#N/A</v>
      </c>
      <c r="AG63" s="934" t="e">
        <f t="shared" si="77"/>
        <v>#N/A</v>
      </c>
      <c r="AH63" s="934" t="e">
        <f t="shared" si="77"/>
        <v>#N/A</v>
      </c>
      <c r="AI63" s="934" t="e">
        <f t="shared" si="77"/>
        <v>#N/A</v>
      </c>
      <c r="AJ63" s="953"/>
      <c r="AK63" s="952"/>
      <c r="AL63" s="954" t="s">
        <v>84</v>
      </c>
      <c r="AM63" s="934" t="e">
        <f t="shared" ref="AM63:AU63" si="78">$F$6
&amp;INDEX(gebruiksfuncties_fitcurve_NTA8800,MATCH(AM$19,gebruiksfuncties_namen,0))
&amp;INDEX(ventilatiesystemen_code,MATCH(AM$40,ventilatiesystemen_namen,0))
&amp;AM$49
&amp;$G63</f>
        <v>#N/A</v>
      </c>
      <c r="AN63" s="934" t="e">
        <f t="shared" si="78"/>
        <v>#N/A</v>
      </c>
      <c r="AO63" s="934" t="e">
        <f t="shared" si="78"/>
        <v>#N/A</v>
      </c>
      <c r="AP63" s="934" t="e">
        <f t="shared" si="78"/>
        <v>#N/A</v>
      </c>
      <c r="AQ63" s="934" t="e">
        <f t="shared" si="78"/>
        <v>#N/A</v>
      </c>
      <c r="AR63" s="934" t="e">
        <f t="shared" si="78"/>
        <v>#N/A</v>
      </c>
      <c r="AS63" s="934" t="e">
        <f t="shared" si="78"/>
        <v>#N/A</v>
      </c>
      <c r="AT63" s="934" t="e">
        <f t="shared" si="78"/>
        <v>#N/A</v>
      </c>
      <c r="AU63" s="934" t="e">
        <f t="shared" si="78"/>
        <v>#N/A</v>
      </c>
      <c r="AV63" s="953"/>
      <c r="AW63" s="952"/>
      <c r="AX63" s="954" t="s">
        <v>84</v>
      </c>
      <c r="AY63" s="934" t="e">
        <f t="shared" ref="AY63:BG63" si="79">$F$6
&amp;INDEX(gebruiksfuncties_fitcurve_NTA8800,MATCH(AY$19,gebruiksfuncties_namen,0))
&amp;INDEX(ventilatiesystemen_code,MATCH(AY$40,ventilatiesystemen_namen,0))
&amp;AY$49
&amp;$G63</f>
        <v>#N/A</v>
      </c>
      <c r="AZ63" s="934" t="e">
        <f t="shared" si="79"/>
        <v>#N/A</v>
      </c>
      <c r="BA63" s="934" t="e">
        <f t="shared" si="79"/>
        <v>#N/A</v>
      </c>
      <c r="BB63" s="934" t="e">
        <f t="shared" si="79"/>
        <v>#N/A</v>
      </c>
      <c r="BC63" s="934" t="e">
        <f t="shared" si="79"/>
        <v>#N/A</v>
      </c>
      <c r="BD63" s="934" t="e">
        <f t="shared" si="79"/>
        <v>#N/A</v>
      </c>
      <c r="BE63" s="934" t="e">
        <f t="shared" si="79"/>
        <v>#N/A</v>
      </c>
      <c r="BF63" s="934" t="e">
        <f t="shared" si="79"/>
        <v>#N/A</v>
      </c>
      <c r="BG63" s="934" t="e">
        <f t="shared" si="79"/>
        <v>#N/A</v>
      </c>
      <c r="BH63" s="223"/>
    </row>
    <row r="64" spans="1:60">
      <c r="A64" s="1041"/>
      <c r="B64" s="1109" t="s">
        <v>147</v>
      </c>
      <c r="C64" s="1107" t="s">
        <v>104</v>
      </c>
      <c r="D64" s="641" t="s">
        <v>45</v>
      </c>
      <c r="E64" s="295" t="str">
        <f>$P$10</f>
        <v>koeling</v>
      </c>
      <c r="F64" s="296"/>
      <c r="G64" s="296"/>
      <c r="H64" s="295" t="s">
        <v>154</v>
      </c>
      <c r="I64" s="259"/>
      <c r="J64" s="261">
        <f t="shared" si="70"/>
        <v>0</v>
      </c>
      <c r="K64" s="126"/>
      <c r="L64" s="126"/>
      <c r="M64" s="261">
        <f t="shared" si="71"/>
        <v>0</v>
      </c>
      <c r="N64" s="259"/>
      <c r="O64" s="260">
        <f>IFERROR(IF(OR(O$17="",O$38="",O$40=""),0,MAX(koudebehoefte_koeling_ondergrens,
HLOOKUP(O$63,fitcurves_NTA8800,MATCH(fit_a0,parameters_fitformule,0),FALSE)
+HLOOKUP(O$63,fitcurves_NTA8800,MATCH(fit_a1,parameters_fitformule,0),FALSE)
*(O$33*O$29)^HLOOKUP(O$63,fitcurves_NTA8800,MATCH(fit_n1,parameters_fitformule,0),FALSE)
+HLOOKUP(O$63,fitcurves_NTA8800,MATCH(fit_a2,parameters_fitformule,0),FALSE)
*O$32^HLOOKUP(O$63,fitcurves_NTA8800,MATCH(fit_n2,parameters_fitformule,0),FALSE)
+HLOOKUP(O$63,fitcurves_NTA8800,MATCH(fit_a3,parameters_fitformule,0),FALSE)
*O$54^HLOOKUP(O$63,fitcurves_NTA8800,MATCH(fit_n3,parameters_fitformule,0),FALSE)
+HLOOKUP(O$63,fitcurves_NTA8800,MATCH(fit_a4,parameters_fitformule,0),FALSE)
*O$33^HLOOKUP(O$63,fitcurves_NTA8800,MATCH(fit_n4,parameters_fitformule,0),FALSE)
)),0)</f>
        <v>0</v>
      </c>
      <c r="P64" s="260">
        <f t="shared" ref="P64:W64" si="80">IFERROR(IF(OR(P$17="",P$38="",P$40=""),0,MAX(koudebehoefte_koeling_ondergrens,
HLOOKUP(P$63,fitcurves_NTA8800,MATCH(fit_a0,parameters_fitformule,0),FALSE)
+HLOOKUP(P$63,fitcurves_NTA8800,MATCH(fit_a1,parameters_fitformule,0),FALSE)
*(P$33*P$29)^HLOOKUP(P$63,fitcurves_NTA8800,MATCH(fit_n1,parameters_fitformule,0),FALSE)
+HLOOKUP(P$63,fitcurves_NTA8800,MATCH(fit_a2,parameters_fitformule,0),FALSE)
*P$32^HLOOKUP(P$63,fitcurves_NTA8800,MATCH(fit_n2,parameters_fitformule,0),FALSE)
+HLOOKUP(P$63,fitcurves_NTA8800,MATCH(fit_a3,parameters_fitformule,0),FALSE)
*P$54^HLOOKUP(P$63,fitcurves_NTA8800,MATCH(fit_n3,parameters_fitformule,0),FALSE)
+HLOOKUP(P$63,fitcurves_NTA8800,MATCH(fit_a4,parameters_fitformule,0),FALSE)
*P$33^HLOOKUP(P$63,fitcurves_NTA8800,MATCH(fit_n4,parameters_fitformule,0),FALSE)
)),0)</f>
        <v>0</v>
      </c>
      <c r="Q64" s="260">
        <f t="shared" si="80"/>
        <v>0</v>
      </c>
      <c r="R64" s="260">
        <f t="shared" si="80"/>
        <v>0</v>
      </c>
      <c r="S64" s="260">
        <f t="shared" si="80"/>
        <v>0</v>
      </c>
      <c r="T64" s="260">
        <f t="shared" si="80"/>
        <v>0</v>
      </c>
      <c r="U64" s="260">
        <f t="shared" si="80"/>
        <v>0</v>
      </c>
      <c r="V64" s="260">
        <f t="shared" si="80"/>
        <v>0</v>
      </c>
      <c r="W64" s="260">
        <f t="shared" si="80"/>
        <v>0</v>
      </c>
      <c r="X64" s="126"/>
      <c r="Y64" s="261">
        <f t="shared" ref="Y64:Y69" si="81">SUMPRODUCT(Z$22:AJ$22,Z$29:AJ$29,Z64:AJ64)/1000</f>
        <v>0</v>
      </c>
      <c r="Z64" s="259"/>
      <c r="AA64" s="260">
        <f t="shared" ref="AA64:AI64" si="82">IFERROR(IF(OR(AA$17="",AA$38="",AA$40=""),0,MAX(koudebehoefte_koeling_ondergrens,
HLOOKUP(AA$63,fitcurves_NTA8800,MATCH(fit_a0,parameters_fitformule,0),FALSE)
+HLOOKUP(AA$63,fitcurves_NTA8800,MATCH(fit_a1,parameters_fitformule,0),FALSE)
*(AA$33*AA$29)^HLOOKUP(AA$63,fitcurves_NTA8800,MATCH(fit_n1,parameters_fitformule,0),FALSE)
+HLOOKUP(AA$63,fitcurves_NTA8800,MATCH(fit_a2,parameters_fitformule,0),FALSE)
*AA$32^HLOOKUP(AA$63,fitcurves_NTA8800,MATCH(fit_n2,parameters_fitformule,0),FALSE)
+HLOOKUP(AA$63,fitcurves_NTA8800,MATCH(fit_a3,parameters_fitformule,0),FALSE)
*AA$54^HLOOKUP(AA$63,fitcurves_NTA8800,MATCH(fit_n3,parameters_fitformule,0),FALSE)
+HLOOKUP(AA$63,fitcurves_NTA8800,MATCH(fit_a4,parameters_fitformule,0),FALSE)
*AA$33^HLOOKUP(AA$63,fitcurves_NTA8800,MATCH(fit_n4,parameters_fitformule,0),FALSE)
)),0)</f>
        <v>0</v>
      </c>
      <c r="AB64" s="260">
        <f t="shared" si="82"/>
        <v>0</v>
      </c>
      <c r="AC64" s="260">
        <f t="shared" si="82"/>
        <v>0</v>
      </c>
      <c r="AD64" s="260">
        <f t="shared" si="82"/>
        <v>0</v>
      </c>
      <c r="AE64" s="260">
        <f t="shared" si="82"/>
        <v>0</v>
      </c>
      <c r="AF64" s="260">
        <f t="shared" si="82"/>
        <v>0</v>
      </c>
      <c r="AG64" s="260">
        <f t="shared" si="82"/>
        <v>0</v>
      </c>
      <c r="AH64" s="260">
        <f t="shared" si="82"/>
        <v>0</v>
      </c>
      <c r="AI64" s="260">
        <f t="shared" si="82"/>
        <v>0</v>
      </c>
      <c r="AJ64" s="126"/>
      <c r="AK64" s="261">
        <f t="shared" ref="AK64:AK69" si="83">SUMPRODUCT(AL$22:AV$22,AL$29:AV$29,AL64:AV64)/1000</f>
        <v>0</v>
      </c>
      <c r="AL64" s="259"/>
      <c r="AM64" s="260">
        <f t="shared" ref="AM64:AU64" si="84">IFERROR(IF(OR(AM$17="",AM$38="",AM$40=""),0,MAX(koudebehoefte_koeling_ondergrens,
HLOOKUP(AM$63,fitcurves_NTA8800,MATCH(fit_a0,parameters_fitformule,0),FALSE)
+HLOOKUP(AM$63,fitcurves_NTA8800,MATCH(fit_a1,parameters_fitformule,0),FALSE)
*(AM$33*AM$29)^HLOOKUP(AM$63,fitcurves_NTA8800,MATCH(fit_n1,parameters_fitformule,0),FALSE)
+HLOOKUP(AM$63,fitcurves_NTA8800,MATCH(fit_a2,parameters_fitformule,0),FALSE)
*AM$32^HLOOKUP(AM$63,fitcurves_NTA8800,MATCH(fit_n2,parameters_fitformule,0),FALSE)
+HLOOKUP(AM$63,fitcurves_NTA8800,MATCH(fit_a3,parameters_fitformule,0),FALSE)
*AM$54^HLOOKUP(AM$63,fitcurves_NTA8800,MATCH(fit_n3,parameters_fitformule,0),FALSE)
+HLOOKUP(AM$63,fitcurves_NTA8800,MATCH(fit_a4,parameters_fitformule,0),FALSE)
*AM$33^HLOOKUP(AM$63,fitcurves_NTA8800,MATCH(fit_n4,parameters_fitformule,0),FALSE)
)),0)</f>
        <v>0</v>
      </c>
      <c r="AN64" s="260">
        <f t="shared" si="84"/>
        <v>0</v>
      </c>
      <c r="AO64" s="260">
        <f t="shared" si="84"/>
        <v>0</v>
      </c>
      <c r="AP64" s="260">
        <f t="shared" si="84"/>
        <v>0</v>
      </c>
      <c r="AQ64" s="260">
        <f t="shared" si="84"/>
        <v>0</v>
      </c>
      <c r="AR64" s="260">
        <f t="shared" si="84"/>
        <v>0</v>
      </c>
      <c r="AS64" s="260">
        <f t="shared" si="84"/>
        <v>0</v>
      </c>
      <c r="AT64" s="260">
        <f t="shared" si="84"/>
        <v>0</v>
      </c>
      <c r="AU64" s="260">
        <f t="shared" si="84"/>
        <v>0</v>
      </c>
      <c r="AV64" s="126"/>
      <c r="AW64" s="261">
        <f t="shared" ref="AW64:AW69" si="85">SUMPRODUCT(AX$22:BH$22,AX$29:BH$29,AX64:BH64)/1000</f>
        <v>0</v>
      </c>
      <c r="AX64" s="259"/>
      <c r="AY64" s="260">
        <f t="shared" ref="AY64:BG64" si="86">IFERROR(IF(OR(AY$17="",AY$38="",AY$40=""),0,MAX(koudebehoefte_koeling_ondergrens,
HLOOKUP(AY$63,fitcurves_NTA8800,MATCH(fit_a0,parameters_fitformule,0),FALSE)
+HLOOKUP(AY$63,fitcurves_NTA8800,MATCH(fit_a1,parameters_fitformule,0),FALSE)
*(AY$33*AY$29)^HLOOKUP(AY$63,fitcurves_NTA8800,MATCH(fit_n1,parameters_fitformule,0),FALSE)
+HLOOKUP(AY$63,fitcurves_NTA8800,MATCH(fit_a2,parameters_fitformule,0),FALSE)
*AY$32^HLOOKUP(AY$63,fitcurves_NTA8800,MATCH(fit_n2,parameters_fitformule,0),FALSE)
+HLOOKUP(AY$63,fitcurves_NTA8800,MATCH(fit_a3,parameters_fitformule,0),FALSE)
*AY$54^HLOOKUP(AY$63,fitcurves_NTA8800,MATCH(fit_n3,parameters_fitformule,0),FALSE)
+HLOOKUP(AY$63,fitcurves_NTA8800,MATCH(fit_a4,parameters_fitformule,0),FALSE)
*AY$33^HLOOKUP(AY$63,fitcurves_NTA8800,MATCH(fit_n4,parameters_fitformule,0),FALSE)
)),0)</f>
        <v>0</v>
      </c>
      <c r="AZ64" s="260">
        <f t="shared" si="86"/>
        <v>0</v>
      </c>
      <c r="BA64" s="260">
        <f t="shared" si="86"/>
        <v>0</v>
      </c>
      <c r="BB64" s="260">
        <f t="shared" si="86"/>
        <v>0</v>
      </c>
      <c r="BC64" s="260">
        <f t="shared" si="86"/>
        <v>0</v>
      </c>
      <c r="BD64" s="260">
        <f t="shared" si="86"/>
        <v>0</v>
      </c>
      <c r="BE64" s="260">
        <f t="shared" si="86"/>
        <v>0</v>
      </c>
      <c r="BF64" s="260">
        <f t="shared" si="86"/>
        <v>0</v>
      </c>
      <c r="BG64" s="260">
        <f t="shared" si="86"/>
        <v>0</v>
      </c>
      <c r="BH64" s="210"/>
    </row>
    <row r="65" spans="1:60">
      <c r="A65" s="1041"/>
      <c r="B65" s="1109" t="s">
        <v>147</v>
      </c>
      <c r="C65" s="1107" t="s">
        <v>104</v>
      </c>
      <c r="D65" s="641" t="s">
        <v>45</v>
      </c>
      <c r="E65" s="295" t="str">
        <f>$Q$10</f>
        <v>tapwater</v>
      </c>
      <c r="F65" s="296"/>
      <c r="G65" s="296"/>
      <c r="H65" s="295" t="s">
        <v>154</v>
      </c>
      <c r="I65" s="259"/>
      <c r="J65" s="261">
        <f t="shared" si="70"/>
        <v>0</v>
      </c>
      <c r="K65" s="126"/>
      <c r="L65" s="126"/>
      <c r="M65" s="261">
        <f t="shared" si="71"/>
        <v>0</v>
      </c>
      <c r="N65" s="259"/>
      <c r="O65" s="260">
        <f t="shared" ref="O65:W65" si="87">(1-O$43)*IF(OR(O$17="",O$29=0),0,IF($F$6=EP,1,INDEX(factor_warmtapwaterbehoefte_MWA,MATCH(O$19,gebruiksfuncties_namen_MWA_warmtapwater,0)))*
IF(OR(O$19=woning,O$19=woongebouw),IF(O$29&gt;100,1.28+0.01*O$29,MAX(1,2.28-1.28/70*(100-O$29)))*856/O$29,
INDEX(warmtapwater_specifieke_warmtebehoefte_waarden,MATCH(O$19,warmtapwater_specifieke_warmtebehoefte_gebruiksfuncties,0)))*IF($F$6=EP,1,O$44))</f>
        <v>0</v>
      </c>
      <c r="P65" s="260">
        <f t="shared" si="87"/>
        <v>0</v>
      </c>
      <c r="Q65" s="260">
        <f t="shared" si="87"/>
        <v>0</v>
      </c>
      <c r="R65" s="260">
        <f t="shared" si="87"/>
        <v>0</v>
      </c>
      <c r="S65" s="260">
        <f t="shared" si="87"/>
        <v>0</v>
      </c>
      <c r="T65" s="260">
        <f t="shared" si="87"/>
        <v>0</v>
      </c>
      <c r="U65" s="260">
        <f t="shared" si="87"/>
        <v>0</v>
      </c>
      <c r="V65" s="260">
        <f t="shared" si="87"/>
        <v>0</v>
      </c>
      <c r="W65" s="260">
        <f t="shared" si="87"/>
        <v>0</v>
      </c>
      <c r="X65" s="126"/>
      <c r="Y65" s="261">
        <f t="shared" si="81"/>
        <v>0</v>
      </c>
      <c r="Z65" s="259"/>
      <c r="AA65" s="260">
        <f t="shared" ref="AA65:AI65" si="88">(1-AA$43)*IF(OR(AA$17="",AA$29=0),0,IF($F$6=EP,1,INDEX(factor_warmtapwaterbehoefte_MWA,MATCH(AA$19,gebruiksfuncties_namen_MWA_warmtapwater,0)))*
IF(OR(AA$19=woning,AA$19=woongebouw),IF(AA$29&gt;100,1.28+0.01*AA$29,MAX(1,2.28-1.28/70*(100-AA$29)))*856/AA$29,
INDEX(warmtapwater_specifieke_warmtebehoefte_waarden,MATCH(AA$19,warmtapwater_specifieke_warmtebehoefte_gebruiksfuncties,0)))*IF($F$6=EP,1,AA$44))</f>
        <v>0</v>
      </c>
      <c r="AB65" s="260">
        <f t="shared" si="88"/>
        <v>0</v>
      </c>
      <c r="AC65" s="260">
        <f t="shared" si="88"/>
        <v>0</v>
      </c>
      <c r="AD65" s="260">
        <f t="shared" si="88"/>
        <v>0</v>
      </c>
      <c r="AE65" s="260">
        <f t="shared" si="88"/>
        <v>0</v>
      </c>
      <c r="AF65" s="260">
        <f t="shared" si="88"/>
        <v>0</v>
      </c>
      <c r="AG65" s="260">
        <f t="shared" si="88"/>
        <v>0</v>
      </c>
      <c r="AH65" s="260">
        <f t="shared" si="88"/>
        <v>0</v>
      </c>
      <c r="AI65" s="260">
        <f t="shared" si="88"/>
        <v>0</v>
      </c>
      <c r="AJ65" s="126"/>
      <c r="AK65" s="261">
        <f t="shared" si="83"/>
        <v>0</v>
      </c>
      <c r="AL65" s="259"/>
      <c r="AM65" s="260">
        <f t="shared" ref="AM65:AU65" si="89">(1-AM$43)*IF(OR(AM$17="",AM$29=0),0,IF($F$6=EP,1,INDEX(factor_warmtapwaterbehoefte_MWA,MATCH(AM$19,gebruiksfuncties_namen_MWA_warmtapwater,0)))*
IF(OR(AM$19=woning,AM$19=woongebouw),IF(AM$29&gt;100,1.28+0.01*AM$29,MAX(1,2.28-1.28/70*(100-AM$29)))*856/AM$29,
INDEX(warmtapwater_specifieke_warmtebehoefte_waarden,MATCH(AM$19,warmtapwater_specifieke_warmtebehoefte_gebruiksfuncties,0)))*IF($F$6=EP,1,AM$44))</f>
        <v>0</v>
      </c>
      <c r="AN65" s="260">
        <f t="shared" si="89"/>
        <v>0</v>
      </c>
      <c r="AO65" s="260">
        <f t="shared" si="89"/>
        <v>0</v>
      </c>
      <c r="AP65" s="260">
        <f t="shared" si="89"/>
        <v>0</v>
      </c>
      <c r="AQ65" s="260">
        <f t="shared" si="89"/>
        <v>0</v>
      </c>
      <c r="AR65" s="260">
        <f t="shared" si="89"/>
        <v>0</v>
      </c>
      <c r="AS65" s="260">
        <f t="shared" si="89"/>
        <v>0</v>
      </c>
      <c r="AT65" s="260">
        <f t="shared" si="89"/>
        <v>0</v>
      </c>
      <c r="AU65" s="260">
        <f t="shared" si="89"/>
        <v>0</v>
      </c>
      <c r="AV65" s="126"/>
      <c r="AW65" s="261">
        <f t="shared" si="85"/>
        <v>0</v>
      </c>
      <c r="AX65" s="259"/>
      <c r="AY65" s="260">
        <f t="shared" ref="AY65:BG65" si="90">(1-AY$43)*IF(OR(AY$17="",AY$29=0),0,IF($F$6=EP,1,INDEX(factor_warmtapwaterbehoefte_MWA,MATCH(AY$19,gebruiksfuncties_namen_MWA_warmtapwater,0)))*
IF(OR(AY$19=woning,AY$19=woongebouw),IF(AY$29&gt;100,1.28+0.01*AY$29,MAX(1,2.28-1.28/70*(100-AY$29)))*856/AY$29,
INDEX(warmtapwater_specifieke_warmtebehoefte_waarden,MATCH(AY$19,warmtapwater_specifieke_warmtebehoefte_gebruiksfuncties,0)))*IF($F$6=EP,1,AY$44))</f>
        <v>0</v>
      </c>
      <c r="AZ65" s="260">
        <f t="shared" si="90"/>
        <v>0</v>
      </c>
      <c r="BA65" s="260">
        <f t="shared" si="90"/>
        <v>0</v>
      </c>
      <c r="BB65" s="260">
        <f t="shared" si="90"/>
        <v>0</v>
      </c>
      <c r="BC65" s="260">
        <f t="shared" si="90"/>
        <v>0</v>
      </c>
      <c r="BD65" s="260">
        <f t="shared" si="90"/>
        <v>0</v>
      </c>
      <c r="BE65" s="260">
        <f t="shared" si="90"/>
        <v>0</v>
      </c>
      <c r="BF65" s="260">
        <f t="shared" si="90"/>
        <v>0</v>
      </c>
      <c r="BG65" s="260">
        <f t="shared" si="90"/>
        <v>0</v>
      </c>
      <c r="BH65" s="210"/>
    </row>
    <row r="66" spans="1:60">
      <c r="A66" s="1041"/>
      <c r="B66" s="1109" t="s">
        <v>147</v>
      </c>
      <c r="C66" s="1107" t="s">
        <v>104</v>
      </c>
      <c r="D66" s="641" t="s">
        <v>45</v>
      </c>
      <c r="E66" s="295" t="str">
        <f>$R$10</f>
        <v>verlichting</v>
      </c>
      <c r="F66" s="296"/>
      <c r="G66" s="296"/>
      <c r="H66" s="295" t="s">
        <v>154</v>
      </c>
      <c r="I66" s="259"/>
      <c r="J66" s="261">
        <f t="shared" si="70"/>
        <v>0</v>
      </c>
      <c r="K66" s="126"/>
      <c r="L66" s="126"/>
      <c r="M66" s="261">
        <f t="shared" si="71"/>
        <v>0</v>
      </c>
      <c r="N66" s="259"/>
      <c r="O66" s="260">
        <f t="shared" ref="O66:W66" si="91">IF(OR(O$17="",AND(O$19&lt;&gt;woning,O$19&lt;&gt;woongebouw,O$46="")),0,
(INDEX(verlichting_parameters_a,MATCH(O$19,verlichting_parameters_gebruiksfuncties,0))+
INDEX(verlichting_parameters_b,MATCH(O$19,verlichting_parameters_gebruiksfuncties,0))*IF(O$45="",INDEX(verlichting_vermogen_forfaitair,MATCH(O$19,verlichting_parameters_gebruiksfuncties,0)),O$45))*
IF(OR(O$19=woning,O$19=woongebouw),1,INDEX(verlichtingsregeling_waarden,MATCH(O$46,verlichtingsregeling_kopregel,0))))</f>
        <v>0</v>
      </c>
      <c r="P66" s="260">
        <f t="shared" si="91"/>
        <v>0</v>
      </c>
      <c r="Q66" s="260">
        <f t="shared" si="91"/>
        <v>0</v>
      </c>
      <c r="R66" s="260">
        <f t="shared" si="91"/>
        <v>0</v>
      </c>
      <c r="S66" s="260">
        <f t="shared" si="91"/>
        <v>0</v>
      </c>
      <c r="T66" s="260">
        <f t="shared" si="91"/>
        <v>0</v>
      </c>
      <c r="U66" s="260">
        <f t="shared" si="91"/>
        <v>0</v>
      </c>
      <c r="V66" s="260">
        <f t="shared" si="91"/>
        <v>0</v>
      </c>
      <c r="W66" s="260">
        <f t="shared" si="91"/>
        <v>0</v>
      </c>
      <c r="X66" s="126"/>
      <c r="Y66" s="261">
        <f t="shared" si="81"/>
        <v>0</v>
      </c>
      <c r="Z66" s="259"/>
      <c r="AA66" s="260">
        <f t="shared" ref="AA66:AI66" si="92">IF(OR(AA$17="",AND(AA$19&lt;&gt;woning,AA$19&lt;&gt;woongebouw,AA$46="")),0,
(INDEX(verlichting_parameters_a,MATCH(AA$19,verlichting_parameters_gebruiksfuncties,0))+
INDEX(verlichting_parameters_b,MATCH(AA$19,verlichting_parameters_gebruiksfuncties,0))*IF(AA$45="",INDEX(verlichting_vermogen_forfaitair,MATCH(AA$19,verlichting_parameters_gebruiksfuncties,0)),AA$45))*
IF(OR(AA$19=woning,AA$19=woongebouw),1,INDEX(verlichtingsregeling_waarden,MATCH(AA$46,verlichtingsregeling_kopregel,0))))</f>
        <v>0</v>
      </c>
      <c r="AB66" s="260">
        <f t="shared" si="92"/>
        <v>0</v>
      </c>
      <c r="AC66" s="260">
        <f t="shared" si="92"/>
        <v>0</v>
      </c>
      <c r="AD66" s="260">
        <f t="shared" si="92"/>
        <v>0</v>
      </c>
      <c r="AE66" s="260">
        <f t="shared" si="92"/>
        <v>0</v>
      </c>
      <c r="AF66" s="260">
        <f t="shared" si="92"/>
        <v>0</v>
      </c>
      <c r="AG66" s="260">
        <f t="shared" si="92"/>
        <v>0</v>
      </c>
      <c r="AH66" s="260">
        <f t="shared" si="92"/>
        <v>0</v>
      </c>
      <c r="AI66" s="260">
        <f t="shared" si="92"/>
        <v>0</v>
      </c>
      <c r="AJ66" s="126"/>
      <c r="AK66" s="261">
        <f t="shared" si="83"/>
        <v>0</v>
      </c>
      <c r="AL66" s="259"/>
      <c r="AM66" s="260">
        <f t="shared" ref="AM66:AU66" si="93">IF(OR(AM$17="",AND(AM$19&lt;&gt;woning,AM$19&lt;&gt;woongebouw,AM$46="")),0,
(INDEX(verlichting_parameters_a,MATCH(AM$19,verlichting_parameters_gebruiksfuncties,0))+
INDEX(verlichting_parameters_b,MATCH(AM$19,verlichting_parameters_gebruiksfuncties,0))*IF(AM$45="",INDEX(verlichting_vermogen_forfaitair,MATCH(AM$19,verlichting_parameters_gebruiksfuncties,0)),AM$45))*
IF(OR(AM$19=woning,AM$19=woongebouw),1,INDEX(verlichtingsregeling_waarden,MATCH(AM$46,verlichtingsregeling_kopregel,0))))</f>
        <v>0</v>
      </c>
      <c r="AN66" s="260">
        <f t="shared" si="93"/>
        <v>0</v>
      </c>
      <c r="AO66" s="260">
        <f t="shared" si="93"/>
        <v>0</v>
      </c>
      <c r="AP66" s="260">
        <f t="shared" si="93"/>
        <v>0</v>
      </c>
      <c r="AQ66" s="260">
        <f t="shared" si="93"/>
        <v>0</v>
      </c>
      <c r="AR66" s="260">
        <f t="shared" si="93"/>
        <v>0</v>
      </c>
      <c r="AS66" s="260">
        <f t="shared" si="93"/>
        <v>0</v>
      </c>
      <c r="AT66" s="260">
        <f t="shared" si="93"/>
        <v>0</v>
      </c>
      <c r="AU66" s="260">
        <f t="shared" si="93"/>
        <v>0</v>
      </c>
      <c r="AV66" s="126"/>
      <c r="AW66" s="261">
        <f t="shared" si="85"/>
        <v>0</v>
      </c>
      <c r="AX66" s="259"/>
      <c r="AY66" s="260">
        <f t="shared" ref="AY66:BG66" si="94">IF(OR(AY$17="",AND(AY$19&lt;&gt;woning,AY$19&lt;&gt;woongebouw,AY$46="")),0,
(INDEX(verlichting_parameters_a,MATCH(AY$19,verlichting_parameters_gebruiksfuncties,0))+
INDEX(verlichting_parameters_b,MATCH(AY$19,verlichting_parameters_gebruiksfuncties,0))*IF(AY$45="",INDEX(verlichting_vermogen_forfaitair,MATCH(AY$19,verlichting_parameters_gebruiksfuncties,0)),AY$45))*
IF(OR(AY$19=woning,AY$19=woongebouw),1,INDEX(verlichtingsregeling_waarden,MATCH(AY$46,verlichtingsregeling_kopregel,0))))</f>
        <v>0</v>
      </c>
      <c r="AZ66" s="260">
        <f t="shared" si="94"/>
        <v>0</v>
      </c>
      <c r="BA66" s="260">
        <f t="shared" si="94"/>
        <v>0</v>
      </c>
      <c r="BB66" s="260">
        <f t="shared" si="94"/>
        <v>0</v>
      </c>
      <c r="BC66" s="260">
        <f t="shared" si="94"/>
        <v>0</v>
      </c>
      <c r="BD66" s="260">
        <f t="shared" si="94"/>
        <v>0</v>
      </c>
      <c r="BE66" s="260">
        <f t="shared" si="94"/>
        <v>0</v>
      </c>
      <c r="BF66" s="260">
        <f t="shared" si="94"/>
        <v>0</v>
      </c>
      <c r="BG66" s="260">
        <f t="shared" si="94"/>
        <v>0</v>
      </c>
      <c r="BH66" s="210"/>
    </row>
    <row r="67" spans="1:60">
      <c r="A67" s="1041"/>
      <c r="B67" s="1109" t="s">
        <v>147</v>
      </c>
      <c r="C67" s="1107" t="s">
        <v>104</v>
      </c>
      <c r="D67" s="641" t="s">
        <v>45</v>
      </c>
      <c r="E67" s="295" t="str">
        <f>$S$10</f>
        <v>ventilatoren</v>
      </c>
      <c r="F67" s="296"/>
      <c r="G67" s="296"/>
      <c r="H67" s="295" t="s">
        <v>154</v>
      </c>
      <c r="I67" s="259"/>
      <c r="J67" s="261">
        <f t="shared" si="70"/>
        <v>0</v>
      </c>
      <c r="K67" s="126"/>
      <c r="L67" s="126"/>
      <c r="M67" s="261">
        <f t="shared" si="71"/>
        <v>0</v>
      </c>
      <c r="N67" s="259"/>
      <c r="O67" s="260">
        <f t="shared" ref="O67:W67" si="95">IFERROR(IF(OR(O$17="",O$40=""),0,
IF(LEFT(INDEX(ventilatiesystemen_code,MATCH(O$40,ventilatiesystemen_namen,0)),1)="A",0,
IF(LEFT(INDEX(ventilatiesystemen_code,MATCH(O$40,ventilatiesystemen_namen,0)),1)="C",VLOOKUP(O$41,ventilatorenergie_ventilatiesysteem_B_C,MATCH(O$19,ventilatorenergie_ventilatiesysteem_B_C_kopregel,0),FALSE),
VLOOKUP(O$41,ventilatorenergie_ventilatiesysteem_D,MATCH(O$19,ventilatorenergie_ventilatiesysteem_D_kopregel,0),FALSE)  ))),0)</f>
        <v>0</v>
      </c>
      <c r="P67" s="260">
        <f t="shared" si="95"/>
        <v>0</v>
      </c>
      <c r="Q67" s="260">
        <f t="shared" si="95"/>
        <v>0</v>
      </c>
      <c r="R67" s="260">
        <f t="shared" si="95"/>
        <v>0</v>
      </c>
      <c r="S67" s="260">
        <f t="shared" si="95"/>
        <v>0</v>
      </c>
      <c r="T67" s="260">
        <f t="shared" si="95"/>
        <v>0</v>
      </c>
      <c r="U67" s="260">
        <f t="shared" si="95"/>
        <v>0</v>
      </c>
      <c r="V67" s="260">
        <f t="shared" si="95"/>
        <v>0</v>
      </c>
      <c r="W67" s="260">
        <f t="shared" si="95"/>
        <v>0</v>
      </c>
      <c r="X67" s="126"/>
      <c r="Y67" s="261">
        <f t="shared" si="81"/>
        <v>0</v>
      </c>
      <c r="Z67" s="259"/>
      <c r="AA67" s="260">
        <f t="shared" ref="AA67:AI67" si="96">IFERROR(IF(OR(AA$17="",AA$40=""),0,
IF(LEFT(INDEX(ventilatiesystemen_code,MATCH(AA$40,ventilatiesystemen_namen,0)),1)="A",0,
IF(LEFT(INDEX(ventilatiesystemen_code,MATCH(AA$40,ventilatiesystemen_namen,0)),1)="C",VLOOKUP(AA$41,ventilatorenergie_ventilatiesysteem_B_C,MATCH(AA$19,ventilatorenergie_ventilatiesysteem_B_C_kopregel,0),FALSE),
VLOOKUP(AA$41,ventilatorenergie_ventilatiesysteem_D,MATCH(AA$19,ventilatorenergie_ventilatiesysteem_D_kopregel,0),FALSE)  ))),0)</f>
        <v>0</v>
      </c>
      <c r="AB67" s="260">
        <f t="shared" si="96"/>
        <v>0</v>
      </c>
      <c r="AC67" s="260">
        <f t="shared" si="96"/>
        <v>0</v>
      </c>
      <c r="AD67" s="260">
        <f t="shared" si="96"/>
        <v>0</v>
      </c>
      <c r="AE67" s="260">
        <f t="shared" si="96"/>
        <v>0</v>
      </c>
      <c r="AF67" s="260">
        <f t="shared" si="96"/>
        <v>0</v>
      </c>
      <c r="AG67" s="260">
        <f t="shared" si="96"/>
        <v>0</v>
      </c>
      <c r="AH67" s="260">
        <f t="shared" si="96"/>
        <v>0</v>
      </c>
      <c r="AI67" s="260">
        <f t="shared" si="96"/>
        <v>0</v>
      </c>
      <c r="AJ67" s="126"/>
      <c r="AK67" s="261">
        <f t="shared" si="83"/>
        <v>0</v>
      </c>
      <c r="AL67" s="259"/>
      <c r="AM67" s="260">
        <f t="shared" ref="AM67:AU67" si="97">IFERROR(IF(OR(AM$17="",AM$40=""),0,
IF(LEFT(INDEX(ventilatiesystemen_code,MATCH(AM$40,ventilatiesystemen_namen,0)),1)="A",0,
IF(LEFT(INDEX(ventilatiesystemen_code,MATCH(AM$40,ventilatiesystemen_namen,0)),1)="C",VLOOKUP(AM$41,ventilatorenergie_ventilatiesysteem_B_C,MATCH(AM$19,ventilatorenergie_ventilatiesysteem_B_C_kopregel,0),FALSE),
VLOOKUP(AM$41,ventilatorenergie_ventilatiesysteem_D,MATCH(AM$19,ventilatorenergie_ventilatiesysteem_D_kopregel,0),FALSE)  ))),0)</f>
        <v>0</v>
      </c>
      <c r="AN67" s="260">
        <f t="shared" si="97"/>
        <v>0</v>
      </c>
      <c r="AO67" s="260">
        <f t="shared" si="97"/>
        <v>0</v>
      </c>
      <c r="AP67" s="260">
        <f t="shared" si="97"/>
        <v>0</v>
      </c>
      <c r="AQ67" s="260">
        <f t="shared" si="97"/>
        <v>0</v>
      </c>
      <c r="AR67" s="260">
        <f t="shared" si="97"/>
        <v>0</v>
      </c>
      <c r="AS67" s="260">
        <f t="shared" si="97"/>
        <v>0</v>
      </c>
      <c r="AT67" s="260">
        <f t="shared" si="97"/>
        <v>0</v>
      </c>
      <c r="AU67" s="260">
        <f t="shared" si="97"/>
        <v>0</v>
      </c>
      <c r="AV67" s="126"/>
      <c r="AW67" s="261">
        <f t="shared" si="85"/>
        <v>0</v>
      </c>
      <c r="AX67" s="259"/>
      <c r="AY67" s="260">
        <f t="shared" ref="AY67:BG67" si="98">IFERROR(IF(OR(AY$17="",AY$40=""),0,
IF(LEFT(INDEX(ventilatiesystemen_code,MATCH(AY$40,ventilatiesystemen_namen,0)),1)="A",0,
IF(LEFT(INDEX(ventilatiesystemen_code,MATCH(AY$40,ventilatiesystemen_namen,0)),1)="C",VLOOKUP(AY$41,ventilatorenergie_ventilatiesysteem_B_C,MATCH(AY$19,ventilatorenergie_ventilatiesysteem_B_C_kopregel,0),FALSE),
VLOOKUP(AY$41,ventilatorenergie_ventilatiesysteem_D,MATCH(AY$19,ventilatorenergie_ventilatiesysteem_D_kopregel,0),FALSE)  ))),0)</f>
        <v>0</v>
      </c>
      <c r="AZ67" s="260">
        <f t="shared" si="98"/>
        <v>0</v>
      </c>
      <c r="BA67" s="260">
        <f t="shared" si="98"/>
        <v>0</v>
      </c>
      <c r="BB67" s="260">
        <f t="shared" si="98"/>
        <v>0</v>
      </c>
      <c r="BC67" s="260">
        <f t="shared" si="98"/>
        <v>0</v>
      </c>
      <c r="BD67" s="260">
        <f t="shared" si="98"/>
        <v>0</v>
      </c>
      <c r="BE67" s="260">
        <f t="shared" si="98"/>
        <v>0</v>
      </c>
      <c r="BF67" s="260">
        <f t="shared" si="98"/>
        <v>0</v>
      </c>
      <c r="BG67" s="260">
        <f t="shared" si="98"/>
        <v>0</v>
      </c>
      <c r="BH67" s="210"/>
    </row>
    <row r="68" spans="1:60">
      <c r="A68" s="1041"/>
      <c r="B68" s="1109" t="s">
        <v>147</v>
      </c>
      <c r="C68" s="1107" t="s">
        <v>104</v>
      </c>
      <c r="D68" s="641" t="s">
        <v>45</v>
      </c>
      <c r="E68" s="413" t="str">
        <f>$T$10</f>
        <v>kookgas</v>
      </c>
      <c r="F68" s="296"/>
      <c r="G68" s="296"/>
      <c r="H68" s="295" t="s">
        <v>154</v>
      </c>
      <c r="I68" s="259"/>
      <c r="J68" s="261">
        <f t="shared" si="70"/>
        <v>0</v>
      </c>
      <c r="K68" s="126"/>
      <c r="L68" s="126"/>
      <c r="M68" s="261">
        <f t="shared" si="71"/>
        <v>0</v>
      </c>
      <c r="N68" s="259"/>
      <c r="O68" s="260">
        <f t="shared" ref="O68:W68" si="99">IF(OR(O$17="",O$29=0,O$47=elektriciteit,AND(O$19&lt;&gt;woning,O$19&lt;&gt;woongebouw)),0,koken_gas/O$29)</f>
        <v>0</v>
      </c>
      <c r="P68" s="260">
        <f t="shared" si="99"/>
        <v>0</v>
      </c>
      <c r="Q68" s="260">
        <f t="shared" si="99"/>
        <v>0</v>
      </c>
      <c r="R68" s="260">
        <f t="shared" si="99"/>
        <v>0</v>
      </c>
      <c r="S68" s="260">
        <f t="shared" si="99"/>
        <v>0</v>
      </c>
      <c r="T68" s="260">
        <f t="shared" si="99"/>
        <v>0</v>
      </c>
      <c r="U68" s="260">
        <f t="shared" si="99"/>
        <v>0</v>
      </c>
      <c r="V68" s="260">
        <f t="shared" si="99"/>
        <v>0</v>
      </c>
      <c r="W68" s="260">
        <f t="shared" si="99"/>
        <v>0</v>
      </c>
      <c r="X68" s="126"/>
      <c r="Y68" s="261">
        <f t="shared" si="81"/>
        <v>0</v>
      </c>
      <c r="Z68" s="259"/>
      <c r="AA68" s="260">
        <f t="shared" ref="AA68:AI68" si="100">IF(OR(AA$17="",AA$29=0,AA$47=elektriciteit,AND(AA$19&lt;&gt;woning,AA$19&lt;&gt;woongebouw)),0,koken_gas/AA$29)</f>
        <v>0</v>
      </c>
      <c r="AB68" s="260">
        <f t="shared" si="100"/>
        <v>0</v>
      </c>
      <c r="AC68" s="260">
        <f t="shared" si="100"/>
        <v>0</v>
      </c>
      <c r="AD68" s="260">
        <f t="shared" si="100"/>
        <v>0</v>
      </c>
      <c r="AE68" s="260">
        <f t="shared" si="100"/>
        <v>0</v>
      </c>
      <c r="AF68" s="260">
        <f t="shared" si="100"/>
        <v>0</v>
      </c>
      <c r="AG68" s="260">
        <f t="shared" si="100"/>
        <v>0</v>
      </c>
      <c r="AH68" s="260">
        <f t="shared" si="100"/>
        <v>0</v>
      </c>
      <c r="AI68" s="260">
        <f t="shared" si="100"/>
        <v>0</v>
      </c>
      <c r="AJ68" s="126"/>
      <c r="AK68" s="261">
        <f t="shared" si="83"/>
        <v>0</v>
      </c>
      <c r="AL68" s="259"/>
      <c r="AM68" s="260">
        <f t="shared" ref="AM68:AU68" si="101">IF(OR(AM$17="",AM$29=0,AM$47=elektriciteit,AND(AM$19&lt;&gt;woning,AM$19&lt;&gt;woongebouw)),0,koken_gas/AM$29)</f>
        <v>0</v>
      </c>
      <c r="AN68" s="260">
        <f t="shared" si="101"/>
        <v>0</v>
      </c>
      <c r="AO68" s="260">
        <f t="shared" si="101"/>
        <v>0</v>
      </c>
      <c r="AP68" s="260">
        <f t="shared" si="101"/>
        <v>0</v>
      </c>
      <c r="AQ68" s="260">
        <f t="shared" si="101"/>
        <v>0</v>
      </c>
      <c r="AR68" s="260">
        <f t="shared" si="101"/>
        <v>0</v>
      </c>
      <c r="AS68" s="260">
        <f t="shared" si="101"/>
        <v>0</v>
      </c>
      <c r="AT68" s="260">
        <f t="shared" si="101"/>
        <v>0</v>
      </c>
      <c r="AU68" s="260">
        <f t="shared" si="101"/>
        <v>0</v>
      </c>
      <c r="AV68" s="126"/>
      <c r="AW68" s="261">
        <f t="shared" si="85"/>
        <v>0</v>
      </c>
      <c r="AX68" s="259"/>
      <c r="AY68" s="260">
        <f t="shared" ref="AY68:BG68" si="102">IF(OR(AY$17="",AY$29=0,AY$47=elektriciteit,AND(AY$19&lt;&gt;woning,AY$19&lt;&gt;woongebouw)),0,koken_gas/AY$29)</f>
        <v>0</v>
      </c>
      <c r="AZ68" s="260">
        <f t="shared" si="102"/>
        <v>0</v>
      </c>
      <c r="BA68" s="260">
        <f t="shared" si="102"/>
        <v>0</v>
      </c>
      <c r="BB68" s="260">
        <f t="shared" si="102"/>
        <v>0</v>
      </c>
      <c r="BC68" s="260">
        <f t="shared" si="102"/>
        <v>0</v>
      </c>
      <c r="BD68" s="260">
        <f t="shared" si="102"/>
        <v>0</v>
      </c>
      <c r="BE68" s="260">
        <f t="shared" si="102"/>
        <v>0</v>
      </c>
      <c r="BF68" s="260">
        <f t="shared" si="102"/>
        <v>0</v>
      </c>
      <c r="BG68" s="260">
        <f t="shared" si="102"/>
        <v>0</v>
      </c>
      <c r="BH68" s="210"/>
    </row>
    <row r="69" spans="1:60">
      <c r="A69" s="1041"/>
      <c r="B69" s="1109" t="s">
        <v>147</v>
      </c>
      <c r="C69" s="1107" t="s">
        <v>104</v>
      </c>
      <c r="D69" s="641" t="s">
        <v>45</v>
      </c>
      <c r="E69" s="295" t="str">
        <f>$U$10</f>
        <v>overig elektra</v>
      </c>
      <c r="F69" s="296"/>
      <c r="G69" s="296"/>
      <c r="H69" s="295" t="s">
        <v>154</v>
      </c>
      <c r="I69" s="259"/>
      <c r="J69" s="261">
        <f t="shared" si="70"/>
        <v>0</v>
      </c>
      <c r="K69" s="126"/>
      <c r="L69" s="126"/>
      <c r="M69" s="261">
        <f t="shared" si="71"/>
        <v>0</v>
      </c>
      <c r="N69" s="259"/>
      <c r="O69" s="260">
        <f t="shared" ref="O69:W69" si="103">IF(O$17="",0,
IF(OR(O$19=woning,O$19=woongebouw),(1-O$48)*niet_gebouwgebonden_elektriciteitgebruik_woningen_per_m2+IF(O$47=elektriciteit,koken_elektriciteit/O$29,0),
(1-O$48)*INDEX(specifiek_niet_gebouwgebonden_elektriciteitsgebruik_waarden,MATCH(O$19,specifiek_niet_gebouwgebonden_elektriciteitsgebruik_gebruiksfuncties,0))))</f>
        <v>0</v>
      </c>
      <c r="P69" s="260">
        <f t="shared" si="103"/>
        <v>0</v>
      </c>
      <c r="Q69" s="260">
        <f t="shared" si="103"/>
        <v>0</v>
      </c>
      <c r="R69" s="260">
        <f t="shared" si="103"/>
        <v>0</v>
      </c>
      <c r="S69" s="260">
        <f t="shared" si="103"/>
        <v>0</v>
      </c>
      <c r="T69" s="260">
        <f t="shared" si="103"/>
        <v>0</v>
      </c>
      <c r="U69" s="260">
        <f t="shared" si="103"/>
        <v>0</v>
      </c>
      <c r="V69" s="260">
        <f t="shared" si="103"/>
        <v>0</v>
      </c>
      <c r="W69" s="260">
        <f t="shared" si="103"/>
        <v>0</v>
      </c>
      <c r="X69" s="126"/>
      <c r="Y69" s="261">
        <f t="shared" si="81"/>
        <v>0</v>
      </c>
      <c r="Z69" s="259"/>
      <c r="AA69" s="260">
        <f t="shared" ref="AA69:AI69" si="104">IF(AA$17="",0,
IF(OR(AA$19=woning,AA$19=woongebouw),(1-AA$48)*niet_gebouwgebonden_elektriciteitgebruik_woningen_per_m2+IF(AA$47=elektriciteit,koken_elektriciteit/AA$29,0),
(1-AA$48)*INDEX(specifiek_niet_gebouwgebonden_elektriciteitsgebruik_waarden,MATCH(AA$19,specifiek_niet_gebouwgebonden_elektriciteitsgebruik_gebruiksfuncties,0))))</f>
        <v>0</v>
      </c>
      <c r="AB69" s="260">
        <f t="shared" si="104"/>
        <v>0</v>
      </c>
      <c r="AC69" s="260">
        <f t="shared" si="104"/>
        <v>0</v>
      </c>
      <c r="AD69" s="260">
        <f t="shared" si="104"/>
        <v>0</v>
      </c>
      <c r="AE69" s="260">
        <f t="shared" si="104"/>
        <v>0</v>
      </c>
      <c r="AF69" s="260">
        <f t="shared" si="104"/>
        <v>0</v>
      </c>
      <c r="AG69" s="260">
        <f t="shared" si="104"/>
        <v>0</v>
      </c>
      <c r="AH69" s="260">
        <f t="shared" si="104"/>
        <v>0</v>
      </c>
      <c r="AI69" s="260">
        <f t="shared" si="104"/>
        <v>0</v>
      </c>
      <c r="AJ69" s="126"/>
      <c r="AK69" s="261">
        <f t="shared" si="83"/>
        <v>0</v>
      </c>
      <c r="AL69" s="259"/>
      <c r="AM69" s="260">
        <f t="shared" ref="AM69:AU69" si="105">IF(AM$17="",0,
IF(OR(AM$19=woning,AM$19=woongebouw),(1-AM$48)*niet_gebouwgebonden_elektriciteitgebruik_woningen_per_m2+IF(AM$47=elektriciteit,koken_elektriciteit/AM$29,0),
(1-AM$48)*INDEX(specifiek_niet_gebouwgebonden_elektriciteitsgebruik_waarden,MATCH(AM$19,specifiek_niet_gebouwgebonden_elektriciteitsgebruik_gebruiksfuncties,0))))</f>
        <v>0</v>
      </c>
      <c r="AN69" s="260">
        <f t="shared" si="105"/>
        <v>0</v>
      </c>
      <c r="AO69" s="260">
        <f t="shared" si="105"/>
        <v>0</v>
      </c>
      <c r="AP69" s="260">
        <f t="shared" si="105"/>
        <v>0</v>
      </c>
      <c r="AQ69" s="260">
        <f t="shared" si="105"/>
        <v>0</v>
      </c>
      <c r="AR69" s="260">
        <f t="shared" si="105"/>
        <v>0</v>
      </c>
      <c r="AS69" s="260">
        <f t="shared" si="105"/>
        <v>0</v>
      </c>
      <c r="AT69" s="260">
        <f t="shared" si="105"/>
        <v>0</v>
      </c>
      <c r="AU69" s="260">
        <f t="shared" si="105"/>
        <v>0</v>
      </c>
      <c r="AV69" s="126"/>
      <c r="AW69" s="261">
        <f t="shared" si="85"/>
        <v>0</v>
      </c>
      <c r="AX69" s="259"/>
      <c r="AY69" s="260">
        <f t="shared" ref="AY69:BG69" si="106">IF(AY$17="",0,
IF(OR(AY$19=woning,AY$19=woongebouw),(1-AY$48)*niet_gebouwgebonden_elektriciteitgebruik_woningen_per_m2+IF(AY$47=elektriciteit,koken_elektriciteit/AY$29,0),
(1-AY$48)*INDEX(specifiek_niet_gebouwgebonden_elektriciteitsgebruik_waarden,MATCH(AY$19,specifiek_niet_gebouwgebonden_elektriciteitsgebruik_gebruiksfuncties,0))))</f>
        <v>0</v>
      </c>
      <c r="AZ69" s="260">
        <f t="shared" si="106"/>
        <v>0</v>
      </c>
      <c r="BA69" s="260">
        <f t="shared" si="106"/>
        <v>0</v>
      </c>
      <c r="BB69" s="260">
        <f t="shared" si="106"/>
        <v>0</v>
      </c>
      <c r="BC69" s="260">
        <f t="shared" si="106"/>
        <v>0</v>
      </c>
      <c r="BD69" s="260">
        <f t="shared" si="106"/>
        <v>0</v>
      </c>
      <c r="BE69" s="260">
        <f t="shared" si="106"/>
        <v>0</v>
      </c>
      <c r="BF69" s="260">
        <f t="shared" si="106"/>
        <v>0</v>
      </c>
      <c r="BG69" s="260">
        <f t="shared" si="106"/>
        <v>0</v>
      </c>
      <c r="BH69" s="210"/>
    </row>
    <row r="70" spans="1:60">
      <c r="A70" s="1041"/>
      <c r="B70" s="1109" t="s">
        <v>147</v>
      </c>
      <c r="C70" s="1106" t="s">
        <v>96</v>
      </c>
      <c r="D70" s="641"/>
      <c r="E70" s="942" t="s">
        <v>155</v>
      </c>
      <c r="F70" s="942"/>
      <c r="G70" s="942"/>
      <c r="H70" s="942"/>
      <c r="I70" s="129"/>
      <c r="J70" s="943"/>
      <c r="K70" s="126"/>
      <c r="L70" s="126"/>
      <c r="M70" s="944"/>
      <c r="N70" s="145"/>
      <c r="O70" s="258" t="str">
        <f>O$17</f>
        <v/>
      </c>
      <c r="P70" s="258" t="str">
        <f t="shared" ref="P70:W70" si="107">P$17</f>
        <v/>
      </c>
      <c r="Q70" s="258" t="str">
        <f t="shared" si="107"/>
        <v/>
      </c>
      <c r="R70" s="258" t="str">
        <f t="shared" si="107"/>
        <v/>
      </c>
      <c r="S70" s="258" t="str">
        <f t="shared" si="107"/>
        <v/>
      </c>
      <c r="T70" s="258" t="str">
        <f t="shared" si="107"/>
        <v/>
      </c>
      <c r="U70" s="258" t="str">
        <f t="shared" si="107"/>
        <v/>
      </c>
      <c r="V70" s="258" t="str">
        <f t="shared" si="107"/>
        <v/>
      </c>
      <c r="W70" s="258" t="str">
        <f t="shared" si="107"/>
        <v/>
      </c>
      <c r="X70" s="146"/>
      <c r="Y70" s="944"/>
      <c r="Z70" s="145"/>
      <c r="AA70" s="258" t="str">
        <f>AA$17</f>
        <v/>
      </c>
      <c r="AB70" s="258" t="str">
        <f t="shared" ref="AB70:AI70" si="108">AB$17</f>
        <v/>
      </c>
      <c r="AC70" s="258" t="str">
        <f t="shared" si="108"/>
        <v/>
      </c>
      <c r="AD70" s="258" t="str">
        <f t="shared" si="108"/>
        <v/>
      </c>
      <c r="AE70" s="258" t="str">
        <f t="shared" si="108"/>
        <v/>
      </c>
      <c r="AF70" s="258" t="str">
        <f t="shared" si="108"/>
        <v/>
      </c>
      <c r="AG70" s="258" t="str">
        <f t="shared" si="108"/>
        <v/>
      </c>
      <c r="AH70" s="258" t="str">
        <f t="shared" si="108"/>
        <v/>
      </c>
      <c r="AI70" s="258" t="str">
        <f t="shared" si="108"/>
        <v/>
      </c>
      <c r="AJ70" s="146"/>
      <c r="AK70" s="944"/>
      <c r="AL70" s="145"/>
      <c r="AM70" s="258" t="str">
        <f>AM$17</f>
        <v/>
      </c>
      <c r="AN70" s="258" t="str">
        <f t="shared" ref="AN70:AU70" si="109">AN$17</f>
        <v/>
      </c>
      <c r="AO70" s="258" t="str">
        <f t="shared" si="109"/>
        <v/>
      </c>
      <c r="AP70" s="258" t="str">
        <f t="shared" si="109"/>
        <v/>
      </c>
      <c r="AQ70" s="258" t="str">
        <f t="shared" si="109"/>
        <v/>
      </c>
      <c r="AR70" s="258" t="str">
        <f t="shared" si="109"/>
        <v/>
      </c>
      <c r="AS70" s="258" t="str">
        <f t="shared" si="109"/>
        <v/>
      </c>
      <c r="AT70" s="258" t="str">
        <f t="shared" si="109"/>
        <v/>
      </c>
      <c r="AU70" s="258" t="str">
        <f t="shared" si="109"/>
        <v/>
      </c>
      <c r="AV70" s="146"/>
      <c r="AW70" s="944"/>
      <c r="AX70" s="145"/>
      <c r="AY70" s="258" t="str">
        <f>AY$17</f>
        <v/>
      </c>
      <c r="AZ70" s="258" t="str">
        <f t="shared" ref="AZ70:BG70" si="110">AZ$17</f>
        <v/>
      </c>
      <c r="BA70" s="258" t="str">
        <f t="shared" si="110"/>
        <v/>
      </c>
      <c r="BB70" s="258" t="str">
        <f t="shared" si="110"/>
        <v/>
      </c>
      <c r="BC70" s="258" t="str">
        <f t="shared" si="110"/>
        <v/>
      </c>
      <c r="BD70" s="258" t="str">
        <f t="shared" si="110"/>
        <v/>
      </c>
      <c r="BE70" s="258" t="str">
        <f t="shared" si="110"/>
        <v/>
      </c>
      <c r="BF70" s="258" t="str">
        <f t="shared" si="110"/>
        <v/>
      </c>
      <c r="BG70" s="258" t="str">
        <f t="shared" si="110"/>
        <v/>
      </c>
      <c r="BH70" s="218"/>
    </row>
    <row r="71" spans="1:60">
      <c r="A71" s="1041"/>
      <c r="B71" s="1109" t="s">
        <v>147</v>
      </c>
      <c r="C71" s="1107" t="s">
        <v>118</v>
      </c>
      <c r="D71" s="641" t="s">
        <v>45</v>
      </c>
      <c r="E71" s="295" t="str">
        <f>$V$10</f>
        <v>mobiliteit</v>
      </c>
      <c r="F71" s="296"/>
      <c r="G71" s="296"/>
      <c r="H71" s="295" t="s">
        <v>156</v>
      </c>
      <c r="I71" s="259"/>
      <c r="J71" s="261">
        <f>M71+Y71+AK71+AW71</f>
        <v>0</v>
      </c>
      <c r="K71" s="126"/>
      <c r="L71" s="126"/>
      <c r="M71" s="261">
        <f>SUMPRODUCT(N$22:X$22,N71:X71)/1000</f>
        <v>0</v>
      </c>
      <c r="N71" s="259"/>
      <c r="O71" s="381"/>
      <c r="P71" s="381"/>
      <c r="Q71" s="381"/>
      <c r="R71" s="381"/>
      <c r="S71" s="381"/>
      <c r="T71" s="381"/>
      <c r="U71" s="381"/>
      <c r="V71" s="381"/>
      <c r="W71" s="381"/>
      <c r="X71" s="126"/>
      <c r="Y71" s="261">
        <f>SUMPRODUCT(Z$22:AJ$22,Z71:AJ71)/1000</f>
        <v>0</v>
      </c>
      <c r="Z71" s="259"/>
      <c r="AA71" s="381"/>
      <c r="AB71" s="381"/>
      <c r="AC71" s="381"/>
      <c r="AD71" s="381"/>
      <c r="AE71" s="381"/>
      <c r="AF71" s="381"/>
      <c r="AG71" s="381"/>
      <c r="AH71" s="381"/>
      <c r="AI71" s="381"/>
      <c r="AJ71" s="126"/>
      <c r="AK71" s="261">
        <f>SUMPRODUCT(AL$22:AV$22,AL71:AV71)/1000</f>
        <v>0</v>
      </c>
      <c r="AL71" s="259"/>
      <c r="AM71" s="381"/>
      <c r="AN71" s="381"/>
      <c r="AO71" s="381"/>
      <c r="AP71" s="381"/>
      <c r="AQ71" s="381"/>
      <c r="AR71" s="381"/>
      <c r="AS71" s="381"/>
      <c r="AT71" s="381"/>
      <c r="AU71" s="381"/>
      <c r="AV71" s="126"/>
      <c r="AW71" s="261">
        <f>SUMPRODUCT(AX$22:BH$22,AX71:BH71)/1000</f>
        <v>0</v>
      </c>
      <c r="AX71" s="259"/>
      <c r="AY71" s="381"/>
      <c r="AZ71" s="381"/>
      <c r="BA71" s="381"/>
      <c r="BB71" s="381"/>
      <c r="BC71" s="381"/>
      <c r="BD71" s="381"/>
      <c r="BE71" s="381"/>
      <c r="BF71" s="381"/>
      <c r="BG71" s="381"/>
      <c r="BH71" s="210"/>
    </row>
    <row r="72" spans="1:60">
      <c r="A72" s="1040"/>
      <c r="B72" s="1109" t="s">
        <v>147</v>
      </c>
      <c r="C72" s="1106" t="s">
        <v>96</v>
      </c>
      <c r="D72" s="641"/>
      <c r="E72" s="942" t="s">
        <v>157</v>
      </c>
      <c r="F72" s="942"/>
      <c r="G72" s="942"/>
      <c r="H72" s="942"/>
      <c r="I72" s="129"/>
      <c r="J72" s="943"/>
      <c r="K72" s="126"/>
      <c r="L72" s="126"/>
      <c r="M72" s="944"/>
      <c r="N72" s="145"/>
      <c r="O72" s="258" t="str">
        <f>O$17</f>
        <v/>
      </c>
      <c r="P72" s="258" t="str">
        <f t="shared" ref="P72:W72" si="111">P$17</f>
        <v/>
      </c>
      <c r="Q72" s="258" t="str">
        <f t="shared" si="111"/>
        <v/>
      </c>
      <c r="R72" s="258" t="str">
        <f t="shared" si="111"/>
        <v/>
      </c>
      <c r="S72" s="258" t="str">
        <f t="shared" si="111"/>
        <v/>
      </c>
      <c r="T72" s="258" t="str">
        <f t="shared" si="111"/>
        <v/>
      </c>
      <c r="U72" s="258" t="str">
        <f t="shared" si="111"/>
        <v/>
      </c>
      <c r="V72" s="258" t="str">
        <f t="shared" si="111"/>
        <v/>
      </c>
      <c r="W72" s="258" t="str">
        <f t="shared" si="111"/>
        <v/>
      </c>
      <c r="X72" s="146"/>
      <c r="Y72" s="944"/>
      <c r="Z72" s="145"/>
      <c r="AA72" s="258" t="str">
        <f>AA$17</f>
        <v/>
      </c>
      <c r="AB72" s="258" t="str">
        <f t="shared" ref="AB72:AI72" si="112">AB$17</f>
        <v/>
      </c>
      <c r="AC72" s="258" t="str">
        <f t="shared" si="112"/>
        <v/>
      </c>
      <c r="AD72" s="258" t="str">
        <f t="shared" si="112"/>
        <v/>
      </c>
      <c r="AE72" s="258" t="str">
        <f t="shared" si="112"/>
        <v/>
      </c>
      <c r="AF72" s="258" t="str">
        <f t="shared" si="112"/>
        <v/>
      </c>
      <c r="AG72" s="258" t="str">
        <f t="shared" si="112"/>
        <v/>
      </c>
      <c r="AH72" s="258" t="str">
        <f t="shared" si="112"/>
        <v/>
      </c>
      <c r="AI72" s="258" t="str">
        <f t="shared" si="112"/>
        <v/>
      </c>
      <c r="AJ72" s="146"/>
      <c r="AK72" s="944"/>
      <c r="AL72" s="145"/>
      <c r="AM72" s="258" t="str">
        <f>AM$17</f>
        <v/>
      </c>
      <c r="AN72" s="258" t="str">
        <f t="shared" ref="AN72:AU72" si="113">AN$17</f>
        <v/>
      </c>
      <c r="AO72" s="258" t="str">
        <f t="shared" si="113"/>
        <v/>
      </c>
      <c r="AP72" s="258" t="str">
        <f t="shared" si="113"/>
        <v/>
      </c>
      <c r="AQ72" s="258" t="str">
        <f t="shared" si="113"/>
        <v/>
      </c>
      <c r="AR72" s="258" t="str">
        <f t="shared" si="113"/>
        <v/>
      </c>
      <c r="AS72" s="258" t="str">
        <f t="shared" si="113"/>
        <v/>
      </c>
      <c r="AT72" s="258" t="str">
        <f t="shared" si="113"/>
        <v/>
      </c>
      <c r="AU72" s="258" t="str">
        <f t="shared" si="113"/>
        <v/>
      </c>
      <c r="AV72" s="146"/>
      <c r="AW72" s="944"/>
      <c r="AX72" s="145"/>
      <c r="AY72" s="258" t="str">
        <f>AY$17</f>
        <v/>
      </c>
      <c r="AZ72" s="258" t="str">
        <f t="shared" ref="AZ72:BG72" si="114">AZ$17</f>
        <v/>
      </c>
      <c r="BA72" s="258" t="str">
        <f t="shared" si="114"/>
        <v/>
      </c>
      <c r="BB72" s="258" t="str">
        <f t="shared" si="114"/>
        <v/>
      </c>
      <c r="BC72" s="258" t="str">
        <f t="shared" si="114"/>
        <v/>
      </c>
      <c r="BD72" s="258" t="str">
        <f t="shared" si="114"/>
        <v/>
      </c>
      <c r="BE72" s="258" t="str">
        <f t="shared" si="114"/>
        <v/>
      </c>
      <c r="BF72" s="258" t="str">
        <f t="shared" si="114"/>
        <v/>
      </c>
      <c r="BG72" s="258" t="str">
        <f t="shared" si="114"/>
        <v/>
      </c>
      <c r="BH72" s="218"/>
    </row>
    <row r="73" spans="1:60">
      <c r="A73" s="1040"/>
      <c r="B73" s="1109" t="s">
        <v>147</v>
      </c>
      <c r="C73" s="1107" t="s">
        <v>118</v>
      </c>
      <c r="D73" s="641" t="s">
        <v>45</v>
      </c>
      <c r="E73" s="295" t="s">
        <v>1367</v>
      </c>
      <c r="F73" s="296"/>
      <c r="G73" s="296"/>
      <c r="H73" s="295" t="s">
        <v>156</v>
      </c>
      <c r="I73" s="259"/>
      <c r="J73" s="261">
        <f>M73+Y73+AK73+AW73</f>
        <v>0</v>
      </c>
      <c r="K73" s="126"/>
      <c r="L73" s="126"/>
      <c r="M73" s="261">
        <f>SUMPRODUCT(N$22:X$22,N73:X73)/1000</f>
        <v>0</v>
      </c>
      <c r="N73" s="259"/>
      <c r="O73" s="381"/>
      <c r="P73" s="381"/>
      <c r="Q73" s="381"/>
      <c r="R73" s="381"/>
      <c r="S73" s="381"/>
      <c r="T73" s="381"/>
      <c r="U73" s="381"/>
      <c r="V73" s="381"/>
      <c r="W73" s="381"/>
      <c r="X73" s="126"/>
      <c r="Y73" s="261">
        <f>SUMPRODUCT(Z$22:AJ$22,Z73:AJ73)/1000</f>
        <v>0</v>
      </c>
      <c r="Z73" s="259"/>
      <c r="AA73" s="381"/>
      <c r="AB73" s="381"/>
      <c r="AC73" s="381"/>
      <c r="AD73" s="381"/>
      <c r="AE73" s="381"/>
      <c r="AF73" s="381"/>
      <c r="AG73" s="381"/>
      <c r="AH73" s="381"/>
      <c r="AI73" s="381"/>
      <c r="AJ73" s="126"/>
      <c r="AK73" s="261">
        <f>SUMPRODUCT(AL$22:AV$22,AL73:AV73)/1000</f>
        <v>0</v>
      </c>
      <c r="AL73" s="259"/>
      <c r="AM73" s="381"/>
      <c r="AN73" s="381"/>
      <c r="AO73" s="381"/>
      <c r="AP73" s="381"/>
      <c r="AQ73" s="381"/>
      <c r="AR73" s="381"/>
      <c r="AS73" s="381"/>
      <c r="AT73" s="381"/>
      <c r="AU73" s="381"/>
      <c r="AV73" s="126"/>
      <c r="AW73" s="261">
        <f>SUMPRODUCT(AX$22:BH$22,AX73:BH73)/1000</f>
        <v>0</v>
      </c>
      <c r="AX73" s="259"/>
      <c r="AY73" s="381"/>
      <c r="AZ73" s="381"/>
      <c r="BA73" s="381"/>
      <c r="BB73" s="381"/>
      <c r="BC73" s="381"/>
      <c r="BD73" s="381"/>
      <c r="BE73" s="381"/>
      <c r="BF73" s="381"/>
      <c r="BG73" s="381"/>
      <c r="BH73" s="210"/>
    </row>
    <row r="74" spans="1:60">
      <c r="A74" s="1040"/>
      <c r="B74" s="1109" t="s">
        <v>147</v>
      </c>
      <c r="C74" s="1107" t="s">
        <v>118</v>
      </c>
      <c r="D74" s="638"/>
      <c r="E74" s="79"/>
      <c r="F74" s="79"/>
      <c r="G74" s="79"/>
      <c r="H74" s="85"/>
      <c r="I74" s="79"/>
      <c r="J74" s="82"/>
      <c r="K74" s="79"/>
      <c r="L74" s="79"/>
      <c r="M74" s="82"/>
      <c r="N74" s="79"/>
      <c r="O74" s="82"/>
      <c r="P74" s="82"/>
      <c r="Q74" s="105"/>
      <c r="R74" s="105"/>
      <c r="S74" s="105"/>
      <c r="T74" s="105"/>
      <c r="U74" s="105"/>
      <c r="V74" s="105"/>
      <c r="W74" s="105"/>
      <c r="X74" s="82"/>
      <c r="Y74" s="82"/>
      <c r="Z74" s="79"/>
      <c r="AA74" s="105"/>
      <c r="AB74" s="82"/>
      <c r="AC74" s="105"/>
      <c r="AD74" s="105"/>
      <c r="AE74" s="105"/>
      <c r="AF74" s="105"/>
      <c r="AG74" s="105"/>
      <c r="AH74" s="105"/>
      <c r="AI74" s="105"/>
      <c r="AJ74" s="82"/>
      <c r="AK74" s="82"/>
      <c r="AL74" s="79"/>
      <c r="AM74" s="105"/>
      <c r="AN74" s="82"/>
      <c r="AO74" s="105"/>
      <c r="AP74" s="105"/>
      <c r="AQ74" s="105"/>
      <c r="AR74" s="105"/>
      <c r="AS74" s="105"/>
      <c r="AT74" s="105"/>
      <c r="AU74" s="105"/>
      <c r="AV74" s="82"/>
      <c r="AW74" s="82"/>
      <c r="AX74" s="79"/>
      <c r="AY74" s="82"/>
      <c r="AZ74" s="82"/>
      <c r="BA74" s="82"/>
      <c r="BB74" s="82"/>
      <c r="BC74" s="82"/>
      <c r="BD74" s="82"/>
      <c r="BE74" s="82"/>
      <c r="BF74" s="82"/>
      <c r="BG74" s="82"/>
      <c r="BH74" s="1"/>
    </row>
    <row r="75" spans="1:60">
      <c r="A75" s="1040"/>
      <c r="B75" s="1109" t="s">
        <v>147</v>
      </c>
      <c r="C75" s="1107" t="s">
        <v>96</v>
      </c>
      <c r="D75" s="638"/>
      <c r="E75" s="79"/>
      <c r="F75" s="79"/>
      <c r="G75" s="79"/>
      <c r="H75" s="85"/>
      <c r="I75" s="79"/>
      <c r="J75" s="82"/>
      <c r="K75" s="79"/>
      <c r="L75" s="79"/>
      <c r="M75" s="82"/>
      <c r="N75" s="79"/>
      <c r="O75" s="105"/>
      <c r="P75" s="82"/>
      <c r="Q75" s="105"/>
      <c r="R75" s="105"/>
      <c r="S75" s="105"/>
      <c r="T75" s="105"/>
      <c r="U75" s="105"/>
      <c r="V75" s="105"/>
      <c r="W75" s="105"/>
      <c r="X75" s="82"/>
      <c r="Y75" s="82"/>
      <c r="Z75" s="79"/>
      <c r="AA75" s="105"/>
      <c r="AB75" s="82"/>
      <c r="AC75" s="105"/>
      <c r="AD75" s="105"/>
      <c r="AE75" s="105"/>
      <c r="AF75" s="105"/>
      <c r="AG75" s="105"/>
      <c r="AH75" s="105"/>
      <c r="AI75" s="105"/>
      <c r="AJ75" s="82"/>
      <c r="AK75" s="82"/>
      <c r="AL75" s="79"/>
      <c r="AM75" s="105"/>
      <c r="AN75" s="82"/>
      <c r="AO75" s="105"/>
      <c r="AP75" s="105"/>
      <c r="AQ75" s="105"/>
      <c r="AR75" s="105"/>
      <c r="AS75" s="105"/>
      <c r="AT75" s="105"/>
      <c r="AU75" s="105"/>
      <c r="AV75" s="82"/>
      <c r="AW75" s="82"/>
      <c r="AX75" s="79"/>
      <c r="AY75" s="82"/>
      <c r="AZ75" s="82"/>
      <c r="BA75" s="82"/>
      <c r="BB75" s="82"/>
      <c r="BC75" s="82"/>
      <c r="BD75" s="82"/>
      <c r="BE75" s="82"/>
      <c r="BF75" s="82"/>
      <c r="BG75" s="82"/>
      <c r="BH75" s="1"/>
    </row>
    <row r="76" spans="1:60" ht="21">
      <c r="A76" s="1040"/>
      <c r="B76" s="1109" t="s">
        <v>147</v>
      </c>
      <c r="C76" s="1106" t="s">
        <v>96</v>
      </c>
      <c r="D76" s="643"/>
      <c r="E76" s="199" t="s">
        <v>1168</v>
      </c>
      <c r="F76" s="199"/>
      <c r="G76" s="199"/>
      <c r="H76" s="199"/>
      <c r="I76" s="77"/>
      <c r="J76" s="200" t="str">
        <f>J$10</f>
        <v>alle locaties</v>
      </c>
      <c r="K76" s="126"/>
      <c r="L76" s="126"/>
      <c r="M76" s="200" t="str">
        <f>M$10</f>
        <v>locatie 1</v>
      </c>
      <c r="N76" s="182"/>
      <c r="O76" s="966" t="str">
        <f>$E76&amp;" per energiepost"</f>
        <v>energiebehoefte per energiepost</v>
      </c>
      <c r="P76" s="941"/>
      <c r="Q76" s="941"/>
      <c r="R76" s="941"/>
      <c r="S76" s="941"/>
      <c r="T76" s="941"/>
      <c r="U76" s="941"/>
      <c r="V76" s="941"/>
      <c r="W76" s="956"/>
      <c r="X76" s="174"/>
      <c r="Y76" s="176" t="str">
        <f>Y$10&amp;" MWh"</f>
        <v>locatie 2 MWh</v>
      </c>
      <c r="Z76" s="182"/>
      <c r="AA76" s="177" t="str">
        <f t="shared" ref="AA76:AI76" si="115">AA$10</f>
        <v>verwarming</v>
      </c>
      <c r="AB76" s="177" t="str">
        <f t="shared" si="115"/>
        <v>koeling</v>
      </c>
      <c r="AC76" s="177" t="str">
        <f t="shared" si="115"/>
        <v>tapwater</v>
      </c>
      <c r="AD76" s="177" t="str">
        <f t="shared" si="115"/>
        <v>verlichting</v>
      </c>
      <c r="AE76" s="177" t="str">
        <f t="shared" si="115"/>
        <v>ventilatoren</v>
      </c>
      <c r="AF76" s="177" t="str">
        <f t="shared" si="115"/>
        <v>kookgas</v>
      </c>
      <c r="AG76" s="177" t="str">
        <f t="shared" si="115"/>
        <v>overig elektra</v>
      </c>
      <c r="AH76" s="177" t="str">
        <f t="shared" si="115"/>
        <v>mobiliteit</v>
      </c>
      <c r="AI76" s="177" t="str">
        <f t="shared" si="115"/>
        <v>zonnepanelen</v>
      </c>
      <c r="AJ76" s="174"/>
      <c r="AK76" s="176" t="str">
        <f>AK$10&amp;" MWh"</f>
        <v>locatie 3 MWh</v>
      </c>
      <c r="AL76" s="182"/>
      <c r="AM76" s="177" t="str">
        <f>AM$10</f>
        <v>verwarming</v>
      </c>
      <c r="AN76" s="177" t="str">
        <f t="shared" ref="AN76:AU76" si="116">AN$10</f>
        <v>koeling</v>
      </c>
      <c r="AO76" s="177" t="str">
        <f t="shared" si="116"/>
        <v>tapwater</v>
      </c>
      <c r="AP76" s="177" t="str">
        <f t="shared" si="116"/>
        <v>verlichting</v>
      </c>
      <c r="AQ76" s="177" t="str">
        <f t="shared" si="116"/>
        <v>ventilatoren</v>
      </c>
      <c r="AR76" s="177" t="str">
        <f t="shared" si="116"/>
        <v>kookgas</v>
      </c>
      <c r="AS76" s="177" t="str">
        <f t="shared" si="116"/>
        <v>overig elektra</v>
      </c>
      <c r="AT76" s="177" t="str">
        <f t="shared" si="116"/>
        <v>mobiliteit</v>
      </c>
      <c r="AU76" s="177" t="str">
        <f t="shared" si="116"/>
        <v>zonnepanelen</v>
      </c>
      <c r="AV76" s="174"/>
      <c r="AW76" s="176" t="str">
        <f>AW$10&amp;" MWh"</f>
        <v>locatie 4 MWh</v>
      </c>
      <c r="AX76" s="182"/>
      <c r="AY76" s="177" t="str">
        <f>AY$10</f>
        <v>verwarming</v>
      </c>
      <c r="AZ76" s="177" t="str">
        <f t="shared" ref="AZ76:BG76" si="117">AZ$10</f>
        <v>koeling</v>
      </c>
      <c r="BA76" s="177" t="str">
        <f t="shared" si="117"/>
        <v>tapwater</v>
      </c>
      <c r="BB76" s="177" t="str">
        <f t="shared" si="117"/>
        <v>verlichting</v>
      </c>
      <c r="BC76" s="177" t="str">
        <f t="shared" si="117"/>
        <v>ventilatoren</v>
      </c>
      <c r="BD76" s="177" t="str">
        <f t="shared" si="117"/>
        <v>kookgas</v>
      </c>
      <c r="BE76" s="177" t="str">
        <f t="shared" si="117"/>
        <v>overig elektra</v>
      </c>
      <c r="BF76" s="177" t="str">
        <f t="shared" si="117"/>
        <v>mobiliteit</v>
      </c>
      <c r="BG76" s="177" t="str">
        <f t="shared" si="117"/>
        <v>zonnepanelen</v>
      </c>
      <c r="BH76" s="1"/>
    </row>
    <row r="77" spans="1:60">
      <c r="A77" s="1040"/>
      <c r="B77" s="1109" t="s">
        <v>147</v>
      </c>
      <c r="C77" s="1106" t="s">
        <v>96</v>
      </c>
      <c r="D77" s="641"/>
      <c r="E77" s="940" t="s">
        <v>158</v>
      </c>
      <c r="F77" s="940"/>
      <c r="G77" s="940"/>
      <c r="H77" s="940"/>
      <c r="I77" s="77"/>
      <c r="J77" s="939"/>
      <c r="K77" s="126"/>
      <c r="L77" s="126"/>
      <c r="M77" s="938"/>
      <c r="N77" s="182"/>
      <c r="O77" s="177" t="str">
        <f t="shared" ref="O77:W77" si="118">O$10</f>
        <v>verwarming</v>
      </c>
      <c r="P77" s="177" t="str">
        <f t="shared" si="118"/>
        <v>koeling</v>
      </c>
      <c r="Q77" s="177" t="str">
        <f t="shared" si="118"/>
        <v>tapwater</v>
      </c>
      <c r="R77" s="177" t="str">
        <f t="shared" si="118"/>
        <v>verlichting</v>
      </c>
      <c r="S77" s="177" t="str">
        <f t="shared" si="118"/>
        <v>ventilatoren</v>
      </c>
      <c r="T77" s="177" t="str">
        <f t="shared" si="118"/>
        <v>kookgas</v>
      </c>
      <c r="U77" s="177" t="str">
        <f t="shared" si="118"/>
        <v>overig elektra</v>
      </c>
      <c r="V77" s="177" t="str">
        <f t="shared" si="118"/>
        <v>mobiliteit</v>
      </c>
      <c r="W77" s="177" t="str">
        <f t="shared" si="118"/>
        <v>zonnepanelen</v>
      </c>
      <c r="X77" s="147"/>
      <c r="Y77" s="125"/>
      <c r="Z77" s="125"/>
      <c r="AA77" s="125"/>
      <c r="AB77" s="125"/>
      <c r="AC77" s="125"/>
      <c r="AD77" s="125"/>
      <c r="AE77" s="125"/>
      <c r="AF77" s="125"/>
      <c r="AG77" s="125"/>
      <c r="AH77" s="125"/>
      <c r="AI77" s="125"/>
      <c r="AJ77" s="147"/>
      <c r="AK77" s="125"/>
      <c r="AL77" s="125"/>
      <c r="AM77" s="125"/>
      <c r="AN77" s="125"/>
      <c r="AO77" s="125"/>
      <c r="AP77" s="125"/>
      <c r="AQ77" s="125"/>
      <c r="AR77" s="125"/>
      <c r="AS77" s="125"/>
      <c r="AT77" s="125"/>
      <c r="AU77" s="125"/>
      <c r="AV77" s="147"/>
      <c r="AW77" s="125"/>
      <c r="AX77" s="125"/>
      <c r="AY77" s="125"/>
      <c r="AZ77" s="125"/>
      <c r="BA77" s="125"/>
      <c r="BB77" s="125"/>
      <c r="BC77" s="125"/>
      <c r="BD77" s="125"/>
      <c r="BE77" s="125"/>
      <c r="BF77" s="125"/>
      <c r="BG77" s="125"/>
      <c r="BH77" s="218"/>
    </row>
    <row r="78" spans="1:60">
      <c r="A78" s="1040"/>
      <c r="B78" s="1109" t="s">
        <v>147</v>
      </c>
      <c r="C78" s="1107" t="s">
        <v>104</v>
      </c>
      <c r="D78" s="641" t="s">
        <v>45</v>
      </c>
      <c r="E78" s="295" t="s">
        <v>159</v>
      </c>
      <c r="F78" s="296"/>
      <c r="G78" s="296"/>
      <c r="H78" s="295" t="s">
        <v>160</v>
      </c>
      <c r="I78" s="259"/>
      <c r="J78" s="261">
        <f>M78+Y78+AK78+AW78</f>
        <v>0</v>
      </c>
      <c r="K78" s="126"/>
      <c r="L78" s="126"/>
      <c r="M78" s="261">
        <f>SUM(N78:X78)</f>
        <v>0</v>
      </c>
      <c r="N78" s="259"/>
      <c r="O78" s="260">
        <f>SUMPRODUCT(N22:X22,N29:X29,N62:X62)/1000</f>
        <v>0</v>
      </c>
      <c r="P78" s="260">
        <f>SUMPRODUCT(N22:X22,N29:X29,N64:X64)/1000</f>
        <v>0</v>
      </c>
      <c r="Q78" s="260">
        <f>SUMPRODUCT(N22:X22,N29:X29,N65:X65)/1000</f>
        <v>0</v>
      </c>
      <c r="R78" s="260">
        <f>SUMPRODUCT(N22:X22,N29:X29,N66:X66)/1000</f>
        <v>0</v>
      </c>
      <c r="S78" s="260">
        <f>SUMPRODUCT(N22:X22,N29:X29,N67:X67)/1000</f>
        <v>0</v>
      </c>
      <c r="T78" s="260">
        <f>SUMPRODUCT(N22:X22,N29:X29,N68:X68)/1000</f>
        <v>0</v>
      </c>
      <c r="U78" s="260">
        <f>SUMPRODUCT(N22:X22,N29:X29,N69:X69)/1000</f>
        <v>0</v>
      </c>
      <c r="V78" s="260">
        <f>SUMPRODUCT(N22:X22,N71:X71)/1000</f>
        <v>0</v>
      </c>
      <c r="W78" s="260">
        <f>-SUMPRODUCT(N22:X22,N73:X73)/1000</f>
        <v>0</v>
      </c>
      <c r="X78" s="126"/>
      <c r="Y78" s="261">
        <f>SUM(Z78:AJ78)</f>
        <v>0</v>
      </c>
      <c r="Z78" s="259"/>
      <c r="AA78" s="260">
        <f>SUMPRODUCT(Z22:AJ22,Z29:AJ29,Z62:AJ62)/1000</f>
        <v>0</v>
      </c>
      <c r="AB78" s="260">
        <f>SUMPRODUCT(Z22:AJ22,Z29:AJ29,Z64:AJ64)/1000</f>
        <v>0</v>
      </c>
      <c r="AC78" s="260">
        <f>SUMPRODUCT(Z22:AJ22,Z29:AJ29,Z65:AJ65)/1000</f>
        <v>0</v>
      </c>
      <c r="AD78" s="260">
        <f>SUMPRODUCT(Z22:AJ22,Z29:AJ29,Z66:AJ66)/1000</f>
        <v>0</v>
      </c>
      <c r="AE78" s="260">
        <f>SUMPRODUCT(Z22:AJ22,Z29:AJ29,Z67:AJ67)/1000</f>
        <v>0</v>
      </c>
      <c r="AF78" s="260">
        <f>SUMPRODUCT(Z22:AJ22,Z29:AJ29,Z68:AJ68)/1000</f>
        <v>0</v>
      </c>
      <c r="AG78" s="260">
        <f>SUMPRODUCT(Z22:AJ22,Z29:AJ29,Z69:AJ69)/1000</f>
        <v>0</v>
      </c>
      <c r="AH78" s="260">
        <f>SUMPRODUCT(Z22:AJ22,Z71:AJ71)/1000</f>
        <v>0</v>
      </c>
      <c r="AI78" s="260">
        <f>-SUMPRODUCT(Z22:AJ22,Z73:AJ73)/1000</f>
        <v>0</v>
      </c>
      <c r="AJ78" s="126"/>
      <c r="AK78" s="261">
        <f>SUM(AL78:AV78)</f>
        <v>0</v>
      </c>
      <c r="AL78" s="259"/>
      <c r="AM78" s="260">
        <f>SUMPRODUCT(AL22:AV22,AL29:AV29,AL62:AV62)/1000</f>
        <v>0</v>
      </c>
      <c r="AN78" s="260">
        <f>SUMPRODUCT(AL22:AV22,AL29:AV29,AL64:AV64)/1000</f>
        <v>0</v>
      </c>
      <c r="AO78" s="260">
        <f>SUMPRODUCT(AL22:AV22,AL29:AV29,AL65:AV65)/1000</f>
        <v>0</v>
      </c>
      <c r="AP78" s="260">
        <f>SUMPRODUCT(AL22:AV22,AL29:AV29,AL66:AV66)/1000</f>
        <v>0</v>
      </c>
      <c r="AQ78" s="260">
        <f>SUMPRODUCT(AL22:AV22,AL29:AV29,AL67:AV67)/1000</f>
        <v>0</v>
      </c>
      <c r="AR78" s="260">
        <f>SUMPRODUCT(AL22:AV22,AL29:AV29,AL68:AV68)/1000</f>
        <v>0</v>
      </c>
      <c r="AS78" s="260">
        <f>SUMPRODUCT(AL22:AV22,AL29:AV29,AL69:AV69)/1000</f>
        <v>0</v>
      </c>
      <c r="AT78" s="260">
        <f>SUMPRODUCT(AL22:AV22,AL71:AV71)/1000</f>
        <v>0</v>
      </c>
      <c r="AU78" s="260">
        <f>-SUMPRODUCT(AL22:AV22,AL73:AV73)/1000</f>
        <v>0</v>
      </c>
      <c r="AV78" s="126"/>
      <c r="AW78" s="261">
        <f>SUM(AX78:BH78)</f>
        <v>0</v>
      </c>
      <c r="AX78" s="259"/>
      <c r="AY78" s="260">
        <f>SUMPRODUCT(AX22:BH22,AX29:BH29,AX62:BH62)/1000</f>
        <v>0</v>
      </c>
      <c r="AZ78" s="260">
        <f>SUMPRODUCT(AX22:BH22,AX29:BH29,AX64:BH64)/1000</f>
        <v>0</v>
      </c>
      <c r="BA78" s="260">
        <f>SUMPRODUCT(AX22:BH22,AX29:BH29,AX65:BH65)/1000</f>
        <v>0</v>
      </c>
      <c r="BB78" s="260">
        <f>SUMPRODUCT(AX22:BH22,AX29:BH29,AX66:BH66)/1000</f>
        <v>0</v>
      </c>
      <c r="BC78" s="260">
        <f>SUMPRODUCT(AX22:BH22,AX29:BH29,AX67:BH67)/1000</f>
        <v>0</v>
      </c>
      <c r="BD78" s="260">
        <f>SUMPRODUCT(AX22:BH22,AX29:BH29,AX68:BH68)/1000</f>
        <v>0</v>
      </c>
      <c r="BE78" s="260">
        <f>SUMPRODUCT(AX22:BH22,AX29:BH29,AX69:BH69)/1000</f>
        <v>0</v>
      </c>
      <c r="BF78" s="260">
        <f>SUMPRODUCT(AX22:BH22,AX71:BH71)/1000</f>
        <v>0</v>
      </c>
      <c r="BG78" s="260">
        <f>-SUMPRODUCT(AX22:BH22,AX73:BH73)/1000</f>
        <v>0</v>
      </c>
      <c r="BH78" s="210"/>
    </row>
    <row r="79" spans="1:60">
      <c r="A79" s="1040"/>
      <c r="B79" s="1109" t="s">
        <v>147</v>
      </c>
      <c r="C79" s="1106" t="s">
        <v>96</v>
      </c>
      <c r="D79" s="638"/>
      <c r="E79" s="79"/>
      <c r="F79" s="79"/>
      <c r="G79" s="79"/>
      <c r="H79" s="85"/>
      <c r="I79" s="79"/>
      <c r="J79" s="82"/>
      <c r="K79" s="79"/>
      <c r="L79" s="79"/>
      <c r="M79" s="82"/>
      <c r="N79" s="79"/>
      <c r="O79" s="82"/>
      <c r="P79" s="82"/>
      <c r="Q79" s="82"/>
      <c r="R79" s="82"/>
      <c r="S79" s="82"/>
      <c r="T79" s="82"/>
      <c r="U79" s="82"/>
      <c r="V79" s="82"/>
      <c r="W79" s="82"/>
      <c r="X79" s="82"/>
      <c r="Y79" s="82"/>
      <c r="Z79" s="79"/>
      <c r="AA79" s="108"/>
      <c r="AB79" s="82"/>
      <c r="AC79" s="108"/>
      <c r="AD79" s="82"/>
      <c r="AE79" s="82"/>
      <c r="AF79" s="82"/>
      <c r="AG79" s="82"/>
      <c r="AH79" s="82"/>
      <c r="AI79" s="82"/>
      <c r="AJ79" s="82"/>
      <c r="AK79" s="82"/>
      <c r="AL79" s="79"/>
      <c r="AM79" s="82"/>
      <c r="AN79" s="82"/>
      <c r="AO79" s="82"/>
      <c r="AP79" s="82"/>
      <c r="AQ79" s="82"/>
      <c r="AR79" s="82"/>
      <c r="AS79" s="82"/>
      <c r="AT79" s="82"/>
      <c r="AU79" s="82"/>
      <c r="AV79" s="82"/>
      <c r="AW79" s="82"/>
      <c r="AX79" s="79"/>
      <c r="AY79" s="82"/>
      <c r="AZ79" s="82"/>
      <c r="BA79" s="82"/>
      <c r="BB79" s="82"/>
      <c r="BC79" s="82"/>
      <c r="BD79" s="82"/>
      <c r="BE79" s="82"/>
      <c r="BF79" s="82"/>
      <c r="BG79" s="82"/>
      <c r="BH79" s="1"/>
    </row>
    <row r="80" spans="1:60">
      <c r="A80" s="1040"/>
      <c r="B80" s="1109" t="s">
        <v>161</v>
      </c>
      <c r="C80" s="1107" t="s">
        <v>96</v>
      </c>
      <c r="D80" s="638"/>
      <c r="E80" s="79"/>
      <c r="F80" s="79"/>
      <c r="G80" s="79"/>
      <c r="H80" s="85"/>
      <c r="I80" s="79"/>
      <c r="J80" s="82"/>
      <c r="K80" s="79"/>
      <c r="L80" s="79"/>
      <c r="M80" s="82"/>
      <c r="N80" s="79"/>
      <c r="O80" s="82"/>
      <c r="P80" s="82"/>
      <c r="Q80" s="82"/>
      <c r="R80" s="82"/>
      <c r="S80" s="82"/>
      <c r="T80" s="82"/>
      <c r="U80" s="82"/>
      <c r="V80" s="82"/>
      <c r="W80" s="82"/>
      <c r="X80" s="82"/>
      <c r="Y80" s="82"/>
      <c r="Z80" s="79"/>
      <c r="AA80" s="108"/>
      <c r="AB80" s="108"/>
      <c r="AC80" s="82"/>
      <c r="AD80" s="82"/>
      <c r="AE80" s="82"/>
      <c r="AF80" s="82"/>
      <c r="AG80" s="82"/>
      <c r="AH80" s="82"/>
      <c r="AI80" s="82"/>
      <c r="AJ80" s="82"/>
      <c r="AK80" s="82"/>
      <c r="AL80" s="79"/>
      <c r="AM80" s="82"/>
      <c r="AN80" s="82"/>
      <c r="AO80" s="82"/>
      <c r="AP80" s="82"/>
      <c r="AQ80" s="82"/>
      <c r="AR80" s="82"/>
      <c r="AS80" s="82"/>
      <c r="AT80" s="82"/>
      <c r="AU80" s="82"/>
      <c r="AV80" s="82"/>
      <c r="AW80" s="82"/>
      <c r="AX80" s="79"/>
      <c r="AY80" s="82"/>
      <c r="AZ80" s="82"/>
      <c r="BA80" s="82"/>
      <c r="BB80" s="82"/>
      <c r="BC80" s="82"/>
      <c r="BD80" s="82"/>
      <c r="BE80" s="82"/>
      <c r="BF80" s="82"/>
      <c r="BG80" s="82"/>
      <c r="BH80" s="1"/>
    </row>
    <row r="81" spans="1:60" ht="21">
      <c r="A81" s="1040"/>
      <c r="B81" s="1109" t="s">
        <v>161</v>
      </c>
      <c r="C81" s="1106" t="s">
        <v>96</v>
      </c>
      <c r="D81" s="641" t="s">
        <v>45</v>
      </c>
      <c r="E81" s="199" t="s">
        <v>162</v>
      </c>
      <c r="F81" s="199"/>
      <c r="G81" s="199"/>
      <c r="H81" s="199"/>
      <c r="I81" s="77"/>
      <c r="J81" s="200" t="str">
        <f>J$10</f>
        <v>alle locaties</v>
      </c>
      <c r="K81" s="126"/>
      <c r="L81" s="126"/>
      <c r="M81" s="200" t="str">
        <f>M$10</f>
        <v>locatie 1</v>
      </c>
      <c r="N81" s="182"/>
      <c r="O81" s="966" t="str">
        <f>$E81&amp;" per energiepost"</f>
        <v>installatie systeem per energiepost</v>
      </c>
      <c r="P81" s="941"/>
      <c r="Q81" s="941"/>
      <c r="R81" s="941"/>
      <c r="S81" s="941"/>
      <c r="T81" s="941"/>
      <c r="U81" s="941"/>
      <c r="V81" s="941"/>
      <c r="W81" s="956"/>
      <c r="X81" s="174"/>
      <c r="Y81" s="176"/>
      <c r="Z81" s="182"/>
      <c r="AA81" s="966" t="str">
        <f>$E81&amp;" per energiepost"</f>
        <v>installatie systeem per energiepost</v>
      </c>
      <c r="AB81" s="941"/>
      <c r="AC81" s="941"/>
      <c r="AD81" s="941"/>
      <c r="AE81" s="941"/>
      <c r="AF81" s="941"/>
      <c r="AG81" s="941"/>
      <c r="AH81" s="941"/>
      <c r="AI81" s="956"/>
      <c r="AJ81" s="174"/>
      <c r="AK81" s="176"/>
      <c r="AL81" s="182"/>
      <c r="AM81" s="966" t="str">
        <f>$E81&amp;" per energiepost"</f>
        <v>installatie systeem per energiepost</v>
      </c>
      <c r="AN81" s="941"/>
      <c r="AO81" s="941"/>
      <c r="AP81" s="941"/>
      <c r="AQ81" s="941"/>
      <c r="AR81" s="941"/>
      <c r="AS81" s="941"/>
      <c r="AT81" s="941"/>
      <c r="AU81" s="956"/>
      <c r="AV81" s="174"/>
      <c r="AW81" s="176"/>
      <c r="AX81" s="182"/>
      <c r="AY81" s="966" t="str">
        <f>$E81&amp;" per energiepost"</f>
        <v>installatie systeem per energiepost</v>
      </c>
      <c r="AZ81" s="941"/>
      <c r="BA81" s="941"/>
      <c r="BB81" s="941"/>
      <c r="BC81" s="941"/>
      <c r="BD81" s="941"/>
      <c r="BE81" s="941"/>
      <c r="BF81" s="941"/>
      <c r="BG81" s="956"/>
      <c r="BH81" s="1"/>
    </row>
    <row r="82" spans="1:60">
      <c r="A82" s="1040"/>
      <c r="B82" s="1109" t="s">
        <v>161</v>
      </c>
      <c r="C82" s="1106" t="s">
        <v>96</v>
      </c>
      <c r="D82" s="641" t="s">
        <v>45</v>
      </c>
      <c r="E82" s="940" t="s">
        <v>163</v>
      </c>
      <c r="F82" s="940"/>
      <c r="G82" s="940"/>
      <c r="H82" s="940"/>
      <c r="I82" s="77"/>
      <c r="J82" s="939"/>
      <c r="K82" s="126"/>
      <c r="L82" s="126"/>
      <c r="M82" s="938"/>
      <c r="N82" s="125"/>
      <c r="O82" s="177" t="str">
        <f>O$10</f>
        <v>verwarming</v>
      </c>
      <c r="P82" s="177" t="str">
        <f>P$10</f>
        <v>koeling</v>
      </c>
      <c r="Q82" s="177" t="str">
        <f>Q$10</f>
        <v>tapwater</v>
      </c>
      <c r="R82" s="177"/>
      <c r="S82" s="177"/>
      <c r="T82" s="177"/>
      <c r="U82" s="177"/>
      <c r="V82" s="177"/>
      <c r="W82" s="177"/>
      <c r="X82" s="147"/>
      <c r="Y82" s="938"/>
      <c r="Z82" s="125"/>
      <c r="AA82" s="177" t="str">
        <f>AA$10</f>
        <v>verwarming</v>
      </c>
      <c r="AB82" s="177" t="str">
        <f>AB$10</f>
        <v>koeling</v>
      </c>
      <c r="AC82" s="177" t="str">
        <f>AC$10</f>
        <v>tapwater</v>
      </c>
      <c r="AD82" s="177"/>
      <c r="AE82" s="177"/>
      <c r="AF82" s="177"/>
      <c r="AG82" s="177"/>
      <c r="AH82" s="177"/>
      <c r="AI82" s="177"/>
      <c r="AJ82" s="147"/>
      <c r="AK82" s="938"/>
      <c r="AL82" s="125"/>
      <c r="AM82" s="177" t="str">
        <f>AM$10</f>
        <v>verwarming</v>
      </c>
      <c r="AN82" s="177" t="str">
        <f>AN$10</f>
        <v>koeling</v>
      </c>
      <c r="AO82" s="177" t="str">
        <f>AO$10</f>
        <v>tapwater</v>
      </c>
      <c r="AP82" s="177"/>
      <c r="AQ82" s="177"/>
      <c r="AR82" s="177"/>
      <c r="AS82" s="177"/>
      <c r="AT82" s="177"/>
      <c r="AU82" s="177"/>
      <c r="AV82" s="147"/>
      <c r="AW82" s="938"/>
      <c r="AX82" s="125"/>
      <c r="AY82" s="177" t="str">
        <f>AY$10</f>
        <v>verwarming</v>
      </c>
      <c r="AZ82" s="177" t="str">
        <f>AZ$10</f>
        <v>koeling</v>
      </c>
      <c r="BA82" s="177" t="str">
        <f>BA$10</f>
        <v>tapwater</v>
      </c>
      <c r="BB82" s="177"/>
      <c r="BC82" s="177"/>
      <c r="BD82" s="177"/>
      <c r="BE82" s="177"/>
      <c r="BF82" s="177"/>
      <c r="BG82" s="177"/>
      <c r="BH82" s="218"/>
    </row>
    <row r="83" spans="1:60" ht="38.25">
      <c r="A83" s="1040"/>
      <c r="B83" s="1109" t="s">
        <v>161</v>
      </c>
      <c r="C83" s="1107" t="s">
        <v>118</v>
      </c>
      <c r="D83" s="638"/>
      <c r="E83" s="150" t="s">
        <v>164</v>
      </c>
      <c r="F83" s="294"/>
      <c r="G83" s="294"/>
      <c r="H83" s="150" t="s">
        <v>65</v>
      </c>
      <c r="I83" s="155"/>
      <c r="J83" s="268" t="str">
        <f>IF(AND(M$29&gt;0,COUNTBLANK(O83:Q83)&gt;0),"kies installatie locatie 1",
IF(AND(Y$29&gt;0,COUNTBLANK(AA83:AC83)&gt;0),"kies installatie locatie 2",
IF(AND(AK$29&gt;0,COUNTBLANK(AM83:AO83)&gt;0),"kies installatie locatie 3",
IF(AND(AW$29&gt;0,COUNTBLANK(AY83:BA83)&gt;0),"kies installatie locatie 4",
"ja"))))</f>
        <v>ja</v>
      </c>
      <c r="K83" s="1056"/>
      <c r="L83" s="1056"/>
      <c r="M83" s="268" t="str" cm="1">
        <f t="array" ref="M83">IF(M78=0,"",IF(SUMPRODUCT((O78:Q78&gt;0)*1,(O83:Q83="")*1)&gt;0,"nee","ja"))</f>
        <v/>
      </c>
      <c r="N83" s="120"/>
      <c r="O83" s="859" t="s">
        <v>473</v>
      </c>
      <c r="P83" s="859" t="s">
        <v>166</v>
      </c>
      <c r="Q83" s="859" t="s">
        <v>473</v>
      </c>
      <c r="R83" s="156"/>
      <c r="S83" s="156"/>
      <c r="T83" s="156"/>
      <c r="U83" s="156"/>
      <c r="V83" s="156"/>
      <c r="W83" s="156"/>
      <c r="X83" s="147"/>
      <c r="Y83" s="268" t="str" cm="1">
        <f t="array" ref="Y83">IF(Y78=0,"",IF(SUMPRODUCT((AA78:AC78&gt;0)*1,(AA83:AC83="")*1)&gt;0,"nee","ja"))</f>
        <v/>
      </c>
      <c r="Z83" s="120"/>
      <c r="AA83" s="859" t="s">
        <v>473</v>
      </c>
      <c r="AB83" s="859" t="s">
        <v>166</v>
      </c>
      <c r="AC83" s="859" t="s">
        <v>473</v>
      </c>
      <c r="AD83" s="156"/>
      <c r="AE83" s="156"/>
      <c r="AF83" s="156"/>
      <c r="AG83" s="156"/>
      <c r="AH83" s="156"/>
      <c r="AI83" s="156"/>
      <c r="AJ83" s="147"/>
      <c r="AK83" s="268" t="str" cm="1">
        <f t="array" ref="AK83">IF(AK78=0,"",IF(SUMPRODUCT((AM78:AO78&gt;0)*1,(AM83:AO83="")*1)&gt;0,"nee","ja"))</f>
        <v/>
      </c>
      <c r="AL83" s="120"/>
      <c r="AM83" s="859" t="s">
        <v>473</v>
      </c>
      <c r="AN83" s="859" t="s">
        <v>166</v>
      </c>
      <c r="AO83" s="859" t="s">
        <v>473</v>
      </c>
      <c r="AP83" s="156"/>
      <c r="AQ83" s="156"/>
      <c r="AR83" s="156"/>
      <c r="AS83" s="156"/>
      <c r="AT83" s="156"/>
      <c r="AU83" s="156"/>
      <c r="AV83" s="147"/>
      <c r="AW83" s="268" t="str" cm="1">
        <f t="array" ref="AW83">IF(AW78=0,"",IF(SUMPRODUCT((AY78:BA78&gt;0)*1,(AY83:BA83="")*1)&gt;0,"nee","ja"))</f>
        <v/>
      </c>
      <c r="AX83" s="125"/>
      <c r="AY83" s="859" t="s">
        <v>473</v>
      </c>
      <c r="AZ83" s="859" t="s">
        <v>166</v>
      </c>
      <c r="BA83" s="859" t="s">
        <v>473</v>
      </c>
      <c r="BB83" s="156"/>
      <c r="BC83" s="156"/>
      <c r="BD83" s="156"/>
      <c r="BE83" s="156"/>
      <c r="BF83" s="156"/>
      <c r="BG83" s="156"/>
      <c r="BH83" s="218"/>
    </row>
    <row r="84" spans="1:60">
      <c r="A84" s="1040"/>
      <c r="B84" s="1109" t="s">
        <v>161</v>
      </c>
      <c r="C84" s="1107" t="s">
        <v>118</v>
      </c>
      <c r="D84" s="638"/>
      <c r="E84" s="181" t="str">
        <f>bibliotheek!$E$85</f>
        <v>geografisch niveau installatie [keuzelijst]</v>
      </c>
      <c r="F84" s="180"/>
      <c r="G84" s="180"/>
      <c r="H84" s="181" t="s">
        <v>65</v>
      </c>
      <c r="I84" s="129"/>
      <c r="J84" s="190"/>
      <c r="K84" s="107"/>
      <c r="L84" s="107"/>
      <c r="M84" s="190"/>
      <c r="N84" s="114"/>
      <c r="O84" s="285" t="str">
        <f>HLOOKUP(IF(O$83="",referentie_verwarming,O$83),toestellen_RV,ROWS(bibliotheek!$E$83:$E$85),FALSE)</f>
        <v>gebouw</v>
      </c>
      <c r="P84" s="285" t="str">
        <f>HLOOKUP(IF(P$83="",referentie_koeling,P$83),toestellen_KOEL,ROWS(bibliotheek!$E$190:$E$192),FALSE)</f>
        <v>gebouw</v>
      </c>
      <c r="Q84" s="285" t="str">
        <f>HLOOKUP(IF(Q$83="",referentie_warmtapwater,Q$83),toestellen_TAP,ROWS(bibliotheek!$E$139:$E$141),FALSE)</f>
        <v>gebouw</v>
      </c>
      <c r="R84" s="159"/>
      <c r="S84" s="159"/>
      <c r="T84" s="159"/>
      <c r="U84" s="159"/>
      <c r="V84" s="159"/>
      <c r="W84" s="159"/>
      <c r="X84" s="147"/>
      <c r="Y84" s="128"/>
      <c r="Z84" s="114"/>
      <c r="AA84" s="285" t="str">
        <f>HLOOKUP(IF(AA$83="",referentie_verwarming,AA$83),toestellen_RV,ROWS(bibliotheek!$E$83:$E$85),FALSE)</f>
        <v>gebouw</v>
      </c>
      <c r="AB84" s="285" t="str">
        <f>HLOOKUP(IF(AB$83="",referentie_koeling,AB$83),toestellen_KOEL,ROWS(bibliotheek!$E$190:$E$192),FALSE)</f>
        <v>gebouw</v>
      </c>
      <c r="AC84" s="285" t="str">
        <f>HLOOKUP(IF(AC$83="",referentie_warmtapwater,AC$83),toestellen_TAP,ROWS(bibliotheek!$E$139:$E$141),FALSE)</f>
        <v>gebouw</v>
      </c>
      <c r="AD84" s="159"/>
      <c r="AE84" s="159"/>
      <c r="AF84" s="159"/>
      <c r="AG84" s="159"/>
      <c r="AH84" s="159"/>
      <c r="AI84" s="159"/>
      <c r="AJ84" s="147"/>
      <c r="AK84" s="128"/>
      <c r="AL84" s="120"/>
      <c r="AM84" s="285" t="str">
        <f>HLOOKUP(IF(AM$83="",referentie_verwarming,AM$83),toestellen_RV,ROWS(bibliotheek!$E$83:$E$85),FALSE)</f>
        <v>gebouw</v>
      </c>
      <c r="AN84" s="285" t="str">
        <f>HLOOKUP(IF(AN$83="",referentie_koeling,AN$83),toestellen_KOEL,ROWS(bibliotheek!$E$190:$E$192),FALSE)</f>
        <v>gebouw</v>
      </c>
      <c r="AO84" s="285" t="str">
        <f>HLOOKUP(IF(AO$83="",referentie_warmtapwater,AO$83),toestellen_TAP,ROWS(bibliotheek!$E$139:$E$141),FALSE)</f>
        <v>gebouw</v>
      </c>
      <c r="AP84" s="159"/>
      <c r="AQ84" s="159"/>
      <c r="AR84" s="159"/>
      <c r="AS84" s="159"/>
      <c r="AT84" s="159"/>
      <c r="AU84" s="159"/>
      <c r="AV84" s="147"/>
      <c r="AW84" s="128"/>
      <c r="AX84" s="125"/>
      <c r="AY84" s="285" t="str">
        <f>HLOOKUP(IF(AY$83="",referentie_verwarming,AY$83),toestellen_RV,ROWS(bibliotheek!$E$83:$E$85),FALSE)</f>
        <v>gebouw</v>
      </c>
      <c r="AZ84" s="285" t="str">
        <f>HLOOKUP(IF(AZ$83="",referentie_koeling,AZ$83),toestellen_KOEL,ROWS(bibliotheek!$E$190:$E$192),FALSE)</f>
        <v>gebouw</v>
      </c>
      <c r="BA84" s="285" t="str">
        <f>HLOOKUP(IF(BA$83="",referentie_warmtapwater,BA$83),toestellen_TAP,ROWS(bibliotheek!$E$139:$E$141),FALSE)</f>
        <v>gebouw</v>
      </c>
      <c r="BB84" s="159"/>
      <c r="BC84" s="159"/>
      <c r="BD84" s="159"/>
      <c r="BE84" s="159"/>
      <c r="BF84" s="159"/>
      <c r="BG84" s="159"/>
      <c r="BH84" s="174"/>
    </row>
    <row r="85" spans="1:60">
      <c r="A85" s="1040"/>
      <c r="B85" s="1109" t="s">
        <v>161</v>
      </c>
      <c r="C85" s="1106" t="s">
        <v>96</v>
      </c>
      <c r="D85" s="641" t="s">
        <v>45</v>
      </c>
      <c r="E85" s="940" t="s">
        <v>169</v>
      </c>
      <c r="F85" s="940"/>
      <c r="G85" s="940"/>
      <c r="H85" s="940"/>
      <c r="I85" s="77"/>
      <c r="J85" s="939"/>
      <c r="K85" s="126"/>
      <c r="L85" s="126"/>
      <c r="M85" s="938"/>
      <c r="N85" s="125"/>
      <c r="O85" s="177" t="str">
        <f>O$10</f>
        <v>verwarming</v>
      </c>
      <c r="P85" s="177" t="str">
        <f>P$10</f>
        <v>koeling</v>
      </c>
      <c r="Q85" s="177" t="str">
        <f>Q$10</f>
        <v>tapwater</v>
      </c>
      <c r="R85" s="177"/>
      <c r="S85" s="177"/>
      <c r="T85" s="177"/>
      <c r="U85" s="177"/>
      <c r="V85" s="177"/>
      <c r="W85" s="177"/>
      <c r="X85" s="147"/>
      <c r="Y85" s="938"/>
      <c r="Z85" s="125"/>
      <c r="AA85" s="177" t="str">
        <f>AA$10</f>
        <v>verwarming</v>
      </c>
      <c r="AB85" s="177" t="str">
        <f>AB$10</f>
        <v>koeling</v>
      </c>
      <c r="AC85" s="177" t="str">
        <f>AC$10</f>
        <v>tapwater</v>
      </c>
      <c r="AD85" s="177"/>
      <c r="AE85" s="177"/>
      <c r="AF85" s="177"/>
      <c r="AG85" s="177"/>
      <c r="AH85" s="177"/>
      <c r="AI85" s="177"/>
      <c r="AJ85" s="147"/>
      <c r="AK85" s="938"/>
      <c r="AL85" s="125"/>
      <c r="AM85" s="177" t="str">
        <f>AM$10</f>
        <v>verwarming</v>
      </c>
      <c r="AN85" s="177" t="str">
        <f>AN$10</f>
        <v>koeling</v>
      </c>
      <c r="AO85" s="177" t="str">
        <f>AO$10</f>
        <v>tapwater</v>
      </c>
      <c r="AP85" s="177"/>
      <c r="AQ85" s="177"/>
      <c r="AR85" s="177"/>
      <c r="AS85" s="177"/>
      <c r="AT85" s="177"/>
      <c r="AU85" s="177"/>
      <c r="AV85" s="147"/>
      <c r="AW85" s="938"/>
      <c r="AX85" s="125"/>
      <c r="AY85" s="177" t="str">
        <f>AY$10</f>
        <v>verwarming</v>
      </c>
      <c r="AZ85" s="177" t="str">
        <f>AZ$10</f>
        <v>koeling</v>
      </c>
      <c r="BA85" s="177" t="str">
        <f>BA$10</f>
        <v>tapwater</v>
      </c>
      <c r="BB85" s="177"/>
      <c r="BC85" s="177"/>
      <c r="BD85" s="177"/>
      <c r="BE85" s="177"/>
      <c r="BF85" s="177"/>
      <c r="BG85" s="177"/>
      <c r="BH85" s="174"/>
    </row>
    <row r="86" spans="1:60">
      <c r="A86" s="1040"/>
      <c r="B86" s="1109" t="s">
        <v>161</v>
      </c>
      <c r="C86" s="1106" t="s">
        <v>118</v>
      </c>
      <c r="D86" s="638"/>
      <c r="E86" s="291" t="s">
        <v>170</v>
      </c>
      <c r="F86" s="254"/>
      <c r="G86" s="254"/>
      <c r="H86" s="291" t="s">
        <v>65</v>
      </c>
      <c r="I86" s="134"/>
      <c r="J86" s="189"/>
      <c r="K86" s="107"/>
      <c r="L86" s="107"/>
      <c r="M86" s="189"/>
      <c r="N86" s="116"/>
      <c r="O86" s="384">
        <f>IF(O87&lt;&gt;"",O87,HLOOKUP(IF(O$83="",referentie_verwarming,O$83),toestellen_RV,ROWS(bibliotheek!$E$83:$E$90),FALSE))</f>
        <v>1</v>
      </c>
      <c r="P86" s="138">
        <v>1</v>
      </c>
      <c r="Q86" s="384">
        <f>IF(Q87&lt;&gt;"",Q87,HLOOKUP(IF(Q$83="",referentie_warmtapwater,Q$83),toestellen_TAP,ROWS(bibliotheek!$E$139:$E$146),FALSE))</f>
        <v>0.85</v>
      </c>
      <c r="R86" s="139"/>
      <c r="S86" s="139"/>
      <c r="T86" s="139"/>
      <c r="U86" s="139"/>
      <c r="V86" s="139"/>
      <c r="W86" s="139"/>
      <c r="X86" s="76"/>
      <c r="Y86" s="133"/>
      <c r="Z86" s="134"/>
      <c r="AA86" s="384">
        <f>IF(AA87&lt;&gt;"",AA87,HLOOKUP(IF(AA$83="",referentie_verwarming,AA$83),toestellen_RV,ROWS(bibliotheek!$E$83:$E$90),FALSE))</f>
        <v>1</v>
      </c>
      <c r="AB86" s="138">
        <f>1</f>
        <v>1</v>
      </c>
      <c r="AC86" s="384">
        <f>IF(AC87&lt;&gt;"",AC87,HLOOKUP(IF(AC$83="",referentie_warmtapwater,AC$83),toestellen_TAP,ROWS(bibliotheek!$E$139:$E$146),FALSE))</f>
        <v>0.85</v>
      </c>
      <c r="AD86" s="139"/>
      <c r="AE86" s="139"/>
      <c r="AF86" s="139"/>
      <c r="AG86" s="139"/>
      <c r="AH86" s="139"/>
      <c r="AI86" s="139"/>
      <c r="AJ86" s="76"/>
      <c r="AK86" s="133"/>
      <c r="AL86" s="134"/>
      <c r="AM86" s="384">
        <f>IF(AM87&lt;&gt;"",AM87,HLOOKUP(IF(AM$83="",referentie_verwarming,AM$83),toestellen_RV,ROWS(bibliotheek!$E$83:$E$90),FALSE))</f>
        <v>1</v>
      </c>
      <c r="AN86" s="138">
        <f>1</f>
        <v>1</v>
      </c>
      <c r="AO86" s="384">
        <f>IF(AO87&lt;&gt;"",AO87,HLOOKUP(IF(AO$83="",referentie_warmtapwater,AO$83),toestellen_TAP,ROWS(bibliotheek!$E$139:$E$146),FALSE))</f>
        <v>0.85</v>
      </c>
      <c r="AP86" s="139"/>
      <c r="AQ86" s="139"/>
      <c r="AR86" s="139"/>
      <c r="AS86" s="139"/>
      <c r="AT86" s="139"/>
      <c r="AU86" s="139"/>
      <c r="AV86" s="76"/>
      <c r="AW86" s="133"/>
      <c r="AX86" s="134"/>
      <c r="AY86" s="384">
        <f>IF(AY87&lt;&gt;"",AY87,HLOOKUP(IF(AY$83="",referentie_verwarming,AY$83),toestellen_RV,ROWS(bibliotheek!$E$83:$E$90),FALSE))</f>
        <v>1</v>
      </c>
      <c r="AZ86" s="138">
        <f>1</f>
        <v>1</v>
      </c>
      <c r="BA86" s="384">
        <f>IF(BA87&lt;&gt;"",BA87,HLOOKUP(IF(BA$83="",referentie_warmtapwater,BA$83),toestellen_TAP,ROWS(bibliotheek!$E$139:$E$146),FALSE))</f>
        <v>0.85</v>
      </c>
      <c r="BB86" s="160"/>
      <c r="BC86" s="160"/>
      <c r="BD86" s="160"/>
      <c r="BE86" s="160"/>
      <c r="BF86" s="160"/>
      <c r="BG86" s="160"/>
      <c r="BH86" s="210"/>
    </row>
    <row r="87" spans="1:60">
      <c r="A87" s="1040"/>
      <c r="B87" s="1109" t="s">
        <v>161</v>
      </c>
      <c r="C87" s="1106" t="s">
        <v>118</v>
      </c>
      <c r="D87" s="638"/>
      <c r="E87" s="1218" t="s">
        <v>171</v>
      </c>
      <c r="F87" s="255"/>
      <c r="G87" s="255"/>
      <c r="H87" s="292" t="s">
        <v>65</v>
      </c>
      <c r="I87" s="136"/>
      <c r="J87" s="299"/>
      <c r="K87" s="107"/>
      <c r="L87" s="107"/>
      <c r="M87" s="198"/>
      <c r="N87" s="161"/>
      <c r="O87" s="275"/>
      <c r="P87" s="280"/>
      <c r="Q87" s="275"/>
      <c r="R87" s="162"/>
      <c r="S87" s="162"/>
      <c r="T87" s="162"/>
      <c r="U87" s="162"/>
      <c r="V87" s="162"/>
      <c r="W87" s="162"/>
      <c r="X87" s="110"/>
      <c r="Y87" s="286"/>
      <c r="Z87" s="161"/>
      <c r="AA87" s="275"/>
      <c r="AB87" s="280"/>
      <c r="AC87" s="275"/>
      <c r="AD87" s="162"/>
      <c r="AE87" s="162"/>
      <c r="AF87" s="162"/>
      <c r="AG87" s="162"/>
      <c r="AH87" s="162"/>
      <c r="AI87" s="162"/>
      <c r="AJ87" s="110"/>
      <c r="AK87" s="286"/>
      <c r="AL87" s="161"/>
      <c r="AM87" s="275"/>
      <c r="AN87" s="280"/>
      <c r="AO87" s="275"/>
      <c r="AP87" s="162"/>
      <c r="AQ87" s="162"/>
      <c r="AR87" s="162"/>
      <c r="AS87" s="162"/>
      <c r="AT87" s="162"/>
      <c r="AU87" s="162"/>
      <c r="AV87" s="110"/>
      <c r="AW87" s="286"/>
      <c r="AX87" s="161"/>
      <c r="AY87" s="275"/>
      <c r="AZ87" s="280"/>
      <c r="BA87" s="275"/>
      <c r="BB87" s="162"/>
      <c r="BC87" s="162"/>
      <c r="BD87" s="162"/>
      <c r="BE87" s="162"/>
      <c r="BF87" s="162"/>
      <c r="BG87" s="162"/>
      <c r="BH87" s="210"/>
    </row>
    <row r="88" spans="1:60">
      <c r="A88" s="1040"/>
      <c r="B88" s="1109" t="s">
        <v>161</v>
      </c>
      <c r="C88" s="1106" t="s">
        <v>118</v>
      </c>
      <c r="D88" s="641"/>
      <c r="E88" s="181" t="s">
        <v>172</v>
      </c>
      <c r="F88" s="180"/>
      <c r="G88" s="180"/>
      <c r="H88" s="181" t="s">
        <v>160</v>
      </c>
      <c r="I88" s="129"/>
      <c r="J88" s="190"/>
      <c r="K88" s="107"/>
      <c r="L88" s="107"/>
      <c r="M88" s="190"/>
      <c r="N88" s="114"/>
      <c r="O88" s="208">
        <f>IF(O$78=0,0,O$78/O$86-O$78)</f>
        <v>0</v>
      </c>
      <c r="P88" s="208">
        <f>IF(P$78=0,0,P$78/P$86-P$78)</f>
        <v>0</v>
      </c>
      <c r="Q88" s="208">
        <f>IF(Q$78=0,0,Q$78/Q$86-Q$78)</f>
        <v>0</v>
      </c>
      <c r="R88" s="130"/>
      <c r="S88" s="130"/>
      <c r="T88" s="130"/>
      <c r="U88" s="130"/>
      <c r="V88" s="130"/>
      <c r="W88" s="130"/>
      <c r="X88" s="110"/>
      <c r="Y88" s="132"/>
      <c r="Z88" s="114"/>
      <c r="AA88" s="208">
        <f>IF(AA$78=0,0,AA$78/AA$86-AA$78)</f>
        <v>0</v>
      </c>
      <c r="AB88" s="208">
        <f>IF(AB$78=0,0,AB$78/AB$86-AB$78)</f>
        <v>0</v>
      </c>
      <c r="AC88" s="208">
        <f>IF(AC$78=0,0,AC$78/AC$86-AC$78)</f>
        <v>0</v>
      </c>
      <c r="AD88" s="130"/>
      <c r="AE88" s="130"/>
      <c r="AF88" s="130"/>
      <c r="AG88" s="130"/>
      <c r="AH88" s="130"/>
      <c r="AI88" s="130"/>
      <c r="AJ88" s="110"/>
      <c r="AK88" s="132"/>
      <c r="AL88" s="114"/>
      <c r="AM88" s="208">
        <f>IF(AM$78=0,0,AM$78/AM$86-AM$78)</f>
        <v>0</v>
      </c>
      <c r="AN88" s="208">
        <f>IF(AN$78=0,0,AN$78/AN$86-AN$78)</f>
        <v>0</v>
      </c>
      <c r="AO88" s="208">
        <f>IF(AO$78=0,0,AO$78/AO$86-AO$78)</f>
        <v>0</v>
      </c>
      <c r="AP88" s="130"/>
      <c r="AQ88" s="130"/>
      <c r="AR88" s="130"/>
      <c r="AS88" s="130"/>
      <c r="AT88" s="130"/>
      <c r="AU88" s="130"/>
      <c r="AV88" s="110"/>
      <c r="AW88" s="132"/>
      <c r="AX88" s="114"/>
      <c r="AY88" s="208">
        <f>IF(AY$78=0,0,AY$78/AY$86-AY$78)</f>
        <v>0</v>
      </c>
      <c r="AZ88" s="208">
        <f>IF(AZ$78=0,0,AZ$78/AZ$86-AZ$78)</f>
        <v>0</v>
      </c>
      <c r="BA88" s="208">
        <f>IF(BA$78=0,0,BA$78/BA$86-BA$78)</f>
        <v>0</v>
      </c>
      <c r="BB88" s="130"/>
      <c r="BC88" s="130"/>
      <c r="BD88" s="130"/>
      <c r="BE88" s="130"/>
      <c r="BF88" s="130"/>
      <c r="BG88" s="130"/>
      <c r="BH88" s="210"/>
    </row>
    <row r="89" spans="1:60">
      <c r="A89" s="1040"/>
      <c r="B89" s="1109" t="s">
        <v>161</v>
      </c>
      <c r="C89" s="1106" t="s">
        <v>96</v>
      </c>
      <c r="D89" s="641" t="s">
        <v>45</v>
      </c>
      <c r="E89" s="940" t="s">
        <v>173</v>
      </c>
      <c r="F89" s="940"/>
      <c r="G89" s="940"/>
      <c r="H89" s="940"/>
      <c r="I89" s="77"/>
      <c r="J89" s="939"/>
      <c r="K89" s="126"/>
      <c r="L89" s="126"/>
      <c r="M89" s="938"/>
      <c r="N89" s="125"/>
      <c r="O89" s="177" t="str">
        <f>O$10</f>
        <v>verwarming</v>
      </c>
      <c r="P89" s="177" t="str">
        <f>P$10</f>
        <v>koeling</v>
      </c>
      <c r="Q89" s="177" t="str">
        <f>Q$10</f>
        <v>tapwater</v>
      </c>
      <c r="R89" s="177"/>
      <c r="S89" s="177"/>
      <c r="T89" s="177"/>
      <c r="U89" s="177"/>
      <c r="V89" s="177"/>
      <c r="W89" s="177"/>
      <c r="X89" s="143"/>
      <c r="Y89" s="938"/>
      <c r="Z89" s="125"/>
      <c r="AA89" s="177" t="str">
        <f>AA$10</f>
        <v>verwarming</v>
      </c>
      <c r="AB89" s="177" t="str">
        <f>AB$10</f>
        <v>koeling</v>
      </c>
      <c r="AC89" s="177" t="str">
        <f>AC$10</f>
        <v>tapwater</v>
      </c>
      <c r="AD89" s="177"/>
      <c r="AE89" s="177"/>
      <c r="AF89" s="177"/>
      <c r="AG89" s="177"/>
      <c r="AH89" s="177"/>
      <c r="AI89" s="177"/>
      <c r="AJ89" s="143"/>
      <c r="AK89" s="938"/>
      <c r="AL89" s="125"/>
      <c r="AM89" s="177" t="str">
        <f>AM$10</f>
        <v>verwarming</v>
      </c>
      <c r="AN89" s="177" t="str">
        <f>AN$10</f>
        <v>koeling</v>
      </c>
      <c r="AO89" s="177" t="str">
        <f>AO$10</f>
        <v>tapwater</v>
      </c>
      <c r="AP89" s="177"/>
      <c r="AQ89" s="177"/>
      <c r="AR89" s="177"/>
      <c r="AS89" s="177"/>
      <c r="AT89" s="177"/>
      <c r="AU89" s="177"/>
      <c r="AV89" s="143"/>
      <c r="AW89" s="938"/>
      <c r="AX89" s="125"/>
      <c r="AY89" s="177" t="str">
        <f>AY$10</f>
        <v>verwarming</v>
      </c>
      <c r="AZ89" s="177" t="str">
        <f>AZ$10</f>
        <v>koeling</v>
      </c>
      <c r="BA89" s="177" t="str">
        <f>BA$10</f>
        <v>tapwater</v>
      </c>
      <c r="BB89" s="177"/>
      <c r="BC89" s="177"/>
      <c r="BD89" s="177"/>
      <c r="BE89" s="177"/>
      <c r="BF89" s="177"/>
      <c r="BG89" s="177"/>
      <c r="BH89" s="174"/>
    </row>
    <row r="90" spans="1:60">
      <c r="A90" s="1040"/>
      <c r="B90" s="1109" t="s">
        <v>161</v>
      </c>
      <c r="C90" s="1106" t="s">
        <v>118</v>
      </c>
      <c r="D90" s="638"/>
      <c r="E90" s="181" t="s">
        <v>173</v>
      </c>
      <c r="F90" s="180"/>
      <c r="G90" s="180"/>
      <c r="H90" s="181" t="s">
        <v>65</v>
      </c>
      <c r="I90" s="129"/>
      <c r="J90" s="190"/>
      <c r="K90" s="107"/>
      <c r="L90" s="107"/>
      <c r="M90" s="190"/>
      <c r="N90" s="114"/>
      <c r="O90" s="860" t="s">
        <v>174</v>
      </c>
      <c r="P90" s="158"/>
      <c r="Q90" s="860" t="s">
        <v>174</v>
      </c>
      <c r="R90" s="159"/>
      <c r="S90" s="159"/>
      <c r="T90" s="159"/>
      <c r="U90" s="159"/>
      <c r="V90" s="159"/>
      <c r="W90" s="159"/>
      <c r="X90" s="76"/>
      <c r="Y90" s="128"/>
      <c r="Z90" s="114"/>
      <c r="AA90" s="860" t="s">
        <v>174</v>
      </c>
      <c r="AB90" s="158"/>
      <c r="AC90" s="860" t="s">
        <v>174</v>
      </c>
      <c r="AD90" s="159"/>
      <c r="AE90" s="159"/>
      <c r="AF90" s="159"/>
      <c r="AG90" s="159"/>
      <c r="AH90" s="159"/>
      <c r="AI90" s="159"/>
      <c r="AJ90" s="76"/>
      <c r="AK90" s="128"/>
      <c r="AL90" s="114"/>
      <c r="AM90" s="860" t="s">
        <v>174</v>
      </c>
      <c r="AN90" s="158"/>
      <c r="AO90" s="860" t="s">
        <v>174</v>
      </c>
      <c r="AP90" s="159"/>
      <c r="AQ90" s="159"/>
      <c r="AR90" s="159"/>
      <c r="AS90" s="159"/>
      <c r="AT90" s="159"/>
      <c r="AU90" s="159"/>
      <c r="AV90" s="76"/>
      <c r="AW90" s="128"/>
      <c r="AX90" s="114"/>
      <c r="AY90" s="860" t="s">
        <v>174</v>
      </c>
      <c r="AZ90" s="158"/>
      <c r="BA90" s="860" t="s">
        <v>174</v>
      </c>
      <c r="BB90" s="159"/>
      <c r="BC90" s="159"/>
      <c r="BD90" s="159"/>
      <c r="BE90" s="159"/>
      <c r="BF90" s="159"/>
      <c r="BG90" s="159"/>
      <c r="BH90" s="174"/>
    </row>
    <row r="91" spans="1:60">
      <c r="A91" s="1040"/>
      <c r="B91" s="1109" t="s">
        <v>161</v>
      </c>
      <c r="C91" s="1106" t="s">
        <v>118</v>
      </c>
      <c r="D91" s="641" t="s">
        <v>45</v>
      </c>
      <c r="E91" s="181" t="s">
        <v>175</v>
      </c>
      <c r="F91" s="180"/>
      <c r="G91" s="180"/>
      <c r="H91" s="181" t="s">
        <v>160</v>
      </c>
      <c r="I91" s="129"/>
      <c r="J91" s="190"/>
      <c r="K91" s="107"/>
      <c r="L91" s="107"/>
      <c r="M91" s="190"/>
      <c r="N91" s="114"/>
      <c r="O91" s="168">
        <f>IF(O90="nee",0,(O78+O88)*bijdrage_thermische_zonne_energie_RV)</f>
        <v>0</v>
      </c>
      <c r="P91" s="168"/>
      <c r="Q91" s="168">
        <f>IF(Q90="nee",0,(Q78+Q88)*bijdrage_thermische_zonne_energie_TAP)</f>
        <v>0</v>
      </c>
      <c r="R91" s="130"/>
      <c r="S91" s="130"/>
      <c r="T91" s="130"/>
      <c r="U91" s="130"/>
      <c r="V91" s="130"/>
      <c r="W91" s="130"/>
      <c r="X91" s="592"/>
      <c r="Y91" s="130"/>
      <c r="Z91" s="89"/>
      <c r="AA91" s="168">
        <f>IF(AA90="nee",0,(AA78+AA88)*bijdrage_thermische_zonne_energie_RV)</f>
        <v>0</v>
      </c>
      <c r="AB91" s="168"/>
      <c r="AC91" s="168">
        <f>IF(AC90="nee",0,(AC78+AC88)*bijdrage_thermische_zonne_energie_TAP)</f>
        <v>0</v>
      </c>
      <c r="AD91" s="130"/>
      <c r="AE91" s="130"/>
      <c r="AF91" s="130"/>
      <c r="AG91" s="130"/>
      <c r="AH91" s="130"/>
      <c r="AI91" s="130"/>
      <c r="AJ91" s="592"/>
      <c r="AK91" s="130"/>
      <c r="AL91" s="593"/>
      <c r="AM91" s="168">
        <f>IF(AM90="nee",0,(AM78+AM88)*bijdrage_thermische_zonne_energie_RV)</f>
        <v>0</v>
      </c>
      <c r="AN91" s="168"/>
      <c r="AO91" s="168">
        <f>IF(AO90="nee",0,(AO78+AO88)*bijdrage_thermische_zonne_energie_TAP)</f>
        <v>0</v>
      </c>
      <c r="AP91" s="130"/>
      <c r="AQ91" s="130"/>
      <c r="AR91" s="130"/>
      <c r="AS91" s="130"/>
      <c r="AT91" s="130"/>
      <c r="AU91" s="130"/>
      <c r="AV91" s="592"/>
      <c r="AW91" s="130"/>
      <c r="AX91" s="594"/>
      <c r="AY91" s="168">
        <f>IF(AY90="nee",0,(AY78+AY88)*bijdrage_thermische_zonne_energie_RV)</f>
        <v>0</v>
      </c>
      <c r="AZ91" s="168"/>
      <c r="BA91" s="168">
        <f>IF(BA90="nee",0,(BA78+BA88)*bijdrage_thermische_zonne_energie_TAP)</f>
        <v>0</v>
      </c>
      <c r="BB91" s="159"/>
      <c r="BC91" s="159"/>
      <c r="BD91" s="159"/>
      <c r="BE91" s="159"/>
      <c r="BF91" s="159"/>
      <c r="BG91" s="159"/>
      <c r="BH91" s="174"/>
    </row>
    <row r="92" spans="1:60">
      <c r="A92" s="1040"/>
      <c r="B92" s="1109" t="s">
        <v>161</v>
      </c>
      <c r="C92" s="1106" t="s">
        <v>96</v>
      </c>
      <c r="D92" s="641" t="s">
        <v>45</v>
      </c>
      <c r="E92" s="940" t="s">
        <v>176</v>
      </c>
      <c r="F92" s="940"/>
      <c r="G92" s="940"/>
      <c r="H92" s="940"/>
      <c r="I92" s="77"/>
      <c r="J92" s="939"/>
      <c r="K92" s="126"/>
      <c r="L92" s="126"/>
      <c r="M92" s="938"/>
      <c r="N92" s="125"/>
      <c r="O92" s="177" t="str">
        <f>O$10</f>
        <v>verwarming</v>
      </c>
      <c r="P92" s="177" t="str">
        <f>P$10</f>
        <v>koeling</v>
      </c>
      <c r="Q92" s="177" t="str">
        <f>Q$10</f>
        <v>tapwater</v>
      </c>
      <c r="R92" s="177"/>
      <c r="S92" s="177"/>
      <c r="T92" s="177"/>
      <c r="U92" s="177"/>
      <c r="V92" s="177"/>
      <c r="W92" s="177"/>
      <c r="X92" s="167"/>
      <c r="Y92" s="938"/>
      <c r="Z92" s="125"/>
      <c r="AA92" s="177" t="str">
        <f>AA$10</f>
        <v>verwarming</v>
      </c>
      <c r="AB92" s="177" t="str">
        <f>AB$10</f>
        <v>koeling</v>
      </c>
      <c r="AC92" s="177" t="str">
        <f>AC$10</f>
        <v>tapwater</v>
      </c>
      <c r="AD92" s="177"/>
      <c r="AE92" s="177"/>
      <c r="AF92" s="177"/>
      <c r="AG92" s="177"/>
      <c r="AH92" s="177"/>
      <c r="AI92" s="177"/>
      <c r="AJ92" s="167"/>
      <c r="AK92" s="938"/>
      <c r="AL92" s="125"/>
      <c r="AM92" s="177" t="str">
        <f>AM$10</f>
        <v>verwarming</v>
      </c>
      <c r="AN92" s="177" t="str">
        <f>AN$10</f>
        <v>koeling</v>
      </c>
      <c r="AO92" s="177" t="str">
        <f>AO$10</f>
        <v>tapwater</v>
      </c>
      <c r="AP92" s="177"/>
      <c r="AQ92" s="177"/>
      <c r="AR92" s="177"/>
      <c r="AS92" s="177"/>
      <c r="AT92" s="177"/>
      <c r="AU92" s="177"/>
      <c r="AV92" s="167"/>
      <c r="AW92" s="938"/>
      <c r="AX92" s="125"/>
      <c r="AY92" s="177" t="str">
        <f>AY$10</f>
        <v>verwarming</v>
      </c>
      <c r="AZ92" s="177" t="str">
        <f>AZ$10</f>
        <v>koeling</v>
      </c>
      <c r="BA92" s="177" t="str">
        <f>BA$10</f>
        <v>tapwater</v>
      </c>
      <c r="BB92" s="177"/>
      <c r="BC92" s="177"/>
      <c r="BD92" s="177"/>
      <c r="BE92" s="177"/>
      <c r="BF92" s="177"/>
      <c r="BG92" s="177"/>
      <c r="BH92" s="174"/>
    </row>
    <row r="93" spans="1:60">
      <c r="A93" s="1040"/>
      <c r="B93" s="1109" t="s">
        <v>161</v>
      </c>
      <c r="C93" s="1106" t="s">
        <v>118</v>
      </c>
      <c r="D93" s="638"/>
      <c r="E93" s="291" t="s">
        <v>177</v>
      </c>
      <c r="F93" s="254"/>
      <c r="G93" s="254"/>
      <c r="H93" s="291" t="s">
        <v>178</v>
      </c>
      <c r="I93" s="134"/>
      <c r="J93" s="189"/>
      <c r="K93" s="107"/>
      <c r="L93" s="107"/>
      <c r="M93" s="189"/>
      <c r="N93" s="116"/>
      <c r="O93" s="541">
        <f>IF(M22=0,0,IF(O94&lt;&gt;"",O94,
(HLOOKUP(O83,toestellen_RV,ROWS(bibliotheek!$E$83:$E$92),FALSE)*M24+
HLOOKUP(O83,toestellen_RV,ROWS(bibliotheek!$E$83:$E$93),FALSE)*M25+
HLOOKUP(O83,toestellen_RV,ROWS(bibliotheek!$E$83:$E$94),FALSE)*M26)/M22))</f>
        <v>0</v>
      </c>
      <c r="P93" s="415"/>
      <c r="Q93" s="541">
        <f>IF(M22=0,0,IF(Q94&lt;&gt;"",Q94,
(HLOOKUP(Q83,toestellen_TAP,ROWS(bibliotheek!$E$139:$E$148),FALSE)*M24+
HLOOKUP(Q83,toestellen_TAP,ROWS(bibliotheek!$E$139:$E$149),FALSE)*M25+
HLOOKUP(Q83,toestellen_TAP,ROWS(bibliotheek!$E$139:$E$150),FALSE)*M26)/M22))</f>
        <v>0</v>
      </c>
      <c r="R93" s="160"/>
      <c r="S93" s="160"/>
      <c r="T93" s="160"/>
      <c r="U93" s="160"/>
      <c r="V93" s="160"/>
      <c r="W93" s="160"/>
      <c r="X93" s="112"/>
      <c r="Y93" s="160"/>
      <c r="Z93" s="416"/>
      <c r="AA93" s="541">
        <f>IF(Y22=0,0,IF(AA94&lt;&gt;"",AA94,
(HLOOKUP(AA83,toestellen_RV,ROWS(bibliotheek!$E$83:$E$92),FALSE)*Y24+
HLOOKUP(AA83,toestellen_RV,ROWS(bibliotheek!$E$83:$E$93),FALSE)*Y25+
HLOOKUP(AA83,toestellen_RV,ROWS(bibliotheek!$E$83:$E$94),FALSE)*Y26)/Y22))</f>
        <v>0</v>
      </c>
      <c r="AB93" s="415"/>
      <c r="AC93" s="541">
        <f>IF(Y22=0,0,IF(AC94&lt;&gt;"",AC94,
(HLOOKUP(AC83,toestellen_TAP,ROWS(bibliotheek!$E$139:$E$148),FALSE)*Y24+
HLOOKUP(AC83,toestellen_TAP,ROWS(bibliotheek!$E$139:$E$149),FALSE)*Y25+
HLOOKUP(AC83,toestellen_TAP,ROWS(bibliotheek!$E$139:$E$150),FALSE)*Y26)/Y22))</f>
        <v>0</v>
      </c>
      <c r="AD93" s="160"/>
      <c r="AE93" s="160"/>
      <c r="AF93" s="160"/>
      <c r="AG93" s="160"/>
      <c r="AH93" s="160"/>
      <c r="AI93" s="160"/>
      <c r="AJ93" s="112"/>
      <c r="AK93" s="160"/>
      <c r="AL93" s="416"/>
      <c r="AM93" s="541">
        <f>IF(AK22=0,0,IF(AM94&lt;&gt;"",AM94,
(HLOOKUP(AM83,toestellen_RV,ROWS(bibliotheek!$E$83:$E$92),FALSE)*AK24+
HLOOKUP(AM83,toestellen_RV,ROWS(bibliotheek!$E$83:$E$93),FALSE)*AK25+
HLOOKUP(AM83,toestellen_RV,ROWS(bibliotheek!$E$83:$E$94),FALSE)*AK26)/AK22))</f>
        <v>0</v>
      </c>
      <c r="AN93" s="415"/>
      <c r="AO93" s="541">
        <f>IF(AK22=0,0,IF(AO94&lt;&gt;"",AO94,
(HLOOKUP(AO83,toestellen_TAP,ROWS(bibliotheek!$E$139:$E$148),FALSE)*AK24+
HLOOKUP(AO83,toestellen_TAP,ROWS(bibliotheek!$E$139:$E$149),FALSE)*AK25+
HLOOKUP(AO83,toestellen_TAP,ROWS(bibliotheek!$E$139:$E$150),FALSE)*AK26)/AK22))</f>
        <v>0</v>
      </c>
      <c r="AP93" s="160"/>
      <c r="AQ93" s="160"/>
      <c r="AR93" s="160"/>
      <c r="AS93" s="160"/>
      <c r="AT93" s="160"/>
      <c r="AU93" s="160"/>
      <c r="AV93" s="112"/>
      <c r="AW93" s="160"/>
      <c r="AX93" s="416"/>
      <c r="AY93" s="541">
        <f>IF(AW22=0,0,IF(AY94&lt;&gt;"",AY94,
(HLOOKUP(AY83,toestellen_RV,ROWS(bibliotheek!$E$83:$E$92),FALSE)*AW24+
HLOOKUP(AY83,toestellen_RV,ROWS(bibliotheek!$E$83:$E$93),FALSE)*AW25+
HLOOKUP(AY83,toestellen_RV,ROWS(bibliotheek!$E$83:$E$94),FALSE)*AW26)/AW22))</f>
        <v>0</v>
      </c>
      <c r="AZ93" s="415"/>
      <c r="BA93" s="541">
        <f>IF(AW22=0,0,IF(BA94&lt;&gt;"",BA94,
(HLOOKUP(BA83,toestellen_TAP,ROWS(bibliotheek!$E$139:$E$148),FALSE)*AW24+
HLOOKUP(BA83,toestellen_TAP,ROWS(bibliotheek!$E$139:$E$149),FALSE)*AW25+
HLOOKUP(BA83,toestellen_TAP,ROWS(bibliotheek!$E$139:$E$150),FALSE)*AW26)/AW22))</f>
        <v>0</v>
      </c>
      <c r="BB93" s="160"/>
      <c r="BC93" s="160"/>
      <c r="BD93" s="160"/>
      <c r="BE93" s="160"/>
      <c r="BF93" s="160"/>
      <c r="BG93" s="160"/>
      <c r="BH93" s="210"/>
    </row>
    <row r="94" spans="1:60">
      <c r="A94" s="1040"/>
      <c r="B94" s="1109" t="s">
        <v>161</v>
      </c>
      <c r="C94" s="1106" t="s">
        <v>118</v>
      </c>
      <c r="D94" s="638"/>
      <c r="E94" s="1218" t="s">
        <v>1388</v>
      </c>
      <c r="F94" s="255"/>
      <c r="G94" s="255"/>
      <c r="H94" s="292" t="s">
        <v>178</v>
      </c>
      <c r="I94" s="136"/>
      <c r="J94" s="299"/>
      <c r="K94" s="107"/>
      <c r="L94" s="107"/>
      <c r="M94" s="198"/>
      <c r="N94" s="161"/>
      <c r="O94" s="276"/>
      <c r="P94" s="281"/>
      <c r="Q94" s="276"/>
      <c r="R94" s="163"/>
      <c r="S94" s="163"/>
      <c r="T94" s="163"/>
      <c r="U94" s="163"/>
      <c r="V94" s="163"/>
      <c r="W94" s="163"/>
      <c r="X94" s="110"/>
      <c r="Y94" s="386"/>
      <c r="Z94" s="308"/>
      <c r="AA94" s="276"/>
      <c r="AB94" s="281"/>
      <c r="AC94" s="276"/>
      <c r="AD94" s="163"/>
      <c r="AE94" s="163"/>
      <c r="AF94" s="163"/>
      <c r="AG94" s="163"/>
      <c r="AH94" s="163"/>
      <c r="AI94" s="163"/>
      <c r="AJ94" s="110"/>
      <c r="AK94" s="386"/>
      <c r="AL94" s="308"/>
      <c r="AM94" s="276"/>
      <c r="AN94" s="281"/>
      <c r="AO94" s="276"/>
      <c r="AP94" s="163"/>
      <c r="AQ94" s="163"/>
      <c r="AR94" s="163"/>
      <c r="AS94" s="163"/>
      <c r="AT94" s="163"/>
      <c r="AU94" s="163"/>
      <c r="AV94" s="110"/>
      <c r="AW94" s="386"/>
      <c r="AX94" s="308"/>
      <c r="AY94" s="276"/>
      <c r="AZ94" s="281"/>
      <c r="BA94" s="276"/>
      <c r="BB94" s="164"/>
      <c r="BC94" s="164"/>
      <c r="BD94" s="164"/>
      <c r="BE94" s="164"/>
      <c r="BF94" s="164"/>
      <c r="BG94" s="164"/>
      <c r="BH94" s="210"/>
    </row>
    <row r="95" spans="1:60">
      <c r="A95" s="1040"/>
      <c r="B95" s="1109" t="s">
        <v>161</v>
      </c>
      <c r="C95" s="1106" t="s">
        <v>118</v>
      </c>
      <c r="D95" s="638"/>
      <c r="E95" s="181" t="s">
        <v>179</v>
      </c>
      <c r="F95" s="180"/>
      <c r="G95" s="180"/>
      <c r="H95" s="181" t="s">
        <v>160</v>
      </c>
      <c r="I95" s="129"/>
      <c r="J95" s="190"/>
      <c r="K95" s="107"/>
      <c r="L95" s="107"/>
      <c r="M95" s="190"/>
      <c r="N95" s="89"/>
      <c r="O95" s="208">
        <f>O$93*M$22</f>
        <v>0</v>
      </c>
      <c r="P95" s="130"/>
      <c r="Q95" s="208">
        <f>Q$93*M$22</f>
        <v>0</v>
      </c>
      <c r="R95" s="130"/>
      <c r="S95" s="130"/>
      <c r="T95" s="130"/>
      <c r="U95" s="130"/>
      <c r="V95" s="130"/>
      <c r="W95" s="130"/>
      <c r="X95" s="110"/>
      <c r="Y95" s="132"/>
      <c r="Z95" s="114"/>
      <c r="AA95" s="208">
        <f>AA$93*Y$22</f>
        <v>0</v>
      </c>
      <c r="AB95" s="130"/>
      <c r="AC95" s="208">
        <f>AC$93*Y$22</f>
        <v>0</v>
      </c>
      <c r="AD95" s="130"/>
      <c r="AE95" s="130"/>
      <c r="AF95" s="130"/>
      <c r="AG95" s="130"/>
      <c r="AH95" s="130"/>
      <c r="AI95" s="130"/>
      <c r="AJ95" s="110"/>
      <c r="AK95" s="132"/>
      <c r="AL95" s="114"/>
      <c r="AM95" s="208">
        <f>AM$93*AK$22</f>
        <v>0</v>
      </c>
      <c r="AN95" s="130"/>
      <c r="AO95" s="208">
        <f>AO$93*AK$22</f>
        <v>0</v>
      </c>
      <c r="AP95" s="130"/>
      <c r="AQ95" s="130"/>
      <c r="AR95" s="130"/>
      <c r="AS95" s="130"/>
      <c r="AT95" s="130"/>
      <c r="AU95" s="130"/>
      <c r="AV95" s="110"/>
      <c r="AW95" s="132"/>
      <c r="AX95" s="114"/>
      <c r="AY95" s="208">
        <f>AY$93*AW$22</f>
        <v>0</v>
      </c>
      <c r="AZ95" s="130"/>
      <c r="BA95" s="208">
        <f>BA$93*AW$22</f>
        <v>0</v>
      </c>
      <c r="BB95" s="130"/>
      <c r="BC95" s="130"/>
      <c r="BD95" s="130"/>
      <c r="BE95" s="130"/>
      <c r="BF95" s="130"/>
      <c r="BG95" s="130"/>
      <c r="BH95" s="210"/>
    </row>
    <row r="96" spans="1:60">
      <c r="A96" s="1040"/>
      <c r="B96" s="1109" t="s">
        <v>161</v>
      </c>
      <c r="C96" s="1106" t="s">
        <v>96</v>
      </c>
      <c r="D96" s="641" t="s">
        <v>45</v>
      </c>
      <c r="E96" s="940" t="s">
        <v>180</v>
      </c>
      <c r="F96" s="940"/>
      <c r="G96" s="940"/>
      <c r="H96" s="940"/>
      <c r="I96" s="77"/>
      <c r="J96" s="939"/>
      <c r="K96" s="126"/>
      <c r="L96" s="126"/>
      <c r="M96" s="938"/>
      <c r="N96" s="125"/>
      <c r="O96" s="177" t="str">
        <f>O$10</f>
        <v>verwarming</v>
      </c>
      <c r="P96" s="177" t="str">
        <f>P$10</f>
        <v>koeling</v>
      </c>
      <c r="Q96" s="177" t="str">
        <f>Q$10</f>
        <v>tapwater</v>
      </c>
      <c r="R96" s="177"/>
      <c r="S96" s="177"/>
      <c r="T96" s="177"/>
      <c r="U96" s="177"/>
      <c r="V96" s="177"/>
      <c r="W96" s="177"/>
      <c r="X96" s="167"/>
      <c r="Y96" s="938"/>
      <c r="Z96" s="125"/>
      <c r="AA96" s="177" t="str">
        <f>AA$10</f>
        <v>verwarming</v>
      </c>
      <c r="AB96" s="177" t="str">
        <f>AB$10</f>
        <v>koeling</v>
      </c>
      <c r="AC96" s="177" t="str">
        <f>AC$10</f>
        <v>tapwater</v>
      </c>
      <c r="AD96" s="177"/>
      <c r="AE96" s="177"/>
      <c r="AF96" s="177"/>
      <c r="AG96" s="177"/>
      <c r="AH96" s="177"/>
      <c r="AI96" s="177"/>
      <c r="AJ96" s="167"/>
      <c r="AK96" s="938"/>
      <c r="AL96" s="125"/>
      <c r="AM96" s="177" t="str">
        <f>AM$10</f>
        <v>verwarming</v>
      </c>
      <c r="AN96" s="177" t="str">
        <f>AN$10</f>
        <v>koeling</v>
      </c>
      <c r="AO96" s="177" t="str">
        <f>AO$10</f>
        <v>tapwater</v>
      </c>
      <c r="AP96" s="177"/>
      <c r="AQ96" s="177"/>
      <c r="AR96" s="177"/>
      <c r="AS96" s="177"/>
      <c r="AT96" s="177"/>
      <c r="AU96" s="177"/>
      <c r="AV96" s="167"/>
      <c r="AW96" s="938"/>
      <c r="AX96" s="125"/>
      <c r="AY96" s="177" t="str">
        <f>AY$10</f>
        <v>verwarming</v>
      </c>
      <c r="AZ96" s="177" t="str">
        <f>AZ$10</f>
        <v>koeling</v>
      </c>
      <c r="BA96" s="177" t="str">
        <f>BA$10</f>
        <v>tapwater</v>
      </c>
      <c r="BB96" s="177"/>
      <c r="BC96" s="177"/>
      <c r="BD96" s="177"/>
      <c r="BE96" s="177"/>
      <c r="BF96" s="177"/>
      <c r="BG96" s="177"/>
      <c r="BH96" s="174"/>
    </row>
    <row r="97" spans="1:60" hidden="1">
      <c r="A97" s="1040"/>
      <c r="B97" s="1109" t="s">
        <v>161</v>
      </c>
      <c r="C97" s="1106" t="s">
        <v>181</v>
      </c>
      <c r="D97" s="638"/>
      <c r="E97" s="181" t="s">
        <v>182</v>
      </c>
      <c r="F97" s="180"/>
      <c r="G97" s="180"/>
      <c r="H97" s="181" t="s">
        <v>160</v>
      </c>
      <c r="I97" s="129"/>
      <c r="J97" s="190"/>
      <c r="K97" s="107"/>
      <c r="L97" s="107"/>
      <c r="M97" s="190"/>
      <c r="N97" s="114"/>
      <c r="O97" s="208">
        <f>IF(O$83="geen",0,O78+O88-O91+O95)</f>
        <v>0</v>
      </c>
      <c r="P97" s="208">
        <f>IF(P$83="geen",0,P78+P88-P91+P95)</f>
        <v>0</v>
      </c>
      <c r="Q97" s="208">
        <f>IF(Q$83="geen",0,Q78+Q88-Q91+Q95)</f>
        <v>0</v>
      </c>
      <c r="R97" s="130"/>
      <c r="S97" s="130"/>
      <c r="T97" s="130"/>
      <c r="U97" s="130"/>
      <c r="V97" s="130"/>
      <c r="W97" s="130"/>
      <c r="X97" s="110"/>
      <c r="Y97" s="132"/>
      <c r="Z97" s="114"/>
      <c r="AA97" s="208">
        <f>IF(AA$83="geen",0,AA78+AA88-AA91+AA95)</f>
        <v>0</v>
      </c>
      <c r="AB97" s="208">
        <f>IF(AB$83="geen",0,AB78+AB88-AB91+AB95)</f>
        <v>0</v>
      </c>
      <c r="AC97" s="208">
        <f>IF(AC$83="geen",0,AC78+AC88-AC91+AC95)</f>
        <v>0</v>
      </c>
      <c r="AD97" s="130"/>
      <c r="AE97" s="130"/>
      <c r="AF97" s="130"/>
      <c r="AG97" s="130"/>
      <c r="AH97" s="130"/>
      <c r="AI97" s="130"/>
      <c r="AJ97" s="110"/>
      <c r="AK97" s="132"/>
      <c r="AL97" s="114"/>
      <c r="AM97" s="208">
        <f>IF(AM$83="geen",0,AM78+AM88-AM91+AM95)</f>
        <v>0</v>
      </c>
      <c r="AN97" s="208">
        <f>IF(AN$83="geen",0,AN78+AN88-AN91+AN95)</f>
        <v>0</v>
      </c>
      <c r="AO97" s="208">
        <f>IF(AO$83="geen",0,AO78+AO88-AO91+AO95)</f>
        <v>0</v>
      </c>
      <c r="AP97" s="130"/>
      <c r="AQ97" s="130"/>
      <c r="AR97" s="130"/>
      <c r="AS97" s="130"/>
      <c r="AT97" s="130"/>
      <c r="AU97" s="130"/>
      <c r="AV97" s="110"/>
      <c r="AW97" s="132"/>
      <c r="AX97" s="114"/>
      <c r="AY97" s="208">
        <f>IF(AY$83="geen",0,AY78+AY88-AY91+AY95)</f>
        <v>0</v>
      </c>
      <c r="AZ97" s="208">
        <f>IF(AZ$83="geen",0,AZ78+AZ88-AZ91+AZ95)</f>
        <v>0</v>
      </c>
      <c r="BA97" s="208">
        <f>IF(BA$83="geen",0,BA78+BA88-BA91+BA95)</f>
        <v>0</v>
      </c>
      <c r="BB97" s="130"/>
      <c r="BC97" s="130"/>
      <c r="BD97" s="130"/>
      <c r="BE97" s="130"/>
      <c r="BF97" s="130"/>
      <c r="BG97" s="130"/>
      <c r="BH97" s="210"/>
    </row>
    <row r="98" spans="1:60" hidden="1">
      <c r="A98" s="1040"/>
      <c r="B98" s="1109" t="s">
        <v>161</v>
      </c>
      <c r="C98" s="1106" t="s">
        <v>181</v>
      </c>
      <c r="D98" s="641" t="s">
        <v>45</v>
      </c>
      <c r="E98" s="181" t="s">
        <v>183</v>
      </c>
      <c r="F98" s="180"/>
      <c r="G98" s="180"/>
      <c r="H98" s="181" t="s">
        <v>184</v>
      </c>
      <c r="I98" s="129"/>
      <c r="J98" s="190"/>
      <c r="K98" s="107"/>
      <c r="L98" s="107"/>
      <c r="M98" s="190"/>
      <c r="N98" s="114"/>
      <c r="O98" s="542">
        <f>IF(OR(O83="geen",O97=0),0,IF(O84=gebouw,O$27,1))</f>
        <v>0</v>
      </c>
      <c r="P98" s="542">
        <f>IF(OR(P83="geen",P97=0),0,IF(P84=gebouw,P$27,1))</f>
        <v>0</v>
      </c>
      <c r="Q98" s="542" t="s">
        <v>65</v>
      </c>
      <c r="R98" s="128"/>
      <c r="S98" s="128"/>
      <c r="T98" s="128"/>
      <c r="U98" s="128"/>
      <c r="V98" s="128"/>
      <c r="W98" s="128"/>
      <c r="X98" s="417"/>
      <c r="Y98" s="132"/>
      <c r="Z98" s="119"/>
      <c r="AA98" s="542">
        <f>IF(OR(AA83="geen",AA97=0),0,IF(AA84=gebouw,AA$27,1))</f>
        <v>0</v>
      </c>
      <c r="AB98" s="542">
        <f>IF(OR(AB83="geen",AB97=0),0,IF(AB84=gebouw,AB$27,1))</f>
        <v>0</v>
      </c>
      <c r="AC98" s="542" t="s">
        <v>65</v>
      </c>
      <c r="AD98" s="128"/>
      <c r="AE98" s="128"/>
      <c r="AF98" s="128"/>
      <c r="AG98" s="128"/>
      <c r="AH98" s="128"/>
      <c r="AI98" s="128"/>
      <c r="AJ98" s="417"/>
      <c r="AK98" s="132"/>
      <c r="AL98" s="119"/>
      <c r="AM98" s="542">
        <f>IF(OR(AM83="geen",AM97=0),0,IF(AM84=gebouw,AM$27,1))</f>
        <v>0</v>
      </c>
      <c r="AN98" s="542">
        <f>IF(OR(AN83="geen",AN97=0),0,IF(AN84=gebouw,AN$27,1))</f>
        <v>0</v>
      </c>
      <c r="AO98" s="542" t="s">
        <v>65</v>
      </c>
      <c r="AP98" s="128"/>
      <c r="AQ98" s="128"/>
      <c r="AR98" s="128"/>
      <c r="AS98" s="128"/>
      <c r="AT98" s="128"/>
      <c r="AU98" s="128"/>
      <c r="AV98" s="417"/>
      <c r="AW98" s="132"/>
      <c r="AX98" s="119"/>
      <c r="AY98" s="542">
        <f>IF(OR(AY83="geen",AY97=0),0,IF(AY84=gebouw,AY$27,1))</f>
        <v>0</v>
      </c>
      <c r="AZ98" s="542">
        <f>IF(OR(AZ83="geen",AZ97=0),0,IF(AZ84=gebouw,AZ$27,1))</f>
        <v>0</v>
      </c>
      <c r="BA98" s="542" t="s">
        <v>65</v>
      </c>
      <c r="BB98" s="130"/>
      <c r="BC98" s="130"/>
      <c r="BD98" s="130"/>
      <c r="BE98" s="130"/>
      <c r="BF98" s="130"/>
      <c r="BG98" s="130"/>
      <c r="BH98" s="210"/>
    </row>
    <row r="99" spans="1:60" hidden="1">
      <c r="A99" s="1040"/>
      <c r="B99" s="1109" t="s">
        <v>161</v>
      </c>
      <c r="C99" s="1106" t="s">
        <v>181</v>
      </c>
      <c r="D99" s="641" t="s">
        <v>45</v>
      </c>
      <c r="E99" s="181" t="s">
        <v>185</v>
      </c>
      <c r="F99" s="180"/>
      <c r="G99" s="180"/>
      <c r="H99" s="181" t="s">
        <v>186</v>
      </c>
      <c r="I99" s="129"/>
      <c r="J99" s="190"/>
      <c r="K99" s="107"/>
      <c r="L99" s="107"/>
      <c r="M99" s="190"/>
      <c r="N99" s="114"/>
      <c r="O99" s="542">
        <f>MROUND(((bibliotheek!$I$124*(O97*1000))/(0.001*bibliotheek!$I$125)*((bibliotheek!$I$126-bibliotheek!$I$128)/(bibliotheek!$I$126-bibliotheek!$I$127))+(O29^0.5*4*3+O29)*bibliotheek!$I$129)/1000,50)</f>
        <v>0</v>
      </c>
      <c r="P99" s="542">
        <f>IF(P83="geen",0,MROUND((P97*1000)*bibliotheek!$I$216,1))</f>
        <v>0</v>
      </c>
      <c r="Q99" s="542" t="s">
        <v>65</v>
      </c>
      <c r="R99" s="128"/>
      <c r="S99" s="128"/>
      <c r="T99" s="128"/>
      <c r="U99" s="128"/>
      <c r="V99" s="128"/>
      <c r="W99" s="128"/>
      <c r="X99" s="417"/>
      <c r="Y99" s="132"/>
      <c r="Z99" s="119"/>
      <c r="AA99" s="542">
        <f>MROUND(((bibliotheek!$I$124*(AA97*1000))/(0.001*bibliotheek!$I$125)*((bibliotheek!$I$126-bibliotheek!$I$128)/(bibliotheek!$I$126-bibliotheek!$I$127))+(AA29^0.5*4*3+AA29)*bibliotheek!$I$129)/1000,50)</f>
        <v>0</v>
      </c>
      <c r="AB99" s="542">
        <f>IF(AB83="geen",0,MROUND((AB97*1000)*bibliotheek!$I$216,1))</f>
        <v>0</v>
      </c>
      <c r="AC99" s="542" t="s">
        <v>65</v>
      </c>
      <c r="AD99" s="128"/>
      <c r="AE99" s="128"/>
      <c r="AF99" s="128"/>
      <c r="AG99" s="128"/>
      <c r="AH99" s="128"/>
      <c r="AI99" s="128"/>
      <c r="AJ99" s="417"/>
      <c r="AK99" s="132"/>
      <c r="AL99" s="119"/>
      <c r="AM99" s="542">
        <f>MROUND(((bibliotheek!$I$124*(AM97*1000))/(0.001*bibliotheek!$I$125)*((bibliotheek!$I$126-bibliotheek!$I$128)/(bibliotheek!$I$126-bibliotheek!$I$127))+(AM29^0.5*4*3+AM29)*bibliotheek!$I$129)/1000,50)</f>
        <v>0</v>
      </c>
      <c r="AN99" s="542">
        <f>IF(AN83="geen",0,MROUND((AN97*1000)*bibliotheek!$I$216,1))</f>
        <v>0</v>
      </c>
      <c r="AO99" s="542" t="s">
        <v>65</v>
      </c>
      <c r="AP99" s="128"/>
      <c r="AQ99" s="128"/>
      <c r="AR99" s="128"/>
      <c r="AS99" s="128"/>
      <c r="AT99" s="128"/>
      <c r="AU99" s="128"/>
      <c r="AV99" s="417"/>
      <c r="AW99" s="132"/>
      <c r="AX99" s="119"/>
      <c r="AY99" s="542">
        <f>MROUND(((bibliotheek!$I$124*(AY97*1000))/(0.001*bibliotheek!$I$125)*((bibliotheek!$I$126-bibliotheek!$I$128)/(bibliotheek!$I$126-bibliotheek!$I$127))+(AY29^0.5*4*3+AY29)*bibliotheek!$I$129)/1000,50)</f>
        <v>0</v>
      </c>
      <c r="AZ99" s="542">
        <f>IF(AZ83="geen",0,MROUND((AZ97*1000)*bibliotheek!$I$216,1))</f>
        <v>0</v>
      </c>
      <c r="BA99" s="542" t="s">
        <v>65</v>
      </c>
      <c r="BB99" s="130"/>
      <c r="BC99" s="130"/>
      <c r="BD99" s="130"/>
      <c r="BE99" s="130"/>
      <c r="BF99" s="130"/>
      <c r="BG99" s="130"/>
      <c r="BH99" s="210"/>
    </row>
    <row r="100" spans="1:60" hidden="1">
      <c r="A100" s="1040"/>
      <c r="B100" s="1109" t="s">
        <v>161</v>
      </c>
      <c r="C100" s="1107" t="s">
        <v>181</v>
      </c>
      <c r="D100" s="638"/>
      <c r="E100" s="79"/>
      <c r="F100" s="79"/>
      <c r="G100" s="79"/>
      <c r="H100" s="85"/>
      <c r="I100" s="79"/>
      <c r="J100" s="82"/>
      <c r="K100" s="79"/>
      <c r="L100" s="79"/>
      <c r="M100" s="82"/>
      <c r="N100" s="79"/>
      <c r="O100" s="82"/>
      <c r="P100" s="82"/>
      <c r="Q100" s="82"/>
      <c r="R100" s="82"/>
      <c r="S100" s="82"/>
      <c r="T100" s="82"/>
      <c r="U100" s="82"/>
      <c r="V100" s="82"/>
      <c r="W100" s="82"/>
      <c r="X100" s="82"/>
      <c r="Y100" s="82"/>
      <c r="Z100" s="79"/>
      <c r="AA100" s="108"/>
      <c r="AB100" s="105"/>
      <c r="AC100" s="108"/>
      <c r="AD100" s="82"/>
      <c r="AE100" s="82"/>
      <c r="AF100" s="82"/>
      <c r="AG100" s="82"/>
      <c r="AH100" s="82"/>
      <c r="AI100" s="82"/>
      <c r="AJ100" s="82"/>
      <c r="AK100" s="82"/>
      <c r="AL100" s="79"/>
      <c r="AM100" s="82"/>
      <c r="AN100" s="105"/>
      <c r="AO100" s="82"/>
      <c r="AP100" s="82"/>
      <c r="AQ100" s="82"/>
      <c r="AR100" s="82"/>
      <c r="AS100" s="82"/>
      <c r="AT100" s="82"/>
      <c r="AU100" s="82"/>
      <c r="AV100" s="82"/>
      <c r="AW100" s="82"/>
      <c r="AX100" s="79"/>
      <c r="AY100" s="82"/>
      <c r="AZ100" s="105"/>
      <c r="BA100" s="82"/>
      <c r="BB100" s="82"/>
      <c r="BC100" s="82"/>
      <c r="BD100" s="82"/>
      <c r="BE100" s="82"/>
      <c r="BF100" s="82"/>
      <c r="BG100" s="82"/>
      <c r="BH100" s="1"/>
    </row>
    <row r="101" spans="1:60">
      <c r="A101" s="1040"/>
      <c r="B101" s="1109" t="s">
        <v>187</v>
      </c>
      <c r="C101" s="1107" t="s">
        <v>96</v>
      </c>
      <c r="D101" s="638"/>
      <c r="E101" s="79"/>
      <c r="F101" s="79"/>
      <c r="G101" s="79"/>
      <c r="H101" s="85"/>
      <c r="I101" s="79"/>
      <c r="J101" s="82"/>
      <c r="K101" s="79"/>
      <c r="L101" s="79"/>
      <c r="M101" s="82"/>
      <c r="N101" s="79"/>
      <c r="O101" s="1018"/>
      <c r="P101" s="1019"/>
      <c r="Q101" s="1019"/>
      <c r="R101" s="82"/>
      <c r="S101" s="82"/>
      <c r="T101" s="82"/>
      <c r="U101" s="82"/>
      <c r="V101" s="82"/>
      <c r="W101" s="82"/>
      <c r="X101" s="82"/>
      <c r="Y101" s="82"/>
      <c r="Z101" s="79"/>
      <c r="AA101" s="82"/>
      <c r="AB101" s="82"/>
      <c r="AC101" s="82"/>
      <c r="AD101" s="82"/>
      <c r="AE101" s="82"/>
      <c r="AF101" s="82"/>
      <c r="AG101" s="82"/>
      <c r="AH101" s="82"/>
      <c r="AI101" s="82"/>
      <c r="AJ101" s="82"/>
      <c r="AK101" s="82"/>
      <c r="AL101" s="79"/>
      <c r="AM101" s="82"/>
      <c r="AN101" s="82"/>
      <c r="AO101" s="82"/>
      <c r="AP101" s="82"/>
      <c r="AQ101" s="82"/>
      <c r="AR101" s="82"/>
      <c r="AS101" s="82"/>
      <c r="AT101" s="82"/>
      <c r="AU101" s="82"/>
      <c r="AV101" s="82"/>
      <c r="AW101" s="82"/>
      <c r="AX101" s="79"/>
      <c r="AY101" s="82"/>
      <c r="AZ101" s="82"/>
      <c r="BA101" s="82"/>
      <c r="BB101" s="82"/>
      <c r="BC101" s="82"/>
      <c r="BD101" s="82"/>
      <c r="BE101" s="82"/>
      <c r="BF101" s="82"/>
      <c r="BG101" s="82"/>
      <c r="BH101" s="1"/>
    </row>
    <row r="102" spans="1:60" ht="21">
      <c r="A102" s="1040"/>
      <c r="B102" s="1109" t="s">
        <v>187</v>
      </c>
      <c r="C102" s="1106" t="s">
        <v>96</v>
      </c>
      <c r="D102" s="641" t="s">
        <v>45</v>
      </c>
      <c r="E102" s="199" t="s">
        <v>188</v>
      </c>
      <c r="F102" s="199"/>
      <c r="G102" s="199"/>
      <c r="H102" s="199"/>
      <c r="I102" s="77"/>
      <c r="J102" s="200" t="str">
        <f>J$10</f>
        <v>alle locaties</v>
      </c>
      <c r="K102" s="126"/>
      <c r="L102" s="126"/>
      <c r="M102" s="200" t="str">
        <f>M$10</f>
        <v>locatie 1</v>
      </c>
      <c r="N102" s="182"/>
      <c r="O102" s="966" t="str">
        <f>$E102&amp;" per energiepost"</f>
        <v>installatie preferent toestel per energiepost</v>
      </c>
      <c r="P102" s="941"/>
      <c r="Q102" s="941"/>
      <c r="R102" s="941"/>
      <c r="S102" s="941"/>
      <c r="T102" s="941"/>
      <c r="U102" s="941"/>
      <c r="V102" s="941"/>
      <c r="W102" s="956"/>
      <c r="X102" s="174"/>
      <c r="Y102" s="176" t="str">
        <f>Y$10</f>
        <v>locatie 2</v>
      </c>
      <c r="Z102" s="182"/>
      <c r="AA102" s="966" t="str">
        <f>$E102&amp;" per energiepost"</f>
        <v>installatie preferent toestel per energiepost</v>
      </c>
      <c r="AB102" s="941"/>
      <c r="AC102" s="941"/>
      <c r="AD102" s="941"/>
      <c r="AE102" s="941"/>
      <c r="AF102" s="941"/>
      <c r="AG102" s="941"/>
      <c r="AH102" s="941"/>
      <c r="AI102" s="956"/>
      <c r="AJ102" s="174"/>
      <c r="AK102" s="176" t="str">
        <f>AK$10</f>
        <v>locatie 3</v>
      </c>
      <c r="AL102" s="182"/>
      <c r="AM102" s="966" t="str">
        <f>$E102&amp;" per energiepost"</f>
        <v>installatie preferent toestel per energiepost</v>
      </c>
      <c r="AN102" s="941"/>
      <c r="AO102" s="941"/>
      <c r="AP102" s="941"/>
      <c r="AQ102" s="941"/>
      <c r="AR102" s="941"/>
      <c r="AS102" s="941"/>
      <c r="AT102" s="941"/>
      <c r="AU102" s="956"/>
      <c r="AV102" s="174"/>
      <c r="AW102" s="176" t="str">
        <f>AW$10</f>
        <v>locatie 4</v>
      </c>
      <c r="AX102" s="182"/>
      <c r="AY102" s="966" t="str">
        <f>$E102&amp;" per energiepost"</f>
        <v>installatie preferent toestel per energiepost</v>
      </c>
      <c r="AZ102" s="941"/>
      <c r="BA102" s="941"/>
      <c r="BB102" s="941"/>
      <c r="BC102" s="941"/>
      <c r="BD102" s="941"/>
      <c r="BE102" s="941"/>
      <c r="BF102" s="941"/>
      <c r="BG102" s="956"/>
      <c r="BH102" s="1"/>
    </row>
    <row r="103" spans="1:60">
      <c r="A103" s="1040"/>
      <c r="B103" s="1109" t="s">
        <v>187</v>
      </c>
      <c r="C103" s="1106" t="s">
        <v>96</v>
      </c>
      <c r="D103" s="641"/>
      <c r="E103" s="940" t="s">
        <v>189</v>
      </c>
      <c r="F103" s="940"/>
      <c r="G103" s="940"/>
      <c r="H103" s="940"/>
      <c r="I103" s="77"/>
      <c r="J103" s="939"/>
      <c r="K103" s="126"/>
      <c r="L103" s="126"/>
      <c r="M103" s="938"/>
      <c r="N103" s="125"/>
      <c r="O103" s="177" t="str">
        <f>O$10</f>
        <v>verwarming</v>
      </c>
      <c r="P103" s="177" t="str">
        <f>P$10</f>
        <v>koeling</v>
      </c>
      <c r="Q103" s="177" t="str">
        <f>Q$10</f>
        <v>tapwater</v>
      </c>
      <c r="R103" s="177"/>
      <c r="S103" s="177"/>
      <c r="T103" s="177"/>
      <c r="U103" s="177"/>
      <c r="V103" s="177"/>
      <c r="W103" s="177"/>
      <c r="X103" s="147"/>
      <c r="Y103" s="938"/>
      <c r="Z103" s="125"/>
      <c r="AA103" s="177" t="str">
        <f>AA$10</f>
        <v>verwarming</v>
      </c>
      <c r="AB103" s="177" t="str">
        <f>AB$10</f>
        <v>koeling</v>
      </c>
      <c r="AC103" s="177" t="str">
        <f>AC$10</f>
        <v>tapwater</v>
      </c>
      <c r="AD103" s="177"/>
      <c r="AE103" s="177"/>
      <c r="AF103" s="177"/>
      <c r="AG103" s="177"/>
      <c r="AH103" s="177"/>
      <c r="AI103" s="177"/>
      <c r="AJ103" s="147"/>
      <c r="AK103" s="938"/>
      <c r="AL103" s="125"/>
      <c r="AM103" s="177" t="str">
        <f>AM$10</f>
        <v>verwarming</v>
      </c>
      <c r="AN103" s="177" t="str">
        <f>AN$10</f>
        <v>koeling</v>
      </c>
      <c r="AO103" s="177" t="str">
        <f>AO$10</f>
        <v>tapwater</v>
      </c>
      <c r="AP103" s="177"/>
      <c r="AQ103" s="177"/>
      <c r="AR103" s="177"/>
      <c r="AS103" s="177"/>
      <c r="AT103" s="177"/>
      <c r="AU103" s="177"/>
      <c r="AV103" s="147"/>
      <c r="AW103" s="938"/>
      <c r="AX103" s="125"/>
      <c r="AY103" s="177" t="str">
        <f>AY$10</f>
        <v>verwarming</v>
      </c>
      <c r="AZ103" s="177" t="str">
        <f>AZ$10</f>
        <v>koeling</v>
      </c>
      <c r="BA103" s="177" t="str">
        <f>BA$10</f>
        <v>tapwater</v>
      </c>
      <c r="BB103" s="177"/>
      <c r="BC103" s="177"/>
      <c r="BD103" s="177"/>
      <c r="BE103" s="177"/>
      <c r="BF103" s="177"/>
      <c r="BG103" s="177"/>
      <c r="BH103" s="218"/>
    </row>
    <row r="104" spans="1:60" ht="38.25">
      <c r="A104" s="1040"/>
      <c r="B104" s="1109" t="s">
        <v>187</v>
      </c>
      <c r="C104" s="1107" t="s">
        <v>118</v>
      </c>
      <c r="D104" s="638"/>
      <c r="E104" s="150" t="s">
        <v>164</v>
      </c>
      <c r="F104" s="294"/>
      <c r="G104" s="294"/>
      <c r="H104" s="150" t="s">
        <v>65</v>
      </c>
      <c r="I104" s="155"/>
      <c r="J104" s="268"/>
      <c r="K104" s="1056"/>
      <c r="L104" s="1056"/>
      <c r="M104" s="268"/>
      <c r="N104" s="120"/>
      <c r="O104" s="324" t="str">
        <f>O83</f>
        <v>ind WP, ind bodem, elek bijstook</v>
      </c>
      <c r="P104" s="324" t="str">
        <f>P83</f>
        <v>geen</v>
      </c>
      <c r="Q104" s="324" t="str">
        <f>Q83</f>
        <v>ind WP, ind bodem, elek bijstook</v>
      </c>
      <c r="R104" s="156"/>
      <c r="S104" s="156"/>
      <c r="T104" s="156"/>
      <c r="U104" s="156"/>
      <c r="V104" s="156"/>
      <c r="W104" s="156"/>
      <c r="X104" s="157"/>
      <c r="Y104" s="268"/>
      <c r="Z104" s="120"/>
      <c r="AA104" s="324" t="str">
        <f>AA83</f>
        <v>ind WP, ind bodem, elek bijstook</v>
      </c>
      <c r="AB104" s="324" t="str">
        <f>AB83</f>
        <v>geen</v>
      </c>
      <c r="AC104" s="324" t="str">
        <f>AC83</f>
        <v>ind WP, ind bodem, elek bijstook</v>
      </c>
      <c r="AD104" s="156"/>
      <c r="AE104" s="156"/>
      <c r="AF104" s="156"/>
      <c r="AG104" s="156"/>
      <c r="AH104" s="156"/>
      <c r="AI104" s="156"/>
      <c r="AJ104" s="157"/>
      <c r="AK104" s="268"/>
      <c r="AL104" s="120"/>
      <c r="AM104" s="324" t="str">
        <f>AM83</f>
        <v>ind WP, ind bodem, elek bijstook</v>
      </c>
      <c r="AN104" s="324" t="str">
        <f>AN83</f>
        <v>geen</v>
      </c>
      <c r="AO104" s="324" t="str">
        <f>AO83</f>
        <v>ind WP, ind bodem, elek bijstook</v>
      </c>
      <c r="AP104" s="156"/>
      <c r="AQ104" s="156"/>
      <c r="AR104" s="156"/>
      <c r="AS104" s="156"/>
      <c r="AT104" s="156"/>
      <c r="AU104" s="156"/>
      <c r="AV104" s="157"/>
      <c r="AW104" s="268"/>
      <c r="AX104" s="120"/>
      <c r="AY104" s="324" t="str">
        <f>AY83</f>
        <v>ind WP, ind bodem, elek bijstook</v>
      </c>
      <c r="AZ104" s="324" t="str">
        <f>AZ83</f>
        <v>geen</v>
      </c>
      <c r="BA104" s="324" t="str">
        <f>BA83</f>
        <v>ind WP, ind bodem, elek bijstook</v>
      </c>
      <c r="BB104" s="156"/>
      <c r="BC104" s="156"/>
      <c r="BD104" s="156"/>
      <c r="BE104" s="156"/>
      <c r="BF104" s="156"/>
      <c r="BG104" s="156"/>
      <c r="BH104" s="218"/>
    </row>
    <row r="105" spans="1:60" s="36" customFormat="1" ht="80.25" hidden="1" customHeight="1">
      <c r="A105" s="1040"/>
      <c r="B105" s="1109" t="s">
        <v>187</v>
      </c>
      <c r="C105" s="1107" t="s">
        <v>181</v>
      </c>
      <c r="D105" s="638"/>
      <c r="E105" s="150" t="s">
        <v>190</v>
      </c>
      <c r="F105" s="149"/>
      <c r="G105" s="149"/>
      <c r="H105" s="150" t="s">
        <v>65</v>
      </c>
      <c r="I105" s="277"/>
      <c r="J105" s="287"/>
      <c r="K105" s="1057"/>
      <c r="L105" s="1057"/>
      <c r="M105" s="287"/>
      <c r="N105" s="194"/>
      <c r="O105" s="324" t="str">
        <f>HLOOKUP(IF(O$83="",referentie_verwarming,O$83),toestellen_RV,ROWS(bibliotheek!$E$83:$E$96),FALSE)</f>
        <v>elektriciteit</v>
      </c>
      <c r="P105" s="324" t="str">
        <f>HLOOKUP(IF(P$83="",referentie_koeling,P$83),toestellen_KOEL,ROWS(bibliotheek!$E$190:$E$197),FALSE)</f>
        <v>nvt</v>
      </c>
      <c r="Q105" s="324" t="str">
        <f>HLOOKUP(IF(Q$83="",referentie_warmtapwater,Q$83),toestellen_TAP,ROWS(bibliotheek!$E$139:$E$152),FALSE)</f>
        <v>elektriciteit</v>
      </c>
      <c r="R105" s="278"/>
      <c r="S105" s="278"/>
      <c r="T105" s="278"/>
      <c r="U105" s="278"/>
      <c r="V105" s="278"/>
      <c r="W105" s="278"/>
      <c r="X105" s="279"/>
      <c r="Y105" s="287"/>
      <c r="Z105" s="194"/>
      <c r="AA105" s="324" t="str">
        <f>HLOOKUP(IF(AA$83="",referentie_verwarming,AA$83),toestellen_RV,ROWS(bibliotheek!$E$83:$E$96),FALSE)</f>
        <v>elektriciteit</v>
      </c>
      <c r="AB105" s="324" t="str">
        <f>HLOOKUP(IF(AB$83="",referentie_koeling,AB$83),toestellen_KOEL,ROWS(bibliotheek!$E$190:$E$197),FALSE)</f>
        <v>nvt</v>
      </c>
      <c r="AC105" s="324" t="str">
        <f>HLOOKUP(IF(AC$83="",referentie_warmtapwater,AC$83),toestellen_TAP,ROWS(bibliotheek!$E$139:$E$152),FALSE)</f>
        <v>elektriciteit</v>
      </c>
      <c r="AD105" s="278"/>
      <c r="AE105" s="278"/>
      <c r="AF105" s="278"/>
      <c r="AG105" s="278"/>
      <c r="AH105" s="278"/>
      <c r="AI105" s="278"/>
      <c r="AJ105" s="279"/>
      <c r="AK105" s="287"/>
      <c r="AL105" s="194"/>
      <c r="AM105" s="324" t="str">
        <f>HLOOKUP(IF(AM$83="",referentie_verwarming,AM$83),toestellen_RV,ROWS(bibliotheek!$E$83:$E$96),FALSE)</f>
        <v>elektriciteit</v>
      </c>
      <c r="AN105" s="324" t="str">
        <f>HLOOKUP(IF(AN$83="",referentie_koeling,AN$83),toestellen_KOEL,ROWS(bibliotheek!$E$190:$E$197),FALSE)</f>
        <v>nvt</v>
      </c>
      <c r="AO105" s="324" t="str">
        <f>HLOOKUP(IF(AO$83="",referentie_warmtapwater,AO$83),toestellen_TAP,ROWS(bibliotheek!$E$139:$E$152),FALSE)</f>
        <v>elektriciteit</v>
      </c>
      <c r="AP105" s="278"/>
      <c r="AQ105" s="278"/>
      <c r="AR105" s="278"/>
      <c r="AS105" s="278"/>
      <c r="AT105" s="278"/>
      <c r="AU105" s="278"/>
      <c r="AV105" s="279"/>
      <c r="AW105" s="287"/>
      <c r="AX105" s="194"/>
      <c r="AY105" s="324" t="str">
        <f>HLOOKUP(IF(AY$83="",referentie_verwarming,AY$83),toestellen_RV,ROWS(bibliotheek!$E$83:$E$96),FALSE)</f>
        <v>elektriciteit</v>
      </c>
      <c r="AZ105" s="324" t="str">
        <f>HLOOKUP(IF(AZ$83="",referentie_koeling,AZ$83),toestellen_KOEL,ROWS(bibliotheek!$E$190:$E$197),FALSE)</f>
        <v>nvt</v>
      </c>
      <c r="BA105" s="324" t="str">
        <f>HLOOKUP(IF(BA$83="",referentie_warmtapwater,BA$83),toestellen_TAP,ROWS(bibliotheek!$E$139:$E$152),FALSE)</f>
        <v>elektriciteit</v>
      </c>
      <c r="BB105" s="278"/>
      <c r="BC105" s="278"/>
      <c r="BD105" s="278"/>
      <c r="BE105" s="278"/>
      <c r="BF105" s="278"/>
      <c r="BG105" s="278"/>
      <c r="BH105" s="223"/>
    </row>
    <row r="106" spans="1:60" hidden="1">
      <c r="A106" s="1040"/>
      <c r="B106" s="1109" t="s">
        <v>187</v>
      </c>
      <c r="C106" s="1106" t="s">
        <v>181</v>
      </c>
      <c r="D106" s="638"/>
      <c r="E106" s="181" t="s">
        <v>191</v>
      </c>
      <c r="F106" s="180"/>
      <c r="G106" s="180"/>
      <c r="H106" s="181" t="s">
        <v>65</v>
      </c>
      <c r="I106" s="129"/>
      <c r="J106" s="190"/>
      <c r="K106" s="1058"/>
      <c r="L106" s="1058"/>
      <c r="M106" s="190"/>
      <c r="N106" s="114"/>
      <c r="O106" s="543" t="str">
        <f>INDEX(energiedragers_index_fPren,MATCH(O105,energiedragers_namen,0))</f>
        <v>nren</v>
      </c>
      <c r="P106" s="543" t="str">
        <f>INDEX(energiedragers_index_fPren,MATCH(P105,energiedragers_namen,0))</f>
        <v>nren</v>
      </c>
      <c r="Q106" s="543" t="str">
        <f>INDEX(energiedragers_index_fPren,MATCH(Q105,energiedragers_namen,0))</f>
        <v>nren</v>
      </c>
      <c r="R106" s="165"/>
      <c r="S106" s="165"/>
      <c r="T106" s="165"/>
      <c r="U106" s="165"/>
      <c r="V106" s="165"/>
      <c r="W106" s="165"/>
      <c r="X106" s="166"/>
      <c r="Y106" s="190"/>
      <c r="Z106" s="114"/>
      <c r="AA106" s="543" t="str">
        <f>INDEX(energiedragers_index_fPren,MATCH(AA105,energiedragers_namen,0))</f>
        <v>nren</v>
      </c>
      <c r="AB106" s="543" t="str">
        <f>INDEX(energiedragers_index_fPren,MATCH(AB105,energiedragers_namen,0))</f>
        <v>nren</v>
      </c>
      <c r="AC106" s="543" t="str">
        <f>INDEX(energiedragers_index_fPren,MATCH(AC105,energiedragers_namen,0))</f>
        <v>nren</v>
      </c>
      <c r="AD106" s="165"/>
      <c r="AE106" s="165"/>
      <c r="AF106" s="165"/>
      <c r="AG106" s="165"/>
      <c r="AH106" s="165"/>
      <c r="AI106" s="165"/>
      <c r="AJ106" s="166"/>
      <c r="AK106" s="190"/>
      <c r="AL106" s="114"/>
      <c r="AM106" s="543" t="str">
        <f>INDEX(energiedragers_index_fPren,MATCH(AM105,energiedragers_namen,0))</f>
        <v>nren</v>
      </c>
      <c r="AN106" s="543" t="str">
        <f>INDEX(energiedragers_index_fPren,MATCH(AN105,energiedragers_namen,0))</f>
        <v>nren</v>
      </c>
      <c r="AO106" s="543" t="str">
        <f>INDEX(energiedragers_index_fPren,MATCH(AO105,energiedragers_namen,0))</f>
        <v>nren</v>
      </c>
      <c r="AP106" s="165"/>
      <c r="AQ106" s="165"/>
      <c r="AR106" s="165"/>
      <c r="AS106" s="165"/>
      <c r="AT106" s="165"/>
      <c r="AU106" s="165"/>
      <c r="AV106" s="166"/>
      <c r="AW106" s="190"/>
      <c r="AX106" s="114"/>
      <c r="AY106" s="543" t="str">
        <f>INDEX(energiedragers_index_fPren,MATCH(AY105,energiedragers_namen,0))</f>
        <v>nren</v>
      </c>
      <c r="AZ106" s="543" t="str">
        <f>INDEX(energiedragers_index_fPren,MATCH(AZ105,energiedragers_namen,0))</f>
        <v>nren</v>
      </c>
      <c r="BA106" s="543" t="str">
        <f>INDEX(energiedragers_index_fPren,MATCH(BA105,energiedragers_namen,0))</f>
        <v>nren</v>
      </c>
      <c r="BB106" s="165"/>
      <c r="BC106" s="165"/>
      <c r="BD106" s="165"/>
      <c r="BE106" s="165"/>
      <c r="BF106" s="165"/>
      <c r="BG106" s="165"/>
      <c r="BH106" s="219"/>
    </row>
    <row r="107" spans="1:60">
      <c r="A107" s="1040"/>
      <c r="B107" s="1109" t="s">
        <v>187</v>
      </c>
      <c r="C107" s="1106" t="s">
        <v>96</v>
      </c>
      <c r="D107" s="638"/>
      <c r="E107" s="940" t="s">
        <v>192</v>
      </c>
      <c r="F107" s="940"/>
      <c r="G107" s="940"/>
      <c r="H107" s="940"/>
      <c r="I107" s="77"/>
      <c r="J107" s="939"/>
      <c r="K107" s="126"/>
      <c r="L107" s="126"/>
      <c r="M107" s="938"/>
      <c r="N107" s="125"/>
      <c r="O107" s="177" t="str">
        <f>O$10</f>
        <v>verwarming</v>
      </c>
      <c r="P107" s="177" t="str">
        <f>P$10</f>
        <v>koeling</v>
      </c>
      <c r="Q107" s="177" t="str">
        <f>Q$10</f>
        <v>tapwater</v>
      </c>
      <c r="R107" s="177"/>
      <c r="S107" s="177"/>
      <c r="T107" s="177"/>
      <c r="U107" s="177"/>
      <c r="V107" s="177"/>
      <c r="W107" s="177"/>
      <c r="X107" s="127"/>
      <c r="Y107" s="938"/>
      <c r="Z107" s="125"/>
      <c r="AA107" s="177" t="str">
        <f>AA$10</f>
        <v>verwarming</v>
      </c>
      <c r="AB107" s="177" t="str">
        <f>AB$10</f>
        <v>koeling</v>
      </c>
      <c r="AC107" s="177" t="str">
        <f>AC$10</f>
        <v>tapwater</v>
      </c>
      <c r="AD107" s="177"/>
      <c r="AE107" s="177"/>
      <c r="AF107" s="177"/>
      <c r="AG107" s="177"/>
      <c r="AH107" s="177"/>
      <c r="AI107" s="177"/>
      <c r="AJ107" s="127"/>
      <c r="AK107" s="938"/>
      <c r="AL107" s="125"/>
      <c r="AM107" s="177" t="str">
        <f>AM$10</f>
        <v>verwarming</v>
      </c>
      <c r="AN107" s="177" t="str">
        <f>AN$10</f>
        <v>koeling</v>
      </c>
      <c r="AO107" s="177" t="str">
        <f>AO$10</f>
        <v>tapwater</v>
      </c>
      <c r="AP107" s="177"/>
      <c r="AQ107" s="177"/>
      <c r="AR107" s="177"/>
      <c r="AS107" s="177"/>
      <c r="AT107" s="177"/>
      <c r="AU107" s="177"/>
      <c r="AV107" s="127"/>
      <c r="AW107" s="938"/>
      <c r="AX107" s="125"/>
      <c r="AY107" s="177" t="str">
        <f>AY$10</f>
        <v>verwarming</v>
      </c>
      <c r="AZ107" s="177" t="str">
        <f>AZ$10</f>
        <v>koeling</v>
      </c>
      <c r="BA107" s="177" t="str">
        <f>BA$10</f>
        <v>tapwater</v>
      </c>
      <c r="BB107" s="177"/>
      <c r="BC107" s="177"/>
      <c r="BD107" s="177"/>
      <c r="BE107" s="177"/>
      <c r="BF107" s="177"/>
      <c r="BG107" s="177"/>
      <c r="BH107" s="218"/>
    </row>
    <row r="108" spans="1:60">
      <c r="A108" s="1040"/>
      <c r="B108" s="1109" t="s">
        <v>187</v>
      </c>
      <c r="C108" s="1107" t="s">
        <v>118</v>
      </c>
      <c r="D108" s="638"/>
      <c r="E108" s="291" t="s">
        <v>193</v>
      </c>
      <c r="F108" s="254"/>
      <c r="G108" s="254"/>
      <c r="H108" s="291" t="s">
        <v>139</v>
      </c>
      <c r="I108" s="77"/>
      <c r="J108" s="189"/>
      <c r="K108" s="107"/>
      <c r="L108" s="107"/>
      <c r="M108" s="189"/>
      <c r="N108" s="79"/>
      <c r="O108" s="544">
        <f>IF(HLOOKUP(IF(O$83="",referentie_verwarming,O$83),toestellen_RV,ROWS(bibliotheek!$E$83:$E$98),FALSE)=1,1,IF(O109&lt;&gt;"",O109,HLOOKUP(IF(O$83="",referentie_verwarming,O$83),toestellen_RV,ROWS(bibliotheek!$E$83:$E$98),FALSE)))</f>
        <v>0.9</v>
      </c>
      <c r="P108" s="544">
        <f>IF(HLOOKUP(IF(P$83="",referentie_koeling,P$83),toestellen_KOEL,ROWS(bibliotheek!$E$190:$E$199),FALSE)=1,1,IF(P109&lt;&gt;"",P109,HLOOKUP(IF(P$83="",referentie_koeling,P$83),toestellen_KOEL,ROWS(bibliotheek!$E$190:$E$199),FALSE)))</f>
        <v>1</v>
      </c>
      <c r="Q108" s="544">
        <f>IF(HLOOKUP(IF(Q$83="",referentie_warmtapwater,Q$83),toestellen_TAP,ROWS(bibliotheek!$E$139:$E$154),FALSE)=1,1,IF(Q109&lt;&gt;"",Q109,HLOOKUP(IF(Q$83="",referentie_warmtapwater,Q$83),toestellen_TAP,ROWS(bibliotheek!$E$139:$E$154),FALSE)))</f>
        <v>0.9</v>
      </c>
      <c r="R108" s="135"/>
      <c r="S108" s="135"/>
      <c r="T108" s="135"/>
      <c r="U108" s="135"/>
      <c r="V108" s="135"/>
      <c r="W108" s="135"/>
      <c r="X108" s="76"/>
      <c r="Y108" s="189"/>
      <c r="Z108" s="79"/>
      <c r="AA108" s="544">
        <f>IF(HLOOKUP(IF(AA$83="",referentie_verwarming,AA$83),toestellen_RV,ROWS(bibliotheek!$E$83:$E$98),FALSE)=1,1,IF(AA109&lt;&gt;"",AA109,HLOOKUP(IF(AA$83="",referentie_verwarming,AA$83),toestellen_RV,ROWS(bibliotheek!$E$83:$E$98),FALSE)))</f>
        <v>0.9</v>
      </c>
      <c r="AB108" s="544">
        <f>IF(HLOOKUP(IF(AB$83="",referentie_koeling,AB$83),toestellen_KOEL,ROWS(bibliotheek!$E$190:$E$199),FALSE)=1,1,IF(AB109&lt;&gt;"",AB109,HLOOKUP(IF(AB$83="",referentie_koeling,AB$83),toestellen_KOEL,ROWS(bibliotheek!$E$190:$E$199),FALSE)))</f>
        <v>1</v>
      </c>
      <c r="AC108" s="544">
        <f>IF(HLOOKUP(IF(AC$83="",referentie_warmtapwater,AC$83),toestellen_TAP,ROWS(bibliotheek!$E$139:$E$154),FALSE)=1,1,IF(AC109&lt;&gt;"",AC109,HLOOKUP(IF(AC$83="",referentie_warmtapwater,AC$83),toestellen_TAP,ROWS(bibliotheek!$E$139:$E$154),FALSE)))</f>
        <v>0.9</v>
      </c>
      <c r="AD108" s="135"/>
      <c r="AE108" s="135"/>
      <c r="AF108" s="135"/>
      <c r="AG108" s="135"/>
      <c r="AH108" s="135"/>
      <c r="AI108" s="135"/>
      <c r="AJ108" s="76"/>
      <c r="AK108" s="189"/>
      <c r="AL108" s="79"/>
      <c r="AM108" s="544">
        <f>IF(HLOOKUP(IF(AM$83="",referentie_verwarming,AM$83),toestellen_RV,ROWS(bibliotheek!$E$83:$E$98),FALSE)=1,1,IF(AM109&lt;&gt;"",AM109,HLOOKUP(IF(AM$83="",referentie_verwarming,AM$83),toestellen_RV,ROWS(bibliotheek!$E$83:$E$98),FALSE)))</f>
        <v>0.9</v>
      </c>
      <c r="AN108" s="544">
        <f>IF(HLOOKUP(IF(AN$83="",referentie_koeling,AN$83),toestellen_KOEL,ROWS(bibliotheek!$E$190:$E$199),FALSE)=1,1,IF(AN109&lt;&gt;"",AN109,HLOOKUP(IF(AN$83="",referentie_koeling,AN$83),toestellen_KOEL,ROWS(bibliotheek!$E$190:$E$199),FALSE)))</f>
        <v>1</v>
      </c>
      <c r="AO108" s="544">
        <f>IF(HLOOKUP(IF(AO$83="",referentie_warmtapwater,AO$83),toestellen_TAP,ROWS(bibliotheek!$E$139:$E$154),FALSE)=1,1,IF(AO109&lt;&gt;"",AO109,HLOOKUP(IF(AO$83="",referentie_warmtapwater,AO$83),toestellen_TAP,ROWS(bibliotheek!$E$139:$E$154),FALSE)))</f>
        <v>0.9</v>
      </c>
      <c r="AP108" s="135"/>
      <c r="AQ108" s="135"/>
      <c r="AR108" s="135"/>
      <c r="AS108" s="135"/>
      <c r="AT108" s="135"/>
      <c r="AU108" s="135"/>
      <c r="AV108" s="76"/>
      <c r="AW108" s="189"/>
      <c r="AX108" s="79"/>
      <c r="AY108" s="544">
        <f>IF(HLOOKUP(IF(AY$83="",referentie_verwarming,AY$83),toestellen_RV,ROWS(bibliotheek!$E$83:$E$98),FALSE)=1,1,IF(AY109&lt;&gt;"",AY109,HLOOKUP(IF(AY$83="",referentie_verwarming,AY$83),toestellen_RV,ROWS(bibliotheek!$E$83:$E$98),FALSE)))</f>
        <v>0.9</v>
      </c>
      <c r="AZ108" s="544">
        <f>IF(HLOOKUP(IF(AZ$83="",referentie_koeling,AZ$83),toestellen_KOEL,ROWS(bibliotheek!$E$190:$E$199),FALSE)=1,1,IF(AZ109&lt;&gt;"",AZ109,HLOOKUP(IF(AZ$83="",referentie_koeling,AZ$83),toestellen_KOEL,ROWS(bibliotheek!$E$190:$E$199),FALSE)))</f>
        <v>1</v>
      </c>
      <c r="BA108" s="544">
        <f>IF(HLOOKUP(IF(BA$83="",referentie_warmtapwater,BA$83),toestellen_TAP,ROWS(bibliotheek!$E$139:$E$154),FALSE)=1,1,IF(BA109&lt;&gt;"",BA109,HLOOKUP(IF(BA$83="",referentie_warmtapwater,BA$83),toestellen_TAP,ROWS(bibliotheek!$E$139:$E$154),FALSE)))</f>
        <v>0.9</v>
      </c>
      <c r="BB108" s="135"/>
      <c r="BC108" s="135"/>
      <c r="BD108" s="135"/>
      <c r="BE108" s="135"/>
      <c r="BF108" s="135"/>
      <c r="BG108" s="135"/>
      <c r="BH108" s="174"/>
    </row>
    <row r="109" spans="1:60">
      <c r="A109" s="1040"/>
      <c r="B109" s="1109" t="s">
        <v>187</v>
      </c>
      <c r="C109" s="1107" t="s">
        <v>118</v>
      </c>
      <c r="D109" s="638"/>
      <c r="E109" s="1218" t="s">
        <v>194</v>
      </c>
      <c r="F109" s="255"/>
      <c r="G109" s="255"/>
      <c r="H109" s="292"/>
      <c r="I109" s="77"/>
      <c r="J109" s="299"/>
      <c r="K109" s="107"/>
      <c r="L109" s="107"/>
      <c r="M109" s="198"/>
      <c r="N109" s="79"/>
      <c r="O109" s="282"/>
      <c r="P109" s="282"/>
      <c r="Q109" s="282"/>
      <c r="R109" s="137"/>
      <c r="S109" s="137"/>
      <c r="T109" s="137"/>
      <c r="U109" s="137"/>
      <c r="V109" s="137"/>
      <c r="W109" s="137"/>
      <c r="X109" s="76"/>
      <c r="Y109" s="198"/>
      <c r="Z109" s="79"/>
      <c r="AA109" s="282"/>
      <c r="AB109" s="282"/>
      <c r="AC109" s="282"/>
      <c r="AD109" s="137"/>
      <c r="AE109" s="137"/>
      <c r="AF109" s="137"/>
      <c r="AG109" s="137"/>
      <c r="AH109" s="137"/>
      <c r="AI109" s="137"/>
      <c r="AJ109" s="76"/>
      <c r="AK109" s="198"/>
      <c r="AL109" s="79"/>
      <c r="AM109" s="282"/>
      <c r="AN109" s="282"/>
      <c r="AO109" s="282"/>
      <c r="AP109" s="137"/>
      <c r="AQ109" s="137"/>
      <c r="AR109" s="137"/>
      <c r="AS109" s="137"/>
      <c r="AT109" s="137"/>
      <c r="AU109" s="137"/>
      <c r="AV109" s="76"/>
      <c r="AW109" s="198"/>
      <c r="AX109" s="79"/>
      <c r="AY109" s="282"/>
      <c r="AZ109" s="282"/>
      <c r="BA109" s="282"/>
      <c r="BB109" s="137"/>
      <c r="BC109" s="137"/>
      <c r="BD109" s="137"/>
      <c r="BE109" s="137"/>
      <c r="BF109" s="137"/>
      <c r="BG109" s="137"/>
      <c r="BH109" s="220"/>
    </row>
    <row r="110" spans="1:60" hidden="1">
      <c r="A110" s="1046"/>
      <c r="B110" s="1109" t="s">
        <v>187</v>
      </c>
      <c r="C110" s="1111" t="s">
        <v>181</v>
      </c>
      <c r="D110" s="643"/>
      <c r="E110" s="201" t="s">
        <v>195</v>
      </c>
      <c r="F110" s="245"/>
      <c r="G110" s="245"/>
      <c r="H110" s="201" t="s">
        <v>160</v>
      </c>
      <c r="I110" s="107"/>
      <c r="J110" s="202">
        <f>M110+Y110+AK110+AW110</f>
        <v>0</v>
      </c>
      <c r="K110" s="1059"/>
      <c r="L110" s="1059"/>
      <c r="M110" s="202">
        <f>SUM(O110:X110)</f>
        <v>0</v>
      </c>
      <c r="N110" s="243"/>
      <c r="O110" s="168">
        <f>O$97*O108</f>
        <v>0</v>
      </c>
      <c r="P110" s="168">
        <f>P$97*P108</f>
        <v>0</v>
      </c>
      <c r="Q110" s="168">
        <f>Q$97*Q108</f>
        <v>0</v>
      </c>
      <c r="R110" s="130"/>
      <c r="S110" s="130"/>
      <c r="T110" s="130"/>
      <c r="U110" s="130"/>
      <c r="V110" s="130"/>
      <c r="W110" s="130"/>
      <c r="X110" s="110"/>
      <c r="Y110" s="202">
        <f>SUM(AA110:AJ110)</f>
        <v>0</v>
      </c>
      <c r="Z110" s="243"/>
      <c r="AA110" s="168">
        <f>AA$97*AA108</f>
        <v>0</v>
      </c>
      <c r="AB110" s="168">
        <f>AB$97*AB108</f>
        <v>0</v>
      </c>
      <c r="AC110" s="168">
        <f>AC$97*AC108</f>
        <v>0</v>
      </c>
      <c r="AD110" s="130"/>
      <c r="AE110" s="130"/>
      <c r="AF110" s="130"/>
      <c r="AG110" s="130"/>
      <c r="AH110" s="130"/>
      <c r="AI110" s="130"/>
      <c r="AJ110" s="110"/>
      <c r="AK110" s="202">
        <f>SUM(AM110:AV110)</f>
        <v>0</v>
      </c>
      <c r="AL110" s="243"/>
      <c r="AM110" s="168">
        <f>AM$97*AM108</f>
        <v>0</v>
      </c>
      <c r="AN110" s="168">
        <f>AN$97*AN108</f>
        <v>0</v>
      </c>
      <c r="AO110" s="168">
        <f>AO$97*AO108</f>
        <v>0</v>
      </c>
      <c r="AP110" s="130"/>
      <c r="AQ110" s="130"/>
      <c r="AR110" s="130"/>
      <c r="AS110" s="130"/>
      <c r="AT110" s="130"/>
      <c r="AU110" s="130"/>
      <c r="AV110" s="110"/>
      <c r="AW110" s="202">
        <f>SUM(AY110:BH110)</f>
        <v>0</v>
      </c>
      <c r="AX110" s="243"/>
      <c r="AY110" s="168">
        <f>AY$97*AY108</f>
        <v>0</v>
      </c>
      <c r="AZ110" s="168">
        <f>AZ$97*AZ108</f>
        <v>0</v>
      </c>
      <c r="BA110" s="168">
        <f>BA$97*BA108</f>
        <v>0</v>
      </c>
      <c r="BB110" s="130"/>
      <c r="BC110" s="130"/>
      <c r="BD110" s="130"/>
      <c r="BE110" s="130"/>
      <c r="BF110" s="130"/>
      <c r="BG110" s="130"/>
      <c r="BH110" s="174"/>
    </row>
    <row r="111" spans="1:60">
      <c r="A111" s="1040"/>
      <c r="B111" s="1109" t="s">
        <v>187</v>
      </c>
      <c r="C111" s="1107" t="s">
        <v>118</v>
      </c>
      <c r="D111" s="641" t="s">
        <v>45</v>
      </c>
      <c r="E111" s="291" t="s">
        <v>196</v>
      </c>
      <c r="F111" s="254"/>
      <c r="G111" s="254"/>
      <c r="H111" s="291" t="s">
        <v>65</v>
      </c>
      <c r="I111" s="77"/>
      <c r="J111" s="288"/>
      <c r="K111" s="1060"/>
      <c r="L111" s="1060"/>
      <c r="M111" s="288"/>
      <c r="N111" s="244"/>
      <c r="O111" s="377">
        <f>IF(O112&lt;&gt;"",O112,HLOOKUP(IF(O$83="",referentie_verwarming,O$83),toestellen_RV,ROWS(bibliotheek!$E$83:$E$99),FALSE))</f>
        <v>4.55</v>
      </c>
      <c r="P111" s="377">
        <f>IF(P112&lt;&gt;"",P112,HLOOKUP(IF(P$83="",referentie_koeling,P$83),toestellen_KOEL,ROWS(bibliotheek!$E$190:$E$200),FALSE))</f>
        <v>0</v>
      </c>
      <c r="Q111" s="377">
        <f>IF(Q112&lt;&gt;"",Q112,HLOOKUP(IF(Q$83="",referentie_warmtapwater,Q$83),toestellen_TAP,ROWS(bibliotheek!$E$139:$E$155),FALSE))</f>
        <v>2.4</v>
      </c>
      <c r="R111" s="141"/>
      <c r="S111" s="141"/>
      <c r="T111" s="141"/>
      <c r="U111" s="141"/>
      <c r="V111" s="141"/>
      <c r="W111" s="141"/>
      <c r="X111" s="348"/>
      <c r="Y111" s="288"/>
      <c r="Z111" s="244"/>
      <c r="AA111" s="377">
        <f>IF(AA112&lt;&gt;"",AA112,HLOOKUP(IF(AA$83="",referentie_verwarming,AA$83),toestellen_RV,ROWS(bibliotheek!$E$83:$E$99),FALSE))</f>
        <v>4.55</v>
      </c>
      <c r="AB111" s="377">
        <f>IF(AB112&lt;&gt;"",AB112,HLOOKUP(IF(AB$83="",referentie_koeling,AB$83),toestellen_KOEL,ROWS(bibliotheek!$E$190:$E$200),FALSE))</f>
        <v>0</v>
      </c>
      <c r="AC111" s="377">
        <f>IF(AC112&lt;&gt;"",AC112,HLOOKUP(IF(AC$83="",referentie_warmtapwater,AC$83),toestellen_TAP,ROWS(bibliotheek!$E$139:$E$155),FALSE))</f>
        <v>2.4</v>
      </c>
      <c r="AD111" s="141"/>
      <c r="AE111" s="141"/>
      <c r="AF111" s="141"/>
      <c r="AG111" s="141"/>
      <c r="AH111" s="141"/>
      <c r="AI111" s="141"/>
      <c r="AJ111" s="348"/>
      <c r="AK111" s="288"/>
      <c r="AL111" s="244"/>
      <c r="AM111" s="377">
        <f>IF(AM112&lt;&gt;"",AM112,HLOOKUP(IF(AM$83="",referentie_verwarming,AM$83),toestellen_RV,ROWS(bibliotheek!$E$83:$E$99),FALSE))</f>
        <v>4.55</v>
      </c>
      <c r="AN111" s="377">
        <f>IF(AN112&lt;&gt;"",AN112,HLOOKUP(IF(AN$83="",referentie_koeling,AN$83),toestellen_KOEL,ROWS(bibliotheek!$E$190:$E$200),FALSE))</f>
        <v>0</v>
      </c>
      <c r="AO111" s="377">
        <f>IF(AO112&lt;&gt;"",AO112,HLOOKUP(IF(AO$83="",referentie_warmtapwater,AO$83),toestellen_TAP,ROWS(bibliotheek!$E$139:$E$155),FALSE))</f>
        <v>2.4</v>
      </c>
      <c r="AP111" s="141"/>
      <c r="AQ111" s="141"/>
      <c r="AR111" s="141"/>
      <c r="AS111" s="141"/>
      <c r="AT111" s="141"/>
      <c r="AU111" s="141"/>
      <c r="AV111" s="348"/>
      <c r="AW111" s="288"/>
      <c r="AX111" s="244"/>
      <c r="AY111" s="377">
        <f>IF(AY112&lt;&gt;"",AY112,HLOOKUP(IF(AY$83="",referentie_verwarming,AY$83),toestellen_RV,ROWS(bibliotheek!$E$83:$E$99),FALSE))</f>
        <v>4.55</v>
      </c>
      <c r="AZ111" s="377">
        <f>IF(AZ112&lt;&gt;"",AZ112,HLOOKUP(IF(AZ$83="",referentie_koeling,AZ$83),toestellen_KOEL,ROWS(bibliotheek!$E$190:$E$200),FALSE))</f>
        <v>0</v>
      </c>
      <c r="BA111" s="377">
        <f>IF(BA112&lt;&gt;"",BA112,HLOOKUP(IF(BA$83="",referentie_warmtapwater,BA$83),toestellen_TAP,ROWS(bibliotheek!$E$139:$E$155),FALSE))</f>
        <v>2.4</v>
      </c>
      <c r="BB111" s="141"/>
      <c r="BC111" s="141"/>
      <c r="BD111" s="141"/>
      <c r="BE111" s="141"/>
      <c r="BF111" s="141"/>
      <c r="BG111" s="141"/>
      <c r="BH111" s="174"/>
    </row>
    <row r="112" spans="1:60">
      <c r="A112" s="1040"/>
      <c r="B112" s="1109" t="s">
        <v>187</v>
      </c>
      <c r="C112" s="1107" t="s">
        <v>118</v>
      </c>
      <c r="D112" s="638"/>
      <c r="E112" s="1218" t="s">
        <v>197</v>
      </c>
      <c r="F112" s="292"/>
      <c r="G112" s="292"/>
      <c r="H112" s="292"/>
      <c r="I112" s="77"/>
      <c r="J112" s="299"/>
      <c r="K112" s="1060"/>
      <c r="L112" s="1060"/>
      <c r="M112" s="198"/>
      <c r="N112" s="244"/>
      <c r="O112" s="354"/>
      <c r="P112" s="354"/>
      <c r="Q112" s="354"/>
      <c r="R112" s="414"/>
      <c r="S112" s="414"/>
      <c r="T112" s="414"/>
      <c r="U112" s="414"/>
      <c r="V112" s="414"/>
      <c r="W112" s="414"/>
      <c r="X112" s="380"/>
      <c r="Y112" s="198"/>
      <c r="Z112" s="244"/>
      <c r="AA112" s="354"/>
      <c r="AB112" s="354"/>
      <c r="AC112" s="354"/>
      <c r="AD112" s="414"/>
      <c r="AE112" s="414"/>
      <c r="AF112" s="414"/>
      <c r="AG112" s="414"/>
      <c r="AH112" s="414"/>
      <c r="AI112" s="414"/>
      <c r="AJ112" s="380"/>
      <c r="AK112" s="198"/>
      <c r="AL112" s="244"/>
      <c r="AM112" s="354"/>
      <c r="AN112" s="354"/>
      <c r="AO112" s="354"/>
      <c r="AP112" s="414"/>
      <c r="AQ112" s="414"/>
      <c r="AR112" s="414"/>
      <c r="AS112" s="414"/>
      <c r="AT112" s="414"/>
      <c r="AU112" s="414"/>
      <c r="AV112" s="380"/>
      <c r="AW112" s="198"/>
      <c r="AX112" s="244"/>
      <c r="AY112" s="354"/>
      <c r="AZ112" s="354"/>
      <c r="BA112" s="354"/>
      <c r="BB112" s="414"/>
      <c r="BC112" s="414"/>
      <c r="BD112" s="414"/>
      <c r="BE112" s="414"/>
      <c r="BF112" s="414"/>
      <c r="BG112" s="414"/>
      <c r="BH112" s="220"/>
    </row>
    <row r="113" spans="1:60" hidden="1">
      <c r="A113" s="1040"/>
      <c r="B113" s="1109" t="s">
        <v>187</v>
      </c>
      <c r="C113" s="1107" t="s">
        <v>181</v>
      </c>
      <c r="D113" s="641" t="s">
        <v>45</v>
      </c>
      <c r="E113" s="181" t="s">
        <v>198</v>
      </c>
      <c r="F113" s="180"/>
      <c r="G113" s="180"/>
      <c r="H113" s="181" t="s">
        <v>65</v>
      </c>
      <c r="I113" s="77"/>
      <c r="J113" s="190"/>
      <c r="K113" s="107"/>
      <c r="L113" s="107"/>
      <c r="M113" s="190"/>
      <c r="N113" s="79"/>
      <c r="O113" s="228">
        <f>INDEX(installaties_RV_verlies_elek_prod_aftapwarmte,MATCH(IF(O104="",referentie_verwarming,O104),toestellen_RV_kopregel,0))</f>
        <v>0</v>
      </c>
      <c r="P113" s="625"/>
      <c r="Q113" s="228">
        <f>INDEX(installaties_TAP_verlies_elek_prod_aftapwarmte,MATCH(IF(Q104="",referentie_verwarming,Q104),toestellen_TAP_kopregel,0))</f>
        <v>0</v>
      </c>
      <c r="R113" s="625"/>
      <c r="S113" s="625"/>
      <c r="T113" s="625"/>
      <c r="U113" s="625"/>
      <c r="V113" s="625"/>
      <c r="W113" s="625"/>
      <c r="X113" s="626"/>
      <c r="Y113" s="357"/>
      <c r="Z113" s="627"/>
      <c r="AA113" s="228">
        <f>INDEX(installaties_RV_verlies_elek_prod_aftapwarmte,MATCH(IF(AA104="",referentie_verwarming,AA104),toestellen_RV_kopregel,0))</f>
        <v>0</v>
      </c>
      <c r="AB113" s="625"/>
      <c r="AC113" s="228">
        <f>INDEX(installaties_TAP_verlies_elek_prod_aftapwarmte,MATCH(IF(AC104="",referentie_verwarming,AC104),toestellen_TAP_kopregel,0))</f>
        <v>0</v>
      </c>
      <c r="AD113" s="625"/>
      <c r="AE113" s="625"/>
      <c r="AF113" s="625"/>
      <c r="AG113" s="625"/>
      <c r="AH113" s="625"/>
      <c r="AI113" s="625"/>
      <c r="AJ113" s="626"/>
      <c r="AK113" s="357"/>
      <c r="AL113" s="627"/>
      <c r="AM113" s="228">
        <f>INDEX(installaties_RV_verlies_elek_prod_aftapwarmte,MATCH(IF(AM104="",referentie_verwarming,AM104),toestellen_RV_kopregel,0))</f>
        <v>0</v>
      </c>
      <c r="AN113" s="625"/>
      <c r="AO113" s="228">
        <f>INDEX(installaties_TAP_verlies_elek_prod_aftapwarmte,MATCH(IF(AO104="",referentie_verwarming,AO104),toestellen_TAP_kopregel,0))</f>
        <v>0</v>
      </c>
      <c r="AP113" s="625"/>
      <c r="AQ113" s="625"/>
      <c r="AR113" s="625"/>
      <c r="AS113" s="625"/>
      <c r="AT113" s="625"/>
      <c r="AU113" s="625"/>
      <c r="AV113" s="626"/>
      <c r="AW113" s="357"/>
      <c r="AX113" s="627"/>
      <c r="AY113" s="228">
        <f>INDEX(installaties_RV_verlies_elek_prod_aftapwarmte,MATCH(IF(AY104="",referentie_verwarming,AY104),toestellen_RV_kopregel,0))</f>
        <v>0</v>
      </c>
      <c r="AZ113" s="625"/>
      <c r="BA113" s="228">
        <f>INDEX(installaties_TAP_verlies_elek_prod_aftapwarmte,MATCH(IF(BA104="",referentie_verwarming,BA104),toestellen_TAP_kopregel,0))</f>
        <v>0</v>
      </c>
      <c r="BB113" s="131"/>
      <c r="BC113" s="131"/>
      <c r="BD113" s="131"/>
      <c r="BE113" s="131"/>
      <c r="BF113" s="131"/>
      <c r="BG113" s="131"/>
      <c r="BH113" s="210"/>
    </row>
    <row r="114" spans="1:60" hidden="1">
      <c r="A114" s="1040"/>
      <c r="B114" s="1109" t="s">
        <v>187</v>
      </c>
      <c r="C114" s="1107" t="s">
        <v>181</v>
      </c>
      <c r="D114" s="638"/>
      <c r="E114" s="181" t="s">
        <v>199</v>
      </c>
      <c r="F114" s="180"/>
      <c r="G114" s="180"/>
      <c r="H114" s="181" t="s">
        <v>65</v>
      </c>
      <c r="I114" s="77"/>
      <c r="J114" s="190"/>
      <c r="K114" s="107"/>
      <c r="L114" s="107"/>
      <c r="M114" s="190"/>
      <c r="N114" s="79"/>
      <c r="O114" s="228">
        <f>HLOOKUP(IF(O$83="",referentie_verwarming,O$83),toestellen_RV,ROWS(bibliotheek!$E$83:$E$100),FALSE)</f>
        <v>0</v>
      </c>
      <c r="P114" s="625"/>
      <c r="Q114" s="228">
        <f>HLOOKUP(IF(Q$83="",referentie_warmtapwater,Q$83),toestellen_TAP,ROWS(bibliotheek!$E$139:$E$156),FALSE)</f>
        <v>0</v>
      </c>
      <c r="R114" s="625"/>
      <c r="S114" s="625"/>
      <c r="T114" s="625"/>
      <c r="U114" s="625"/>
      <c r="V114" s="625"/>
      <c r="W114" s="625"/>
      <c r="X114" s="626"/>
      <c r="Y114" s="357"/>
      <c r="Z114" s="627"/>
      <c r="AA114" s="228">
        <f>HLOOKUP(IF(AA$83="",referentie_verwarming,AA$83),toestellen_RV,ROWS(bibliotheek!$E$83:$E$100),FALSE)</f>
        <v>0</v>
      </c>
      <c r="AB114" s="625"/>
      <c r="AC114" s="228">
        <f>HLOOKUP(IF(AC$83="",referentie_warmtapwater,AC$83),toestellen_TAP,ROWS(bibliotheek!$E$139:$E$156),FALSE)</f>
        <v>0</v>
      </c>
      <c r="AD114" s="625"/>
      <c r="AE114" s="625"/>
      <c r="AF114" s="625"/>
      <c r="AG114" s="625"/>
      <c r="AH114" s="625"/>
      <c r="AI114" s="625"/>
      <c r="AJ114" s="626"/>
      <c r="AK114" s="357"/>
      <c r="AL114" s="627"/>
      <c r="AM114" s="228">
        <f>HLOOKUP(IF(AM$83="",referentie_verwarming,AM$83),toestellen_RV,ROWS(bibliotheek!$E$83:$E$100),FALSE)</f>
        <v>0</v>
      </c>
      <c r="AN114" s="625"/>
      <c r="AO114" s="228">
        <f>HLOOKUP(IF(AO$83="",referentie_warmtapwater,AO$83),toestellen_TAP,ROWS(bibliotheek!$E$139:$E$156),FALSE)</f>
        <v>0</v>
      </c>
      <c r="AP114" s="625"/>
      <c r="AQ114" s="625"/>
      <c r="AR114" s="625"/>
      <c r="AS114" s="625"/>
      <c r="AT114" s="625"/>
      <c r="AU114" s="625"/>
      <c r="AV114" s="626"/>
      <c r="AW114" s="357"/>
      <c r="AX114" s="627"/>
      <c r="AY114" s="228">
        <f>HLOOKUP(IF(AY$83="",referentie_verwarming,AY$83),toestellen_RV,ROWS(bibliotheek!$E$83:$E$100),FALSE)</f>
        <v>0</v>
      </c>
      <c r="AZ114" s="625"/>
      <c r="BA114" s="228">
        <f>HLOOKUP(IF(BA$83="",referentie_warmtapwater,BA$83),toestellen_TAP,ROWS(bibliotheek!$E$139:$E$156),FALSE)</f>
        <v>0</v>
      </c>
      <c r="BB114" s="131"/>
      <c r="BC114" s="131"/>
      <c r="BD114" s="131"/>
      <c r="BE114" s="131"/>
      <c r="BF114" s="131"/>
      <c r="BG114" s="131"/>
      <c r="BH114" s="210"/>
    </row>
    <row r="115" spans="1:60" hidden="1">
      <c r="A115" s="1040"/>
      <c r="B115" s="1109" t="s">
        <v>187</v>
      </c>
      <c r="C115" s="1107" t="s">
        <v>181</v>
      </c>
      <c r="D115" s="638"/>
      <c r="E115" s="181" t="s">
        <v>200</v>
      </c>
      <c r="F115" s="180"/>
      <c r="G115" s="180"/>
      <c r="H115" s="181" t="s">
        <v>160</v>
      </c>
      <c r="I115" s="77"/>
      <c r="J115" s="202">
        <f>M115+Y115+AK115+AW115</f>
        <v>0</v>
      </c>
      <c r="K115" s="1059"/>
      <c r="L115" s="1059"/>
      <c r="M115" s="202">
        <f>SUM(O115:X115)</f>
        <v>0</v>
      </c>
      <c r="N115" s="243"/>
      <c r="O115" s="168">
        <f>IF(HLOOKUP(IF(O$83="",referentie_verwarming,O$83),toestellen_RV,ROWS(bibliotheek!$E$83:$E$88),FALSE)=1,O$97*O$108*((O$111-1)/O$111),0)</f>
        <v>0</v>
      </c>
      <c r="P115" s="168">
        <f>IF(HLOOKUP(IF(P$83="",referentie_koeling,P$83),toestellen_KOEL,ROWS(bibliotheek!$E$190:$E$194),FALSE)=1,P$97*P$108*((P$111-1)/P$111),0)</f>
        <v>0</v>
      </c>
      <c r="Q115" s="168">
        <f>IF(HLOOKUP(IF(Q$83="",referentie_warmtapwater,Q$83),toestellen_TAP,ROWS(bibliotheek!$E$139:$E$144),FALSE)=1,Q$97*Q$108*((Q$111-1)/Q$111),0)</f>
        <v>0</v>
      </c>
      <c r="R115" s="130"/>
      <c r="S115" s="130"/>
      <c r="T115" s="130"/>
      <c r="U115" s="130"/>
      <c r="V115" s="130"/>
      <c r="W115" s="130"/>
      <c r="X115" s="110"/>
      <c r="Y115" s="202">
        <f>SUM(AA115:AJ115)</f>
        <v>0</v>
      </c>
      <c r="Z115" s="243"/>
      <c r="AA115" s="168">
        <f>IF(HLOOKUP(IF(AA$83="",referentie_verwarming,AA$83),toestellen_RV,ROWS(bibliotheek!$E$83:$E$88),FALSE)=1,AA$97*AA$108*((AA$111-1)/AA$111),0)</f>
        <v>0</v>
      </c>
      <c r="AB115" s="168">
        <f>IF(HLOOKUP(IF(AB$83="",referentie_koeling,AB$83),toestellen_KOEL,ROWS(bibliotheek!$E$190:$E$194),FALSE)=1,AB$97*AB$108*((AB$111-1)/AB$111),0)</f>
        <v>0</v>
      </c>
      <c r="AC115" s="168">
        <f>IF(HLOOKUP(IF(AC$83="",referentie_warmtapwater,AC$83),toestellen_TAP,ROWS(bibliotheek!$E$139:$E$144),FALSE)=1,AC$97*AC$108*((AC$111-1)/AC$111),0)</f>
        <v>0</v>
      </c>
      <c r="AD115" s="130"/>
      <c r="AE115" s="130"/>
      <c r="AF115" s="130"/>
      <c r="AG115" s="130"/>
      <c r="AH115" s="130"/>
      <c r="AI115" s="130"/>
      <c r="AJ115" s="110"/>
      <c r="AK115" s="202">
        <f>SUM(AM115:AV115)</f>
        <v>0</v>
      </c>
      <c r="AL115" s="243"/>
      <c r="AM115" s="168">
        <f>IF(HLOOKUP(IF(AM$83="",referentie_verwarming,AM$83),toestellen_RV,ROWS(bibliotheek!$E$83:$E$88),FALSE)=1,AM$97*AM$108*((AM$111-1)/AM$111),0)</f>
        <v>0</v>
      </c>
      <c r="AN115" s="168">
        <f>IF(HLOOKUP(IF(AN$83="",referentie_koeling,AN$83),toestellen_KOEL,ROWS(bibliotheek!$E$190:$E$194),FALSE)=1,AN$97*AN$108*((AN$111-1)/AN$111),0)</f>
        <v>0</v>
      </c>
      <c r="AO115" s="168">
        <f>IF(HLOOKUP(IF(AO$83="",referentie_warmtapwater,AO$83),toestellen_TAP,ROWS(bibliotheek!$E$139:$E$144),FALSE)=1,AO$97*AO$108*((AO$111-1)/AO$111),0)</f>
        <v>0</v>
      </c>
      <c r="AP115" s="130"/>
      <c r="AQ115" s="130"/>
      <c r="AR115" s="130"/>
      <c r="AS115" s="130"/>
      <c r="AT115" s="130"/>
      <c r="AU115" s="130"/>
      <c r="AV115" s="110"/>
      <c r="AW115" s="202">
        <f>SUM(AY115:BH115)</f>
        <v>0</v>
      </c>
      <c r="AX115" s="243"/>
      <c r="AY115" s="168">
        <f>IF(HLOOKUP(IF(AY$83="",referentie_verwarming,AY$83),toestellen_RV,ROWS(bibliotheek!$E$83:$E$88),FALSE)=1,AY$97*AY$108*((AY$111-1)/AY$111),0)</f>
        <v>0</v>
      </c>
      <c r="AZ115" s="168">
        <f>IF(HLOOKUP(IF(AZ$83="",referentie_koeling,AZ$83),toestellen_KOEL,ROWS(bibliotheek!$E$190:$E$194),FALSE)=1,AZ$97*AZ$108*((AZ$111-1)/AZ$111),0)</f>
        <v>0</v>
      </c>
      <c r="BA115" s="168">
        <f>IF(HLOOKUP(IF(BA$83="",referentie_warmtapwater,BA$83),toestellen_TAP,ROWS(bibliotheek!$E$139:$E$144),FALSE)=1,BA$97*BA$108*((BA$111-1)/BA$111),0)</f>
        <v>0</v>
      </c>
      <c r="BB115" s="130"/>
      <c r="BC115" s="130"/>
      <c r="BD115" s="130"/>
      <c r="BE115" s="130"/>
      <c r="BF115" s="130"/>
      <c r="BG115" s="130"/>
      <c r="BH115" s="210"/>
    </row>
    <row r="116" spans="1:60" hidden="1">
      <c r="A116" s="1040"/>
      <c r="B116" s="1109" t="s">
        <v>187</v>
      </c>
      <c r="C116" s="1107" t="s">
        <v>181</v>
      </c>
      <c r="D116" s="638"/>
      <c r="E116" s="181" t="s">
        <v>201</v>
      </c>
      <c r="F116" s="180"/>
      <c r="G116" s="180"/>
      <c r="H116" s="181" t="s">
        <v>202</v>
      </c>
      <c r="I116" s="77"/>
      <c r="J116" s="202">
        <f>M116+Y116+AK116+AW116</f>
        <v>0</v>
      </c>
      <c r="K116" s="1059"/>
      <c r="L116" s="1059"/>
      <c r="M116" s="202">
        <f>SUM(O116:X116)</f>
        <v>0</v>
      </c>
      <c r="N116" s="243"/>
      <c r="O116" s="168">
        <f>IF(O$111=0,0,O$110/O$111)</f>
        <v>0</v>
      </c>
      <c r="P116" s="168">
        <f>IF(P$111=0,0,P$110/P$111)</f>
        <v>0</v>
      </c>
      <c r="Q116" s="168">
        <f>IF(Q$111=0,0,Q$110/Q$111)</f>
        <v>0</v>
      </c>
      <c r="R116" s="130"/>
      <c r="S116" s="130"/>
      <c r="T116" s="130"/>
      <c r="U116" s="130"/>
      <c r="V116" s="130"/>
      <c r="W116" s="130"/>
      <c r="X116" s="110"/>
      <c r="Y116" s="202">
        <f>SUM(AA116:AJ116)</f>
        <v>0</v>
      </c>
      <c r="Z116" s="243"/>
      <c r="AA116" s="168">
        <f>IF(AA$111=0,0,AA$110/AA$111)</f>
        <v>0</v>
      </c>
      <c r="AB116" s="168">
        <f>IF(AB$111=0,0,AB$110/AB$111)</f>
        <v>0</v>
      </c>
      <c r="AC116" s="168">
        <f>IF(AC$111=0,0,AC$110/AC$111)</f>
        <v>0</v>
      </c>
      <c r="AD116" s="130"/>
      <c r="AE116" s="130"/>
      <c r="AF116" s="130"/>
      <c r="AG116" s="130"/>
      <c r="AH116" s="130"/>
      <c r="AI116" s="130"/>
      <c r="AJ116" s="110"/>
      <c r="AK116" s="202">
        <f>SUM(AM116:AV116)</f>
        <v>0</v>
      </c>
      <c r="AL116" s="243"/>
      <c r="AM116" s="168">
        <f>IF(AM$111=0,0,AM$110/AM$111)</f>
        <v>0</v>
      </c>
      <c r="AN116" s="168">
        <f>IF(AN$111=0,0,AN$110/AN$111)</f>
        <v>0</v>
      </c>
      <c r="AO116" s="168">
        <f>IF(AO$111=0,0,AO$110/AO$111)</f>
        <v>0</v>
      </c>
      <c r="AP116" s="130"/>
      <c r="AQ116" s="130"/>
      <c r="AR116" s="130"/>
      <c r="AS116" s="130"/>
      <c r="AT116" s="130"/>
      <c r="AU116" s="130"/>
      <c r="AV116" s="110"/>
      <c r="AW116" s="202">
        <f>SUM(AY116:BH116)</f>
        <v>0</v>
      </c>
      <c r="AX116" s="243"/>
      <c r="AY116" s="168">
        <f>IF(AY$111=0,0,AY$110/AY$111)</f>
        <v>0</v>
      </c>
      <c r="AZ116" s="168">
        <f>IF(AZ$111=0,0,AZ$110/AZ$111)</f>
        <v>0</v>
      </c>
      <c r="BA116" s="168">
        <f>IF(BA$111=0,0,BA$110/BA$111)</f>
        <v>0</v>
      </c>
      <c r="BB116" s="130"/>
      <c r="BC116" s="130"/>
      <c r="BD116" s="130"/>
      <c r="BE116" s="130"/>
      <c r="BF116" s="130"/>
      <c r="BG116" s="130"/>
      <c r="BH116" s="210"/>
    </row>
    <row r="117" spans="1:60">
      <c r="A117" s="1040"/>
      <c r="B117" s="1109" t="s">
        <v>187</v>
      </c>
      <c r="C117" s="1106" t="s">
        <v>96</v>
      </c>
      <c r="D117" s="641"/>
      <c r="E117" s="940" t="s">
        <v>1220</v>
      </c>
      <c r="F117" s="940"/>
      <c r="G117" s="940"/>
      <c r="H117" s="993"/>
      <c r="I117" s="77"/>
      <c r="J117" s="939"/>
      <c r="K117" s="126"/>
      <c r="L117" s="126"/>
      <c r="M117" s="938"/>
      <c r="N117" s="143"/>
      <c r="O117" s="177" t="str">
        <f>O$10</f>
        <v>verwarming</v>
      </c>
      <c r="P117" s="177" t="str">
        <f>P$10</f>
        <v>koeling</v>
      </c>
      <c r="Q117" s="177" t="str">
        <f>Q$10</f>
        <v>tapwater</v>
      </c>
      <c r="R117" s="177"/>
      <c r="S117" s="177"/>
      <c r="T117" s="177"/>
      <c r="U117" s="177"/>
      <c r="V117" s="177"/>
      <c r="W117" s="177"/>
      <c r="X117" s="144"/>
      <c r="Y117" s="938"/>
      <c r="Z117" s="143"/>
      <c r="AA117" s="177" t="str">
        <f>AA$10</f>
        <v>verwarming</v>
      </c>
      <c r="AB117" s="177" t="str">
        <f>AB$10</f>
        <v>koeling</v>
      </c>
      <c r="AC117" s="177" t="str">
        <f>AC$10</f>
        <v>tapwater</v>
      </c>
      <c r="AD117" s="177"/>
      <c r="AE117" s="177"/>
      <c r="AF117" s="177"/>
      <c r="AG117" s="177"/>
      <c r="AH117" s="177"/>
      <c r="AI117" s="177"/>
      <c r="AJ117" s="144"/>
      <c r="AK117" s="938"/>
      <c r="AL117" s="143"/>
      <c r="AM117" s="177" t="str">
        <f>AM$10</f>
        <v>verwarming</v>
      </c>
      <c r="AN117" s="177" t="str">
        <f>AN$10</f>
        <v>koeling</v>
      </c>
      <c r="AO117" s="177" t="str">
        <f>AO$10</f>
        <v>tapwater</v>
      </c>
      <c r="AP117" s="177"/>
      <c r="AQ117" s="177"/>
      <c r="AR117" s="177"/>
      <c r="AS117" s="177"/>
      <c r="AT117" s="177"/>
      <c r="AU117" s="177"/>
      <c r="AV117" s="144"/>
      <c r="AW117" s="938"/>
      <c r="AX117" s="143"/>
      <c r="AY117" s="177" t="str">
        <f>AY$10</f>
        <v>verwarming</v>
      </c>
      <c r="AZ117" s="177" t="str">
        <f>AZ$10</f>
        <v>koeling</v>
      </c>
      <c r="BA117" s="177" t="str">
        <f>BA$10</f>
        <v>tapwater</v>
      </c>
      <c r="BB117" s="177"/>
      <c r="BC117" s="177"/>
      <c r="BD117" s="177"/>
      <c r="BE117" s="177"/>
      <c r="BF117" s="177"/>
      <c r="BG117" s="177"/>
      <c r="BH117" s="218"/>
    </row>
    <row r="118" spans="1:60" hidden="1">
      <c r="A118" s="1040"/>
      <c r="B118" s="1109" t="s">
        <v>187</v>
      </c>
      <c r="C118" s="1107" t="s">
        <v>203</v>
      </c>
      <c r="D118" s="641" t="s">
        <v>45</v>
      </c>
      <c r="E118" s="1171" t="s">
        <v>1348</v>
      </c>
      <c r="F118" s="254"/>
      <c r="G118" s="254"/>
      <c r="H118" s="291" t="s">
        <v>204</v>
      </c>
      <c r="I118" s="77"/>
      <c r="J118" s="189"/>
      <c r="K118" s="107"/>
      <c r="L118" s="107"/>
      <c r="M118" s="189"/>
      <c r="N118" s="79"/>
      <c r="O118" s="377">
        <f>IF(O119&lt;&gt;"",O119,
IF(O$105=elektriciteit,$G$5,
INDEX(energiedragers_primaire_energiefactor,MATCH(O105,energiedragers_kopregel,0))
*IF(O113=0,1,
$G$5*INDEX(installaties_RV_verlies_elek_prod_aftapwarmte,MATCH(O104,toestellen_RV_kopregel,0)))))</f>
        <v>1.45</v>
      </c>
      <c r="P118" s="377">
        <f>IF(P119&lt;&gt;"",P119,IF(HLOOKUP(P105,ENERGIEDRAGERS,ROWS(bibliotheek!$E$259:$E$260),FALSE)=0,$G$5,HLOOKUP(P105,ENERGIEDRAGERS,ROWS(bibliotheek!$E$259:$E$261),FALSE)))</f>
        <v>1.45</v>
      </c>
      <c r="Q118" s="377">
        <f>IF(Q119&lt;&gt;"",Q119,
IF(Q$105=elektriciteit,$G$5,
INDEX(energiedragers_primaire_energiefactor,MATCH(Q105,energiedragers_kopregel,0))
*IF(Q113=0,1,
$G$5*INDEX(installaties_TAP_verlies_elek_prod_aftapwarmte,MATCH(Q104,toestellen_TAP_kopregel,0)))))</f>
        <v>1.45</v>
      </c>
      <c r="R118" s="141"/>
      <c r="S118" s="141"/>
      <c r="T118" s="141"/>
      <c r="U118" s="141"/>
      <c r="V118" s="141"/>
      <c r="W118" s="141"/>
      <c r="X118" s="348"/>
      <c r="Y118" s="289"/>
      <c r="Z118" s="627"/>
      <c r="AA118" s="377">
        <f>IF(AA119&lt;&gt;"",AA119,
IF(AA$105=elektriciteit,$G$5,
INDEX(energiedragers_primaire_energiefactor,MATCH(AA105,energiedragers_kopregel,0))
*IF(AA113=0,1,
$G$5*INDEX(installaties_RV_verlies_elek_prod_aftapwarmte,MATCH(AA104,toestellen_RV_kopregel,0)))))</f>
        <v>1.45</v>
      </c>
      <c r="AB118" s="377">
        <f>IF(AB119&lt;&gt;"",AB119,IF(HLOOKUP(AB105,ENERGIEDRAGERS,ROWS(bibliotheek!$E$259:$E$260),FALSE)=0,$G$5,HLOOKUP(AB105,ENERGIEDRAGERS,ROWS(bibliotheek!$E$259:$E$261),FALSE)))</f>
        <v>1.45</v>
      </c>
      <c r="AC118" s="377">
        <f>IF(AC119&lt;&gt;"",AC119,
IF(AC$105=elektriciteit,$G$5,
INDEX(energiedragers_primaire_energiefactor,MATCH(AC105,energiedragers_kopregel,0))
*IF(AC113=0,1,
$G$5*INDEX(installaties_TAP_verlies_elek_prod_aftapwarmte,MATCH(AC104,toestellen_TAP_kopregel,0)))))</f>
        <v>1.45</v>
      </c>
      <c r="AD118" s="141"/>
      <c r="AE118" s="141"/>
      <c r="AF118" s="141"/>
      <c r="AG118" s="141"/>
      <c r="AH118" s="141"/>
      <c r="AI118" s="141"/>
      <c r="AJ118" s="348"/>
      <c r="AK118" s="289"/>
      <c r="AL118" s="627"/>
      <c r="AM118" s="377">
        <f>IF(AM119&lt;&gt;"",AM119,
IF(AM$105=elektriciteit,$G$5,
INDEX(energiedragers_primaire_energiefactor,MATCH(AM105,energiedragers_kopregel,0))
*IF(AM113=0,1,
$G$5*INDEX(installaties_RV_verlies_elek_prod_aftapwarmte,MATCH(AM104,toestellen_RV_kopregel,0)))))</f>
        <v>1.45</v>
      </c>
      <c r="AN118" s="377">
        <f>IF(AN119&lt;&gt;"",AN119,IF(HLOOKUP(AN105,ENERGIEDRAGERS,ROWS(bibliotheek!$E$259:$E$260),FALSE)=0,$G$5,HLOOKUP(AN105,ENERGIEDRAGERS,ROWS(bibliotheek!$E$259:$E$261),FALSE)))</f>
        <v>1.45</v>
      </c>
      <c r="AO118" s="377">
        <f>IF(AO119&lt;&gt;"",AO119,
IF(AO$105=elektriciteit,$G$5,
INDEX(energiedragers_primaire_energiefactor,MATCH(AO105,energiedragers_kopregel,0))
*IF(AO113=0,1,
$G$5*INDEX(installaties_TAP_verlies_elek_prod_aftapwarmte,MATCH(AO104,toestellen_TAP_kopregel,0)))))</f>
        <v>1.45</v>
      </c>
      <c r="AP118" s="141"/>
      <c r="AQ118" s="141"/>
      <c r="AR118" s="141"/>
      <c r="AS118" s="141"/>
      <c r="AT118" s="141"/>
      <c r="AU118" s="141"/>
      <c r="AV118" s="348"/>
      <c r="AW118" s="289"/>
      <c r="AX118" s="627"/>
      <c r="AY118" s="377">
        <f>IF(AY119&lt;&gt;"",AY119,
IF(AY$105=elektriciteit,$G$5,
INDEX(energiedragers_primaire_energiefactor,MATCH(AY105,energiedragers_kopregel,0))
*IF(AY113=0,1,
$G$5*INDEX(installaties_RV_verlies_elek_prod_aftapwarmte,MATCH(AY104,toestellen_RV_kopregel,0)))))</f>
        <v>1.45</v>
      </c>
      <c r="AZ118" s="377">
        <f>IF(AZ119&lt;&gt;"",AZ119,IF(HLOOKUP(AZ105,ENERGIEDRAGERS,ROWS(bibliotheek!$E$259:$E$260),FALSE)=0,$G$5,HLOOKUP(AZ105,ENERGIEDRAGERS,ROWS(bibliotheek!$E$259:$E$261),FALSE)))</f>
        <v>1.45</v>
      </c>
      <c r="BA118" s="377">
        <f>IF(BA119&lt;&gt;"",BA119,
IF(BA$105=elektriciteit,$G$5,
INDEX(energiedragers_primaire_energiefactor,MATCH(BA105,energiedragers_kopregel,0))
*IF(BA113=0,1,
$G$5*INDEX(installaties_TAP_verlies_elek_prod_aftapwarmte,MATCH(BA104,toestellen_TAP_kopregel,0)))))</f>
        <v>1.45</v>
      </c>
      <c r="BB118" s="139"/>
      <c r="BC118" s="139"/>
      <c r="BD118" s="139"/>
      <c r="BE118" s="139"/>
      <c r="BF118" s="139"/>
      <c r="BG118" s="139"/>
      <c r="BH118" s="174"/>
    </row>
    <row r="119" spans="1:60" hidden="1">
      <c r="A119" s="1040"/>
      <c r="B119" s="1109" t="s">
        <v>187</v>
      </c>
      <c r="C119" s="1107" t="s">
        <v>203</v>
      </c>
      <c r="D119" s="641"/>
      <c r="E119" s="346" t="s">
        <v>205</v>
      </c>
      <c r="F119" s="255"/>
      <c r="G119" s="255"/>
      <c r="H119" s="292"/>
      <c r="I119" s="77"/>
      <c r="J119" s="299"/>
      <c r="K119" s="107"/>
      <c r="L119" s="107"/>
      <c r="M119" s="198"/>
      <c r="N119" s="79"/>
      <c r="O119" s="275"/>
      <c r="P119" s="617"/>
      <c r="Q119" s="275"/>
      <c r="R119" s="140"/>
      <c r="S119" s="140"/>
      <c r="T119" s="140"/>
      <c r="U119" s="140"/>
      <c r="V119" s="140"/>
      <c r="W119" s="140"/>
      <c r="X119" s="76"/>
      <c r="Y119" s="198"/>
      <c r="Z119" s="79"/>
      <c r="AA119" s="275"/>
      <c r="AB119" s="617"/>
      <c r="AC119" s="275"/>
      <c r="AD119" s="140"/>
      <c r="AE119" s="140"/>
      <c r="AF119" s="140"/>
      <c r="AG119" s="140"/>
      <c r="AH119" s="140"/>
      <c r="AI119" s="140"/>
      <c r="AJ119" s="76"/>
      <c r="AK119" s="198"/>
      <c r="AL119" s="79"/>
      <c r="AM119" s="275"/>
      <c r="AN119" s="617"/>
      <c r="AO119" s="275"/>
      <c r="AP119" s="140"/>
      <c r="AQ119" s="140"/>
      <c r="AR119" s="140"/>
      <c r="AS119" s="140"/>
      <c r="AT119" s="140"/>
      <c r="AU119" s="140"/>
      <c r="AV119" s="76"/>
      <c r="AW119" s="198"/>
      <c r="AX119" s="79"/>
      <c r="AY119" s="275"/>
      <c r="AZ119" s="617"/>
      <c r="BA119" s="275"/>
      <c r="BB119" s="140"/>
      <c r="BC119" s="140"/>
      <c r="BD119" s="140"/>
      <c r="BE119" s="140"/>
      <c r="BF119" s="140"/>
      <c r="BG119" s="140"/>
      <c r="BH119" s="174"/>
    </row>
    <row r="120" spans="1:60">
      <c r="A120" s="1040"/>
      <c r="B120" s="1109" t="s">
        <v>187</v>
      </c>
      <c r="C120" s="1107" t="s">
        <v>104</v>
      </c>
      <c r="D120" s="641"/>
      <c r="E120" s="291" t="s">
        <v>232</v>
      </c>
      <c r="F120" s="181"/>
      <c r="G120" s="181"/>
      <c r="H120" s="181" t="s">
        <v>106</v>
      </c>
      <c r="I120" s="77"/>
      <c r="J120" s="202">
        <f>M120+Y120+AK120+AW120</f>
        <v>0</v>
      </c>
      <c r="K120" s="1061"/>
      <c r="L120" s="1061"/>
      <c r="M120" s="202">
        <f>SUM(O120:X120)</f>
        <v>0</v>
      </c>
      <c r="N120" s="243"/>
      <c r="O120" s="168">
        <f>O$116*O$118</f>
        <v>0</v>
      </c>
      <c r="P120" s="168">
        <f>P$116*P$118</f>
        <v>0</v>
      </c>
      <c r="Q120" s="168">
        <f>Q$116*Q$118</f>
        <v>0</v>
      </c>
      <c r="R120" s="130"/>
      <c r="S120" s="130"/>
      <c r="T120" s="130"/>
      <c r="U120" s="130"/>
      <c r="V120" s="130"/>
      <c r="W120" s="130"/>
      <c r="X120" s="110"/>
      <c r="Y120" s="202">
        <f>SUM(AA120:AJ120)</f>
        <v>0</v>
      </c>
      <c r="Z120" s="243"/>
      <c r="AA120" s="168">
        <f>AA$116*AA$118</f>
        <v>0</v>
      </c>
      <c r="AB120" s="168">
        <f>AB$116*AB$118</f>
        <v>0</v>
      </c>
      <c r="AC120" s="168">
        <f>AC$116*AC$118</f>
        <v>0</v>
      </c>
      <c r="AD120" s="130"/>
      <c r="AE120" s="130"/>
      <c r="AF120" s="130"/>
      <c r="AG120" s="130"/>
      <c r="AH120" s="130"/>
      <c r="AI120" s="130"/>
      <c r="AJ120" s="110"/>
      <c r="AK120" s="202">
        <f>SUM(AM120:AV120)</f>
        <v>0</v>
      </c>
      <c r="AL120" s="243"/>
      <c r="AM120" s="168">
        <f>AM$116*AM$118</f>
        <v>0</v>
      </c>
      <c r="AN120" s="168">
        <f>AN$116*AN$118</f>
        <v>0</v>
      </c>
      <c r="AO120" s="168">
        <f>AO$116*AO$118</f>
        <v>0</v>
      </c>
      <c r="AP120" s="130"/>
      <c r="AQ120" s="130"/>
      <c r="AR120" s="130"/>
      <c r="AS120" s="130"/>
      <c r="AT120" s="130"/>
      <c r="AU120" s="130"/>
      <c r="AV120" s="110"/>
      <c r="AW120" s="202">
        <f>SUM(AY120:BH120)</f>
        <v>0</v>
      </c>
      <c r="AX120" s="243"/>
      <c r="AY120" s="168">
        <f>AY$116*AY$118</f>
        <v>0</v>
      </c>
      <c r="AZ120" s="168">
        <f>AZ$116*AZ$118</f>
        <v>0</v>
      </c>
      <c r="BA120" s="168">
        <f>BA$116*BA$118</f>
        <v>0</v>
      </c>
      <c r="BB120" s="130"/>
      <c r="BC120" s="130"/>
      <c r="BD120" s="130"/>
      <c r="BE120" s="130"/>
      <c r="BF120" s="130"/>
      <c r="BG120" s="130"/>
      <c r="BH120" s="210"/>
    </row>
    <row r="121" spans="1:60">
      <c r="A121" s="1040"/>
      <c r="B121" s="1109" t="s">
        <v>187</v>
      </c>
      <c r="C121" s="1106" t="s">
        <v>96</v>
      </c>
      <c r="D121" s="641"/>
      <c r="E121" s="940" t="s">
        <v>1200</v>
      </c>
      <c r="F121" s="940"/>
      <c r="G121" s="940"/>
      <c r="H121" s="993"/>
      <c r="I121" s="77"/>
      <c r="J121" s="939"/>
      <c r="K121" s="126"/>
      <c r="L121" s="126"/>
      <c r="M121" s="1025"/>
      <c r="N121" s="143"/>
      <c r="O121" s="1026" t="str">
        <f>O$10</f>
        <v>verwarming</v>
      </c>
      <c r="P121" s="1026" t="str">
        <f>P$10</f>
        <v>koeling</v>
      </c>
      <c r="Q121" s="1026" t="str">
        <f>Q$10</f>
        <v>tapwater</v>
      </c>
      <c r="R121" s="1026"/>
      <c r="S121" s="1026"/>
      <c r="T121" s="1026"/>
      <c r="U121" s="1026"/>
      <c r="V121" s="1026"/>
      <c r="W121" s="1026"/>
      <c r="X121" s="110"/>
      <c r="Y121" s="1025"/>
      <c r="Z121" s="143"/>
      <c r="AA121" s="1026" t="str">
        <f>AA$10</f>
        <v>verwarming</v>
      </c>
      <c r="AB121" s="1026" t="str">
        <f>AB$10</f>
        <v>koeling</v>
      </c>
      <c r="AC121" s="1026" t="str">
        <f>AC$10</f>
        <v>tapwater</v>
      </c>
      <c r="AD121" s="1026"/>
      <c r="AE121" s="1026"/>
      <c r="AF121" s="1026"/>
      <c r="AG121" s="1026"/>
      <c r="AH121" s="1026"/>
      <c r="AI121" s="1026"/>
      <c r="AJ121" s="110"/>
      <c r="AK121" s="1025"/>
      <c r="AL121" s="143"/>
      <c r="AM121" s="1026" t="str">
        <f>AM$10</f>
        <v>verwarming</v>
      </c>
      <c r="AN121" s="1026" t="str">
        <f>AN$10</f>
        <v>koeling</v>
      </c>
      <c r="AO121" s="1026" t="str">
        <f>AO$10</f>
        <v>tapwater</v>
      </c>
      <c r="AP121" s="1026"/>
      <c r="AQ121" s="1026"/>
      <c r="AR121" s="1026"/>
      <c r="AS121" s="1026"/>
      <c r="AT121" s="1026"/>
      <c r="AU121" s="1026"/>
      <c r="AV121" s="110"/>
      <c r="AW121" s="1025"/>
      <c r="AX121" s="143"/>
      <c r="AY121" s="1026" t="str">
        <f>AY$10</f>
        <v>verwarming</v>
      </c>
      <c r="AZ121" s="1026" t="str">
        <f>AZ$10</f>
        <v>koeling</v>
      </c>
      <c r="BA121" s="1026" t="str">
        <f>BA$10</f>
        <v>tapwater</v>
      </c>
      <c r="BB121" s="1026"/>
      <c r="BC121" s="1026"/>
      <c r="BD121" s="1026"/>
      <c r="BE121" s="1026"/>
      <c r="BF121" s="1026"/>
      <c r="BG121" s="1026"/>
      <c r="BH121" s="210"/>
    </row>
    <row r="122" spans="1:60" hidden="1">
      <c r="A122" s="1040"/>
      <c r="B122" s="1109" t="s">
        <v>187</v>
      </c>
      <c r="C122" s="1107" t="s">
        <v>203</v>
      </c>
      <c r="D122" s="641"/>
      <c r="E122" s="1171" t="s">
        <v>1349</v>
      </c>
      <c r="F122" s="254"/>
      <c r="G122" s="254"/>
      <c r="H122" s="1034" t="s">
        <v>1206</v>
      </c>
      <c r="I122" s="77"/>
      <c r="J122" s="189"/>
      <c r="K122" s="107"/>
      <c r="L122" s="107"/>
      <c r="M122" s="190"/>
      <c r="N122" s="114"/>
      <c r="O122" s="228">
        <f>IF(O123&lt;&gt;"",O123,
INDEX(primaire_totale_energiefactor,MATCH(O105,energiedragers_kopregel,0))
*IF(O113=0,1,
$G$5*INDEX(installaties_RV_verlies_elek_prod_aftapwarmte,MATCH(O104,toestellen_RV_kopregel,0))))</f>
        <v>1.35</v>
      </c>
      <c r="P122" s="228">
        <f>IF(P123&lt;&gt;"",P123,
IF(HLOOKUP(P105,ENERGIEDRAGERS,ROWS(bibliotheek!$E$259:$E$262),FALSE)=0,$G$5,
HLOOKUP(P105,ENERGIEDRAGERS,ROWS(bibliotheek!$E$259:$E$262),FALSE)))</f>
        <v>1.45</v>
      </c>
      <c r="Q122" s="228">
        <f>IF(Q123&lt;&gt;"",Q123,
INDEX(primaire_totale_energiefactor,MATCH(Q105,energiedragers_kopregel,0))
*IF(Q113=0,1,
$G$5*INDEX(installaties_RV_verlies_elek_prod_aftapwarmte,MATCH(Q104,toestellen_RV_kopregel,0))))</f>
        <v>1.35</v>
      </c>
      <c r="R122" s="625"/>
      <c r="S122" s="625"/>
      <c r="T122" s="625"/>
      <c r="U122" s="625"/>
      <c r="V122" s="625"/>
      <c r="W122" s="625"/>
      <c r="X122" s="110"/>
      <c r="Y122" s="202"/>
      <c r="Z122" s="89"/>
      <c r="AA122" s="228">
        <f>IF(AA123&lt;&gt;"",AA123,
INDEX(primaire_totale_energiefactor,MATCH(AA105,energiedragers_kopregel,0))
*IF(AA113=0,1,
$G$5*INDEX(installaties_RV_verlies_elek_prod_aftapwarmte,MATCH(AA104,toestellen_RV_kopregel,0))))</f>
        <v>1.35</v>
      </c>
      <c r="AB122" s="228">
        <f>IF(AB123&lt;&gt;"",AB123,
IF(HLOOKUP(AB105,ENERGIEDRAGERS,ROWS(bibliotheek!$E$259:$E$262),FALSE)=0,$G$5,
HLOOKUP(AB105,ENERGIEDRAGERS,ROWS(bibliotheek!$E$259:$E$262),FALSE)))</f>
        <v>1.45</v>
      </c>
      <c r="AC122" s="228">
        <f>IF(AC123&lt;&gt;"",AC123,
INDEX(primaire_totale_energiefactor,MATCH(AC105,energiedragers_kopregel,0))
*IF(AC113=0,1,
$G$5*INDEX(installaties_RV_verlies_elek_prod_aftapwarmte,MATCH(AC104,toestellen_RV_kopregel,0))))</f>
        <v>1.35</v>
      </c>
      <c r="AD122" s="130"/>
      <c r="AE122" s="130"/>
      <c r="AF122" s="130"/>
      <c r="AG122" s="130"/>
      <c r="AH122" s="130"/>
      <c r="AI122" s="130"/>
      <c r="AJ122" s="110"/>
      <c r="AK122" s="202"/>
      <c r="AL122" s="89"/>
      <c r="AM122" s="228">
        <f>IF(AM123&lt;&gt;"",AM123,
INDEX(primaire_totale_energiefactor,MATCH(AM105,energiedragers_kopregel,0))
*IF(AM113=0,1,
$G$5*INDEX(installaties_RV_verlies_elek_prod_aftapwarmte,MATCH(AM104,toestellen_RV_kopregel,0))))</f>
        <v>1.35</v>
      </c>
      <c r="AN122" s="228">
        <f>IF(AN123&lt;&gt;"",AN123,
IF(HLOOKUP(AN105,ENERGIEDRAGERS,ROWS(bibliotheek!$E$259:$E$262),FALSE)=0,$G$5,
HLOOKUP(AN105,ENERGIEDRAGERS,ROWS(bibliotheek!$E$259:$E$262),FALSE)))</f>
        <v>1.45</v>
      </c>
      <c r="AO122" s="228">
        <f>IF(AO123&lt;&gt;"",AO123,
INDEX(primaire_totale_energiefactor,MATCH(AO105,energiedragers_kopregel,0))
*IF(AO113=0,1,
$G$5*INDEX(installaties_RV_verlies_elek_prod_aftapwarmte,MATCH(AO104,toestellen_RV_kopregel,0))))</f>
        <v>1.35</v>
      </c>
      <c r="AP122" s="130"/>
      <c r="AQ122" s="130"/>
      <c r="AR122" s="130"/>
      <c r="AS122" s="130"/>
      <c r="AT122" s="130"/>
      <c r="AU122" s="130"/>
      <c r="AV122" s="110"/>
      <c r="AW122" s="202"/>
      <c r="AX122" s="89"/>
      <c r="AY122" s="228">
        <f>IF(AY123&lt;&gt;"",AY123,
INDEX(primaire_totale_energiefactor,MATCH(AY105,energiedragers_kopregel,0))
*IF(AY113=0,1,
$G$5*INDEX(installaties_RV_verlies_elek_prod_aftapwarmte,MATCH(AY104,toestellen_RV_kopregel,0))))</f>
        <v>1.35</v>
      </c>
      <c r="AZ122" s="228">
        <f>IF(AZ123&lt;&gt;"",AZ123,
IF(HLOOKUP(AZ105,ENERGIEDRAGERS,ROWS(bibliotheek!$E$259:$E$262),FALSE)=0,$G$5,
HLOOKUP(AZ105,ENERGIEDRAGERS,ROWS(bibliotheek!$E$259:$E$262),FALSE)))</f>
        <v>1.45</v>
      </c>
      <c r="BA122" s="228">
        <f>IF(BA123&lt;&gt;"",BA123,
INDEX(primaire_totale_energiefactor,MATCH(BA105,energiedragers_kopregel,0))
*IF(BA113=0,1,
$G$5*INDEX(installaties_RV_verlies_elek_prod_aftapwarmte,MATCH(BA104,toestellen_RV_kopregel,0))))</f>
        <v>1.35</v>
      </c>
      <c r="BB122" s="130"/>
      <c r="BC122" s="130"/>
      <c r="BD122" s="130"/>
      <c r="BE122" s="130"/>
      <c r="BF122" s="130"/>
      <c r="BG122" s="130"/>
      <c r="BH122" s="210"/>
    </row>
    <row r="123" spans="1:60" hidden="1">
      <c r="A123" s="1040"/>
      <c r="B123" s="1109" t="s">
        <v>187</v>
      </c>
      <c r="C123" s="1107" t="s">
        <v>203</v>
      </c>
      <c r="D123" s="641"/>
      <c r="E123" s="346" t="s">
        <v>205</v>
      </c>
      <c r="F123" s="255"/>
      <c r="G123" s="255"/>
      <c r="H123" s="292"/>
      <c r="I123" s="77"/>
      <c r="J123" s="299"/>
      <c r="K123" s="107"/>
      <c r="L123" s="107"/>
      <c r="M123" s="190"/>
      <c r="N123" s="114"/>
      <c r="O123" s="1029"/>
      <c r="P123" s="1030"/>
      <c r="Q123" s="1029"/>
      <c r="R123" s="131"/>
      <c r="S123" s="131"/>
      <c r="T123" s="131"/>
      <c r="U123" s="131"/>
      <c r="V123" s="131"/>
      <c r="W123" s="131"/>
      <c r="X123" s="110"/>
      <c r="Y123" s="202"/>
      <c r="Z123" s="89"/>
      <c r="AA123" s="1029"/>
      <c r="AB123" s="1030"/>
      <c r="AC123" s="1029"/>
      <c r="AD123" s="130"/>
      <c r="AE123" s="130"/>
      <c r="AF123" s="130"/>
      <c r="AG123" s="130"/>
      <c r="AH123" s="130"/>
      <c r="AI123" s="130"/>
      <c r="AJ123" s="110"/>
      <c r="AK123" s="202"/>
      <c r="AL123" s="89"/>
      <c r="AM123" s="1029"/>
      <c r="AN123" s="1030"/>
      <c r="AO123" s="1029"/>
      <c r="AP123" s="130"/>
      <c r="AQ123" s="130"/>
      <c r="AR123" s="130"/>
      <c r="AS123" s="130"/>
      <c r="AT123" s="130"/>
      <c r="AU123" s="130"/>
      <c r="AV123" s="110"/>
      <c r="AW123" s="202"/>
      <c r="AX123" s="89"/>
      <c r="AY123" s="1029"/>
      <c r="AZ123" s="1030"/>
      <c r="BA123" s="1029"/>
      <c r="BB123" s="130"/>
      <c r="BC123" s="130"/>
      <c r="BD123" s="130"/>
      <c r="BE123" s="130"/>
      <c r="BF123" s="130"/>
      <c r="BG123" s="130"/>
      <c r="BH123" s="210"/>
    </row>
    <row r="124" spans="1:60" hidden="1">
      <c r="A124" s="1040"/>
      <c r="B124" s="1109" t="s">
        <v>187</v>
      </c>
      <c r="C124" s="1107" t="s">
        <v>203</v>
      </c>
      <c r="D124" s="641"/>
      <c r="E124" s="291" t="s">
        <v>1314</v>
      </c>
      <c r="F124" s="595"/>
      <c r="G124" s="595"/>
      <c r="H124" s="1013" t="s">
        <v>65</v>
      </c>
      <c r="I124" s="77"/>
      <c r="J124" s="1015"/>
      <c r="K124" s="107"/>
      <c r="L124" s="107"/>
      <c r="M124" s="190"/>
      <c r="N124" s="114"/>
      <c r="O124" s="228">
        <f>IF(O125&lt;&gt;"",O125,
INDEX(weegfactor_primaire_totale_energiefactor,MATCH(O105,energiedragers_kopregel,0))
*IF(O113=0,1,
$G$5*INDEX(installaties_RV_verlies_elek_prod_aftapwarmte,MATCH(O104,toestellen_RV_kopregel,0))))</f>
        <v>1</v>
      </c>
      <c r="P124" s="228">
        <f>IF(P125&lt;&gt;"",P125,
IF(HLOOKUP(P105,ENERGIEDRAGERS,ROWS(bibliotheek!$E$259:$E$263),FALSE)=0,$G$5,
HLOOKUP(P105,ENERGIEDRAGERS,ROWS(bibliotheek!$E$259:$E$263),FALSE)))</f>
        <v>1.45</v>
      </c>
      <c r="Q124" s="228">
        <f>IF(Q125&lt;&gt;"",Q125,
INDEX(weegfactor_primaire_totale_energiefactor,MATCH(Q105,energiedragers_kopregel,0))
*IF(Q113=0,1,
$G$5*INDEX(installaties_RV_verlies_elek_prod_aftapwarmte,MATCH(Q104,toestellen_RV_kopregel,0))))</f>
        <v>1</v>
      </c>
      <c r="R124" s="625"/>
      <c r="S124" s="625"/>
      <c r="T124" s="625"/>
      <c r="U124" s="625"/>
      <c r="V124" s="625"/>
      <c r="W124" s="625"/>
      <c r="X124" s="110"/>
      <c r="Y124" s="202"/>
      <c r="Z124" s="89"/>
      <c r="AA124" s="228">
        <f>IF(AA125&lt;&gt;"",AA125,
INDEX(weegfactor_primaire_totale_energiefactor,MATCH(AA105,energiedragers_kopregel,0))
*IF(AA113=0,1,
$G$5*INDEX(installaties_RV_verlies_elek_prod_aftapwarmte,MATCH(AA104,toestellen_RV_kopregel,0))))</f>
        <v>1</v>
      </c>
      <c r="AB124" s="228">
        <f>IF(AB125&lt;&gt;"",AB125,
IF(HLOOKUP(AB105,ENERGIEDRAGERS,ROWS(bibliotheek!$E$259:$E$263),FALSE)=0,$G$5,
HLOOKUP(AB105,ENERGIEDRAGERS,ROWS(bibliotheek!$E$259:$E$263),FALSE)))</f>
        <v>1.45</v>
      </c>
      <c r="AC124" s="228">
        <f>IF(AC125&lt;&gt;"",AC125,
INDEX(weegfactor_primaire_totale_energiefactor,MATCH(AC105,energiedragers_kopregel,0))
*IF(AC113=0,1,
$G$5*INDEX(installaties_RV_verlies_elek_prod_aftapwarmte,MATCH(AC104,toestellen_RV_kopregel,0))))</f>
        <v>1</v>
      </c>
      <c r="AD124" s="130"/>
      <c r="AE124" s="130"/>
      <c r="AF124" s="130"/>
      <c r="AG124" s="130"/>
      <c r="AH124" s="130"/>
      <c r="AI124" s="130"/>
      <c r="AJ124" s="110"/>
      <c r="AK124" s="202"/>
      <c r="AL124" s="89"/>
      <c r="AM124" s="228">
        <f>IF(AM125&lt;&gt;"",AM125,
INDEX(weegfactor_primaire_totale_energiefactor,MATCH(AM105,energiedragers_kopregel,0))
*IF(AM113=0,1,
$G$5*INDEX(installaties_RV_verlies_elek_prod_aftapwarmte,MATCH(AM104,toestellen_RV_kopregel,0))))</f>
        <v>1</v>
      </c>
      <c r="AN124" s="228">
        <f>IF(AN125&lt;&gt;"",AN125,
IF(HLOOKUP(AN105,ENERGIEDRAGERS,ROWS(bibliotheek!$E$259:$E$263),FALSE)=0,$G$5,
HLOOKUP(AN105,ENERGIEDRAGERS,ROWS(bibliotheek!$E$259:$E$263),FALSE)))</f>
        <v>1.45</v>
      </c>
      <c r="AO124" s="228">
        <f>IF(AO125&lt;&gt;"",AO125,
INDEX(weegfactor_primaire_totale_energiefactor,MATCH(AO105,energiedragers_kopregel,0))
*IF(AO113=0,1,
$G$5*INDEX(installaties_RV_verlies_elek_prod_aftapwarmte,MATCH(AO104,toestellen_RV_kopregel,0))))</f>
        <v>1</v>
      </c>
      <c r="AP124" s="130"/>
      <c r="AQ124" s="130"/>
      <c r="AR124" s="130"/>
      <c r="AS124" s="130"/>
      <c r="AT124" s="130"/>
      <c r="AU124" s="130"/>
      <c r="AV124" s="110"/>
      <c r="AW124" s="202"/>
      <c r="AX124" s="89"/>
      <c r="AY124" s="228">
        <f>IF(AY125&lt;&gt;"",AY125,
INDEX(weegfactor_primaire_totale_energiefactor,MATCH(AY105,energiedragers_kopregel,0))
*IF(AY113=0,1,
$G$5*INDEX(installaties_RV_verlies_elek_prod_aftapwarmte,MATCH(AY104,toestellen_RV_kopregel,0))))</f>
        <v>1</v>
      </c>
      <c r="AZ124" s="228">
        <f>IF(AZ125&lt;&gt;"",AZ125,
IF(HLOOKUP(AZ105,ENERGIEDRAGERS,ROWS(bibliotheek!$E$259:$E$263),FALSE)=0,$G$5,
HLOOKUP(AZ105,ENERGIEDRAGERS,ROWS(bibliotheek!$E$259:$E$263),FALSE)))</f>
        <v>1.45</v>
      </c>
      <c r="BA124" s="228">
        <f>IF(BA125&lt;&gt;"",BA125,
INDEX(weegfactor_primaire_totale_energiefactor,MATCH(BA105,energiedragers_kopregel,0))
*IF(BA113=0,1,
$G$5*INDEX(installaties_RV_verlies_elek_prod_aftapwarmte,MATCH(BA104,toestellen_RV_kopregel,0))))</f>
        <v>1</v>
      </c>
      <c r="BB124" s="130"/>
      <c r="BC124" s="130"/>
      <c r="BD124" s="130"/>
      <c r="BE124" s="130"/>
      <c r="BF124" s="130"/>
      <c r="BG124" s="130"/>
      <c r="BH124" s="210"/>
    </row>
    <row r="125" spans="1:60" hidden="1">
      <c r="A125" s="1040"/>
      <c r="B125" s="1109" t="s">
        <v>187</v>
      </c>
      <c r="C125" s="1107" t="s">
        <v>203</v>
      </c>
      <c r="D125" s="641"/>
      <c r="E125" s="346" t="s">
        <v>205</v>
      </c>
      <c r="F125" s="255"/>
      <c r="G125" s="255"/>
      <c r="H125" s="292"/>
      <c r="I125" s="77"/>
      <c r="J125" s="299"/>
      <c r="K125" s="107"/>
      <c r="L125" s="107"/>
      <c r="M125" s="190"/>
      <c r="N125" s="114"/>
      <c r="O125" s="1029"/>
      <c r="P125" s="1030"/>
      <c r="Q125" s="1029"/>
      <c r="R125" s="131"/>
      <c r="S125" s="131"/>
      <c r="T125" s="131"/>
      <c r="U125" s="131"/>
      <c r="V125" s="131"/>
      <c r="W125" s="131"/>
      <c r="X125" s="110"/>
      <c r="Y125" s="202"/>
      <c r="Z125" s="89"/>
      <c r="AA125" s="1029"/>
      <c r="AB125" s="1030"/>
      <c r="AC125" s="1029"/>
      <c r="AD125" s="130"/>
      <c r="AE125" s="130"/>
      <c r="AF125" s="130"/>
      <c r="AG125" s="130"/>
      <c r="AH125" s="130"/>
      <c r="AI125" s="130"/>
      <c r="AJ125" s="110"/>
      <c r="AK125" s="202"/>
      <c r="AL125" s="89"/>
      <c r="AM125" s="1029"/>
      <c r="AN125" s="1030"/>
      <c r="AO125" s="1029"/>
      <c r="AP125" s="130"/>
      <c r="AQ125" s="130"/>
      <c r="AR125" s="130"/>
      <c r="AS125" s="130"/>
      <c r="AT125" s="130"/>
      <c r="AU125" s="130"/>
      <c r="AV125" s="110"/>
      <c r="AW125" s="202"/>
      <c r="AX125" s="89"/>
      <c r="AY125" s="1029"/>
      <c r="AZ125" s="1030"/>
      <c r="BA125" s="1029"/>
      <c r="BB125" s="130"/>
      <c r="BC125" s="130"/>
      <c r="BD125" s="130"/>
      <c r="BE125" s="130"/>
      <c r="BF125" s="130"/>
      <c r="BG125" s="130"/>
      <c r="BH125" s="210"/>
    </row>
    <row r="126" spans="1:60">
      <c r="A126" s="1040"/>
      <c r="B126" s="1109" t="s">
        <v>187</v>
      </c>
      <c r="C126" s="1107" t="s">
        <v>104</v>
      </c>
      <c r="D126" s="641"/>
      <c r="E126" s="291" t="s">
        <v>232</v>
      </c>
      <c r="F126" s="181"/>
      <c r="G126" s="181"/>
      <c r="H126" s="181" t="s">
        <v>106</v>
      </c>
      <c r="I126" s="77"/>
      <c r="J126" s="202">
        <f>M126+Y126+AK126+AW126</f>
        <v>0</v>
      </c>
      <c r="K126" s="1061"/>
      <c r="L126" s="1061"/>
      <c r="M126" s="202">
        <f>SUM(O126:X126)</f>
        <v>0</v>
      </c>
      <c r="N126" s="89"/>
      <c r="O126" s="168">
        <f>O$116*O$122*O124</f>
        <v>0</v>
      </c>
      <c r="P126" s="168">
        <f>P$116*P$122*P124</f>
        <v>0</v>
      </c>
      <c r="Q126" s="168">
        <f>Q$116*Q$122*Q124</f>
        <v>0</v>
      </c>
      <c r="R126" s="130"/>
      <c r="S126" s="130"/>
      <c r="T126" s="130"/>
      <c r="U126" s="130"/>
      <c r="V126" s="130"/>
      <c r="W126" s="130"/>
      <c r="X126" s="110"/>
      <c r="Y126" s="202">
        <f>SUM(AA126:AJ126)</f>
        <v>0</v>
      </c>
      <c r="Z126" s="89"/>
      <c r="AA126" s="168">
        <f>AA$116*AA$122*AA124</f>
        <v>0</v>
      </c>
      <c r="AB126" s="168">
        <f>AB$116*AB$122*AB124</f>
        <v>0</v>
      </c>
      <c r="AC126" s="168">
        <f>AC$116*AC$122*AC124</f>
        <v>0</v>
      </c>
      <c r="AD126" s="130"/>
      <c r="AE126" s="130"/>
      <c r="AF126" s="130"/>
      <c r="AG126" s="130"/>
      <c r="AH126" s="130"/>
      <c r="AI126" s="130"/>
      <c r="AJ126" s="110"/>
      <c r="AK126" s="202">
        <f>SUM(AM126:AV126)</f>
        <v>0</v>
      </c>
      <c r="AL126" s="89"/>
      <c r="AM126" s="168">
        <f>AM$116*AM$122*AM124</f>
        <v>0</v>
      </c>
      <c r="AN126" s="168">
        <f>AN$116*AN$122*AN124</f>
        <v>0</v>
      </c>
      <c r="AO126" s="168">
        <f>AO$116*AO$122*AO124</f>
        <v>0</v>
      </c>
      <c r="AP126" s="130"/>
      <c r="AQ126" s="130"/>
      <c r="AR126" s="130"/>
      <c r="AS126" s="130"/>
      <c r="AT126" s="130"/>
      <c r="AU126" s="130"/>
      <c r="AV126" s="110"/>
      <c r="AW126" s="202">
        <f>SUM(AY126:BH126)</f>
        <v>0</v>
      </c>
      <c r="AX126" s="89"/>
      <c r="AY126" s="168">
        <f>AY$116*AY$122*AY124</f>
        <v>0</v>
      </c>
      <c r="AZ126" s="168">
        <f>AZ$116*AZ$122*AZ124</f>
        <v>0</v>
      </c>
      <c r="BA126" s="168">
        <f>BA$116*BA$122*BA124</f>
        <v>0</v>
      </c>
      <c r="BB126" s="130"/>
      <c r="BC126" s="130"/>
      <c r="BD126" s="130"/>
      <c r="BE126" s="130"/>
      <c r="BF126" s="130"/>
      <c r="BG126" s="130"/>
      <c r="BH126" s="210"/>
    </row>
    <row r="127" spans="1:60">
      <c r="A127" s="1040"/>
      <c r="B127" s="1109" t="s">
        <v>187</v>
      </c>
      <c r="C127" s="1106" t="s">
        <v>96</v>
      </c>
      <c r="D127" s="641"/>
      <c r="E127" s="940" t="s">
        <v>107</v>
      </c>
      <c r="F127" s="940"/>
      <c r="G127" s="940"/>
      <c r="H127" s="940"/>
      <c r="I127" s="77"/>
      <c r="J127" s="939"/>
      <c r="K127" s="126"/>
      <c r="L127" s="126"/>
      <c r="M127" s="1027"/>
      <c r="N127" s="143"/>
      <c r="O127" s="1028" t="str">
        <f>O$10</f>
        <v>verwarming</v>
      </c>
      <c r="P127" s="1028" t="str">
        <f>P$10</f>
        <v>koeling</v>
      </c>
      <c r="Q127" s="1028" t="str">
        <f>Q$10</f>
        <v>tapwater</v>
      </c>
      <c r="R127" s="1028"/>
      <c r="S127" s="1028"/>
      <c r="T127" s="1028"/>
      <c r="U127" s="1028"/>
      <c r="V127" s="1028"/>
      <c r="W127" s="1028"/>
      <c r="X127" s="144"/>
      <c r="Y127" s="1027"/>
      <c r="Z127" s="143"/>
      <c r="AA127" s="1028" t="str">
        <f>AA$10</f>
        <v>verwarming</v>
      </c>
      <c r="AB127" s="1028" t="str">
        <f>AB$10</f>
        <v>koeling</v>
      </c>
      <c r="AC127" s="1028" t="str">
        <f>AC$10</f>
        <v>tapwater</v>
      </c>
      <c r="AD127" s="1028"/>
      <c r="AE127" s="1028"/>
      <c r="AF127" s="1028"/>
      <c r="AG127" s="1028"/>
      <c r="AH127" s="1028"/>
      <c r="AI127" s="1028"/>
      <c r="AJ127" s="144"/>
      <c r="AK127" s="1027"/>
      <c r="AL127" s="143"/>
      <c r="AM127" s="1028" t="str">
        <f>AM$10</f>
        <v>verwarming</v>
      </c>
      <c r="AN127" s="1028" t="str">
        <f>AN$10</f>
        <v>koeling</v>
      </c>
      <c r="AO127" s="1028" t="str">
        <f>AO$10</f>
        <v>tapwater</v>
      </c>
      <c r="AP127" s="1028"/>
      <c r="AQ127" s="1028"/>
      <c r="AR127" s="1028"/>
      <c r="AS127" s="1028"/>
      <c r="AT127" s="1028"/>
      <c r="AU127" s="1028"/>
      <c r="AV127" s="144"/>
      <c r="AW127" s="1027"/>
      <c r="AX127" s="143"/>
      <c r="AY127" s="1028" t="str">
        <f>AY$10</f>
        <v>verwarming</v>
      </c>
      <c r="AZ127" s="1028" t="str">
        <f>AZ$10</f>
        <v>koeling</v>
      </c>
      <c r="BA127" s="1028" t="str">
        <f>BA$10</f>
        <v>tapwater</v>
      </c>
      <c r="BB127" s="1028"/>
      <c r="BC127" s="1028"/>
      <c r="BD127" s="1028"/>
      <c r="BE127" s="1028"/>
      <c r="BF127" s="1028"/>
      <c r="BG127" s="1028"/>
      <c r="BH127" s="218"/>
    </row>
    <row r="128" spans="1:60" hidden="1">
      <c r="A128" s="1040"/>
      <c r="B128" s="1109" t="s">
        <v>187</v>
      </c>
      <c r="C128" s="1107" t="s">
        <v>203</v>
      </c>
      <c r="D128" s="641" t="s">
        <v>45</v>
      </c>
      <c r="E128" s="293" t="s">
        <v>206</v>
      </c>
      <c r="F128" s="254"/>
      <c r="G128" s="254"/>
      <c r="H128" s="291" t="s">
        <v>207</v>
      </c>
      <c r="I128" s="77"/>
      <c r="J128" s="189"/>
      <c r="K128" s="107"/>
      <c r="L128" s="107"/>
      <c r="M128" s="189"/>
      <c r="N128" s="79"/>
      <c r="O128" s="377">
        <f>IF(O129&lt;&gt;"",O129,
IF(O$105=elektriciteit,$H$5,
INDEX(energiedragers_CO2_emissiefactor,MATCH(O105,energiedragers_kopregel,0))
*IF(O113=0,1,
$G$5*INDEX(installaties_RV_verlies_elek_prod_aftapwarmte,MATCH(O104,toestellen_RV_kopregel,0)))))</f>
        <v>0.26800000000000002</v>
      </c>
      <c r="P128" s="377">
        <f>IF(P129&lt;&gt;"",P129,
IF(P105=elektriciteit,$H$5,
HLOOKUP(P105,ENERGIEDRAGERS,ROWS(bibliotheek!$E$259:$E$264),FALSE)))</f>
        <v>0</v>
      </c>
      <c r="Q128" s="377">
        <f>IF(Q119&lt;&gt;"",Q119,
IF(Q$105=elektriciteit,$H$5,
INDEX(energiedragers_CO2_emissiefactor,MATCH(Q105,energiedragers_kopregel,0))
*IF(Q113=0,1,
$G$5*INDEX(installaties_TAP_verlies_elek_prod_aftapwarmte,MATCH(Q104,toestellen_TAP_kopregel,0)))))</f>
        <v>0.26800000000000002</v>
      </c>
      <c r="R128" s="141"/>
      <c r="S128" s="141"/>
      <c r="T128" s="141"/>
      <c r="U128" s="141"/>
      <c r="V128" s="141"/>
      <c r="W128" s="141"/>
      <c r="X128" s="348"/>
      <c r="Y128" s="189"/>
      <c r="Z128" s="79"/>
      <c r="AA128" s="377">
        <f>IF(AA129&lt;&gt;"",AA129,
IF(AA$105=elektriciteit,$H$5,
INDEX(energiedragers_CO2_emissiefactor,MATCH(AA105,energiedragers_kopregel,0))
*IF(AA113=0,1,
$G$5*INDEX(installaties_RV_verlies_elek_prod_aftapwarmte,MATCH(AA104,toestellen_RV_kopregel,0)))))</f>
        <v>0.26800000000000002</v>
      </c>
      <c r="AB128" s="377">
        <f>IF(AB129&lt;&gt;"",AB129,
IF(AB105=elektriciteit,$H$5,
HLOOKUP(AB105,ENERGIEDRAGERS,ROWS(bibliotheek!$E$259:$E$264),FALSE)))</f>
        <v>0</v>
      </c>
      <c r="AC128" s="377">
        <f>IF(AC119&lt;&gt;"",AC119,
IF(AC$105=elektriciteit,$H$5,
INDEX(energiedragers_CO2_emissiefactor,MATCH(AC105,energiedragers_kopregel,0))
*IF(AC113=0,1,
$G$5*INDEX(installaties_TAP_verlies_elek_prod_aftapwarmte,MATCH(AC104,toestellen_TAP_kopregel,0)))))</f>
        <v>0.26800000000000002</v>
      </c>
      <c r="AD128" s="141"/>
      <c r="AE128" s="141"/>
      <c r="AF128" s="141"/>
      <c r="AG128" s="141"/>
      <c r="AH128" s="141"/>
      <c r="AI128" s="141"/>
      <c r="AJ128" s="348"/>
      <c r="AK128" s="189"/>
      <c r="AL128" s="79"/>
      <c r="AM128" s="377">
        <f>IF(AM129&lt;&gt;"",AM129,
IF(AM$105=elektriciteit,$H$5,
INDEX(energiedragers_CO2_emissiefactor,MATCH(AM105,energiedragers_kopregel,0))
*IF(AM113=0,1,
$G$5*INDEX(installaties_RV_verlies_elek_prod_aftapwarmte,MATCH(AM104,toestellen_RV_kopregel,0)))))</f>
        <v>0.26800000000000002</v>
      </c>
      <c r="AN128" s="377">
        <f>IF(AN129&lt;&gt;"",AN129,
IF(AN105=elektriciteit,$H$5,
HLOOKUP(AN105,ENERGIEDRAGERS,ROWS(bibliotheek!$E$259:$E$264),FALSE)))</f>
        <v>0</v>
      </c>
      <c r="AO128" s="377">
        <f>IF(AO119&lt;&gt;"",AO119,
IF(AO$105=elektriciteit,$H$5,
INDEX(energiedragers_CO2_emissiefactor,MATCH(AO105,energiedragers_kopregel,0))
*IF(AO113=0,1,
$G$5*INDEX(installaties_TAP_verlies_elek_prod_aftapwarmte,MATCH(AO104,toestellen_TAP_kopregel,0)))))</f>
        <v>0.26800000000000002</v>
      </c>
      <c r="AP128" s="141"/>
      <c r="AQ128" s="141"/>
      <c r="AR128" s="141"/>
      <c r="AS128" s="141"/>
      <c r="AT128" s="141"/>
      <c r="AU128" s="141"/>
      <c r="AV128" s="348"/>
      <c r="AW128" s="189"/>
      <c r="AX128" s="79"/>
      <c r="AY128" s="377">
        <f>IF(AY129&lt;&gt;"",AY129,
IF(AY$105=elektriciteit,$H$5,
INDEX(energiedragers_CO2_emissiefactor,MATCH(AY105,energiedragers_kopregel,0))
*IF(AY113=0,1,
$G$5*INDEX(installaties_RV_verlies_elek_prod_aftapwarmte,MATCH(AY104,toestellen_RV_kopregel,0)))))</f>
        <v>0.26800000000000002</v>
      </c>
      <c r="AZ128" s="377">
        <f>IF(AZ129&lt;&gt;"",AZ129,
IF(AZ105=elektriciteit,$H$5,
HLOOKUP(AZ105,ENERGIEDRAGERS,ROWS(bibliotheek!$E$259:$E$264),FALSE)))</f>
        <v>0</v>
      </c>
      <c r="BA128" s="377">
        <f>IF(BA119&lt;&gt;"",BA119,
IF(BA$105=elektriciteit,$H$5,
INDEX(energiedragers_CO2_emissiefactor,MATCH(BA105,energiedragers_kopregel,0))
*IF(BA113=0,1,
$G$5*INDEX(installaties_TAP_verlies_elek_prod_aftapwarmte,MATCH(BA104,toestellen_TAP_kopregel,0)))))</f>
        <v>0.26800000000000002</v>
      </c>
      <c r="BB128" s="141"/>
      <c r="BC128" s="141"/>
      <c r="BD128" s="141"/>
      <c r="BE128" s="141"/>
      <c r="BF128" s="141"/>
      <c r="BG128" s="141"/>
      <c r="BH128" s="174"/>
    </row>
    <row r="129" spans="1:60" hidden="1">
      <c r="A129" s="1040"/>
      <c r="B129" s="1109" t="s">
        <v>187</v>
      </c>
      <c r="C129" s="1107" t="s">
        <v>203</v>
      </c>
      <c r="D129" s="638"/>
      <c r="E129" s="346" t="s">
        <v>208</v>
      </c>
      <c r="F129" s="292"/>
      <c r="G129" s="292"/>
      <c r="H129" s="292"/>
      <c r="I129" s="77"/>
      <c r="J129" s="299"/>
      <c r="K129" s="107"/>
      <c r="L129" s="107"/>
      <c r="M129" s="198"/>
      <c r="N129" s="79"/>
      <c r="O129" s="275"/>
      <c r="P129" s="354"/>
      <c r="Q129" s="354"/>
      <c r="R129" s="414"/>
      <c r="S129" s="414"/>
      <c r="T129" s="414"/>
      <c r="U129" s="414"/>
      <c r="V129" s="414"/>
      <c r="W129" s="414"/>
      <c r="X129" s="380"/>
      <c r="Y129" s="198"/>
      <c r="Z129" s="79"/>
      <c r="AA129" s="354"/>
      <c r="AB129" s="354"/>
      <c r="AC129" s="354"/>
      <c r="AD129" s="414"/>
      <c r="AE129" s="414"/>
      <c r="AF129" s="414"/>
      <c r="AG129" s="414"/>
      <c r="AH129" s="414"/>
      <c r="AI129" s="414"/>
      <c r="AJ129" s="380"/>
      <c r="AK129" s="198"/>
      <c r="AL129" s="79"/>
      <c r="AM129" s="354"/>
      <c r="AN129" s="354"/>
      <c r="AO129" s="354"/>
      <c r="AP129" s="414"/>
      <c r="AQ129" s="414"/>
      <c r="AR129" s="414"/>
      <c r="AS129" s="414"/>
      <c r="AT129" s="414"/>
      <c r="AU129" s="414"/>
      <c r="AV129" s="380"/>
      <c r="AW129" s="198"/>
      <c r="AX129" s="79"/>
      <c r="AY129" s="354"/>
      <c r="AZ129" s="354"/>
      <c r="BA129" s="354"/>
      <c r="BB129" s="414"/>
      <c r="BC129" s="414"/>
      <c r="BD129" s="414"/>
      <c r="BE129" s="414"/>
      <c r="BF129" s="414"/>
      <c r="BG129" s="414"/>
      <c r="BH129" s="174"/>
    </row>
    <row r="130" spans="1:60">
      <c r="A130" s="1040"/>
      <c r="B130" s="1109" t="s">
        <v>187</v>
      </c>
      <c r="C130" s="1107" t="s">
        <v>104</v>
      </c>
      <c r="D130" s="638"/>
      <c r="E130" s="181" t="s">
        <v>107</v>
      </c>
      <c r="F130" s="181"/>
      <c r="G130" s="181"/>
      <c r="H130" s="181" t="s">
        <v>209</v>
      </c>
      <c r="I130" s="77"/>
      <c r="J130" s="202">
        <f>M130+Y130+AK130+AW130</f>
        <v>0</v>
      </c>
      <c r="K130" s="1061"/>
      <c r="L130" s="1061"/>
      <c r="M130" s="202">
        <f>SUM(O130:X130)</f>
        <v>0</v>
      </c>
      <c r="N130" s="243"/>
      <c r="O130" s="168">
        <f>O$116*O$128</f>
        <v>0</v>
      </c>
      <c r="P130" s="168">
        <f>P$116*P$128</f>
        <v>0</v>
      </c>
      <c r="Q130" s="168">
        <f>Q$116*Q$128</f>
        <v>0</v>
      </c>
      <c r="R130" s="130"/>
      <c r="S130" s="130"/>
      <c r="T130" s="130"/>
      <c r="U130" s="130"/>
      <c r="V130" s="130"/>
      <c r="W130" s="130"/>
      <c r="X130" s="110"/>
      <c r="Y130" s="202">
        <f>SUM(AA130:AJ130)</f>
        <v>0</v>
      </c>
      <c r="Z130" s="243"/>
      <c r="AA130" s="168">
        <f>AA$116*AA$128</f>
        <v>0</v>
      </c>
      <c r="AB130" s="168">
        <f>AB$116*AB$128</f>
        <v>0</v>
      </c>
      <c r="AC130" s="168">
        <f>AC$116*AC$128</f>
        <v>0</v>
      </c>
      <c r="AD130" s="130"/>
      <c r="AE130" s="130"/>
      <c r="AF130" s="130"/>
      <c r="AG130" s="130"/>
      <c r="AH130" s="130"/>
      <c r="AI130" s="130"/>
      <c r="AJ130" s="110"/>
      <c r="AK130" s="202">
        <f>SUM(AM130:AV130)</f>
        <v>0</v>
      </c>
      <c r="AL130" s="243"/>
      <c r="AM130" s="168">
        <f>AM$116*AM$128</f>
        <v>0</v>
      </c>
      <c r="AN130" s="168">
        <f>AN$116*AN$128</f>
        <v>0</v>
      </c>
      <c r="AO130" s="168">
        <f>AO$116*AO$128</f>
        <v>0</v>
      </c>
      <c r="AP130" s="130"/>
      <c r="AQ130" s="130"/>
      <c r="AR130" s="130"/>
      <c r="AS130" s="130"/>
      <c r="AT130" s="130"/>
      <c r="AU130" s="130"/>
      <c r="AV130" s="110"/>
      <c r="AW130" s="202">
        <f>SUM(AY130:BH130)</f>
        <v>0</v>
      </c>
      <c r="AX130" s="243"/>
      <c r="AY130" s="168">
        <f>AY$116*AY$128</f>
        <v>0</v>
      </c>
      <c r="AZ130" s="168">
        <f>AZ$116*AZ$128</f>
        <v>0</v>
      </c>
      <c r="BA130" s="168">
        <f>BA$116*BA$128</f>
        <v>0</v>
      </c>
      <c r="BB130" s="130"/>
      <c r="BC130" s="130"/>
      <c r="BD130" s="130"/>
      <c r="BE130" s="130"/>
      <c r="BF130" s="130"/>
      <c r="BG130" s="130"/>
      <c r="BH130" s="210"/>
    </row>
    <row r="131" spans="1:60">
      <c r="A131" s="1040"/>
      <c r="B131" s="1109" t="s">
        <v>187</v>
      </c>
      <c r="C131" s="1106" t="s">
        <v>96</v>
      </c>
      <c r="D131" s="638"/>
      <c r="E131" s="940" t="s">
        <v>210</v>
      </c>
      <c r="F131" s="940"/>
      <c r="G131" s="940"/>
      <c r="H131" s="940"/>
      <c r="I131" s="77"/>
      <c r="J131" s="939"/>
      <c r="K131" s="126"/>
      <c r="L131" s="126"/>
      <c r="M131" s="938"/>
      <c r="N131" s="143"/>
      <c r="O131" s="177" t="str">
        <f>O$10</f>
        <v>verwarming</v>
      </c>
      <c r="P131" s="177" t="str">
        <f>P$10</f>
        <v>koeling</v>
      </c>
      <c r="Q131" s="177" t="str">
        <f>Q$10</f>
        <v>tapwater</v>
      </c>
      <c r="R131" s="177"/>
      <c r="S131" s="177"/>
      <c r="T131" s="177"/>
      <c r="U131" s="177"/>
      <c r="V131" s="177"/>
      <c r="W131" s="177"/>
      <c r="X131" s="144"/>
      <c r="Y131" s="938"/>
      <c r="Z131" s="143"/>
      <c r="AA131" s="177" t="str">
        <f>AA$10</f>
        <v>verwarming</v>
      </c>
      <c r="AB131" s="177" t="str">
        <f>AB$10</f>
        <v>koeling</v>
      </c>
      <c r="AC131" s="177" t="str">
        <f>AC$10</f>
        <v>tapwater</v>
      </c>
      <c r="AD131" s="177"/>
      <c r="AE131" s="177"/>
      <c r="AF131" s="177"/>
      <c r="AG131" s="177"/>
      <c r="AH131" s="177"/>
      <c r="AI131" s="177"/>
      <c r="AJ131" s="144"/>
      <c r="AK131" s="938"/>
      <c r="AL131" s="143"/>
      <c r="AM131" s="177" t="str">
        <f>AM$10</f>
        <v>verwarming</v>
      </c>
      <c r="AN131" s="177" t="str">
        <f>AN$10</f>
        <v>koeling</v>
      </c>
      <c r="AO131" s="177" t="str">
        <f>AO$10</f>
        <v>tapwater</v>
      </c>
      <c r="AP131" s="177"/>
      <c r="AQ131" s="177"/>
      <c r="AR131" s="177"/>
      <c r="AS131" s="177"/>
      <c r="AT131" s="177"/>
      <c r="AU131" s="177"/>
      <c r="AV131" s="144"/>
      <c r="AW131" s="938"/>
      <c r="AX131" s="143"/>
      <c r="AY131" s="177" t="str">
        <f>AY$10</f>
        <v>verwarming</v>
      </c>
      <c r="AZ131" s="177" t="str">
        <f>AZ$10</f>
        <v>koeling</v>
      </c>
      <c r="BA131" s="177" t="str">
        <f>BA$10</f>
        <v>tapwater</v>
      </c>
      <c r="BB131" s="177"/>
      <c r="BC131" s="177"/>
      <c r="BD131" s="177"/>
      <c r="BE131" s="177"/>
      <c r="BF131" s="177"/>
      <c r="BG131" s="177"/>
      <c r="BH131" s="218"/>
    </row>
    <row r="132" spans="1:60">
      <c r="A132" s="1040"/>
      <c r="B132" s="1109" t="s">
        <v>187</v>
      </c>
      <c r="C132" s="1107" t="s">
        <v>118</v>
      </c>
      <c r="D132" s="638" t="s">
        <v>45</v>
      </c>
      <c r="E132" s="181" t="s">
        <v>211</v>
      </c>
      <c r="F132" s="181"/>
      <c r="G132" s="181"/>
      <c r="H132" s="181" t="s">
        <v>160</v>
      </c>
      <c r="I132" s="129"/>
      <c r="J132" s="202">
        <f>M132+Y132+AK132+AW132</f>
        <v>0</v>
      </c>
      <c r="K132" s="1059"/>
      <c r="L132" s="1059"/>
      <c r="M132" s="202">
        <f>SUM(O132:X132)</f>
        <v>0</v>
      </c>
      <c r="N132" s="243"/>
      <c r="O132" s="168">
        <f>IF(   AND(   HLOOKUP(IF(O$83="",referentie_verwarming,O$83),toestellen_RV,ROWS(bibliotheek!$E$83:$E$88),FALSE)=1,   O115+Q115&gt;P115   ),
ABS(O115+Q115-P115)*O$115/(O115+Q115),
0)</f>
        <v>0</v>
      </c>
      <c r="P132" s="168">
        <f>IF(AND(HLOOKUP(IF(P$83="",referentie_koeling,P$83),toestellen_KOEL,ROWS(bibliotheek!$E$190:$E$194),FALSE)=1,O115+Q115&lt;P115),ABS(O115+Q115-P115),0)</f>
        <v>0</v>
      </c>
      <c r="Q132" s="168">
        <f>IF(AND(HLOOKUP(IF(Q$83="",referentie_warmtapwater,Q$83),toestellen_TAP,ROWS(bibliotheek!$E$139:$E$144),FALSE)=1,O115+Q115&gt;P115),ABS(O115+Q115-P115)*Q$115/(O115+Q115),0)</f>
        <v>0</v>
      </c>
      <c r="R132" s="130"/>
      <c r="S132" s="130"/>
      <c r="T132" s="130"/>
      <c r="U132" s="130"/>
      <c r="V132" s="130"/>
      <c r="W132" s="130"/>
      <c r="X132" s="110"/>
      <c r="Y132" s="202">
        <f>SUM(AA132:AJ132)</f>
        <v>0</v>
      </c>
      <c r="Z132" s="243"/>
      <c r="AA132" s="168">
        <f>IF(   AND(   HLOOKUP(IF(AA$83="",referentie_verwarming,AA$83),toestellen_RV,ROWS(bibliotheek!$E$83:$E$88),FALSE)=1,   AA115+AC115&gt;AB115   ),
ABS(AA115+AC115-AB115)*AA$115/(AA115+AC115),
0)</f>
        <v>0</v>
      </c>
      <c r="AB132" s="168">
        <f>IF(AND(HLOOKUP(IF(AB$83="",referentie_koeling,AB$83),toestellen_KOEL,ROWS(bibliotheek!$E$190:$E$194),FALSE)=1,AA115+AC115&lt;AB115),ABS(AA115+AC115-AB115),0)</f>
        <v>0</v>
      </c>
      <c r="AC132" s="168">
        <f>IF(AND(HLOOKUP(IF(AC$83="",referentie_warmtapwater,AC$83),toestellen_TAP,ROWS(bibliotheek!$E$139:$E$144),FALSE)=1,AA115+AC115&gt;AB115),ABS(AA115+AC115-AB115)*AC$115/(AA115+AC115),0)</f>
        <v>0</v>
      </c>
      <c r="AD132" s="130"/>
      <c r="AE132" s="130"/>
      <c r="AF132" s="130"/>
      <c r="AG132" s="130"/>
      <c r="AH132" s="130"/>
      <c r="AI132" s="130"/>
      <c r="AJ132" s="110"/>
      <c r="AK132" s="202">
        <f>SUM(AM132:AV132)</f>
        <v>0</v>
      </c>
      <c r="AL132" s="243"/>
      <c r="AM132" s="168">
        <f>IF(   AND(   HLOOKUP(IF(AM$83="",referentie_verwarming,AM$83),toestellen_RV,ROWS(bibliotheek!$E$83:$E$88),FALSE)=1,   AM115+AO115&gt;AN115   ),
ABS(AM115+AO115-AN115)*AM$115/(AM115+AO115),
0)</f>
        <v>0</v>
      </c>
      <c r="AN132" s="168">
        <f>IF(AND(HLOOKUP(IF(AN$83="",referentie_koeling,AN$83),toestellen_KOEL,ROWS(bibliotheek!$E$190:$E$194),FALSE)=1,AM115+AO115&lt;AN115),ABS(AM115+AO115-AN115),0)</f>
        <v>0</v>
      </c>
      <c r="AO132" s="168">
        <f>IF(AND(HLOOKUP(IF(AO$83="",referentie_warmtapwater,AO$83),toestellen_TAP,ROWS(bibliotheek!$E$139:$E$144),FALSE)=1,AM115+AO115&gt;AN115),ABS(AM115+AO115-AN115)*AO$115/(AM115+AO115),0)</f>
        <v>0</v>
      </c>
      <c r="AP132" s="130"/>
      <c r="AQ132" s="130"/>
      <c r="AR132" s="130"/>
      <c r="AS132" s="130"/>
      <c r="AT132" s="130"/>
      <c r="AU132" s="130"/>
      <c r="AV132" s="110"/>
      <c r="AW132" s="202">
        <f>SUM(AY132:BH132)</f>
        <v>0</v>
      </c>
      <c r="AX132" s="243"/>
      <c r="AY132" s="168">
        <f>IF(   AND(   HLOOKUP(IF(AY$83="",referentie_verwarming,AY$83),toestellen_RV,ROWS(bibliotheek!$E$83:$E$88),FALSE)=1,   AY115+BA115&gt;AZ115   ),
ABS(AY115+BA115-AZ115)*AY$115/(AY115+BA115),
0)</f>
        <v>0</v>
      </c>
      <c r="AZ132" s="168">
        <f>IF(AND(HLOOKUP(IF(AZ$83="",referentie_koeling,AZ$83),toestellen_KOEL,ROWS(bibliotheek!$E$190:$E$194),FALSE)=1,AY115+BA115&lt;AZ115),ABS(AY115+BA115-AZ115),0)</f>
        <v>0</v>
      </c>
      <c r="BA132" s="168">
        <f>IF(AND(HLOOKUP(IF(BA$83="",referentie_warmtapwater,BA$83),toestellen_TAP,ROWS(bibliotheek!$E$139:$E$144),FALSE)=1,AY115+BA115&gt;AZ115),ABS(AY115+BA115-AZ115)*BA$115/(AY115+BA115),0)</f>
        <v>0</v>
      </c>
      <c r="BB132" s="130"/>
      <c r="BC132" s="130"/>
      <c r="BD132" s="130"/>
      <c r="BE132" s="130"/>
      <c r="BF132" s="130"/>
      <c r="BG132" s="130"/>
      <c r="BH132" s="210"/>
    </row>
    <row r="133" spans="1:60" hidden="1">
      <c r="A133" s="1040"/>
      <c r="B133" s="1109" t="s">
        <v>187</v>
      </c>
      <c r="C133" s="1107" t="s">
        <v>181</v>
      </c>
      <c r="D133" s="638"/>
      <c r="E133" s="181" t="s">
        <v>212</v>
      </c>
      <c r="F133" s="180"/>
      <c r="G133" s="180"/>
      <c r="H133" s="181" t="s">
        <v>213</v>
      </c>
      <c r="I133" s="129"/>
      <c r="J133" s="190"/>
      <c r="K133" s="107"/>
      <c r="L133" s="107"/>
      <c r="M133" s="190"/>
      <c r="N133" s="79"/>
      <c r="O133" s="545">
        <f>HLOOKUP(IF(O$83="",referentie_verwarming,O$83),toestellen_RV,ROWS(bibliotheek!$E$83:$E$117),FALSE)</f>
        <v>0</v>
      </c>
      <c r="P133" s="545">
        <f>HLOOKUP(IF(P$83="",referentie_koeling,P$83),toestellen_KOEL,ROWS(bibliotheek!$E$190:$E$208),FALSE)</f>
        <v>0</v>
      </c>
      <c r="Q133" s="545">
        <f>HLOOKUP(IF(Q$83="",referentie_warmtapwater,Q$83),toestellen_TAP,ROWS(bibliotheek!$E$139:$E$165),FALSE)</f>
        <v>0</v>
      </c>
      <c r="R133" s="379"/>
      <c r="S133" s="379"/>
      <c r="T133" s="379"/>
      <c r="U133" s="379"/>
      <c r="V133" s="379"/>
      <c r="W133" s="379"/>
      <c r="X133" s="418"/>
      <c r="Y133" s="190"/>
      <c r="Z133" s="79"/>
      <c r="AA133" s="545">
        <f>HLOOKUP(IF(AA$83="",referentie_verwarming,AA$83),toestellen_RV,ROWS(bibliotheek!$E$83:$E$117),FALSE)</f>
        <v>0</v>
      </c>
      <c r="AB133" s="545">
        <f>HLOOKUP(IF(AB$83="",referentie_koeling,AB$83),toestellen_KOEL,ROWS(bibliotheek!$E$190:$E$208),FALSE)</f>
        <v>0</v>
      </c>
      <c r="AC133" s="545">
        <f>HLOOKUP(IF(AC$83="",referentie_warmtapwater,AC$83),toestellen_TAP,ROWS(bibliotheek!$E$139:$E$165),FALSE)</f>
        <v>0</v>
      </c>
      <c r="AD133" s="379"/>
      <c r="AE133" s="379"/>
      <c r="AF133" s="379"/>
      <c r="AG133" s="379"/>
      <c r="AH133" s="379"/>
      <c r="AI133" s="379"/>
      <c r="AJ133" s="418"/>
      <c r="AK133" s="190"/>
      <c r="AL133" s="79"/>
      <c r="AM133" s="545">
        <f>HLOOKUP(IF(AM$83="",referentie_verwarming,AM$83),toestellen_RV,ROWS(bibliotheek!$E$83:$E$117),FALSE)</f>
        <v>0</v>
      </c>
      <c r="AN133" s="545">
        <f>HLOOKUP(IF(AN$83="",referentie_koeling,AN$83),toestellen_KOEL,ROWS(bibliotheek!$E$190:$E$208),FALSE)</f>
        <v>0</v>
      </c>
      <c r="AO133" s="545">
        <f>HLOOKUP(IF(AO$83="",referentie_warmtapwater,AO$83),toestellen_TAP,ROWS(bibliotheek!$E$139:$E$165),FALSE)</f>
        <v>0</v>
      </c>
      <c r="AP133" s="379"/>
      <c r="AQ133" s="379"/>
      <c r="AR133" s="379"/>
      <c r="AS133" s="379"/>
      <c r="AT133" s="379"/>
      <c r="AU133" s="379"/>
      <c r="AV133" s="418"/>
      <c r="AW133" s="190"/>
      <c r="AX133" s="79"/>
      <c r="AY133" s="545">
        <f>HLOOKUP(IF(AY$83="",referentie_verwarming,AY$83),toestellen_RV,ROWS(bibliotheek!$E$83:$E$117),FALSE)</f>
        <v>0</v>
      </c>
      <c r="AZ133" s="545">
        <f>HLOOKUP(IF(AZ$83="",referentie_koeling,AZ$83),toestellen_KOEL,ROWS(bibliotheek!$E$190:$E$208),FALSE)</f>
        <v>0</v>
      </c>
      <c r="BA133" s="545">
        <f>HLOOKUP(IF(BA$83="",referentie_warmtapwater,BA$83),toestellen_TAP,ROWS(bibliotheek!$E$139:$E$165),FALSE)</f>
        <v>0</v>
      </c>
      <c r="BB133" s="379"/>
      <c r="BC133" s="379"/>
      <c r="BD133" s="379"/>
      <c r="BE133" s="379"/>
      <c r="BF133" s="379"/>
      <c r="BG133" s="379"/>
      <c r="BH133" s="210"/>
    </row>
    <row r="134" spans="1:60">
      <c r="A134" s="1040"/>
      <c r="B134" s="1109" t="s">
        <v>187</v>
      </c>
      <c r="C134" s="1107" t="s">
        <v>118</v>
      </c>
      <c r="D134" s="638"/>
      <c r="E134" s="291" t="s">
        <v>214</v>
      </c>
      <c r="F134" s="254"/>
      <c r="G134" s="254"/>
      <c r="H134" s="291" t="s">
        <v>65</v>
      </c>
      <c r="I134" s="77"/>
      <c r="J134" s="289"/>
      <c r="K134" s="77"/>
      <c r="L134" s="77"/>
      <c r="M134" s="289"/>
      <c r="N134" s="79"/>
      <c r="O134" s="384">
        <f>IF(HLOOKUP(IF(O$83="",referentie_verwarming,O$83),toestellen_RV,ROWS(bibliotheek!$E$83:$E$101),FALSE)=0,0,IF(O135&lt;&gt;"",O135,HLOOKUP(IF(O$83="",referentie_verwarming,O$83),toestellen_RV,ROWS(bibliotheek!$E$83:$E$101),FALSE)))</f>
        <v>0</v>
      </c>
      <c r="P134" s="384">
        <f>IF(HLOOKUP(IF(P$83="",referentie_koeling,P$83),toestellen_KOEL,ROWS(bibliotheek!$E$190:$E$201),FALSE)=0,0,IF(P135&lt;&gt;"",P135,HLOOKUP(IF(P$83="",referentie_koeling,P$83),toestellen_KOEL,ROWS(bibliotheek!$E$190:$E$201),FALSE)))</f>
        <v>0</v>
      </c>
      <c r="Q134" s="384">
        <f>IF(HLOOKUP(IF(Q$83="",referentie_warmtapwater,Q$83),toestellen_TAP,ROWS(bibliotheek!$E$139:$E$157),FALSE)=0,0,IF(Q135&lt;&gt;"",Q135,HLOOKUP(IF(Q$83="",referentie_warmtapwater,Q$83),toestellen_TAP,ROWS(bibliotheek!$E$139:$E$157),FALSE)))</f>
        <v>0</v>
      </c>
      <c r="R134" s="139"/>
      <c r="S134" s="139"/>
      <c r="T134" s="139"/>
      <c r="U134" s="139"/>
      <c r="V134" s="139"/>
      <c r="W134" s="139"/>
      <c r="X134" s="111"/>
      <c r="Y134" s="289"/>
      <c r="Z134" s="79"/>
      <c r="AA134" s="384">
        <f>IF(HLOOKUP(IF(AA$83="",referentie_verwarming,AA$83),toestellen_RV,ROWS(bibliotheek!$E$83:$E$101),FALSE)=0,0,IF(AA135&lt;&gt;"",AA135,HLOOKUP(IF(AA$83="",referentie_verwarming,AA$83),toestellen_RV,ROWS(bibliotheek!$E$83:$E$101),FALSE)))</f>
        <v>0</v>
      </c>
      <c r="AB134" s="384">
        <f>IF(HLOOKUP(IF(AB$83="",referentie_koeling,AB$83),toestellen_KOEL,ROWS(bibliotheek!$E$190:$E$201),FALSE)=0,0,IF(AB135&lt;&gt;"",AB135,HLOOKUP(IF(AB$83="",referentie_koeling,AB$83),toestellen_KOEL,ROWS(bibliotheek!$E$190:$E$201),FALSE)))</f>
        <v>0</v>
      </c>
      <c r="AC134" s="384">
        <f>IF(HLOOKUP(IF(AC$83="",referentie_warmtapwater,AC$83),toestellen_TAP,ROWS(bibliotheek!$E$139:$E$157),FALSE)=0,0,IF(AC135&lt;&gt;"",AC135,HLOOKUP(IF(AC$83="",referentie_warmtapwater,AC$83),toestellen_TAP,ROWS(bibliotheek!$E$139:$E$157),FALSE)))</f>
        <v>0</v>
      </c>
      <c r="AD134" s="139"/>
      <c r="AE134" s="139"/>
      <c r="AF134" s="139"/>
      <c r="AG134" s="139"/>
      <c r="AH134" s="139"/>
      <c r="AI134" s="139"/>
      <c r="AJ134" s="111"/>
      <c r="AK134" s="289"/>
      <c r="AL134" s="79"/>
      <c r="AM134" s="384">
        <f>IF(HLOOKUP(IF(AM$83="",referentie_verwarming,AM$83),toestellen_RV,ROWS(bibliotheek!$E$83:$E$101),FALSE)=0,0,IF(AM135&lt;&gt;"",AM135,HLOOKUP(IF(AM$83="",referentie_verwarming,AM$83),toestellen_RV,ROWS(bibliotheek!$E$83:$E$101),FALSE)))</f>
        <v>0</v>
      </c>
      <c r="AN134" s="384">
        <f>IF(HLOOKUP(IF(AN$83="",referentie_koeling,AN$83),toestellen_KOEL,ROWS(bibliotheek!$E$190:$E$201),FALSE)=0,0,IF(AN135&lt;&gt;"",AN135,HLOOKUP(IF(AN$83="",referentie_koeling,AN$83),toestellen_KOEL,ROWS(bibliotheek!$E$190:$E$201),FALSE)))</f>
        <v>0</v>
      </c>
      <c r="AO134" s="384">
        <f>IF(HLOOKUP(IF(AO$83="",referentie_warmtapwater,AO$83),toestellen_TAP,ROWS(bibliotheek!$E$139:$E$157),FALSE)=0,0,IF(AO135&lt;&gt;"",AO135,HLOOKUP(IF(AO$83="",referentie_warmtapwater,AO$83),toestellen_TAP,ROWS(bibliotheek!$E$139:$E$157),FALSE)))</f>
        <v>0</v>
      </c>
      <c r="AP134" s="139"/>
      <c r="AQ134" s="139"/>
      <c r="AR134" s="139"/>
      <c r="AS134" s="139"/>
      <c r="AT134" s="139"/>
      <c r="AU134" s="139"/>
      <c r="AV134" s="111"/>
      <c r="AW134" s="289"/>
      <c r="AX134" s="79"/>
      <c r="AY134" s="384">
        <f>IF(HLOOKUP(IF(AY$83="",referentie_verwarming,AY$83),toestellen_RV,ROWS(bibliotheek!$E$83:$E$101),FALSE)=0,0,IF(AY135&lt;&gt;"",AY135,HLOOKUP(IF(AY$83="",referentie_verwarming,AY$83),toestellen_RV,ROWS(bibliotheek!$E$83:$E$101),FALSE)))</f>
        <v>0</v>
      </c>
      <c r="AZ134" s="384">
        <f>IF(HLOOKUP(IF(AZ$83="",referentie_koeling,AZ$83),toestellen_KOEL,ROWS(bibliotheek!$E$190:$E$201),FALSE)=0,0,IF(AZ135&lt;&gt;"",AZ135,HLOOKUP(IF(AZ$83="",referentie_koeling,AZ$83),toestellen_KOEL,ROWS(bibliotheek!$E$190:$E$201),FALSE)))</f>
        <v>0</v>
      </c>
      <c r="BA134" s="384">
        <f>IF(HLOOKUP(IF(BA$83="",referentie_warmtapwater,BA$83),toestellen_TAP,ROWS(bibliotheek!$E$139:$E$157),FALSE)=0,0,IF(BA135&lt;&gt;"",BA135,HLOOKUP(IF(BA$83="",referentie_warmtapwater,BA$83),toestellen_TAP,ROWS(bibliotheek!$E$139:$E$157),FALSE)))</f>
        <v>0</v>
      </c>
      <c r="BB134" s="139"/>
      <c r="BC134" s="139"/>
      <c r="BD134" s="139"/>
      <c r="BE134" s="139"/>
      <c r="BF134" s="139"/>
      <c r="BG134" s="139"/>
      <c r="BH134" s="174"/>
    </row>
    <row r="135" spans="1:60">
      <c r="A135" s="1040"/>
      <c r="B135" s="1109" t="s">
        <v>187</v>
      </c>
      <c r="C135" s="1107" t="s">
        <v>118</v>
      </c>
      <c r="D135" s="638"/>
      <c r="E135" s="1218" t="s">
        <v>215</v>
      </c>
      <c r="F135" s="255"/>
      <c r="G135" s="255"/>
      <c r="H135" s="292"/>
      <c r="I135" s="77"/>
      <c r="J135" s="299"/>
      <c r="K135" s="77"/>
      <c r="L135" s="77"/>
      <c r="M135" s="198"/>
      <c r="N135" s="79"/>
      <c r="O135" s="275"/>
      <c r="P135" s="617"/>
      <c r="Q135" s="275"/>
      <c r="R135" s="140"/>
      <c r="S135" s="140"/>
      <c r="T135" s="140"/>
      <c r="U135" s="140"/>
      <c r="V135" s="140"/>
      <c r="W135" s="140"/>
      <c r="X135" s="76"/>
      <c r="Y135" s="198"/>
      <c r="Z135" s="79"/>
      <c r="AA135" s="275"/>
      <c r="AB135" s="617"/>
      <c r="AC135" s="275"/>
      <c r="AD135" s="140"/>
      <c r="AE135" s="140"/>
      <c r="AF135" s="140"/>
      <c r="AG135" s="140"/>
      <c r="AH135" s="140"/>
      <c r="AI135" s="140"/>
      <c r="AJ135" s="76"/>
      <c r="AK135" s="198"/>
      <c r="AL135" s="79"/>
      <c r="AM135" s="275"/>
      <c r="AN135" s="617"/>
      <c r="AO135" s="275"/>
      <c r="AP135" s="140"/>
      <c r="AQ135" s="140"/>
      <c r="AR135" s="140"/>
      <c r="AS135" s="140"/>
      <c r="AT135" s="140"/>
      <c r="AU135" s="140"/>
      <c r="AV135" s="76"/>
      <c r="AW135" s="198"/>
      <c r="AX135" s="79"/>
      <c r="AY135" s="275"/>
      <c r="AZ135" s="617"/>
      <c r="BA135" s="275"/>
      <c r="BB135" s="140"/>
      <c r="BC135" s="140"/>
      <c r="BD135" s="140"/>
      <c r="BE135" s="140"/>
      <c r="BF135" s="140"/>
      <c r="BG135" s="140"/>
      <c r="BH135" s="174"/>
    </row>
    <row r="136" spans="1:60">
      <c r="A136" s="1040"/>
      <c r="B136" s="1109" t="s">
        <v>187</v>
      </c>
      <c r="C136" s="1107" t="s">
        <v>96</v>
      </c>
      <c r="D136" s="638"/>
      <c r="E136" s="79"/>
      <c r="F136" s="79"/>
      <c r="G136" s="79"/>
      <c r="H136" s="85"/>
      <c r="I136" s="79"/>
      <c r="J136" s="82"/>
      <c r="K136" s="79"/>
      <c r="L136" s="79"/>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1"/>
    </row>
    <row r="137" spans="1:60">
      <c r="A137" s="1040"/>
      <c r="B137" s="1109" t="s">
        <v>216</v>
      </c>
      <c r="C137" s="1107" t="s">
        <v>96</v>
      </c>
      <c r="D137" s="638"/>
      <c r="E137" s="79"/>
      <c r="F137" s="79"/>
      <c r="G137" s="79"/>
      <c r="H137" s="85"/>
      <c r="I137" s="79"/>
      <c r="J137" s="82"/>
      <c r="K137" s="79"/>
      <c r="L137" s="79"/>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1"/>
    </row>
    <row r="138" spans="1:60" ht="21">
      <c r="A138" s="1040"/>
      <c r="B138" s="1109" t="s">
        <v>216</v>
      </c>
      <c r="C138" s="1106" t="s">
        <v>96</v>
      </c>
      <c r="D138" s="641" t="s">
        <v>45</v>
      </c>
      <c r="E138" s="199" t="s">
        <v>217</v>
      </c>
      <c r="F138" s="199"/>
      <c r="G138" s="199"/>
      <c r="H138" s="199"/>
      <c r="I138" s="77"/>
      <c r="J138" s="200" t="str">
        <f>J$10</f>
        <v>alle locaties</v>
      </c>
      <c r="K138" s="126"/>
      <c r="L138" s="126"/>
      <c r="M138" s="200" t="str">
        <f>M$10</f>
        <v>locatie 1</v>
      </c>
      <c r="N138" s="182"/>
      <c r="O138" s="966" t="str">
        <f>$E138&amp;" per energiepost"</f>
        <v>installatie niet-preferent toestel per energiepost</v>
      </c>
      <c r="P138" s="941"/>
      <c r="Q138" s="941"/>
      <c r="R138" s="941"/>
      <c r="S138" s="941"/>
      <c r="T138" s="941"/>
      <c r="U138" s="941"/>
      <c r="V138" s="941"/>
      <c r="W138" s="956"/>
      <c r="X138" s="174"/>
      <c r="Y138" s="200" t="str">
        <f>Y$10</f>
        <v>locatie 2</v>
      </c>
      <c r="Z138" s="182"/>
      <c r="AA138" s="966" t="str">
        <f>$E138&amp;" per energiepost"</f>
        <v>installatie niet-preferent toestel per energiepost</v>
      </c>
      <c r="AB138" s="941"/>
      <c r="AC138" s="941"/>
      <c r="AD138" s="941"/>
      <c r="AE138" s="941"/>
      <c r="AF138" s="941"/>
      <c r="AG138" s="941"/>
      <c r="AH138" s="941"/>
      <c r="AI138" s="956"/>
      <c r="AJ138" s="174"/>
      <c r="AK138" s="200" t="str">
        <f>AK$10</f>
        <v>locatie 3</v>
      </c>
      <c r="AL138" s="182"/>
      <c r="AM138" s="966" t="str">
        <f>$E138&amp;" per energiepost"</f>
        <v>installatie niet-preferent toestel per energiepost</v>
      </c>
      <c r="AN138" s="941"/>
      <c r="AO138" s="941"/>
      <c r="AP138" s="941"/>
      <c r="AQ138" s="941"/>
      <c r="AR138" s="941"/>
      <c r="AS138" s="941"/>
      <c r="AT138" s="941"/>
      <c r="AU138" s="956"/>
      <c r="AV138" s="174"/>
      <c r="AW138" s="200" t="str">
        <f>AW$10</f>
        <v>locatie 4</v>
      </c>
      <c r="AX138" s="182"/>
      <c r="AY138" s="966" t="str">
        <f>$E138&amp;" per energiepost"</f>
        <v>installatie niet-preferent toestel per energiepost</v>
      </c>
      <c r="AZ138" s="941"/>
      <c r="BA138" s="941"/>
      <c r="BB138" s="941"/>
      <c r="BC138" s="941"/>
      <c r="BD138" s="941"/>
      <c r="BE138" s="941"/>
      <c r="BF138" s="941"/>
      <c r="BG138" s="956"/>
      <c r="BH138" s="1"/>
    </row>
    <row r="139" spans="1:60">
      <c r="A139" s="1040"/>
      <c r="B139" s="1109" t="s">
        <v>216</v>
      </c>
      <c r="C139" s="1106" t="s">
        <v>96</v>
      </c>
      <c r="D139" s="638"/>
      <c r="E139" s="940" t="s">
        <v>192</v>
      </c>
      <c r="F139" s="940"/>
      <c r="G139" s="940"/>
      <c r="H139" s="940"/>
      <c r="I139" s="77"/>
      <c r="J139" s="939"/>
      <c r="K139" s="126"/>
      <c r="L139" s="126"/>
      <c r="M139" s="938"/>
      <c r="N139" s="191"/>
      <c r="O139" s="177" t="str">
        <f>O$10</f>
        <v>verwarming</v>
      </c>
      <c r="P139" s="177" t="str">
        <f>P$10</f>
        <v>koeling</v>
      </c>
      <c r="Q139" s="177" t="str">
        <f>Q$10</f>
        <v>tapwater</v>
      </c>
      <c r="R139" s="177"/>
      <c r="S139" s="177"/>
      <c r="T139" s="177"/>
      <c r="U139" s="177"/>
      <c r="V139" s="177"/>
      <c r="W139" s="177"/>
      <c r="X139" s="191"/>
      <c r="Y139" s="938"/>
      <c r="Z139" s="191"/>
      <c r="AA139" s="177" t="str">
        <f>AA$10</f>
        <v>verwarming</v>
      </c>
      <c r="AB139" s="177" t="str">
        <f>AB$10</f>
        <v>koeling</v>
      </c>
      <c r="AC139" s="177" t="str">
        <f>AC$10</f>
        <v>tapwater</v>
      </c>
      <c r="AD139" s="177"/>
      <c r="AE139" s="177"/>
      <c r="AF139" s="177"/>
      <c r="AG139" s="177"/>
      <c r="AH139" s="177"/>
      <c r="AI139" s="177"/>
      <c r="AJ139" s="191"/>
      <c r="AK139" s="938"/>
      <c r="AL139" s="191"/>
      <c r="AM139" s="177" t="str">
        <f>AM$10</f>
        <v>verwarming</v>
      </c>
      <c r="AN139" s="177" t="str">
        <f>AN$10</f>
        <v>koeling</v>
      </c>
      <c r="AO139" s="177" t="str">
        <f>AO$10</f>
        <v>tapwater</v>
      </c>
      <c r="AP139" s="177"/>
      <c r="AQ139" s="177"/>
      <c r="AR139" s="177"/>
      <c r="AS139" s="177"/>
      <c r="AT139" s="177"/>
      <c r="AU139" s="177"/>
      <c r="AV139" s="191"/>
      <c r="AW139" s="938"/>
      <c r="AX139" s="191"/>
      <c r="AY139" s="177" t="str">
        <f>AY$10</f>
        <v>verwarming</v>
      </c>
      <c r="AZ139" s="177" t="str">
        <f>AZ$10</f>
        <v>koeling</v>
      </c>
      <c r="BA139" s="177" t="str">
        <f>BA$10</f>
        <v>tapwater</v>
      </c>
      <c r="BB139" s="177"/>
      <c r="BC139" s="177"/>
      <c r="BD139" s="177"/>
      <c r="BE139" s="177"/>
      <c r="BF139" s="177"/>
      <c r="BG139" s="177"/>
      <c r="BH139" s="36"/>
    </row>
    <row r="140" spans="1:60" ht="25.5">
      <c r="A140" s="1040"/>
      <c r="B140" s="1109" t="s">
        <v>216</v>
      </c>
      <c r="C140" s="1107" t="s">
        <v>118</v>
      </c>
      <c r="D140" s="638"/>
      <c r="E140" s="264" t="s">
        <v>218</v>
      </c>
      <c r="F140" s="264"/>
      <c r="G140" s="264"/>
      <c r="H140" s="265" t="s">
        <v>65</v>
      </c>
      <c r="I140" s="103"/>
      <c r="J140" s="268"/>
      <c r="K140" s="103"/>
      <c r="L140" s="103"/>
      <c r="M140" s="268" t="str">
        <f>IF(OR(M$11=0,O143=0),"-","RV: "&amp;O140)</f>
        <v>-</v>
      </c>
      <c r="N140" s="120"/>
      <c r="O140" s="283" t="str">
        <f>IF(O$108=1,geen,HLOOKUP(IF(O$83="",referentie_verwarming,O$83),toestellen_RV,ROWS(bibliotheek!$E$83:$E$104),FALSE))</f>
        <v>elektrisch element</v>
      </c>
      <c r="P140" s="283" t="str">
        <f>IF(OR(P$104=geen,P$108=1),geen,HLOOKUP(IF(P$83="",referentie_koeling,P$83),toestellen_KOEL,ROWS(bibliotheek!$E$190:$E$203),FALSE))</f>
        <v>geen</v>
      </c>
      <c r="Q140" s="283" t="str">
        <f>IF(Q108=1,geen,HLOOKUP(IF(Q$83="",referentie_warmtapwater,Q$83),toestellen_TAP,ROWS(bibliotheek!$E$139:$E$160),FALSE))</f>
        <v>elektrisch element</v>
      </c>
      <c r="R140" s="269"/>
      <c r="S140" s="269"/>
      <c r="T140" s="269"/>
      <c r="U140" s="269"/>
      <c r="V140" s="269"/>
      <c r="W140" s="269"/>
      <c r="X140" s="115"/>
      <c r="Y140" s="268" t="str">
        <f>IF(OR(Y$11=0,AA143=0),"-","RV: "&amp;AA140)</f>
        <v>-</v>
      </c>
      <c r="Z140" s="120"/>
      <c r="AA140" s="283" t="str">
        <f>IF(AA$108=1,geen,HLOOKUP(IF(AA$83="",referentie_verwarming,AA$83),toestellen_RV,ROWS(bibliotheek!$E$83:$E$104),FALSE))</f>
        <v>elektrisch element</v>
      </c>
      <c r="AB140" s="283" t="str">
        <f>IF(OR(AB$104=geen,AB$108=1),geen,HLOOKUP(IF(AB$83="",referentie_koeling,AB$83),toestellen_KOEL,ROWS(bibliotheek!$E$190:$E$203),FALSE))</f>
        <v>geen</v>
      </c>
      <c r="AC140" s="283" t="str">
        <f>IF(AC108=1,geen,HLOOKUP(IF(AC$83="",referentie_warmtapwater,AC$83),toestellen_TAP,ROWS(bibliotheek!$E$139:$E$160),FALSE))</f>
        <v>elektrisch element</v>
      </c>
      <c r="AD140" s="269"/>
      <c r="AE140" s="269"/>
      <c r="AF140" s="269"/>
      <c r="AG140" s="269"/>
      <c r="AH140" s="269"/>
      <c r="AI140" s="269"/>
      <c r="AJ140" s="115"/>
      <c r="AK140" s="268" t="str">
        <f>IF(OR(AK$11=0,AM143=0),"-","RV: "&amp;AM140)</f>
        <v>-</v>
      </c>
      <c r="AL140" s="120"/>
      <c r="AM140" s="283" t="str">
        <f>IF(AM$108=1,geen,HLOOKUP(IF(AM$83="",referentie_verwarming,AM$83),toestellen_RV,ROWS(bibliotheek!$E$83:$E$104),FALSE))</f>
        <v>elektrisch element</v>
      </c>
      <c r="AN140" s="283" t="str">
        <f>IF(OR(AN$104=geen,AN$108=1),geen,HLOOKUP(IF(AN$83="",referentie_koeling,AN$83),toestellen_KOEL,ROWS(bibliotheek!$E$190:$E$203),FALSE))</f>
        <v>geen</v>
      </c>
      <c r="AO140" s="283" t="str">
        <f>IF(AO108=1,geen,HLOOKUP(IF(AO$83="",referentie_warmtapwater,AO$83),toestellen_TAP,ROWS(bibliotheek!$E$139:$E$160),FALSE))</f>
        <v>elektrisch element</v>
      </c>
      <c r="AP140" s="269"/>
      <c r="AQ140" s="269"/>
      <c r="AR140" s="269"/>
      <c r="AS140" s="269"/>
      <c r="AT140" s="269"/>
      <c r="AU140" s="269"/>
      <c r="AV140" s="115"/>
      <c r="AW140" s="268" t="str">
        <f>IF(OR(AW$11=0,AY143=0),"-","RV: "&amp;AY140)</f>
        <v>-</v>
      </c>
      <c r="AX140" s="120"/>
      <c r="AY140" s="283" t="str">
        <f>IF(AY$108=1,geen,HLOOKUP(IF(AY$83="",referentie_verwarming,AY$83),toestellen_RV,ROWS(bibliotheek!$E$83:$E$104),FALSE))</f>
        <v>elektrisch element</v>
      </c>
      <c r="AZ140" s="283" t="str">
        <f>IF(OR(AZ$104=geen,AZ$108=1),geen,HLOOKUP(IF(AZ$83="",referentie_koeling,AZ$83),toestellen_KOEL,ROWS(bibliotheek!$E$190:$E$203),FALSE))</f>
        <v>geen</v>
      </c>
      <c r="BA140" s="283" t="str">
        <f>IF(BA108=1,geen,HLOOKUP(IF(BA$83="",referentie_warmtapwater,BA$83),toestellen_TAP,ROWS(bibliotheek!$E$139:$E$160),FALSE))</f>
        <v>elektrisch element</v>
      </c>
      <c r="BB140" s="269"/>
      <c r="BC140" s="269"/>
      <c r="BD140" s="269"/>
      <c r="BE140" s="269"/>
      <c r="BF140" s="269"/>
      <c r="BG140" s="269"/>
      <c r="BH140" s="221"/>
    </row>
    <row r="141" spans="1:60" hidden="1">
      <c r="A141" s="1040"/>
      <c r="B141" s="1109" t="s">
        <v>216</v>
      </c>
      <c r="C141" s="1107" t="s">
        <v>181</v>
      </c>
      <c r="D141" s="638"/>
      <c r="E141" s="180" t="s">
        <v>190</v>
      </c>
      <c r="F141" s="180"/>
      <c r="G141" s="180"/>
      <c r="H141" s="181" t="s">
        <v>65</v>
      </c>
      <c r="I141" s="79"/>
      <c r="J141" s="190"/>
      <c r="K141" s="79"/>
      <c r="L141" s="79"/>
      <c r="M141" s="190"/>
      <c r="N141" s="114"/>
      <c r="O141" s="284" t="str">
        <f>IF(O140=geen,nvt,HLOOKUP(IF(O$83="",referentie_verwarming,O$83),toestellen_RV,ROWS(bibliotheek!$E$83:$E$105),FALSE))</f>
        <v>elektriciteit</v>
      </c>
      <c r="P141" s="169" t="str">
        <f>IF(P140=geen,nvt,HLOOKUP(IF(P$83="",referentie_koeling,P$83),toestellen_KOEL,ROWS(bibliotheek!$E$190:$E$204),FALSE))</f>
        <v>nvt</v>
      </c>
      <c r="Q141" s="227" t="str">
        <f>IF(Q140=geen,nvt,HLOOKUP(IF(Q$83="",referentie_warmtapwater,Q$83),toestellen_TAP,ROWS(bibliotheek!$E$139:$E$161),FALSE))</f>
        <v>elektriciteit</v>
      </c>
      <c r="R141" s="270"/>
      <c r="S141" s="270"/>
      <c r="T141" s="270"/>
      <c r="U141" s="270"/>
      <c r="V141" s="270"/>
      <c r="W141" s="270"/>
      <c r="X141" s="108"/>
      <c r="Y141" s="190"/>
      <c r="Z141" s="114"/>
      <c r="AA141" s="284" t="str">
        <f>IF(AA140=geen,nvt,HLOOKUP(IF(AA$83="",referentie_verwarming,AA$83),toestellen_RV,ROWS(bibliotheek!$E$83:$E$105),FALSE))</f>
        <v>elektriciteit</v>
      </c>
      <c r="AB141" s="169" t="str">
        <f>IF(AB140=geen,nvt,HLOOKUP(IF(AB$83="",referentie_koeling,AB$83),toestellen_KOEL,ROWS(bibliotheek!$E$190:$E$204),FALSE))</f>
        <v>nvt</v>
      </c>
      <c r="AC141" s="227" t="str">
        <f>IF(AC140=geen,nvt,HLOOKUP(IF(AC$83="",referentie_warmtapwater,AC$83),toestellen_TAP,ROWS(bibliotheek!$E$139:$E$161),FALSE))</f>
        <v>elektriciteit</v>
      </c>
      <c r="AD141" s="270"/>
      <c r="AE141" s="270"/>
      <c r="AF141" s="270"/>
      <c r="AG141" s="270"/>
      <c r="AH141" s="270"/>
      <c r="AI141" s="270"/>
      <c r="AJ141" s="108"/>
      <c r="AK141" s="190"/>
      <c r="AL141" s="114"/>
      <c r="AM141" s="284" t="str">
        <f>IF(AM140=geen,nvt,HLOOKUP(IF(AM$83="",referentie_verwarming,AM$83),toestellen_RV,ROWS(bibliotheek!$E$83:$E$105),FALSE))</f>
        <v>elektriciteit</v>
      </c>
      <c r="AN141" s="169" t="str">
        <f>IF(AN140=geen,nvt,HLOOKUP(IF(AN$83="",referentie_koeling,AN$83),toestellen_KOEL,ROWS(bibliotheek!$E$190:$E$204),FALSE))</f>
        <v>nvt</v>
      </c>
      <c r="AO141" s="227" t="str">
        <f>IF(AO140=geen,nvt,HLOOKUP(IF(AO$83="",referentie_warmtapwater,AO$83),toestellen_TAP,ROWS(bibliotheek!$E$139:$E$161),FALSE))</f>
        <v>elektriciteit</v>
      </c>
      <c r="AP141" s="270"/>
      <c r="AQ141" s="270"/>
      <c r="AR141" s="270"/>
      <c r="AS141" s="270"/>
      <c r="AT141" s="270"/>
      <c r="AU141" s="270"/>
      <c r="AV141" s="108"/>
      <c r="AW141" s="190"/>
      <c r="AX141" s="114"/>
      <c r="AY141" s="284" t="str">
        <f>IF(AY140=geen,nvt,HLOOKUP(IF(AY$83="",referentie_verwarming,AY$83),toestellen_RV,ROWS(bibliotheek!$E$83:$E$105),FALSE))</f>
        <v>elektriciteit</v>
      </c>
      <c r="AZ141" s="169" t="str">
        <f>IF(AZ140=geen,nvt,HLOOKUP(IF(AZ$83="",referentie_koeling,AZ$83),toestellen_KOEL,ROWS(bibliotheek!$E$190:$E$204),FALSE))</f>
        <v>nvt</v>
      </c>
      <c r="BA141" s="227" t="str">
        <f>IF(BA140=geen,nvt,HLOOKUP(IF(BA$83="",referentie_warmtapwater,BA$83),toestellen_TAP,ROWS(bibliotheek!$E$139:$E$161),FALSE))</f>
        <v>elektriciteit</v>
      </c>
      <c r="BB141" s="270"/>
      <c r="BC141" s="270"/>
      <c r="BD141" s="270"/>
      <c r="BE141" s="270"/>
      <c r="BF141" s="270"/>
      <c r="BG141" s="270"/>
      <c r="BH141" s="174"/>
    </row>
    <row r="142" spans="1:60" hidden="1">
      <c r="A142" s="1040"/>
      <c r="B142" s="1109" t="s">
        <v>216</v>
      </c>
      <c r="C142" s="1106" t="s">
        <v>181</v>
      </c>
      <c r="D142" s="638"/>
      <c r="E142" s="181" t="s">
        <v>191</v>
      </c>
      <c r="F142" s="180"/>
      <c r="G142" s="180"/>
      <c r="H142" s="181" t="s">
        <v>65</v>
      </c>
      <c r="I142" s="129"/>
      <c r="J142" s="190"/>
      <c r="K142" s="1058"/>
      <c r="L142" s="1058"/>
      <c r="M142" s="190"/>
      <c r="N142" s="114"/>
      <c r="O142" s="284" t="str">
        <f>INDEX(energiedragers_index_fPren,MATCH(O141,energiedragers_namen,0))</f>
        <v>nren</v>
      </c>
      <c r="P142" s="169" t="str">
        <f>INDEX(energiedragers_index_fPren,MATCH(P141,energiedragers_namen,0))</f>
        <v>nren</v>
      </c>
      <c r="Q142" s="227" t="str">
        <f>INDEX(energiedragers_index_fPren,MATCH(Q141,energiedragers_namen,0))</f>
        <v>nren</v>
      </c>
      <c r="R142" s="271"/>
      <c r="S142" s="271"/>
      <c r="T142" s="271"/>
      <c r="U142" s="271"/>
      <c r="V142" s="271"/>
      <c r="W142" s="271"/>
      <c r="X142" s="741"/>
      <c r="Y142" s="190"/>
      <c r="Z142" s="114"/>
      <c r="AA142" s="284" t="str">
        <f>INDEX(energiedragers_index_fPren,MATCH(AA141,energiedragers_namen,0))</f>
        <v>nren</v>
      </c>
      <c r="AB142" s="169" t="str">
        <f>INDEX(energiedragers_index_fPren,MATCH(AB141,energiedragers_namen,0))</f>
        <v>nren</v>
      </c>
      <c r="AC142" s="227" t="str">
        <f>INDEX(energiedragers_index_fPren,MATCH(AC141,energiedragers_namen,0))</f>
        <v>nren</v>
      </c>
      <c r="AD142" s="271"/>
      <c r="AE142" s="271"/>
      <c r="AF142" s="271"/>
      <c r="AG142" s="271"/>
      <c r="AH142" s="271"/>
      <c r="AI142" s="271"/>
      <c r="AJ142" s="741"/>
      <c r="AK142" s="190"/>
      <c r="AL142" s="114"/>
      <c r="AM142" s="284" t="str">
        <f>INDEX(energiedragers_index_fPren,MATCH(AM141,energiedragers_namen,0))</f>
        <v>nren</v>
      </c>
      <c r="AN142" s="169" t="str">
        <f>INDEX(energiedragers_index_fPren,MATCH(AN141,energiedragers_namen,0))</f>
        <v>nren</v>
      </c>
      <c r="AO142" s="227" t="str">
        <f>INDEX(energiedragers_index_fPren,MATCH(AO141,energiedragers_namen,0))</f>
        <v>nren</v>
      </c>
      <c r="AP142" s="271"/>
      <c r="AQ142" s="271"/>
      <c r="AR142" s="271"/>
      <c r="AS142" s="271"/>
      <c r="AT142" s="271"/>
      <c r="AU142" s="271"/>
      <c r="AV142" s="741"/>
      <c r="AW142" s="190"/>
      <c r="AX142" s="114"/>
      <c r="AY142" s="284" t="str">
        <f>INDEX(energiedragers_index_fPren,MATCH(AY141,energiedragers_namen,0))</f>
        <v>nren</v>
      </c>
      <c r="AZ142" s="169" t="str">
        <f>INDEX(energiedragers_index_fPren,MATCH(AZ141,energiedragers_namen,0))</f>
        <v>nren</v>
      </c>
      <c r="BA142" s="227" t="str">
        <f>INDEX(energiedragers_index_fPren,MATCH(BA141,energiedragers_namen,0))</f>
        <v>nren</v>
      </c>
      <c r="BB142" s="271"/>
      <c r="BC142" s="271"/>
      <c r="BD142" s="271"/>
      <c r="BE142" s="271"/>
      <c r="BF142" s="271"/>
      <c r="BG142" s="271"/>
      <c r="BH142" s="219"/>
    </row>
    <row r="143" spans="1:60" hidden="1">
      <c r="A143" s="1040"/>
      <c r="B143" s="1109" t="s">
        <v>216</v>
      </c>
      <c r="C143" s="1107" t="s">
        <v>181</v>
      </c>
      <c r="D143" s="638"/>
      <c r="E143" s="180" t="s">
        <v>193</v>
      </c>
      <c r="F143" s="180"/>
      <c r="G143" s="180"/>
      <c r="H143" s="181" t="s">
        <v>65</v>
      </c>
      <c r="I143" s="79"/>
      <c r="J143" s="190"/>
      <c r="K143" s="103"/>
      <c r="L143" s="103"/>
      <c r="M143" s="190"/>
      <c r="N143" s="114"/>
      <c r="O143" s="285">
        <f>1-O108</f>
        <v>9.9999999999999978E-2</v>
      </c>
      <c r="P143" s="285">
        <f>1-P108</f>
        <v>0</v>
      </c>
      <c r="Q143" s="285">
        <f>1-Q108</f>
        <v>9.9999999999999978E-2</v>
      </c>
      <c r="R143" s="272"/>
      <c r="S143" s="272"/>
      <c r="T143" s="272"/>
      <c r="U143" s="272"/>
      <c r="V143" s="272"/>
      <c r="W143" s="272"/>
      <c r="X143" s="108"/>
      <c r="Y143" s="190"/>
      <c r="Z143" s="114"/>
      <c r="AA143" s="285">
        <f>1-AA108</f>
        <v>9.9999999999999978E-2</v>
      </c>
      <c r="AB143" s="285">
        <f>1-AB108</f>
        <v>0</v>
      </c>
      <c r="AC143" s="285">
        <f>1-AC108</f>
        <v>9.9999999999999978E-2</v>
      </c>
      <c r="AD143" s="272"/>
      <c r="AE143" s="272"/>
      <c r="AF143" s="272"/>
      <c r="AG143" s="272"/>
      <c r="AH143" s="272"/>
      <c r="AI143" s="272"/>
      <c r="AJ143" s="108"/>
      <c r="AK143" s="190"/>
      <c r="AL143" s="114"/>
      <c r="AM143" s="285">
        <f>1-AM108</f>
        <v>9.9999999999999978E-2</v>
      </c>
      <c r="AN143" s="285">
        <f>1-AN108</f>
        <v>0</v>
      </c>
      <c r="AO143" s="285">
        <f>1-AO108</f>
        <v>9.9999999999999978E-2</v>
      </c>
      <c r="AP143" s="272"/>
      <c r="AQ143" s="272"/>
      <c r="AR143" s="272"/>
      <c r="AS143" s="272"/>
      <c r="AT143" s="272"/>
      <c r="AU143" s="272"/>
      <c r="AV143" s="108"/>
      <c r="AW143" s="190"/>
      <c r="AX143" s="114"/>
      <c r="AY143" s="285">
        <f>1-AY108</f>
        <v>9.9999999999999978E-2</v>
      </c>
      <c r="AZ143" s="285">
        <f>1-AZ108</f>
        <v>0</v>
      </c>
      <c r="BA143" s="285">
        <f>1-BA108</f>
        <v>9.9999999999999978E-2</v>
      </c>
      <c r="BB143" s="272"/>
      <c r="BC143" s="272"/>
      <c r="BD143" s="272"/>
      <c r="BE143" s="272"/>
      <c r="BF143" s="272"/>
      <c r="BG143" s="272"/>
      <c r="BH143" s="174"/>
    </row>
    <row r="144" spans="1:60" hidden="1">
      <c r="A144" s="1040"/>
      <c r="B144" s="1109" t="s">
        <v>216</v>
      </c>
      <c r="C144" s="1107" t="s">
        <v>181</v>
      </c>
      <c r="D144" s="638"/>
      <c r="E144" s="180" t="s">
        <v>219</v>
      </c>
      <c r="F144" s="180"/>
      <c r="G144" s="180"/>
      <c r="H144" s="181" t="s">
        <v>160</v>
      </c>
      <c r="I144" s="79"/>
      <c r="J144" s="202">
        <f>M144+Y144+AK144+AW144</f>
        <v>0</v>
      </c>
      <c r="K144" s="243"/>
      <c r="L144" s="243"/>
      <c r="M144" s="202">
        <f>SUM(O144:X144)</f>
        <v>0</v>
      </c>
      <c r="N144" s="114"/>
      <c r="O144" s="168">
        <f>O$97*O143</f>
        <v>0</v>
      </c>
      <c r="P144" s="168">
        <f>P$97*P143</f>
        <v>0</v>
      </c>
      <c r="Q144" s="168">
        <f>Q$97*Q143</f>
        <v>0</v>
      </c>
      <c r="R144" s="273"/>
      <c r="S144" s="273"/>
      <c r="T144" s="273"/>
      <c r="U144" s="273"/>
      <c r="V144" s="273"/>
      <c r="W144" s="273"/>
      <c r="X144" s="106"/>
      <c r="Y144" s="202">
        <f>SUM(AA144:AJ144)</f>
        <v>0</v>
      </c>
      <c r="Z144" s="114"/>
      <c r="AA144" s="168">
        <f>AA$97*AA143</f>
        <v>0</v>
      </c>
      <c r="AB144" s="168">
        <f>AB$97*AB143</f>
        <v>0</v>
      </c>
      <c r="AC144" s="168">
        <f>AC$97*AC143</f>
        <v>0</v>
      </c>
      <c r="AD144" s="273"/>
      <c r="AE144" s="273"/>
      <c r="AF144" s="273"/>
      <c r="AG144" s="273"/>
      <c r="AH144" s="273"/>
      <c r="AI144" s="273"/>
      <c r="AJ144" s="106"/>
      <c r="AK144" s="202">
        <f>SUM(AM144:AV144)</f>
        <v>0</v>
      </c>
      <c r="AL144" s="114"/>
      <c r="AM144" s="168">
        <f>AM$97*AM143</f>
        <v>0</v>
      </c>
      <c r="AN144" s="168">
        <f>AN$97*AN143</f>
        <v>0</v>
      </c>
      <c r="AO144" s="168">
        <f>AO$97*AO143</f>
        <v>0</v>
      </c>
      <c r="AP144" s="273"/>
      <c r="AQ144" s="273"/>
      <c r="AR144" s="273"/>
      <c r="AS144" s="273"/>
      <c r="AT144" s="273"/>
      <c r="AU144" s="273"/>
      <c r="AV144" s="106"/>
      <c r="AW144" s="202">
        <f>SUM(AY144:BH144)</f>
        <v>0</v>
      </c>
      <c r="AX144" s="114"/>
      <c r="AY144" s="168">
        <f>AY$97*AY143</f>
        <v>0</v>
      </c>
      <c r="AZ144" s="168">
        <f>AZ$97*AZ143</f>
        <v>0</v>
      </c>
      <c r="BA144" s="168">
        <f>BA$97*BA143</f>
        <v>0</v>
      </c>
      <c r="BB144" s="273"/>
      <c r="BC144" s="273"/>
      <c r="BD144" s="273"/>
      <c r="BE144" s="273"/>
      <c r="BF144" s="273"/>
      <c r="BG144" s="273"/>
      <c r="BH144" s="210"/>
    </row>
    <row r="145" spans="1:60">
      <c r="A145" s="1040"/>
      <c r="B145" s="1109" t="s">
        <v>216</v>
      </c>
      <c r="C145" s="1106" t="s">
        <v>118</v>
      </c>
      <c r="D145" s="638"/>
      <c r="E145" s="254" t="s">
        <v>220</v>
      </c>
      <c r="F145" s="254"/>
      <c r="G145" s="254"/>
      <c r="H145" s="291" t="s">
        <v>65</v>
      </c>
      <c r="I145" s="79"/>
      <c r="J145" s="189"/>
      <c r="K145" s="79"/>
      <c r="L145" s="79"/>
      <c r="M145" s="189"/>
      <c r="N145" s="116"/>
      <c r="O145" s="349">
        <f>IF(O146&lt;&gt;"",O146,HLOOKUP(IF(O$83="",referentie_verwarming,O$83),toestellen_RV,ROWS(bibliotheek!$E$83:$E$107),FALSE))</f>
        <v>1</v>
      </c>
      <c r="P145" s="349">
        <f>IF(P146&lt;&gt;"",P146,HLOOKUP(IF(P$83="",referentie_koeling,P$83),toestellen_KOEL,ROWS(bibliotheek!$E$190:$E$206),FALSE))</f>
        <v>0</v>
      </c>
      <c r="Q145" s="349">
        <f>IF(Q146&lt;&gt;"",Q146,HLOOKUP(IF(Q$83="",referentie_warmtapwater,Q$83),toestellen_TAP,ROWS(bibliotheek!$E$139:$E$163),FALSE))</f>
        <v>1</v>
      </c>
      <c r="R145" s="350"/>
      <c r="S145" s="350"/>
      <c r="T145" s="350"/>
      <c r="U145" s="350"/>
      <c r="V145" s="350"/>
      <c r="W145" s="350"/>
      <c r="X145" s="351"/>
      <c r="Y145" s="352"/>
      <c r="Z145" s="114"/>
      <c r="AA145" s="349">
        <f>IF(AA146&lt;&gt;"",AA146,HLOOKUP(IF(AA$83="",referentie_verwarming,AA$83),toestellen_RV,ROWS(bibliotheek!$E$83:$E$107),FALSE))</f>
        <v>1</v>
      </c>
      <c r="AB145" s="349">
        <f>IF(AB146&lt;&gt;"",AB146,HLOOKUP(IF(AB$83="",referentie_koeling,AB$83),toestellen_KOEL,ROWS(bibliotheek!$E$190:$E$206),FALSE))</f>
        <v>0</v>
      </c>
      <c r="AC145" s="349">
        <f>IF(AC146&lt;&gt;"",AC146,HLOOKUP(IF(AC$83="",referentie_warmtapwater,AC$83),toestellen_TAP,ROWS(bibliotheek!$E$139:$E$163),FALSE))</f>
        <v>1</v>
      </c>
      <c r="AD145" s="350"/>
      <c r="AE145" s="350"/>
      <c r="AF145" s="350"/>
      <c r="AG145" s="350"/>
      <c r="AH145" s="350"/>
      <c r="AI145" s="350"/>
      <c r="AJ145" s="351"/>
      <c r="AK145" s="352"/>
      <c r="AL145" s="114"/>
      <c r="AM145" s="349">
        <f>IF(AM146&lt;&gt;"",AM146,HLOOKUP(IF(AM$83="",referentie_verwarming,AM$83),toestellen_RV,ROWS(bibliotheek!$E$83:$E$107),FALSE))</f>
        <v>1</v>
      </c>
      <c r="AN145" s="349">
        <f>IF(AN146&lt;&gt;"",AN146,HLOOKUP(IF(AN$83="",referentie_koeling,AN$83),toestellen_KOEL,ROWS(bibliotheek!$E$190:$E$206),FALSE))</f>
        <v>0</v>
      </c>
      <c r="AO145" s="349">
        <f>IF(AO146&lt;&gt;"",AO146,HLOOKUP(IF(AO$83="",referentie_warmtapwater,AO$83),toestellen_TAP,ROWS(bibliotheek!$E$139:$E$163),FALSE))</f>
        <v>1</v>
      </c>
      <c r="AP145" s="350"/>
      <c r="AQ145" s="350"/>
      <c r="AR145" s="350"/>
      <c r="AS145" s="350"/>
      <c r="AT145" s="350"/>
      <c r="AU145" s="350"/>
      <c r="AV145" s="351"/>
      <c r="AW145" s="352"/>
      <c r="AX145" s="114"/>
      <c r="AY145" s="349">
        <f>IF(AY146&lt;&gt;"",AY146,HLOOKUP(IF(AY$83="",referentie_verwarming,AY$83),toestellen_RV,ROWS(bibliotheek!$E$83:$E$107),FALSE))</f>
        <v>1</v>
      </c>
      <c r="AZ145" s="349">
        <f>IF(AZ146&lt;&gt;"",AZ146,HLOOKUP(IF(AZ$83="",referentie_koeling,AZ$83),toestellen_KOEL,ROWS(bibliotheek!$E$190:$E$206),FALSE))</f>
        <v>0</v>
      </c>
      <c r="BA145" s="349">
        <f>IF(BA146&lt;&gt;"",BA146,HLOOKUP(IF(BA$83="",referentie_warmtapwater,BA$83),toestellen_TAP,ROWS(bibliotheek!$E$139:$E$163),FALSE))</f>
        <v>1</v>
      </c>
      <c r="BB145" s="300"/>
      <c r="BC145" s="300"/>
      <c r="BD145" s="300"/>
      <c r="BE145" s="300"/>
      <c r="BF145" s="300"/>
      <c r="BG145" s="300"/>
      <c r="BH145" s="174"/>
    </row>
    <row r="146" spans="1:60">
      <c r="A146" s="1040"/>
      <c r="B146" s="1109" t="s">
        <v>216</v>
      </c>
      <c r="C146" s="1106" t="s">
        <v>118</v>
      </c>
      <c r="D146" s="638"/>
      <c r="E146" s="1218" t="s">
        <v>197</v>
      </c>
      <c r="F146" s="255"/>
      <c r="G146" s="255"/>
      <c r="H146" s="292"/>
      <c r="I146" s="79"/>
      <c r="J146" s="299"/>
      <c r="K146" s="79"/>
      <c r="L146" s="79"/>
      <c r="M146" s="198"/>
      <c r="N146" s="161"/>
      <c r="O146" s="628"/>
      <c r="P146" s="629"/>
      <c r="Q146" s="628"/>
      <c r="R146" s="630"/>
      <c r="S146" s="630"/>
      <c r="T146" s="630"/>
      <c r="U146" s="630"/>
      <c r="V146" s="630"/>
      <c r="W146" s="630"/>
      <c r="X146" s="348"/>
      <c r="Y146" s="631"/>
      <c r="Z146" s="114"/>
      <c r="AA146" s="628"/>
      <c r="AB146" s="629"/>
      <c r="AC146" s="628"/>
      <c r="AD146" s="630"/>
      <c r="AE146" s="630"/>
      <c r="AF146" s="630"/>
      <c r="AG146" s="630"/>
      <c r="AH146" s="630"/>
      <c r="AI146" s="630"/>
      <c r="AJ146" s="348"/>
      <c r="AK146" s="631"/>
      <c r="AL146" s="114"/>
      <c r="AM146" s="628"/>
      <c r="AN146" s="629"/>
      <c r="AO146" s="628"/>
      <c r="AP146" s="630"/>
      <c r="AQ146" s="630"/>
      <c r="AR146" s="630"/>
      <c r="AS146" s="630"/>
      <c r="AT146" s="630"/>
      <c r="AU146" s="630"/>
      <c r="AV146" s="348"/>
      <c r="AW146" s="631"/>
      <c r="AX146" s="114"/>
      <c r="AY146" s="628"/>
      <c r="AZ146" s="629"/>
      <c r="BA146" s="628"/>
      <c r="BB146" s="301"/>
      <c r="BC146" s="301"/>
      <c r="BD146" s="301"/>
      <c r="BE146" s="301"/>
      <c r="BF146" s="301"/>
      <c r="BG146" s="301"/>
      <c r="BH146" s="174"/>
    </row>
    <row r="147" spans="1:60" hidden="1">
      <c r="A147" s="1040"/>
      <c r="B147" s="1109" t="s">
        <v>216</v>
      </c>
      <c r="C147" s="1106" t="s">
        <v>181</v>
      </c>
      <c r="D147" s="638"/>
      <c r="E147" s="180" t="s">
        <v>221</v>
      </c>
      <c r="F147" s="180"/>
      <c r="G147" s="180"/>
      <c r="H147" s="181" t="s">
        <v>202</v>
      </c>
      <c r="I147" s="79"/>
      <c r="J147" s="202">
        <f>M147+Y147+AK147+AW147</f>
        <v>0</v>
      </c>
      <c r="K147" s="243"/>
      <c r="L147" s="243"/>
      <c r="M147" s="202">
        <f>SUM(O147:X147)</f>
        <v>0</v>
      </c>
      <c r="N147" s="114"/>
      <c r="O147" s="168">
        <f>IF(O$145=0,0,O$144/O$145)</f>
        <v>0</v>
      </c>
      <c r="P147" s="168">
        <f>IF(P$145=0,0,P$144/P$145)</f>
        <v>0</v>
      </c>
      <c r="Q147" s="168">
        <f>IF(Q$145=0,0,Q$144/Q$145)</f>
        <v>0</v>
      </c>
      <c r="R147" s="273"/>
      <c r="S147" s="273"/>
      <c r="T147" s="273"/>
      <c r="U147" s="273"/>
      <c r="V147" s="273"/>
      <c r="W147" s="273"/>
      <c r="X147" s="106"/>
      <c r="Y147" s="202">
        <f>SUM(AA147:AJ147)</f>
        <v>0</v>
      </c>
      <c r="Z147" s="114"/>
      <c r="AA147" s="168">
        <f>IF(AA$145=0,0,AA$144/AA$145)</f>
        <v>0</v>
      </c>
      <c r="AB147" s="168">
        <f>IF(AB$145=0,0,AB$144/AB$145)</f>
        <v>0</v>
      </c>
      <c r="AC147" s="168">
        <f>IF(AC$145=0,0,AC$144/AC$145)</f>
        <v>0</v>
      </c>
      <c r="AD147" s="273"/>
      <c r="AE147" s="273"/>
      <c r="AF147" s="273"/>
      <c r="AG147" s="273"/>
      <c r="AH147" s="273"/>
      <c r="AI147" s="273"/>
      <c r="AJ147" s="106"/>
      <c r="AK147" s="202">
        <f>SUM(AM147:AV147)</f>
        <v>0</v>
      </c>
      <c r="AL147" s="114"/>
      <c r="AM147" s="168">
        <f>IF(AM$145=0,0,AM$144/AM$145)</f>
        <v>0</v>
      </c>
      <c r="AN147" s="168">
        <f>IF(AN$145=0,0,AN$144/AN$145)</f>
        <v>0</v>
      </c>
      <c r="AO147" s="168">
        <f>IF(AO$145=0,0,AO$144/AO$145)</f>
        <v>0</v>
      </c>
      <c r="AP147" s="273"/>
      <c r="AQ147" s="273"/>
      <c r="AR147" s="273"/>
      <c r="AS147" s="273"/>
      <c r="AT147" s="273"/>
      <c r="AU147" s="273"/>
      <c r="AV147" s="106"/>
      <c r="AW147" s="202">
        <f>SUM(AY147:BH147)</f>
        <v>0</v>
      </c>
      <c r="AX147" s="114"/>
      <c r="AY147" s="168">
        <f>IF(AY$145=0,0,AY$144/AY$145)</f>
        <v>0</v>
      </c>
      <c r="AZ147" s="168">
        <f>IF(AZ$145=0,0,AZ$144/AZ$145)</f>
        <v>0</v>
      </c>
      <c r="BA147" s="168">
        <f>IF(BA$145=0,0,BA$144/BA$145)</f>
        <v>0</v>
      </c>
      <c r="BB147" s="273"/>
      <c r="BC147" s="273"/>
      <c r="BD147" s="273"/>
      <c r="BE147" s="273"/>
      <c r="BF147" s="273"/>
      <c r="BG147" s="273"/>
      <c r="BH147" s="210"/>
    </row>
    <row r="148" spans="1:60">
      <c r="A148" s="1040"/>
      <c r="B148" s="1109" t="s">
        <v>216</v>
      </c>
      <c r="C148" s="1106" t="s">
        <v>96</v>
      </c>
      <c r="D148" s="638"/>
      <c r="E148" s="940" t="s">
        <v>1220</v>
      </c>
      <c r="F148" s="940"/>
      <c r="G148" s="940"/>
      <c r="H148" s="940"/>
      <c r="I148" s="77"/>
      <c r="J148" s="939"/>
      <c r="K148" s="126"/>
      <c r="L148" s="126"/>
      <c r="M148" s="938"/>
      <c r="N148" s="191"/>
      <c r="O148" s="177" t="str">
        <f>O$10</f>
        <v>verwarming</v>
      </c>
      <c r="P148" s="177" t="str">
        <f>P$10</f>
        <v>koeling</v>
      </c>
      <c r="Q148" s="177" t="str">
        <f>Q$10</f>
        <v>tapwater</v>
      </c>
      <c r="R148" s="938"/>
      <c r="S148" s="938"/>
      <c r="T148" s="938"/>
      <c r="U148" s="938"/>
      <c r="V148" s="938"/>
      <c r="W148" s="938"/>
      <c r="X148" s="191"/>
      <c r="Y148" s="938"/>
      <c r="Z148" s="191"/>
      <c r="AA148" s="177" t="str">
        <f>AA$10</f>
        <v>verwarming</v>
      </c>
      <c r="AB148" s="177" t="str">
        <f>AB$10</f>
        <v>koeling</v>
      </c>
      <c r="AC148" s="177" t="str">
        <f>AC$10</f>
        <v>tapwater</v>
      </c>
      <c r="AD148" s="938"/>
      <c r="AE148" s="938"/>
      <c r="AF148" s="938"/>
      <c r="AG148" s="938"/>
      <c r="AH148" s="938"/>
      <c r="AI148" s="938"/>
      <c r="AJ148" s="191"/>
      <c r="AK148" s="938"/>
      <c r="AL148" s="191"/>
      <c r="AM148" s="177" t="str">
        <f>AM$10</f>
        <v>verwarming</v>
      </c>
      <c r="AN148" s="177" t="str">
        <f>AN$10</f>
        <v>koeling</v>
      </c>
      <c r="AO148" s="177" t="str">
        <f>AO$10</f>
        <v>tapwater</v>
      </c>
      <c r="AP148" s="938"/>
      <c r="AQ148" s="938"/>
      <c r="AR148" s="938"/>
      <c r="AS148" s="938"/>
      <c r="AT148" s="938"/>
      <c r="AU148" s="938"/>
      <c r="AV148" s="191"/>
      <c r="AW148" s="938"/>
      <c r="AX148" s="191"/>
      <c r="AY148" s="177" t="str">
        <f>AY$10</f>
        <v>verwarming</v>
      </c>
      <c r="AZ148" s="177" t="str">
        <f>AZ$10</f>
        <v>koeling</v>
      </c>
      <c r="BA148" s="177" t="str">
        <f>BA$10</f>
        <v>tapwater</v>
      </c>
      <c r="BB148" s="938"/>
      <c r="BC148" s="938"/>
      <c r="BD148" s="938"/>
      <c r="BE148" s="938"/>
      <c r="BF148" s="938"/>
      <c r="BG148" s="938"/>
      <c r="BH148" s="36"/>
    </row>
    <row r="149" spans="1:60">
      <c r="A149" s="1040"/>
      <c r="B149" s="1109" t="s">
        <v>216</v>
      </c>
      <c r="C149" s="1106" t="s">
        <v>118</v>
      </c>
      <c r="D149" s="641" t="s">
        <v>45</v>
      </c>
      <c r="E149" s="1170" t="s">
        <v>1348</v>
      </c>
      <c r="F149" s="181"/>
      <c r="G149" s="254"/>
      <c r="H149" s="291" t="s">
        <v>204</v>
      </c>
      <c r="I149" s="79"/>
      <c r="J149" s="189"/>
      <c r="K149" s="79"/>
      <c r="L149" s="79"/>
      <c r="M149" s="189"/>
      <c r="N149" s="116"/>
      <c r="O149" s="290">
        <f>IF(O144=0,0,IF(O150&lt;&gt;"",O150,IF(O141=elektriciteit,$G$5,HLOOKUP(O141,ENERGIEDRAGERS,ROWS(bibliotheek!$E$259:$E$261),FALSE))))</f>
        <v>0</v>
      </c>
      <c r="P149" s="290">
        <f>IF(P144=0,0,IF(P150&lt;&gt;"",P150,IF(HLOOKUP(P141,ENERGIEDRAGERS,ROWS(bibliotheek!$E$259:$E$260),FALSE)=0,$G$5,HLOOKUP(P141,ENERGIEDRAGERS,ROWS(bibliotheek!$E$259:$E$261),FALSE))))</f>
        <v>0</v>
      </c>
      <c r="Q149" s="290">
        <f>IF(Q144=0,0,IF(Q150&lt;&gt;"",Q150,IF(Q141=elektriciteit,$G$5,HLOOKUP(Q141,ENERGIEDRAGERS,ROWS(bibliotheek!$E$259:$E$261),FALSE))))</f>
        <v>0</v>
      </c>
      <c r="R149" s="302"/>
      <c r="S149" s="302"/>
      <c r="T149" s="302"/>
      <c r="U149" s="302"/>
      <c r="V149" s="302"/>
      <c r="W149" s="302"/>
      <c r="X149" s="108"/>
      <c r="Y149" s="189"/>
      <c r="Z149" s="116"/>
      <c r="AA149" s="290">
        <f>IF(AA144=0,0,IF(AA150&lt;&gt;"",AA150,IF(AA141=elektriciteit,$G$5,HLOOKUP(AA141,ENERGIEDRAGERS,ROWS(bibliotheek!$E$259:$E$261),FALSE))))</f>
        <v>0</v>
      </c>
      <c r="AB149" s="290">
        <f>IF(AB144=0,0,IF(AB150&lt;&gt;"",AB150,IF(HLOOKUP(AB141,ENERGIEDRAGERS,ROWS(bibliotheek!$E$259:$E$260),FALSE)=0,$G$5,HLOOKUP(AB141,ENERGIEDRAGERS,ROWS(bibliotheek!$E$259:$E$261),FALSE))))</f>
        <v>0</v>
      </c>
      <c r="AC149" s="290">
        <f>IF(AC144=0,0,IF(AC150&lt;&gt;"",AC150,IF(AC141=elektriciteit,$G$5,HLOOKUP(AC141,ENERGIEDRAGERS,ROWS(bibliotheek!$E$259:$E$261),FALSE))))</f>
        <v>0</v>
      </c>
      <c r="AD149" s="302"/>
      <c r="AE149" s="302"/>
      <c r="AF149" s="302"/>
      <c r="AG149" s="302"/>
      <c r="AH149" s="302"/>
      <c r="AI149" s="302"/>
      <c r="AJ149" s="108"/>
      <c r="AK149" s="189"/>
      <c r="AL149" s="116"/>
      <c r="AM149" s="290">
        <f>IF(AM144=0,0,IF(AM150&lt;&gt;"",AM150,IF(AM141=elektriciteit,$G$5,HLOOKUP(AM141,ENERGIEDRAGERS,ROWS(bibliotheek!$E$259:$E$261),FALSE))))</f>
        <v>0</v>
      </c>
      <c r="AN149" s="290">
        <f>IF(AN144=0,0,IF(AN150&lt;&gt;"",AN150,IF(HLOOKUP(AN141,ENERGIEDRAGERS,ROWS(bibliotheek!$E$259:$E$260),FALSE)=0,$G$5,HLOOKUP(AN141,ENERGIEDRAGERS,ROWS(bibliotheek!$E$259:$E$261),FALSE))))</f>
        <v>0</v>
      </c>
      <c r="AO149" s="290">
        <f>IF(AO144=0,0,IF(AO150&lt;&gt;"",AO150,IF(AO141=elektriciteit,$G$5,HLOOKUP(AO141,ENERGIEDRAGERS,ROWS(bibliotheek!$E$259:$E$261),FALSE))))</f>
        <v>0</v>
      </c>
      <c r="AP149" s="302"/>
      <c r="AQ149" s="302"/>
      <c r="AR149" s="302"/>
      <c r="AS149" s="302"/>
      <c r="AT149" s="302"/>
      <c r="AU149" s="302"/>
      <c r="AV149" s="108"/>
      <c r="AW149" s="189"/>
      <c r="AX149" s="116"/>
      <c r="AY149" s="290">
        <f>IF(AY144=0,0,IF(AY150&lt;&gt;"",AY150,IF(AY141=elektriciteit,$G$5,HLOOKUP(AY141,ENERGIEDRAGERS,ROWS(bibliotheek!$E$259:$E$261),FALSE))))</f>
        <v>0</v>
      </c>
      <c r="AZ149" s="290">
        <f>IF(AZ144=0,0,IF(AZ150&lt;&gt;"",AZ150,IF(HLOOKUP(AZ141,ENERGIEDRAGERS,ROWS(bibliotheek!$E$259:$E$260),FALSE)=0,$G$5,HLOOKUP(AZ141,ENERGIEDRAGERS,ROWS(bibliotheek!$E$259:$E$261),FALSE))))</f>
        <v>0</v>
      </c>
      <c r="BA149" s="290">
        <f>IF(BA144=0,0,IF(BA150&lt;&gt;"",BA150,IF(BA141=elektriciteit,$G$5,HLOOKUP(BA141,ENERGIEDRAGERS,ROWS(bibliotheek!$E$259:$E$261),FALSE))))</f>
        <v>0</v>
      </c>
      <c r="BB149" s="302"/>
      <c r="BC149" s="302"/>
      <c r="BD149" s="302"/>
      <c r="BE149" s="302"/>
      <c r="BF149" s="302"/>
      <c r="BG149" s="302"/>
      <c r="BH149" s="174"/>
    </row>
    <row r="150" spans="1:60">
      <c r="A150" s="1040"/>
      <c r="B150" s="1109" t="s">
        <v>216</v>
      </c>
      <c r="C150" s="1106" t="s">
        <v>118</v>
      </c>
      <c r="D150" s="638"/>
      <c r="E150" s="1218" t="s">
        <v>205</v>
      </c>
      <c r="F150" s="255"/>
      <c r="G150" s="255"/>
      <c r="H150" s="292"/>
      <c r="I150" s="79"/>
      <c r="J150" s="299"/>
      <c r="K150" s="79"/>
      <c r="L150" s="79"/>
      <c r="M150" s="198"/>
      <c r="N150" s="161"/>
      <c r="O150" s="628"/>
      <c r="P150" s="629"/>
      <c r="Q150" s="628"/>
      <c r="R150" s="630"/>
      <c r="S150" s="630"/>
      <c r="T150" s="630"/>
      <c r="U150" s="630"/>
      <c r="V150" s="630"/>
      <c r="W150" s="630"/>
      <c r="X150" s="348"/>
      <c r="Y150" s="631"/>
      <c r="Z150" s="114"/>
      <c r="AA150" s="628"/>
      <c r="AB150" s="629"/>
      <c r="AC150" s="628"/>
      <c r="AD150" s="630"/>
      <c r="AE150" s="630"/>
      <c r="AF150" s="630"/>
      <c r="AG150" s="630"/>
      <c r="AH150" s="630"/>
      <c r="AI150" s="630"/>
      <c r="AJ150" s="348"/>
      <c r="AK150" s="631"/>
      <c r="AL150" s="114"/>
      <c r="AM150" s="628"/>
      <c r="AN150" s="629"/>
      <c r="AO150" s="628"/>
      <c r="AP150" s="630"/>
      <c r="AQ150" s="630"/>
      <c r="AR150" s="630"/>
      <c r="AS150" s="630"/>
      <c r="AT150" s="630"/>
      <c r="AU150" s="630"/>
      <c r="AV150" s="348"/>
      <c r="AW150" s="631"/>
      <c r="AX150" s="114"/>
      <c r="AY150" s="628"/>
      <c r="AZ150" s="629"/>
      <c r="BA150" s="628"/>
      <c r="BB150" s="301"/>
      <c r="BC150" s="301"/>
      <c r="BD150" s="301"/>
      <c r="BE150" s="301"/>
      <c r="BF150" s="301"/>
      <c r="BG150" s="301"/>
      <c r="BH150" s="174"/>
    </row>
    <row r="151" spans="1:60">
      <c r="A151" s="1040"/>
      <c r="B151" s="1109" t="s">
        <v>216</v>
      </c>
      <c r="C151" s="1106" t="s">
        <v>104</v>
      </c>
      <c r="D151" s="638"/>
      <c r="E151" s="1162" t="s">
        <v>232</v>
      </c>
      <c r="F151" s="181"/>
      <c r="G151" s="181"/>
      <c r="H151" s="181" t="s">
        <v>106</v>
      </c>
      <c r="I151" s="79"/>
      <c r="J151" s="202">
        <f>M151+Y151+AK151+AW151</f>
        <v>0</v>
      </c>
      <c r="K151" s="1062"/>
      <c r="L151" s="1062"/>
      <c r="M151" s="202">
        <f>SUM(O151:X151)</f>
        <v>0</v>
      </c>
      <c r="N151" s="114"/>
      <c r="O151" s="168">
        <f>O$147*O$149</f>
        <v>0</v>
      </c>
      <c r="P151" s="168">
        <f>P$147*P$149</f>
        <v>0</v>
      </c>
      <c r="Q151" s="168">
        <f>Q$147*Q$149</f>
        <v>0</v>
      </c>
      <c r="R151" s="273"/>
      <c r="S151" s="273"/>
      <c r="T151" s="273"/>
      <c r="U151" s="273"/>
      <c r="V151" s="273"/>
      <c r="W151" s="273"/>
      <c r="X151" s="113"/>
      <c r="Y151" s="202">
        <f>SUM(AA151:AJ151)</f>
        <v>0</v>
      </c>
      <c r="Z151" s="114"/>
      <c r="AA151" s="168">
        <f>AA$147*AA$149</f>
        <v>0</v>
      </c>
      <c r="AB151" s="168">
        <f>AB$147*AB$149</f>
        <v>0</v>
      </c>
      <c r="AC151" s="168">
        <f>AC$147*AC$149</f>
        <v>0</v>
      </c>
      <c r="AD151" s="273"/>
      <c r="AE151" s="273"/>
      <c r="AF151" s="273"/>
      <c r="AG151" s="273"/>
      <c r="AH151" s="273"/>
      <c r="AI151" s="273"/>
      <c r="AJ151" s="113"/>
      <c r="AK151" s="202">
        <f>SUM(AM151:AV151)</f>
        <v>0</v>
      </c>
      <c r="AL151" s="114"/>
      <c r="AM151" s="168">
        <f>AM$147*AM$149</f>
        <v>0</v>
      </c>
      <c r="AN151" s="168">
        <f>AN$147*AN$149</f>
        <v>0</v>
      </c>
      <c r="AO151" s="168">
        <f>AO$147*AO$149</f>
        <v>0</v>
      </c>
      <c r="AP151" s="273"/>
      <c r="AQ151" s="273"/>
      <c r="AR151" s="273"/>
      <c r="AS151" s="273"/>
      <c r="AT151" s="273"/>
      <c r="AU151" s="273"/>
      <c r="AV151" s="113"/>
      <c r="AW151" s="202">
        <f>SUM(AY151:BH151)</f>
        <v>0</v>
      </c>
      <c r="AX151" s="114"/>
      <c r="AY151" s="168">
        <f>AY$147*AY$149</f>
        <v>0</v>
      </c>
      <c r="AZ151" s="168">
        <f>AZ$147*AZ$149</f>
        <v>0</v>
      </c>
      <c r="BA151" s="168">
        <f>BA$147*BA$149</f>
        <v>0</v>
      </c>
      <c r="BB151" s="273"/>
      <c r="BC151" s="273"/>
      <c r="BD151" s="273"/>
      <c r="BE151" s="273"/>
      <c r="BF151" s="273"/>
      <c r="BG151" s="273"/>
      <c r="BH151" s="210"/>
    </row>
    <row r="152" spans="1:60">
      <c r="A152" s="1040"/>
      <c r="B152" s="1109" t="s">
        <v>216</v>
      </c>
      <c r="C152" s="1106" t="s">
        <v>96</v>
      </c>
      <c r="D152" s="638"/>
      <c r="E152" s="940" t="s">
        <v>1200</v>
      </c>
      <c r="F152" s="940"/>
      <c r="G152" s="940"/>
      <c r="H152" s="993"/>
      <c r="I152" s="79"/>
      <c r="J152" s="1016"/>
      <c r="K152" s="1062"/>
      <c r="L152" s="1062"/>
      <c r="M152" s="1017"/>
      <c r="N152" s="79"/>
      <c r="O152" s="1026" t="str">
        <f>O$10</f>
        <v>verwarming</v>
      </c>
      <c r="P152" s="1026" t="str">
        <f>P$10</f>
        <v>koeling</v>
      </c>
      <c r="Q152" s="1026" t="str">
        <f>Q$10</f>
        <v>tapwater</v>
      </c>
      <c r="R152" s="1025"/>
      <c r="S152" s="1025"/>
      <c r="T152" s="1025"/>
      <c r="U152" s="1025"/>
      <c r="V152" s="1025"/>
      <c r="W152" s="1025"/>
      <c r="X152" s="113"/>
      <c r="Y152" s="1031"/>
      <c r="Z152" s="79"/>
      <c r="AA152" s="1026" t="str">
        <f>AA$10</f>
        <v>verwarming</v>
      </c>
      <c r="AB152" s="1026" t="str">
        <f>AB$10</f>
        <v>koeling</v>
      </c>
      <c r="AC152" s="1026" t="str">
        <f>AC$10</f>
        <v>tapwater</v>
      </c>
      <c r="AD152" s="1025"/>
      <c r="AE152" s="1025"/>
      <c r="AF152" s="1025"/>
      <c r="AG152" s="1025"/>
      <c r="AH152" s="1025"/>
      <c r="AI152" s="1025"/>
      <c r="AJ152" s="113"/>
      <c r="AK152" s="1031"/>
      <c r="AL152" s="79"/>
      <c r="AM152" s="1026" t="str">
        <f>AM$10</f>
        <v>verwarming</v>
      </c>
      <c r="AN152" s="1026" t="str">
        <f>AN$10</f>
        <v>koeling</v>
      </c>
      <c r="AO152" s="1026" t="str">
        <f>AO$10</f>
        <v>tapwater</v>
      </c>
      <c r="AP152" s="1025"/>
      <c r="AQ152" s="1025"/>
      <c r="AR152" s="1025"/>
      <c r="AS152" s="1025"/>
      <c r="AT152" s="1025"/>
      <c r="AU152" s="1025"/>
      <c r="AV152" s="113"/>
      <c r="AW152" s="1031"/>
      <c r="AX152" s="79"/>
      <c r="AY152" s="1026" t="str">
        <f>AY$10</f>
        <v>verwarming</v>
      </c>
      <c r="AZ152" s="1026" t="str">
        <f>AZ$10</f>
        <v>koeling</v>
      </c>
      <c r="BA152" s="1026" t="str">
        <f>BA$10</f>
        <v>tapwater</v>
      </c>
      <c r="BB152" s="1025"/>
      <c r="BC152" s="1025"/>
      <c r="BD152" s="1025"/>
      <c r="BE152" s="1025"/>
      <c r="BF152" s="1025"/>
      <c r="BG152" s="1025"/>
      <c r="BH152" s="210"/>
    </row>
    <row r="153" spans="1:60">
      <c r="A153" s="1040"/>
      <c r="B153" s="1109" t="s">
        <v>216</v>
      </c>
      <c r="C153" s="1106" t="s">
        <v>118</v>
      </c>
      <c r="D153" s="638"/>
      <c r="E153" s="1170" t="s">
        <v>1349</v>
      </c>
      <c r="F153" s="181"/>
      <c r="G153" s="254"/>
      <c r="H153" s="1034" t="s">
        <v>1208</v>
      </c>
      <c r="I153" s="79"/>
      <c r="J153" s="1014"/>
      <c r="K153" s="1062"/>
      <c r="L153" s="1062"/>
      <c r="M153" s="202"/>
      <c r="N153" s="79"/>
      <c r="O153" s="228">
        <f>IF(O144=0,0,IF(O154&lt;&gt;"",O154,HLOOKUP(O141,ENERGIEDRAGERS,ROWS(bibliotheek!$E$259:$E$262),FALSE)))</f>
        <v>0</v>
      </c>
      <c r="P153" s="228">
        <f>IF(P144=0,0,IF(P154&lt;&gt;"",P154,HLOOKUP(P141,ENERGIEDRAGERS,ROWS(bibliotheek!$E$259:$E$262),FALSE)))</f>
        <v>0</v>
      </c>
      <c r="Q153" s="228">
        <f>IF(Q144=0,0,IF(Q154&lt;&gt;"",Q154,HLOOKUP(Q141,ENERGIEDRAGERS,ROWS(bibliotheek!$E$259:$E$262),FALSE)))</f>
        <v>0</v>
      </c>
      <c r="R153" s="273"/>
      <c r="S153" s="273"/>
      <c r="T153" s="273"/>
      <c r="U153" s="273"/>
      <c r="V153" s="273"/>
      <c r="W153" s="273"/>
      <c r="X153" s="113"/>
      <c r="Y153" s="202"/>
      <c r="Z153" s="114"/>
      <c r="AA153" s="228">
        <f>IF(AA144=0,0,IF(AA154&lt;&gt;"",AA154,HLOOKUP(AA141,ENERGIEDRAGERS,ROWS(bibliotheek!$E$259:$E$262),FALSE)))</f>
        <v>0</v>
      </c>
      <c r="AB153" s="228">
        <f>IF(AB144=0,0,IF(AB154&lt;&gt;"",AB154,HLOOKUP(AB141,ENERGIEDRAGERS,ROWS(bibliotheek!$E$259:$E$262),FALSE)))</f>
        <v>0</v>
      </c>
      <c r="AC153" s="228">
        <f>IF(AC144=0,0,IF(AC154&lt;&gt;"",AC154,HLOOKUP(AC141,ENERGIEDRAGERS,ROWS(bibliotheek!$E$259:$E$262),FALSE)))</f>
        <v>0</v>
      </c>
      <c r="AD153" s="273"/>
      <c r="AE153" s="273"/>
      <c r="AF153" s="273"/>
      <c r="AG153" s="273"/>
      <c r="AH153" s="273"/>
      <c r="AI153" s="273"/>
      <c r="AJ153" s="113"/>
      <c r="AK153" s="202"/>
      <c r="AL153" s="114"/>
      <c r="AM153" s="228">
        <f>IF(AM144=0,0,IF(AM154&lt;&gt;"",AM154,HLOOKUP(AM141,ENERGIEDRAGERS,ROWS(bibliotheek!$E$259:$E$262),FALSE)))</f>
        <v>0</v>
      </c>
      <c r="AN153" s="228">
        <f>IF(AN144=0,0,IF(AN154&lt;&gt;"",AN154,HLOOKUP(AN141,ENERGIEDRAGERS,ROWS(bibliotheek!$E$259:$E$262),FALSE)))</f>
        <v>0</v>
      </c>
      <c r="AO153" s="228">
        <f>IF(AO144=0,0,IF(AO154&lt;&gt;"",AO154,HLOOKUP(AO141,ENERGIEDRAGERS,ROWS(bibliotheek!$E$259:$E$262),FALSE)))</f>
        <v>0</v>
      </c>
      <c r="AP153" s="273"/>
      <c r="AQ153" s="273"/>
      <c r="AR153" s="273"/>
      <c r="AS153" s="273"/>
      <c r="AT153" s="273"/>
      <c r="AU153" s="273"/>
      <c r="AV153" s="113"/>
      <c r="AW153" s="202"/>
      <c r="AX153" s="114"/>
      <c r="AY153" s="228">
        <f>IF(AY144=0,0,IF(AY154&lt;&gt;"",AY154,HLOOKUP(AY141,ENERGIEDRAGERS,ROWS(bibliotheek!$E$259:$E$262),FALSE)))</f>
        <v>0</v>
      </c>
      <c r="AZ153" s="228">
        <f>IF(AZ144=0,0,IF(AZ154&lt;&gt;"",AZ154,HLOOKUP(AZ141,ENERGIEDRAGERS,ROWS(bibliotheek!$E$259:$E$262),FALSE)))</f>
        <v>0</v>
      </c>
      <c r="BA153" s="228">
        <f>IF(BA144=0,0,IF(BA154&lt;&gt;"",BA154,HLOOKUP(BA141,ENERGIEDRAGERS,ROWS(bibliotheek!$E$259:$E$262),FALSE)))</f>
        <v>0</v>
      </c>
      <c r="BB153" s="273"/>
      <c r="BC153" s="273"/>
      <c r="BD153" s="273"/>
      <c r="BE153" s="273"/>
      <c r="BF153" s="273"/>
      <c r="BG153" s="273"/>
      <c r="BH153" s="210"/>
    </row>
    <row r="154" spans="1:60">
      <c r="A154" s="1040"/>
      <c r="B154" s="1109" t="s">
        <v>216</v>
      </c>
      <c r="C154" s="1106" t="s">
        <v>118</v>
      </c>
      <c r="D154" s="638"/>
      <c r="E154" s="1218" t="s">
        <v>205</v>
      </c>
      <c r="F154" s="255"/>
      <c r="G154" s="255"/>
      <c r="H154" s="292"/>
      <c r="I154" s="79"/>
      <c r="J154" s="299"/>
      <c r="K154" s="79"/>
      <c r="L154" s="79"/>
      <c r="M154" s="198"/>
      <c r="N154" s="161"/>
      <c r="O154" s="1032"/>
      <c r="P154" s="1032"/>
      <c r="Q154" s="1032"/>
      <c r="R154" s="625"/>
      <c r="S154" s="625"/>
      <c r="T154" s="625"/>
      <c r="U154" s="625"/>
      <c r="V154" s="625"/>
      <c r="W154" s="625"/>
      <c r="X154" s="113"/>
      <c r="Y154" s="190"/>
      <c r="Z154" s="114"/>
      <c r="AA154" s="1032"/>
      <c r="AB154" s="1032"/>
      <c r="AC154" s="1032"/>
      <c r="AD154" s="625"/>
      <c r="AE154" s="625"/>
      <c r="AF154" s="625"/>
      <c r="AG154" s="625"/>
      <c r="AH154" s="625"/>
      <c r="AI154" s="625"/>
      <c r="AJ154" s="113"/>
      <c r="AK154" s="190"/>
      <c r="AL154" s="114"/>
      <c r="AM154" s="1032"/>
      <c r="AN154" s="1032"/>
      <c r="AO154" s="1032"/>
      <c r="AP154" s="625"/>
      <c r="AQ154" s="625"/>
      <c r="AR154" s="625"/>
      <c r="AS154" s="625"/>
      <c r="AT154" s="625"/>
      <c r="AU154" s="625"/>
      <c r="AV154" s="113"/>
      <c r="AW154" s="190"/>
      <c r="AX154" s="114"/>
      <c r="AY154" s="1032"/>
      <c r="AZ154" s="1032"/>
      <c r="BA154" s="1032"/>
      <c r="BB154" s="625"/>
      <c r="BC154" s="625"/>
      <c r="BD154" s="625"/>
      <c r="BE154" s="625"/>
      <c r="BF154" s="625"/>
      <c r="BG154" s="625"/>
      <c r="BH154" s="210"/>
    </row>
    <row r="155" spans="1:60">
      <c r="A155" s="1040"/>
      <c r="B155" s="1109" t="s">
        <v>216</v>
      </c>
      <c r="C155" s="1106" t="s">
        <v>118</v>
      </c>
      <c r="D155" s="638"/>
      <c r="E155" s="1175" t="s">
        <v>1201</v>
      </c>
      <c r="F155" s="595"/>
      <c r="G155" s="595"/>
      <c r="H155" s="1013" t="s">
        <v>65</v>
      </c>
      <c r="I155" s="79"/>
      <c r="J155" s="1014"/>
      <c r="K155" s="1062"/>
      <c r="L155" s="1062"/>
      <c r="M155" s="202"/>
      <c r="N155" s="79"/>
      <c r="O155" s="228">
        <f>IF(O144=0,0,IF(O156&lt;&gt;"",O150,HLOOKUP(O141,ENERGIEDRAGERS,ROWS(bibliotheek!$E$259:$E$263),FALSE)))</f>
        <v>0</v>
      </c>
      <c r="P155" s="228">
        <f>IF(P144=0,0,IF(P156&lt;&gt;"",P150,HLOOKUP(P141,ENERGIEDRAGERS,ROWS(bibliotheek!$E$259:$E$263),FALSE)))</f>
        <v>0</v>
      </c>
      <c r="Q155" s="228">
        <f>IF(Q144=0,0,IF(Q156&lt;&gt;"",Q150,HLOOKUP(Q141,ENERGIEDRAGERS,ROWS(bibliotheek!$E$259:$E$263),FALSE)))</f>
        <v>0</v>
      </c>
      <c r="R155" s="273"/>
      <c r="S155" s="273"/>
      <c r="T155" s="273"/>
      <c r="U155" s="273"/>
      <c r="V155" s="273"/>
      <c r="W155" s="273"/>
      <c r="X155" s="113"/>
      <c r="Y155" s="202"/>
      <c r="Z155" s="114"/>
      <c r="AA155" s="228">
        <f>IF(AA144=0,0,IF(AA156&lt;&gt;"",AA150,HLOOKUP(AA141,ENERGIEDRAGERS,ROWS(bibliotheek!$E$259:$E$263),FALSE)))</f>
        <v>0</v>
      </c>
      <c r="AB155" s="228">
        <f>IF(AB144=0,0,IF(AB156&lt;&gt;"",AB150,HLOOKUP(AB141,ENERGIEDRAGERS,ROWS(bibliotheek!$E$259:$E$263),FALSE)))</f>
        <v>0</v>
      </c>
      <c r="AC155" s="228">
        <f>IF(AC144=0,0,IF(AC156&lt;&gt;"",AC150,HLOOKUP(AC141,ENERGIEDRAGERS,ROWS(bibliotheek!$E$259:$E$263),FALSE)))</f>
        <v>0</v>
      </c>
      <c r="AD155" s="273"/>
      <c r="AE155" s="273"/>
      <c r="AF155" s="273"/>
      <c r="AG155" s="273"/>
      <c r="AH155" s="273"/>
      <c r="AI155" s="273"/>
      <c r="AJ155" s="113"/>
      <c r="AK155" s="202"/>
      <c r="AL155" s="114"/>
      <c r="AM155" s="228">
        <f>IF(AM144=0,0,IF(AM156&lt;&gt;"",AM150,HLOOKUP(AM141,ENERGIEDRAGERS,ROWS(bibliotheek!$E$259:$E$263),FALSE)))</f>
        <v>0</v>
      </c>
      <c r="AN155" s="228">
        <f>IF(AN144=0,0,IF(AN156&lt;&gt;"",AN150,HLOOKUP(AN141,ENERGIEDRAGERS,ROWS(bibliotheek!$E$259:$E$263),FALSE)))</f>
        <v>0</v>
      </c>
      <c r="AO155" s="228">
        <f>IF(AO144=0,0,IF(AO156&lt;&gt;"",AO150,HLOOKUP(AO141,ENERGIEDRAGERS,ROWS(bibliotheek!$E$259:$E$263),FALSE)))</f>
        <v>0</v>
      </c>
      <c r="AP155" s="273"/>
      <c r="AQ155" s="273"/>
      <c r="AR155" s="273"/>
      <c r="AS155" s="273"/>
      <c r="AT155" s="273"/>
      <c r="AU155" s="273"/>
      <c r="AV155" s="113"/>
      <c r="AW155" s="202"/>
      <c r="AX155" s="114"/>
      <c r="AY155" s="228">
        <f>IF(AY144=0,0,IF(AY156&lt;&gt;"",AY150,HLOOKUP(AY141,ENERGIEDRAGERS,ROWS(bibliotheek!$E$259:$E$263),FALSE)))</f>
        <v>0</v>
      </c>
      <c r="AZ155" s="228">
        <f>IF(AZ144=0,0,IF(AZ156&lt;&gt;"",AZ150,HLOOKUP(AZ141,ENERGIEDRAGERS,ROWS(bibliotheek!$E$259:$E$263),FALSE)))</f>
        <v>0</v>
      </c>
      <c r="BA155" s="228">
        <f>IF(BA144=0,0,IF(BA156&lt;&gt;"",BA150,HLOOKUP(BA141,ENERGIEDRAGERS,ROWS(bibliotheek!$E$259:$E$263),FALSE)))</f>
        <v>0</v>
      </c>
      <c r="BB155" s="273"/>
      <c r="BC155" s="273"/>
      <c r="BD155" s="273"/>
      <c r="BE155" s="273"/>
      <c r="BF155" s="273"/>
      <c r="BG155" s="273"/>
      <c r="BH155" s="210"/>
    </row>
    <row r="156" spans="1:60">
      <c r="A156" s="1040"/>
      <c r="B156" s="1109" t="s">
        <v>216</v>
      </c>
      <c r="C156" s="1106" t="s">
        <v>118</v>
      </c>
      <c r="D156" s="638"/>
      <c r="E156" s="1218" t="s">
        <v>205</v>
      </c>
      <c r="F156" s="255"/>
      <c r="G156" s="255"/>
      <c r="H156" s="292"/>
      <c r="I156" s="79"/>
      <c r="J156" s="299"/>
      <c r="K156" s="79"/>
      <c r="L156" s="79"/>
      <c r="M156" s="198"/>
      <c r="N156" s="161"/>
      <c r="O156" s="1032"/>
      <c r="P156" s="1033"/>
      <c r="Q156" s="1032"/>
      <c r="R156" s="625"/>
      <c r="S156" s="625"/>
      <c r="T156" s="625"/>
      <c r="U156" s="625"/>
      <c r="V156" s="625"/>
      <c r="W156" s="625"/>
      <c r="X156" s="113"/>
      <c r="Y156" s="190"/>
      <c r="Z156" s="114"/>
      <c r="AA156" s="1032"/>
      <c r="AB156" s="1033"/>
      <c r="AC156" s="1032"/>
      <c r="AD156" s="625"/>
      <c r="AE156" s="625"/>
      <c r="AF156" s="625"/>
      <c r="AG156" s="625"/>
      <c r="AH156" s="625"/>
      <c r="AI156" s="625"/>
      <c r="AJ156" s="113"/>
      <c r="AK156" s="190"/>
      <c r="AL156" s="114"/>
      <c r="AM156" s="1032"/>
      <c r="AN156" s="1033"/>
      <c r="AO156" s="1032"/>
      <c r="AP156" s="625"/>
      <c r="AQ156" s="625"/>
      <c r="AR156" s="625"/>
      <c r="AS156" s="625"/>
      <c r="AT156" s="625"/>
      <c r="AU156" s="625"/>
      <c r="AV156" s="113"/>
      <c r="AW156" s="190"/>
      <c r="AX156" s="114"/>
      <c r="AY156" s="1032"/>
      <c r="AZ156" s="1033"/>
      <c r="BA156" s="1032"/>
      <c r="BB156" s="625"/>
      <c r="BC156" s="625"/>
      <c r="BD156" s="625"/>
      <c r="BE156" s="625"/>
      <c r="BF156" s="625"/>
      <c r="BG156" s="625"/>
      <c r="BH156" s="210"/>
    </row>
    <row r="157" spans="1:60" hidden="1">
      <c r="A157" s="1040"/>
      <c r="B157" s="1109" t="s">
        <v>216</v>
      </c>
      <c r="C157" s="1106" t="s">
        <v>181</v>
      </c>
      <c r="D157" s="638"/>
      <c r="E157" s="1170" t="s">
        <v>232</v>
      </c>
      <c r="F157" s="181"/>
      <c r="G157" s="181"/>
      <c r="H157" s="181" t="s">
        <v>1206</v>
      </c>
      <c r="I157" s="79"/>
      <c r="J157" s="202">
        <f>M157+Y157+AK157+AW157</f>
        <v>0</v>
      </c>
      <c r="K157" s="1062"/>
      <c r="L157" s="1062"/>
      <c r="M157" s="202">
        <f>SUM(O157:X157)</f>
        <v>0</v>
      </c>
      <c r="N157" s="79"/>
      <c r="O157" s="168">
        <f>O$147*O$153*O155</f>
        <v>0</v>
      </c>
      <c r="P157" s="168">
        <f>P$147*P$153*P155</f>
        <v>0</v>
      </c>
      <c r="Q157" s="168">
        <f>Q$147*Q$153*Q155</f>
        <v>0</v>
      </c>
      <c r="R157" s="273"/>
      <c r="S157" s="273"/>
      <c r="T157" s="273"/>
      <c r="U157" s="273"/>
      <c r="V157" s="273"/>
      <c r="W157" s="273"/>
      <c r="X157" s="113"/>
      <c r="Y157" s="202">
        <f>SUM(AA157:AJ157)</f>
        <v>0</v>
      </c>
      <c r="Z157" s="114"/>
      <c r="AA157" s="168">
        <f>AA$147*AA$153*AA155</f>
        <v>0</v>
      </c>
      <c r="AB157" s="168">
        <f>AB$147*AB$153*AB155</f>
        <v>0</v>
      </c>
      <c r="AC157" s="168">
        <f>AC$147*AC$153*AC155</f>
        <v>0</v>
      </c>
      <c r="AD157" s="273"/>
      <c r="AE157" s="273"/>
      <c r="AF157" s="273"/>
      <c r="AG157" s="273"/>
      <c r="AH157" s="273"/>
      <c r="AI157" s="273"/>
      <c r="AJ157" s="113"/>
      <c r="AK157" s="202">
        <f>SUM(AM157:AV157)</f>
        <v>0</v>
      </c>
      <c r="AL157" s="114"/>
      <c r="AM157" s="168">
        <f>AM$147*AM$153*AM155</f>
        <v>0</v>
      </c>
      <c r="AN157" s="168">
        <f>AN$147*AN$153*AN155</f>
        <v>0</v>
      </c>
      <c r="AO157" s="168">
        <f>AO$147*AO$153*AO155</f>
        <v>0</v>
      </c>
      <c r="AP157" s="273"/>
      <c r="AQ157" s="273"/>
      <c r="AR157" s="273"/>
      <c r="AS157" s="273"/>
      <c r="AT157" s="273"/>
      <c r="AU157" s="273"/>
      <c r="AV157" s="113"/>
      <c r="AW157" s="202">
        <f>SUM(AY157:BH157)</f>
        <v>0</v>
      </c>
      <c r="AX157" s="114"/>
      <c r="AY157" s="168">
        <f>AY$147*AY$153*AY155</f>
        <v>0</v>
      </c>
      <c r="AZ157" s="168">
        <f>AZ$147*AZ$153*AZ155</f>
        <v>0</v>
      </c>
      <c r="BA157" s="168">
        <f>BA$147*BA$153*BA155</f>
        <v>0</v>
      </c>
      <c r="BB157" s="273"/>
      <c r="BC157" s="273"/>
      <c r="BD157" s="273"/>
      <c r="BE157" s="273"/>
      <c r="BF157" s="273"/>
      <c r="BG157" s="273"/>
      <c r="BH157" s="210"/>
    </row>
    <row r="158" spans="1:60">
      <c r="A158" s="1040"/>
      <c r="B158" s="1109" t="s">
        <v>216</v>
      </c>
      <c r="C158" s="1106" t="s">
        <v>96</v>
      </c>
      <c r="D158" s="638"/>
      <c r="E158" s="940" t="s">
        <v>107</v>
      </c>
      <c r="F158" s="940"/>
      <c r="G158" s="940"/>
      <c r="H158" s="940"/>
      <c r="I158" s="77"/>
      <c r="J158" s="939"/>
      <c r="K158" s="126"/>
      <c r="L158" s="126"/>
      <c r="M158" s="938"/>
      <c r="N158" s="191"/>
      <c r="O158" s="1028" t="str">
        <f>O$10</f>
        <v>verwarming</v>
      </c>
      <c r="P158" s="1028" t="str">
        <f>P$10</f>
        <v>koeling</v>
      </c>
      <c r="Q158" s="1028" t="str">
        <f>Q$10</f>
        <v>tapwater</v>
      </c>
      <c r="R158" s="1027"/>
      <c r="S158" s="1027"/>
      <c r="T158" s="1027"/>
      <c r="U158" s="1027"/>
      <c r="V158" s="1027"/>
      <c r="W158" s="1027"/>
      <c r="X158" s="191"/>
      <c r="Y158" s="1027"/>
      <c r="Z158" s="191"/>
      <c r="AA158" s="1028" t="str">
        <f>AA$10</f>
        <v>verwarming</v>
      </c>
      <c r="AB158" s="1028" t="str">
        <f>AB$10</f>
        <v>koeling</v>
      </c>
      <c r="AC158" s="1028" t="str">
        <f>AC$10</f>
        <v>tapwater</v>
      </c>
      <c r="AD158" s="1027"/>
      <c r="AE158" s="1027"/>
      <c r="AF158" s="1027"/>
      <c r="AG158" s="1027"/>
      <c r="AH158" s="1027"/>
      <c r="AI158" s="1027"/>
      <c r="AJ158" s="191"/>
      <c r="AK158" s="1027"/>
      <c r="AL158" s="191"/>
      <c r="AM158" s="1028" t="str">
        <f>AM$10</f>
        <v>verwarming</v>
      </c>
      <c r="AN158" s="1028" t="str">
        <f>AN$10</f>
        <v>koeling</v>
      </c>
      <c r="AO158" s="1028" t="str">
        <f>AO$10</f>
        <v>tapwater</v>
      </c>
      <c r="AP158" s="1027"/>
      <c r="AQ158" s="1027"/>
      <c r="AR158" s="1027"/>
      <c r="AS158" s="1027"/>
      <c r="AT158" s="1027"/>
      <c r="AU158" s="1027"/>
      <c r="AV158" s="191"/>
      <c r="AW158" s="1027"/>
      <c r="AX158" s="191"/>
      <c r="AY158" s="1028" t="str">
        <f>AY$10</f>
        <v>verwarming</v>
      </c>
      <c r="AZ158" s="1028" t="str">
        <f>AZ$10</f>
        <v>koeling</v>
      </c>
      <c r="BA158" s="1028" t="str">
        <f>BA$10</f>
        <v>tapwater</v>
      </c>
      <c r="BB158" s="1027"/>
      <c r="BC158" s="1027"/>
      <c r="BD158" s="1027"/>
      <c r="BE158" s="1027"/>
      <c r="BF158" s="1027"/>
      <c r="BG158" s="1027"/>
      <c r="BH158" s="36"/>
    </row>
    <row r="159" spans="1:60">
      <c r="A159" s="1040"/>
      <c r="B159" s="1109" t="s">
        <v>216</v>
      </c>
      <c r="C159" s="1107" t="s">
        <v>118</v>
      </c>
      <c r="D159" s="638"/>
      <c r="E159" s="254" t="s">
        <v>206</v>
      </c>
      <c r="F159" s="254"/>
      <c r="G159" s="254"/>
      <c r="H159" s="291" t="s">
        <v>207</v>
      </c>
      <c r="I159" s="79"/>
      <c r="J159" s="189"/>
      <c r="K159" s="79"/>
      <c r="L159" s="79"/>
      <c r="M159" s="189"/>
      <c r="N159" s="116"/>
      <c r="O159" s="349">
        <f>IF(O144=0,0,IF(O160&lt;&gt;"",O160,IF(O141=elektriciteit,$H$5,
HLOOKUP(O141,ENERGIEDRAGERS,ROWS(bibliotheek!$E$259:$E$264),FALSE))))</f>
        <v>0</v>
      </c>
      <c r="P159" s="349">
        <f>IF(P144=0,0,IF(P160&lt;&gt;"",P160,IF(P141=elektriciteit,$H$5,
HLOOKUP(P141,ENERGIEDRAGERS,ROWS(bibliotheek!$E$259:$E$264),FALSE))))</f>
        <v>0</v>
      </c>
      <c r="Q159" s="349">
        <f>IF(Q144=0,0,IF(Q160&lt;&gt;"",Q160,IF(Q141=elektriciteit,$H$5,
HLOOKUP(Q141,ENERGIEDRAGERS,ROWS(bibliotheek!$E$259:$E$264),FALSE))))</f>
        <v>0</v>
      </c>
      <c r="R159" s="350"/>
      <c r="S159" s="350"/>
      <c r="T159" s="350"/>
      <c r="U159" s="350"/>
      <c r="V159" s="350"/>
      <c r="W159" s="350"/>
      <c r="X159" s="351"/>
      <c r="Y159" s="189"/>
      <c r="Z159" s="353"/>
      <c r="AA159" s="349">
        <f>IF(AA144=0,0,IF(AA160&lt;&gt;"",AA160,IF(AA141=elektriciteit,$H$5,
HLOOKUP(AA141,ENERGIEDRAGERS,ROWS(bibliotheek!$E$259:$E$264),FALSE))))</f>
        <v>0</v>
      </c>
      <c r="AB159" s="349">
        <f>IF(AB144=0,0,IF(AB160&lt;&gt;"",AB160,IF(AB141=elektriciteit,$H$5,
HLOOKUP(AB141,ENERGIEDRAGERS,ROWS(bibliotheek!$E$259:$E$264),FALSE))))</f>
        <v>0</v>
      </c>
      <c r="AC159" s="349">
        <f>IF(AC144=0,0,IF(AC160&lt;&gt;"",AC160,IF(AC141=elektriciteit,$H$5,
HLOOKUP(AC141,ENERGIEDRAGERS,ROWS(bibliotheek!$E$259:$E$264),FALSE))))</f>
        <v>0</v>
      </c>
      <c r="AD159" s="350"/>
      <c r="AE159" s="350"/>
      <c r="AF159" s="350"/>
      <c r="AG159" s="350"/>
      <c r="AH159" s="350"/>
      <c r="AI159" s="350"/>
      <c r="AJ159" s="351"/>
      <c r="AK159" s="189"/>
      <c r="AL159" s="353"/>
      <c r="AM159" s="349">
        <f>IF(AM144=0,0,IF(AM160&lt;&gt;"",AM160,IF(AM141=elektriciteit,$H$5,
HLOOKUP(AM141,ENERGIEDRAGERS,ROWS(bibliotheek!$E$259:$E$264),FALSE))))</f>
        <v>0</v>
      </c>
      <c r="AN159" s="349">
        <f>IF(AN144=0,0,IF(AN160&lt;&gt;"",AN160,IF(AN141=elektriciteit,$H$5,
HLOOKUP(AN141,ENERGIEDRAGERS,ROWS(bibliotheek!$E$259:$E$264),FALSE))))</f>
        <v>0</v>
      </c>
      <c r="AO159" s="349">
        <f>IF(AO144=0,0,IF(AO160&lt;&gt;"",AO160,IF(AO141=elektriciteit,$H$5,
HLOOKUP(AO141,ENERGIEDRAGERS,ROWS(bibliotheek!$E$259:$E$264),FALSE))))</f>
        <v>0</v>
      </c>
      <c r="AP159" s="350"/>
      <c r="AQ159" s="350"/>
      <c r="AR159" s="350"/>
      <c r="AS159" s="350"/>
      <c r="AT159" s="350"/>
      <c r="AU159" s="350"/>
      <c r="AV159" s="351"/>
      <c r="AW159" s="189"/>
      <c r="AX159" s="353"/>
      <c r="AY159" s="349">
        <f>IF(AY144=0,0,IF(AY160&lt;&gt;"",AY160,IF(AY141=elektriciteit,$H$5,
HLOOKUP(AY141,ENERGIEDRAGERS,ROWS(bibliotheek!$E$259:$E$264),FALSE))))</f>
        <v>0</v>
      </c>
      <c r="AZ159" s="349">
        <f>IF(AZ144=0,0,IF(AZ160&lt;&gt;"",AZ160,IF(AZ141=elektriciteit,$H$5,
HLOOKUP(AZ141,ENERGIEDRAGERS,ROWS(bibliotheek!$E$259:$E$264),FALSE))))</f>
        <v>0</v>
      </c>
      <c r="BA159" s="349">
        <f>IF(BA144=0,0,IF(BA160&lt;&gt;"",BA160,IF(BA141=elektriciteit,$H$5,
HLOOKUP(BA141,ENERGIEDRAGERS,ROWS(bibliotheek!$E$259:$E$264),FALSE))))</f>
        <v>0</v>
      </c>
      <c r="BB159" s="302"/>
      <c r="BC159" s="302"/>
      <c r="BD159" s="302"/>
      <c r="BE159" s="302"/>
      <c r="BF159" s="302"/>
      <c r="BG159" s="302"/>
      <c r="BH159" s="174"/>
    </row>
    <row r="160" spans="1:60">
      <c r="A160" s="1040"/>
      <c r="B160" s="1109" t="s">
        <v>216</v>
      </c>
      <c r="C160" s="1107" t="s">
        <v>118</v>
      </c>
      <c r="D160" s="638"/>
      <c r="E160" s="1218" t="s">
        <v>208</v>
      </c>
      <c r="F160" s="255"/>
      <c r="G160" s="255"/>
      <c r="H160" s="292"/>
      <c r="I160" s="79"/>
      <c r="J160" s="299"/>
      <c r="K160" s="79"/>
      <c r="L160" s="79"/>
      <c r="M160" s="198"/>
      <c r="N160" s="161"/>
      <c r="O160" s="628"/>
      <c r="P160" s="629"/>
      <c r="Q160" s="628"/>
      <c r="R160" s="630"/>
      <c r="S160" s="630"/>
      <c r="T160" s="630"/>
      <c r="U160" s="630"/>
      <c r="V160" s="630"/>
      <c r="W160" s="630"/>
      <c r="X160" s="348"/>
      <c r="Y160" s="631"/>
      <c r="Z160" s="114"/>
      <c r="AA160" s="628"/>
      <c r="AB160" s="629"/>
      <c r="AC160" s="628"/>
      <c r="AD160" s="630"/>
      <c r="AE160" s="630"/>
      <c r="AF160" s="630"/>
      <c r="AG160" s="630"/>
      <c r="AH160" s="630"/>
      <c r="AI160" s="630"/>
      <c r="AJ160" s="348"/>
      <c r="AK160" s="631"/>
      <c r="AL160" s="114"/>
      <c r="AM160" s="628"/>
      <c r="AN160" s="629"/>
      <c r="AO160" s="628"/>
      <c r="AP160" s="630"/>
      <c r="AQ160" s="630"/>
      <c r="AR160" s="630"/>
      <c r="AS160" s="630"/>
      <c r="AT160" s="630"/>
      <c r="AU160" s="630"/>
      <c r="AV160" s="348"/>
      <c r="AW160" s="631"/>
      <c r="AX160" s="114"/>
      <c r="AY160" s="628"/>
      <c r="AZ160" s="629"/>
      <c r="BA160" s="628"/>
      <c r="BB160" s="301"/>
      <c r="BC160" s="301"/>
      <c r="BD160" s="301"/>
      <c r="BE160" s="301"/>
      <c r="BF160" s="301"/>
      <c r="BG160" s="301"/>
      <c r="BH160" s="174"/>
    </row>
    <row r="161" spans="1:60">
      <c r="A161" s="1040"/>
      <c r="B161" s="1109" t="s">
        <v>216</v>
      </c>
      <c r="C161" s="1107" t="s">
        <v>104</v>
      </c>
      <c r="D161" s="638"/>
      <c r="E161" s="180" t="s">
        <v>232</v>
      </c>
      <c r="F161" s="181"/>
      <c r="G161" s="181"/>
      <c r="H161" s="181" t="s">
        <v>108</v>
      </c>
      <c r="I161" s="79"/>
      <c r="J161" s="202">
        <f>M161+Y161+AK161+AW161</f>
        <v>0</v>
      </c>
      <c r="K161" s="1062"/>
      <c r="L161" s="1062"/>
      <c r="M161" s="202">
        <f>SUM(O161:X161)</f>
        <v>0</v>
      </c>
      <c r="N161" s="114"/>
      <c r="O161" s="168">
        <f>O$147*O$159</f>
        <v>0</v>
      </c>
      <c r="P161" s="168">
        <f>P$147*P$159</f>
        <v>0</v>
      </c>
      <c r="Q161" s="168">
        <f>Q$147*Q$159</f>
        <v>0</v>
      </c>
      <c r="R161" s="273"/>
      <c r="S161" s="273"/>
      <c r="T161" s="273"/>
      <c r="U161" s="273"/>
      <c r="V161" s="273"/>
      <c r="W161" s="273"/>
      <c r="X161" s="113"/>
      <c r="Y161" s="202">
        <f>SUM(AA161:AJ161)</f>
        <v>0</v>
      </c>
      <c r="Z161" s="114"/>
      <c r="AA161" s="168">
        <f>AA$147*AA$159</f>
        <v>0</v>
      </c>
      <c r="AB161" s="168">
        <f>AB$147*AB$159</f>
        <v>0</v>
      </c>
      <c r="AC161" s="168">
        <f>AC$147*AC$159</f>
        <v>0</v>
      </c>
      <c r="AD161" s="273"/>
      <c r="AE161" s="273"/>
      <c r="AF161" s="273"/>
      <c r="AG161" s="273"/>
      <c r="AH161" s="273"/>
      <c r="AI161" s="273"/>
      <c r="AJ161" s="113"/>
      <c r="AK161" s="202">
        <f>SUM(AM161:AV161)</f>
        <v>0</v>
      </c>
      <c r="AL161" s="114"/>
      <c r="AM161" s="168">
        <f>AM$147*AM$159</f>
        <v>0</v>
      </c>
      <c r="AN161" s="168">
        <f>AN$147*AN$159</f>
        <v>0</v>
      </c>
      <c r="AO161" s="168">
        <f>AO$147*AO$159</f>
        <v>0</v>
      </c>
      <c r="AP161" s="273"/>
      <c r="AQ161" s="273"/>
      <c r="AR161" s="273"/>
      <c r="AS161" s="273"/>
      <c r="AT161" s="273"/>
      <c r="AU161" s="273"/>
      <c r="AV161" s="113"/>
      <c r="AW161" s="202">
        <f>SUM(AY161:BH161)</f>
        <v>0</v>
      </c>
      <c r="AX161" s="114"/>
      <c r="AY161" s="168">
        <f>AY$147*AY$159</f>
        <v>0</v>
      </c>
      <c r="AZ161" s="168">
        <f>AZ$147*AZ$159</f>
        <v>0</v>
      </c>
      <c r="BA161" s="168">
        <f>BA$147*BA$159</f>
        <v>0</v>
      </c>
      <c r="BB161" s="273"/>
      <c r="BC161" s="273"/>
      <c r="BD161" s="273"/>
      <c r="BE161" s="273"/>
      <c r="BF161" s="273"/>
      <c r="BG161" s="273"/>
      <c r="BH161" s="210"/>
    </row>
    <row r="162" spans="1:60">
      <c r="A162" s="1040"/>
      <c r="B162" s="1110" t="s">
        <v>222</v>
      </c>
      <c r="C162" s="1107" t="s">
        <v>104</v>
      </c>
      <c r="D162" s="638"/>
      <c r="E162" s="79"/>
      <c r="F162" s="79"/>
      <c r="G162" s="79"/>
      <c r="H162" s="85"/>
      <c r="I162" s="79"/>
      <c r="J162" s="82"/>
      <c r="K162" s="79"/>
      <c r="L162" s="79"/>
      <c r="M162" s="82"/>
      <c r="N162" s="79"/>
      <c r="O162" s="79"/>
      <c r="P162" s="79"/>
      <c r="Q162" s="79"/>
      <c r="R162" s="82"/>
      <c r="S162" s="82"/>
      <c r="T162" s="82"/>
      <c r="U162" s="82"/>
      <c r="V162" s="82"/>
      <c r="W162" s="82"/>
      <c r="X162" s="82"/>
      <c r="Y162" s="82"/>
      <c r="Z162" s="79"/>
      <c r="AA162" s="154"/>
      <c r="AB162" s="154"/>
      <c r="AC162" s="154"/>
      <c r="AD162" s="82"/>
      <c r="AE162" s="82"/>
      <c r="AF162" s="82"/>
      <c r="AG162" s="82"/>
      <c r="AH162" s="82"/>
      <c r="AI162" s="82"/>
      <c r="AJ162" s="82"/>
      <c r="AK162" s="82"/>
      <c r="AL162" s="79"/>
      <c r="AM162" s="154"/>
      <c r="AN162" s="154"/>
      <c r="AO162" s="154"/>
      <c r="AP162" s="82"/>
      <c r="AQ162" s="82"/>
      <c r="AR162" s="82"/>
      <c r="AS162" s="82"/>
      <c r="AT162" s="82"/>
      <c r="AU162" s="82"/>
      <c r="AV162" s="82"/>
      <c r="AW162" s="82"/>
      <c r="AX162" s="79"/>
      <c r="AY162" s="154"/>
      <c r="AZ162" s="154"/>
      <c r="BA162" s="154"/>
      <c r="BB162" s="82"/>
      <c r="BC162" s="82"/>
      <c r="BD162" s="82"/>
      <c r="BE162" s="82"/>
      <c r="BF162" s="82"/>
      <c r="BG162" s="82"/>
      <c r="BH162" s="1"/>
    </row>
    <row r="163" spans="1:60">
      <c r="A163" s="1040"/>
      <c r="B163" s="1109" t="s">
        <v>223</v>
      </c>
      <c r="C163" s="1107" t="s">
        <v>96</v>
      </c>
      <c r="D163" s="638"/>
      <c r="E163" s="79"/>
      <c r="F163" s="79"/>
      <c r="G163" s="79"/>
      <c r="H163" s="85"/>
      <c r="I163" s="79"/>
      <c r="J163" s="82"/>
      <c r="K163" s="79"/>
      <c r="L163" s="79"/>
      <c r="M163" s="82"/>
      <c r="N163" s="79"/>
      <c r="O163" s="113"/>
      <c r="P163" s="82"/>
      <c r="Q163" s="82"/>
      <c r="R163" s="82"/>
      <c r="S163" s="82"/>
      <c r="T163" s="82"/>
      <c r="U163" s="82"/>
      <c r="V163" s="82"/>
      <c r="W163" s="82"/>
      <c r="X163" s="82"/>
      <c r="Y163" s="82"/>
      <c r="Z163" s="79"/>
      <c r="AA163" s="113"/>
      <c r="AB163" s="82"/>
      <c r="AC163" s="82"/>
      <c r="AD163" s="82"/>
      <c r="AE163" s="82"/>
      <c r="AF163" s="82"/>
      <c r="AG163" s="82"/>
      <c r="AH163" s="82"/>
      <c r="AI163" s="82"/>
      <c r="AJ163" s="82"/>
      <c r="AK163" s="82"/>
      <c r="AL163" s="79"/>
      <c r="AM163" s="113"/>
      <c r="AN163" s="82"/>
      <c r="AO163" s="82"/>
      <c r="AP163" s="82"/>
      <c r="AQ163" s="82"/>
      <c r="AR163" s="82"/>
      <c r="AS163" s="82"/>
      <c r="AT163" s="82"/>
      <c r="AU163" s="82"/>
      <c r="AV163" s="82"/>
      <c r="AW163" s="82"/>
      <c r="AX163" s="79"/>
      <c r="AY163" s="113"/>
      <c r="AZ163" s="82"/>
      <c r="BA163" s="82"/>
      <c r="BB163" s="82"/>
      <c r="BC163" s="82"/>
      <c r="BD163" s="82"/>
      <c r="BE163" s="82"/>
      <c r="BF163" s="82"/>
      <c r="BG163" s="82"/>
      <c r="BH163" s="1"/>
    </row>
    <row r="164" spans="1:60" ht="21">
      <c r="A164" s="1040"/>
      <c r="B164" s="1109" t="s">
        <v>223</v>
      </c>
      <c r="C164" s="1106" t="s">
        <v>96</v>
      </c>
      <c r="D164" s="641" t="s">
        <v>45</v>
      </c>
      <c r="E164" s="199" t="s">
        <v>224</v>
      </c>
      <c r="F164" s="199"/>
      <c r="G164" s="692"/>
      <c r="H164" s="176"/>
      <c r="I164" s="77"/>
      <c r="J164" s="200" t="str">
        <f>J$10</f>
        <v>alle locaties</v>
      </c>
      <c r="K164" s="126"/>
      <c r="L164" s="126"/>
      <c r="M164" s="200" t="str">
        <f>M$10</f>
        <v>locatie 1</v>
      </c>
      <c r="N164" s="182"/>
      <c r="O164" s="966" t="str">
        <f>$E164&amp;" per energiepost"</f>
        <v>energiegebruik niet voor verwarmen/koelen per energiepost</v>
      </c>
      <c r="P164" s="941"/>
      <c r="Q164" s="941"/>
      <c r="R164" s="941"/>
      <c r="S164" s="941"/>
      <c r="T164" s="941"/>
      <c r="U164" s="941"/>
      <c r="V164" s="941"/>
      <c r="W164" s="956"/>
      <c r="X164" s="174"/>
      <c r="Y164" s="200" t="str">
        <f>Y$10</f>
        <v>locatie 2</v>
      </c>
      <c r="Z164" s="182"/>
      <c r="AA164" s="966" t="str">
        <f>$E164&amp;" per energiepost"</f>
        <v>energiegebruik niet voor verwarmen/koelen per energiepost</v>
      </c>
      <c r="AB164" s="941"/>
      <c r="AC164" s="941"/>
      <c r="AD164" s="941"/>
      <c r="AE164" s="941"/>
      <c r="AF164" s="941"/>
      <c r="AG164" s="941"/>
      <c r="AH164" s="941"/>
      <c r="AI164" s="956"/>
      <c r="AJ164" s="174"/>
      <c r="AK164" s="200" t="str">
        <f>AK$10</f>
        <v>locatie 3</v>
      </c>
      <c r="AL164" s="182"/>
      <c r="AM164" s="966" t="str">
        <f>$E164&amp;" per energiepost"</f>
        <v>energiegebruik niet voor verwarmen/koelen per energiepost</v>
      </c>
      <c r="AN164" s="941"/>
      <c r="AO164" s="941"/>
      <c r="AP164" s="941"/>
      <c r="AQ164" s="941"/>
      <c r="AR164" s="941"/>
      <c r="AS164" s="941"/>
      <c r="AT164" s="941"/>
      <c r="AU164" s="956"/>
      <c r="AV164" s="174"/>
      <c r="AW164" s="200" t="str">
        <f>AW$10</f>
        <v>locatie 4</v>
      </c>
      <c r="AX164" s="182"/>
      <c r="AY164" s="966" t="str">
        <f>$E164&amp;" per energiepost"</f>
        <v>energiegebruik niet voor verwarmen/koelen per energiepost</v>
      </c>
      <c r="AZ164" s="941"/>
      <c r="BA164" s="941"/>
      <c r="BB164" s="941"/>
      <c r="BC164" s="941"/>
      <c r="BD164" s="941"/>
      <c r="BE164" s="941"/>
      <c r="BF164" s="941"/>
      <c r="BG164" s="956"/>
      <c r="BH164" s="1"/>
    </row>
    <row r="165" spans="1:60">
      <c r="A165" s="1040"/>
      <c r="B165" s="1109" t="s">
        <v>223</v>
      </c>
      <c r="C165" s="1106" t="s">
        <v>96</v>
      </c>
      <c r="D165" s="638"/>
      <c r="E165" s="940" t="s">
        <v>225</v>
      </c>
      <c r="F165" s="940"/>
      <c r="G165" s="940"/>
      <c r="H165" s="940"/>
      <c r="I165" s="77"/>
      <c r="J165" s="939"/>
      <c r="K165" s="126"/>
      <c r="L165" s="126"/>
      <c r="M165" s="938"/>
      <c r="N165" s="191"/>
      <c r="O165" s="177" t="str">
        <f t="shared" ref="O165:V165" si="119">O$10</f>
        <v>verwarming</v>
      </c>
      <c r="P165" s="177" t="str">
        <f t="shared" si="119"/>
        <v>koeling</v>
      </c>
      <c r="Q165" s="177" t="str">
        <f t="shared" si="119"/>
        <v>tapwater</v>
      </c>
      <c r="R165" s="177" t="str">
        <f t="shared" si="119"/>
        <v>verlichting</v>
      </c>
      <c r="S165" s="177" t="str">
        <f t="shared" si="119"/>
        <v>ventilatoren</v>
      </c>
      <c r="T165" s="177" t="str">
        <f t="shared" si="119"/>
        <v>kookgas</v>
      </c>
      <c r="U165" s="177" t="str">
        <f t="shared" si="119"/>
        <v>overig elektra</v>
      </c>
      <c r="V165" s="177" t="str">
        <f t="shared" si="119"/>
        <v>mobiliteit</v>
      </c>
      <c r="W165" s="177"/>
      <c r="X165" s="191"/>
      <c r="Y165" s="938"/>
      <c r="Z165" s="191"/>
      <c r="AA165" s="177" t="str">
        <f t="shared" ref="AA165:AH165" si="120">AA$10</f>
        <v>verwarming</v>
      </c>
      <c r="AB165" s="177" t="str">
        <f t="shared" si="120"/>
        <v>koeling</v>
      </c>
      <c r="AC165" s="177" t="str">
        <f t="shared" si="120"/>
        <v>tapwater</v>
      </c>
      <c r="AD165" s="177" t="str">
        <f t="shared" si="120"/>
        <v>verlichting</v>
      </c>
      <c r="AE165" s="177" t="str">
        <f t="shared" si="120"/>
        <v>ventilatoren</v>
      </c>
      <c r="AF165" s="177" t="str">
        <f t="shared" si="120"/>
        <v>kookgas</v>
      </c>
      <c r="AG165" s="177" t="str">
        <f t="shared" si="120"/>
        <v>overig elektra</v>
      </c>
      <c r="AH165" s="177" t="str">
        <f t="shared" si="120"/>
        <v>mobiliteit</v>
      </c>
      <c r="AI165" s="177"/>
      <c r="AJ165" s="191"/>
      <c r="AK165" s="938"/>
      <c r="AL165" s="191"/>
      <c r="AM165" s="177" t="str">
        <f t="shared" ref="AM165:AT165" si="121">AM$10</f>
        <v>verwarming</v>
      </c>
      <c r="AN165" s="177" t="str">
        <f t="shared" si="121"/>
        <v>koeling</v>
      </c>
      <c r="AO165" s="177" t="str">
        <f t="shared" si="121"/>
        <v>tapwater</v>
      </c>
      <c r="AP165" s="177" t="str">
        <f t="shared" si="121"/>
        <v>verlichting</v>
      </c>
      <c r="AQ165" s="177" t="str">
        <f t="shared" si="121"/>
        <v>ventilatoren</v>
      </c>
      <c r="AR165" s="177" t="str">
        <f t="shared" si="121"/>
        <v>kookgas</v>
      </c>
      <c r="AS165" s="177" t="str">
        <f t="shared" si="121"/>
        <v>overig elektra</v>
      </c>
      <c r="AT165" s="177" t="str">
        <f t="shared" si="121"/>
        <v>mobiliteit</v>
      </c>
      <c r="AU165" s="177"/>
      <c r="AV165" s="191"/>
      <c r="AW165" s="938"/>
      <c r="AX165" s="191"/>
      <c r="AY165" s="177" t="str">
        <f t="shared" ref="AY165:BF165" si="122">AY$10</f>
        <v>verwarming</v>
      </c>
      <c r="AZ165" s="177" t="str">
        <f t="shared" si="122"/>
        <v>koeling</v>
      </c>
      <c r="BA165" s="177" t="str">
        <f t="shared" si="122"/>
        <v>tapwater</v>
      </c>
      <c r="BB165" s="177" t="str">
        <f t="shared" si="122"/>
        <v>verlichting</v>
      </c>
      <c r="BC165" s="177" t="str">
        <f t="shared" si="122"/>
        <v>ventilatoren</v>
      </c>
      <c r="BD165" s="177" t="str">
        <f t="shared" si="122"/>
        <v>kookgas</v>
      </c>
      <c r="BE165" s="177" t="str">
        <f t="shared" si="122"/>
        <v>overig elektra</v>
      </c>
      <c r="BF165" s="177" t="str">
        <f t="shared" si="122"/>
        <v>mobiliteit</v>
      </c>
      <c r="BG165" s="177"/>
      <c r="BH165" s="36"/>
    </row>
    <row r="166" spans="1:60">
      <c r="A166" s="1040"/>
      <c r="B166" s="1109" t="s">
        <v>223</v>
      </c>
      <c r="C166" s="1107" t="s">
        <v>118</v>
      </c>
      <c r="D166" s="638"/>
      <c r="E166" s="254" t="s">
        <v>226</v>
      </c>
      <c r="F166" s="254"/>
      <c r="G166" s="254"/>
      <c r="H166" s="291" t="s">
        <v>213</v>
      </c>
      <c r="I166" s="191"/>
      <c r="J166" s="305"/>
      <c r="K166" s="243"/>
      <c r="L166" s="243"/>
      <c r="M166" s="299"/>
      <c r="N166" s="376"/>
      <c r="O166" s="377">
        <f>IF(O167&lt;&gt;"",O167,HLOOKUP(IF(O$83="",referentie_verwarming,O$83),toestellen_RV,ROWS(bibliotheek!$E$83:$E$118),FALSE))</f>
        <v>0</v>
      </c>
      <c r="P166" s="377">
        <f>IF(P167&lt;&gt;"",P167,HLOOKUP(IF(P$83="",referentie_koeling,P$83),toestellen_KOEL,ROWS(bibliotheek!$E$190:$E$209),FALSE))</f>
        <v>0</v>
      </c>
      <c r="Q166" s="377">
        <f>IF(Q167&lt;&gt;"",Q167,HLOOKUP(IF(Q$83="",referentie_warmtapwater,Q$83),toestellen_TAP,ROWS(bibliotheek!$E$139:$E$166),FALSE))</f>
        <v>4.4999999999999998E-2</v>
      </c>
      <c r="R166" s="378"/>
      <c r="S166" s="378"/>
      <c r="T166" s="378"/>
      <c r="U166" s="378"/>
      <c r="V166" s="378"/>
      <c r="W166" s="378"/>
      <c r="X166" s="356"/>
      <c r="Y166" s="289"/>
      <c r="Z166" s="376"/>
      <c r="AA166" s="377">
        <f>IF(AA167&lt;&gt;"",AA167,HLOOKUP(IF(AA$83="",referentie_verwarming,AA$83),toestellen_RV,ROWS(bibliotheek!$E$83:$E$118),FALSE))</f>
        <v>0</v>
      </c>
      <c r="AB166" s="377">
        <f>IF(AB167&lt;&gt;"",AB167,HLOOKUP(IF(AB$83="",referentie_koeling,AB$83),toestellen_KOEL,ROWS(bibliotheek!$E$190:$E$209),FALSE))</f>
        <v>0</v>
      </c>
      <c r="AC166" s="377">
        <f>IF(AC167&lt;&gt;"",AC167,HLOOKUP(IF(AC$83="",referentie_warmtapwater,AC$83),toestellen_TAP,ROWS(bibliotheek!$E$139:$E$166),FALSE))</f>
        <v>4.4999999999999998E-2</v>
      </c>
      <c r="AD166" s="378"/>
      <c r="AE166" s="378"/>
      <c r="AF166" s="378"/>
      <c r="AG166" s="378"/>
      <c r="AH166" s="378"/>
      <c r="AI166" s="378"/>
      <c r="AJ166" s="356"/>
      <c r="AK166" s="289"/>
      <c r="AL166" s="376"/>
      <c r="AM166" s="377">
        <f>IF(AM167&lt;&gt;"",AM167,HLOOKUP(IF(AM$83="",referentie_verwarming,AM$83),toestellen_RV,ROWS(bibliotheek!$E$83:$E$118),FALSE))</f>
        <v>0</v>
      </c>
      <c r="AN166" s="377">
        <f>IF(AN167&lt;&gt;"",AN167,HLOOKUP(IF(AN$83="",referentie_koeling,AN$83),toestellen_KOEL,ROWS(bibliotheek!$E$190:$E$209),FALSE))</f>
        <v>0</v>
      </c>
      <c r="AO166" s="377">
        <f>IF(AO167&lt;&gt;"",AO167,HLOOKUP(IF(AO$83="",referentie_warmtapwater,AO$83),toestellen_TAP,ROWS(bibliotheek!$E$139:$E$166),FALSE))</f>
        <v>4.4999999999999998E-2</v>
      </c>
      <c r="AP166" s="378"/>
      <c r="AQ166" s="378"/>
      <c r="AR166" s="378"/>
      <c r="AS166" s="378"/>
      <c r="AT166" s="378"/>
      <c r="AU166" s="378"/>
      <c r="AV166" s="356"/>
      <c r="AW166" s="289"/>
      <c r="AX166" s="376"/>
      <c r="AY166" s="377">
        <f>IF(AY167&lt;&gt;"",AY167,HLOOKUP(IF(AY$83="",referentie_verwarming,AY$83),toestellen_RV,ROWS(bibliotheek!$E$83:$E$118),FALSE))</f>
        <v>0</v>
      </c>
      <c r="AZ166" s="377">
        <f>IF(AZ167&lt;&gt;"",AZ167,HLOOKUP(IF(AZ$83="",referentie_koeling,AZ$83),toestellen_KOEL,ROWS(bibliotheek!$E$190:$E$209),FALSE))</f>
        <v>0</v>
      </c>
      <c r="BA166" s="377">
        <f>IF(BA167&lt;&gt;"",BA167,HLOOKUP(IF(BA$83="",referentie_warmtapwater,BA$83),toestellen_TAP,ROWS(bibliotheek!$E$139:$E$166),FALSE))</f>
        <v>4.4999999999999998E-2</v>
      </c>
      <c r="BB166" s="306"/>
      <c r="BC166" s="306"/>
      <c r="BD166" s="306"/>
      <c r="BE166" s="306"/>
      <c r="BF166" s="306"/>
      <c r="BG166" s="306"/>
      <c r="BH166" s="174"/>
    </row>
    <row r="167" spans="1:60">
      <c r="A167" s="1040"/>
      <c r="B167" s="1109" t="s">
        <v>223</v>
      </c>
      <c r="C167" s="1107" t="s">
        <v>118</v>
      </c>
      <c r="D167" s="638"/>
      <c r="E167" s="1218" t="s">
        <v>208</v>
      </c>
      <c r="F167" s="255"/>
      <c r="G167" s="255"/>
      <c r="H167" s="292"/>
      <c r="I167" s="191"/>
      <c r="J167" s="299"/>
      <c r="K167" s="243"/>
      <c r="L167" s="243"/>
      <c r="M167" s="299"/>
      <c r="N167" s="308"/>
      <c r="O167" s="276"/>
      <c r="P167" s="281"/>
      <c r="Q167" s="276"/>
      <c r="R167" s="309"/>
      <c r="S167" s="309"/>
      <c r="T167" s="309"/>
      <c r="U167" s="309"/>
      <c r="V167" s="309"/>
      <c r="W167" s="309"/>
      <c r="X167" s="113"/>
      <c r="Y167" s="307"/>
      <c r="Z167" s="308"/>
      <c r="AA167" s="276"/>
      <c r="AB167" s="281"/>
      <c r="AC167" s="276"/>
      <c r="AD167" s="309"/>
      <c r="AE167" s="309"/>
      <c r="AF167" s="309"/>
      <c r="AG167" s="309"/>
      <c r="AH167" s="309"/>
      <c r="AI167" s="309"/>
      <c r="AJ167" s="113"/>
      <c r="AK167" s="307"/>
      <c r="AL167" s="308"/>
      <c r="AM167" s="276"/>
      <c r="AN167" s="281"/>
      <c r="AO167" s="276"/>
      <c r="AP167" s="309"/>
      <c r="AQ167" s="309"/>
      <c r="AR167" s="309"/>
      <c r="AS167" s="309"/>
      <c r="AT167" s="309"/>
      <c r="AU167" s="309"/>
      <c r="AV167" s="113"/>
      <c r="AW167" s="307"/>
      <c r="AX167" s="308"/>
      <c r="AY167" s="276"/>
      <c r="AZ167" s="281"/>
      <c r="BA167" s="276"/>
      <c r="BB167" s="309"/>
      <c r="BC167" s="309"/>
      <c r="BD167" s="309"/>
      <c r="BE167" s="309"/>
      <c r="BF167" s="309"/>
      <c r="BG167" s="309"/>
      <c r="BH167" s="174"/>
    </row>
    <row r="168" spans="1:60">
      <c r="A168" s="1046"/>
      <c r="B168" s="1109" t="s">
        <v>223</v>
      </c>
      <c r="C168" s="1107" t="s">
        <v>118</v>
      </c>
      <c r="D168" s="643"/>
      <c r="E168" s="245" t="s">
        <v>227</v>
      </c>
      <c r="F168" s="245"/>
      <c r="G168" s="245"/>
      <c r="H168" s="201" t="s">
        <v>202</v>
      </c>
      <c r="I168" s="191"/>
      <c r="J168" s="202">
        <f>M168+Y168+AK168+AW168</f>
        <v>0</v>
      </c>
      <c r="K168" s="243"/>
      <c r="L168" s="243"/>
      <c r="M168" s="202">
        <f>SUM(O168:X168)</f>
        <v>0</v>
      </c>
      <c r="N168" s="89"/>
      <c r="O168" s="168">
        <f>O$132*O$166</f>
        <v>0</v>
      </c>
      <c r="P168" s="168">
        <f>P$132*P$166</f>
        <v>0</v>
      </c>
      <c r="Q168" s="168">
        <f>Q$132*Q$166</f>
        <v>0</v>
      </c>
      <c r="R168" s="273"/>
      <c r="S168" s="273"/>
      <c r="T168" s="273"/>
      <c r="U168" s="273"/>
      <c r="V168" s="273"/>
      <c r="W168" s="273"/>
      <c r="X168" s="106"/>
      <c r="Y168" s="202">
        <f>SUM(AA168:AJ168)</f>
        <v>0</v>
      </c>
      <c r="Z168" s="89"/>
      <c r="AA168" s="168">
        <f>AA$132*AA$166</f>
        <v>0</v>
      </c>
      <c r="AB168" s="168">
        <f>AB$132*AB$166</f>
        <v>0</v>
      </c>
      <c r="AC168" s="168">
        <f>AC$132*AC$166</f>
        <v>0</v>
      </c>
      <c r="AD168" s="273"/>
      <c r="AE168" s="273"/>
      <c r="AF168" s="273"/>
      <c r="AG168" s="273"/>
      <c r="AH168" s="273"/>
      <c r="AI168" s="273"/>
      <c r="AJ168" s="106"/>
      <c r="AK168" s="202">
        <f>SUM(AM168:AV168)</f>
        <v>0</v>
      </c>
      <c r="AL168" s="89"/>
      <c r="AM168" s="168">
        <f>AM$132*AM$166</f>
        <v>0</v>
      </c>
      <c r="AN168" s="168">
        <f>AN$132*AN$166</f>
        <v>0</v>
      </c>
      <c r="AO168" s="168">
        <f>AO$132*AO$166</f>
        <v>0</v>
      </c>
      <c r="AP168" s="273"/>
      <c r="AQ168" s="273"/>
      <c r="AR168" s="273"/>
      <c r="AS168" s="273"/>
      <c r="AT168" s="273"/>
      <c r="AU168" s="273"/>
      <c r="AV168" s="106"/>
      <c r="AW168" s="202">
        <f>SUM(AY168:BH168)</f>
        <v>0</v>
      </c>
      <c r="AX168" s="89"/>
      <c r="AY168" s="168">
        <f>AY$132*AY$166</f>
        <v>0</v>
      </c>
      <c r="AZ168" s="168">
        <f>AZ$132*AZ$166</f>
        <v>0</v>
      </c>
      <c r="BA168" s="168">
        <f>BA$132*BA$166</f>
        <v>0</v>
      </c>
      <c r="BB168" s="273"/>
      <c r="BC168" s="273"/>
      <c r="BD168" s="273"/>
      <c r="BE168" s="273"/>
      <c r="BF168" s="273"/>
      <c r="BG168" s="273"/>
      <c r="BH168" s="174"/>
    </row>
    <row r="169" spans="1:60" hidden="1">
      <c r="A169" s="1046"/>
      <c r="B169" s="1109" t="s">
        <v>223</v>
      </c>
      <c r="C169" s="1111" t="s">
        <v>181</v>
      </c>
      <c r="D169" s="643" t="s">
        <v>45</v>
      </c>
      <c r="E169" s="245" t="s">
        <v>228</v>
      </c>
      <c r="F169" s="245"/>
      <c r="G169" s="245"/>
      <c r="H169" s="201" t="s">
        <v>202</v>
      </c>
      <c r="I169" s="191"/>
      <c r="J169" s="202">
        <f>M169+Y169+AK169+AW169</f>
        <v>0</v>
      </c>
      <c r="K169" s="243"/>
      <c r="L169" s="243"/>
      <c r="M169" s="202">
        <f>SUM(O169:X169)</f>
        <v>0</v>
      </c>
      <c r="N169" s="89"/>
      <c r="O169" s="168">
        <f>IF(O31=0,0,
(O$98*IFERROR((  INDEX(bibliotheek!$E$109:$BE$109,MATCH(O$83,toestellen_RV_kopregel,0)) +
INDEX(bibliotheek!$E$110:$BE$110,MATCH(O$83,toestellen_RV_kopregel,0))  *(O$97*1000/O$98)/
(  INDEX(bibliotheek!$E$111:$BE$111,MATCH(O$83,toestellen_RV_kopregel,0)) *
INDEX(bibliotheek!$E$112:$BE$112,MATCH(O$83,toestellen_RV_kopregel,0)) ) ),0)+
O$98*INDEX(bibliotheek!$E$113:$BE$113,MATCH(O$83,toestellen_RV_kopregel,0))+
O$99*INDEX(bibliotheek!$E$114:$BE$114,MATCH(O$83,toestellen_RV_kopregel,0)))/1000)</f>
        <v>0</v>
      </c>
      <c r="P169" s="273"/>
      <c r="Q169" s="273"/>
      <c r="R169" s="168">
        <f>R$78</f>
        <v>0</v>
      </c>
      <c r="S169" s="168">
        <f>S$78</f>
        <v>0</v>
      </c>
      <c r="T169" s="273"/>
      <c r="U169" s="168">
        <f>U$78</f>
        <v>0</v>
      </c>
      <c r="V169" s="168">
        <f>V$78</f>
        <v>0</v>
      </c>
      <c r="W169" s="273"/>
      <c r="X169" s="106"/>
      <c r="Y169" s="202">
        <f>SUM(AA169:AJ169)</f>
        <v>0</v>
      </c>
      <c r="Z169" s="89"/>
      <c r="AA169" s="168">
        <f>IF(AA31=0,0,
(AA$98*IFERROR((  INDEX(bibliotheek!$E$109:$BE$109,MATCH(AA$83,toestellen_RV_kopregel,0)) +
INDEX(bibliotheek!$E$110:$BE$110,MATCH(AA$83,toestellen_RV_kopregel,0))  *(AA$97*1000/AA$98)/
(  INDEX(bibliotheek!$E$111:$BE$111,MATCH(AA$83,toestellen_RV_kopregel,0)) *
INDEX(bibliotheek!$E$112:$BE$112,MATCH(AA$83,toestellen_RV_kopregel,0)) ) ),0)+
AA$98*INDEX(bibliotheek!$E$113:$BE$113,MATCH(AA$83,toestellen_RV_kopregel,0))+
AA$99*INDEX(bibliotheek!$E$114:$BE$114,MATCH(AA$83,toestellen_RV_kopregel,0)))/1000)</f>
        <v>0</v>
      </c>
      <c r="AB169" s="273"/>
      <c r="AC169" s="273"/>
      <c r="AD169" s="168">
        <f>AD$78</f>
        <v>0</v>
      </c>
      <c r="AE169" s="168">
        <f>AE$78</f>
        <v>0</v>
      </c>
      <c r="AF169" s="273"/>
      <c r="AG169" s="168">
        <f>AG$78</f>
        <v>0</v>
      </c>
      <c r="AH169" s="168">
        <f>AH$78</f>
        <v>0</v>
      </c>
      <c r="AI169" s="273"/>
      <c r="AJ169" s="106"/>
      <c r="AK169" s="202">
        <f>SUM(AM169:AV169)</f>
        <v>0</v>
      </c>
      <c r="AL169" s="89"/>
      <c r="AM169" s="168">
        <f>IF(AM31=0,0,
(AM$98*IFERROR((  INDEX(bibliotheek!$E$109:$BE$109,MATCH(AM$83,toestellen_RV_kopregel,0)) +
INDEX(bibliotheek!$E$110:$BE$110,MATCH(AM$83,toestellen_RV_kopregel,0))  *(AM$97*1000/AM$98)/
(  INDEX(bibliotheek!$E$111:$BE$111,MATCH(AM$83,toestellen_RV_kopregel,0)) *
INDEX(bibliotheek!$E$112:$BE$112,MATCH(AM$83,toestellen_RV_kopregel,0)) ) ),0)+
AM$98*INDEX(bibliotheek!$E$113:$BE$113,MATCH(AM$83,toestellen_RV_kopregel,0))+
AM$99*INDEX(bibliotheek!$E$114:$BE$114,MATCH(AM$83,toestellen_RV_kopregel,0)))/1000)</f>
        <v>0</v>
      </c>
      <c r="AN169" s="273"/>
      <c r="AO169" s="273"/>
      <c r="AP169" s="168">
        <f>AP$78</f>
        <v>0</v>
      </c>
      <c r="AQ169" s="168">
        <f>AQ$78</f>
        <v>0</v>
      </c>
      <c r="AR169" s="273"/>
      <c r="AS169" s="168">
        <f>AS$78</f>
        <v>0</v>
      </c>
      <c r="AT169" s="168">
        <f>AT$78</f>
        <v>0</v>
      </c>
      <c r="AU169" s="273"/>
      <c r="AV169" s="106"/>
      <c r="AW169" s="202">
        <f>SUM(AY169:BH169)</f>
        <v>0</v>
      </c>
      <c r="AX169" s="89"/>
      <c r="AY169" s="168">
        <f>IF(AY31=0,0,
(AY$98*IFERROR((  INDEX(bibliotheek!$E$109:$BE$109,MATCH(AY$83,toestellen_RV_kopregel,0)) +
INDEX(bibliotheek!$E$110:$BE$110,MATCH(AY$83,toestellen_RV_kopregel,0))  *(AY$97*1000/AY$98)/
(  INDEX(bibliotheek!$E$111:$BE$111,MATCH(AY$83,toestellen_RV_kopregel,0)) *
INDEX(bibliotheek!$E$112:$BE$112,MATCH(AY$83,toestellen_RV_kopregel,0)) ) ),0)+
AY$98*INDEX(bibliotheek!$E$113:$BE$113,MATCH(AY$83,toestellen_RV_kopregel,0))+
AY$99*INDEX(bibliotheek!$E$114:$BE$114,MATCH(AY$83,toestellen_RV_kopregel,0)))/1000)</f>
        <v>0</v>
      </c>
      <c r="AZ169" s="273"/>
      <c r="BA169" s="273"/>
      <c r="BB169" s="168">
        <f>BB$78</f>
        <v>0</v>
      </c>
      <c r="BC169" s="168">
        <f>BC$78</f>
        <v>0</v>
      </c>
      <c r="BD169" s="273"/>
      <c r="BE169" s="168">
        <f>BE$78</f>
        <v>0</v>
      </c>
      <c r="BF169" s="168">
        <f>BF$78</f>
        <v>0</v>
      </c>
      <c r="BG169" s="273"/>
      <c r="BH169" s="174"/>
    </row>
    <row r="170" spans="1:60" hidden="1">
      <c r="A170" s="1046"/>
      <c r="B170" s="1109" t="s">
        <v>223</v>
      </c>
      <c r="C170" s="1111" t="s">
        <v>181</v>
      </c>
      <c r="D170" s="643"/>
      <c r="E170" s="245" t="s">
        <v>229</v>
      </c>
      <c r="F170" s="245"/>
      <c r="G170" s="245"/>
      <c r="H170" s="201" t="s">
        <v>202</v>
      </c>
      <c r="I170" s="191"/>
      <c r="J170" s="202">
        <f>M170+Y170+AK170+AW170</f>
        <v>0</v>
      </c>
      <c r="K170" s="243"/>
      <c r="L170" s="243"/>
      <c r="M170" s="202">
        <f>SUM(O170:X170)</f>
        <v>0</v>
      </c>
      <c r="N170" s="89"/>
      <c r="O170" s="168">
        <f>O$97*O$133+IF(O$114=0,0,O115/O$114)</f>
        <v>0</v>
      </c>
      <c r="P170" s="168">
        <f>P$97*P$133+IF(P$114=0,0,P115/P$114)</f>
        <v>0</v>
      </c>
      <c r="Q170" s="168">
        <f>Q$97*Q$133+IF(Q$114=0,0,Q115/Q$114)</f>
        <v>0</v>
      </c>
      <c r="R170" s="273"/>
      <c r="S170" s="273"/>
      <c r="T170" s="273"/>
      <c r="U170" s="273"/>
      <c r="V170" s="273"/>
      <c r="W170" s="273"/>
      <c r="X170" s="106"/>
      <c r="Y170" s="202">
        <f>SUM(AA170:AJ170)</f>
        <v>0</v>
      </c>
      <c r="Z170" s="89"/>
      <c r="AA170" s="168">
        <f>AA$97*AA$133+IF(AA$114=0,0,AA115/AA$114)</f>
        <v>0</v>
      </c>
      <c r="AB170" s="168">
        <f>AB$97*AB$133+IF(AB$114=0,0,AB115/AB$114)</f>
        <v>0</v>
      </c>
      <c r="AC170" s="168">
        <f>AC$97*AC$133+IF(AC$114=0,0,AC115/AC$114)</f>
        <v>0</v>
      </c>
      <c r="AD170" s="273"/>
      <c r="AE170" s="273"/>
      <c r="AF170" s="273"/>
      <c r="AG170" s="273"/>
      <c r="AH170" s="273"/>
      <c r="AI170" s="273"/>
      <c r="AJ170" s="106"/>
      <c r="AK170" s="202">
        <f>SUM(AM170:AV170)</f>
        <v>0</v>
      </c>
      <c r="AL170" s="89"/>
      <c r="AM170" s="168">
        <f>AM$97*AM$133+IF(AM$114=0,0,AM115/AM$114)</f>
        <v>0</v>
      </c>
      <c r="AN170" s="168">
        <f>AN$97*AN$133+IF(AN$114=0,0,AN115/AN$114)</f>
        <v>0</v>
      </c>
      <c r="AO170" s="168">
        <f>AO$97*AO$133+IF(AO$114=0,0,AO115/AO$114)</f>
        <v>0</v>
      </c>
      <c r="AP170" s="273"/>
      <c r="AQ170" s="273"/>
      <c r="AR170" s="273"/>
      <c r="AS170" s="273"/>
      <c r="AT170" s="273"/>
      <c r="AU170" s="273"/>
      <c r="AV170" s="106"/>
      <c r="AW170" s="202">
        <f>SUM(AY170:BH170)</f>
        <v>0</v>
      </c>
      <c r="AX170" s="89"/>
      <c r="AY170" s="168">
        <f>AY$97*AY$133+IF(AY$114=0,0,AY115/AY$114)</f>
        <v>0</v>
      </c>
      <c r="AZ170" s="168">
        <f>AZ$97*AZ$133+IF(AZ$114=0,0,AZ115/AZ$114)</f>
        <v>0</v>
      </c>
      <c r="BA170" s="168">
        <f>BA$97*BA$133+IF(BA$114=0,0,BA115/BA$114)</f>
        <v>0</v>
      </c>
      <c r="BB170" s="273"/>
      <c r="BC170" s="273"/>
      <c r="BD170" s="273"/>
      <c r="BE170" s="273"/>
      <c r="BF170" s="273"/>
      <c r="BG170" s="273"/>
      <c r="BH170" s="174"/>
    </row>
    <row r="171" spans="1:60" hidden="1">
      <c r="A171" s="1046"/>
      <c r="B171" s="1109" t="s">
        <v>223</v>
      </c>
      <c r="C171" s="1111" t="s">
        <v>181</v>
      </c>
      <c r="D171" s="643"/>
      <c r="E171" s="245" t="s">
        <v>100</v>
      </c>
      <c r="F171" s="245"/>
      <c r="G171" s="245"/>
      <c r="H171" s="201" t="s">
        <v>202</v>
      </c>
      <c r="I171" s="191"/>
      <c r="J171" s="202">
        <f>M171+Y171+AK171+AW171</f>
        <v>0</v>
      </c>
      <c r="K171" s="243"/>
      <c r="L171" s="243"/>
      <c r="M171" s="202">
        <f>SUM(O171:X171)</f>
        <v>0</v>
      </c>
      <c r="N171" s="89"/>
      <c r="O171" s="273"/>
      <c r="P171" s="273"/>
      <c r="Q171" s="273"/>
      <c r="R171" s="273"/>
      <c r="S171" s="273"/>
      <c r="T171" s="168">
        <f>T78</f>
        <v>0</v>
      </c>
      <c r="U171" s="273"/>
      <c r="V171" s="273"/>
      <c r="W171" s="273"/>
      <c r="X171" s="106"/>
      <c r="Y171" s="202">
        <f>SUM(AA171:AJ171)</f>
        <v>0</v>
      </c>
      <c r="Z171" s="89"/>
      <c r="AA171" s="168"/>
      <c r="AB171" s="168"/>
      <c r="AC171" s="168"/>
      <c r="AD171" s="273"/>
      <c r="AE171" s="273"/>
      <c r="AF171" s="168">
        <f>AF78</f>
        <v>0</v>
      </c>
      <c r="AG171" s="273"/>
      <c r="AH171" s="273"/>
      <c r="AI171" s="273"/>
      <c r="AJ171" s="106"/>
      <c r="AK171" s="202">
        <f>SUM(AM171:AV171)</f>
        <v>0</v>
      </c>
      <c r="AL171" s="89"/>
      <c r="AM171" s="168"/>
      <c r="AN171" s="168"/>
      <c r="AO171" s="168"/>
      <c r="AP171" s="273"/>
      <c r="AQ171" s="273"/>
      <c r="AR171" s="168">
        <f>AR78</f>
        <v>0</v>
      </c>
      <c r="AS171" s="273"/>
      <c r="AT171" s="273"/>
      <c r="AU171" s="273"/>
      <c r="AV171" s="106"/>
      <c r="AW171" s="202">
        <f>SUM(AY171:BH171)</f>
        <v>0</v>
      </c>
      <c r="AX171" s="89"/>
      <c r="AY171" s="168"/>
      <c r="AZ171" s="168"/>
      <c r="BA171" s="168"/>
      <c r="BB171" s="273"/>
      <c r="BC171" s="273"/>
      <c r="BD171" s="168">
        <f>BD78</f>
        <v>0</v>
      </c>
      <c r="BE171" s="273"/>
      <c r="BF171" s="273"/>
      <c r="BG171" s="273"/>
      <c r="BH171" s="174"/>
    </row>
    <row r="172" spans="1:60">
      <c r="A172" s="1040"/>
      <c r="B172" s="1109" t="s">
        <v>223</v>
      </c>
      <c r="C172" s="1106" t="s">
        <v>96</v>
      </c>
      <c r="D172" s="638"/>
      <c r="E172" s="940" t="s">
        <v>1313</v>
      </c>
      <c r="F172" s="940"/>
      <c r="G172" s="940"/>
      <c r="H172" s="940"/>
      <c r="I172" s="77"/>
      <c r="J172" s="939"/>
      <c r="K172" s="126"/>
      <c r="L172" s="126"/>
      <c r="M172" s="938"/>
      <c r="N172" s="191"/>
      <c r="O172" s="177" t="str">
        <f t="shared" ref="O172:V172" si="123">O$10</f>
        <v>verwarming</v>
      </c>
      <c r="P172" s="177" t="str">
        <f t="shared" si="123"/>
        <v>koeling</v>
      </c>
      <c r="Q172" s="177" t="str">
        <f t="shared" si="123"/>
        <v>tapwater</v>
      </c>
      <c r="R172" s="177" t="str">
        <f t="shared" si="123"/>
        <v>verlichting</v>
      </c>
      <c r="S172" s="177" t="str">
        <f t="shared" si="123"/>
        <v>ventilatoren</v>
      </c>
      <c r="T172" s="177" t="str">
        <f t="shared" si="123"/>
        <v>kookgas</v>
      </c>
      <c r="U172" s="177" t="str">
        <f t="shared" si="123"/>
        <v>overig elektra</v>
      </c>
      <c r="V172" s="177" t="str">
        <f t="shared" si="123"/>
        <v>mobiliteit</v>
      </c>
      <c r="W172" s="177"/>
      <c r="X172" s="191"/>
      <c r="Y172" s="938"/>
      <c r="Z172" s="191"/>
      <c r="AA172" s="177" t="str">
        <f t="shared" ref="AA172:AH172" si="124">AA$10</f>
        <v>verwarming</v>
      </c>
      <c r="AB172" s="177" t="str">
        <f t="shared" si="124"/>
        <v>koeling</v>
      </c>
      <c r="AC172" s="177" t="str">
        <f t="shared" si="124"/>
        <v>tapwater</v>
      </c>
      <c r="AD172" s="177" t="str">
        <f t="shared" si="124"/>
        <v>verlichting</v>
      </c>
      <c r="AE172" s="177" t="str">
        <f t="shared" si="124"/>
        <v>ventilatoren</v>
      </c>
      <c r="AF172" s="177" t="str">
        <f t="shared" si="124"/>
        <v>kookgas</v>
      </c>
      <c r="AG172" s="177" t="str">
        <f t="shared" si="124"/>
        <v>overig elektra</v>
      </c>
      <c r="AH172" s="177" t="str">
        <f t="shared" si="124"/>
        <v>mobiliteit</v>
      </c>
      <c r="AI172" s="177"/>
      <c r="AJ172" s="191"/>
      <c r="AK172" s="938"/>
      <c r="AL172" s="191"/>
      <c r="AM172" s="177" t="str">
        <f t="shared" ref="AM172:AT172" si="125">AM$10</f>
        <v>verwarming</v>
      </c>
      <c r="AN172" s="177" t="str">
        <f t="shared" si="125"/>
        <v>koeling</v>
      </c>
      <c r="AO172" s="177" t="str">
        <f t="shared" si="125"/>
        <v>tapwater</v>
      </c>
      <c r="AP172" s="177" t="str">
        <f t="shared" si="125"/>
        <v>verlichting</v>
      </c>
      <c r="AQ172" s="177" t="str">
        <f t="shared" si="125"/>
        <v>ventilatoren</v>
      </c>
      <c r="AR172" s="177" t="str">
        <f t="shared" si="125"/>
        <v>kookgas</v>
      </c>
      <c r="AS172" s="177" t="str">
        <f t="shared" si="125"/>
        <v>overig elektra</v>
      </c>
      <c r="AT172" s="177" t="str">
        <f t="shared" si="125"/>
        <v>mobiliteit</v>
      </c>
      <c r="AU172" s="177"/>
      <c r="AV172" s="191"/>
      <c r="AW172" s="938"/>
      <c r="AX172" s="191"/>
      <c r="AY172" s="177" t="str">
        <f t="shared" ref="AY172:BF172" si="126">AY$10</f>
        <v>verwarming</v>
      </c>
      <c r="AZ172" s="177" t="str">
        <f t="shared" si="126"/>
        <v>koeling</v>
      </c>
      <c r="BA172" s="177" t="str">
        <f t="shared" si="126"/>
        <v>tapwater</v>
      </c>
      <c r="BB172" s="177" t="str">
        <f t="shared" si="126"/>
        <v>verlichting</v>
      </c>
      <c r="BC172" s="177" t="str">
        <f t="shared" si="126"/>
        <v>ventilatoren</v>
      </c>
      <c r="BD172" s="177" t="str">
        <f t="shared" si="126"/>
        <v>kookgas</v>
      </c>
      <c r="BE172" s="177" t="str">
        <f t="shared" si="126"/>
        <v>overig elektra</v>
      </c>
      <c r="BF172" s="177" t="str">
        <f t="shared" si="126"/>
        <v>mobiliteit</v>
      </c>
      <c r="BG172" s="177"/>
      <c r="BH172" s="36"/>
    </row>
    <row r="173" spans="1:60" hidden="1">
      <c r="A173" s="1040"/>
      <c r="B173" s="1109" t="s">
        <v>223</v>
      </c>
      <c r="C173" s="1107" t="s">
        <v>181</v>
      </c>
      <c r="D173" s="638"/>
      <c r="E173" s="1172" t="s">
        <v>1350</v>
      </c>
      <c r="F173" s="1172"/>
      <c r="G173" s="254"/>
      <c r="H173" s="291" t="s">
        <v>204</v>
      </c>
      <c r="I173" s="191"/>
      <c r="J173" s="189"/>
      <c r="K173" s="79"/>
      <c r="L173" s="79"/>
      <c r="M173" s="189"/>
      <c r="N173" s="116"/>
      <c r="O173" s="151">
        <f>$G$5</f>
        <v>1.45</v>
      </c>
      <c r="P173" s="151">
        <f>$G$5</f>
        <v>1.45</v>
      </c>
      <c r="Q173" s="151">
        <f>$G$5</f>
        <v>1.45</v>
      </c>
      <c r="R173" s="151">
        <f>$G$5</f>
        <v>1.45</v>
      </c>
      <c r="S173" s="151">
        <f>$G$5</f>
        <v>1.45</v>
      </c>
      <c r="T173" s="151">
        <f>bibliotheek!$K$261</f>
        <v>1</v>
      </c>
      <c r="U173" s="151">
        <f>$G$5</f>
        <v>1.45</v>
      </c>
      <c r="V173" s="151">
        <f>$G$5</f>
        <v>1.45</v>
      </c>
      <c r="W173" s="384"/>
      <c r="X173" s="123"/>
      <c r="Y173" s="613"/>
      <c r="Z173" s="614"/>
      <c r="AA173" s="151">
        <f>$G$5</f>
        <v>1.45</v>
      </c>
      <c r="AB173" s="151">
        <f>$G$5</f>
        <v>1.45</v>
      </c>
      <c r="AC173" s="151">
        <f>$G$5</f>
        <v>1.45</v>
      </c>
      <c r="AD173" s="151">
        <f>$G$5</f>
        <v>1.45</v>
      </c>
      <c r="AE173" s="151">
        <f>$G$5</f>
        <v>1.45</v>
      </c>
      <c r="AF173" s="227">
        <f>bibliotheek!$K$261</f>
        <v>1</v>
      </c>
      <c r="AG173" s="151">
        <f>$G$5</f>
        <v>1.45</v>
      </c>
      <c r="AH173" s="151">
        <f>$G$5</f>
        <v>1.45</v>
      </c>
      <c r="AI173" s="384"/>
      <c r="AJ173" s="123"/>
      <c r="AK173" s="613"/>
      <c r="AL173" s="614"/>
      <c r="AM173" s="151">
        <f>$G$5</f>
        <v>1.45</v>
      </c>
      <c r="AN173" s="151">
        <f>$G$5</f>
        <v>1.45</v>
      </c>
      <c r="AO173" s="151">
        <f>$G$5</f>
        <v>1.45</v>
      </c>
      <c r="AP173" s="151">
        <f>$G$5</f>
        <v>1.45</v>
      </c>
      <c r="AQ173" s="151">
        <f>$G$5</f>
        <v>1.45</v>
      </c>
      <c r="AR173" s="227">
        <f>bibliotheek!$K$261</f>
        <v>1</v>
      </c>
      <c r="AS173" s="151">
        <f>$G$5</f>
        <v>1.45</v>
      </c>
      <c r="AT173" s="151">
        <f>$G$5</f>
        <v>1.45</v>
      </c>
      <c r="AU173" s="384"/>
      <c r="AV173" s="123"/>
      <c r="AW173" s="613"/>
      <c r="AX173" s="614"/>
      <c r="AY173" s="151">
        <f>$G$5</f>
        <v>1.45</v>
      </c>
      <c r="AZ173" s="151">
        <f>$G$5</f>
        <v>1.45</v>
      </c>
      <c r="BA173" s="151">
        <f>$G$5</f>
        <v>1.45</v>
      </c>
      <c r="BB173" s="151">
        <f>$G$5</f>
        <v>1.45</v>
      </c>
      <c r="BC173" s="151">
        <f>$G$5</f>
        <v>1.45</v>
      </c>
      <c r="BD173" s="227">
        <f>bibliotheek!$K$261</f>
        <v>1</v>
      </c>
      <c r="BE173" s="151">
        <f>$G$5</f>
        <v>1.45</v>
      </c>
      <c r="BF173" s="151">
        <f>$G$5</f>
        <v>1.45</v>
      </c>
      <c r="BG173" s="384"/>
      <c r="BH173" s="174"/>
    </row>
    <row r="174" spans="1:60">
      <c r="A174" s="1046"/>
      <c r="B174" s="1109" t="s">
        <v>223</v>
      </c>
      <c r="C174" s="1111" t="s">
        <v>104</v>
      </c>
      <c r="D174" s="643" t="s">
        <v>45</v>
      </c>
      <c r="E174" s="1173" t="s">
        <v>232</v>
      </c>
      <c r="F174" s="1174"/>
      <c r="G174" s="201"/>
      <c r="H174" s="201" t="s">
        <v>106</v>
      </c>
      <c r="I174" s="191"/>
      <c r="J174" s="202">
        <f>M174+Y174+AK174+AW174</f>
        <v>0</v>
      </c>
      <c r="K174" s="1062"/>
      <c r="L174" s="1062"/>
      <c r="M174" s="202">
        <f>SUM(O174:X174)</f>
        <v>0</v>
      </c>
      <c r="N174" s="89"/>
      <c r="O174" s="168">
        <f t="shared" ref="O174:V174" si="127">SUM(O$168:O$171)*O$173</f>
        <v>0</v>
      </c>
      <c r="P174" s="168">
        <f t="shared" si="127"/>
        <v>0</v>
      </c>
      <c r="Q174" s="168">
        <f t="shared" si="127"/>
        <v>0</v>
      </c>
      <c r="R174" s="168">
        <f t="shared" si="127"/>
        <v>0</v>
      </c>
      <c r="S174" s="168">
        <f t="shared" si="127"/>
        <v>0</v>
      </c>
      <c r="T174" s="168">
        <f t="shared" si="127"/>
        <v>0</v>
      </c>
      <c r="U174" s="168">
        <f>SUM(U$168:U$171)*U$173</f>
        <v>0</v>
      </c>
      <c r="V174" s="168">
        <f t="shared" si="127"/>
        <v>0</v>
      </c>
      <c r="W174" s="273"/>
      <c r="X174" s="113"/>
      <c r="Y174" s="202">
        <f>SUM(AA174:AJ174)</f>
        <v>0</v>
      </c>
      <c r="Z174" s="89"/>
      <c r="AA174" s="168">
        <f t="shared" ref="AA174:AH174" si="128">SUM(AA$168:AA$171)*AA$173</f>
        <v>0</v>
      </c>
      <c r="AB174" s="168">
        <f t="shared" si="128"/>
        <v>0</v>
      </c>
      <c r="AC174" s="168">
        <f t="shared" si="128"/>
        <v>0</v>
      </c>
      <c r="AD174" s="168">
        <f t="shared" si="128"/>
        <v>0</v>
      </c>
      <c r="AE174" s="168">
        <f t="shared" si="128"/>
        <v>0</v>
      </c>
      <c r="AF174" s="168">
        <f t="shared" si="128"/>
        <v>0</v>
      </c>
      <c r="AG174" s="168">
        <f t="shared" si="128"/>
        <v>0</v>
      </c>
      <c r="AH174" s="168">
        <f t="shared" si="128"/>
        <v>0</v>
      </c>
      <c r="AI174" s="273"/>
      <c r="AJ174" s="113"/>
      <c r="AK174" s="202">
        <f>SUM(AM174:AV174)</f>
        <v>0</v>
      </c>
      <c r="AL174" s="89"/>
      <c r="AM174" s="168">
        <f>SUM(AM$168:AM$171)*AM$173</f>
        <v>0</v>
      </c>
      <c r="AN174" s="168">
        <f t="shared" ref="AN174:AT174" si="129">SUM(AN$168:AN$171)*AN$173</f>
        <v>0</v>
      </c>
      <c r="AO174" s="168">
        <f t="shared" si="129"/>
        <v>0</v>
      </c>
      <c r="AP174" s="168">
        <f t="shared" si="129"/>
        <v>0</v>
      </c>
      <c r="AQ174" s="168">
        <f t="shared" si="129"/>
        <v>0</v>
      </c>
      <c r="AR174" s="168">
        <f t="shared" si="129"/>
        <v>0</v>
      </c>
      <c r="AS174" s="168">
        <f t="shared" si="129"/>
        <v>0</v>
      </c>
      <c r="AT174" s="168">
        <f t="shared" si="129"/>
        <v>0</v>
      </c>
      <c r="AU174" s="273"/>
      <c r="AV174" s="113"/>
      <c r="AW174" s="202">
        <f>SUM(AY174:BH174)</f>
        <v>0</v>
      </c>
      <c r="AX174" s="89"/>
      <c r="AY174" s="168">
        <f>SUM(AY$168:AY$171)*AY$173</f>
        <v>0</v>
      </c>
      <c r="AZ174" s="168">
        <f t="shared" ref="AZ174:BF174" si="130">SUM(AZ$168:AZ$171)*AZ$173</f>
        <v>0</v>
      </c>
      <c r="BA174" s="168">
        <f t="shared" si="130"/>
        <v>0</v>
      </c>
      <c r="BB174" s="168">
        <f t="shared" si="130"/>
        <v>0</v>
      </c>
      <c r="BC174" s="168">
        <f t="shared" si="130"/>
        <v>0</v>
      </c>
      <c r="BD174" s="168">
        <f t="shared" si="130"/>
        <v>0</v>
      </c>
      <c r="BE174" s="168">
        <f t="shared" si="130"/>
        <v>0</v>
      </c>
      <c r="BF174" s="168">
        <f t="shared" si="130"/>
        <v>0</v>
      </c>
      <c r="BG174" s="273"/>
      <c r="BH174" s="174"/>
    </row>
    <row r="175" spans="1:60">
      <c r="A175" s="1046"/>
      <c r="B175" s="1109" t="s">
        <v>223</v>
      </c>
      <c r="C175" s="1106" t="s">
        <v>96</v>
      </c>
      <c r="D175" s="638"/>
      <c r="E175" s="940" t="s">
        <v>1202</v>
      </c>
      <c r="F175" s="940"/>
      <c r="G175" s="940"/>
      <c r="H175" s="940"/>
      <c r="I175" s="77"/>
      <c r="J175" s="939"/>
      <c r="K175" s="126"/>
      <c r="L175" s="126"/>
      <c r="M175" s="938"/>
      <c r="N175" s="191"/>
      <c r="O175" s="177" t="str">
        <f t="shared" ref="O175:V175" si="131">O$10</f>
        <v>verwarming</v>
      </c>
      <c r="P175" s="177" t="str">
        <f t="shared" si="131"/>
        <v>koeling</v>
      </c>
      <c r="Q175" s="177" t="str">
        <f t="shared" si="131"/>
        <v>tapwater</v>
      </c>
      <c r="R175" s="177" t="str">
        <f t="shared" si="131"/>
        <v>verlichting</v>
      </c>
      <c r="S175" s="177" t="str">
        <f t="shared" si="131"/>
        <v>ventilatoren</v>
      </c>
      <c r="T175" s="177" t="str">
        <f t="shared" si="131"/>
        <v>kookgas</v>
      </c>
      <c r="U175" s="177" t="str">
        <f t="shared" si="131"/>
        <v>overig elektra</v>
      </c>
      <c r="V175" s="177" t="str">
        <f t="shared" si="131"/>
        <v>mobiliteit</v>
      </c>
      <c r="W175" s="177"/>
      <c r="X175" s="113"/>
      <c r="Y175" s="938"/>
      <c r="Z175" s="191"/>
      <c r="AA175" s="177" t="str">
        <f t="shared" ref="AA175:AH175" si="132">AA$10</f>
        <v>verwarming</v>
      </c>
      <c r="AB175" s="177" t="str">
        <f t="shared" si="132"/>
        <v>koeling</v>
      </c>
      <c r="AC175" s="177" t="str">
        <f t="shared" si="132"/>
        <v>tapwater</v>
      </c>
      <c r="AD175" s="177" t="str">
        <f t="shared" si="132"/>
        <v>verlichting</v>
      </c>
      <c r="AE175" s="177" t="str">
        <f t="shared" si="132"/>
        <v>ventilatoren</v>
      </c>
      <c r="AF175" s="177" t="str">
        <f t="shared" si="132"/>
        <v>kookgas</v>
      </c>
      <c r="AG175" s="177" t="str">
        <f t="shared" si="132"/>
        <v>overig elektra</v>
      </c>
      <c r="AH175" s="177" t="str">
        <f t="shared" si="132"/>
        <v>mobiliteit</v>
      </c>
      <c r="AI175" s="177"/>
      <c r="AJ175" s="113"/>
      <c r="AK175" s="938"/>
      <c r="AL175" s="191"/>
      <c r="AM175" s="177" t="str">
        <f t="shared" ref="AM175:AT175" si="133">AM$10</f>
        <v>verwarming</v>
      </c>
      <c r="AN175" s="177" t="str">
        <f t="shared" si="133"/>
        <v>koeling</v>
      </c>
      <c r="AO175" s="177" t="str">
        <f t="shared" si="133"/>
        <v>tapwater</v>
      </c>
      <c r="AP175" s="177" t="str">
        <f t="shared" si="133"/>
        <v>verlichting</v>
      </c>
      <c r="AQ175" s="177" t="str">
        <f t="shared" si="133"/>
        <v>ventilatoren</v>
      </c>
      <c r="AR175" s="177" t="str">
        <f t="shared" si="133"/>
        <v>kookgas</v>
      </c>
      <c r="AS175" s="177" t="str">
        <f t="shared" si="133"/>
        <v>overig elektra</v>
      </c>
      <c r="AT175" s="177" t="str">
        <f t="shared" si="133"/>
        <v>mobiliteit</v>
      </c>
      <c r="AU175" s="177"/>
      <c r="AV175" s="113"/>
      <c r="AW175" s="938"/>
      <c r="AX175" s="191"/>
      <c r="AY175" s="177" t="str">
        <f t="shared" ref="AY175:BF175" si="134">AY$10</f>
        <v>verwarming</v>
      </c>
      <c r="AZ175" s="177" t="str">
        <f t="shared" si="134"/>
        <v>koeling</v>
      </c>
      <c r="BA175" s="177" t="str">
        <f t="shared" si="134"/>
        <v>tapwater</v>
      </c>
      <c r="BB175" s="177" t="str">
        <f t="shared" si="134"/>
        <v>verlichting</v>
      </c>
      <c r="BC175" s="177" t="str">
        <f t="shared" si="134"/>
        <v>ventilatoren</v>
      </c>
      <c r="BD175" s="177" t="str">
        <f t="shared" si="134"/>
        <v>kookgas</v>
      </c>
      <c r="BE175" s="177" t="str">
        <f t="shared" si="134"/>
        <v>overig elektra</v>
      </c>
      <c r="BF175" s="177" t="str">
        <f t="shared" si="134"/>
        <v>mobiliteit</v>
      </c>
      <c r="BG175" s="177"/>
      <c r="BH175" s="174"/>
    </row>
    <row r="176" spans="1:60" hidden="1">
      <c r="A176" s="1046"/>
      <c r="B176" s="1109" t="s">
        <v>223</v>
      </c>
      <c r="C176" s="1107" t="s">
        <v>181</v>
      </c>
      <c r="D176" s="638"/>
      <c r="E176" s="1171" t="s">
        <v>1351</v>
      </c>
      <c r="F176" s="1172"/>
      <c r="G176" s="254"/>
      <c r="H176" s="181" t="s">
        <v>1208</v>
      </c>
      <c r="I176" s="191"/>
      <c r="J176" s="1014"/>
      <c r="K176" s="1062"/>
      <c r="L176" s="1062"/>
      <c r="M176" s="202"/>
      <c r="N176" s="89"/>
      <c r="O176" s="227">
        <f>bibliotheek!$I$307</f>
        <v>1.35</v>
      </c>
      <c r="P176" s="227">
        <f>bibliotheek!$I$307</f>
        <v>1.35</v>
      </c>
      <c r="Q176" s="227">
        <f>bibliotheek!$I$307</f>
        <v>1.35</v>
      </c>
      <c r="R176" s="227">
        <f>bibliotheek!$I$307</f>
        <v>1.35</v>
      </c>
      <c r="S176" s="227">
        <f>bibliotheek!$I$307</f>
        <v>1.35</v>
      </c>
      <c r="T176" s="227">
        <f>bibliotheek!$I$307</f>
        <v>1.35</v>
      </c>
      <c r="U176" s="227">
        <f>bibliotheek!$I$307</f>
        <v>1.35</v>
      </c>
      <c r="V176" s="227">
        <f>bibliotheek!$I$307</f>
        <v>1.35</v>
      </c>
      <c r="W176" s="273"/>
      <c r="X176" s="113"/>
      <c r="Y176" s="202"/>
      <c r="Z176" s="89"/>
      <c r="AA176" s="227">
        <f>bibliotheek!$I$307</f>
        <v>1.35</v>
      </c>
      <c r="AB176" s="227">
        <f>bibliotheek!$I$307</f>
        <v>1.35</v>
      </c>
      <c r="AC176" s="227">
        <f>bibliotheek!$I$307</f>
        <v>1.35</v>
      </c>
      <c r="AD176" s="227">
        <f>bibliotheek!$I$307</f>
        <v>1.35</v>
      </c>
      <c r="AE176" s="227">
        <f>bibliotheek!$I$307</f>
        <v>1.35</v>
      </c>
      <c r="AF176" s="227">
        <f>bibliotheek!$I$307</f>
        <v>1.35</v>
      </c>
      <c r="AG176" s="227">
        <f>bibliotheek!$I$307</f>
        <v>1.35</v>
      </c>
      <c r="AH176" s="227">
        <f>bibliotheek!$I$307</f>
        <v>1.35</v>
      </c>
      <c r="AI176" s="273"/>
      <c r="AJ176" s="113"/>
      <c r="AK176" s="202"/>
      <c r="AL176" s="89"/>
      <c r="AM176" s="227">
        <f>bibliotheek!$I$307</f>
        <v>1.35</v>
      </c>
      <c r="AN176" s="227">
        <f>bibliotheek!$I$307</f>
        <v>1.35</v>
      </c>
      <c r="AO176" s="227">
        <f>bibliotheek!$I$307</f>
        <v>1.35</v>
      </c>
      <c r="AP176" s="227">
        <f>bibliotheek!$I$307</f>
        <v>1.35</v>
      </c>
      <c r="AQ176" s="227">
        <f>bibliotheek!$I$307</f>
        <v>1.35</v>
      </c>
      <c r="AR176" s="227">
        <f>bibliotheek!$I$307</f>
        <v>1.35</v>
      </c>
      <c r="AS176" s="227">
        <f>bibliotheek!$I$307</f>
        <v>1.35</v>
      </c>
      <c r="AT176" s="227">
        <f>bibliotheek!$I$307</f>
        <v>1.35</v>
      </c>
      <c r="AU176" s="273"/>
      <c r="AV176" s="113"/>
      <c r="AW176" s="202"/>
      <c r="AX176" s="89"/>
      <c r="AY176" s="227">
        <f>bibliotheek!$I$307</f>
        <v>1.35</v>
      </c>
      <c r="AZ176" s="227">
        <f>bibliotheek!$I$307</f>
        <v>1.35</v>
      </c>
      <c r="BA176" s="227">
        <f>bibliotheek!$I$307</f>
        <v>1.35</v>
      </c>
      <c r="BB176" s="227">
        <f>bibliotheek!$I$307</f>
        <v>1.35</v>
      </c>
      <c r="BC176" s="227">
        <f>bibliotheek!$I$307</f>
        <v>1.35</v>
      </c>
      <c r="BD176" s="227">
        <f>bibliotheek!$I$307</f>
        <v>1.35</v>
      </c>
      <c r="BE176" s="227">
        <f>bibliotheek!$I$307</f>
        <v>1.35</v>
      </c>
      <c r="BF176" s="227">
        <f>bibliotheek!$I$307</f>
        <v>1.35</v>
      </c>
      <c r="BG176" s="273"/>
      <c r="BH176" s="174"/>
    </row>
    <row r="177" spans="1:60" hidden="1">
      <c r="A177" s="1046"/>
      <c r="B177" s="1109" t="s">
        <v>223</v>
      </c>
      <c r="C177" s="1107" t="s">
        <v>181</v>
      </c>
      <c r="D177" s="638"/>
      <c r="E177" s="1175" t="s">
        <v>1201</v>
      </c>
      <c r="F177" s="1176"/>
      <c r="G177" s="595"/>
      <c r="H177" s="1013" t="s">
        <v>65</v>
      </c>
      <c r="I177" s="191"/>
      <c r="J177" s="1014"/>
      <c r="K177" s="1062"/>
      <c r="L177" s="1062"/>
      <c r="M177" s="202"/>
      <c r="N177" s="89"/>
      <c r="O177" s="227">
        <f>bibliotheek!$J$263</f>
        <v>1</v>
      </c>
      <c r="P177" s="227">
        <f>bibliotheek!$J$263</f>
        <v>1</v>
      </c>
      <c r="Q177" s="227">
        <f>bibliotheek!$J$263</f>
        <v>1</v>
      </c>
      <c r="R177" s="227">
        <f>bibliotheek!$J$263</f>
        <v>1</v>
      </c>
      <c r="S177" s="227">
        <f>bibliotheek!$J$263</f>
        <v>1</v>
      </c>
      <c r="T177" s="227">
        <f>bibliotheek!$J$263</f>
        <v>1</v>
      </c>
      <c r="U177" s="227">
        <f>bibliotheek!$J$263</f>
        <v>1</v>
      </c>
      <c r="V177" s="227">
        <f>bibliotheek!$J$263</f>
        <v>1</v>
      </c>
      <c r="W177" s="273"/>
      <c r="X177" s="113"/>
      <c r="Y177" s="202"/>
      <c r="Z177" s="89"/>
      <c r="AA177" s="227">
        <f>bibliotheek!$J$263</f>
        <v>1</v>
      </c>
      <c r="AB177" s="227">
        <f>bibliotheek!$J$263</f>
        <v>1</v>
      </c>
      <c r="AC177" s="227">
        <f>bibliotheek!$J$263</f>
        <v>1</v>
      </c>
      <c r="AD177" s="227">
        <f>bibliotheek!$J$263</f>
        <v>1</v>
      </c>
      <c r="AE177" s="227">
        <f>bibliotheek!$J$263</f>
        <v>1</v>
      </c>
      <c r="AF177" s="227">
        <f>bibliotheek!$J$263</f>
        <v>1</v>
      </c>
      <c r="AG177" s="227">
        <f>bibliotheek!$J$263</f>
        <v>1</v>
      </c>
      <c r="AH177" s="227">
        <f>bibliotheek!$J$263</f>
        <v>1</v>
      </c>
      <c r="AI177" s="273"/>
      <c r="AJ177" s="113"/>
      <c r="AK177" s="202"/>
      <c r="AL177" s="89"/>
      <c r="AM177" s="227">
        <f>bibliotheek!$J$263</f>
        <v>1</v>
      </c>
      <c r="AN177" s="227">
        <f>bibliotheek!$J$263</f>
        <v>1</v>
      </c>
      <c r="AO177" s="227">
        <f>bibliotheek!$J$263</f>
        <v>1</v>
      </c>
      <c r="AP177" s="227">
        <f>bibliotheek!$J$263</f>
        <v>1</v>
      </c>
      <c r="AQ177" s="227">
        <f>bibliotheek!$J$263</f>
        <v>1</v>
      </c>
      <c r="AR177" s="227">
        <f>bibliotheek!$J$263</f>
        <v>1</v>
      </c>
      <c r="AS177" s="227">
        <f>bibliotheek!$J$263</f>
        <v>1</v>
      </c>
      <c r="AT177" s="227">
        <f>bibliotheek!$J$263</f>
        <v>1</v>
      </c>
      <c r="AU177" s="273"/>
      <c r="AV177" s="113"/>
      <c r="AW177" s="202"/>
      <c r="AX177" s="89"/>
      <c r="AY177" s="227">
        <f>bibliotheek!$J$263</f>
        <v>1</v>
      </c>
      <c r="AZ177" s="227">
        <f>bibliotheek!$J$263</f>
        <v>1</v>
      </c>
      <c r="BA177" s="227">
        <f>bibliotheek!$J$263</f>
        <v>1</v>
      </c>
      <c r="BB177" s="227">
        <f>bibliotheek!$J$263</f>
        <v>1</v>
      </c>
      <c r="BC177" s="227">
        <f>bibliotheek!$J$263</f>
        <v>1</v>
      </c>
      <c r="BD177" s="227">
        <f>bibliotheek!$J$263</f>
        <v>1</v>
      </c>
      <c r="BE177" s="227">
        <f>bibliotheek!$J$263</f>
        <v>1</v>
      </c>
      <c r="BF177" s="227">
        <f>bibliotheek!$J$263</f>
        <v>1</v>
      </c>
      <c r="BG177" s="273"/>
      <c r="BH177" s="174"/>
    </row>
    <row r="178" spans="1:60">
      <c r="A178" s="1046"/>
      <c r="B178" s="1109" t="s">
        <v>223</v>
      </c>
      <c r="C178" s="1111" t="s">
        <v>104</v>
      </c>
      <c r="D178" s="638"/>
      <c r="E178" s="1170" t="s">
        <v>232</v>
      </c>
      <c r="F178" s="1170"/>
      <c r="G178" s="181"/>
      <c r="H178" s="181" t="s">
        <v>1206</v>
      </c>
      <c r="I178" s="191"/>
      <c r="J178" s="202">
        <f>M178+Y178+AK178+AW178</f>
        <v>0</v>
      </c>
      <c r="K178" s="1062"/>
      <c r="L178" s="1062"/>
      <c r="M178" s="202">
        <f>SUM(O178:X178)</f>
        <v>0</v>
      </c>
      <c r="N178" s="89"/>
      <c r="O178" s="168">
        <f>SUM(O$168:O$171)*O$176*O177</f>
        <v>0</v>
      </c>
      <c r="P178" s="168">
        <f t="shared" ref="P178:V178" si="135">SUM(P$168:P$171)*P$176*P177</f>
        <v>0</v>
      </c>
      <c r="Q178" s="168">
        <f t="shared" si="135"/>
        <v>0</v>
      </c>
      <c r="R178" s="168">
        <f t="shared" si="135"/>
        <v>0</v>
      </c>
      <c r="S178" s="168">
        <f t="shared" si="135"/>
        <v>0</v>
      </c>
      <c r="T178" s="168">
        <f t="shared" si="135"/>
        <v>0</v>
      </c>
      <c r="U178" s="168">
        <f t="shared" si="135"/>
        <v>0</v>
      </c>
      <c r="V178" s="168">
        <f t="shared" si="135"/>
        <v>0</v>
      </c>
      <c r="W178" s="273"/>
      <c r="X178" s="113"/>
      <c r="Y178" s="202">
        <f>SUM(AA178:AJ178)</f>
        <v>0</v>
      </c>
      <c r="Z178" s="89"/>
      <c r="AA178" s="168">
        <f>SUM(AA$168:AA$171)*AA$176*AA177</f>
        <v>0</v>
      </c>
      <c r="AB178" s="168">
        <f t="shared" ref="AB178:AH178" si="136">SUM(AB$168:AB$171)*AB$176*AB177</f>
        <v>0</v>
      </c>
      <c r="AC178" s="168">
        <f t="shared" si="136"/>
        <v>0</v>
      </c>
      <c r="AD178" s="168">
        <f t="shared" si="136"/>
        <v>0</v>
      </c>
      <c r="AE178" s="168">
        <f t="shared" si="136"/>
        <v>0</v>
      </c>
      <c r="AF178" s="168">
        <f t="shared" si="136"/>
        <v>0</v>
      </c>
      <c r="AG178" s="168">
        <f t="shared" si="136"/>
        <v>0</v>
      </c>
      <c r="AH178" s="168">
        <f t="shared" si="136"/>
        <v>0</v>
      </c>
      <c r="AI178" s="273"/>
      <c r="AJ178" s="113"/>
      <c r="AK178" s="202">
        <f>SUM(AM178:AV178)</f>
        <v>0</v>
      </c>
      <c r="AL178" s="89"/>
      <c r="AM178" s="168">
        <f>SUM(AM$168:AM$171)*AM$176*AM177</f>
        <v>0</v>
      </c>
      <c r="AN178" s="168">
        <f t="shared" ref="AN178:AT178" si="137">SUM(AN$168:AN$171)*AN$176*AN177</f>
        <v>0</v>
      </c>
      <c r="AO178" s="168">
        <f t="shared" si="137"/>
        <v>0</v>
      </c>
      <c r="AP178" s="168">
        <f t="shared" si="137"/>
        <v>0</v>
      </c>
      <c r="AQ178" s="168">
        <f t="shared" si="137"/>
        <v>0</v>
      </c>
      <c r="AR178" s="168">
        <f t="shared" si="137"/>
        <v>0</v>
      </c>
      <c r="AS178" s="168">
        <f t="shared" si="137"/>
        <v>0</v>
      </c>
      <c r="AT178" s="168">
        <f t="shared" si="137"/>
        <v>0</v>
      </c>
      <c r="AU178" s="273"/>
      <c r="AV178" s="113"/>
      <c r="AW178" s="202">
        <f>SUM(AY178:BH178)</f>
        <v>0</v>
      </c>
      <c r="AX178" s="89"/>
      <c r="AY178" s="168">
        <f>SUM(AY$168:AY$171)*AY$176*AY177</f>
        <v>0</v>
      </c>
      <c r="AZ178" s="168">
        <f t="shared" ref="AZ178:BF178" si="138">SUM(AZ$168:AZ$171)*AZ$176*AZ177</f>
        <v>0</v>
      </c>
      <c r="BA178" s="168">
        <f t="shared" si="138"/>
        <v>0</v>
      </c>
      <c r="BB178" s="168">
        <f t="shared" si="138"/>
        <v>0</v>
      </c>
      <c r="BC178" s="168">
        <f t="shared" si="138"/>
        <v>0</v>
      </c>
      <c r="BD178" s="168">
        <f t="shared" si="138"/>
        <v>0</v>
      </c>
      <c r="BE178" s="168">
        <f t="shared" si="138"/>
        <v>0</v>
      </c>
      <c r="BF178" s="168">
        <f t="shared" si="138"/>
        <v>0</v>
      </c>
      <c r="BG178" s="273"/>
      <c r="BH178" s="174"/>
    </row>
    <row r="179" spans="1:60">
      <c r="A179" s="1040"/>
      <c r="B179" s="1109" t="s">
        <v>223</v>
      </c>
      <c r="C179" s="1106" t="s">
        <v>96</v>
      </c>
      <c r="D179" s="638"/>
      <c r="E179" s="940" t="s">
        <v>230</v>
      </c>
      <c r="F179" s="940"/>
      <c r="G179" s="940"/>
      <c r="H179" s="940"/>
      <c r="I179" s="77"/>
      <c r="J179" s="939"/>
      <c r="K179" s="126"/>
      <c r="L179" s="126"/>
      <c r="M179" s="938"/>
      <c r="N179" s="191"/>
      <c r="O179" s="177" t="str">
        <f t="shared" ref="O179:V179" si="139">O$10</f>
        <v>verwarming</v>
      </c>
      <c r="P179" s="177" t="str">
        <f t="shared" si="139"/>
        <v>koeling</v>
      </c>
      <c r="Q179" s="177" t="str">
        <f t="shared" si="139"/>
        <v>tapwater</v>
      </c>
      <c r="R179" s="177" t="str">
        <f t="shared" si="139"/>
        <v>verlichting</v>
      </c>
      <c r="S179" s="177" t="str">
        <f t="shared" si="139"/>
        <v>ventilatoren</v>
      </c>
      <c r="T179" s="177" t="str">
        <f t="shared" si="139"/>
        <v>kookgas</v>
      </c>
      <c r="U179" s="177" t="str">
        <f t="shared" si="139"/>
        <v>overig elektra</v>
      </c>
      <c r="V179" s="177" t="str">
        <f t="shared" si="139"/>
        <v>mobiliteit</v>
      </c>
      <c r="W179" s="177"/>
      <c r="X179" s="191"/>
      <c r="Y179" s="938"/>
      <c r="Z179" s="191"/>
      <c r="AA179" s="177" t="str">
        <f t="shared" ref="AA179:AH179" si="140">AA$10</f>
        <v>verwarming</v>
      </c>
      <c r="AB179" s="177" t="str">
        <f t="shared" si="140"/>
        <v>koeling</v>
      </c>
      <c r="AC179" s="177" t="str">
        <f t="shared" si="140"/>
        <v>tapwater</v>
      </c>
      <c r="AD179" s="177" t="str">
        <f t="shared" si="140"/>
        <v>verlichting</v>
      </c>
      <c r="AE179" s="177" t="str">
        <f t="shared" si="140"/>
        <v>ventilatoren</v>
      </c>
      <c r="AF179" s="177" t="str">
        <f t="shared" si="140"/>
        <v>kookgas</v>
      </c>
      <c r="AG179" s="177" t="str">
        <f t="shared" si="140"/>
        <v>overig elektra</v>
      </c>
      <c r="AH179" s="177" t="str">
        <f t="shared" si="140"/>
        <v>mobiliteit</v>
      </c>
      <c r="AI179" s="177"/>
      <c r="AJ179" s="191"/>
      <c r="AK179" s="938"/>
      <c r="AL179" s="191"/>
      <c r="AM179" s="177" t="str">
        <f t="shared" ref="AM179:AT179" si="141">AM$10</f>
        <v>verwarming</v>
      </c>
      <c r="AN179" s="177" t="str">
        <f t="shared" si="141"/>
        <v>koeling</v>
      </c>
      <c r="AO179" s="177" t="str">
        <f t="shared" si="141"/>
        <v>tapwater</v>
      </c>
      <c r="AP179" s="177" t="str">
        <f t="shared" si="141"/>
        <v>verlichting</v>
      </c>
      <c r="AQ179" s="177" t="str">
        <f t="shared" si="141"/>
        <v>ventilatoren</v>
      </c>
      <c r="AR179" s="177" t="str">
        <f t="shared" si="141"/>
        <v>kookgas</v>
      </c>
      <c r="AS179" s="177" t="str">
        <f t="shared" si="141"/>
        <v>overig elektra</v>
      </c>
      <c r="AT179" s="177" t="str">
        <f t="shared" si="141"/>
        <v>mobiliteit</v>
      </c>
      <c r="AU179" s="177"/>
      <c r="AV179" s="191"/>
      <c r="AW179" s="938"/>
      <c r="AX179" s="191"/>
      <c r="AY179" s="177" t="str">
        <f t="shared" ref="AY179:BF179" si="142">AY$10</f>
        <v>verwarming</v>
      </c>
      <c r="AZ179" s="177" t="str">
        <f t="shared" si="142"/>
        <v>koeling</v>
      </c>
      <c r="BA179" s="177" t="str">
        <f t="shared" si="142"/>
        <v>tapwater</v>
      </c>
      <c r="BB179" s="177" t="str">
        <f t="shared" si="142"/>
        <v>verlichting</v>
      </c>
      <c r="BC179" s="177" t="str">
        <f t="shared" si="142"/>
        <v>ventilatoren</v>
      </c>
      <c r="BD179" s="177" t="str">
        <f t="shared" si="142"/>
        <v>kookgas</v>
      </c>
      <c r="BE179" s="177" t="str">
        <f t="shared" si="142"/>
        <v>overig elektra</v>
      </c>
      <c r="BF179" s="177" t="str">
        <f t="shared" si="142"/>
        <v>mobiliteit</v>
      </c>
      <c r="BG179" s="177"/>
      <c r="BH179" s="36"/>
    </row>
    <row r="180" spans="1:60" hidden="1">
      <c r="A180" s="1040"/>
      <c r="B180" s="1109" t="s">
        <v>223</v>
      </c>
      <c r="C180" s="1107" t="s">
        <v>181</v>
      </c>
      <c r="D180" s="638"/>
      <c r="E180" s="180" t="s">
        <v>206</v>
      </c>
      <c r="F180" s="180"/>
      <c r="G180" s="180"/>
      <c r="H180" s="181" t="s">
        <v>207</v>
      </c>
      <c r="I180" s="191"/>
      <c r="J180" s="190"/>
      <c r="K180" s="79"/>
      <c r="L180" s="79"/>
      <c r="M180" s="190"/>
      <c r="N180" s="114"/>
      <c r="O180" s="228">
        <f>$H$5</f>
        <v>0.26800000000000002</v>
      </c>
      <c r="P180" s="228">
        <f t="shared" ref="P180:V180" si="143">$H$5</f>
        <v>0.26800000000000002</v>
      </c>
      <c r="Q180" s="228">
        <f t="shared" si="143"/>
        <v>0.26800000000000002</v>
      </c>
      <c r="R180" s="228">
        <f t="shared" si="143"/>
        <v>0.26800000000000002</v>
      </c>
      <c r="S180" s="228">
        <f t="shared" si="143"/>
        <v>0.26800000000000002</v>
      </c>
      <c r="T180" s="228">
        <f t="shared" si="143"/>
        <v>0.26800000000000002</v>
      </c>
      <c r="U180" s="228">
        <f t="shared" si="143"/>
        <v>0.26800000000000002</v>
      </c>
      <c r="V180" s="228">
        <f t="shared" si="143"/>
        <v>0.26800000000000002</v>
      </c>
      <c r="W180" s="355"/>
      <c r="X180" s="356"/>
      <c r="Y180" s="190"/>
      <c r="Z180" s="358"/>
      <c r="AA180" s="228">
        <f>$H$5</f>
        <v>0.26800000000000002</v>
      </c>
      <c r="AB180" s="228">
        <f t="shared" ref="AB180:AH180" si="144">$H$5</f>
        <v>0.26800000000000002</v>
      </c>
      <c r="AC180" s="228">
        <f t="shared" si="144"/>
        <v>0.26800000000000002</v>
      </c>
      <c r="AD180" s="228">
        <f t="shared" si="144"/>
        <v>0.26800000000000002</v>
      </c>
      <c r="AE180" s="228">
        <f t="shared" si="144"/>
        <v>0.26800000000000002</v>
      </c>
      <c r="AF180" s="168">
        <f t="shared" si="144"/>
        <v>0.26800000000000002</v>
      </c>
      <c r="AG180" s="228">
        <f t="shared" si="144"/>
        <v>0.26800000000000002</v>
      </c>
      <c r="AH180" s="228">
        <f t="shared" si="144"/>
        <v>0.26800000000000002</v>
      </c>
      <c r="AI180" s="355"/>
      <c r="AJ180" s="356"/>
      <c r="AK180" s="190"/>
      <c r="AL180" s="358"/>
      <c r="AM180" s="228">
        <f>$H$5</f>
        <v>0.26800000000000002</v>
      </c>
      <c r="AN180" s="228">
        <f t="shared" ref="AN180:AT180" si="145">$H$5</f>
        <v>0.26800000000000002</v>
      </c>
      <c r="AO180" s="228">
        <f t="shared" si="145"/>
        <v>0.26800000000000002</v>
      </c>
      <c r="AP180" s="228">
        <f t="shared" si="145"/>
        <v>0.26800000000000002</v>
      </c>
      <c r="AQ180" s="228">
        <f t="shared" si="145"/>
        <v>0.26800000000000002</v>
      </c>
      <c r="AR180" s="168">
        <f t="shared" si="145"/>
        <v>0.26800000000000002</v>
      </c>
      <c r="AS180" s="228">
        <f t="shared" si="145"/>
        <v>0.26800000000000002</v>
      </c>
      <c r="AT180" s="228">
        <f t="shared" si="145"/>
        <v>0.26800000000000002</v>
      </c>
      <c r="AU180" s="355"/>
      <c r="AV180" s="356"/>
      <c r="AW180" s="190"/>
      <c r="AX180" s="358"/>
      <c r="AY180" s="228">
        <f>$H$5</f>
        <v>0.26800000000000002</v>
      </c>
      <c r="AZ180" s="228">
        <f t="shared" ref="AZ180:BF180" si="146">$H$5</f>
        <v>0.26800000000000002</v>
      </c>
      <c r="BA180" s="228">
        <f t="shared" si="146"/>
        <v>0.26800000000000002</v>
      </c>
      <c r="BB180" s="228">
        <f t="shared" si="146"/>
        <v>0.26800000000000002</v>
      </c>
      <c r="BC180" s="228">
        <f t="shared" si="146"/>
        <v>0.26800000000000002</v>
      </c>
      <c r="BD180" s="168">
        <f t="shared" si="146"/>
        <v>0.26800000000000002</v>
      </c>
      <c r="BE180" s="228">
        <f t="shared" si="146"/>
        <v>0.26800000000000002</v>
      </c>
      <c r="BF180" s="228">
        <f t="shared" si="146"/>
        <v>0.26800000000000002</v>
      </c>
      <c r="BG180" s="274"/>
      <c r="BH180" s="174"/>
    </row>
    <row r="181" spans="1:60">
      <c r="A181" s="1046"/>
      <c r="B181" s="1109" t="s">
        <v>223</v>
      </c>
      <c r="C181" s="1111" t="s">
        <v>104</v>
      </c>
      <c r="D181" s="643"/>
      <c r="E181" s="1173" t="s">
        <v>232</v>
      </c>
      <c r="F181" s="201"/>
      <c r="G181" s="201"/>
      <c r="H181" s="201" t="s">
        <v>209</v>
      </c>
      <c r="I181" s="191"/>
      <c r="J181" s="202">
        <f>M181+Y181+AK181+AW181</f>
        <v>0</v>
      </c>
      <c r="K181" s="1062"/>
      <c r="L181" s="1062"/>
      <c r="M181" s="202">
        <f>SUM(O181:X181)</f>
        <v>0</v>
      </c>
      <c r="N181" s="89"/>
      <c r="O181" s="168">
        <f t="shared" ref="O181:V181" si="147">SUM(O$168:O$171)*O$180</f>
        <v>0</v>
      </c>
      <c r="P181" s="168">
        <f t="shared" si="147"/>
        <v>0</v>
      </c>
      <c r="Q181" s="168">
        <f t="shared" si="147"/>
        <v>0</v>
      </c>
      <c r="R181" s="168">
        <f t="shared" si="147"/>
        <v>0</v>
      </c>
      <c r="S181" s="168">
        <f t="shared" si="147"/>
        <v>0</v>
      </c>
      <c r="T181" s="168">
        <f t="shared" si="147"/>
        <v>0</v>
      </c>
      <c r="U181" s="168">
        <f t="shared" si="147"/>
        <v>0</v>
      </c>
      <c r="V181" s="168">
        <f t="shared" si="147"/>
        <v>0</v>
      </c>
      <c r="W181" s="273"/>
      <c r="X181" s="113"/>
      <c r="Y181" s="202">
        <f>SUM(AA181:AJ181)</f>
        <v>0</v>
      </c>
      <c r="Z181" s="89"/>
      <c r="AA181" s="168">
        <f t="shared" ref="AA181:AH181" si="148">SUM(AA$168:AA$171)*AA$180</f>
        <v>0</v>
      </c>
      <c r="AB181" s="168">
        <f t="shared" si="148"/>
        <v>0</v>
      </c>
      <c r="AC181" s="168">
        <f t="shared" si="148"/>
        <v>0</v>
      </c>
      <c r="AD181" s="168">
        <f t="shared" si="148"/>
        <v>0</v>
      </c>
      <c r="AE181" s="168">
        <f t="shared" si="148"/>
        <v>0</v>
      </c>
      <c r="AF181" s="168">
        <f t="shared" si="148"/>
        <v>0</v>
      </c>
      <c r="AG181" s="168">
        <f t="shared" si="148"/>
        <v>0</v>
      </c>
      <c r="AH181" s="168">
        <f t="shared" si="148"/>
        <v>0</v>
      </c>
      <c r="AI181" s="273"/>
      <c r="AJ181" s="113"/>
      <c r="AK181" s="202">
        <f>SUM(AM181:AV181)</f>
        <v>0</v>
      </c>
      <c r="AL181" s="89"/>
      <c r="AM181" s="168">
        <f t="shared" ref="AM181:AT181" si="149">SUM(AM$168:AM$171)*AM$180</f>
        <v>0</v>
      </c>
      <c r="AN181" s="168">
        <f t="shared" si="149"/>
        <v>0</v>
      </c>
      <c r="AO181" s="168">
        <f t="shared" si="149"/>
        <v>0</v>
      </c>
      <c r="AP181" s="168">
        <f t="shared" si="149"/>
        <v>0</v>
      </c>
      <c r="AQ181" s="168">
        <f t="shared" si="149"/>
        <v>0</v>
      </c>
      <c r="AR181" s="168">
        <f t="shared" si="149"/>
        <v>0</v>
      </c>
      <c r="AS181" s="168">
        <f t="shared" si="149"/>
        <v>0</v>
      </c>
      <c r="AT181" s="168">
        <f t="shared" si="149"/>
        <v>0</v>
      </c>
      <c r="AU181" s="273"/>
      <c r="AV181" s="113"/>
      <c r="AW181" s="202">
        <f>SUM(AY181:BH181)</f>
        <v>0</v>
      </c>
      <c r="AX181" s="89"/>
      <c r="AY181" s="168">
        <f t="shared" ref="AY181:BF181" si="150">SUM(AY$168:AY$171)*AY$180</f>
        <v>0</v>
      </c>
      <c r="AZ181" s="168">
        <f t="shared" si="150"/>
        <v>0</v>
      </c>
      <c r="BA181" s="168">
        <f t="shared" si="150"/>
        <v>0</v>
      </c>
      <c r="BB181" s="168">
        <f t="shared" si="150"/>
        <v>0</v>
      </c>
      <c r="BC181" s="168">
        <f t="shared" si="150"/>
        <v>0</v>
      </c>
      <c r="BD181" s="168">
        <f t="shared" si="150"/>
        <v>0</v>
      </c>
      <c r="BE181" s="168">
        <f t="shared" si="150"/>
        <v>0</v>
      </c>
      <c r="BF181" s="168">
        <f t="shared" si="150"/>
        <v>0</v>
      </c>
      <c r="BG181" s="273"/>
      <c r="BH181" s="174"/>
    </row>
    <row r="182" spans="1:60">
      <c r="A182" s="1040"/>
      <c r="B182" s="1109" t="s">
        <v>223</v>
      </c>
      <c r="C182" s="1106" t="s">
        <v>96</v>
      </c>
      <c r="D182" s="638"/>
      <c r="E182" s="79"/>
      <c r="F182" s="79"/>
      <c r="G182" s="79"/>
      <c r="H182" s="85"/>
      <c r="I182" s="191"/>
      <c r="J182" s="82"/>
      <c r="K182" s="79"/>
      <c r="L182" s="79"/>
      <c r="M182" s="82"/>
      <c r="N182" s="79"/>
      <c r="O182" s="117"/>
      <c r="P182" s="82"/>
      <c r="Q182" s="117"/>
      <c r="R182" s="82"/>
      <c r="S182" s="82"/>
      <c r="T182" s="82"/>
      <c r="U182" s="82"/>
      <c r="V182" s="82"/>
      <c r="W182" s="82"/>
      <c r="X182" s="82"/>
      <c r="Y182" s="82"/>
      <c r="Z182" s="79"/>
      <c r="AA182" s="117"/>
      <c r="AB182" s="82"/>
      <c r="AC182" s="117"/>
      <c r="AD182" s="82"/>
      <c r="AE182" s="82"/>
      <c r="AF182" s="82"/>
      <c r="AG182" s="82"/>
      <c r="AH182" s="82"/>
      <c r="AI182" s="82"/>
      <c r="AJ182" s="82"/>
      <c r="AK182" s="82"/>
      <c r="AL182" s="79"/>
      <c r="AM182" s="117"/>
      <c r="AN182" s="82"/>
      <c r="AO182" s="117"/>
      <c r="AP182" s="82"/>
      <c r="AQ182" s="82"/>
      <c r="AR182" s="82"/>
      <c r="AS182" s="82"/>
      <c r="AT182" s="82"/>
      <c r="AU182" s="82"/>
      <c r="AV182" s="82"/>
      <c r="AW182" s="82"/>
      <c r="AX182" s="79"/>
      <c r="AY182" s="117"/>
      <c r="AZ182" s="82"/>
      <c r="BA182" s="117"/>
      <c r="BB182" s="82"/>
      <c r="BC182" s="82"/>
      <c r="BD182" s="82"/>
      <c r="BE182" s="82"/>
      <c r="BF182" s="82"/>
      <c r="BG182" s="82"/>
      <c r="BH182" s="1"/>
    </row>
    <row r="183" spans="1:60">
      <c r="A183" s="1040"/>
      <c r="B183" s="1109" t="s">
        <v>231</v>
      </c>
      <c r="C183" s="1107" t="s">
        <v>96</v>
      </c>
      <c r="D183" s="638"/>
      <c r="E183" s="79"/>
      <c r="F183" s="79"/>
      <c r="G183" s="79"/>
      <c r="H183" s="79"/>
      <c r="I183" s="79"/>
      <c r="J183" s="82"/>
      <c r="K183" s="79"/>
      <c r="L183" s="79"/>
      <c r="M183" s="82"/>
      <c r="N183" s="79"/>
      <c r="O183" s="117"/>
      <c r="P183" s="82"/>
      <c r="Q183" s="117"/>
      <c r="R183" s="82"/>
      <c r="S183" s="82"/>
      <c r="T183" s="82"/>
      <c r="U183" s="82"/>
      <c r="V183" s="82"/>
      <c r="W183" s="82"/>
      <c r="X183" s="82"/>
      <c r="Y183" s="82"/>
      <c r="Z183" s="79"/>
      <c r="AA183" s="117"/>
      <c r="AB183" s="82"/>
      <c r="AC183" s="117"/>
      <c r="AD183" s="82"/>
      <c r="AE183" s="82"/>
      <c r="AF183" s="82"/>
      <c r="AG183" s="82"/>
      <c r="AH183" s="82"/>
      <c r="AI183" s="82"/>
      <c r="AJ183" s="82"/>
      <c r="AK183" s="82"/>
      <c r="AL183" s="79"/>
      <c r="AM183" s="117"/>
      <c r="AN183" s="82"/>
      <c r="AO183" s="117"/>
      <c r="AP183" s="82"/>
      <c r="AQ183" s="82"/>
      <c r="AR183" s="82"/>
      <c r="AS183" s="82"/>
      <c r="AT183" s="82"/>
      <c r="AU183" s="82"/>
      <c r="AV183" s="82"/>
      <c r="AW183" s="82"/>
      <c r="AX183" s="79"/>
      <c r="AY183" s="117"/>
      <c r="AZ183" s="82"/>
      <c r="BA183" s="117"/>
      <c r="BB183" s="82"/>
      <c r="BC183" s="82"/>
      <c r="BD183" s="82"/>
      <c r="BE183" s="82"/>
      <c r="BF183" s="82"/>
      <c r="BG183" s="82"/>
      <c r="BH183" s="1"/>
    </row>
    <row r="184" spans="1:60" ht="21">
      <c r="A184" s="1040"/>
      <c r="B184" s="1109" t="s">
        <v>231</v>
      </c>
      <c r="C184" s="1106" t="s">
        <v>96</v>
      </c>
      <c r="D184" s="643"/>
      <c r="E184" s="199" t="s">
        <v>1275</v>
      </c>
      <c r="F184" s="199"/>
      <c r="G184" s="199"/>
      <c r="H184" s="199"/>
      <c r="I184" s="77"/>
      <c r="J184" s="200" t="str">
        <f>J$10</f>
        <v>alle locaties</v>
      </c>
      <c r="K184" s="126"/>
      <c r="L184" s="126"/>
      <c r="M184" s="200" t="str">
        <f>M$10</f>
        <v>locatie 1</v>
      </c>
      <c r="N184" s="182"/>
      <c r="O184" s="966" t="str">
        <f>$E184&amp;" per energiepost"</f>
        <v>overzicht elektriciteitsgebruik en lokale elektriciteitsproductie per energiepost</v>
      </c>
      <c r="P184" s="941"/>
      <c r="Q184" s="941"/>
      <c r="R184" s="941"/>
      <c r="S184" s="941"/>
      <c r="T184" s="941"/>
      <c r="U184" s="941"/>
      <c r="V184" s="941"/>
      <c r="W184" s="956"/>
      <c r="X184" s="174"/>
      <c r="Y184" s="200" t="str">
        <f>Y$10</f>
        <v>locatie 2</v>
      </c>
      <c r="Z184" s="182"/>
      <c r="AA184" s="966" t="str">
        <f>$E184&amp;" per energiepost"</f>
        <v>overzicht elektriciteitsgebruik en lokale elektriciteitsproductie per energiepost</v>
      </c>
      <c r="AB184" s="941"/>
      <c r="AC184" s="941"/>
      <c r="AD184" s="941"/>
      <c r="AE184" s="941"/>
      <c r="AF184" s="941"/>
      <c r="AG184" s="941"/>
      <c r="AH184" s="941"/>
      <c r="AI184" s="956"/>
      <c r="AJ184" s="174"/>
      <c r="AK184" s="200" t="str">
        <f>AK$10</f>
        <v>locatie 3</v>
      </c>
      <c r="AL184" s="182"/>
      <c r="AM184" s="966" t="str">
        <f>$E184&amp;" per energiepost"</f>
        <v>overzicht elektriciteitsgebruik en lokale elektriciteitsproductie per energiepost</v>
      </c>
      <c r="AN184" s="941"/>
      <c r="AO184" s="941"/>
      <c r="AP184" s="941"/>
      <c r="AQ184" s="941"/>
      <c r="AR184" s="941"/>
      <c r="AS184" s="941"/>
      <c r="AT184" s="941"/>
      <c r="AU184" s="956"/>
      <c r="AV184" s="174"/>
      <c r="AW184" s="200" t="str">
        <f>AW$10</f>
        <v>locatie 4</v>
      </c>
      <c r="AX184" s="182"/>
      <c r="AY184" s="966" t="str">
        <f>$E184&amp;" per energiepost"</f>
        <v>overzicht elektriciteitsgebruik en lokale elektriciteitsproductie per energiepost</v>
      </c>
      <c r="AZ184" s="941"/>
      <c r="BA184" s="941"/>
      <c r="BB184" s="941"/>
      <c r="BC184" s="941"/>
      <c r="BD184" s="941"/>
      <c r="BE184" s="941"/>
      <c r="BF184" s="941"/>
      <c r="BG184" s="956"/>
      <c r="BH184" s="1"/>
    </row>
    <row r="185" spans="1:60">
      <c r="A185" s="1040"/>
      <c r="B185" s="1109" t="s">
        <v>231</v>
      </c>
      <c r="C185" s="1106" t="s">
        <v>96</v>
      </c>
      <c r="D185" s="638"/>
      <c r="E185" s="940" t="s">
        <v>1241</v>
      </c>
      <c r="F185" s="940"/>
      <c r="G185" s="940"/>
      <c r="H185" s="940"/>
      <c r="I185" s="77"/>
      <c r="J185" s="939"/>
      <c r="K185" s="126"/>
      <c r="L185" s="126"/>
      <c r="M185" s="938"/>
      <c r="N185" s="191"/>
      <c r="O185" s="177" t="str">
        <f t="shared" ref="O185:W185" si="151">O$10</f>
        <v>verwarming</v>
      </c>
      <c r="P185" s="177" t="str">
        <f t="shared" si="151"/>
        <v>koeling</v>
      </c>
      <c r="Q185" s="177" t="str">
        <f t="shared" si="151"/>
        <v>tapwater</v>
      </c>
      <c r="R185" s="177" t="str">
        <f t="shared" si="151"/>
        <v>verlichting</v>
      </c>
      <c r="S185" s="177" t="str">
        <f t="shared" si="151"/>
        <v>ventilatoren</v>
      </c>
      <c r="T185" s="177" t="str">
        <f t="shared" si="151"/>
        <v>kookgas</v>
      </c>
      <c r="U185" s="177" t="str">
        <f t="shared" si="151"/>
        <v>overig elektra</v>
      </c>
      <c r="V185" s="177" t="str">
        <f t="shared" si="151"/>
        <v>mobiliteit</v>
      </c>
      <c r="W185" s="177" t="str">
        <f t="shared" si="151"/>
        <v>zonnepanelen</v>
      </c>
      <c r="X185" s="191"/>
      <c r="Y185" s="938"/>
      <c r="Z185" s="191"/>
      <c r="AA185" s="177" t="str">
        <f t="shared" ref="AA185:AI185" si="152">AA$10</f>
        <v>verwarming</v>
      </c>
      <c r="AB185" s="177" t="str">
        <f t="shared" si="152"/>
        <v>koeling</v>
      </c>
      <c r="AC185" s="177" t="str">
        <f t="shared" si="152"/>
        <v>tapwater</v>
      </c>
      <c r="AD185" s="177" t="str">
        <f t="shared" si="152"/>
        <v>verlichting</v>
      </c>
      <c r="AE185" s="177" t="str">
        <f t="shared" si="152"/>
        <v>ventilatoren</v>
      </c>
      <c r="AF185" s="177" t="str">
        <f t="shared" si="152"/>
        <v>kookgas</v>
      </c>
      <c r="AG185" s="177" t="str">
        <f t="shared" si="152"/>
        <v>overig elektra</v>
      </c>
      <c r="AH185" s="177" t="str">
        <f t="shared" si="152"/>
        <v>mobiliteit</v>
      </c>
      <c r="AI185" s="177" t="str">
        <f t="shared" si="152"/>
        <v>zonnepanelen</v>
      </c>
      <c r="AJ185" s="191"/>
      <c r="AK185" s="938"/>
      <c r="AL185" s="191"/>
      <c r="AM185" s="177" t="str">
        <f t="shared" ref="AM185:AU185" si="153">AM$10</f>
        <v>verwarming</v>
      </c>
      <c r="AN185" s="177" t="str">
        <f t="shared" si="153"/>
        <v>koeling</v>
      </c>
      <c r="AO185" s="177" t="str">
        <f t="shared" si="153"/>
        <v>tapwater</v>
      </c>
      <c r="AP185" s="177" t="str">
        <f t="shared" si="153"/>
        <v>verlichting</v>
      </c>
      <c r="AQ185" s="177" t="str">
        <f t="shared" si="153"/>
        <v>ventilatoren</v>
      </c>
      <c r="AR185" s="177" t="str">
        <f t="shared" si="153"/>
        <v>kookgas</v>
      </c>
      <c r="AS185" s="177" t="str">
        <f t="shared" si="153"/>
        <v>overig elektra</v>
      </c>
      <c r="AT185" s="177" t="str">
        <f t="shared" si="153"/>
        <v>mobiliteit</v>
      </c>
      <c r="AU185" s="177" t="str">
        <f t="shared" si="153"/>
        <v>zonnepanelen</v>
      </c>
      <c r="AV185" s="191"/>
      <c r="AW185" s="938"/>
      <c r="AX185" s="191"/>
      <c r="AY185" s="177" t="str">
        <f t="shared" ref="AY185:BG185" si="154">AY$10</f>
        <v>verwarming</v>
      </c>
      <c r="AZ185" s="177" t="str">
        <f t="shared" si="154"/>
        <v>koeling</v>
      </c>
      <c r="BA185" s="177" t="str">
        <f t="shared" si="154"/>
        <v>tapwater</v>
      </c>
      <c r="BB185" s="177" t="str">
        <f t="shared" si="154"/>
        <v>verlichting</v>
      </c>
      <c r="BC185" s="177" t="str">
        <f t="shared" si="154"/>
        <v>ventilatoren</v>
      </c>
      <c r="BD185" s="177" t="str">
        <f t="shared" si="154"/>
        <v>kookgas</v>
      </c>
      <c r="BE185" s="177" t="str">
        <f t="shared" si="154"/>
        <v>overig elektra</v>
      </c>
      <c r="BF185" s="177" t="str">
        <f t="shared" si="154"/>
        <v>mobiliteit</v>
      </c>
      <c r="BG185" s="177" t="str">
        <f t="shared" si="154"/>
        <v>zonnepanelen</v>
      </c>
      <c r="BH185" s="36"/>
    </row>
    <row r="186" spans="1:60" s="2" customFormat="1" hidden="1">
      <c r="A186" s="1038"/>
      <c r="B186" s="1109" t="s">
        <v>231</v>
      </c>
      <c r="C186" s="1106" t="s">
        <v>181</v>
      </c>
      <c r="D186" s="645" t="s">
        <v>45</v>
      </c>
      <c r="E186" s="180" t="s">
        <v>1238</v>
      </c>
      <c r="F186" s="180"/>
      <c r="G186" s="180"/>
      <c r="H186" s="181" t="s">
        <v>160</v>
      </c>
      <c r="I186" s="114"/>
      <c r="J186" s="202">
        <f>M186+Y186+AK186+AW186</f>
        <v>0</v>
      </c>
      <c r="K186" s="243"/>
      <c r="L186" s="243"/>
      <c r="M186" s="202">
        <f>SUM(N186:X186)</f>
        <v>0</v>
      </c>
      <c r="N186" s="89"/>
      <c r="O186" s="273"/>
      <c r="P186" s="273"/>
      <c r="Q186" s="273"/>
      <c r="R186" s="273"/>
      <c r="S186" s="273"/>
      <c r="T186" s="273"/>
      <c r="U186" s="273"/>
      <c r="V186" s="273"/>
      <c r="W186" s="168">
        <f>-W78</f>
        <v>0</v>
      </c>
      <c r="X186" s="113"/>
      <c r="Y186" s="202">
        <f>SUM(Z186:AJ186)</f>
        <v>0</v>
      </c>
      <c r="Z186" s="89"/>
      <c r="AA186" s="273"/>
      <c r="AB186" s="273"/>
      <c r="AC186" s="273"/>
      <c r="AD186" s="273"/>
      <c r="AE186" s="273"/>
      <c r="AF186" s="273"/>
      <c r="AG186" s="273"/>
      <c r="AH186" s="273"/>
      <c r="AI186" s="168">
        <f>-AI78</f>
        <v>0</v>
      </c>
      <c r="AJ186" s="113"/>
      <c r="AK186" s="202">
        <f>SUM(AL186:AV186)</f>
        <v>0</v>
      </c>
      <c r="AL186" s="89"/>
      <c r="AM186" s="273"/>
      <c r="AN186" s="273"/>
      <c r="AO186" s="273"/>
      <c r="AP186" s="273"/>
      <c r="AQ186" s="273"/>
      <c r="AR186" s="273"/>
      <c r="AS186" s="273"/>
      <c r="AT186" s="273"/>
      <c r="AU186" s="168">
        <f>-AU78</f>
        <v>0</v>
      </c>
      <c r="AV186" s="113"/>
      <c r="AW186" s="202">
        <f>SUM(AX186:BH186)</f>
        <v>0</v>
      </c>
      <c r="AX186" s="89"/>
      <c r="AY186" s="273"/>
      <c r="AZ186" s="273"/>
      <c r="BA186" s="273"/>
      <c r="BB186" s="273"/>
      <c r="BC186" s="273"/>
      <c r="BD186" s="273"/>
      <c r="BE186" s="273"/>
      <c r="BF186" s="273"/>
      <c r="BG186" s="168">
        <f>-BG78</f>
        <v>0</v>
      </c>
      <c r="BH186" s="210"/>
    </row>
    <row r="187" spans="1:60" s="2" customFormat="1" hidden="1">
      <c r="A187" s="1038"/>
      <c r="B187" s="1109" t="s">
        <v>231</v>
      </c>
      <c r="C187" s="1106" t="s">
        <v>181</v>
      </c>
      <c r="D187" s="644"/>
      <c r="E187" s="180" t="s">
        <v>1237</v>
      </c>
      <c r="F187" s="180"/>
      <c r="G187" s="180"/>
      <c r="H187" s="181" t="s">
        <v>160</v>
      </c>
      <c r="I187" s="114"/>
      <c r="J187" s="202">
        <f>M187+Y187+AK187+AW187</f>
        <v>0</v>
      </c>
      <c r="K187" s="243"/>
      <c r="L187" s="243"/>
      <c r="M187" s="202">
        <f>SUM(N187:X187)</f>
        <v>0</v>
      </c>
      <c r="N187" s="89"/>
      <c r="O187" s="168">
        <f>O$116*O$134</f>
        <v>0</v>
      </c>
      <c r="P187" s="168">
        <f>P$116*P$134</f>
        <v>0</v>
      </c>
      <c r="Q187" s="168">
        <f>Q$116*Q$134</f>
        <v>0</v>
      </c>
      <c r="R187" s="273"/>
      <c r="S187" s="273"/>
      <c r="T187" s="273"/>
      <c r="U187" s="273"/>
      <c r="V187" s="273"/>
      <c r="W187" s="273"/>
      <c r="X187" s="113"/>
      <c r="Y187" s="202">
        <f>SUM(Z187:AJ187)</f>
        <v>0</v>
      </c>
      <c r="Z187" s="89"/>
      <c r="AA187" s="168">
        <f>AA$116*AA$134</f>
        <v>0</v>
      </c>
      <c r="AB187" s="168">
        <f>AB$116*AB$134</f>
        <v>0</v>
      </c>
      <c r="AC187" s="168">
        <f>AC$116*AC$134</f>
        <v>0</v>
      </c>
      <c r="AD187" s="273"/>
      <c r="AE187" s="273"/>
      <c r="AF187" s="273"/>
      <c r="AG187" s="273"/>
      <c r="AH187" s="273"/>
      <c r="AI187" s="273"/>
      <c r="AJ187" s="113"/>
      <c r="AK187" s="202">
        <f>SUM(AL187:AV187)</f>
        <v>0</v>
      </c>
      <c r="AL187" s="89"/>
      <c r="AM187" s="168">
        <f>AM$116*AM$134</f>
        <v>0</v>
      </c>
      <c r="AN187" s="168">
        <f>AN$116*AN$134</f>
        <v>0</v>
      </c>
      <c r="AO187" s="168">
        <f>AO$116*AO$134</f>
        <v>0</v>
      </c>
      <c r="AP187" s="273"/>
      <c r="AQ187" s="273"/>
      <c r="AR187" s="273"/>
      <c r="AS187" s="273"/>
      <c r="AT187" s="273"/>
      <c r="AU187" s="273"/>
      <c r="AV187" s="113"/>
      <c r="AW187" s="202">
        <f>SUM(AX187:BH187)</f>
        <v>0</v>
      </c>
      <c r="AX187" s="89"/>
      <c r="AY187" s="168">
        <f>AY$116*AY$134</f>
        <v>0</v>
      </c>
      <c r="AZ187" s="168">
        <f>AZ$116*AZ$134</f>
        <v>0</v>
      </c>
      <c r="BA187" s="168">
        <f>BA$116*BA$134</f>
        <v>0</v>
      </c>
      <c r="BB187" s="273"/>
      <c r="BC187" s="273"/>
      <c r="BD187" s="273"/>
      <c r="BE187" s="273"/>
      <c r="BF187" s="273"/>
      <c r="BG187" s="273"/>
      <c r="BH187" s="210"/>
    </row>
    <row r="188" spans="1:60" s="2" customFormat="1" hidden="1">
      <c r="A188" s="1038"/>
      <c r="B188" s="1109" t="s">
        <v>231</v>
      </c>
      <c r="C188" s="1106" t="s">
        <v>181</v>
      </c>
      <c r="D188" s="644"/>
      <c r="E188" s="180" t="s">
        <v>232</v>
      </c>
      <c r="F188" s="180"/>
      <c r="G188" s="180"/>
      <c r="H188" s="181" t="s">
        <v>160</v>
      </c>
      <c r="I188" s="114"/>
      <c r="J188" s="202">
        <f>J187+J186</f>
        <v>0</v>
      </c>
      <c r="K188" s="243"/>
      <c r="L188" s="243"/>
      <c r="M188" s="202">
        <f>M187+M186</f>
        <v>0</v>
      </c>
      <c r="N188" s="89"/>
      <c r="O188" s="168">
        <f>O187+O186</f>
        <v>0</v>
      </c>
      <c r="P188" s="168">
        <f>P187+P186</f>
        <v>0</v>
      </c>
      <c r="Q188" s="168">
        <f>Q187+Q186</f>
        <v>0</v>
      </c>
      <c r="R188" s="273"/>
      <c r="S188" s="273"/>
      <c r="T188" s="273"/>
      <c r="U188" s="273"/>
      <c r="V188" s="273"/>
      <c r="W188" s="168">
        <f>W187+W186</f>
        <v>0</v>
      </c>
      <c r="X188" s="113"/>
      <c r="Y188" s="202">
        <f>Y187+Y186</f>
        <v>0</v>
      </c>
      <c r="Z188" s="89"/>
      <c r="AA188" s="168">
        <f>AA187+AA186</f>
        <v>0</v>
      </c>
      <c r="AB188" s="168">
        <f>AB187+AB186</f>
        <v>0</v>
      </c>
      <c r="AC188" s="168">
        <f>AC187+AC186</f>
        <v>0</v>
      </c>
      <c r="AD188" s="273"/>
      <c r="AE188" s="273"/>
      <c r="AF188" s="273"/>
      <c r="AG188" s="273"/>
      <c r="AH188" s="273"/>
      <c r="AI188" s="168">
        <f>AI187+AI186</f>
        <v>0</v>
      </c>
      <c r="AJ188" s="113"/>
      <c r="AK188" s="202">
        <f>AK187+AK186</f>
        <v>0</v>
      </c>
      <c r="AL188" s="89"/>
      <c r="AM188" s="168">
        <f>AM187+AM186</f>
        <v>0</v>
      </c>
      <c r="AN188" s="168">
        <f>AN187+AN186</f>
        <v>0</v>
      </c>
      <c r="AO188" s="168">
        <f>AO187+AO186</f>
        <v>0</v>
      </c>
      <c r="AP188" s="273"/>
      <c r="AQ188" s="273"/>
      <c r="AR188" s="273"/>
      <c r="AS188" s="273"/>
      <c r="AT188" s="273"/>
      <c r="AU188" s="168">
        <f>AU187+AU186</f>
        <v>0</v>
      </c>
      <c r="AV188" s="113"/>
      <c r="AW188" s="202">
        <f>AW187+AW186</f>
        <v>0</v>
      </c>
      <c r="AX188" s="89"/>
      <c r="AY188" s="168">
        <f>AY187+AY186</f>
        <v>0</v>
      </c>
      <c r="AZ188" s="168">
        <f>AZ187+AZ186</f>
        <v>0</v>
      </c>
      <c r="BA188" s="168">
        <f>BA187+BA186</f>
        <v>0</v>
      </c>
      <c r="BB188" s="273"/>
      <c r="BC188" s="273"/>
      <c r="BD188" s="273"/>
      <c r="BE188" s="273"/>
      <c r="BF188" s="273"/>
      <c r="BG188" s="168">
        <f>BG187+BG186</f>
        <v>0</v>
      </c>
      <c r="BH188" s="210"/>
    </row>
    <row r="189" spans="1:60" s="2" customFormat="1">
      <c r="A189" s="1038"/>
      <c r="B189" s="1109" t="s">
        <v>231</v>
      </c>
      <c r="C189" s="1106" t="s">
        <v>96</v>
      </c>
      <c r="D189" s="644"/>
      <c r="E189" s="940" t="s">
        <v>1242</v>
      </c>
      <c r="F189" s="940"/>
      <c r="G189" s="940"/>
      <c r="H189" s="940"/>
      <c r="I189" s="77"/>
      <c r="J189" s="939"/>
      <c r="K189" s="126"/>
      <c r="L189" s="126"/>
      <c r="M189" s="938"/>
      <c r="N189" s="252"/>
      <c r="O189" s="177" t="str">
        <f t="shared" ref="O189:W189" si="155">O$10</f>
        <v>verwarming</v>
      </c>
      <c r="P189" s="177" t="str">
        <f t="shared" si="155"/>
        <v>koeling</v>
      </c>
      <c r="Q189" s="177" t="str">
        <f t="shared" si="155"/>
        <v>tapwater</v>
      </c>
      <c r="R189" s="177" t="str">
        <f t="shared" si="155"/>
        <v>verlichting</v>
      </c>
      <c r="S189" s="177" t="str">
        <f t="shared" si="155"/>
        <v>ventilatoren</v>
      </c>
      <c r="T189" s="177"/>
      <c r="U189" s="177" t="str">
        <f t="shared" si="155"/>
        <v>overig elektra</v>
      </c>
      <c r="V189" s="177" t="str">
        <f t="shared" si="155"/>
        <v>mobiliteit</v>
      </c>
      <c r="W189" s="177" t="str">
        <f t="shared" si="155"/>
        <v>zonnepanelen</v>
      </c>
      <c r="X189" s="253"/>
      <c r="Y189" s="938"/>
      <c r="Z189" s="252"/>
      <c r="AA189" s="177" t="str">
        <f t="shared" ref="AA189:AI189" si="156">AA$10</f>
        <v>verwarming</v>
      </c>
      <c r="AB189" s="177" t="str">
        <f t="shared" si="156"/>
        <v>koeling</v>
      </c>
      <c r="AC189" s="177" t="str">
        <f t="shared" si="156"/>
        <v>tapwater</v>
      </c>
      <c r="AD189" s="177" t="str">
        <f t="shared" si="156"/>
        <v>verlichting</v>
      </c>
      <c r="AE189" s="177" t="str">
        <f t="shared" si="156"/>
        <v>ventilatoren</v>
      </c>
      <c r="AF189" s="177"/>
      <c r="AG189" s="177" t="str">
        <f t="shared" si="156"/>
        <v>overig elektra</v>
      </c>
      <c r="AH189" s="177" t="str">
        <f t="shared" si="156"/>
        <v>mobiliteit</v>
      </c>
      <c r="AI189" s="177" t="str">
        <f t="shared" si="156"/>
        <v>zonnepanelen</v>
      </c>
      <c r="AJ189" s="253"/>
      <c r="AK189" s="938"/>
      <c r="AL189" s="252"/>
      <c r="AM189" s="177" t="str">
        <f t="shared" ref="AM189:AU189" si="157">AM$10</f>
        <v>verwarming</v>
      </c>
      <c r="AN189" s="177" t="str">
        <f t="shared" si="157"/>
        <v>koeling</v>
      </c>
      <c r="AO189" s="177" t="str">
        <f t="shared" si="157"/>
        <v>tapwater</v>
      </c>
      <c r="AP189" s="177" t="str">
        <f t="shared" si="157"/>
        <v>verlichting</v>
      </c>
      <c r="AQ189" s="177" t="str">
        <f t="shared" si="157"/>
        <v>ventilatoren</v>
      </c>
      <c r="AR189" s="177"/>
      <c r="AS189" s="177" t="str">
        <f t="shared" si="157"/>
        <v>overig elektra</v>
      </c>
      <c r="AT189" s="177" t="str">
        <f t="shared" si="157"/>
        <v>mobiliteit</v>
      </c>
      <c r="AU189" s="177" t="str">
        <f t="shared" si="157"/>
        <v>zonnepanelen</v>
      </c>
      <c r="AV189" s="253"/>
      <c r="AW189" s="938"/>
      <c r="AX189" s="252"/>
      <c r="AY189" s="177" t="str">
        <f t="shared" ref="AY189:BG189" si="158">AY$10</f>
        <v>verwarming</v>
      </c>
      <c r="AZ189" s="177" t="str">
        <f t="shared" si="158"/>
        <v>koeling</v>
      </c>
      <c r="BA189" s="177" t="str">
        <f t="shared" si="158"/>
        <v>tapwater</v>
      </c>
      <c r="BB189" s="177" t="str">
        <f t="shared" si="158"/>
        <v>verlichting</v>
      </c>
      <c r="BC189" s="177" t="str">
        <f t="shared" si="158"/>
        <v>ventilatoren</v>
      </c>
      <c r="BD189" s="177"/>
      <c r="BE189" s="177" t="str">
        <f t="shared" si="158"/>
        <v>overig elektra</v>
      </c>
      <c r="BF189" s="177" t="str">
        <f t="shared" si="158"/>
        <v>mobiliteit</v>
      </c>
      <c r="BG189" s="177" t="str">
        <f t="shared" si="158"/>
        <v>zonnepanelen</v>
      </c>
    </row>
    <row r="190" spans="1:60" s="2" customFormat="1" hidden="1">
      <c r="A190" s="1038"/>
      <c r="B190" s="1109" t="s">
        <v>231</v>
      </c>
      <c r="C190" s="1106" t="s">
        <v>181</v>
      </c>
      <c r="D190" s="644"/>
      <c r="E190" s="180" t="s">
        <v>1243</v>
      </c>
      <c r="F190" s="180"/>
      <c r="G190" s="180"/>
      <c r="H190" s="181" t="s">
        <v>202</v>
      </c>
      <c r="I190" s="114"/>
      <c r="J190" s="202">
        <f>M190+Y190+AK190+AW190</f>
        <v>0</v>
      </c>
      <c r="K190" s="243"/>
      <c r="L190" s="243"/>
      <c r="M190" s="249">
        <f>SUM(N190:X190)</f>
        <v>0</v>
      </c>
      <c r="N190" s="89"/>
      <c r="O190" s="251">
        <f t="shared" ref="O190:Q190" si="159">AND(O$84=gebouw,O$105=elektriciteit)*O$116+AND(O$84=gebouw,O$141=elektriciteit)*O$147+SUM(O$168:O$170)</f>
        <v>0</v>
      </c>
      <c r="P190" s="251">
        <f t="shared" si="159"/>
        <v>0</v>
      </c>
      <c r="Q190" s="251">
        <f t="shared" si="159"/>
        <v>0</v>
      </c>
      <c r="R190" s="251" cm="1">
        <f t="array" ref="R190">SUMPRODUCT((N$22:X$22)*(N$29:X$29)*(N$66:X$66))/1000-R191</f>
        <v>0</v>
      </c>
      <c r="S190" s="251">
        <f>SUM(S$168:S$170)</f>
        <v>0</v>
      </c>
      <c r="T190" s="273"/>
      <c r="U190" s="273"/>
      <c r="V190" s="273"/>
      <c r="W190" s="610"/>
      <c r="X190" s="118"/>
      <c r="Y190" s="249">
        <f>SUM(Z190:AJ190)</f>
        <v>0</v>
      </c>
      <c r="Z190" s="89"/>
      <c r="AA190" s="251">
        <f t="shared" ref="AA190:AC190" si="160">AND(AA$84=gebouw,AA$105=elektriciteit)*AA$116+AND(AA$84=gebouw,AA$141=elektriciteit)*AA$147+SUM(AA$168:AA$170)</f>
        <v>0</v>
      </c>
      <c r="AB190" s="251">
        <f t="shared" si="160"/>
        <v>0</v>
      </c>
      <c r="AC190" s="251">
        <f t="shared" si="160"/>
        <v>0</v>
      </c>
      <c r="AD190" s="251" cm="1">
        <f t="array" ref="AD190">SUMPRODUCT((Z$22:AJ$22)*(Z$29:AJ$29)*(Z$66:AJ$66))/1000-AD191</f>
        <v>0</v>
      </c>
      <c r="AE190" s="251">
        <f>SUM(AE$168:AE$170)</f>
        <v>0</v>
      </c>
      <c r="AF190" s="273"/>
      <c r="AG190" s="273"/>
      <c r="AH190" s="273"/>
      <c r="AI190" s="610"/>
      <c r="AJ190" s="118"/>
      <c r="AK190" s="249">
        <f>SUM(AL190:AV190)</f>
        <v>0</v>
      </c>
      <c r="AL190" s="89"/>
      <c r="AM190" s="251">
        <f t="shared" ref="AM190:AO190" si="161">AND(AM$84=gebouw,AM$105=elektriciteit)*AM$116+AND(AM$84=gebouw,AM$141=elektriciteit)*AM$147+SUM(AM$168:AM$170)</f>
        <v>0</v>
      </c>
      <c r="AN190" s="251">
        <f t="shared" si="161"/>
        <v>0</v>
      </c>
      <c r="AO190" s="251">
        <f t="shared" si="161"/>
        <v>0</v>
      </c>
      <c r="AP190" s="251" cm="1">
        <f t="array" ref="AP190">SUMPRODUCT((AL$22:AV$22)*(AL$29:AV$29)*(AL$66:AV$66))/1000-AP191</f>
        <v>0</v>
      </c>
      <c r="AQ190" s="251">
        <f>SUM(AQ$168:AQ$170)</f>
        <v>0</v>
      </c>
      <c r="AR190" s="273"/>
      <c r="AS190" s="273"/>
      <c r="AT190" s="273"/>
      <c r="AU190" s="610"/>
      <c r="AV190" s="118"/>
      <c r="AW190" s="249">
        <f>SUM(AX190:BH190)</f>
        <v>0</v>
      </c>
      <c r="AX190" s="89"/>
      <c r="AY190" s="251">
        <f t="shared" ref="AY190:BA190" si="162">AND(AY$84=gebouw,AY$105=elektriciteit)*AY$116+AND(AY$84=gebouw,AY$141=elektriciteit)*AY$147+SUM(AY$168:AY$170)</f>
        <v>0</v>
      </c>
      <c r="AZ190" s="251">
        <f t="shared" si="162"/>
        <v>0</v>
      </c>
      <c r="BA190" s="251">
        <f t="shared" si="162"/>
        <v>0</v>
      </c>
      <c r="BB190" s="251" cm="1">
        <f t="array" ref="BB190">SUMPRODUCT((AX$22:BH$22)*(AX$29:BH$29)*(AX$66:BH$66))/1000-BB191</f>
        <v>0</v>
      </c>
      <c r="BC190" s="251">
        <f>SUM(BC$168:BC$170)</f>
        <v>0</v>
      </c>
      <c r="BD190" s="251"/>
      <c r="BE190" s="273"/>
      <c r="BF190" s="273"/>
      <c r="BG190" s="610"/>
      <c r="BH190" s="222"/>
    </row>
    <row r="191" spans="1:60" s="2" customFormat="1" hidden="1">
      <c r="A191" s="1038"/>
      <c r="B191" s="1109" t="s">
        <v>231</v>
      </c>
      <c r="C191" s="1106" t="s">
        <v>181</v>
      </c>
      <c r="D191" s="644"/>
      <c r="E191" s="180" t="s">
        <v>1244</v>
      </c>
      <c r="F191" s="180"/>
      <c r="G191" s="180"/>
      <c r="H191" s="181" t="s">
        <v>202</v>
      </c>
      <c r="I191" s="114"/>
      <c r="J191" s="202">
        <f>M191+Y191+AK191+AW191</f>
        <v>0</v>
      </c>
      <c r="K191" s="243"/>
      <c r="L191" s="243"/>
      <c r="M191" s="249">
        <f>SUM(N191:X191)</f>
        <v>0</v>
      </c>
      <c r="N191" s="89"/>
      <c r="O191" s="273"/>
      <c r="P191" s="273"/>
      <c r="Q191" s="273"/>
      <c r="R191" s="251" cm="1">
        <f t="array" ref="R191">SUMPRODUCT((N$22:X$22)*(N$29:X$29)*(N$66:X$66)*(N$19:X$19=woning))/1000+SUMPRODUCT((N$22:X$22)*(N$29:X$29)*(N$66:X$66)*(N$19:X$19=woongebouw))/1000</f>
        <v>0</v>
      </c>
      <c r="S191" s="273"/>
      <c r="T191" s="273"/>
      <c r="U191" s="251">
        <f t="shared" ref="U191:V192" si="163">SUM(U$168:U$170)</f>
        <v>0</v>
      </c>
      <c r="V191" s="273"/>
      <c r="W191" s="610"/>
      <c r="X191" s="118"/>
      <c r="Y191" s="249">
        <f>SUM(Z191:AJ191)</f>
        <v>0</v>
      </c>
      <c r="Z191" s="89"/>
      <c r="AA191" s="273"/>
      <c r="AB191" s="273"/>
      <c r="AC191" s="273"/>
      <c r="AD191" s="251" cm="1">
        <f t="array" ref="AD191">SUMPRODUCT((Z$22:AJ$22)*(Z$29:AJ$29)*(Z$66:AJ$66)*(Z$19:AJ$19=woning))/1000+SUMPRODUCT((Z$22:AJ$22)*(Z$29:AJ$29)*(Z$66:AJ$66)*(Z$19:AJ$19=woongebouw))/1000</f>
        <v>0</v>
      </c>
      <c r="AE191" s="273"/>
      <c r="AF191" s="273"/>
      <c r="AG191" s="251">
        <f t="shared" ref="AG191:AH192" si="164">SUM(AG$168:AG$170)</f>
        <v>0</v>
      </c>
      <c r="AH191" s="273"/>
      <c r="AI191" s="610"/>
      <c r="AJ191" s="118"/>
      <c r="AK191" s="249">
        <f>SUM(AL191:AV191)</f>
        <v>0</v>
      </c>
      <c r="AL191" s="89"/>
      <c r="AM191" s="273"/>
      <c r="AN191" s="273"/>
      <c r="AO191" s="273"/>
      <c r="AP191" s="251" cm="1">
        <f t="array" ref="AP191">SUMPRODUCT((AL$22:AV$22)*(AL$29:AV$29)*(AL$66:AV$66)*(AL$19:AV$19=woning))/1000+SUMPRODUCT((AL$22:AV$22)*(AL$29:AV$29)*(AL$66:AV$66)*(AL$19:AV$19=woongebouw))/1000</f>
        <v>0</v>
      </c>
      <c r="AQ191" s="273"/>
      <c r="AR191" s="273"/>
      <c r="AS191" s="251">
        <f t="shared" ref="AS191:AT192" si="165">SUM(AS$168:AS$170)</f>
        <v>0</v>
      </c>
      <c r="AT191" s="273"/>
      <c r="AU191" s="610"/>
      <c r="AV191" s="118"/>
      <c r="AW191" s="249">
        <f>SUM(AX191:BH191)</f>
        <v>0</v>
      </c>
      <c r="AX191" s="89"/>
      <c r="AY191" s="273"/>
      <c r="AZ191" s="273"/>
      <c r="BA191" s="273"/>
      <c r="BB191" s="251" cm="1">
        <f t="array" ref="BB191">SUMPRODUCT((AX$22:BH$22)*(AX$29:BH$29)*(AX$66:BH$66)*(AX$19:BH$19=woning))/1000+SUMPRODUCT((AX$22:BH$22)*(AX$29:BH$29)*(AX$66:BH$66)*(AX$19:BH$19=woongebouw))/1000</f>
        <v>0</v>
      </c>
      <c r="BC191" s="273"/>
      <c r="BD191" s="251"/>
      <c r="BE191" s="251">
        <f t="shared" ref="BE191:BF192" si="166">SUM(BE$168:BE$170)</f>
        <v>0</v>
      </c>
      <c r="BF191" s="273"/>
      <c r="BG191" s="610"/>
      <c r="BH191" s="222"/>
    </row>
    <row r="192" spans="1:60" s="2" customFormat="1" hidden="1">
      <c r="A192" s="1038"/>
      <c r="B192" s="1109" t="s">
        <v>231</v>
      </c>
      <c r="C192" s="1106" t="s">
        <v>181</v>
      </c>
      <c r="D192" s="644"/>
      <c r="E192" s="180" t="s">
        <v>1236</v>
      </c>
      <c r="F192" s="180"/>
      <c r="G192" s="180"/>
      <c r="H192" s="181" t="s">
        <v>202</v>
      </c>
      <c r="I192" s="114"/>
      <c r="J192" s="202">
        <f>M192+Y192+AK192+AW192</f>
        <v>0</v>
      </c>
      <c r="K192" s="243"/>
      <c r="L192" s="243"/>
      <c r="M192" s="249">
        <f>SUM(N192:X192)</f>
        <v>0</v>
      </c>
      <c r="N192" s="89"/>
      <c r="O192" s="273"/>
      <c r="P192" s="273"/>
      <c r="Q192" s="273"/>
      <c r="R192" s="273"/>
      <c r="S192" s="273"/>
      <c r="T192" s="273"/>
      <c r="U192" s="273"/>
      <c r="V192" s="251">
        <f t="shared" si="163"/>
        <v>0</v>
      </c>
      <c r="W192" s="610"/>
      <c r="X192" s="118"/>
      <c r="Y192" s="249">
        <f>SUM(Z192:AJ192)</f>
        <v>0</v>
      </c>
      <c r="Z192" s="89"/>
      <c r="AA192" s="273"/>
      <c r="AB192" s="273"/>
      <c r="AC192" s="273"/>
      <c r="AD192" s="273"/>
      <c r="AE192" s="273"/>
      <c r="AF192" s="273"/>
      <c r="AG192" s="273"/>
      <c r="AH192" s="251">
        <f t="shared" si="164"/>
        <v>0</v>
      </c>
      <c r="AI192" s="610"/>
      <c r="AJ192" s="118"/>
      <c r="AK192" s="249">
        <f>SUM(AL192:AV192)</f>
        <v>0</v>
      </c>
      <c r="AL192" s="89"/>
      <c r="AM192" s="273"/>
      <c r="AN192" s="273"/>
      <c r="AO192" s="273"/>
      <c r="AP192" s="273"/>
      <c r="AQ192" s="273"/>
      <c r="AR192" s="273"/>
      <c r="AS192" s="273"/>
      <c r="AT192" s="251">
        <f t="shared" si="165"/>
        <v>0</v>
      </c>
      <c r="AU192" s="610"/>
      <c r="AV192" s="118"/>
      <c r="AW192" s="249">
        <f>SUM(AX192:BH192)</f>
        <v>0</v>
      </c>
      <c r="AX192" s="89"/>
      <c r="AY192" s="273"/>
      <c r="AZ192" s="273"/>
      <c r="BA192" s="273"/>
      <c r="BB192" s="273"/>
      <c r="BC192" s="273"/>
      <c r="BD192" s="251"/>
      <c r="BE192" s="273"/>
      <c r="BF192" s="251">
        <f t="shared" si="166"/>
        <v>0</v>
      </c>
      <c r="BG192" s="610"/>
      <c r="BH192" s="222"/>
    </row>
    <row r="193" spans="1:60" s="2" customFormat="1">
      <c r="A193" s="1038"/>
      <c r="B193" s="1109" t="s">
        <v>231</v>
      </c>
      <c r="C193" s="1106" t="s">
        <v>96</v>
      </c>
      <c r="D193" s="644"/>
      <c r="E193" s="940" t="s">
        <v>1268</v>
      </c>
      <c r="F193" s="940"/>
      <c r="G193" s="940"/>
      <c r="H193" s="940"/>
      <c r="I193" s="77"/>
      <c r="J193" s="939"/>
      <c r="K193" s="126"/>
      <c r="L193" s="126"/>
      <c r="M193" s="938"/>
      <c r="N193" s="252"/>
      <c r="O193" s="177" t="str">
        <f t="shared" ref="O193:W193" si="167">O$10</f>
        <v>verwarming</v>
      </c>
      <c r="P193" s="177" t="str">
        <f t="shared" si="167"/>
        <v>koeling</v>
      </c>
      <c r="Q193" s="177" t="str">
        <f t="shared" si="167"/>
        <v>tapwater</v>
      </c>
      <c r="R193" s="177" t="str">
        <f t="shared" si="167"/>
        <v>verlichting</v>
      </c>
      <c r="S193" s="177" t="str">
        <f t="shared" si="167"/>
        <v>ventilatoren</v>
      </c>
      <c r="T193" s="177"/>
      <c r="U193" s="177" t="str">
        <f t="shared" si="167"/>
        <v>overig elektra</v>
      </c>
      <c r="V193" s="177" t="str">
        <f t="shared" si="167"/>
        <v>mobiliteit</v>
      </c>
      <c r="W193" s="177" t="str">
        <f t="shared" si="167"/>
        <v>zonnepanelen</v>
      </c>
      <c r="X193" s="253"/>
      <c r="Y193" s="938"/>
      <c r="Z193" s="252"/>
      <c r="AA193" s="177" t="str">
        <f t="shared" ref="AA193:AI193" si="168">AA$10</f>
        <v>verwarming</v>
      </c>
      <c r="AB193" s="177" t="str">
        <f t="shared" si="168"/>
        <v>koeling</v>
      </c>
      <c r="AC193" s="177" t="str">
        <f t="shared" si="168"/>
        <v>tapwater</v>
      </c>
      <c r="AD193" s="177" t="str">
        <f t="shared" si="168"/>
        <v>verlichting</v>
      </c>
      <c r="AE193" s="177" t="str">
        <f t="shared" si="168"/>
        <v>ventilatoren</v>
      </c>
      <c r="AF193" s="177"/>
      <c r="AG193" s="177" t="str">
        <f t="shared" si="168"/>
        <v>overig elektra</v>
      </c>
      <c r="AH193" s="177" t="str">
        <f t="shared" si="168"/>
        <v>mobiliteit</v>
      </c>
      <c r="AI193" s="177" t="str">
        <f t="shared" si="168"/>
        <v>zonnepanelen</v>
      </c>
      <c r="AJ193" s="253"/>
      <c r="AK193" s="938"/>
      <c r="AL193" s="252"/>
      <c r="AM193" s="177" t="str">
        <f t="shared" ref="AM193:AU193" si="169">AM$10</f>
        <v>verwarming</v>
      </c>
      <c r="AN193" s="177" t="str">
        <f t="shared" si="169"/>
        <v>koeling</v>
      </c>
      <c r="AO193" s="177" t="str">
        <f t="shared" si="169"/>
        <v>tapwater</v>
      </c>
      <c r="AP193" s="177" t="str">
        <f t="shared" si="169"/>
        <v>verlichting</v>
      </c>
      <c r="AQ193" s="177" t="str">
        <f t="shared" si="169"/>
        <v>ventilatoren</v>
      </c>
      <c r="AR193" s="177"/>
      <c r="AS193" s="177" t="str">
        <f t="shared" si="169"/>
        <v>overig elektra</v>
      </c>
      <c r="AT193" s="177" t="str">
        <f t="shared" si="169"/>
        <v>mobiliteit</v>
      </c>
      <c r="AU193" s="177" t="str">
        <f t="shared" si="169"/>
        <v>zonnepanelen</v>
      </c>
      <c r="AV193" s="253"/>
      <c r="AW193" s="938"/>
      <c r="AX193" s="252"/>
      <c r="AY193" s="177" t="str">
        <f t="shared" ref="AY193:BG193" si="170">AY$10</f>
        <v>verwarming</v>
      </c>
      <c r="AZ193" s="177" t="str">
        <f t="shared" si="170"/>
        <v>koeling</v>
      </c>
      <c r="BA193" s="177" t="str">
        <f t="shared" si="170"/>
        <v>tapwater</v>
      </c>
      <c r="BB193" s="177" t="str">
        <f t="shared" si="170"/>
        <v>verlichting</v>
      </c>
      <c r="BC193" s="177" t="str">
        <f t="shared" si="170"/>
        <v>ventilatoren</v>
      </c>
      <c r="BD193" s="177"/>
      <c r="BE193" s="177" t="str">
        <f t="shared" si="170"/>
        <v>overig elektra</v>
      </c>
      <c r="BF193" s="177" t="str">
        <f t="shared" si="170"/>
        <v>mobiliteit</v>
      </c>
      <c r="BG193" s="177" t="str">
        <f t="shared" si="170"/>
        <v>zonnepanelen</v>
      </c>
    </row>
    <row r="194" spans="1:60" s="2" customFormat="1" hidden="1">
      <c r="A194" s="1038"/>
      <c r="B194" s="1109" t="s">
        <v>231</v>
      </c>
      <c r="C194" s="1106" t="s">
        <v>181</v>
      </c>
      <c r="D194" s="644"/>
      <c r="E194" s="1123" t="s">
        <v>1269</v>
      </c>
      <c r="F194" s="180"/>
      <c r="G194" s="180"/>
      <c r="H194" s="181" t="s">
        <v>1270</v>
      </c>
      <c r="I194" s="114"/>
      <c r="J194" s="190">
        <f>M194+Y194+AK194+AW194</f>
        <v>0</v>
      </c>
      <c r="K194" s="243"/>
      <c r="L194" s="243"/>
      <c r="M194" s="1164">
        <f>SUMIF(N$19:X$19,woning,N$30:X$30)+SUMIF(N$19:X$19,woongebouw,N$30:X$30)</f>
        <v>0</v>
      </c>
      <c r="N194" s="89"/>
      <c r="O194" s="610"/>
      <c r="P194" s="610"/>
      <c r="Q194" s="610"/>
      <c r="R194" s="610"/>
      <c r="S194" s="610"/>
      <c r="T194" s="610"/>
      <c r="U194" s="610"/>
      <c r="V194" s="610"/>
      <c r="W194" s="610"/>
      <c r="X194" s="118"/>
      <c r="Y194" s="1164">
        <f>SUMIF(Z$19:AJ$19,woning,Z$30:AJ$30)+SUMIF(Z$19:AJ$19,woongebouw,Z$30:AJ$30)</f>
        <v>0</v>
      </c>
      <c r="Z194" s="89"/>
      <c r="AA194" s="610"/>
      <c r="AB194" s="610"/>
      <c r="AC194" s="610"/>
      <c r="AD194" s="610"/>
      <c r="AE194" s="610"/>
      <c r="AF194" s="610"/>
      <c r="AG194" s="610"/>
      <c r="AH194" s="610"/>
      <c r="AI194" s="610"/>
      <c r="AJ194" s="118"/>
      <c r="AK194" s="1164">
        <f>SUMIF(AL$19:AV$19,woning,AL$30:AV$30)+SUMIF(AL$19:AV$19,woongebouw,AL$30:AV$30)</f>
        <v>0</v>
      </c>
      <c r="AL194" s="89"/>
      <c r="AM194" s="610"/>
      <c r="AN194" s="610"/>
      <c r="AO194" s="610"/>
      <c r="AP194" s="610"/>
      <c r="AQ194" s="610"/>
      <c r="AR194" s="610"/>
      <c r="AS194" s="610"/>
      <c r="AT194" s="610"/>
      <c r="AU194" s="610"/>
      <c r="AV194" s="118"/>
      <c r="AW194" s="1164">
        <f>SUMIF(AX$19:BH$19,woning,AX$30:BH$30)+SUMIF(AX$19:BH$19,woongebouw,AX$30:BH$30)</f>
        <v>0</v>
      </c>
      <c r="AX194" s="89"/>
      <c r="AY194" s="610"/>
      <c r="AZ194" s="610"/>
      <c r="BA194" s="610"/>
      <c r="BB194" s="610"/>
      <c r="BC194" s="610"/>
      <c r="BD194" s="610"/>
      <c r="BE194" s="610"/>
      <c r="BF194" s="610"/>
      <c r="BG194" s="610"/>
      <c r="BH194" s="222"/>
    </row>
    <row r="195" spans="1:60" s="2" customFormat="1" hidden="1">
      <c r="A195" s="1038"/>
      <c r="B195" s="1109" t="s">
        <v>231</v>
      </c>
      <c r="C195" s="1106" t="s">
        <v>181</v>
      </c>
      <c r="D195" s="644"/>
      <c r="E195" s="1123" t="s">
        <v>1271</v>
      </c>
      <c r="F195" s="180"/>
      <c r="G195" s="180"/>
      <c r="H195" s="181" t="s">
        <v>1270</v>
      </c>
      <c r="I195" s="114"/>
      <c r="J195" s="190">
        <f>M195+Y195+AK195+AW195</f>
        <v>0</v>
      </c>
      <c r="K195" s="243"/>
      <c r="L195" s="243"/>
      <c r="M195" s="1164" cm="1">
        <f t="array" ref="M195">SUMIF(N$19:X$19,onderwijs,N$30:X$30)</f>
        <v>0</v>
      </c>
      <c r="N195" s="89"/>
      <c r="O195" s="610"/>
      <c r="P195" s="610"/>
      <c r="Q195" s="610"/>
      <c r="R195" s="610"/>
      <c r="S195" s="610"/>
      <c r="T195" s="610"/>
      <c r="U195" s="610"/>
      <c r="V195" s="610"/>
      <c r="W195" s="610"/>
      <c r="X195" s="118"/>
      <c r="Y195" s="1164" cm="1">
        <f t="array" ref="Y195">SUMIF(Z$19:AJ$19,onderwijs,Z$30:AJ$30)</f>
        <v>0</v>
      </c>
      <c r="Z195" s="89"/>
      <c r="AA195" s="610"/>
      <c r="AB195" s="610"/>
      <c r="AC195" s="610"/>
      <c r="AD195" s="610"/>
      <c r="AE195" s="610"/>
      <c r="AF195" s="610"/>
      <c r="AG195" s="610"/>
      <c r="AH195" s="610"/>
      <c r="AI195" s="610"/>
      <c r="AJ195" s="118"/>
      <c r="AK195" s="1164" cm="1">
        <f t="array" ref="AK195">SUMIF(AL$19:AV$19,onderwijs,AL$30:AV$30)</f>
        <v>0</v>
      </c>
      <c r="AL195" s="89"/>
      <c r="AM195" s="610"/>
      <c r="AN195" s="610"/>
      <c r="AO195" s="610"/>
      <c r="AP195" s="610"/>
      <c r="AQ195" s="610"/>
      <c r="AR195" s="610"/>
      <c r="AS195" s="610"/>
      <c r="AT195" s="610"/>
      <c r="AU195" s="610"/>
      <c r="AV195" s="118"/>
      <c r="AW195" s="1164" cm="1">
        <f t="array" ref="AW195">SUMIF(AX$19:BH$19,onderwijs,AX$30:BH$30)</f>
        <v>0</v>
      </c>
      <c r="AX195" s="89"/>
      <c r="AY195" s="610"/>
      <c r="AZ195" s="610"/>
      <c r="BA195" s="610"/>
      <c r="BB195" s="610"/>
      <c r="BC195" s="610"/>
      <c r="BD195" s="610"/>
      <c r="BE195" s="610"/>
      <c r="BF195" s="610"/>
      <c r="BG195" s="610"/>
      <c r="BH195" s="222"/>
    </row>
    <row r="196" spans="1:60" s="2" customFormat="1" hidden="1">
      <c r="A196" s="1038"/>
      <c r="B196" s="1109" t="s">
        <v>231</v>
      </c>
      <c r="C196" s="1106" t="s">
        <v>181</v>
      </c>
      <c r="D196" s="644"/>
      <c r="E196" s="1123" t="s">
        <v>1272</v>
      </c>
      <c r="F196" s="180"/>
      <c r="G196" s="180"/>
      <c r="H196" s="181" t="s">
        <v>1270</v>
      </c>
      <c r="I196" s="114"/>
      <c r="J196" s="190">
        <f>M196+Y196+AK196+AW196</f>
        <v>0</v>
      </c>
      <c r="K196" s="243"/>
      <c r="L196" s="243"/>
      <c r="M196" s="1164">
        <f>M29-M194-M195</f>
        <v>0</v>
      </c>
      <c r="N196" s="89"/>
      <c r="O196" s="610"/>
      <c r="P196" s="610"/>
      <c r="Q196" s="610"/>
      <c r="R196" s="610"/>
      <c r="S196" s="610"/>
      <c r="T196" s="610"/>
      <c r="U196" s="610"/>
      <c r="V196" s="610"/>
      <c r="W196" s="610"/>
      <c r="X196" s="118"/>
      <c r="Y196" s="1164">
        <f>Y29-Y194-Y195</f>
        <v>0</v>
      </c>
      <c r="Z196" s="89"/>
      <c r="AA196" s="610"/>
      <c r="AB196" s="610"/>
      <c r="AC196" s="610"/>
      <c r="AD196" s="610"/>
      <c r="AE196" s="610"/>
      <c r="AF196" s="610"/>
      <c r="AG196" s="610"/>
      <c r="AH196" s="610"/>
      <c r="AI196" s="610"/>
      <c r="AJ196" s="118"/>
      <c r="AK196" s="1164">
        <f>AK29-AK194-AK195</f>
        <v>0</v>
      </c>
      <c r="AL196" s="89"/>
      <c r="AM196" s="610"/>
      <c r="AN196" s="610"/>
      <c r="AO196" s="610"/>
      <c r="AP196" s="610"/>
      <c r="AQ196" s="610"/>
      <c r="AR196" s="610"/>
      <c r="AS196" s="610"/>
      <c r="AT196" s="610"/>
      <c r="AU196" s="610"/>
      <c r="AV196" s="118"/>
      <c r="AW196" s="1164">
        <f>AW29-AW194-AW195</f>
        <v>0</v>
      </c>
      <c r="AX196" s="89"/>
      <c r="AY196" s="610"/>
      <c r="AZ196" s="610"/>
      <c r="BA196" s="610"/>
      <c r="BB196" s="610"/>
      <c r="BC196" s="610"/>
      <c r="BD196" s="610"/>
      <c r="BE196" s="610"/>
      <c r="BF196" s="610"/>
      <c r="BG196" s="610"/>
      <c r="BH196" s="222"/>
    </row>
    <row r="197" spans="1:60" s="2" customFormat="1" hidden="1">
      <c r="A197" s="1079"/>
      <c r="B197" s="1112" t="s">
        <v>231</v>
      </c>
      <c r="C197" s="990" t="s">
        <v>181</v>
      </c>
      <c r="D197" s="644"/>
      <c r="E197" s="1123" t="s">
        <v>1309</v>
      </c>
      <c r="F197" s="180"/>
      <c r="G197" s="180"/>
      <c r="H197" s="181" t="s">
        <v>1270</v>
      </c>
      <c r="I197" s="1080"/>
      <c r="J197" s="190"/>
      <c r="K197" s="1081"/>
      <c r="L197" s="1081"/>
      <c r="M197" s="250" t="e">
        <f>((fdu_el_ren_woning*M$194+fdu_el_ren_onderwijs*M$195+fdu_el_ren_utiliteit_overig*M$196)/SUM(M$194:M$196))</f>
        <v>#DIV/0!</v>
      </c>
      <c r="N197" s="1082"/>
      <c r="O197" s="610"/>
      <c r="P197" s="610"/>
      <c r="Q197" s="610"/>
      <c r="R197" s="610"/>
      <c r="S197" s="610"/>
      <c r="T197" s="610"/>
      <c r="U197" s="610"/>
      <c r="V197" s="610"/>
      <c r="W197" s="610"/>
      <c r="X197" s="1083"/>
      <c r="Y197" s="250" t="e">
        <f>((fdu_el_ren_woning*Y$194+fdu_el_ren_onderwijs*Y$195+fdu_el_ren_utiliteit_overig*Y$196)/SUM(Y$194:Y$196))</f>
        <v>#DIV/0!</v>
      </c>
      <c r="Z197" s="1082"/>
      <c r="AA197" s="610"/>
      <c r="AB197" s="610"/>
      <c r="AC197" s="610"/>
      <c r="AD197" s="610"/>
      <c r="AE197" s="610"/>
      <c r="AF197" s="610"/>
      <c r="AG197" s="610"/>
      <c r="AH197" s="610"/>
      <c r="AI197" s="610"/>
      <c r="AJ197" s="1083"/>
      <c r="AK197" s="250" t="e">
        <f>((fdu_el_ren_woning*AK$194+fdu_el_ren_onderwijs*AK$195+fdu_el_ren_utiliteit_overig*AK$196)/SUM(AK$194:AK$196))</f>
        <v>#DIV/0!</v>
      </c>
      <c r="AL197" s="1082"/>
      <c r="AM197" s="610"/>
      <c r="AN197" s="610"/>
      <c r="AO197" s="610"/>
      <c r="AP197" s="610"/>
      <c r="AQ197" s="610"/>
      <c r="AR197" s="610"/>
      <c r="AS197" s="610"/>
      <c r="AT197" s="610"/>
      <c r="AU197" s="610"/>
      <c r="AV197" s="1083"/>
      <c r="AW197" s="250" t="e">
        <f>((fdu_el_ren_woning*AW$194+fdu_el_ren_onderwijs*AW$195+fdu_el_ren_utiliteit_overig*AW$196)/SUM(AW$194:AW$196))</f>
        <v>#DIV/0!</v>
      </c>
      <c r="AX197" s="1082"/>
      <c r="AY197" s="610"/>
      <c r="AZ197" s="610"/>
      <c r="BA197" s="610"/>
      <c r="BB197" s="610"/>
      <c r="BC197" s="610"/>
      <c r="BD197" s="610"/>
      <c r="BE197" s="610"/>
      <c r="BF197" s="610"/>
      <c r="BG197" s="610"/>
      <c r="BH197" s="222"/>
    </row>
    <row r="198" spans="1:60" s="2" customFormat="1" hidden="1">
      <c r="A198" s="1038"/>
      <c r="B198" s="1109" t="s">
        <v>231</v>
      </c>
      <c r="C198" s="1106" t="s">
        <v>181</v>
      </c>
      <c r="D198" s="644"/>
      <c r="E198" s="1123" t="s">
        <v>1310</v>
      </c>
      <c r="F198" s="180"/>
      <c r="G198" s="180"/>
      <c r="H198" s="181" t="s">
        <v>65</v>
      </c>
      <c r="I198" s="114"/>
      <c r="J198" s="190"/>
      <c r="K198" s="243"/>
      <c r="L198" s="243"/>
      <c r="M198" s="190">
        <f>IF(M$50="ja",1,0)</f>
        <v>0</v>
      </c>
      <c r="N198" s="119"/>
      <c r="O198" s="1078"/>
      <c r="P198" s="1078"/>
      <c r="Q198" s="1078"/>
      <c r="R198" s="1078"/>
      <c r="S198" s="1078"/>
      <c r="T198" s="1078"/>
      <c r="U198" s="1078"/>
      <c r="V198" s="1078"/>
      <c r="W198" s="1078"/>
      <c r="X198" s="109"/>
      <c r="Y198" s="190">
        <f>IF(Y$50="ja",1,0)</f>
        <v>0</v>
      </c>
      <c r="Z198" s="119"/>
      <c r="AA198" s="1078"/>
      <c r="AB198" s="1078"/>
      <c r="AC198" s="1078"/>
      <c r="AD198" s="1078"/>
      <c r="AE198" s="1078"/>
      <c r="AF198" s="1078"/>
      <c r="AG198" s="1078"/>
      <c r="AH198" s="1078"/>
      <c r="AI198" s="1078"/>
      <c r="AJ198" s="109"/>
      <c r="AK198" s="190">
        <f>IF(AK$50="ja",1,0)</f>
        <v>0</v>
      </c>
      <c r="AL198" s="119"/>
      <c r="AM198" s="1078"/>
      <c r="AN198" s="1078"/>
      <c r="AO198" s="1078"/>
      <c r="AP198" s="1078"/>
      <c r="AQ198" s="1078"/>
      <c r="AR198" s="1078"/>
      <c r="AS198" s="1078"/>
      <c r="AT198" s="1078"/>
      <c r="AU198" s="1078"/>
      <c r="AV198" s="109"/>
      <c r="AW198" s="190">
        <f>IF(AW$50="ja",1,0)</f>
        <v>0</v>
      </c>
      <c r="AX198" s="89"/>
      <c r="AY198" s="610"/>
      <c r="AZ198" s="610"/>
      <c r="BA198" s="610"/>
      <c r="BB198" s="610"/>
      <c r="BC198" s="610"/>
      <c r="BD198" s="610"/>
      <c r="BE198" s="610"/>
      <c r="BF198" s="610"/>
      <c r="BG198" s="610"/>
      <c r="BH198" s="222"/>
    </row>
    <row r="199" spans="1:60" s="2" customFormat="1">
      <c r="A199" s="1038"/>
      <c r="B199" s="1109" t="s">
        <v>231</v>
      </c>
      <c r="C199" s="1106" t="s">
        <v>96</v>
      </c>
      <c r="D199" s="644"/>
      <c r="E199" s="940" t="s">
        <v>1343</v>
      </c>
      <c r="F199" s="940"/>
      <c r="G199" s="940"/>
      <c r="H199" s="940"/>
      <c r="I199" s="77"/>
      <c r="J199" s="939"/>
      <c r="K199" s="126"/>
      <c r="L199" s="126"/>
      <c r="M199" s="938"/>
      <c r="N199" s="252"/>
      <c r="O199" s="177" t="str">
        <f t="shared" ref="O199:W199" si="171">O$10</f>
        <v>verwarming</v>
      </c>
      <c r="P199" s="177" t="str">
        <f t="shared" si="171"/>
        <v>koeling</v>
      </c>
      <c r="Q199" s="177" t="str">
        <f t="shared" si="171"/>
        <v>tapwater</v>
      </c>
      <c r="R199" s="177" t="str">
        <f t="shared" si="171"/>
        <v>verlichting</v>
      </c>
      <c r="S199" s="177" t="str">
        <f t="shared" si="171"/>
        <v>ventilatoren</v>
      </c>
      <c r="T199" s="177"/>
      <c r="U199" s="177" t="str">
        <f t="shared" si="171"/>
        <v>overig elektra</v>
      </c>
      <c r="V199" s="177" t="str">
        <f t="shared" si="171"/>
        <v>mobiliteit</v>
      </c>
      <c r="W199" s="177" t="str">
        <f t="shared" si="171"/>
        <v>zonnepanelen</v>
      </c>
      <c r="X199" s="253"/>
      <c r="Y199" s="938"/>
      <c r="Z199" s="252"/>
      <c r="AA199" s="177" t="str">
        <f t="shared" ref="AA199:AI199" si="172">AA$10</f>
        <v>verwarming</v>
      </c>
      <c r="AB199" s="177" t="str">
        <f t="shared" si="172"/>
        <v>koeling</v>
      </c>
      <c r="AC199" s="177" t="str">
        <f t="shared" si="172"/>
        <v>tapwater</v>
      </c>
      <c r="AD199" s="177" t="str">
        <f t="shared" si="172"/>
        <v>verlichting</v>
      </c>
      <c r="AE199" s="177" t="str">
        <f t="shared" si="172"/>
        <v>ventilatoren</v>
      </c>
      <c r="AF199" s="177"/>
      <c r="AG199" s="177" t="str">
        <f t="shared" si="172"/>
        <v>overig elektra</v>
      </c>
      <c r="AH199" s="177" t="str">
        <f t="shared" si="172"/>
        <v>mobiliteit</v>
      </c>
      <c r="AI199" s="177" t="str">
        <f t="shared" si="172"/>
        <v>zonnepanelen</v>
      </c>
      <c r="AJ199" s="253"/>
      <c r="AK199" s="938"/>
      <c r="AL199" s="252"/>
      <c r="AM199" s="177" t="str">
        <f t="shared" ref="AM199:AU199" si="173">AM$10</f>
        <v>verwarming</v>
      </c>
      <c r="AN199" s="177" t="str">
        <f t="shared" si="173"/>
        <v>koeling</v>
      </c>
      <c r="AO199" s="177" t="str">
        <f t="shared" si="173"/>
        <v>tapwater</v>
      </c>
      <c r="AP199" s="177" t="str">
        <f t="shared" si="173"/>
        <v>verlichting</v>
      </c>
      <c r="AQ199" s="177" t="str">
        <f t="shared" si="173"/>
        <v>ventilatoren</v>
      </c>
      <c r="AR199" s="177"/>
      <c r="AS199" s="177" t="str">
        <f t="shared" si="173"/>
        <v>overig elektra</v>
      </c>
      <c r="AT199" s="177" t="str">
        <f t="shared" si="173"/>
        <v>mobiliteit</v>
      </c>
      <c r="AU199" s="177" t="str">
        <f t="shared" si="173"/>
        <v>zonnepanelen</v>
      </c>
      <c r="AV199" s="253"/>
      <c r="AW199" s="938"/>
      <c r="AX199" s="252"/>
      <c r="AY199" s="177" t="str">
        <f t="shared" ref="AY199:BG199" si="174">AY$10</f>
        <v>verwarming</v>
      </c>
      <c r="AZ199" s="177" t="str">
        <f t="shared" si="174"/>
        <v>koeling</v>
      </c>
      <c r="BA199" s="177" t="str">
        <f t="shared" si="174"/>
        <v>tapwater</v>
      </c>
      <c r="BB199" s="177" t="str">
        <f t="shared" si="174"/>
        <v>verlichting</v>
      </c>
      <c r="BC199" s="177" t="str">
        <f t="shared" si="174"/>
        <v>ventilatoren</v>
      </c>
      <c r="BD199" s="177"/>
      <c r="BE199" s="177" t="str">
        <f t="shared" si="174"/>
        <v>overig elektra</v>
      </c>
      <c r="BF199" s="177" t="str">
        <f t="shared" si="174"/>
        <v>mobiliteit</v>
      </c>
      <c r="BG199" s="177" t="str">
        <f t="shared" si="174"/>
        <v>zonnepanelen</v>
      </c>
    </row>
    <row r="200" spans="1:60" s="2" customFormat="1" hidden="1">
      <c r="A200" s="1038"/>
      <c r="B200" s="1109" t="s">
        <v>231</v>
      </c>
      <c r="C200" s="1106" t="s">
        <v>181</v>
      </c>
      <c r="D200" s="644"/>
      <c r="E200" s="1123" t="s">
        <v>1288</v>
      </c>
      <c r="F200" s="180"/>
      <c r="G200" s="180"/>
      <c r="H200" s="181" t="s">
        <v>202</v>
      </c>
      <c r="I200" s="114"/>
      <c r="J200" s="202">
        <f t="shared" ref="J200:J203" si="175">M200+Y200+AK200+AW200</f>
        <v>0</v>
      </c>
      <c r="K200" s="243"/>
      <c r="L200" s="243"/>
      <c r="M200" s="249">
        <f>IF(M$190&lt;&gt;0,MIN(M$188,M$190),0)</f>
        <v>0</v>
      </c>
      <c r="N200" s="89"/>
      <c r="O200" s="610"/>
      <c r="P200" s="610"/>
      <c r="Q200" s="610"/>
      <c r="R200" s="610"/>
      <c r="S200" s="610"/>
      <c r="T200" s="610"/>
      <c r="U200" s="610"/>
      <c r="V200" s="610"/>
      <c r="W200" s="610"/>
      <c r="X200" s="118"/>
      <c r="Y200" s="249">
        <f>IF(Y$190&lt;&gt;0,MIN(Y$188,Y$190),0)</f>
        <v>0</v>
      </c>
      <c r="Z200" s="89"/>
      <c r="AA200" s="610"/>
      <c r="AB200" s="610"/>
      <c r="AC200" s="610"/>
      <c r="AD200" s="610"/>
      <c r="AE200" s="610"/>
      <c r="AF200" s="610"/>
      <c r="AG200" s="610"/>
      <c r="AH200" s="610"/>
      <c r="AI200" s="610"/>
      <c r="AJ200" s="118"/>
      <c r="AK200" s="249">
        <f>IF(AK$190&lt;&gt;0,MIN(AK$188,AK$190),0)</f>
        <v>0</v>
      </c>
      <c r="AL200" s="89"/>
      <c r="AM200" s="610"/>
      <c r="AN200" s="610"/>
      <c r="AO200" s="610"/>
      <c r="AP200" s="610"/>
      <c r="AQ200" s="610"/>
      <c r="AR200" s="610"/>
      <c r="AS200" s="610"/>
      <c r="AT200" s="610"/>
      <c r="AU200" s="610"/>
      <c r="AV200" s="118"/>
      <c r="AW200" s="249">
        <f>IF(AW$190&lt;&gt;0,MIN(AW$188,AW$190),0)</f>
        <v>0</v>
      </c>
      <c r="AX200" s="89"/>
      <c r="AY200" s="610"/>
      <c r="AZ200" s="610"/>
      <c r="BA200" s="610"/>
      <c r="BB200" s="610"/>
      <c r="BC200" s="610"/>
      <c r="BD200" s="610"/>
      <c r="BE200" s="610"/>
      <c r="BF200" s="610"/>
      <c r="BG200" s="610"/>
      <c r="BH200" s="222"/>
    </row>
    <row r="201" spans="1:60" s="2" customFormat="1" hidden="1">
      <c r="A201" s="1038"/>
      <c r="B201" s="1109" t="s">
        <v>231</v>
      </c>
      <c r="C201" s="1106" t="s">
        <v>181</v>
      </c>
      <c r="D201" s="645" t="s">
        <v>45</v>
      </c>
      <c r="E201" s="1123" t="s">
        <v>1287</v>
      </c>
      <c r="F201" s="180"/>
      <c r="G201" s="180"/>
      <c r="H201" s="181" t="s">
        <v>202</v>
      </c>
      <c r="I201" s="114"/>
      <c r="J201" s="202">
        <f t="shared" si="175"/>
        <v>0</v>
      </c>
      <c r="K201" s="243"/>
      <c r="L201" s="243"/>
      <c r="M201" s="249">
        <f>MIN(M$186,M$190)*waardering_opslag_hernieuwbaar*(M$50="ja")</f>
        <v>0</v>
      </c>
      <c r="N201" s="89"/>
      <c r="O201" s="610"/>
      <c r="P201" s="610"/>
      <c r="Q201" s="610"/>
      <c r="R201" s="610"/>
      <c r="S201" s="610"/>
      <c r="T201" s="610"/>
      <c r="U201" s="610"/>
      <c r="V201" s="610"/>
      <c r="W201" s="610"/>
      <c r="X201" s="118"/>
      <c r="Y201" s="249">
        <f>MIN(Y$186,Y$190)*waardering_opslag_hernieuwbaar*(Y$50="ja")</f>
        <v>0</v>
      </c>
      <c r="Z201" s="89"/>
      <c r="AA201" s="610"/>
      <c r="AB201" s="610"/>
      <c r="AC201" s="610"/>
      <c r="AD201" s="610"/>
      <c r="AE201" s="610"/>
      <c r="AF201" s="610"/>
      <c r="AG201" s="610"/>
      <c r="AH201" s="610"/>
      <c r="AI201" s="610"/>
      <c r="AJ201" s="118"/>
      <c r="AK201" s="249">
        <f>MIN(AK$186,AK$190)*waardering_opslag_hernieuwbaar*(AK$50="ja")</f>
        <v>0</v>
      </c>
      <c r="AL201" s="89"/>
      <c r="AM201" s="610"/>
      <c r="AN201" s="610"/>
      <c r="AO201" s="610"/>
      <c r="AP201" s="610"/>
      <c r="AQ201" s="610"/>
      <c r="AR201" s="610"/>
      <c r="AS201" s="610"/>
      <c r="AT201" s="610"/>
      <c r="AU201" s="610"/>
      <c r="AV201" s="118"/>
      <c r="AW201" s="249">
        <f>MIN(AW$186,AW$190)*waardering_opslag_hernieuwbaar*(AW$50="ja")</f>
        <v>0</v>
      </c>
      <c r="AX201" s="89"/>
      <c r="AY201" s="610"/>
      <c r="AZ201" s="610"/>
      <c r="BA201" s="610"/>
      <c r="BB201" s="610"/>
      <c r="BC201" s="610"/>
      <c r="BD201" s="610"/>
      <c r="BE201" s="610"/>
      <c r="BF201" s="610"/>
      <c r="BG201" s="610"/>
      <c r="BH201" s="222"/>
    </row>
    <row r="202" spans="1:60" s="2" customFormat="1" hidden="1">
      <c r="A202" s="1038"/>
      <c r="B202" s="1109" t="s">
        <v>231</v>
      </c>
      <c r="C202" s="1106" t="s">
        <v>181</v>
      </c>
      <c r="D202" s="645" t="s">
        <v>45</v>
      </c>
      <c r="E202" s="1123" t="s">
        <v>1311</v>
      </c>
      <c r="F202" s="180"/>
      <c r="G202" s="180"/>
      <c r="H202" s="181" t="s">
        <v>202</v>
      </c>
      <c r="I202" s="114"/>
      <c r="J202" s="202">
        <f t="shared" si="175"/>
        <v>0</v>
      </c>
      <c r="K202" s="243"/>
      <c r="L202" s="243"/>
      <c r="M202" s="249">
        <f>M$188-M200</f>
        <v>0</v>
      </c>
      <c r="N202" s="89"/>
      <c r="O202" s="610"/>
      <c r="P202" s="610"/>
      <c r="Q202" s="610"/>
      <c r="R202" s="610"/>
      <c r="S202" s="610"/>
      <c r="T202" s="610"/>
      <c r="U202" s="610"/>
      <c r="V202" s="610"/>
      <c r="W202" s="610"/>
      <c r="X202" s="118"/>
      <c r="Y202" s="249">
        <f>Y$188-Y200</f>
        <v>0</v>
      </c>
      <c r="Z202" s="89"/>
      <c r="AA202" s="610"/>
      <c r="AB202" s="610"/>
      <c r="AC202" s="610"/>
      <c r="AD202" s="610"/>
      <c r="AE202" s="610"/>
      <c r="AF202" s="610"/>
      <c r="AG202" s="610"/>
      <c r="AH202" s="610"/>
      <c r="AI202" s="610"/>
      <c r="AJ202" s="118"/>
      <c r="AK202" s="249">
        <f>AK$188-AK200</f>
        <v>0</v>
      </c>
      <c r="AL202" s="89"/>
      <c r="AM202" s="610"/>
      <c r="AN202" s="610"/>
      <c r="AO202" s="610"/>
      <c r="AP202" s="610"/>
      <c r="AQ202" s="610"/>
      <c r="AR202" s="610"/>
      <c r="AS202" s="610"/>
      <c r="AT202" s="610"/>
      <c r="AU202" s="610"/>
      <c r="AV202" s="118"/>
      <c r="AW202" s="249">
        <f>AW$188-AW200</f>
        <v>0</v>
      </c>
      <c r="AX202" s="89"/>
      <c r="AY202" s="610"/>
      <c r="AZ202" s="610"/>
      <c r="BA202" s="610"/>
      <c r="BB202" s="610"/>
      <c r="BC202" s="610"/>
      <c r="BD202" s="610"/>
      <c r="BE202" s="610"/>
      <c r="BF202" s="610"/>
      <c r="BG202" s="610"/>
      <c r="BH202" s="222"/>
    </row>
    <row r="203" spans="1:60" s="2" customFormat="1" hidden="1">
      <c r="A203" s="1079"/>
      <c r="B203" s="1112" t="s">
        <v>231</v>
      </c>
      <c r="C203" s="990" t="s">
        <v>181</v>
      </c>
      <c r="D203" s="644"/>
      <c r="E203" s="1123" t="s">
        <v>1274</v>
      </c>
      <c r="F203" s="180"/>
      <c r="G203" s="180"/>
      <c r="H203" s="181" t="s">
        <v>202</v>
      </c>
      <c r="I203" s="1080"/>
      <c r="J203" s="202">
        <f t="shared" si="175"/>
        <v>0</v>
      </c>
      <c r="K203" s="1081"/>
      <c r="L203" s="1081"/>
      <c r="M203" s="249">
        <f>SUM(M$190)-M200</f>
        <v>0</v>
      </c>
      <c r="N203" s="1082"/>
      <c r="O203" s="610"/>
      <c r="P203" s="610"/>
      <c r="Q203" s="610"/>
      <c r="R203" s="610"/>
      <c r="S203" s="610"/>
      <c r="T203" s="610"/>
      <c r="U203" s="610"/>
      <c r="V203" s="610"/>
      <c r="W203" s="610"/>
      <c r="X203" s="1083"/>
      <c r="Y203" s="249">
        <f>SUM(Y$190)-Y200</f>
        <v>0</v>
      </c>
      <c r="Z203" s="1082"/>
      <c r="AA203" s="610"/>
      <c r="AB203" s="610"/>
      <c r="AC203" s="610"/>
      <c r="AD203" s="610"/>
      <c r="AE203" s="610"/>
      <c r="AF203" s="610"/>
      <c r="AG203" s="610"/>
      <c r="AH203" s="610"/>
      <c r="AI203" s="610"/>
      <c r="AJ203" s="1083"/>
      <c r="AK203" s="249">
        <f>SUM(AK$190)-AK200</f>
        <v>0</v>
      </c>
      <c r="AL203" s="1082"/>
      <c r="AM203" s="610"/>
      <c r="AN203" s="610"/>
      <c r="AO203" s="610"/>
      <c r="AP203" s="610"/>
      <c r="AQ203" s="610"/>
      <c r="AR203" s="610"/>
      <c r="AS203" s="610"/>
      <c r="AT203" s="610"/>
      <c r="AU203" s="610"/>
      <c r="AV203" s="1083"/>
      <c r="AW203" s="249">
        <f>SUM(AW$190)-AW200</f>
        <v>0</v>
      </c>
      <c r="AX203" s="1082"/>
      <c r="AY203" s="610"/>
      <c r="AZ203" s="610"/>
      <c r="BA203" s="610"/>
      <c r="BB203" s="610"/>
      <c r="BC203" s="610"/>
      <c r="BD203" s="610"/>
      <c r="BE203" s="610"/>
      <c r="BF203" s="610"/>
      <c r="BG203" s="610"/>
      <c r="BH203" s="222"/>
    </row>
    <row r="204" spans="1:60" s="2" customFormat="1">
      <c r="A204" s="1038"/>
      <c r="B204" s="1109" t="s">
        <v>231</v>
      </c>
      <c r="C204" s="1106" t="s">
        <v>96</v>
      </c>
      <c r="D204" s="644"/>
      <c r="E204" s="940" t="s">
        <v>1344</v>
      </c>
      <c r="F204" s="940"/>
      <c r="G204" s="940"/>
      <c r="H204" s="940"/>
      <c r="I204" s="77"/>
      <c r="J204" s="939"/>
      <c r="K204" s="126"/>
      <c r="L204" s="126"/>
      <c r="M204" s="938"/>
      <c r="N204" s="252"/>
      <c r="O204" s="177" t="str">
        <f t="shared" ref="O204:W204" si="176">O$10</f>
        <v>verwarming</v>
      </c>
      <c r="P204" s="177" t="str">
        <f t="shared" si="176"/>
        <v>koeling</v>
      </c>
      <c r="Q204" s="177" t="str">
        <f t="shared" si="176"/>
        <v>tapwater</v>
      </c>
      <c r="R204" s="177" t="str">
        <f t="shared" si="176"/>
        <v>verlichting</v>
      </c>
      <c r="S204" s="177" t="str">
        <f t="shared" si="176"/>
        <v>ventilatoren</v>
      </c>
      <c r="T204" s="177"/>
      <c r="U204" s="177" t="str">
        <f t="shared" si="176"/>
        <v>overig elektra</v>
      </c>
      <c r="V204" s="177" t="str">
        <f t="shared" si="176"/>
        <v>mobiliteit</v>
      </c>
      <c r="W204" s="177" t="str">
        <f t="shared" si="176"/>
        <v>zonnepanelen</v>
      </c>
      <c r="X204" s="253"/>
      <c r="Y204" s="938"/>
      <c r="Z204" s="252"/>
      <c r="AA204" s="177" t="str">
        <f t="shared" ref="AA204:AI204" si="177">AA$10</f>
        <v>verwarming</v>
      </c>
      <c r="AB204" s="177" t="str">
        <f t="shared" si="177"/>
        <v>koeling</v>
      </c>
      <c r="AC204" s="177" t="str">
        <f t="shared" si="177"/>
        <v>tapwater</v>
      </c>
      <c r="AD204" s="177" t="str">
        <f t="shared" si="177"/>
        <v>verlichting</v>
      </c>
      <c r="AE204" s="177" t="str">
        <f t="shared" si="177"/>
        <v>ventilatoren</v>
      </c>
      <c r="AF204" s="177"/>
      <c r="AG204" s="177" t="str">
        <f t="shared" si="177"/>
        <v>overig elektra</v>
      </c>
      <c r="AH204" s="177" t="str">
        <f t="shared" si="177"/>
        <v>mobiliteit</v>
      </c>
      <c r="AI204" s="177" t="str">
        <f t="shared" si="177"/>
        <v>zonnepanelen</v>
      </c>
      <c r="AJ204" s="253"/>
      <c r="AK204" s="938"/>
      <c r="AL204" s="252"/>
      <c r="AM204" s="177" t="str">
        <f t="shared" ref="AM204:AU204" si="178">AM$10</f>
        <v>verwarming</v>
      </c>
      <c r="AN204" s="177" t="str">
        <f t="shared" si="178"/>
        <v>koeling</v>
      </c>
      <c r="AO204" s="177" t="str">
        <f t="shared" si="178"/>
        <v>tapwater</v>
      </c>
      <c r="AP204" s="177" t="str">
        <f t="shared" si="178"/>
        <v>verlichting</v>
      </c>
      <c r="AQ204" s="177" t="str">
        <f t="shared" si="178"/>
        <v>ventilatoren</v>
      </c>
      <c r="AR204" s="177"/>
      <c r="AS204" s="177" t="str">
        <f t="shared" si="178"/>
        <v>overig elektra</v>
      </c>
      <c r="AT204" s="177" t="str">
        <f t="shared" si="178"/>
        <v>mobiliteit</v>
      </c>
      <c r="AU204" s="177" t="str">
        <f t="shared" si="178"/>
        <v>zonnepanelen</v>
      </c>
      <c r="AV204" s="253"/>
      <c r="AW204" s="938"/>
      <c r="AX204" s="252"/>
      <c r="AY204" s="177" t="str">
        <f t="shared" ref="AY204:BG204" si="179">AY$10</f>
        <v>verwarming</v>
      </c>
      <c r="AZ204" s="177" t="str">
        <f t="shared" si="179"/>
        <v>koeling</v>
      </c>
      <c r="BA204" s="177" t="str">
        <f t="shared" si="179"/>
        <v>tapwater</v>
      </c>
      <c r="BB204" s="177" t="str">
        <f t="shared" si="179"/>
        <v>verlichting</v>
      </c>
      <c r="BC204" s="177" t="str">
        <f t="shared" si="179"/>
        <v>ventilatoren</v>
      </c>
      <c r="BD204" s="177"/>
      <c r="BE204" s="177" t="str">
        <f t="shared" si="179"/>
        <v>overig elektra</v>
      </c>
      <c r="BF204" s="177" t="str">
        <f t="shared" si="179"/>
        <v>mobiliteit</v>
      </c>
      <c r="BG204" s="177" t="str">
        <f t="shared" si="179"/>
        <v>zonnepanelen</v>
      </c>
    </row>
    <row r="205" spans="1:60" s="2" customFormat="1" hidden="1">
      <c r="A205" s="1038"/>
      <c r="B205" s="1109" t="s">
        <v>231</v>
      </c>
      <c r="C205" s="1106" t="s">
        <v>181</v>
      </c>
      <c r="D205" s="645" t="s">
        <v>45</v>
      </c>
      <c r="E205" s="1123" t="s">
        <v>1240</v>
      </c>
      <c r="F205" s="180"/>
      <c r="G205" s="180"/>
      <c r="H205" s="181" t="s">
        <v>202</v>
      </c>
      <c r="I205" s="114"/>
      <c r="J205" s="202">
        <f t="shared" ref="J205:J210" si="180">M205+Y205+AK205+AW205</f>
        <v>0</v>
      </c>
      <c r="K205" s="243"/>
      <c r="L205" s="243"/>
      <c r="M205" s="249">
        <f>IFERROR(MIN(MAX(M$197*M$186,0.3*SUM(M$190)),1*SUM(M$190),M$186),0)</f>
        <v>0</v>
      </c>
      <c r="N205" s="89"/>
      <c r="O205" s="610"/>
      <c r="P205" s="610"/>
      <c r="Q205" s="610"/>
      <c r="R205" s="610"/>
      <c r="S205" s="610"/>
      <c r="T205" s="610"/>
      <c r="U205" s="610"/>
      <c r="V205" s="610"/>
      <c r="W205" s="610"/>
      <c r="X205" s="118"/>
      <c r="Y205" s="249">
        <f>IFERROR(MIN(MAX(Y$197*Y$186,0.3*SUM(Y$190)),1*SUM(Y$190),Y$186),0)</f>
        <v>0</v>
      </c>
      <c r="Z205" s="89"/>
      <c r="AA205" s="610"/>
      <c r="AB205" s="610"/>
      <c r="AC205" s="610"/>
      <c r="AD205" s="610"/>
      <c r="AE205" s="610"/>
      <c r="AF205" s="610"/>
      <c r="AG205" s="610"/>
      <c r="AH205" s="610"/>
      <c r="AI205" s="610"/>
      <c r="AJ205" s="118"/>
      <c r="AK205" s="249">
        <f>IFERROR(MIN(MAX(AK$197*AK$186,0.3*SUM(AK$190)),1*SUM(AK$190),AK$186),0)</f>
        <v>0</v>
      </c>
      <c r="AL205" s="89"/>
      <c r="AM205" s="610"/>
      <c r="AN205" s="610"/>
      <c r="AO205" s="610"/>
      <c r="AP205" s="610"/>
      <c r="AQ205" s="610"/>
      <c r="AR205" s="610"/>
      <c r="AS205" s="610"/>
      <c r="AT205" s="610"/>
      <c r="AU205" s="610"/>
      <c r="AV205" s="118"/>
      <c r="AW205" s="249">
        <f>IFERROR(MIN(MAX(AW$197*AW$186,0.3*SUM(AW$190)),1*SUM(AW$190),AW$186),0)</f>
        <v>0</v>
      </c>
      <c r="AX205" s="89"/>
      <c r="AY205" s="610"/>
      <c r="AZ205" s="610"/>
      <c r="BA205" s="610"/>
      <c r="BB205" s="610"/>
      <c r="BC205" s="610"/>
      <c r="BD205" s="610"/>
      <c r="BE205" s="610"/>
      <c r="BF205" s="610"/>
      <c r="BG205" s="610"/>
      <c r="BH205" s="222"/>
    </row>
    <row r="206" spans="1:60" s="2" customFormat="1" hidden="1">
      <c r="A206" s="1038"/>
      <c r="B206" s="1109" t="s">
        <v>231</v>
      </c>
      <c r="C206" s="1106" t="s">
        <v>181</v>
      </c>
      <c r="D206" s="644"/>
      <c r="E206" s="1123" t="s">
        <v>1312</v>
      </c>
      <c r="F206" s="180"/>
      <c r="G206" s="180"/>
      <c r="H206" s="181" t="s">
        <v>202</v>
      </c>
      <c r="I206" s="114"/>
      <c r="J206" s="202">
        <f t="shared" si="180"/>
        <v>0</v>
      </c>
      <c r="K206" s="243"/>
      <c r="L206" s="243"/>
      <c r="M206" s="249">
        <f>MIN(0.3*M$186*M$198,SUM(M$190)-M205,M$186-M205)</f>
        <v>0</v>
      </c>
      <c r="N206" s="89"/>
      <c r="O206" s="610"/>
      <c r="P206" s="610"/>
      <c r="Q206" s="610"/>
      <c r="R206" s="610"/>
      <c r="S206" s="610"/>
      <c r="T206" s="610"/>
      <c r="U206" s="610"/>
      <c r="V206" s="610"/>
      <c r="W206" s="610"/>
      <c r="X206" s="118"/>
      <c r="Y206" s="249">
        <f>MIN(0.3*Y$186*Y$198,SUM(Y$190)-Y205,Y$186-Y205)</f>
        <v>0</v>
      </c>
      <c r="Z206" s="89"/>
      <c r="AA206" s="610"/>
      <c r="AB206" s="610"/>
      <c r="AC206" s="610"/>
      <c r="AD206" s="610"/>
      <c r="AE206" s="610"/>
      <c r="AF206" s="610"/>
      <c r="AG206" s="610"/>
      <c r="AH206" s="610"/>
      <c r="AI206" s="610"/>
      <c r="AJ206" s="118"/>
      <c r="AK206" s="249">
        <f>MIN(0.3*AK$186*AK$198,SUM(AK$190)-AK205,AK$186-AK205)</f>
        <v>0</v>
      </c>
      <c r="AL206" s="89"/>
      <c r="AM206" s="610"/>
      <c r="AN206" s="610"/>
      <c r="AO206" s="610"/>
      <c r="AP206" s="610"/>
      <c r="AQ206" s="610"/>
      <c r="AR206" s="610"/>
      <c r="AS206" s="610"/>
      <c r="AT206" s="610"/>
      <c r="AU206" s="610"/>
      <c r="AV206" s="118"/>
      <c r="AW206" s="249">
        <f>MIN(0.3*AW$186*AW$198,SUM(AW$190)-AW205,AW$186-AW205)</f>
        <v>0</v>
      </c>
      <c r="AX206" s="89"/>
      <c r="AY206" s="610"/>
      <c r="AZ206" s="610"/>
      <c r="BA206" s="610"/>
      <c r="BB206" s="610"/>
      <c r="BC206" s="610"/>
      <c r="BD206" s="610"/>
      <c r="BE206" s="610"/>
      <c r="BF206" s="610"/>
      <c r="BG206" s="610"/>
      <c r="BH206" s="222"/>
    </row>
    <row r="207" spans="1:60" s="2" customFormat="1" hidden="1">
      <c r="A207" s="1038"/>
      <c r="B207" s="1109" t="s">
        <v>231</v>
      </c>
      <c r="C207" s="1106" t="s">
        <v>181</v>
      </c>
      <c r="D207" s="644"/>
      <c r="E207" s="1123" t="s">
        <v>1246</v>
      </c>
      <c r="F207" s="180"/>
      <c r="G207" s="180"/>
      <c r="H207" s="181" t="s">
        <v>202</v>
      </c>
      <c r="I207" s="114"/>
      <c r="J207" s="202">
        <f t="shared" si="180"/>
        <v>0</v>
      </c>
      <c r="K207" s="243"/>
      <c r="L207" s="243"/>
      <c r="M207" s="249">
        <f>M$186-M205-M206</f>
        <v>0</v>
      </c>
      <c r="N207" s="89"/>
      <c r="O207" s="610"/>
      <c r="P207" s="610"/>
      <c r="Q207" s="610"/>
      <c r="R207" s="610"/>
      <c r="S207" s="610"/>
      <c r="T207" s="610"/>
      <c r="U207" s="610"/>
      <c r="V207" s="610"/>
      <c r="W207" s="610"/>
      <c r="X207" s="118"/>
      <c r="Y207" s="249">
        <f>Y$186-Y205-Y206</f>
        <v>0</v>
      </c>
      <c r="Z207" s="89"/>
      <c r="AA207" s="610"/>
      <c r="AB207" s="610"/>
      <c r="AC207" s="610"/>
      <c r="AD207" s="610"/>
      <c r="AE207" s="610"/>
      <c r="AF207" s="610"/>
      <c r="AG207" s="610"/>
      <c r="AH207" s="610"/>
      <c r="AI207" s="610"/>
      <c r="AJ207" s="118"/>
      <c r="AK207" s="249">
        <f>AK$186-AK205-AK206</f>
        <v>0</v>
      </c>
      <c r="AL207" s="89"/>
      <c r="AM207" s="610"/>
      <c r="AN207" s="610"/>
      <c r="AO207" s="610"/>
      <c r="AP207" s="610"/>
      <c r="AQ207" s="610"/>
      <c r="AR207" s="610"/>
      <c r="AS207" s="610"/>
      <c r="AT207" s="610"/>
      <c r="AU207" s="610"/>
      <c r="AV207" s="118"/>
      <c r="AW207" s="249">
        <f>AW$186-AW205-AW206</f>
        <v>0</v>
      </c>
      <c r="AX207" s="89"/>
      <c r="AY207" s="610"/>
      <c r="AZ207" s="610"/>
      <c r="BA207" s="610"/>
      <c r="BB207" s="610"/>
      <c r="BC207" s="610"/>
      <c r="BD207" s="610"/>
      <c r="BE207" s="610"/>
      <c r="BF207" s="610"/>
      <c r="BG207" s="610"/>
      <c r="BH207" s="222"/>
    </row>
    <row r="208" spans="1:60" s="2" customFormat="1" hidden="1">
      <c r="A208" s="1038"/>
      <c r="B208" s="1109" t="s">
        <v>231</v>
      </c>
      <c r="C208" s="1106" t="s">
        <v>181</v>
      </c>
      <c r="D208" s="645" t="s">
        <v>45</v>
      </c>
      <c r="E208" s="1123" t="s">
        <v>1239</v>
      </c>
      <c r="F208" s="180"/>
      <c r="G208" s="180"/>
      <c r="H208" s="181" t="s">
        <v>202</v>
      </c>
      <c r="I208" s="114"/>
      <c r="J208" s="202">
        <f t="shared" si="180"/>
        <v>0</v>
      </c>
      <c r="K208" s="243"/>
      <c r="L208" s="243"/>
      <c r="M208" s="249">
        <f>MIN(fdu_el_nren*M$187,MAX(0,SUM(M$190)-M205-M206*eta_BAT))</f>
        <v>0</v>
      </c>
      <c r="N208" s="89"/>
      <c r="O208" s="610"/>
      <c r="P208" s="610"/>
      <c r="Q208" s="610"/>
      <c r="R208" s="610"/>
      <c r="S208" s="610"/>
      <c r="T208" s="610"/>
      <c r="U208" s="610"/>
      <c r="V208" s="610"/>
      <c r="W208" s="610"/>
      <c r="X208" s="118"/>
      <c r="Y208" s="249">
        <f>MIN(fdu_el_nren*Y$187,MAX(0,SUM(Y$190)-Y205-Y206*eta_BAT))</f>
        <v>0</v>
      </c>
      <c r="Z208" s="89"/>
      <c r="AA208" s="610"/>
      <c r="AB208" s="610"/>
      <c r="AC208" s="610"/>
      <c r="AD208" s="610"/>
      <c r="AE208" s="610"/>
      <c r="AF208" s="610"/>
      <c r="AG208" s="610"/>
      <c r="AH208" s="610"/>
      <c r="AI208" s="610"/>
      <c r="AJ208" s="118"/>
      <c r="AK208" s="249">
        <f>MIN(fdu_el_nren*AK$187,MAX(0,SUM(AK$190)-AK205-AK206*eta_BAT))</f>
        <v>0</v>
      </c>
      <c r="AL208" s="89"/>
      <c r="AM208" s="610"/>
      <c r="AN208" s="610"/>
      <c r="AO208" s="610"/>
      <c r="AP208" s="610"/>
      <c r="AQ208" s="610"/>
      <c r="AR208" s="610"/>
      <c r="AS208" s="610"/>
      <c r="AT208" s="610"/>
      <c r="AU208" s="610"/>
      <c r="AV208" s="118"/>
      <c r="AW208" s="249">
        <f>MIN(fdu_el_nren*AW$187,MAX(0,SUM(AW$190)-AW205-AW206*eta_BAT))</f>
        <v>0</v>
      </c>
      <c r="AX208" s="89"/>
      <c r="AY208" s="610"/>
      <c r="AZ208" s="610"/>
      <c r="BA208" s="610"/>
      <c r="BB208" s="610"/>
      <c r="BC208" s="610"/>
      <c r="BD208" s="610"/>
      <c r="BE208" s="610"/>
      <c r="BF208" s="610"/>
      <c r="BG208" s="610"/>
      <c r="BH208" s="222"/>
    </row>
    <row r="209" spans="1:60" s="2" customFormat="1" hidden="1">
      <c r="A209" s="1038"/>
      <c r="B209" s="1109" t="s">
        <v>231</v>
      </c>
      <c r="C209" s="1106" t="s">
        <v>181</v>
      </c>
      <c r="D209" s="644"/>
      <c r="E209" s="1123" t="s">
        <v>1245</v>
      </c>
      <c r="F209" s="180"/>
      <c r="G209" s="180"/>
      <c r="H209" s="181" t="s">
        <v>202</v>
      </c>
      <c r="I209" s="114"/>
      <c r="J209" s="202">
        <f t="shared" si="180"/>
        <v>0</v>
      </c>
      <c r="K209" s="243"/>
      <c r="L209" s="243"/>
      <c r="M209" s="249">
        <f>M$187-M208</f>
        <v>0</v>
      </c>
      <c r="N209" s="89"/>
      <c r="O209" s="610"/>
      <c r="P209" s="610"/>
      <c r="Q209" s="610"/>
      <c r="R209" s="610"/>
      <c r="S209" s="610"/>
      <c r="T209" s="610"/>
      <c r="U209" s="610"/>
      <c r="V209" s="610"/>
      <c r="W209" s="610"/>
      <c r="X209" s="118"/>
      <c r="Y209" s="249">
        <f>Y$187-Y208</f>
        <v>0</v>
      </c>
      <c r="Z209" s="89"/>
      <c r="AA209" s="610"/>
      <c r="AB209" s="610"/>
      <c r="AC209" s="610"/>
      <c r="AD209" s="610"/>
      <c r="AE209" s="610"/>
      <c r="AF209" s="610"/>
      <c r="AG209" s="610"/>
      <c r="AH209" s="610"/>
      <c r="AI209" s="610"/>
      <c r="AJ209" s="118"/>
      <c r="AK209" s="249">
        <f>AK$187-AK208</f>
        <v>0</v>
      </c>
      <c r="AL209" s="89"/>
      <c r="AM209" s="610"/>
      <c r="AN209" s="610"/>
      <c r="AO209" s="610"/>
      <c r="AP209" s="610"/>
      <c r="AQ209" s="610"/>
      <c r="AR209" s="610"/>
      <c r="AS209" s="610"/>
      <c r="AT209" s="610"/>
      <c r="AU209" s="610"/>
      <c r="AV209" s="118"/>
      <c r="AW209" s="249">
        <f>AW$187-AW208</f>
        <v>0</v>
      </c>
      <c r="AX209" s="89"/>
      <c r="AY209" s="610"/>
      <c r="AZ209" s="610"/>
      <c r="BA209" s="610"/>
      <c r="BB209" s="610"/>
      <c r="BC209" s="610"/>
      <c r="BD209" s="610"/>
      <c r="BE209" s="610"/>
      <c r="BF209" s="610"/>
      <c r="BG209" s="610"/>
      <c r="BH209" s="222"/>
    </row>
    <row r="210" spans="1:60" s="2" customFormat="1" hidden="1">
      <c r="A210" s="1079"/>
      <c r="B210" s="1112" t="s">
        <v>231</v>
      </c>
      <c r="C210" s="990" t="s">
        <v>181</v>
      </c>
      <c r="D210" s="644"/>
      <c r="E210" s="1123" t="s">
        <v>1274</v>
      </c>
      <c r="F210" s="180"/>
      <c r="G210" s="180"/>
      <c r="H210" s="181" t="s">
        <v>202</v>
      </c>
      <c r="I210" s="1080"/>
      <c r="J210" s="202">
        <f t="shared" si="180"/>
        <v>0</v>
      </c>
      <c r="K210" s="1081"/>
      <c r="L210" s="1081"/>
      <c r="M210" s="249">
        <f>SUM(M$190)-M205-M208-M206*eta_BAT</f>
        <v>0</v>
      </c>
      <c r="N210" s="1082"/>
      <c r="O210" s="610"/>
      <c r="P210" s="610"/>
      <c r="Q210" s="610"/>
      <c r="R210" s="610"/>
      <c r="S210" s="610"/>
      <c r="T210" s="610"/>
      <c r="U210" s="610"/>
      <c r="V210" s="610"/>
      <c r="W210" s="610"/>
      <c r="X210" s="1083"/>
      <c r="Y210" s="249">
        <f>SUM(Y$190)-Y205-Y208-Y206*eta_BAT</f>
        <v>0</v>
      </c>
      <c r="Z210" s="1082"/>
      <c r="AA210" s="610"/>
      <c r="AB210" s="610"/>
      <c r="AC210" s="610"/>
      <c r="AD210" s="610"/>
      <c r="AE210" s="610"/>
      <c r="AF210" s="610"/>
      <c r="AG210" s="610"/>
      <c r="AH210" s="610"/>
      <c r="AI210" s="610"/>
      <c r="AJ210" s="1083"/>
      <c r="AK210" s="249">
        <f>SUM(AK$190)-AK205-AK208-AK206*eta_BAT</f>
        <v>0</v>
      </c>
      <c r="AL210" s="1082"/>
      <c r="AM210" s="610"/>
      <c r="AN210" s="610"/>
      <c r="AO210" s="610"/>
      <c r="AP210" s="610"/>
      <c r="AQ210" s="610"/>
      <c r="AR210" s="610"/>
      <c r="AS210" s="610"/>
      <c r="AT210" s="610"/>
      <c r="AU210" s="610"/>
      <c r="AV210" s="1083"/>
      <c r="AW210" s="249">
        <f>SUM(AW$190)-AW205-AW208-AW206*eta_BAT</f>
        <v>0</v>
      </c>
      <c r="AX210" s="1082"/>
      <c r="AY210" s="610"/>
      <c r="AZ210" s="610"/>
      <c r="BA210" s="610"/>
      <c r="BB210" s="610"/>
      <c r="BC210" s="610"/>
      <c r="BD210" s="610"/>
      <c r="BE210" s="610"/>
      <c r="BF210" s="610"/>
      <c r="BG210" s="610"/>
      <c r="BH210" s="222"/>
    </row>
    <row r="211" spans="1:60" s="2" customFormat="1">
      <c r="A211" s="1038"/>
      <c r="B211" s="1109" t="s">
        <v>231</v>
      </c>
      <c r="C211" s="1106" t="s">
        <v>96</v>
      </c>
      <c r="D211" s="644"/>
      <c r="E211" s="940" t="s">
        <v>1345</v>
      </c>
      <c r="F211" s="940"/>
      <c r="G211" s="940"/>
      <c r="H211" s="940"/>
      <c r="I211" s="77"/>
      <c r="J211" s="939"/>
      <c r="K211" s="126"/>
      <c r="L211" s="126"/>
      <c r="M211" s="938"/>
      <c r="N211" s="252"/>
      <c r="O211" s="177" t="str">
        <f>O$10</f>
        <v>verwarming</v>
      </c>
      <c r="P211" s="177" t="str">
        <f>P$10</f>
        <v>koeling</v>
      </c>
      <c r="Q211" s="177" t="str">
        <f>Q$10</f>
        <v>tapwater</v>
      </c>
      <c r="R211" s="177"/>
      <c r="S211" s="177"/>
      <c r="T211" s="177"/>
      <c r="U211" s="177"/>
      <c r="V211" s="177"/>
      <c r="W211" s="177" t="str">
        <f>W$10</f>
        <v>zonnepanelen</v>
      </c>
      <c r="X211" s="253"/>
      <c r="Y211" s="938"/>
      <c r="Z211" s="252"/>
      <c r="AA211" s="177" t="str">
        <f t="shared" ref="AA211:AI211" si="181">AA$10</f>
        <v>verwarming</v>
      </c>
      <c r="AB211" s="177" t="str">
        <f t="shared" si="181"/>
        <v>koeling</v>
      </c>
      <c r="AC211" s="177" t="str">
        <f t="shared" si="181"/>
        <v>tapwater</v>
      </c>
      <c r="AD211" s="177"/>
      <c r="AE211" s="177"/>
      <c r="AF211" s="177"/>
      <c r="AG211" s="177"/>
      <c r="AH211" s="177"/>
      <c r="AI211" s="177" t="str">
        <f t="shared" si="181"/>
        <v>zonnepanelen</v>
      </c>
      <c r="AJ211" s="253"/>
      <c r="AK211" s="938"/>
      <c r="AL211" s="252"/>
      <c r="AM211" s="177" t="str">
        <f t="shared" ref="AM211:AU211" si="182">AM$10</f>
        <v>verwarming</v>
      </c>
      <c r="AN211" s="177" t="str">
        <f t="shared" si="182"/>
        <v>koeling</v>
      </c>
      <c r="AO211" s="177" t="str">
        <f t="shared" si="182"/>
        <v>tapwater</v>
      </c>
      <c r="AP211" s="177"/>
      <c r="AQ211" s="177"/>
      <c r="AR211" s="177"/>
      <c r="AS211" s="177"/>
      <c r="AT211" s="177"/>
      <c r="AU211" s="177" t="str">
        <f t="shared" si="182"/>
        <v>zonnepanelen</v>
      </c>
      <c r="AV211" s="253"/>
      <c r="AW211" s="938"/>
      <c r="AX211" s="252"/>
      <c r="AY211" s="177" t="str">
        <f t="shared" ref="AY211:BG211" si="183">AY$10</f>
        <v>verwarming</v>
      </c>
      <c r="AZ211" s="177" t="str">
        <f t="shared" si="183"/>
        <v>koeling</v>
      </c>
      <c r="BA211" s="177" t="str">
        <f t="shared" si="183"/>
        <v>tapwater</v>
      </c>
      <c r="BB211" s="177"/>
      <c r="BC211" s="177"/>
      <c r="BD211" s="177"/>
      <c r="BE211" s="177"/>
      <c r="BF211" s="177"/>
      <c r="BG211" s="177" t="str">
        <f t="shared" si="183"/>
        <v>zonnepanelen</v>
      </c>
    </row>
    <row r="212" spans="1:60" s="2" customFormat="1" hidden="1">
      <c r="A212" s="1038"/>
      <c r="B212" s="1109" t="s">
        <v>231</v>
      </c>
      <c r="C212" s="1106" t="s">
        <v>181</v>
      </c>
      <c r="D212" s="644"/>
      <c r="E212" s="1162" t="s">
        <v>1352</v>
      </c>
      <c r="F212" s="1162"/>
      <c r="G212" s="1162"/>
      <c r="H212" s="181" t="s">
        <v>204</v>
      </c>
      <c r="I212" s="114"/>
      <c r="J212" s="190"/>
      <c r="K212" s="79"/>
      <c r="L212" s="79"/>
      <c r="M212" s="250">
        <f>$G$5</f>
        <v>1.45</v>
      </c>
      <c r="N212" s="114"/>
      <c r="O212" s="335"/>
      <c r="P212" s="335"/>
      <c r="Q212" s="335"/>
      <c r="R212" s="335"/>
      <c r="S212" s="335"/>
      <c r="T212" s="335"/>
      <c r="U212" s="335"/>
      <c r="V212" s="335"/>
      <c r="W212" s="335"/>
      <c r="X212" s="109"/>
      <c r="Y212" s="250">
        <f>$G$5</f>
        <v>1.45</v>
      </c>
      <c r="Z212" s="114"/>
      <c r="AA212" s="335"/>
      <c r="AB212" s="335"/>
      <c r="AC212" s="335"/>
      <c r="AD212" s="335"/>
      <c r="AE212" s="335"/>
      <c r="AF212" s="335"/>
      <c r="AG212" s="335"/>
      <c r="AH212" s="335"/>
      <c r="AI212" s="335"/>
      <c r="AJ212" s="109"/>
      <c r="AK212" s="250">
        <f>$G$5</f>
        <v>1.45</v>
      </c>
      <c r="AL212" s="114"/>
      <c r="AM212" s="335"/>
      <c r="AN212" s="335"/>
      <c r="AO212" s="335"/>
      <c r="AP212" s="335"/>
      <c r="AQ212" s="335"/>
      <c r="AR212" s="335"/>
      <c r="AS212" s="335"/>
      <c r="AT212" s="335"/>
      <c r="AU212" s="335"/>
      <c r="AV212" s="109"/>
      <c r="AW212" s="250">
        <f>$G$5</f>
        <v>1.45</v>
      </c>
      <c r="AX212" s="114"/>
      <c r="AY212" s="335"/>
      <c r="AZ212" s="335"/>
      <c r="BA212" s="335"/>
      <c r="BB212" s="335"/>
      <c r="BC212" s="335"/>
      <c r="BD212" s="335"/>
      <c r="BE212" s="335"/>
      <c r="BF212" s="335"/>
      <c r="BG212" s="335"/>
      <c r="BH212" s="219"/>
    </row>
    <row r="213" spans="1:60" s="2" customFormat="1" hidden="1">
      <c r="A213" s="1038"/>
      <c r="B213" s="1109" t="s">
        <v>231</v>
      </c>
      <c r="C213" s="1106" t="s">
        <v>181</v>
      </c>
      <c r="D213" s="644"/>
      <c r="E213" s="1162" t="s">
        <v>1353</v>
      </c>
      <c r="F213" s="1162"/>
      <c r="G213" s="1162"/>
      <c r="H213" s="181" t="s">
        <v>204</v>
      </c>
      <c r="I213" s="114"/>
      <c r="J213" s="190"/>
      <c r="K213" s="79"/>
      <c r="L213" s="79"/>
      <c r="M213" s="250">
        <f>HLOOKUP($F$5,elektriciteit_primaire_energiefactor,ROWS(bibliotheek!$E$304:$E$306),FALSE)</f>
        <v>1.45</v>
      </c>
      <c r="N213" s="114"/>
      <c r="O213" s="335"/>
      <c r="P213" s="335"/>
      <c r="Q213" s="335"/>
      <c r="R213" s="335"/>
      <c r="S213" s="335"/>
      <c r="T213" s="335"/>
      <c r="U213" s="335"/>
      <c r="V213" s="335"/>
      <c r="W213" s="335"/>
      <c r="X213" s="109"/>
      <c r="Y213" s="250">
        <f>HLOOKUP($F$5,elektriciteit_primaire_energiefactor,ROWS(bibliotheek!$E$304:$E$306),FALSE)</f>
        <v>1.45</v>
      </c>
      <c r="Z213" s="114"/>
      <c r="AA213" s="335"/>
      <c r="AB213" s="335"/>
      <c r="AC213" s="335"/>
      <c r="AD213" s="335"/>
      <c r="AE213" s="335"/>
      <c r="AF213" s="335"/>
      <c r="AG213" s="335"/>
      <c r="AH213" s="335"/>
      <c r="AI213" s="335"/>
      <c r="AJ213" s="109"/>
      <c r="AK213" s="250">
        <f>HLOOKUP($F$5,elektriciteit_primaire_energiefactor,ROWS(bibliotheek!$E$304:$E$306),FALSE)</f>
        <v>1.45</v>
      </c>
      <c r="AL213" s="114"/>
      <c r="AM213" s="335"/>
      <c r="AN213" s="335"/>
      <c r="AO213" s="335"/>
      <c r="AP213" s="335"/>
      <c r="AQ213" s="335"/>
      <c r="AR213" s="335"/>
      <c r="AS213" s="335"/>
      <c r="AT213" s="335"/>
      <c r="AU213" s="335"/>
      <c r="AV213" s="109"/>
      <c r="AW213" s="250">
        <f>HLOOKUP($F$5,elektriciteit_primaire_energiefactor,ROWS(bibliotheek!$E$304:$E$306),FALSE)</f>
        <v>1.45</v>
      </c>
      <c r="AX213" s="114"/>
      <c r="AY213" s="335"/>
      <c r="AZ213" s="335"/>
      <c r="BA213" s="335"/>
      <c r="BB213" s="335"/>
      <c r="BC213" s="335"/>
      <c r="BD213" s="335"/>
      <c r="BE213" s="335"/>
      <c r="BF213" s="335"/>
      <c r="BG213" s="335"/>
      <c r="BH213" s="219"/>
    </row>
    <row r="214" spans="1:60" s="2" customFormat="1">
      <c r="A214" s="1038"/>
      <c r="B214" s="1109" t="s">
        <v>231</v>
      </c>
      <c r="C214" s="1106" t="s">
        <v>104</v>
      </c>
      <c r="D214" s="645" t="s">
        <v>45</v>
      </c>
      <c r="E214" s="1162" t="s">
        <v>232</v>
      </c>
      <c r="F214" s="1170"/>
      <c r="G214" s="1170"/>
      <c r="H214" s="181" t="s">
        <v>106</v>
      </c>
      <c r="I214" s="114"/>
      <c r="J214" s="202">
        <f>M214+Y214+AK214+AW214</f>
        <v>0</v>
      </c>
      <c r="K214" s="1062"/>
      <c r="L214" s="1062"/>
      <c r="M214" s="249">
        <f>(M202*M212+M200*M213)</f>
        <v>0</v>
      </c>
      <c r="N214" s="89"/>
      <c r="O214" s="168">
        <f>IF($M$188=0,0,O$188/$M$188*$M214)</f>
        <v>0</v>
      </c>
      <c r="P214" s="168">
        <f>IF($M$188=0,0,P$188/$M$188*$M214)</f>
        <v>0</v>
      </c>
      <c r="Q214" s="168">
        <f>IF($M$188=0,0,Q$188/$M$188*$M214)</f>
        <v>0</v>
      </c>
      <c r="R214" s="273"/>
      <c r="S214" s="273"/>
      <c r="T214" s="273"/>
      <c r="U214" s="273"/>
      <c r="V214" s="273"/>
      <c r="W214" s="168">
        <f>IF($M$188=0,0,W$188/$M$188*$M214)</f>
        <v>0</v>
      </c>
      <c r="X214" s="113"/>
      <c r="Y214" s="249">
        <f>(Y202*Y212+Y200*Y213)</f>
        <v>0</v>
      </c>
      <c r="Z214" s="89"/>
      <c r="AA214" s="168">
        <f>IF($Y$188=0,0,AA$188/$Y$188*$Y214)</f>
        <v>0</v>
      </c>
      <c r="AB214" s="168">
        <f>IF($Y$188=0,0,AB$188/$Y$188*$Y214)</f>
        <v>0</v>
      </c>
      <c r="AC214" s="168">
        <f>IF($Y$188=0,0,AC$188/$Y$188*$Y214)</f>
        <v>0</v>
      </c>
      <c r="AD214" s="168"/>
      <c r="AE214" s="168"/>
      <c r="AF214" s="168"/>
      <c r="AG214" s="168"/>
      <c r="AH214" s="168"/>
      <c r="AI214" s="168">
        <f>IF($Y$188=0,0,AI$188/$Y$188*$Y214)</f>
        <v>0</v>
      </c>
      <c r="AJ214" s="113"/>
      <c r="AK214" s="249">
        <f>(AK202*AK212+AK200*AK213)</f>
        <v>0</v>
      </c>
      <c r="AL214" s="89"/>
      <c r="AM214" s="168">
        <f>IF($AK$188=0,0,AM$188/$AK$188*$AK214)</f>
        <v>0</v>
      </c>
      <c r="AN214" s="168">
        <f>IF($AK$188=0,0,AN$188/$AK$188*$AK214)</f>
        <v>0</v>
      </c>
      <c r="AO214" s="168">
        <f>IF($AK$188=0,0,AO$188/$AK$188*$AK214)</f>
        <v>0</v>
      </c>
      <c r="AP214" s="273"/>
      <c r="AQ214" s="273"/>
      <c r="AR214" s="273"/>
      <c r="AS214" s="273"/>
      <c r="AT214" s="273"/>
      <c r="AU214" s="168">
        <f>IF($AK$188=0,0,AU$188/$AK$188*$AK214)</f>
        <v>0</v>
      </c>
      <c r="AV214" s="113"/>
      <c r="AW214" s="249">
        <f>(AW202*AW212+AW200*AW213)</f>
        <v>0</v>
      </c>
      <c r="AX214" s="89"/>
      <c r="AY214" s="168">
        <f>IF($AW$188=0,0,AY$188/$AW$188*$AW214)</f>
        <v>0</v>
      </c>
      <c r="AZ214" s="168">
        <f>IF($AW$188=0,0,AZ$188/$AW$188*$AW214)</f>
        <v>0</v>
      </c>
      <c r="BA214" s="168">
        <f>IF($AW$188=0,0,BA$188/$AW$188*$AW214)</f>
        <v>0</v>
      </c>
      <c r="BB214" s="273"/>
      <c r="BC214" s="273"/>
      <c r="BD214" s="273"/>
      <c r="BE214" s="273"/>
      <c r="BF214" s="273"/>
      <c r="BG214" s="168">
        <f>IF($AW$188=0,0,BG$188/$AW$188*$AW214)</f>
        <v>0</v>
      </c>
      <c r="BH214" s="210"/>
    </row>
    <row r="215" spans="1:60" s="2" customFormat="1">
      <c r="A215" s="1038"/>
      <c r="B215" s="1109" t="s">
        <v>231</v>
      </c>
      <c r="C215" s="1106" t="s">
        <v>96</v>
      </c>
      <c r="D215" s="644"/>
      <c r="E215" s="940" t="s">
        <v>1346</v>
      </c>
      <c r="F215" s="940"/>
      <c r="G215" s="940"/>
      <c r="H215" s="940"/>
      <c r="I215" s="77"/>
      <c r="J215" s="939"/>
      <c r="K215" s="126"/>
      <c r="L215" s="126"/>
      <c r="M215" s="938"/>
      <c r="N215" s="252"/>
      <c r="O215" s="177" t="str">
        <f t="shared" ref="O215:W215" si="184">O$10</f>
        <v>verwarming</v>
      </c>
      <c r="P215" s="177" t="str">
        <f t="shared" si="184"/>
        <v>koeling</v>
      </c>
      <c r="Q215" s="177" t="str">
        <f t="shared" si="184"/>
        <v>tapwater</v>
      </c>
      <c r="R215" s="177"/>
      <c r="S215" s="177"/>
      <c r="T215" s="177"/>
      <c r="U215" s="177"/>
      <c r="V215" s="177"/>
      <c r="W215" s="177" t="str">
        <f t="shared" si="184"/>
        <v>zonnepanelen</v>
      </c>
      <c r="X215" s="113"/>
      <c r="Y215" s="938"/>
      <c r="Z215" s="252"/>
      <c r="AA215" s="177" t="str">
        <f t="shared" ref="AA215:AI215" si="185">AA$10</f>
        <v>verwarming</v>
      </c>
      <c r="AB215" s="177" t="str">
        <f t="shared" si="185"/>
        <v>koeling</v>
      </c>
      <c r="AC215" s="177" t="str">
        <f t="shared" si="185"/>
        <v>tapwater</v>
      </c>
      <c r="AD215" s="177"/>
      <c r="AE215" s="177"/>
      <c r="AF215" s="177"/>
      <c r="AG215" s="177"/>
      <c r="AH215" s="177"/>
      <c r="AI215" s="177" t="str">
        <f t="shared" si="185"/>
        <v>zonnepanelen</v>
      </c>
      <c r="AJ215" s="113"/>
      <c r="AK215" s="938"/>
      <c r="AL215" s="252"/>
      <c r="AM215" s="177" t="str">
        <f t="shared" ref="AM215:AU215" si="186">AM$10</f>
        <v>verwarming</v>
      </c>
      <c r="AN215" s="177" t="str">
        <f t="shared" si="186"/>
        <v>koeling</v>
      </c>
      <c r="AO215" s="177" t="str">
        <f t="shared" si="186"/>
        <v>tapwater</v>
      </c>
      <c r="AP215" s="177"/>
      <c r="AQ215" s="177"/>
      <c r="AR215" s="177"/>
      <c r="AS215" s="177"/>
      <c r="AT215" s="177"/>
      <c r="AU215" s="177" t="str">
        <f t="shared" si="186"/>
        <v>zonnepanelen</v>
      </c>
      <c r="AV215" s="113"/>
      <c r="AW215" s="938"/>
      <c r="AX215" s="252"/>
      <c r="AY215" s="177" t="str">
        <f>AY$10</f>
        <v>verwarming</v>
      </c>
      <c r="AZ215" s="177" t="str">
        <f>AZ$10</f>
        <v>koeling</v>
      </c>
      <c r="BA215" s="177" t="str">
        <f>BA$10</f>
        <v>tapwater</v>
      </c>
      <c r="BB215" s="177"/>
      <c r="BC215" s="177"/>
      <c r="BD215" s="177"/>
      <c r="BE215" s="177"/>
      <c r="BF215" s="177"/>
      <c r="BG215" s="177" t="str">
        <f>BG$10</f>
        <v>zonnepanelen</v>
      </c>
      <c r="BH215" s="210"/>
    </row>
    <row r="216" spans="1:60" s="2" customFormat="1" hidden="1">
      <c r="A216" s="1038"/>
      <c r="B216" s="1109" t="s">
        <v>231</v>
      </c>
      <c r="C216" s="1106" t="s">
        <v>181</v>
      </c>
      <c r="D216" s="644"/>
      <c r="E216" s="1162" t="s">
        <v>1354</v>
      </c>
      <c r="F216" s="1162"/>
      <c r="G216" s="1162"/>
      <c r="H216" s="181" t="s">
        <v>1208</v>
      </c>
      <c r="I216" s="114"/>
      <c r="J216" s="190"/>
      <c r="K216" s="79"/>
      <c r="L216" s="79"/>
      <c r="M216" s="250">
        <f>HLOOKUP($F$5,bibliotheek!$E$304:$R$311,ROWS(bibliotheek!$E$304:$E$307),FALSE)</f>
        <v>1.35</v>
      </c>
      <c r="N216" s="114"/>
      <c r="O216" s="335"/>
      <c r="P216" s="335"/>
      <c r="Q216" s="335"/>
      <c r="R216" s="335"/>
      <c r="S216" s="335"/>
      <c r="T216" s="335"/>
      <c r="U216" s="335"/>
      <c r="V216" s="335"/>
      <c r="W216" s="335"/>
      <c r="X216" s="113"/>
      <c r="Y216" s="250">
        <f>HLOOKUP($F$5,bibliotheek!$E$304:$R$311,ROWS(bibliotheek!$E$304:$E$307),FALSE)</f>
        <v>1.35</v>
      </c>
      <c r="Z216" s="114"/>
      <c r="AA216" s="335"/>
      <c r="AB216" s="335"/>
      <c r="AC216" s="335"/>
      <c r="AD216" s="335"/>
      <c r="AE216" s="335"/>
      <c r="AF216" s="335"/>
      <c r="AG216" s="335"/>
      <c r="AH216" s="335"/>
      <c r="AI216" s="335"/>
      <c r="AJ216" s="113"/>
      <c r="AK216" s="250">
        <f>HLOOKUP($F$5,bibliotheek!$E$304:$R$311,ROWS(bibliotheek!$E$304:$E$307),FALSE)</f>
        <v>1.35</v>
      </c>
      <c r="AL216" s="114"/>
      <c r="AM216" s="335"/>
      <c r="AN216" s="335"/>
      <c r="AO216" s="335"/>
      <c r="AP216" s="335"/>
      <c r="AQ216" s="335"/>
      <c r="AR216" s="335"/>
      <c r="AS216" s="335"/>
      <c r="AT216" s="335"/>
      <c r="AU216" s="335"/>
      <c r="AV216" s="113"/>
      <c r="AW216" s="250">
        <f>HLOOKUP($F$5,bibliotheek!$E$304:$R$311,ROWS(bibliotheek!$E$304:$E$307),FALSE)</f>
        <v>1.35</v>
      </c>
      <c r="AX216" s="114"/>
      <c r="AY216" s="335"/>
      <c r="AZ216" s="335"/>
      <c r="BA216" s="335"/>
      <c r="BB216" s="335"/>
      <c r="BC216" s="335"/>
      <c r="BD216" s="335"/>
      <c r="BE216" s="335"/>
      <c r="BF216" s="335"/>
      <c r="BG216" s="335"/>
      <c r="BH216" s="210"/>
    </row>
    <row r="217" spans="1:60" s="2" customFormat="1" hidden="1">
      <c r="A217" s="1038"/>
      <c r="B217" s="1109" t="s">
        <v>231</v>
      </c>
      <c r="C217" s="1106" t="s">
        <v>181</v>
      </c>
      <c r="D217" s="644"/>
      <c r="E217" s="1162" t="s">
        <v>1355</v>
      </c>
      <c r="F217" s="1162"/>
      <c r="G217" s="1162"/>
      <c r="H217" s="181" t="s">
        <v>1208</v>
      </c>
      <c r="I217" s="114"/>
      <c r="J217" s="190"/>
      <c r="K217" s="79"/>
      <c r="L217" s="79"/>
      <c r="M217" s="250">
        <f>HLOOKUP($F$5,bibliotheek!$E$304:$R$311,ROWS(bibliotheek!$E$304:$E$308),FALSE)</f>
        <v>1</v>
      </c>
      <c r="N217" s="114"/>
      <c r="O217" s="335"/>
      <c r="P217" s="335"/>
      <c r="Q217" s="335"/>
      <c r="R217" s="335"/>
      <c r="S217" s="335"/>
      <c r="T217" s="335"/>
      <c r="U217" s="335"/>
      <c r="V217" s="335"/>
      <c r="W217" s="335"/>
      <c r="X217" s="113"/>
      <c r="Y217" s="250">
        <f>HLOOKUP($F$5,bibliotheek!$E$304:$R$311,ROWS(bibliotheek!$E$304:$E$308),FALSE)</f>
        <v>1</v>
      </c>
      <c r="Z217" s="114"/>
      <c r="AA217" s="335"/>
      <c r="AB217" s="335"/>
      <c r="AC217" s="335"/>
      <c r="AD217" s="335"/>
      <c r="AE217" s="335"/>
      <c r="AF217" s="335"/>
      <c r="AG217" s="335"/>
      <c r="AH217" s="335"/>
      <c r="AI217" s="335"/>
      <c r="AJ217" s="113"/>
      <c r="AK217" s="250">
        <f>HLOOKUP($F$5,bibliotheek!$E$304:$R$311,ROWS(bibliotheek!$E$304:$E$308),FALSE)</f>
        <v>1</v>
      </c>
      <c r="AL217" s="114"/>
      <c r="AM217" s="335"/>
      <c r="AN217" s="335"/>
      <c r="AO217" s="335"/>
      <c r="AP217" s="335"/>
      <c r="AQ217" s="335"/>
      <c r="AR217" s="335"/>
      <c r="AS217" s="335"/>
      <c r="AT217" s="335"/>
      <c r="AU217" s="335"/>
      <c r="AV217" s="113"/>
      <c r="AW217" s="250">
        <f>HLOOKUP($F$5,bibliotheek!$E$304:$R$311,ROWS(bibliotheek!$E$304:$E$308),FALSE)</f>
        <v>1</v>
      </c>
      <c r="AX217" s="114"/>
      <c r="AY217" s="335"/>
      <c r="AZ217" s="335"/>
      <c r="BA217" s="335"/>
      <c r="BB217" s="335"/>
      <c r="BC217" s="335"/>
      <c r="BD217" s="335"/>
      <c r="BE217" s="335"/>
      <c r="BF217" s="335"/>
      <c r="BG217" s="335"/>
      <c r="BH217" s="210"/>
    </row>
    <row r="218" spans="1:60" s="2" customFormat="1" hidden="1">
      <c r="A218" s="1038"/>
      <c r="B218" s="1109" t="s">
        <v>231</v>
      </c>
      <c r="C218" s="1106" t="s">
        <v>181</v>
      </c>
      <c r="D218" s="644"/>
      <c r="E218" s="1177" t="s">
        <v>1204</v>
      </c>
      <c r="F218" s="1178"/>
      <c r="G218" s="1162"/>
      <c r="H218" s="181" t="s">
        <v>65</v>
      </c>
      <c r="I218" s="114"/>
      <c r="J218" s="190"/>
      <c r="K218" s="79"/>
      <c r="L218" s="79"/>
      <c r="M218" s="250" t="s">
        <v>1205</v>
      </c>
      <c r="N218" s="114"/>
      <c r="O218" s="335"/>
      <c r="P218" s="335"/>
      <c r="Q218" s="335"/>
      <c r="R218" s="335"/>
      <c r="S218" s="335"/>
      <c r="T218" s="335"/>
      <c r="U218" s="335"/>
      <c r="V218" s="335"/>
      <c r="W218" s="335"/>
      <c r="X218" s="113"/>
      <c r="Y218" s="250" t="s">
        <v>1205</v>
      </c>
      <c r="Z218" s="114"/>
      <c r="AA218" s="335"/>
      <c r="AB218" s="335"/>
      <c r="AC218" s="335"/>
      <c r="AD218" s="335"/>
      <c r="AE218" s="335"/>
      <c r="AF218" s="335"/>
      <c r="AG218" s="335"/>
      <c r="AH218" s="335"/>
      <c r="AI218" s="335"/>
      <c r="AJ218" s="113"/>
      <c r="AK218" s="250" t="s">
        <v>1205</v>
      </c>
      <c r="AL218" s="114"/>
      <c r="AM218" s="335"/>
      <c r="AN218" s="335"/>
      <c r="AO218" s="335"/>
      <c r="AP218" s="335"/>
      <c r="AQ218" s="335"/>
      <c r="AR218" s="335"/>
      <c r="AS218" s="335"/>
      <c r="AT218" s="335"/>
      <c r="AU218" s="335"/>
      <c r="AV218" s="113"/>
      <c r="AW218" s="250" t="s">
        <v>1205</v>
      </c>
      <c r="AX218" s="114"/>
      <c r="AY218" s="335"/>
      <c r="AZ218" s="335"/>
      <c r="BA218" s="335"/>
      <c r="BB218" s="335"/>
      <c r="BC218" s="335"/>
      <c r="BD218" s="335"/>
      <c r="BE218" s="335"/>
      <c r="BF218" s="335"/>
      <c r="BG218" s="335"/>
      <c r="BH218" s="210"/>
    </row>
    <row r="219" spans="1:60" s="2" customFormat="1" hidden="1">
      <c r="A219" s="1038"/>
      <c r="B219" s="1109" t="s">
        <v>231</v>
      </c>
      <c r="C219" s="1106" t="s">
        <v>181</v>
      </c>
      <c r="D219" s="644"/>
      <c r="E219" s="1179" t="s">
        <v>1315</v>
      </c>
      <c r="F219" s="1180"/>
      <c r="G219" s="1162"/>
      <c r="H219" s="181" t="s">
        <v>65</v>
      </c>
      <c r="I219" s="114"/>
      <c r="J219" s="190"/>
      <c r="K219" s="79"/>
      <c r="L219" s="79"/>
      <c r="M219" s="250">
        <f>HLOOKUP($F$5,bibliotheek!$E$304:$R$311,ROWS(bibliotheek!$E$304:$E$310),FALSE)</f>
        <v>1</v>
      </c>
      <c r="N219" s="114"/>
      <c r="O219" s="335"/>
      <c r="P219" s="335"/>
      <c r="Q219" s="335"/>
      <c r="R219" s="335"/>
      <c r="S219" s="335"/>
      <c r="T219" s="335"/>
      <c r="U219" s="335"/>
      <c r="V219" s="335"/>
      <c r="W219" s="335"/>
      <c r="X219" s="113"/>
      <c r="Y219" s="250">
        <f>HLOOKUP($F$5,bibliotheek!$E$304:$R$311,ROWS(bibliotheek!$E$304:$E$310),FALSE)</f>
        <v>1</v>
      </c>
      <c r="Z219" s="114"/>
      <c r="AA219" s="335"/>
      <c r="AB219" s="335"/>
      <c r="AC219" s="335"/>
      <c r="AD219" s="335"/>
      <c r="AE219" s="335"/>
      <c r="AF219" s="335"/>
      <c r="AG219" s="335"/>
      <c r="AH219" s="335"/>
      <c r="AI219" s="335"/>
      <c r="AJ219" s="113"/>
      <c r="AK219" s="250">
        <f>HLOOKUP($F$5,bibliotheek!$E$304:$R$311,ROWS(bibliotheek!$E$304:$E$310),FALSE)</f>
        <v>1</v>
      </c>
      <c r="AL219" s="114"/>
      <c r="AM219" s="335"/>
      <c r="AN219" s="335"/>
      <c r="AO219" s="335"/>
      <c r="AP219" s="335"/>
      <c r="AQ219" s="335"/>
      <c r="AR219" s="335"/>
      <c r="AS219" s="335"/>
      <c r="AT219" s="335"/>
      <c r="AU219" s="335"/>
      <c r="AV219" s="113"/>
      <c r="AW219" s="250">
        <f>HLOOKUP($F$5,bibliotheek!$E$304:$R$311,ROWS(bibliotheek!$E$304:$E$310),FALSE)</f>
        <v>1</v>
      </c>
      <c r="AX219" s="114"/>
      <c r="AY219" s="335"/>
      <c r="AZ219" s="335"/>
      <c r="BA219" s="335"/>
      <c r="BB219" s="335"/>
      <c r="BC219" s="335"/>
      <c r="BD219" s="335"/>
      <c r="BE219" s="335"/>
      <c r="BF219" s="335"/>
      <c r="BG219" s="335"/>
      <c r="BH219" s="210"/>
    </row>
    <row r="220" spans="1:60" s="2" customFormat="1">
      <c r="A220" s="1038"/>
      <c r="B220" s="1109" t="s">
        <v>231</v>
      </c>
      <c r="C220" s="1106" t="s">
        <v>104</v>
      </c>
      <c r="D220" s="644"/>
      <c r="E220" s="1162" t="s">
        <v>232</v>
      </c>
      <c r="F220" s="1170"/>
      <c r="G220" s="1170"/>
      <c r="H220" s="181" t="s">
        <v>1206</v>
      </c>
      <c r="I220" s="114"/>
      <c r="J220" s="202">
        <f>M220+Y220+AK220+AW220</f>
        <v>0</v>
      </c>
      <c r="K220" s="1062"/>
      <c r="L220" s="1062"/>
      <c r="M220" s="249">
        <f>M190*M216-(M210*M216-M207*M217-M208*0)</f>
        <v>0</v>
      </c>
      <c r="N220" s="89"/>
      <c r="O220" s="335"/>
      <c r="P220" s="335"/>
      <c r="Q220" s="335"/>
      <c r="R220" s="335"/>
      <c r="S220" s="335"/>
      <c r="T220" s="335"/>
      <c r="U220" s="335"/>
      <c r="V220" s="335"/>
      <c r="W220" s="335"/>
      <c r="X220" s="113"/>
      <c r="Y220" s="249">
        <f>Y190*Y216-(Y210*Y216-Y207*Y217-Y208*0)</f>
        <v>0</v>
      </c>
      <c r="Z220" s="89"/>
      <c r="AA220" s="335"/>
      <c r="AB220" s="335"/>
      <c r="AC220" s="335"/>
      <c r="AD220" s="335"/>
      <c r="AE220" s="335"/>
      <c r="AF220" s="335"/>
      <c r="AG220" s="335"/>
      <c r="AH220" s="335"/>
      <c r="AI220" s="335"/>
      <c r="AJ220" s="113"/>
      <c r="AK220" s="249">
        <f>AK190*AK216-(AK210*AK216-AK207*AK217-AK208*0)</f>
        <v>0</v>
      </c>
      <c r="AL220" s="89"/>
      <c r="AM220" s="335"/>
      <c r="AN220" s="335"/>
      <c r="AO220" s="335"/>
      <c r="AP220" s="335"/>
      <c r="AQ220" s="335"/>
      <c r="AR220" s="335"/>
      <c r="AS220" s="335"/>
      <c r="AT220" s="335"/>
      <c r="AU220" s="335"/>
      <c r="AV220" s="113"/>
      <c r="AW220" s="249">
        <f>AW190*AW216-(AW210*AW216-AW207*AW217-AW208*0)</f>
        <v>0</v>
      </c>
      <c r="AX220" s="89"/>
      <c r="AY220" s="335"/>
      <c r="AZ220" s="335"/>
      <c r="BA220" s="335"/>
      <c r="BB220" s="335"/>
      <c r="BC220" s="335"/>
      <c r="BD220" s="335"/>
      <c r="BE220" s="335"/>
      <c r="BF220" s="335"/>
      <c r="BG220" s="335"/>
      <c r="BH220" s="210"/>
    </row>
    <row r="221" spans="1:60" s="2" customFormat="1">
      <c r="A221" s="1038"/>
      <c r="B221" s="1109" t="s">
        <v>231</v>
      </c>
      <c r="C221" s="1106" t="s">
        <v>96</v>
      </c>
      <c r="D221" s="644"/>
      <c r="E221" s="940" t="s">
        <v>233</v>
      </c>
      <c r="F221" s="940"/>
      <c r="G221" s="940"/>
      <c r="H221" s="940"/>
      <c r="I221" s="77"/>
      <c r="J221" s="939"/>
      <c r="K221" s="126"/>
      <c r="L221" s="126"/>
      <c r="M221" s="938"/>
      <c r="N221" s="252"/>
      <c r="O221" s="177" t="str">
        <f>O$10</f>
        <v>verwarming</v>
      </c>
      <c r="P221" s="177" t="str">
        <f>P$10</f>
        <v>koeling</v>
      </c>
      <c r="Q221" s="177" t="str">
        <f>Q$10</f>
        <v>tapwater</v>
      </c>
      <c r="R221" s="177"/>
      <c r="S221" s="177"/>
      <c r="T221" s="177"/>
      <c r="U221" s="177"/>
      <c r="V221" s="177"/>
      <c r="W221" s="177" t="str">
        <f>W$10</f>
        <v>zonnepanelen</v>
      </c>
      <c r="X221" s="253"/>
      <c r="Y221" s="938"/>
      <c r="Z221" s="252"/>
      <c r="AA221" s="177" t="str">
        <f>AA$10</f>
        <v>verwarming</v>
      </c>
      <c r="AB221" s="177" t="str">
        <f>AB$10</f>
        <v>koeling</v>
      </c>
      <c r="AC221" s="177" t="str">
        <f>AC$10</f>
        <v>tapwater</v>
      </c>
      <c r="AD221" s="177"/>
      <c r="AE221" s="177"/>
      <c r="AF221" s="177"/>
      <c r="AG221" s="177"/>
      <c r="AH221" s="177"/>
      <c r="AI221" s="177" t="str">
        <f>AI$10</f>
        <v>zonnepanelen</v>
      </c>
      <c r="AJ221" s="253"/>
      <c r="AK221" s="938"/>
      <c r="AL221" s="252"/>
      <c r="AM221" s="177" t="str">
        <f>AM$10</f>
        <v>verwarming</v>
      </c>
      <c r="AN221" s="177" t="str">
        <f>AN$10</f>
        <v>koeling</v>
      </c>
      <c r="AO221" s="177" t="str">
        <f>AO$10</f>
        <v>tapwater</v>
      </c>
      <c r="AP221" s="177"/>
      <c r="AQ221" s="177"/>
      <c r="AR221" s="177"/>
      <c r="AS221" s="177"/>
      <c r="AT221" s="177"/>
      <c r="AU221" s="177" t="str">
        <f>AU$10</f>
        <v>zonnepanelen</v>
      </c>
      <c r="AV221" s="253"/>
      <c r="AW221" s="938"/>
      <c r="AX221" s="252"/>
      <c r="AY221" s="177" t="str">
        <f>AY$10</f>
        <v>verwarming</v>
      </c>
      <c r="AZ221" s="177" t="str">
        <f>AZ$10</f>
        <v>koeling</v>
      </c>
      <c r="BA221" s="177" t="str">
        <f>BA$10</f>
        <v>tapwater</v>
      </c>
      <c r="BB221" s="177"/>
      <c r="BC221" s="177"/>
      <c r="BD221" s="177"/>
      <c r="BE221" s="177"/>
      <c r="BF221" s="177"/>
      <c r="BG221" s="177" t="str">
        <f>BG$10</f>
        <v>zonnepanelen</v>
      </c>
    </row>
    <row r="222" spans="1:60" s="2" customFormat="1" hidden="1">
      <c r="A222" s="1038"/>
      <c r="B222" s="1109" t="s">
        <v>231</v>
      </c>
      <c r="C222" s="1106" t="s">
        <v>181</v>
      </c>
      <c r="D222" s="644"/>
      <c r="E222" s="180" t="s">
        <v>234</v>
      </c>
      <c r="F222" s="180"/>
      <c r="G222" s="180"/>
      <c r="H222" s="181" t="s">
        <v>207</v>
      </c>
      <c r="I222" s="114"/>
      <c r="J222" s="190"/>
      <c r="K222" s="79"/>
      <c r="L222" s="79"/>
      <c r="M222" s="359">
        <f>$H$5</f>
        <v>0.26800000000000002</v>
      </c>
      <c r="N222" s="358"/>
      <c r="O222" s="336"/>
      <c r="P222" s="336"/>
      <c r="Q222" s="336"/>
      <c r="R222" s="336"/>
      <c r="S222" s="336"/>
      <c r="T222" s="336"/>
      <c r="U222" s="336"/>
      <c r="V222" s="336"/>
      <c r="W222" s="336"/>
      <c r="X222" s="360"/>
      <c r="Y222" s="359">
        <f>$H$5</f>
        <v>0.26800000000000002</v>
      </c>
      <c r="Z222" s="358"/>
      <c r="AA222" s="336"/>
      <c r="AB222" s="336"/>
      <c r="AC222" s="336"/>
      <c r="AD222" s="336"/>
      <c r="AE222" s="336"/>
      <c r="AF222" s="336"/>
      <c r="AG222" s="336"/>
      <c r="AH222" s="336"/>
      <c r="AI222" s="336"/>
      <c r="AJ222" s="360"/>
      <c r="AK222" s="359">
        <f>$H$5</f>
        <v>0.26800000000000002</v>
      </c>
      <c r="AL222" s="358"/>
      <c r="AM222" s="336"/>
      <c r="AN222" s="336"/>
      <c r="AO222" s="336"/>
      <c r="AP222" s="336"/>
      <c r="AQ222" s="336"/>
      <c r="AR222" s="336"/>
      <c r="AS222" s="336"/>
      <c r="AT222" s="336"/>
      <c r="AU222" s="336"/>
      <c r="AV222" s="360"/>
      <c r="AW222" s="359">
        <f>$H$5</f>
        <v>0.26800000000000002</v>
      </c>
      <c r="AX222" s="114"/>
      <c r="AY222" s="335"/>
      <c r="AZ222" s="335"/>
      <c r="BA222" s="335"/>
      <c r="BB222" s="335"/>
      <c r="BC222" s="335"/>
      <c r="BD222" s="335"/>
      <c r="BE222" s="335"/>
      <c r="BF222" s="335"/>
      <c r="BG222" s="335"/>
      <c r="BH222" s="219"/>
    </row>
    <row r="223" spans="1:60" s="2" customFormat="1" hidden="1">
      <c r="A223" s="1038"/>
      <c r="B223" s="1109" t="s">
        <v>231</v>
      </c>
      <c r="C223" s="1106" t="s">
        <v>181</v>
      </c>
      <c r="D223" s="644"/>
      <c r="E223" s="180" t="s">
        <v>235</v>
      </c>
      <c r="F223" s="180"/>
      <c r="G223" s="180"/>
      <c r="H223" s="181" t="s">
        <v>207</v>
      </c>
      <c r="I223" s="114"/>
      <c r="J223" s="190"/>
      <c r="K223" s="79"/>
      <c r="L223" s="79"/>
      <c r="M223" s="359">
        <f>HLOOKUP($F$5,elektriciteit_primaire_energiefactor,ROWS(bibliotheek!$E$304:$E$312),FALSE)</f>
        <v>0.26800000000000002</v>
      </c>
      <c r="N223" s="358"/>
      <c r="O223" s="336"/>
      <c r="P223" s="336"/>
      <c r="Q223" s="336"/>
      <c r="R223" s="336"/>
      <c r="S223" s="336"/>
      <c r="T223" s="336"/>
      <c r="U223" s="336"/>
      <c r="V223" s="336"/>
      <c r="W223" s="336"/>
      <c r="X223" s="360"/>
      <c r="Y223" s="359">
        <f>HLOOKUP($F$5,elektriciteit_primaire_energiefactor,ROWS(bibliotheek!$E$304:$E$312),FALSE)</f>
        <v>0.26800000000000002</v>
      </c>
      <c r="Z223" s="358"/>
      <c r="AA223" s="336"/>
      <c r="AB223" s="336"/>
      <c r="AC223" s="336"/>
      <c r="AD223" s="336"/>
      <c r="AE223" s="336"/>
      <c r="AF223" s="336"/>
      <c r="AG223" s="336"/>
      <c r="AH223" s="336"/>
      <c r="AI223" s="336"/>
      <c r="AJ223" s="360"/>
      <c r="AK223" s="359">
        <f>HLOOKUP($F$5,elektriciteit_primaire_energiefactor,ROWS(bibliotheek!$E$304:$E$312),FALSE)</f>
        <v>0.26800000000000002</v>
      </c>
      <c r="AL223" s="358"/>
      <c r="AM223" s="336"/>
      <c r="AN223" s="336"/>
      <c r="AO223" s="336"/>
      <c r="AP223" s="336"/>
      <c r="AQ223" s="336"/>
      <c r="AR223" s="336"/>
      <c r="AS223" s="336"/>
      <c r="AT223" s="336"/>
      <c r="AU223" s="336"/>
      <c r="AV223" s="360"/>
      <c r="AW223" s="359">
        <f>HLOOKUP($F$5,elektriciteit_primaire_energiefactor,ROWS(bibliotheek!$E$304:$E$312),FALSE)</f>
        <v>0.26800000000000002</v>
      </c>
      <c r="AX223" s="114"/>
      <c r="AY223" s="335"/>
      <c r="AZ223" s="335"/>
      <c r="BA223" s="335"/>
      <c r="BB223" s="335"/>
      <c r="BC223" s="335"/>
      <c r="BD223" s="335"/>
      <c r="BE223" s="335"/>
      <c r="BF223" s="335"/>
      <c r="BG223" s="335"/>
      <c r="BH223" s="219"/>
    </row>
    <row r="224" spans="1:60" s="2" customFormat="1">
      <c r="A224" s="1038"/>
      <c r="B224" s="1109" t="s">
        <v>231</v>
      </c>
      <c r="C224" s="1106" t="s">
        <v>104</v>
      </c>
      <c r="D224" s="644"/>
      <c r="E224" s="1123" t="s">
        <v>232</v>
      </c>
      <c r="F224" s="181"/>
      <c r="G224" s="181"/>
      <c r="H224" s="181" t="s">
        <v>209</v>
      </c>
      <c r="I224" s="114"/>
      <c r="J224" s="202">
        <f>M224+Y224+AK224+AW224</f>
        <v>0</v>
      </c>
      <c r="K224" s="1062"/>
      <c r="L224" s="1062"/>
      <c r="M224" s="202">
        <f>M187*M222+M186*M223</f>
        <v>0</v>
      </c>
      <c r="N224" s="89"/>
      <c r="O224" s="168">
        <f>IF($M$188=0,0,O$188/$M$188*$M224)</f>
        <v>0</v>
      </c>
      <c r="P224" s="168">
        <f>IF($M$188=0,0,P$188/$M$188*$M224)</f>
        <v>0</v>
      </c>
      <c r="Q224" s="168">
        <f>IF($M$188=0,0,Q$188/$M$188*$M224)</f>
        <v>0</v>
      </c>
      <c r="R224" s="273"/>
      <c r="S224" s="273"/>
      <c r="T224" s="273"/>
      <c r="U224" s="273"/>
      <c r="V224" s="273"/>
      <c r="W224" s="168">
        <f>IF($M$188=0,0,W$188/$M$188*$M224)</f>
        <v>0</v>
      </c>
      <c r="X224" s="113"/>
      <c r="Y224" s="202">
        <f>Y187*Y222+Y186*Y223</f>
        <v>0</v>
      </c>
      <c r="Z224" s="89"/>
      <c r="AA224" s="168">
        <f>IF($Y$188=0,0,AA$188/$Y$188*$Y224)</f>
        <v>0</v>
      </c>
      <c r="AB224" s="168">
        <f>IF($Y$188=0,0,AB$188/$Y$188*$Y224)</f>
        <v>0</v>
      </c>
      <c r="AC224" s="168">
        <f>IF($Y$188=0,0,AC$188/$Y$188*$Y224)</f>
        <v>0</v>
      </c>
      <c r="AD224" s="273"/>
      <c r="AE224" s="273"/>
      <c r="AF224" s="273"/>
      <c r="AG224" s="273"/>
      <c r="AH224" s="273"/>
      <c r="AI224" s="168">
        <f>IF($Y$188=0,0,AI$188/$Y$188*$Y224)</f>
        <v>0</v>
      </c>
      <c r="AJ224" s="113"/>
      <c r="AK224" s="202">
        <f>AK187*AK222+AK186*AK223</f>
        <v>0</v>
      </c>
      <c r="AL224" s="89"/>
      <c r="AM224" s="168">
        <f>IF($AK$188=0,0,AM$188/$AK$188*$AK224)</f>
        <v>0</v>
      </c>
      <c r="AN224" s="168">
        <f>IF($AK$188=0,0,AN$188/$AK$188*$AK224)</f>
        <v>0</v>
      </c>
      <c r="AO224" s="168">
        <f>IF($AK$188=0,0,AO$188/$AK$188*$AK224)</f>
        <v>0</v>
      </c>
      <c r="AP224" s="273"/>
      <c r="AQ224" s="273"/>
      <c r="AR224" s="273"/>
      <c r="AS224" s="273"/>
      <c r="AT224" s="273"/>
      <c r="AU224" s="168">
        <f>IF($AK$188=0,0,AU$188/$AK$188*$AK224)</f>
        <v>0</v>
      </c>
      <c r="AV224" s="113"/>
      <c r="AW224" s="202">
        <f>AW187*AW222+AW186*AW223</f>
        <v>0</v>
      </c>
      <c r="AX224" s="89"/>
      <c r="AY224" s="168">
        <f>IF($AW$188=0,0,AY$188/$AW$188*$AW224)</f>
        <v>0</v>
      </c>
      <c r="AZ224" s="168">
        <f>IF($AW$188=0,0,AZ$188/$AW$188*$AW224)</f>
        <v>0</v>
      </c>
      <c r="BA224" s="168">
        <f>IF($AW$188=0,0,BA$188/$AW$188*$AW224)</f>
        <v>0</v>
      </c>
      <c r="BB224" s="273"/>
      <c r="BC224" s="273"/>
      <c r="BD224" s="273"/>
      <c r="BE224" s="273"/>
      <c r="BF224" s="273"/>
      <c r="BG224" s="168">
        <f>IF($AW$188=0,0,BG$188/$AW$188*$AW224)</f>
        <v>0</v>
      </c>
      <c r="BH224" s="210"/>
    </row>
    <row r="225" spans="1:60">
      <c r="A225" s="1040"/>
      <c r="B225" s="1109" t="s">
        <v>231</v>
      </c>
      <c r="C225" s="1106" t="s">
        <v>96</v>
      </c>
      <c r="D225" s="638"/>
      <c r="E225" s="79"/>
      <c r="F225" s="79"/>
      <c r="G225" s="79"/>
      <c r="H225" s="85"/>
      <c r="I225" s="79"/>
      <c r="J225" s="82"/>
      <c r="K225" s="79"/>
      <c r="L225" s="79"/>
      <c r="M225" s="1169"/>
      <c r="N225" s="79"/>
      <c r="O225" s="108"/>
      <c r="P225" s="108"/>
      <c r="Q225" s="108"/>
      <c r="R225" s="82"/>
      <c r="S225" s="82"/>
      <c r="T225" s="82"/>
      <c r="U225" s="82"/>
      <c r="V225" s="82"/>
      <c r="W225" s="82"/>
      <c r="X225" s="82"/>
      <c r="Y225" s="82"/>
      <c r="Z225" s="79"/>
      <c r="AA225" s="108"/>
      <c r="AB225" s="108"/>
      <c r="AC225" s="108"/>
      <c r="AD225" s="82"/>
      <c r="AE225" s="82"/>
      <c r="AF225" s="82"/>
      <c r="AG225" s="82"/>
      <c r="AH225" s="82"/>
      <c r="AI225" s="82"/>
      <c r="AJ225" s="82"/>
      <c r="AK225" s="82"/>
      <c r="AL225" s="79"/>
      <c r="AM225" s="108"/>
      <c r="AN225" s="108"/>
      <c r="AO225" s="108"/>
      <c r="AP225" s="82"/>
      <c r="AQ225" s="82"/>
      <c r="AR225" s="82"/>
      <c r="AS225" s="82"/>
      <c r="AT225" s="82"/>
      <c r="AU225" s="82"/>
      <c r="AV225" s="82"/>
      <c r="AW225" s="82"/>
      <c r="AX225" s="79"/>
      <c r="AY225" s="108"/>
      <c r="AZ225" s="108"/>
      <c r="BA225" s="108"/>
      <c r="BB225" s="108"/>
      <c r="BC225" s="108"/>
      <c r="BD225" s="108"/>
      <c r="BE225" s="108"/>
      <c r="BF225" s="108"/>
      <c r="BG225" s="108"/>
      <c r="BH225" s="1"/>
    </row>
    <row r="226" spans="1:60">
      <c r="A226" s="1040"/>
      <c r="B226" s="1109" t="s">
        <v>236</v>
      </c>
      <c r="C226" s="1107" t="s">
        <v>96</v>
      </c>
      <c r="D226" s="638"/>
      <c r="E226" s="79"/>
      <c r="F226" s="79"/>
      <c r="G226" s="79"/>
      <c r="H226" s="79"/>
      <c r="I226" s="79"/>
      <c r="J226" s="82"/>
      <c r="K226" s="79"/>
      <c r="L226" s="79"/>
      <c r="M226" s="1169"/>
      <c r="N226" s="79"/>
      <c r="O226" s="113"/>
      <c r="P226" s="108"/>
      <c r="Q226" s="82"/>
      <c r="R226" s="82"/>
      <c r="S226" s="82"/>
      <c r="T226" s="82"/>
      <c r="U226" s="82"/>
      <c r="V226" s="82"/>
      <c r="W226" s="82"/>
      <c r="X226" s="82"/>
      <c r="Y226" s="82"/>
      <c r="Z226" s="79"/>
      <c r="AA226" s="82"/>
      <c r="AB226" s="82"/>
      <c r="AC226" s="82"/>
      <c r="AD226" s="82"/>
      <c r="AE226" s="82"/>
      <c r="AF226" s="82"/>
      <c r="AG226" s="82"/>
      <c r="AH226" s="82"/>
      <c r="AI226" s="82"/>
      <c r="AJ226" s="82"/>
      <c r="AK226" s="82"/>
      <c r="AL226" s="79"/>
      <c r="AM226" s="82"/>
      <c r="AN226" s="82"/>
      <c r="AO226" s="82"/>
      <c r="AP226" s="82"/>
      <c r="AQ226" s="82"/>
      <c r="AR226" s="82"/>
      <c r="AS226" s="82"/>
      <c r="AT226" s="82"/>
      <c r="AU226" s="82"/>
      <c r="AV226" s="82"/>
      <c r="AW226" s="82"/>
      <c r="AX226" s="79"/>
      <c r="AY226" s="82"/>
      <c r="AZ226" s="82"/>
      <c r="BA226" s="82"/>
      <c r="BB226" s="82"/>
      <c r="BC226" s="82"/>
      <c r="BD226" s="82"/>
      <c r="BE226" s="82"/>
      <c r="BF226" s="82"/>
      <c r="BG226" s="82"/>
      <c r="BH226" s="1"/>
    </row>
    <row r="227" spans="1:60" ht="21">
      <c r="A227" s="1040"/>
      <c r="B227" s="1109" t="s">
        <v>236</v>
      </c>
      <c r="C227" s="1106" t="s">
        <v>96</v>
      </c>
      <c r="D227" s="643"/>
      <c r="E227" s="1181" t="s">
        <v>237</v>
      </c>
      <c r="F227" s="199"/>
      <c r="G227" s="692"/>
      <c r="H227" s="692"/>
      <c r="I227" s="77"/>
      <c r="J227" s="200" t="str">
        <f>J$10</f>
        <v>alle locaties</v>
      </c>
      <c r="K227" s="126"/>
      <c r="L227" s="126"/>
      <c r="M227" s="200" t="str">
        <f>M$10</f>
        <v>locatie 1</v>
      </c>
      <c r="N227" s="182"/>
      <c r="O227" s="966" t="str">
        <f>$E227&amp;" per energiepost"</f>
        <v>finaal energiegebruik per energiepost</v>
      </c>
      <c r="P227" s="941"/>
      <c r="Q227" s="941"/>
      <c r="R227" s="941"/>
      <c r="S227" s="941"/>
      <c r="T227" s="941"/>
      <c r="U227" s="941"/>
      <c r="V227" s="941"/>
      <c r="W227" s="956"/>
      <c r="X227" s="174"/>
      <c r="Y227" s="200" t="str">
        <f>Y$10</f>
        <v>locatie 2</v>
      </c>
      <c r="Z227" s="182"/>
      <c r="AA227" s="966" t="str">
        <f>$E227&amp;" per energiepost"</f>
        <v>finaal energiegebruik per energiepost</v>
      </c>
      <c r="AB227" s="941"/>
      <c r="AC227" s="941"/>
      <c r="AD227" s="941"/>
      <c r="AE227" s="941"/>
      <c r="AF227" s="941"/>
      <c r="AG227" s="941"/>
      <c r="AH227" s="941"/>
      <c r="AI227" s="956"/>
      <c r="AJ227" s="174"/>
      <c r="AK227" s="200" t="str">
        <f>AK$10</f>
        <v>locatie 3</v>
      </c>
      <c r="AL227" s="182"/>
      <c r="AM227" s="966" t="str">
        <f>$E227&amp;" per energiepost"</f>
        <v>finaal energiegebruik per energiepost</v>
      </c>
      <c r="AN227" s="941"/>
      <c r="AO227" s="941"/>
      <c r="AP227" s="941"/>
      <c r="AQ227" s="941"/>
      <c r="AR227" s="941"/>
      <c r="AS227" s="941"/>
      <c r="AT227" s="941"/>
      <c r="AU227" s="956"/>
      <c r="AV227" s="174"/>
      <c r="AW227" s="200" t="str">
        <f>AW$10</f>
        <v>locatie 4</v>
      </c>
      <c r="AX227" s="182"/>
      <c r="AY227" s="966" t="str">
        <f>$E227&amp;" per energiepost"</f>
        <v>finaal energiegebruik per energiepost</v>
      </c>
      <c r="AZ227" s="941"/>
      <c r="BA227" s="941"/>
      <c r="BB227" s="941"/>
      <c r="BC227" s="941"/>
      <c r="BD227" s="941"/>
      <c r="BE227" s="941"/>
      <c r="BF227" s="941"/>
      <c r="BG227" s="956"/>
      <c r="BH227" s="1"/>
    </row>
    <row r="228" spans="1:60">
      <c r="A228" s="1040"/>
      <c r="B228" s="1109" t="s">
        <v>236</v>
      </c>
      <c r="C228" s="1106" t="s">
        <v>96</v>
      </c>
      <c r="D228" s="638"/>
      <c r="E228" s="940" t="s">
        <v>238</v>
      </c>
      <c r="F228" s="940"/>
      <c r="G228" s="940"/>
      <c r="H228" s="940"/>
      <c r="I228" s="77"/>
      <c r="J228" s="939"/>
      <c r="K228" s="126"/>
      <c r="L228" s="126"/>
      <c r="M228" s="938"/>
      <c r="N228" s="191"/>
      <c r="O228" s="177" t="str">
        <f t="shared" ref="O228:W228" si="187">O$10</f>
        <v>verwarming</v>
      </c>
      <c r="P228" s="177" t="str">
        <f t="shared" si="187"/>
        <v>koeling</v>
      </c>
      <c r="Q228" s="177" t="str">
        <f t="shared" si="187"/>
        <v>tapwater</v>
      </c>
      <c r="R228" s="177" t="str">
        <f t="shared" si="187"/>
        <v>verlichting</v>
      </c>
      <c r="S228" s="177" t="str">
        <f t="shared" si="187"/>
        <v>ventilatoren</v>
      </c>
      <c r="T228" s="177" t="str">
        <f t="shared" si="187"/>
        <v>kookgas</v>
      </c>
      <c r="U228" s="177" t="str">
        <f t="shared" si="187"/>
        <v>overig elektra</v>
      </c>
      <c r="V228" s="177" t="str">
        <f t="shared" si="187"/>
        <v>mobiliteit</v>
      </c>
      <c r="W228" s="177" t="str">
        <f t="shared" si="187"/>
        <v>zonnepanelen</v>
      </c>
      <c r="X228" s="191"/>
      <c r="Y228" s="938"/>
      <c r="Z228" s="191"/>
      <c r="AA228" s="177" t="str">
        <f t="shared" ref="AA228:AI228" si="188">AA$10</f>
        <v>verwarming</v>
      </c>
      <c r="AB228" s="177" t="str">
        <f t="shared" si="188"/>
        <v>koeling</v>
      </c>
      <c r="AC228" s="177" t="str">
        <f t="shared" si="188"/>
        <v>tapwater</v>
      </c>
      <c r="AD228" s="177" t="str">
        <f t="shared" si="188"/>
        <v>verlichting</v>
      </c>
      <c r="AE228" s="177" t="str">
        <f t="shared" si="188"/>
        <v>ventilatoren</v>
      </c>
      <c r="AF228" s="177" t="str">
        <f t="shared" si="188"/>
        <v>kookgas</v>
      </c>
      <c r="AG228" s="177" t="str">
        <f t="shared" si="188"/>
        <v>overig elektra</v>
      </c>
      <c r="AH228" s="177" t="str">
        <f t="shared" si="188"/>
        <v>mobiliteit</v>
      </c>
      <c r="AI228" s="177" t="str">
        <f t="shared" si="188"/>
        <v>zonnepanelen</v>
      </c>
      <c r="AJ228" s="191"/>
      <c r="AK228" s="938"/>
      <c r="AL228" s="191"/>
      <c r="AM228" s="177" t="str">
        <f t="shared" ref="AM228:AU228" si="189">AM$10</f>
        <v>verwarming</v>
      </c>
      <c r="AN228" s="177" t="str">
        <f t="shared" si="189"/>
        <v>koeling</v>
      </c>
      <c r="AO228" s="177" t="str">
        <f t="shared" si="189"/>
        <v>tapwater</v>
      </c>
      <c r="AP228" s="177" t="str">
        <f t="shared" si="189"/>
        <v>verlichting</v>
      </c>
      <c r="AQ228" s="177" t="str">
        <f t="shared" si="189"/>
        <v>ventilatoren</v>
      </c>
      <c r="AR228" s="177" t="str">
        <f t="shared" si="189"/>
        <v>kookgas</v>
      </c>
      <c r="AS228" s="177" t="str">
        <f t="shared" si="189"/>
        <v>overig elektra</v>
      </c>
      <c r="AT228" s="177" t="str">
        <f t="shared" si="189"/>
        <v>mobiliteit</v>
      </c>
      <c r="AU228" s="177" t="str">
        <f t="shared" si="189"/>
        <v>zonnepanelen</v>
      </c>
      <c r="AV228" s="191"/>
      <c r="AW228" s="938"/>
      <c r="AX228" s="191"/>
      <c r="AY228" s="177" t="str">
        <f t="shared" ref="AY228:BG228" si="190">AY$10</f>
        <v>verwarming</v>
      </c>
      <c r="AZ228" s="177" t="str">
        <f t="shared" si="190"/>
        <v>koeling</v>
      </c>
      <c r="BA228" s="177" t="str">
        <f t="shared" si="190"/>
        <v>tapwater</v>
      </c>
      <c r="BB228" s="177" t="str">
        <f t="shared" si="190"/>
        <v>verlichting</v>
      </c>
      <c r="BC228" s="177" t="str">
        <f t="shared" si="190"/>
        <v>ventilatoren</v>
      </c>
      <c r="BD228" s="177" t="str">
        <f t="shared" si="190"/>
        <v>kookgas</v>
      </c>
      <c r="BE228" s="177" t="str">
        <f t="shared" si="190"/>
        <v>overig elektra</v>
      </c>
      <c r="BF228" s="177" t="str">
        <f t="shared" si="190"/>
        <v>mobiliteit</v>
      </c>
      <c r="BG228" s="177" t="str">
        <f t="shared" si="190"/>
        <v>zonnepanelen</v>
      </c>
      <c r="BH228" s="36"/>
    </row>
    <row r="229" spans="1:60">
      <c r="A229" s="1040"/>
      <c r="B229" s="1109" t="s">
        <v>236</v>
      </c>
      <c r="C229" s="1107" t="s">
        <v>104</v>
      </c>
      <c r="D229" s="641"/>
      <c r="E229" s="180" t="s">
        <v>239</v>
      </c>
      <c r="F229" s="180"/>
      <c r="G229" s="180"/>
      <c r="H229" s="201" t="str">
        <f>m3gas&amp;"/won.geb"</f>
        <v>m3/won.geb</v>
      </c>
      <c r="I229" s="114"/>
      <c r="J229" s="202"/>
      <c r="K229" s="234"/>
      <c r="L229" s="234"/>
      <c r="M229" s="190">
        <f>SUM(N229:X229)</f>
        <v>0</v>
      </c>
      <c r="N229" s="119"/>
      <c r="O229" s="183">
        <f>IF(O$27=0,0,((AND(O$84=gebouw,O$105=aardgas))*O$116+(AND(O$84=gebouw,O$141=aardgas))*O$147)*1000/bibliotheek!$I$508/O$27)</f>
        <v>0</v>
      </c>
      <c r="P229" s="183">
        <f>IF(P$27=0,0,((AND(P$84=gebouw,P$105=aardgas))*P$116+(AND(P$84=gebouw,P$141=aardgas))*P$147)*1000/bibliotheek!$I$508/P$27)</f>
        <v>0</v>
      </c>
      <c r="Q229" s="183">
        <f>IF(Q$27=0,0,((AND(Q$84=gebouw,Q$105=aardgas))*Q$116+(AND(Q$84=gebouw,Q$141=aardgas))*Q$147)*1000/bibliotheek!$I$508/Q$27)</f>
        <v>0</v>
      </c>
      <c r="R229" s="310"/>
      <c r="S229" s="310"/>
      <c r="T229" s="183">
        <f>IF(T$27=0,0,T$78*1000/bibliotheek!$I$508/T$27)</f>
        <v>0</v>
      </c>
      <c r="U229" s="310"/>
      <c r="V229" s="310"/>
      <c r="W229" s="310"/>
      <c r="X229" s="108"/>
      <c r="Y229" s="190">
        <f>SUM(Z229:AJ229)</f>
        <v>0</v>
      </c>
      <c r="Z229" s="119"/>
      <c r="AA229" s="183">
        <f>IF(AA$27=0,0,((AND(AA$84=gebouw,AA$105=aardgas))*AA$116+(AND(AA$84=gebouw,AA$141=aardgas))*AA$147)*1000/bibliotheek!$I$508/AA$27)</f>
        <v>0</v>
      </c>
      <c r="AB229" s="183">
        <f>IF(AB$27=0,0,((AND(AB$84=gebouw,AB$105=aardgas))*AB$116+(AND(AB$84=gebouw,AB$141=aardgas))*AB$147)*1000/bibliotheek!$I$508/AB$27)</f>
        <v>0</v>
      </c>
      <c r="AC229" s="183">
        <f>IF(AC$27=0,0,((AND(AC$84=gebouw,AC$105=aardgas))*AC$116+(AND(AC$84=gebouw,AC$141=aardgas))*AC$147)*1000/bibliotheek!$I$508/AC$27)</f>
        <v>0</v>
      </c>
      <c r="AD229" s="310"/>
      <c r="AE229" s="310"/>
      <c r="AF229" s="183">
        <f>IF(AF$27=0,0,AF$78*1000/bibliotheek!$I$508/AF$27)</f>
        <v>0</v>
      </c>
      <c r="AG229" s="310"/>
      <c r="AH229" s="310"/>
      <c r="AI229" s="310"/>
      <c r="AJ229" s="108"/>
      <c r="AK229" s="190">
        <f>SUM(AL229:AV229)</f>
        <v>0</v>
      </c>
      <c r="AL229" s="119"/>
      <c r="AM229" s="183">
        <f>IF(AM$27=0,0,((AND(AM$84=gebouw,AM$105=aardgas))*AM$116+(AND(AM$84=gebouw,AM$141=aardgas))*AM$147)*1000/bibliotheek!$I$508/AM$27)</f>
        <v>0</v>
      </c>
      <c r="AN229" s="183">
        <f>IF(AN$27=0,0,((AND(AN$84=gebouw,AN$105=aardgas))*AN$116+(AND(AN$84=gebouw,AN$141=aardgas))*AN$147)*1000/bibliotheek!$I$508/AN$27)</f>
        <v>0</v>
      </c>
      <c r="AO229" s="183">
        <f>IF(AO$27=0,0,((AND(AO$84=gebouw,AO$105=aardgas))*AO$116+(AND(AO$84=gebouw,AO$141=aardgas))*AO$147)*1000/bibliotheek!$I$508/AO$27)</f>
        <v>0</v>
      </c>
      <c r="AP229" s="310"/>
      <c r="AQ229" s="310"/>
      <c r="AR229" s="183">
        <f>IF(AR$27=0,0,AR$78*1000/bibliotheek!$I$508/AR$27)</f>
        <v>0</v>
      </c>
      <c r="AS229" s="310"/>
      <c r="AT229" s="310"/>
      <c r="AU229" s="310"/>
      <c r="AV229" s="108"/>
      <c r="AW229" s="190">
        <f>SUM(AX229:BH229)</f>
        <v>0</v>
      </c>
      <c r="AX229" s="119"/>
      <c r="AY229" s="183">
        <f>IF(AY$27=0,0,((AND(AY$84=gebouw,AY$105=aardgas))*AY$116+(AND(AY$84=gebouw,AY$141=aardgas))*AY$147)*1000/bibliotheek!$I$508/AY$27)</f>
        <v>0</v>
      </c>
      <c r="AZ229" s="183">
        <f>IF(AZ$27=0,0,((AND(AZ$84=gebouw,AZ$105=aardgas))*AZ$116+(AND(AZ$84=gebouw,AZ$141=aardgas))*AZ$147)*1000/bibliotheek!$I$508/AZ$27)</f>
        <v>0</v>
      </c>
      <c r="BA229" s="183">
        <f>IF(BA$27=0,0,((AND(BA$84=gebouw,BA$105=aardgas))*BA$116+(AND(BA$84=gebouw,BA$141=aardgas))*BA$147)*1000/bibliotheek!$I$508/BA$27)</f>
        <v>0</v>
      </c>
      <c r="BB229" s="310"/>
      <c r="BC229" s="310"/>
      <c r="BD229" s="183">
        <f>IF(BD$27=0,0,BD$78*1000/bibliotheek!$I$508/BD$27)</f>
        <v>0</v>
      </c>
      <c r="BE229" s="310"/>
      <c r="BF229" s="310"/>
      <c r="BG229" s="310"/>
      <c r="BH229" s="210"/>
    </row>
    <row r="230" spans="1:60">
      <c r="A230" s="1040"/>
      <c r="B230" s="1109" t="s">
        <v>236</v>
      </c>
      <c r="C230" s="1107" t="s">
        <v>104</v>
      </c>
      <c r="D230" s="641"/>
      <c r="E230" s="180" t="s">
        <v>145</v>
      </c>
      <c r="F230" s="180"/>
      <c r="G230" s="180"/>
      <c r="H230" s="201" t="str">
        <f>kWh&amp;"/won.geb"</f>
        <v>kWh/won.geb</v>
      </c>
      <c r="I230" s="114"/>
      <c r="J230" s="202"/>
      <c r="K230" s="234"/>
      <c r="L230" s="234"/>
      <c r="M230" s="190">
        <f>SUM(N230:X230)</f>
        <v>0</v>
      </c>
      <c r="N230" s="119"/>
      <c r="O230" s="183">
        <f>IF(O$27=0,0,(O$190-O$187)*1000/O$27)</f>
        <v>0</v>
      </c>
      <c r="P230" s="183">
        <f>IF(OR(P$27=0,P$31=0),0,(P$190-P$187)*1000/P$27)</f>
        <v>0</v>
      </c>
      <c r="Q230" s="183">
        <f>IF(OR(Q$27=0,Q$31=0),0,(Q$190-Q$187)*1000/Q$27)</f>
        <v>0</v>
      </c>
      <c r="R230" s="183">
        <f>IF(R$27=0,0,R$190*1000/R$27)</f>
        <v>0</v>
      </c>
      <c r="S230" s="183">
        <f>IF(S$27=0,0,S$190*1000/S$27)</f>
        <v>0</v>
      </c>
      <c r="T230" s="273"/>
      <c r="U230" s="183">
        <f>IF(U$27=0,0,U$190*1000/U$27)</f>
        <v>0</v>
      </c>
      <c r="V230" s="183">
        <f>IF(V$27=0,0,V$190*1000/V$27)</f>
        <v>0</v>
      </c>
      <c r="W230" s="183">
        <f>IF(W$27=0,0,-W$186*1000/W$27)</f>
        <v>0</v>
      </c>
      <c r="X230" s="108"/>
      <c r="Y230" s="190">
        <f>SUM(Z230:AJ230)</f>
        <v>0</v>
      </c>
      <c r="Z230" s="119"/>
      <c r="AA230" s="183">
        <f>IF(AA$27=0,0,(AA$190-AA$187)*1000/AA$27)</f>
        <v>0</v>
      </c>
      <c r="AB230" s="183">
        <f>IF(OR(AB$27=0,AB$31=0),0,(AB$190-AB$187)*1000/AB$27)</f>
        <v>0</v>
      </c>
      <c r="AC230" s="183">
        <f>IF(OR(AC$27=0,AC$31=0),0,(AC$190-AC$187)*1000/AC$27)</f>
        <v>0</v>
      </c>
      <c r="AD230" s="183">
        <f>IF(AD$27=0,0,AD$190*1000/AD$27)</f>
        <v>0</v>
      </c>
      <c r="AE230" s="183">
        <f>IF(AE$27=0,0,AE$190*1000/AE$27)</f>
        <v>0</v>
      </c>
      <c r="AF230" s="273"/>
      <c r="AG230" s="183">
        <f>IF(AG$27=0,0,AG$190*1000/AG$27)</f>
        <v>0</v>
      </c>
      <c r="AH230" s="183">
        <f>IF(AH$27=0,0,AH$190*1000/AH$27)</f>
        <v>0</v>
      </c>
      <c r="AI230" s="183">
        <f>IF(AI$27=0,0,-AI$186*1000/AI$27)</f>
        <v>0</v>
      </c>
      <c r="AJ230" s="108"/>
      <c r="AK230" s="190">
        <f>SUM(AL230:AV230)</f>
        <v>0</v>
      </c>
      <c r="AL230" s="119"/>
      <c r="AM230" s="183">
        <f>IF(AM$27=0,0,(AM$190-AM$187)*1000/AM$27)</f>
        <v>0</v>
      </c>
      <c r="AN230" s="183">
        <f>IF(OR(AN$27=0,AN$31=0),0,(AN$190-AN$187)*1000/AN$27)</f>
        <v>0</v>
      </c>
      <c r="AO230" s="183">
        <f>IF(OR(AO$27=0,AO$31=0),0,(AO$190-AO$187)*1000/AO$27)</f>
        <v>0</v>
      </c>
      <c r="AP230" s="183">
        <f>IF(AP$27=0,0,AP$190*1000/AP$27)</f>
        <v>0</v>
      </c>
      <c r="AQ230" s="183">
        <f>IF(AQ$27=0,0,AQ$190*1000/AQ$27)</f>
        <v>0</v>
      </c>
      <c r="AR230" s="168"/>
      <c r="AS230" s="183">
        <f>IF(AS$27=0,0,AS$190*1000/AS$27)</f>
        <v>0</v>
      </c>
      <c r="AT230" s="183">
        <f>IF(AT$27=0,0,AT$190*1000/AT$27)</f>
        <v>0</v>
      </c>
      <c r="AU230" s="183">
        <f>IF(AU$27=0,0,-AU$186*1000/AU$27)</f>
        <v>0</v>
      </c>
      <c r="AV230" s="108"/>
      <c r="AW230" s="190">
        <f>SUM(AX230:BH230)</f>
        <v>0</v>
      </c>
      <c r="AX230" s="119"/>
      <c r="AY230" s="183">
        <f>IF(AY$27=0,0,(AY$190-AY$187)*1000/AY$27)</f>
        <v>0</v>
      </c>
      <c r="AZ230" s="183">
        <f>IF(OR(AZ$27=0,AZ$31=0),0,(AZ$190-AZ$187)*1000/AZ$27)</f>
        <v>0</v>
      </c>
      <c r="BA230" s="183">
        <f>IF(OR(BA$27=0,BA$31=0),0,(BA$190-BA$187)*1000/BA$27)</f>
        <v>0</v>
      </c>
      <c r="BB230" s="183">
        <f>IF(BB$27=0,0,BB$190*1000/BB$27)</f>
        <v>0</v>
      </c>
      <c r="BC230" s="183">
        <f>IF(BC$27=0,0,BC$190*1000/BC$27)</f>
        <v>0</v>
      </c>
      <c r="BD230" s="273"/>
      <c r="BE230" s="183">
        <f>IF(BE$27=0,0,BE$190*1000/BE$27)</f>
        <v>0</v>
      </c>
      <c r="BF230" s="183">
        <f>IF(BF$27=0,0,BF$190*1000/BF$27)</f>
        <v>0</v>
      </c>
      <c r="BG230" s="183">
        <f>IF(BG$27=0,0,-BG$186*1000/BG$27)</f>
        <v>0</v>
      </c>
      <c r="BH230" s="210"/>
    </row>
    <row r="231" spans="1:60">
      <c r="A231" s="1040"/>
      <c r="B231" s="1109" t="s">
        <v>236</v>
      </c>
      <c r="C231" s="1107" t="s">
        <v>104</v>
      </c>
      <c r="D231" s="641"/>
      <c r="E231" s="180" t="s">
        <v>240</v>
      </c>
      <c r="F231" s="180"/>
      <c r="G231" s="180"/>
      <c r="H231" s="201" t="str">
        <f>GJ&amp;"/won.geb"</f>
        <v>GJ/won.geb</v>
      </c>
      <c r="I231" s="114"/>
      <c r="J231" s="202"/>
      <c r="K231" s="234"/>
      <c r="L231" s="234"/>
      <c r="M231" s="202">
        <f>SUM(N231:X231)</f>
        <v>0</v>
      </c>
      <c r="N231" s="89"/>
      <c r="O231" s="168">
        <f>IF(O$27=0,0,(O$84&lt;&gt;gebouw)*(O$78+O$88-O$91)*3.6/O$27)</f>
        <v>0</v>
      </c>
      <c r="P231" s="168">
        <f>IF(P$27=0,0,(P$84&lt;&gt;gebouw)*(P$78+P$88-P$91)*3.6/P$27)</f>
        <v>0</v>
      </c>
      <c r="Q231" s="168">
        <f>IF(Q$27=0,0,(Q$84&lt;&gt;gebouw)*(Q$78+Q$88-Q$91)*3.6/Q$27)</f>
        <v>0</v>
      </c>
      <c r="R231" s="273"/>
      <c r="S231" s="273"/>
      <c r="T231" s="273"/>
      <c r="U231" s="273"/>
      <c r="V231" s="273"/>
      <c r="W231" s="273"/>
      <c r="X231" s="113"/>
      <c r="Y231" s="202">
        <f>SUM(Z231:AJ231)</f>
        <v>0</v>
      </c>
      <c r="Z231" s="89"/>
      <c r="AA231" s="168">
        <f>IF(AA$27=0,0,(AA$84&lt;&gt;gebouw)*(AA$78+AA$88-AA$91)*3.6/AA$27)</f>
        <v>0</v>
      </c>
      <c r="AB231" s="168">
        <f>IF(AB$27=0,0,(AB$84&lt;&gt;gebouw)*(AB$78+AB$88-AB$91)*3.6/AB$27)</f>
        <v>0</v>
      </c>
      <c r="AC231" s="168">
        <f>IF(AC$27=0,0,(AC$84&lt;&gt;gebouw)*(AC$78+AC$88-AC$91)*3.6/AC$27)</f>
        <v>0</v>
      </c>
      <c r="AD231" s="273"/>
      <c r="AE231" s="273"/>
      <c r="AF231" s="273"/>
      <c r="AG231" s="273"/>
      <c r="AH231" s="273"/>
      <c r="AI231" s="273"/>
      <c r="AJ231" s="113"/>
      <c r="AK231" s="202">
        <f>SUM(AL231:AV231)</f>
        <v>0</v>
      </c>
      <c r="AL231" s="89"/>
      <c r="AM231" s="168">
        <f>IF(AM$27=0,0,(AM$84&lt;&gt;gebouw)*(AM$78+AM$88-AM$91)*3.6/AM$27)</f>
        <v>0</v>
      </c>
      <c r="AN231" s="168">
        <f>IF(AN$27=0,0,(AN$84&lt;&gt;gebouw)*(AN$78+AN$88-AN$91)*3.6/AN$27)</f>
        <v>0</v>
      </c>
      <c r="AO231" s="168">
        <f>IF(AO$27=0,0,(AO$84&lt;&gt;gebouw)*(AO$78+AO$88-AO$91)*3.6/AO$27)</f>
        <v>0</v>
      </c>
      <c r="AP231" s="168"/>
      <c r="AQ231" s="168"/>
      <c r="AR231" s="168"/>
      <c r="AS231" s="168"/>
      <c r="AT231" s="168"/>
      <c r="AU231" s="168"/>
      <c r="AV231" s="113"/>
      <c r="AW231" s="202">
        <f>SUM(AX231:BH231)</f>
        <v>0</v>
      </c>
      <c r="AX231" s="89"/>
      <c r="AY231" s="168">
        <f>IF(AY$27=0,0,(AY$84&lt;&gt;gebouw)*(AY$78+AY$88-AY$91)*3.6/AY$27)</f>
        <v>0</v>
      </c>
      <c r="AZ231" s="168">
        <f>IF(AZ$27=0,0,(AZ$84&lt;&gt;gebouw)*(AZ$78+AZ$88-AZ$91)*3.6/AZ$27)</f>
        <v>0</v>
      </c>
      <c r="BA231" s="168">
        <f>IF(BA$27=0,0,(BA$84&lt;&gt;gebouw)*(BA$78+BA$88-BA$91)*3.6/BA$27)</f>
        <v>0</v>
      </c>
      <c r="BB231" s="273"/>
      <c r="BC231" s="273"/>
      <c r="BD231" s="273"/>
      <c r="BE231" s="273"/>
      <c r="BF231" s="273"/>
      <c r="BG231" s="273"/>
      <c r="BH231" s="210"/>
    </row>
    <row r="232" spans="1:60">
      <c r="A232" s="1040"/>
      <c r="B232" s="1109" t="s">
        <v>236</v>
      </c>
      <c r="C232" s="1106" t="s">
        <v>96</v>
      </c>
      <c r="D232" s="641"/>
      <c r="E232" s="940" t="s">
        <v>241</v>
      </c>
      <c r="F232" s="940"/>
      <c r="G232" s="940"/>
      <c r="H232" s="940"/>
      <c r="I232" s="77"/>
      <c r="J232" s="939"/>
      <c r="K232" s="126"/>
      <c r="L232" s="126"/>
      <c r="M232" s="938"/>
      <c r="N232" s="191"/>
      <c r="O232" s="177" t="str">
        <f t="shared" ref="O232:W232" si="191">O$10</f>
        <v>verwarming</v>
      </c>
      <c r="P232" s="177" t="str">
        <f t="shared" si="191"/>
        <v>koeling</v>
      </c>
      <c r="Q232" s="177" t="str">
        <f t="shared" si="191"/>
        <v>tapwater</v>
      </c>
      <c r="R232" s="177" t="str">
        <f t="shared" si="191"/>
        <v>verlichting</v>
      </c>
      <c r="S232" s="177" t="str">
        <f t="shared" si="191"/>
        <v>ventilatoren</v>
      </c>
      <c r="T232" s="177" t="str">
        <f t="shared" si="191"/>
        <v>kookgas</v>
      </c>
      <c r="U232" s="177" t="str">
        <f t="shared" si="191"/>
        <v>overig elektra</v>
      </c>
      <c r="V232" s="177" t="str">
        <f t="shared" si="191"/>
        <v>mobiliteit</v>
      </c>
      <c r="W232" s="177" t="str">
        <f t="shared" si="191"/>
        <v>zonnepanelen</v>
      </c>
      <c r="X232" s="191"/>
      <c r="Y232" s="938"/>
      <c r="Z232" s="191"/>
      <c r="AA232" s="177" t="str">
        <f t="shared" ref="AA232:AI232" si="192">AA$10</f>
        <v>verwarming</v>
      </c>
      <c r="AB232" s="177" t="str">
        <f t="shared" si="192"/>
        <v>koeling</v>
      </c>
      <c r="AC232" s="177" t="str">
        <f t="shared" si="192"/>
        <v>tapwater</v>
      </c>
      <c r="AD232" s="177" t="str">
        <f t="shared" si="192"/>
        <v>verlichting</v>
      </c>
      <c r="AE232" s="177" t="str">
        <f t="shared" si="192"/>
        <v>ventilatoren</v>
      </c>
      <c r="AF232" s="177" t="str">
        <f t="shared" si="192"/>
        <v>kookgas</v>
      </c>
      <c r="AG232" s="177" t="str">
        <f t="shared" si="192"/>
        <v>overig elektra</v>
      </c>
      <c r="AH232" s="177" t="str">
        <f t="shared" si="192"/>
        <v>mobiliteit</v>
      </c>
      <c r="AI232" s="177" t="str">
        <f t="shared" si="192"/>
        <v>zonnepanelen</v>
      </c>
      <c r="AJ232" s="191"/>
      <c r="AK232" s="938"/>
      <c r="AL232" s="191"/>
      <c r="AM232" s="177" t="str">
        <f t="shared" ref="AM232:AU232" si="193">AM$10</f>
        <v>verwarming</v>
      </c>
      <c r="AN232" s="177" t="str">
        <f t="shared" si="193"/>
        <v>koeling</v>
      </c>
      <c r="AO232" s="177" t="str">
        <f t="shared" si="193"/>
        <v>tapwater</v>
      </c>
      <c r="AP232" s="177" t="str">
        <f t="shared" si="193"/>
        <v>verlichting</v>
      </c>
      <c r="AQ232" s="177" t="str">
        <f t="shared" si="193"/>
        <v>ventilatoren</v>
      </c>
      <c r="AR232" s="177" t="str">
        <f t="shared" si="193"/>
        <v>kookgas</v>
      </c>
      <c r="AS232" s="177" t="str">
        <f t="shared" si="193"/>
        <v>overig elektra</v>
      </c>
      <c r="AT232" s="177" t="str">
        <f t="shared" si="193"/>
        <v>mobiliteit</v>
      </c>
      <c r="AU232" s="177" t="str">
        <f t="shared" si="193"/>
        <v>zonnepanelen</v>
      </c>
      <c r="AV232" s="191"/>
      <c r="AW232" s="938"/>
      <c r="AX232" s="191"/>
      <c r="AY232" s="177" t="str">
        <f t="shared" ref="AY232:BG232" si="194">AY$10</f>
        <v>verwarming</v>
      </c>
      <c r="AZ232" s="177" t="str">
        <f t="shared" si="194"/>
        <v>koeling</v>
      </c>
      <c r="BA232" s="177" t="str">
        <f t="shared" si="194"/>
        <v>tapwater</v>
      </c>
      <c r="BB232" s="177" t="str">
        <f t="shared" si="194"/>
        <v>verlichting</v>
      </c>
      <c r="BC232" s="177" t="str">
        <f t="shared" si="194"/>
        <v>ventilatoren</v>
      </c>
      <c r="BD232" s="177" t="str">
        <f t="shared" si="194"/>
        <v>kookgas</v>
      </c>
      <c r="BE232" s="177" t="str">
        <f t="shared" si="194"/>
        <v>overig elektra</v>
      </c>
      <c r="BF232" s="177" t="str">
        <f t="shared" si="194"/>
        <v>mobiliteit</v>
      </c>
      <c r="BG232" s="177" t="str">
        <f t="shared" si="194"/>
        <v>zonnepanelen</v>
      </c>
      <c r="BH232" s="36"/>
    </row>
    <row r="233" spans="1:60">
      <c r="A233" s="1040"/>
      <c r="B233" s="1109" t="s">
        <v>236</v>
      </c>
      <c r="C233" s="1107" t="s">
        <v>104</v>
      </c>
      <c r="D233" s="641"/>
      <c r="E233" s="180" t="s">
        <v>239</v>
      </c>
      <c r="F233" s="180"/>
      <c r="G233" s="180"/>
      <c r="H233" s="201" t="s">
        <v>242</v>
      </c>
      <c r="I233" s="114"/>
      <c r="J233" s="202"/>
      <c r="K233" s="234"/>
      <c r="L233" s="234"/>
      <c r="M233" s="202">
        <f>IF(M$29=0,0,M229*M$22/M$29)</f>
        <v>0</v>
      </c>
      <c r="N233" s="89"/>
      <c r="O233" s="168">
        <f t="shared" ref="O233:Q235" si="195">IF(OR(O$31="",O$31=0),0,O$27*O229/O$31)</f>
        <v>0</v>
      </c>
      <c r="P233" s="168">
        <f t="shared" si="195"/>
        <v>0</v>
      </c>
      <c r="Q233" s="168">
        <f t="shared" si="195"/>
        <v>0</v>
      </c>
      <c r="R233" s="273"/>
      <c r="S233" s="273"/>
      <c r="T233" s="168">
        <f>IF(OR(T$31="",T$31=0),0,T$27*T229/T$31)</f>
        <v>0</v>
      </c>
      <c r="U233" s="273"/>
      <c r="V233" s="273"/>
      <c r="W233" s="273"/>
      <c r="X233" s="113"/>
      <c r="Y233" s="202">
        <f>IF(Y$29=0,0,Y229*Y$22/Y$29)</f>
        <v>0</v>
      </c>
      <c r="Z233" s="89"/>
      <c r="AA233" s="168">
        <f t="shared" ref="AA233:AC235" si="196">IF(OR(AA$31="",AA$31=0),0,AA$27*AA229/AA$31)</f>
        <v>0</v>
      </c>
      <c r="AB233" s="168">
        <f t="shared" si="196"/>
        <v>0</v>
      </c>
      <c r="AC233" s="168">
        <f t="shared" si="196"/>
        <v>0</v>
      </c>
      <c r="AD233" s="273"/>
      <c r="AE233" s="273"/>
      <c r="AF233" s="168">
        <f>IF(OR(AF$31="",AF$31=0),0,AF$27*AF229/AF$31)</f>
        <v>0</v>
      </c>
      <c r="AG233" s="273"/>
      <c r="AH233" s="273"/>
      <c r="AI233" s="273"/>
      <c r="AJ233" s="113"/>
      <c r="AK233" s="202">
        <f>IF(AK$29=0,0,AK229*AK$22/AK$29)</f>
        <v>0</v>
      </c>
      <c r="AL233" s="89"/>
      <c r="AM233" s="168">
        <f t="shared" ref="AM233:AO235" si="197">IF(OR(AM$31="",AM$31=0),0,AM$27*AM229/AM$31)</f>
        <v>0</v>
      </c>
      <c r="AN233" s="168">
        <f t="shared" si="197"/>
        <v>0</v>
      </c>
      <c r="AO233" s="168">
        <f t="shared" si="197"/>
        <v>0</v>
      </c>
      <c r="AP233" s="273"/>
      <c r="AQ233" s="273"/>
      <c r="AR233" s="168">
        <f>IF(OR(AR$31="",AR$31=0),0,AR$27*AR229/AR$31)</f>
        <v>0</v>
      </c>
      <c r="AS233" s="273"/>
      <c r="AT233" s="273"/>
      <c r="AU233" s="273"/>
      <c r="AV233" s="113"/>
      <c r="AW233" s="202">
        <f>IF(AW$29=0,0,AW229*AW$22/AW$29)</f>
        <v>0</v>
      </c>
      <c r="AX233" s="89"/>
      <c r="AY233" s="168">
        <f t="shared" ref="AY233:BA235" si="198">IF(OR(AY$31="",AY$31=0),0,AY$27*AY229/AY$31)</f>
        <v>0</v>
      </c>
      <c r="AZ233" s="168">
        <f t="shared" si="198"/>
        <v>0</v>
      </c>
      <c r="BA233" s="168">
        <f t="shared" si="198"/>
        <v>0</v>
      </c>
      <c r="BB233" s="273"/>
      <c r="BC233" s="273"/>
      <c r="BD233" s="168">
        <f>IF(OR(BD$31="",BD$31=0),0,BD$27*BD229/BD$31)</f>
        <v>0</v>
      </c>
      <c r="BE233" s="273"/>
      <c r="BF233" s="273"/>
      <c r="BG233" s="273"/>
      <c r="BH233" s="210"/>
    </row>
    <row r="234" spans="1:60">
      <c r="A234" s="1040"/>
      <c r="B234" s="1109" t="s">
        <v>236</v>
      </c>
      <c r="C234" s="1107" t="s">
        <v>104</v>
      </c>
      <c r="D234" s="641"/>
      <c r="E234" s="180" t="s">
        <v>145</v>
      </c>
      <c r="F234" s="180"/>
      <c r="G234" s="180"/>
      <c r="H234" s="201" t="s">
        <v>154</v>
      </c>
      <c r="I234" s="114"/>
      <c r="J234" s="202"/>
      <c r="K234" s="234"/>
      <c r="L234" s="234"/>
      <c r="M234" s="202">
        <f>IF(M$29=0,0,M230*M$22/M$29)</f>
        <v>0</v>
      </c>
      <c r="N234" s="89"/>
      <c r="O234" s="168">
        <f t="shared" si="195"/>
        <v>0</v>
      </c>
      <c r="P234" s="168">
        <f t="shared" si="195"/>
        <v>0</v>
      </c>
      <c r="Q234" s="168">
        <f t="shared" si="195"/>
        <v>0</v>
      </c>
      <c r="R234" s="168">
        <f>IF(OR(R$31="",R$31=0),0,R$27*R230/R$31)</f>
        <v>0</v>
      </c>
      <c r="S234" s="168">
        <f>IF(OR(S$31="",S$31=0),0,S$27*S230/S$31)</f>
        <v>0</v>
      </c>
      <c r="T234" s="273"/>
      <c r="U234" s="168">
        <f>IF(OR(U$31="",U$31=0),0,U$27*U230/U$31)</f>
        <v>0</v>
      </c>
      <c r="V234" s="168">
        <f>IF(OR(V$31="",V$31=0),0,V$27*V230/V$31)</f>
        <v>0</v>
      </c>
      <c r="W234" s="168">
        <f>IF(OR(W$31="",W$31=0),0,W$27*W230/W$31)</f>
        <v>0</v>
      </c>
      <c r="X234" s="113"/>
      <c r="Y234" s="202">
        <f>IF(Y$29=0,0,Y230*Y$22/Y$29)</f>
        <v>0</v>
      </c>
      <c r="Z234" s="89"/>
      <c r="AA234" s="168">
        <f t="shared" si="196"/>
        <v>0</v>
      </c>
      <c r="AB234" s="168">
        <f t="shared" si="196"/>
        <v>0</v>
      </c>
      <c r="AC234" s="168">
        <f t="shared" si="196"/>
        <v>0</v>
      </c>
      <c r="AD234" s="168">
        <f>IF(OR(AD$31="",AD$31=0),0,AD$27*AD230/AD$31)</f>
        <v>0</v>
      </c>
      <c r="AE234" s="168">
        <f>IF(OR(AE$31="",AE$31=0),0,AE$27*AE230/AE$31)</f>
        <v>0</v>
      </c>
      <c r="AF234" s="273"/>
      <c r="AG234" s="168">
        <f>IF(OR(AG$31="",AG$31=0),0,AG$27*AG230/AG$31)</f>
        <v>0</v>
      </c>
      <c r="AH234" s="168">
        <f>IF(OR(AH$31="",AH$31=0),0,AH$27*AH230/AH$31)</f>
        <v>0</v>
      </c>
      <c r="AI234" s="168">
        <f>IF(OR(AI$31="",AI$31=0),0,AI$27*AI230/AI$31)</f>
        <v>0</v>
      </c>
      <c r="AJ234" s="113"/>
      <c r="AK234" s="202">
        <f>IF(AK$29=0,0,AK230*AK$22/AK$29)</f>
        <v>0</v>
      </c>
      <c r="AL234" s="89"/>
      <c r="AM234" s="168">
        <f t="shared" si="197"/>
        <v>0</v>
      </c>
      <c r="AN234" s="168">
        <f t="shared" si="197"/>
        <v>0</v>
      </c>
      <c r="AO234" s="168">
        <f t="shared" si="197"/>
        <v>0</v>
      </c>
      <c r="AP234" s="168">
        <f>IF(OR(AP$31="",AP$31=0),0,AP$27*AP230/AP$31)</f>
        <v>0</v>
      </c>
      <c r="AQ234" s="168">
        <f>IF(OR(AQ$31="",AQ$31=0),0,AQ$27*AQ230/AQ$31)</f>
        <v>0</v>
      </c>
      <c r="AR234" s="273"/>
      <c r="AS234" s="168">
        <f>IF(OR(AS$31="",AS$31=0),0,AS$27*AS230/AS$31)</f>
        <v>0</v>
      </c>
      <c r="AT234" s="168">
        <f>IF(OR(AT$31="",AT$31=0),0,AT$27*AT230/AT$31)</f>
        <v>0</v>
      </c>
      <c r="AU234" s="168">
        <f>IF(OR(AU$31="",AU$31=0),0,AU$27*AU230/AU$31)</f>
        <v>0</v>
      </c>
      <c r="AV234" s="113"/>
      <c r="AW234" s="202">
        <f>IF(AW$29=0,0,AW230*AW$22/AW$29)</f>
        <v>0</v>
      </c>
      <c r="AX234" s="89"/>
      <c r="AY234" s="168">
        <f t="shared" si="198"/>
        <v>0</v>
      </c>
      <c r="AZ234" s="168">
        <f t="shared" si="198"/>
        <v>0</v>
      </c>
      <c r="BA234" s="168">
        <f t="shared" si="198"/>
        <v>0</v>
      </c>
      <c r="BB234" s="168">
        <f>IF(OR(BB$31="",BB$31=0),0,BB$27*BB230/BB$31)</f>
        <v>0</v>
      </c>
      <c r="BC234" s="168">
        <f>IF(OR(BC$31="",BC$31=0),0,BC$27*BC230/BC$31)</f>
        <v>0</v>
      </c>
      <c r="BD234" s="273"/>
      <c r="BE234" s="168">
        <f>IF(OR(BE$31="",BE$31=0),0,BE$27*BE230/BE$31)</f>
        <v>0</v>
      </c>
      <c r="BF234" s="168">
        <f>IF(OR(BF$31="",BF$31=0),0,BF$27*BF230/BF$31)</f>
        <v>0</v>
      </c>
      <c r="BG234" s="168">
        <f>IF(OR(BG$31="",BG$31=0),0,BG$27*BG230/BG$31)</f>
        <v>0</v>
      </c>
      <c r="BH234" s="210"/>
    </row>
    <row r="235" spans="1:60">
      <c r="A235" s="1040"/>
      <c r="B235" s="1109" t="s">
        <v>236</v>
      </c>
      <c r="C235" s="1107" t="s">
        <v>104</v>
      </c>
      <c r="D235" s="641"/>
      <c r="E235" s="180" t="s">
        <v>240</v>
      </c>
      <c r="F235" s="180"/>
      <c r="G235" s="180"/>
      <c r="H235" s="201" t="s">
        <v>243</v>
      </c>
      <c r="I235" s="114"/>
      <c r="J235" s="202"/>
      <c r="K235" s="234"/>
      <c r="L235" s="234"/>
      <c r="M235" s="202">
        <f>IF(M$29=0,0,M231*M$22/M$29)</f>
        <v>0</v>
      </c>
      <c r="N235" s="89"/>
      <c r="O235" s="168">
        <f t="shared" si="195"/>
        <v>0</v>
      </c>
      <c r="P235" s="168">
        <f t="shared" si="195"/>
        <v>0</v>
      </c>
      <c r="Q235" s="168">
        <f t="shared" si="195"/>
        <v>0</v>
      </c>
      <c r="R235" s="273"/>
      <c r="S235" s="273"/>
      <c r="T235" s="273"/>
      <c r="U235" s="273"/>
      <c r="V235" s="273"/>
      <c r="W235" s="273"/>
      <c r="X235" s="113"/>
      <c r="Y235" s="202">
        <f>IF(Y$29=0,0,Y231*Y$22/Y$29)</f>
        <v>0</v>
      </c>
      <c r="Z235" s="89"/>
      <c r="AA235" s="168">
        <f t="shared" si="196"/>
        <v>0</v>
      </c>
      <c r="AB235" s="168">
        <f t="shared" si="196"/>
        <v>0</v>
      </c>
      <c r="AC235" s="168">
        <f t="shared" si="196"/>
        <v>0</v>
      </c>
      <c r="AD235" s="273"/>
      <c r="AE235" s="273"/>
      <c r="AF235" s="273"/>
      <c r="AG235" s="273"/>
      <c r="AH235" s="273"/>
      <c r="AI235" s="273"/>
      <c r="AJ235" s="113"/>
      <c r="AK235" s="202">
        <f>IF(AK$29=0,0,AK231*AK$22/AK$29)</f>
        <v>0</v>
      </c>
      <c r="AL235" s="89"/>
      <c r="AM235" s="168">
        <f t="shared" si="197"/>
        <v>0</v>
      </c>
      <c r="AN235" s="168">
        <f t="shared" si="197"/>
        <v>0</v>
      </c>
      <c r="AO235" s="168">
        <f t="shared" si="197"/>
        <v>0</v>
      </c>
      <c r="AP235" s="273"/>
      <c r="AQ235" s="273"/>
      <c r="AR235" s="273"/>
      <c r="AS235" s="273"/>
      <c r="AT235" s="273"/>
      <c r="AU235" s="273"/>
      <c r="AV235" s="113"/>
      <c r="AW235" s="202">
        <f>IF(AW$29=0,0,AW231*AW$22/AW$29)</f>
        <v>0</v>
      </c>
      <c r="AX235" s="89"/>
      <c r="AY235" s="168">
        <f t="shared" si="198"/>
        <v>0</v>
      </c>
      <c r="AZ235" s="168">
        <f t="shared" si="198"/>
        <v>0</v>
      </c>
      <c r="BA235" s="168">
        <f t="shared" si="198"/>
        <v>0</v>
      </c>
      <c r="BB235" s="273"/>
      <c r="BC235" s="273"/>
      <c r="BD235" s="273"/>
      <c r="BE235" s="273"/>
      <c r="BF235" s="273"/>
      <c r="BG235" s="273"/>
      <c r="BH235" s="210"/>
    </row>
    <row r="236" spans="1:60">
      <c r="A236" s="1040"/>
      <c r="B236" s="1109" t="s">
        <v>236</v>
      </c>
      <c r="C236" s="1106" t="s">
        <v>96</v>
      </c>
      <c r="D236" s="638"/>
      <c r="E236" s="79"/>
      <c r="F236" s="79"/>
      <c r="G236" s="79"/>
      <c r="H236" s="85"/>
      <c r="I236" s="79"/>
      <c r="J236" s="82"/>
      <c r="K236" s="79"/>
      <c r="L236" s="79"/>
      <c r="M236" s="82"/>
      <c r="N236" s="79"/>
      <c r="O236" s="82"/>
      <c r="P236" s="82"/>
      <c r="Q236" s="82"/>
      <c r="R236" s="82"/>
      <c r="S236" s="82"/>
      <c r="T236" s="82"/>
      <c r="U236" s="82"/>
      <c r="V236" s="82"/>
      <c r="W236" s="82"/>
      <c r="X236" s="82"/>
      <c r="Y236" s="82"/>
      <c r="Z236" s="79"/>
      <c r="AA236" s="82"/>
      <c r="AB236" s="82"/>
      <c r="AC236" s="82"/>
      <c r="AD236" s="82"/>
      <c r="AE236" s="82"/>
      <c r="AF236" s="82"/>
      <c r="AG236" s="82"/>
      <c r="AH236" s="82"/>
      <c r="AI236" s="82"/>
      <c r="AJ236" s="82"/>
      <c r="AK236" s="82"/>
      <c r="AL236" s="79"/>
      <c r="AM236" s="79"/>
      <c r="AN236" s="79"/>
      <c r="AO236" s="79"/>
      <c r="AP236" s="79"/>
      <c r="AQ236" s="79"/>
      <c r="AR236" s="79"/>
      <c r="AS236" s="79"/>
      <c r="AT236" s="79"/>
      <c r="AU236" s="82"/>
      <c r="AV236" s="82"/>
      <c r="AW236" s="82"/>
      <c r="AX236" s="79"/>
      <c r="AY236" s="82"/>
      <c r="AZ236" s="82"/>
      <c r="BA236" s="82"/>
      <c r="BB236" s="82"/>
      <c r="BC236" s="82"/>
      <c r="BD236" s="82"/>
      <c r="BE236" s="82"/>
      <c r="BF236" s="82"/>
      <c r="BG236" s="82"/>
      <c r="BH236" s="1"/>
    </row>
    <row r="237" spans="1:60">
      <c r="A237" s="1040"/>
      <c r="B237" s="1109" t="s">
        <v>1218</v>
      </c>
      <c r="C237" s="1107" t="s">
        <v>96</v>
      </c>
      <c r="D237" s="638"/>
      <c r="E237" s="79"/>
      <c r="F237" s="79"/>
      <c r="G237" s="79"/>
      <c r="H237" s="85"/>
      <c r="I237" s="79"/>
      <c r="J237" s="82"/>
      <c r="K237" s="79"/>
      <c r="L237" s="79"/>
      <c r="M237" s="82"/>
      <c r="N237" s="79"/>
      <c r="O237" s="82"/>
      <c r="P237" s="82"/>
      <c r="Q237" s="82"/>
      <c r="R237" s="82"/>
      <c r="S237" s="82"/>
      <c r="T237" s="82"/>
      <c r="U237" s="82"/>
      <c r="V237" s="82"/>
      <c r="W237" s="82"/>
      <c r="X237" s="82"/>
      <c r="Y237" s="82"/>
      <c r="Z237" s="79"/>
      <c r="AA237" s="82"/>
      <c r="AB237" s="82"/>
      <c r="AC237" s="82"/>
      <c r="AD237" s="82"/>
      <c r="AE237" s="82"/>
      <c r="AF237" s="82"/>
      <c r="AG237" s="82"/>
      <c r="AH237" s="82"/>
      <c r="AI237" s="82"/>
      <c r="AJ237" s="82"/>
      <c r="AK237" s="82"/>
      <c r="AL237" s="79"/>
      <c r="AM237" s="82"/>
      <c r="AN237" s="82"/>
      <c r="AO237" s="82"/>
      <c r="AP237" s="82"/>
      <c r="AQ237" s="82"/>
      <c r="AR237" s="82"/>
      <c r="AS237" s="82"/>
      <c r="AT237" s="82"/>
      <c r="AU237" s="82"/>
      <c r="AV237" s="82"/>
      <c r="AW237" s="82"/>
      <c r="AX237" s="79"/>
      <c r="AY237" s="82"/>
      <c r="AZ237" s="82"/>
      <c r="BA237" s="82"/>
      <c r="BB237" s="82"/>
      <c r="BC237" s="82"/>
      <c r="BD237" s="82"/>
      <c r="BE237" s="82"/>
      <c r="BF237" s="82"/>
      <c r="BG237" s="82"/>
      <c r="BH237" s="1"/>
    </row>
    <row r="238" spans="1:60" ht="21">
      <c r="A238" s="1040"/>
      <c r="B238" s="1109" t="s">
        <v>1218</v>
      </c>
      <c r="C238" s="1106" t="s">
        <v>96</v>
      </c>
      <c r="D238" s="638"/>
      <c r="E238" s="1181" t="s">
        <v>1356</v>
      </c>
      <c r="F238" s="199"/>
      <c r="G238" s="692"/>
      <c r="H238" s="199"/>
      <c r="I238" s="77"/>
      <c r="J238" s="200" t="str">
        <f>J$10</f>
        <v>alle locaties</v>
      </c>
      <c r="K238" s="126"/>
      <c r="L238" s="126"/>
      <c r="M238" s="200" t="str">
        <f>M$10</f>
        <v>locatie 1</v>
      </c>
      <c r="N238" s="182"/>
      <c r="O238" s="966" t="str">
        <f>$E238&amp;" per energiepost"</f>
        <v>primair fossiel energiegebruik per energiepost per energiepost</v>
      </c>
      <c r="P238" s="941"/>
      <c r="Q238" s="941"/>
      <c r="R238" s="941"/>
      <c r="S238" s="941"/>
      <c r="T238" s="941"/>
      <c r="U238" s="941"/>
      <c r="V238" s="941"/>
      <c r="W238" s="956"/>
      <c r="X238" s="174"/>
      <c r="Y238" s="200" t="str">
        <f>Y$10</f>
        <v>locatie 2</v>
      </c>
      <c r="Z238" s="182"/>
      <c r="AA238" s="966" t="str">
        <f>$E238&amp;" per energiepost"</f>
        <v>primair fossiel energiegebruik per energiepost per energiepost</v>
      </c>
      <c r="AB238" s="941"/>
      <c r="AC238" s="941"/>
      <c r="AD238" s="941"/>
      <c r="AE238" s="941"/>
      <c r="AF238" s="941"/>
      <c r="AG238" s="941"/>
      <c r="AH238" s="941"/>
      <c r="AI238" s="956"/>
      <c r="AJ238" s="174"/>
      <c r="AK238" s="200" t="str">
        <f>AK$10</f>
        <v>locatie 3</v>
      </c>
      <c r="AL238" s="182"/>
      <c r="AM238" s="966" t="str">
        <f>$E238&amp;" per energiepost"</f>
        <v>primair fossiel energiegebruik per energiepost per energiepost</v>
      </c>
      <c r="AN238" s="941"/>
      <c r="AO238" s="941"/>
      <c r="AP238" s="941"/>
      <c r="AQ238" s="941"/>
      <c r="AR238" s="941"/>
      <c r="AS238" s="941"/>
      <c r="AT238" s="941"/>
      <c r="AU238" s="956"/>
      <c r="AV238" s="174"/>
      <c r="AW238" s="200" t="str">
        <f>AW$10</f>
        <v>locatie 4</v>
      </c>
      <c r="AX238" s="182"/>
      <c r="AY238" s="966" t="str">
        <f>$E238&amp;" per energiepost"</f>
        <v>primair fossiel energiegebruik per energiepost per energiepost</v>
      </c>
      <c r="AZ238" s="941"/>
      <c r="BA238" s="941"/>
      <c r="BB238" s="941"/>
      <c r="BC238" s="941"/>
      <c r="BD238" s="941"/>
      <c r="BE238" s="941"/>
      <c r="BF238" s="941"/>
      <c r="BG238" s="956"/>
      <c r="BH238" s="1"/>
    </row>
    <row r="239" spans="1:60">
      <c r="A239" s="1040"/>
      <c r="B239" s="1109" t="s">
        <v>1218</v>
      </c>
      <c r="C239" s="1106" t="s">
        <v>96</v>
      </c>
      <c r="D239" s="638"/>
      <c r="E239" s="940" t="s">
        <v>1316</v>
      </c>
      <c r="F239" s="940"/>
      <c r="G239" s="940"/>
      <c r="H239" s="940"/>
      <c r="I239" s="77"/>
      <c r="J239" s="939"/>
      <c r="K239" s="126"/>
      <c r="L239" s="126"/>
      <c r="M239" s="938"/>
      <c r="N239" s="191"/>
      <c r="O239" s="177" t="str">
        <f t="shared" ref="O239:W239" si="199">O$10</f>
        <v>verwarming</v>
      </c>
      <c r="P239" s="177" t="str">
        <f t="shared" si="199"/>
        <v>koeling</v>
      </c>
      <c r="Q239" s="177" t="str">
        <f t="shared" si="199"/>
        <v>tapwater</v>
      </c>
      <c r="R239" s="177" t="str">
        <f t="shared" si="199"/>
        <v>verlichting</v>
      </c>
      <c r="S239" s="177" t="str">
        <f t="shared" si="199"/>
        <v>ventilatoren</v>
      </c>
      <c r="T239" s="177" t="str">
        <f t="shared" si="199"/>
        <v>kookgas</v>
      </c>
      <c r="U239" s="177" t="str">
        <f t="shared" si="199"/>
        <v>overig elektra</v>
      </c>
      <c r="V239" s="177" t="str">
        <f t="shared" si="199"/>
        <v>mobiliteit</v>
      </c>
      <c r="W239" s="177" t="str">
        <f t="shared" si="199"/>
        <v>zonnepanelen</v>
      </c>
      <c r="X239" s="191"/>
      <c r="Y239" s="938"/>
      <c r="Z239" s="191"/>
      <c r="AA239" s="177" t="str">
        <f t="shared" ref="AA239:AI239" si="200">AA$10</f>
        <v>verwarming</v>
      </c>
      <c r="AB239" s="177" t="str">
        <f t="shared" si="200"/>
        <v>koeling</v>
      </c>
      <c r="AC239" s="177" t="str">
        <f t="shared" si="200"/>
        <v>tapwater</v>
      </c>
      <c r="AD239" s="177" t="str">
        <f t="shared" si="200"/>
        <v>verlichting</v>
      </c>
      <c r="AE239" s="177" t="str">
        <f t="shared" si="200"/>
        <v>ventilatoren</v>
      </c>
      <c r="AF239" s="177" t="str">
        <f t="shared" si="200"/>
        <v>kookgas</v>
      </c>
      <c r="AG239" s="177" t="str">
        <f t="shared" si="200"/>
        <v>overig elektra</v>
      </c>
      <c r="AH239" s="177" t="str">
        <f t="shared" si="200"/>
        <v>mobiliteit</v>
      </c>
      <c r="AI239" s="177" t="str">
        <f t="shared" si="200"/>
        <v>zonnepanelen</v>
      </c>
      <c r="AJ239" s="191"/>
      <c r="AK239" s="938"/>
      <c r="AL239" s="191"/>
      <c r="AM239" s="177" t="str">
        <f t="shared" ref="AM239:AU239" si="201">AM$10</f>
        <v>verwarming</v>
      </c>
      <c r="AN239" s="177" t="str">
        <f t="shared" si="201"/>
        <v>koeling</v>
      </c>
      <c r="AO239" s="177" t="str">
        <f t="shared" si="201"/>
        <v>tapwater</v>
      </c>
      <c r="AP239" s="177" t="str">
        <f t="shared" si="201"/>
        <v>verlichting</v>
      </c>
      <c r="AQ239" s="177" t="str">
        <f t="shared" si="201"/>
        <v>ventilatoren</v>
      </c>
      <c r="AR239" s="177" t="str">
        <f t="shared" si="201"/>
        <v>kookgas</v>
      </c>
      <c r="AS239" s="177" t="str">
        <f t="shared" si="201"/>
        <v>overig elektra</v>
      </c>
      <c r="AT239" s="177" t="str">
        <f t="shared" si="201"/>
        <v>mobiliteit</v>
      </c>
      <c r="AU239" s="177" t="str">
        <f t="shared" si="201"/>
        <v>zonnepanelen</v>
      </c>
      <c r="AV239" s="191"/>
      <c r="AW239" s="938"/>
      <c r="AX239" s="191"/>
      <c r="AY239" s="177" t="str">
        <f t="shared" ref="AY239:BG239" si="202">AY$10</f>
        <v>verwarming</v>
      </c>
      <c r="AZ239" s="177" t="str">
        <f t="shared" si="202"/>
        <v>koeling</v>
      </c>
      <c r="BA239" s="177" t="str">
        <f t="shared" si="202"/>
        <v>tapwater</v>
      </c>
      <c r="BB239" s="177" t="str">
        <f t="shared" si="202"/>
        <v>verlichting</v>
      </c>
      <c r="BC239" s="177" t="str">
        <f t="shared" si="202"/>
        <v>ventilatoren</v>
      </c>
      <c r="BD239" s="177" t="str">
        <f t="shared" si="202"/>
        <v>kookgas</v>
      </c>
      <c r="BE239" s="177" t="str">
        <f t="shared" si="202"/>
        <v>overig elektra</v>
      </c>
      <c r="BF239" s="177" t="str">
        <f t="shared" si="202"/>
        <v>mobiliteit</v>
      </c>
      <c r="BG239" s="177" t="str">
        <f t="shared" si="202"/>
        <v>zonnepanelen</v>
      </c>
      <c r="BH239" s="36"/>
    </row>
    <row r="240" spans="1:60" s="36" customFormat="1">
      <c r="A240" s="1040"/>
      <c r="B240" s="1109" t="s">
        <v>1218</v>
      </c>
      <c r="C240" s="1107" t="s">
        <v>104</v>
      </c>
      <c r="D240" s="638"/>
      <c r="E240" s="237" t="s">
        <v>244</v>
      </c>
      <c r="F240" s="237" t="s">
        <v>190</v>
      </c>
      <c r="G240" s="237"/>
      <c r="H240" s="238" t="s">
        <v>65</v>
      </c>
      <c r="I240" s="239"/>
      <c r="J240" s="240"/>
      <c r="K240" s="235"/>
      <c r="L240" s="235"/>
      <c r="M240" s="240"/>
      <c r="N240" s="241"/>
      <c r="O240" s="242" t="str">
        <f>IF(AND(O$83&lt;&gt;"geen",O$105&lt;&gt;""),O$105,"")</f>
        <v>elektriciteit</v>
      </c>
      <c r="P240" s="242" t="str">
        <f>IF(AND(P$83&lt;&gt;"geen",P$105&lt;&gt;""),P$105,"")</f>
        <v/>
      </c>
      <c r="Q240" s="242" t="str">
        <f>IF(AND(Q$83&lt;&gt;"geen",Q$105&lt;&gt;""),Q$105,"")</f>
        <v>elektriciteit</v>
      </c>
      <c r="R240" s="611"/>
      <c r="S240" s="611"/>
      <c r="T240" s="611"/>
      <c r="U240" s="611"/>
      <c r="V240" s="611"/>
      <c r="W240" s="611"/>
      <c r="X240" s="121"/>
      <c r="Y240" s="240"/>
      <c r="Z240" s="241"/>
      <c r="AA240" s="242" t="str">
        <f>IF(AND(AA$83&lt;&gt;"geen",AA$105&lt;&gt;""),AA$105,"")</f>
        <v>elektriciteit</v>
      </c>
      <c r="AB240" s="242" t="str">
        <f>IF(AND(AB$83&lt;&gt;"geen",AB$105&lt;&gt;""),AB$105,"")</f>
        <v/>
      </c>
      <c r="AC240" s="242" t="str">
        <f>IF(AND(AC$83&lt;&gt;"geen",AC$105&lt;&gt;""),AC$105,"")</f>
        <v>elektriciteit</v>
      </c>
      <c r="AD240" s="611"/>
      <c r="AE240" s="611"/>
      <c r="AF240" s="611"/>
      <c r="AG240" s="611"/>
      <c r="AH240" s="611"/>
      <c r="AI240" s="611"/>
      <c r="AJ240" s="121"/>
      <c r="AK240" s="240"/>
      <c r="AL240" s="241"/>
      <c r="AM240" s="242" t="str">
        <f>IF(AND(AM$83&lt;&gt;"geen",AM$105&lt;&gt;""),AM$105,"")</f>
        <v>elektriciteit</v>
      </c>
      <c r="AN240" s="242" t="str">
        <f>IF(AND(AN$83&lt;&gt;"geen",AN$105&lt;&gt;""),AN$105,"")</f>
        <v/>
      </c>
      <c r="AO240" s="242" t="str">
        <f>IF(AND(AO$83&lt;&gt;"geen",AO$105&lt;&gt;""),AO$105,"")</f>
        <v>elektriciteit</v>
      </c>
      <c r="AP240" s="611"/>
      <c r="AQ240" s="611"/>
      <c r="AR240" s="611"/>
      <c r="AS240" s="611"/>
      <c r="AT240" s="611"/>
      <c r="AU240" s="611"/>
      <c r="AV240" s="121"/>
      <c r="AW240" s="240"/>
      <c r="AX240" s="241"/>
      <c r="AY240" s="242" t="str">
        <f>IF(AND(AY$83&lt;&gt;"geen",AY$105&lt;&gt;""),AY$105,"")</f>
        <v>elektriciteit</v>
      </c>
      <c r="AZ240" s="242" t="str">
        <f>IF(AND(AZ$83&lt;&gt;"geen",AZ$105&lt;&gt;""),AZ$105,"")</f>
        <v/>
      </c>
      <c r="BA240" s="242" t="str">
        <f>IF(AND(BA$83&lt;&gt;"geen",BA$105&lt;&gt;""),BA$105,"")</f>
        <v>elektriciteit</v>
      </c>
      <c r="BB240" s="611"/>
      <c r="BC240" s="611"/>
      <c r="BD240" s="611"/>
      <c r="BE240" s="611"/>
      <c r="BF240" s="611"/>
      <c r="BG240" s="611"/>
      <c r="BH240" s="224"/>
    </row>
    <row r="241" spans="1:60" s="2" customFormat="1">
      <c r="A241" s="1038"/>
      <c r="B241" s="1109" t="s">
        <v>1218</v>
      </c>
      <c r="C241" s="1106" t="s">
        <v>104</v>
      </c>
      <c r="D241" s="644"/>
      <c r="E241" s="347"/>
      <c r="F241" s="255" t="s">
        <v>245</v>
      </c>
      <c r="G241" s="255"/>
      <c r="H241" s="361" t="s">
        <v>106</v>
      </c>
      <c r="I241" s="161"/>
      <c r="J241" s="307">
        <f>M241+Y241+AK241+AW241</f>
        <v>0</v>
      </c>
      <c r="K241" s="362"/>
      <c r="L241" s="362"/>
      <c r="M241" s="307">
        <f>SUM(N241:X241)</f>
        <v>0</v>
      </c>
      <c r="N241" s="308"/>
      <c r="O241" s="363">
        <f>IF(O240="","",(O$105=O240)*O$120)</f>
        <v>0</v>
      </c>
      <c r="P241" s="363" t="str">
        <f>IF(P240="","",(P$105=P240)*P$120)</f>
        <v/>
      </c>
      <c r="Q241" s="363">
        <f>IF(Q240="","",(Q$105=Q240)*Q$120)</f>
        <v>0</v>
      </c>
      <c r="R241" s="309"/>
      <c r="S241" s="309"/>
      <c r="T241" s="309"/>
      <c r="U241" s="309"/>
      <c r="V241" s="309"/>
      <c r="W241" s="309"/>
      <c r="X241" s="113"/>
      <c r="Y241" s="307">
        <f>SUM(Z241:AJ241)</f>
        <v>0</v>
      </c>
      <c r="Z241" s="308"/>
      <c r="AA241" s="363">
        <f>IF(AA240="","",(AA$105=AA240)*AA$120)</f>
        <v>0</v>
      </c>
      <c r="AB241" s="363" t="str">
        <f>IF(AB240="","",(AB$105=AB240)*AB$120)</f>
        <v/>
      </c>
      <c r="AC241" s="363">
        <f>IF(AC240="","",(AC$105=AC240)*AC$120)</f>
        <v>0</v>
      </c>
      <c r="AD241" s="309"/>
      <c r="AE241" s="309"/>
      <c r="AF241" s="309"/>
      <c r="AG241" s="309"/>
      <c r="AH241" s="309"/>
      <c r="AI241" s="309"/>
      <c r="AJ241" s="113"/>
      <c r="AK241" s="307">
        <f>SUM(AL241:AV241)</f>
        <v>0</v>
      </c>
      <c r="AL241" s="308"/>
      <c r="AM241" s="363">
        <f>IF(AM240="","",(AM$105=AM240)*AM$120)</f>
        <v>0</v>
      </c>
      <c r="AN241" s="363" t="str">
        <f>IF(AN240="","",(AN$105=AN240)*AN$120)</f>
        <v/>
      </c>
      <c r="AO241" s="363">
        <f>IF(AO240="","",(AO$105=AO240)*AO$120)</f>
        <v>0</v>
      </c>
      <c r="AP241" s="309"/>
      <c r="AQ241" s="309"/>
      <c r="AR241" s="309"/>
      <c r="AS241" s="309"/>
      <c r="AT241" s="309"/>
      <c r="AU241" s="309"/>
      <c r="AV241" s="113"/>
      <c r="AW241" s="307">
        <f>SUM(AX241:BH241)</f>
        <v>0</v>
      </c>
      <c r="AX241" s="308"/>
      <c r="AY241" s="363">
        <f>IF(AY240="","",(AY$105=AY240)*AY$120)</f>
        <v>0</v>
      </c>
      <c r="AZ241" s="363" t="str">
        <f>IF(AZ240="","",(AZ$105=AZ240)*AZ$120)</f>
        <v/>
      </c>
      <c r="BA241" s="363">
        <f>IF(BA240="","",(BA$105=BA240)*BA$120)</f>
        <v>0</v>
      </c>
      <c r="BB241" s="309"/>
      <c r="BC241" s="309"/>
      <c r="BD241" s="309"/>
      <c r="BE241" s="309"/>
      <c r="BF241" s="309"/>
      <c r="BG241" s="309"/>
      <c r="BH241" s="222"/>
    </row>
    <row r="242" spans="1:60" s="2" customFormat="1">
      <c r="A242" s="1038"/>
      <c r="B242" s="1109" t="s">
        <v>1218</v>
      </c>
      <c r="C242" s="1106" t="s">
        <v>104</v>
      </c>
      <c r="D242" s="644"/>
      <c r="E242" s="254" t="s">
        <v>246</v>
      </c>
      <c r="F242" s="303" t="s">
        <v>190</v>
      </c>
      <c r="G242" s="303"/>
      <c r="H242" s="364" t="s">
        <v>65</v>
      </c>
      <c r="I242" s="365"/>
      <c r="J242" s="366"/>
      <c r="K242" s="367"/>
      <c r="L242" s="367"/>
      <c r="M242" s="366"/>
      <c r="N242" s="368"/>
      <c r="O242" s="369" t="str">
        <f>IF(AND(O$140&lt;&gt;"",O$140&lt;&gt;"geen"),O$141,"")</f>
        <v>elektriciteit</v>
      </c>
      <c r="P242" s="369" t="str">
        <f>IF(AND(P$140&lt;&gt;"",P$140&lt;&gt;"geen"),P$141,"")</f>
        <v/>
      </c>
      <c r="Q242" s="369" t="str">
        <f>IF(AND(Q$140&lt;&gt;"",Q$140&lt;&gt;"geen"),Q$141,"")</f>
        <v>elektriciteit</v>
      </c>
      <c r="R242" s="612"/>
      <c r="S242" s="612"/>
      <c r="T242" s="612"/>
      <c r="U242" s="612"/>
      <c r="V242" s="612"/>
      <c r="W242" s="612"/>
      <c r="X242" s="118"/>
      <c r="Y242" s="366"/>
      <c r="Z242" s="368"/>
      <c r="AA242" s="369" t="str">
        <f>IF(AND(AA$140&lt;&gt;"",AA$140&lt;&gt;"geen"),AA$141,"")</f>
        <v>elektriciteit</v>
      </c>
      <c r="AB242" s="369" t="str">
        <f>IF(AND(AB$140&lt;&gt;"",AB$140&lt;&gt;"geen"),AB$141,"")</f>
        <v/>
      </c>
      <c r="AC242" s="369" t="str">
        <f>IF(AND(AC$140&lt;&gt;"",AC$140&lt;&gt;"geen"),AC$141,"")</f>
        <v>elektriciteit</v>
      </c>
      <c r="AD242" s="612"/>
      <c r="AE242" s="612"/>
      <c r="AF242" s="612"/>
      <c r="AG242" s="612"/>
      <c r="AH242" s="612"/>
      <c r="AI242" s="612"/>
      <c r="AJ242" s="118"/>
      <c r="AK242" s="366"/>
      <c r="AL242" s="368"/>
      <c r="AM242" s="369" t="str">
        <f>IF(AND(AM$140&lt;&gt;"",AM$140&lt;&gt;"geen"),AM$141,"")</f>
        <v>elektriciteit</v>
      </c>
      <c r="AN242" s="369" t="str">
        <f>IF(AND(AN$140&lt;&gt;"",AN$140&lt;&gt;"geen"),AN$141,"")</f>
        <v/>
      </c>
      <c r="AO242" s="369" t="str">
        <f>IF(AND(AO$140&lt;&gt;"",AO$140&lt;&gt;"geen"),AO$141,"")</f>
        <v>elektriciteit</v>
      </c>
      <c r="AP242" s="612"/>
      <c r="AQ242" s="612"/>
      <c r="AR242" s="612"/>
      <c r="AS242" s="612"/>
      <c r="AT242" s="612"/>
      <c r="AU242" s="612"/>
      <c r="AV242" s="118"/>
      <c r="AW242" s="366"/>
      <c r="AX242" s="368"/>
      <c r="AY242" s="369" t="str">
        <f>IF(AND(AY$140&lt;&gt;"",AY$140&lt;&gt;"geen"),AY$141,"")</f>
        <v>elektriciteit</v>
      </c>
      <c r="AZ242" s="369" t="str">
        <f>IF(AND(AZ$140&lt;&gt;"",AZ$140&lt;&gt;"geen"),AZ$141,"")</f>
        <v/>
      </c>
      <c r="BA242" s="369" t="str">
        <f>IF(AND(BA$140&lt;&gt;"",BA$140&lt;&gt;"geen"),BA$141,"")</f>
        <v>elektriciteit</v>
      </c>
      <c r="BB242" s="612"/>
      <c r="BC242" s="612"/>
      <c r="BD242" s="612"/>
      <c r="BE242" s="612"/>
      <c r="BF242" s="612"/>
      <c r="BG242" s="612"/>
      <c r="BH242" s="222"/>
    </row>
    <row r="243" spans="1:60" s="2" customFormat="1">
      <c r="A243" s="1038"/>
      <c r="B243" s="1109" t="s">
        <v>1218</v>
      </c>
      <c r="C243" s="1106" t="s">
        <v>104</v>
      </c>
      <c r="D243" s="644"/>
      <c r="E243" s="347"/>
      <c r="F243" s="255" t="s">
        <v>245</v>
      </c>
      <c r="G243" s="255"/>
      <c r="H243" s="361" t="s">
        <v>106</v>
      </c>
      <c r="I243" s="161"/>
      <c r="J243" s="307">
        <f>M243+Y243+AK243+AW243</f>
        <v>0</v>
      </c>
      <c r="K243" s="362"/>
      <c r="L243" s="362"/>
      <c r="M243" s="307">
        <f>SUM(N243:X243)</f>
        <v>0</v>
      </c>
      <c r="N243" s="308"/>
      <c r="O243" s="363">
        <f>IF(O242="",0,(O$141=O242)*O$151)</f>
        <v>0</v>
      </c>
      <c r="P243" s="363">
        <f>IF(P242="",0,(P$141=P242)*P$151)</f>
        <v>0</v>
      </c>
      <c r="Q243" s="363">
        <f>IF(Q242="",0,(Q$141=Q242)*Q$151)</f>
        <v>0</v>
      </c>
      <c r="R243" s="309"/>
      <c r="S243" s="309"/>
      <c r="T243" s="309"/>
      <c r="U243" s="309"/>
      <c r="V243" s="309"/>
      <c r="W243" s="309"/>
      <c r="X243" s="113"/>
      <c r="Y243" s="307">
        <f>SUM(Z243:AJ243)</f>
        <v>0</v>
      </c>
      <c r="Z243" s="308"/>
      <c r="AA243" s="363">
        <f>IF(AA242="",0,(AA$141=AA242)*AA$151)</f>
        <v>0</v>
      </c>
      <c r="AB243" s="363">
        <f>IF(AB242="",0,(AB$141=AB242)*AB$151)</f>
        <v>0</v>
      </c>
      <c r="AC243" s="363">
        <f>IF(AC242="",0,(AC$141=AC242)*AC$151)</f>
        <v>0</v>
      </c>
      <c r="AD243" s="309"/>
      <c r="AE243" s="309"/>
      <c r="AF243" s="309"/>
      <c r="AG243" s="309"/>
      <c r="AH243" s="309"/>
      <c r="AI243" s="309"/>
      <c r="AJ243" s="113"/>
      <c r="AK243" s="307">
        <f>SUM(AL243:AV243)</f>
        <v>0</v>
      </c>
      <c r="AL243" s="308"/>
      <c r="AM243" s="363">
        <f>IF(AM242="",0,(AM$141=AM242)*AM$151)</f>
        <v>0</v>
      </c>
      <c r="AN243" s="363">
        <f>IF(AN242="",0,(AN$141=AN242)*AN$151)</f>
        <v>0</v>
      </c>
      <c r="AO243" s="363">
        <f>IF(AO242="",0,(AO$141=AO242)*AO$151)</f>
        <v>0</v>
      </c>
      <c r="AP243" s="309"/>
      <c r="AQ243" s="309"/>
      <c r="AR243" s="309"/>
      <c r="AS243" s="309"/>
      <c r="AT243" s="309"/>
      <c r="AU243" s="309"/>
      <c r="AV243" s="113"/>
      <c r="AW243" s="307">
        <f>SUM(AX243:BH243)</f>
        <v>0</v>
      </c>
      <c r="AX243" s="308"/>
      <c r="AY243" s="363">
        <f>IF(AY242="",0,(AY$141=AY242)*AY$151)</f>
        <v>0</v>
      </c>
      <c r="AZ243" s="363">
        <f>IF(AZ242="",0,(AZ$141=AZ242)*AZ$151)</f>
        <v>0</v>
      </c>
      <c r="BA243" s="363">
        <f>IF(BA242="",0,(BA$141=BA242)*BA$151)</f>
        <v>0</v>
      </c>
      <c r="BB243" s="309"/>
      <c r="BC243" s="309"/>
      <c r="BD243" s="309"/>
      <c r="BE243" s="309"/>
      <c r="BF243" s="309"/>
      <c r="BG243" s="309"/>
      <c r="BH243" s="222"/>
    </row>
    <row r="244" spans="1:60" s="2" customFormat="1">
      <c r="A244" s="1038"/>
      <c r="B244" s="1109" t="s">
        <v>1218</v>
      </c>
      <c r="C244" s="1106" t="s">
        <v>104</v>
      </c>
      <c r="D244" s="644"/>
      <c r="E244" s="254" t="s">
        <v>247</v>
      </c>
      <c r="F244" s="303" t="s">
        <v>190</v>
      </c>
      <c r="G244" s="303"/>
      <c r="H244" s="364" t="s">
        <v>65</v>
      </c>
      <c r="I244" s="365"/>
      <c r="J244" s="370"/>
      <c r="K244" s="367"/>
      <c r="L244" s="367"/>
      <c r="M244" s="366"/>
      <c r="N244" s="368"/>
      <c r="O244" s="369" t="str">
        <f t="shared" ref="O244:W244" si="203">elektriciteit</f>
        <v>elektriciteit</v>
      </c>
      <c r="P244" s="369" t="str">
        <f t="shared" si="203"/>
        <v>elektriciteit</v>
      </c>
      <c r="Q244" s="369" t="str">
        <f t="shared" si="203"/>
        <v>elektriciteit</v>
      </c>
      <c r="R244" s="369" t="str">
        <f t="shared" si="203"/>
        <v>elektriciteit</v>
      </c>
      <c r="S244" s="369" t="str">
        <f t="shared" si="203"/>
        <v>elektriciteit</v>
      </c>
      <c r="T244" s="369" t="str">
        <f>aardgas</f>
        <v>aardgas</v>
      </c>
      <c r="U244" s="369" t="str">
        <f t="shared" si="203"/>
        <v>elektriciteit</v>
      </c>
      <c r="V244" s="369" t="str">
        <f t="shared" si="203"/>
        <v>elektriciteit</v>
      </c>
      <c r="W244" s="369" t="str">
        <f t="shared" si="203"/>
        <v>elektriciteit</v>
      </c>
      <c r="X244" s="118"/>
      <c r="Y244" s="366"/>
      <c r="Z244" s="368"/>
      <c r="AA244" s="369" t="str">
        <f t="shared" ref="AA244:AI244" si="204">elektriciteit</f>
        <v>elektriciteit</v>
      </c>
      <c r="AB244" s="369" t="str">
        <f t="shared" si="204"/>
        <v>elektriciteit</v>
      </c>
      <c r="AC244" s="369" t="str">
        <f t="shared" si="204"/>
        <v>elektriciteit</v>
      </c>
      <c r="AD244" s="369" t="str">
        <f t="shared" si="204"/>
        <v>elektriciteit</v>
      </c>
      <c r="AE244" s="369" t="str">
        <f t="shared" si="204"/>
        <v>elektriciteit</v>
      </c>
      <c r="AF244" s="369" t="str">
        <f>aardgas</f>
        <v>aardgas</v>
      </c>
      <c r="AG244" s="369" t="str">
        <f t="shared" si="204"/>
        <v>elektriciteit</v>
      </c>
      <c r="AH244" s="369" t="str">
        <f t="shared" si="204"/>
        <v>elektriciteit</v>
      </c>
      <c r="AI244" s="369" t="str">
        <f t="shared" si="204"/>
        <v>elektriciteit</v>
      </c>
      <c r="AJ244" s="118"/>
      <c r="AK244" s="366"/>
      <c r="AL244" s="368"/>
      <c r="AM244" s="369" t="str">
        <f t="shared" ref="AM244:AU244" si="205">elektriciteit</f>
        <v>elektriciteit</v>
      </c>
      <c r="AN244" s="369" t="str">
        <f t="shared" si="205"/>
        <v>elektriciteit</v>
      </c>
      <c r="AO244" s="369" t="str">
        <f t="shared" si="205"/>
        <v>elektriciteit</v>
      </c>
      <c r="AP244" s="369" t="str">
        <f t="shared" si="205"/>
        <v>elektriciteit</v>
      </c>
      <c r="AQ244" s="369" t="str">
        <f t="shared" si="205"/>
        <v>elektriciteit</v>
      </c>
      <c r="AR244" s="369" t="str">
        <f>aardgas</f>
        <v>aardgas</v>
      </c>
      <c r="AS244" s="369" t="str">
        <f t="shared" si="205"/>
        <v>elektriciteit</v>
      </c>
      <c r="AT244" s="369" t="str">
        <f t="shared" si="205"/>
        <v>elektriciteit</v>
      </c>
      <c r="AU244" s="369" t="str">
        <f t="shared" si="205"/>
        <v>elektriciteit</v>
      </c>
      <c r="AV244" s="118"/>
      <c r="AW244" s="366"/>
      <c r="AX244" s="368"/>
      <c r="AY244" s="369" t="str">
        <f t="shared" ref="AY244:BG244" si="206">elektriciteit</f>
        <v>elektriciteit</v>
      </c>
      <c r="AZ244" s="369" t="str">
        <f t="shared" si="206"/>
        <v>elektriciteit</v>
      </c>
      <c r="BA244" s="369" t="str">
        <f t="shared" si="206"/>
        <v>elektriciteit</v>
      </c>
      <c r="BB244" s="369" t="str">
        <f t="shared" si="206"/>
        <v>elektriciteit</v>
      </c>
      <c r="BC244" s="369" t="str">
        <f t="shared" si="206"/>
        <v>elektriciteit</v>
      </c>
      <c r="BD244" s="369" t="str">
        <f>aardgas</f>
        <v>aardgas</v>
      </c>
      <c r="BE244" s="369" t="str">
        <f t="shared" si="206"/>
        <v>elektriciteit</v>
      </c>
      <c r="BF244" s="369" t="str">
        <f t="shared" si="206"/>
        <v>elektriciteit</v>
      </c>
      <c r="BG244" s="369" t="str">
        <f t="shared" si="206"/>
        <v>elektriciteit</v>
      </c>
      <c r="BH244" s="219"/>
    </row>
    <row r="245" spans="1:60" s="2" customFormat="1">
      <c r="A245" s="1038"/>
      <c r="B245" s="1109" t="s">
        <v>1218</v>
      </c>
      <c r="C245" s="1106" t="s">
        <v>104</v>
      </c>
      <c r="D245" s="644"/>
      <c r="E245" s="255" t="s">
        <v>248</v>
      </c>
      <c r="F245" s="255" t="s">
        <v>245</v>
      </c>
      <c r="G245" s="255"/>
      <c r="H245" s="361" t="s">
        <v>106</v>
      </c>
      <c r="I245" s="161"/>
      <c r="J245" s="307">
        <f>M245+Y245+AK245+AW245</f>
        <v>0</v>
      </c>
      <c r="K245" s="362"/>
      <c r="L245" s="362"/>
      <c r="M245" s="307">
        <f>SUM(N245:X245)</f>
        <v>0</v>
      </c>
      <c r="N245" s="308"/>
      <c r="O245" s="363">
        <f>IF(O244=elektriciteit,O$174-O$214,O$78*bibliotheek!$K$261)</f>
        <v>0</v>
      </c>
      <c r="P245" s="363">
        <f>IF(P244=elektriciteit,P$174-P$214,P$78*bibliotheek!$K$261)</f>
        <v>0</v>
      </c>
      <c r="Q245" s="363">
        <f>IF(Q244=elektriciteit,Q$174-Q$214,Q$78*bibliotheek!$K$261)</f>
        <v>0</v>
      </c>
      <c r="R245" s="363">
        <f>IF(R244=elektriciteit,R$174-R$214,R$78*bibliotheek!$K$261)</f>
        <v>0</v>
      </c>
      <c r="S245" s="363">
        <f>IF(S244=elektriciteit,S$174-S$214,S$78*bibliotheek!$K$261)</f>
        <v>0</v>
      </c>
      <c r="T245" s="363">
        <f>IF(T244=elektriciteit,T$174-T$214,T$78*bibliotheek!$K$261)</f>
        <v>0</v>
      </c>
      <c r="U245" s="363">
        <f>IF(U244=elektriciteit,U$174-U$214,U$78*bibliotheek!$K$261)</f>
        <v>0</v>
      </c>
      <c r="V245" s="363">
        <f>IF(V244=elektriciteit,V$174-V$214,V$78*bibliotheek!$K$261)</f>
        <v>0</v>
      </c>
      <c r="W245" s="363">
        <f>IF(W244=elektriciteit,W$174-W$214,W$78*bibliotheek!$K$261)</f>
        <v>0</v>
      </c>
      <c r="X245" s="113"/>
      <c r="Y245" s="307">
        <f>SUM(Z245:AJ245)</f>
        <v>0</v>
      </c>
      <c r="Z245" s="308"/>
      <c r="AA245" s="363">
        <f>IF(AA244=elektriciteit,AA$174-AA$214,AA$78*bibliotheek!$K$261)</f>
        <v>0</v>
      </c>
      <c r="AB245" s="363">
        <f>IF(AB244=elektriciteit,AB$174-AB$214,AB$78*bibliotheek!$K$261)</f>
        <v>0</v>
      </c>
      <c r="AC245" s="363">
        <f>IF(AC244=elektriciteit,AC$174-AC$214,AC$78*bibliotheek!$K$261)</f>
        <v>0</v>
      </c>
      <c r="AD245" s="363">
        <f>IF(AD244=elektriciteit,AD$174-AD$214,AD$78*bibliotheek!$K$261)</f>
        <v>0</v>
      </c>
      <c r="AE245" s="363">
        <f>IF(AE244=elektriciteit,AE$174-AE$214,AE$78*bibliotheek!$K$261)</f>
        <v>0</v>
      </c>
      <c r="AF245" s="363">
        <f>IF(AF244=elektriciteit,AF$174-AF$214,AF$78*bibliotheek!$K$261)</f>
        <v>0</v>
      </c>
      <c r="AG245" s="363">
        <f>IF(AG244=elektriciteit,AG$174-AG$214,AG$78*bibliotheek!$K$261)</f>
        <v>0</v>
      </c>
      <c r="AH245" s="363">
        <f>IF(AH244=elektriciteit,AH$174-AH$214,AH$78*bibliotheek!$K$261)</f>
        <v>0</v>
      </c>
      <c r="AI245" s="363">
        <f>IF(AI244=elektriciteit,AI$174-AI$214,AI$78*bibliotheek!$K$261)</f>
        <v>0</v>
      </c>
      <c r="AJ245" s="113"/>
      <c r="AK245" s="307">
        <f>SUM(AL245:AV245)</f>
        <v>0</v>
      </c>
      <c r="AL245" s="308"/>
      <c r="AM245" s="363">
        <f>IF(AM244=elektriciteit,AM$174-AM$214,AM$78*bibliotheek!$K$261)</f>
        <v>0</v>
      </c>
      <c r="AN245" s="363">
        <f>IF(AN244=elektriciteit,AN$174-AN$214,AN$78*bibliotheek!$K$261)</f>
        <v>0</v>
      </c>
      <c r="AO245" s="363">
        <f>IF(AO244=elektriciteit,AO$174-AO$214,AO$78*bibliotheek!$K$261)</f>
        <v>0</v>
      </c>
      <c r="AP245" s="363">
        <f>IF(AP244=elektriciteit,AP$174-AP$214,AP$78*bibliotheek!$K$261)</f>
        <v>0</v>
      </c>
      <c r="AQ245" s="363">
        <f>IF(AQ244=elektriciteit,AQ$174-AQ$214,AQ$78*bibliotheek!$K$261)</f>
        <v>0</v>
      </c>
      <c r="AR245" s="363">
        <f>IF(AR244=elektriciteit,AR$174-AR$214,AR$78*bibliotheek!$K$261)</f>
        <v>0</v>
      </c>
      <c r="AS245" s="363">
        <f>IF(AS244=elektriciteit,AS$174-AS$214,AS$78*bibliotheek!$K$261)</f>
        <v>0</v>
      </c>
      <c r="AT245" s="363">
        <f>IF(AT244=elektriciteit,AT$174-AT$214,AT$78*bibliotheek!$K$261)</f>
        <v>0</v>
      </c>
      <c r="AU245" s="363">
        <f>IF(AU244=elektriciteit,AU$174-AU$214,AU$78*bibliotheek!$K$261)</f>
        <v>0</v>
      </c>
      <c r="AV245" s="113"/>
      <c r="AW245" s="307">
        <f>SUM(AX245:BH245)</f>
        <v>0</v>
      </c>
      <c r="AX245" s="308"/>
      <c r="AY245" s="363">
        <f>IF(AY244=elektriciteit,AY$174-AY$214,AY$78*bibliotheek!$K$261)</f>
        <v>0</v>
      </c>
      <c r="AZ245" s="363">
        <f>IF(AZ244=elektriciteit,AZ$174-AZ$214,AZ$78*bibliotheek!$K$261)</f>
        <v>0</v>
      </c>
      <c r="BA245" s="363">
        <f>IF(BA244=elektriciteit,BA$174-BA$214,BA$78*bibliotheek!$K$261)</f>
        <v>0</v>
      </c>
      <c r="BB245" s="363">
        <f>IF(BB244=elektriciteit,BB$174-BB$214,BB$78*bibliotheek!$K$261)</f>
        <v>0</v>
      </c>
      <c r="BC245" s="363">
        <f>IF(BC244=elektriciteit,BC$174-BC$214,BC$78*bibliotheek!$K$261)</f>
        <v>0</v>
      </c>
      <c r="BD245" s="363">
        <f>IF(BD244=elektriciteit,BD$174-BD$214,BD$78*bibliotheek!$K$261)</f>
        <v>0</v>
      </c>
      <c r="BE245" s="363">
        <f>IF(BE244=elektriciteit,BE$174-BE$214,BE$78*bibliotheek!$K$261)</f>
        <v>0</v>
      </c>
      <c r="BF245" s="363">
        <f>IF(BF244=elektriciteit,BF$174-BF$214,BF$78*bibliotheek!$K$261)</f>
        <v>0</v>
      </c>
      <c r="BG245" s="363">
        <f>IF(BG244=elektriciteit,BG$174-BG$214,BG$78*bibliotheek!$K$261)</f>
        <v>0</v>
      </c>
      <c r="BH245" s="222"/>
    </row>
    <row r="246" spans="1:60" s="2" customFormat="1">
      <c r="A246" s="1038"/>
      <c r="B246" s="1110" t="s">
        <v>1218</v>
      </c>
      <c r="C246" s="1106" t="s">
        <v>104</v>
      </c>
      <c r="D246" s="644"/>
      <c r="E246" s="180" t="s">
        <v>232</v>
      </c>
      <c r="F246" s="180" t="s">
        <v>245</v>
      </c>
      <c r="G246" s="180"/>
      <c r="H246" s="201" t="s">
        <v>106</v>
      </c>
      <c r="I246" s="114"/>
      <c r="J246" s="202">
        <f>M246+Y246+AK246+AW246</f>
        <v>0</v>
      </c>
      <c r="K246" s="362"/>
      <c r="L246" s="362"/>
      <c r="M246" s="202">
        <f>SUM(N246:X246)</f>
        <v>0</v>
      </c>
      <c r="N246" s="89"/>
      <c r="O246" s="168">
        <f>O241+O243+O245</f>
        <v>0</v>
      </c>
      <c r="P246" s="168">
        <f t="shared" ref="P246:W246" si="207">P245+IF(P241="",0,P241)+IF(P243="",0,P243)</f>
        <v>0</v>
      </c>
      <c r="Q246" s="168">
        <f t="shared" si="207"/>
        <v>0</v>
      </c>
      <c r="R246" s="168">
        <f t="shared" si="207"/>
        <v>0</v>
      </c>
      <c r="S246" s="168">
        <f t="shared" si="207"/>
        <v>0</v>
      </c>
      <c r="T246" s="168">
        <f t="shared" si="207"/>
        <v>0</v>
      </c>
      <c r="U246" s="168">
        <f t="shared" si="207"/>
        <v>0</v>
      </c>
      <c r="V246" s="168">
        <f t="shared" si="207"/>
        <v>0</v>
      </c>
      <c r="W246" s="168">
        <f t="shared" si="207"/>
        <v>0</v>
      </c>
      <c r="X246" s="113"/>
      <c r="Y246" s="202">
        <f>SUM(Z246:AJ246)</f>
        <v>0</v>
      </c>
      <c r="Z246" s="89"/>
      <c r="AA246" s="168">
        <f>AA241+AA243+AA245</f>
        <v>0</v>
      </c>
      <c r="AB246" s="168">
        <f t="shared" ref="AB246:AI246" si="208">AB245+IF(AB241="",0,AB241)+IF(AB243="",0,AB243)</f>
        <v>0</v>
      </c>
      <c r="AC246" s="168">
        <f t="shared" si="208"/>
        <v>0</v>
      </c>
      <c r="AD246" s="168">
        <f t="shared" si="208"/>
        <v>0</v>
      </c>
      <c r="AE246" s="168">
        <f t="shared" si="208"/>
        <v>0</v>
      </c>
      <c r="AF246" s="168">
        <f t="shared" si="208"/>
        <v>0</v>
      </c>
      <c r="AG246" s="168">
        <f t="shared" si="208"/>
        <v>0</v>
      </c>
      <c r="AH246" s="168">
        <f t="shared" si="208"/>
        <v>0</v>
      </c>
      <c r="AI246" s="168">
        <f t="shared" si="208"/>
        <v>0</v>
      </c>
      <c r="AJ246" s="113"/>
      <c r="AK246" s="202">
        <f>SUM(AL246:AV246)</f>
        <v>0</v>
      </c>
      <c r="AL246" s="89"/>
      <c r="AM246" s="168">
        <f>AM241+AM243+AM245</f>
        <v>0</v>
      </c>
      <c r="AN246" s="168">
        <f t="shared" ref="AN246:AU246" si="209">AN245+IF(AN241="",0,AN241)+IF(AN243="",0,AN243)</f>
        <v>0</v>
      </c>
      <c r="AO246" s="168">
        <f t="shared" si="209"/>
        <v>0</v>
      </c>
      <c r="AP246" s="168">
        <f t="shared" si="209"/>
        <v>0</v>
      </c>
      <c r="AQ246" s="168">
        <f t="shared" si="209"/>
        <v>0</v>
      </c>
      <c r="AR246" s="168">
        <f t="shared" si="209"/>
        <v>0</v>
      </c>
      <c r="AS246" s="168">
        <f t="shared" si="209"/>
        <v>0</v>
      </c>
      <c r="AT246" s="168">
        <f t="shared" si="209"/>
        <v>0</v>
      </c>
      <c r="AU246" s="168">
        <f t="shared" si="209"/>
        <v>0</v>
      </c>
      <c r="AV246" s="113"/>
      <c r="AW246" s="202">
        <f>SUM(AX246:BH246)</f>
        <v>0</v>
      </c>
      <c r="AX246" s="89"/>
      <c r="AY246" s="168">
        <f>AY241+AY243+AY245</f>
        <v>0</v>
      </c>
      <c r="AZ246" s="168">
        <f t="shared" ref="AZ246:BG246" si="210">AZ245+IF(AZ241="",0,AZ241)+IF(AZ243="",0,AZ243)</f>
        <v>0</v>
      </c>
      <c r="BA246" s="168">
        <f t="shared" si="210"/>
        <v>0</v>
      </c>
      <c r="BB246" s="168">
        <f t="shared" si="210"/>
        <v>0</v>
      </c>
      <c r="BC246" s="168">
        <f t="shared" si="210"/>
        <v>0</v>
      </c>
      <c r="BD246" s="168">
        <f t="shared" si="210"/>
        <v>0</v>
      </c>
      <c r="BE246" s="168">
        <f t="shared" si="210"/>
        <v>0</v>
      </c>
      <c r="BF246" s="168">
        <f t="shared" si="210"/>
        <v>0</v>
      </c>
      <c r="BG246" s="168">
        <f t="shared" si="210"/>
        <v>0</v>
      </c>
      <c r="BH246" s="222"/>
    </row>
    <row r="247" spans="1:60">
      <c r="A247" s="1040"/>
      <c r="B247" s="1109" t="s">
        <v>1218</v>
      </c>
      <c r="C247" s="1106" t="s">
        <v>96</v>
      </c>
      <c r="D247" s="638"/>
      <c r="E247" s="79"/>
      <c r="F247" s="79"/>
      <c r="G247" s="79"/>
      <c r="H247" s="82"/>
      <c r="I247" s="122"/>
      <c r="J247" s="113"/>
      <c r="K247" s="79"/>
      <c r="L247" s="79"/>
      <c r="M247" s="113"/>
      <c r="N247" s="79"/>
      <c r="O247" s="85"/>
      <c r="P247" s="85"/>
      <c r="Q247" s="82"/>
      <c r="R247" s="82"/>
      <c r="S247" s="82"/>
      <c r="T247" s="82"/>
      <c r="U247" s="82"/>
      <c r="V247" s="82"/>
      <c r="W247" s="82"/>
      <c r="X247" s="82"/>
      <c r="Y247" s="113"/>
      <c r="Z247" s="79"/>
      <c r="AA247" s="85"/>
      <c r="AB247" s="85"/>
      <c r="AC247" s="82"/>
      <c r="AD247" s="82"/>
      <c r="AE247" s="82"/>
      <c r="AF247" s="82"/>
      <c r="AG247" s="82"/>
      <c r="AH247" s="82"/>
      <c r="AI247" s="82"/>
      <c r="AJ247" s="82"/>
      <c r="AK247" s="113"/>
      <c r="AL247" s="79"/>
      <c r="AM247" s="85"/>
      <c r="AN247" s="85"/>
      <c r="AO247" s="82"/>
      <c r="AP247" s="82"/>
      <c r="AQ247" s="82"/>
      <c r="AR247" s="82"/>
      <c r="AS247" s="82"/>
      <c r="AT247" s="82"/>
      <c r="AU247" s="82"/>
      <c r="AV247" s="82"/>
      <c r="AW247" s="113"/>
      <c r="AX247" s="79"/>
      <c r="AY247" s="82"/>
      <c r="AZ247" s="82"/>
      <c r="BA247" s="82"/>
      <c r="BB247" s="82"/>
      <c r="BC247" s="82"/>
      <c r="BD247" s="82"/>
      <c r="BE247" s="82"/>
      <c r="BF247" s="82"/>
      <c r="BG247" s="82"/>
      <c r="BH247" s="1"/>
    </row>
    <row r="248" spans="1:60">
      <c r="A248" s="1040"/>
      <c r="B248" s="1109" t="s">
        <v>249</v>
      </c>
      <c r="C248" s="1106" t="s">
        <v>96</v>
      </c>
      <c r="D248" s="638"/>
      <c r="E248" s="79"/>
      <c r="F248" s="79"/>
      <c r="G248" s="79"/>
      <c r="H248" s="85"/>
      <c r="I248" s="79"/>
      <c r="J248" s="82"/>
      <c r="K248" s="79"/>
      <c r="L248" s="79"/>
      <c r="M248" s="82"/>
      <c r="N248" s="79"/>
      <c r="O248" s="82"/>
      <c r="P248" s="82"/>
      <c r="Q248" s="82"/>
      <c r="R248" s="82"/>
      <c r="S248" s="82"/>
      <c r="T248" s="82"/>
      <c r="U248" s="82"/>
      <c r="V248" s="82"/>
      <c r="W248" s="82"/>
      <c r="X248" s="82"/>
      <c r="Y248" s="82"/>
      <c r="Z248" s="79"/>
      <c r="AA248" s="82"/>
      <c r="AB248" s="82"/>
      <c r="AC248" s="82"/>
      <c r="AD248" s="82"/>
      <c r="AE248" s="82"/>
      <c r="AF248" s="82"/>
      <c r="AG248" s="82"/>
      <c r="AH248" s="82"/>
      <c r="AI248" s="82"/>
      <c r="AJ248" s="82"/>
      <c r="AK248" s="82"/>
      <c r="AL248" s="79"/>
      <c r="AM248" s="82"/>
      <c r="AN248" s="82"/>
      <c r="AO248" s="82"/>
      <c r="AP248" s="82"/>
      <c r="AQ248" s="82"/>
      <c r="AR248" s="82"/>
      <c r="AS248" s="82"/>
      <c r="AT248" s="82"/>
      <c r="AU248" s="82"/>
      <c r="AV248" s="82"/>
      <c r="AW248" s="82"/>
      <c r="AX248" s="79"/>
      <c r="AY248" s="82"/>
      <c r="AZ248" s="82"/>
      <c r="BA248" s="82"/>
      <c r="BB248" s="82"/>
      <c r="BC248" s="82"/>
      <c r="BD248" s="82"/>
      <c r="BE248" s="82"/>
      <c r="BF248" s="82"/>
      <c r="BG248" s="82"/>
      <c r="BH248" s="1"/>
    </row>
    <row r="249" spans="1:60" ht="21">
      <c r="A249" s="1040"/>
      <c r="B249" s="1109" t="s">
        <v>249</v>
      </c>
      <c r="C249" s="1106" t="s">
        <v>96</v>
      </c>
      <c r="D249" s="643"/>
      <c r="E249" s="1181" t="s">
        <v>1357</v>
      </c>
      <c r="F249" s="1181"/>
      <c r="G249" s="1181"/>
      <c r="H249" s="1181"/>
      <c r="I249" s="77"/>
      <c r="J249" s="200" t="str">
        <f>J$10</f>
        <v>alle locaties</v>
      </c>
      <c r="K249" s="126"/>
      <c r="L249" s="126"/>
      <c r="M249" s="200" t="str">
        <f>M$10</f>
        <v>locatie 1</v>
      </c>
      <c r="N249" s="182"/>
      <c r="O249" s="966" t="str">
        <f>$E249&amp;" per energiepost"</f>
        <v>hernieuwbaar primair fossiel energiegebruik per energiepost per energiepost</v>
      </c>
      <c r="P249" s="941"/>
      <c r="Q249" s="941"/>
      <c r="R249" s="941"/>
      <c r="S249" s="941"/>
      <c r="T249" s="941"/>
      <c r="U249" s="941"/>
      <c r="V249" s="941"/>
      <c r="W249" s="956"/>
      <c r="X249" s="174"/>
      <c r="Y249" s="200" t="str">
        <f>Y$10</f>
        <v>locatie 2</v>
      </c>
      <c r="Z249" s="182"/>
      <c r="AA249" s="966" t="str">
        <f>$E249&amp;" per energiepost"</f>
        <v>hernieuwbaar primair fossiel energiegebruik per energiepost per energiepost</v>
      </c>
      <c r="AB249" s="941"/>
      <c r="AC249" s="941"/>
      <c r="AD249" s="941"/>
      <c r="AE249" s="941"/>
      <c r="AF249" s="941"/>
      <c r="AG249" s="941"/>
      <c r="AH249" s="941"/>
      <c r="AI249" s="956"/>
      <c r="AJ249" s="174"/>
      <c r="AK249" s="200" t="str">
        <f>AK$10</f>
        <v>locatie 3</v>
      </c>
      <c r="AL249" s="182"/>
      <c r="AM249" s="966" t="str">
        <f>$E249&amp;" per energiepost"</f>
        <v>hernieuwbaar primair fossiel energiegebruik per energiepost per energiepost</v>
      </c>
      <c r="AN249" s="941"/>
      <c r="AO249" s="941"/>
      <c r="AP249" s="941"/>
      <c r="AQ249" s="941"/>
      <c r="AR249" s="941"/>
      <c r="AS249" s="941"/>
      <c r="AT249" s="941"/>
      <c r="AU249" s="956"/>
      <c r="AV249" s="174"/>
      <c r="AW249" s="200" t="str">
        <f>AW$10</f>
        <v>locatie 4</v>
      </c>
      <c r="AX249" s="182"/>
      <c r="AY249" s="966" t="str">
        <f>$E249&amp;" per energiepost"</f>
        <v>hernieuwbaar primair fossiel energiegebruik per energiepost per energiepost</v>
      </c>
      <c r="AZ249" s="941"/>
      <c r="BA249" s="941"/>
      <c r="BB249" s="941"/>
      <c r="BC249" s="941"/>
      <c r="BD249" s="941"/>
      <c r="BE249" s="941"/>
      <c r="BF249" s="941"/>
      <c r="BG249" s="956"/>
      <c r="BH249" s="1"/>
    </row>
    <row r="250" spans="1:60">
      <c r="A250" s="1040"/>
      <c r="B250" s="1109" t="s">
        <v>249</v>
      </c>
      <c r="C250" s="1106" t="s">
        <v>96</v>
      </c>
      <c r="D250" s="638"/>
      <c r="E250" s="940" t="s">
        <v>1316</v>
      </c>
      <c r="F250" s="940"/>
      <c r="G250" s="940"/>
      <c r="H250" s="940"/>
      <c r="I250" s="77"/>
      <c r="J250" s="939"/>
      <c r="K250" s="126"/>
      <c r="L250" s="126"/>
      <c r="M250" s="938"/>
      <c r="N250" s="191"/>
      <c r="O250" s="177" t="str">
        <f>O$10</f>
        <v>verwarming</v>
      </c>
      <c r="P250" s="177" t="str">
        <f>P$10</f>
        <v>koeling</v>
      </c>
      <c r="Q250" s="177" t="str">
        <f>Q$10</f>
        <v>tapwater</v>
      </c>
      <c r="R250" s="177"/>
      <c r="S250" s="177"/>
      <c r="T250" s="177"/>
      <c r="U250" s="177"/>
      <c r="V250" s="177"/>
      <c r="W250" s="177" t="str">
        <f>W$10</f>
        <v>zonnepanelen</v>
      </c>
      <c r="X250" s="191"/>
      <c r="Y250" s="938"/>
      <c r="Z250" s="191"/>
      <c r="AA250" s="177" t="str">
        <f>AA$10</f>
        <v>verwarming</v>
      </c>
      <c r="AB250" s="177" t="str">
        <f>AB$10</f>
        <v>koeling</v>
      </c>
      <c r="AC250" s="177" t="str">
        <f>AC$10</f>
        <v>tapwater</v>
      </c>
      <c r="AD250" s="177"/>
      <c r="AE250" s="177"/>
      <c r="AF250" s="177"/>
      <c r="AG250" s="177"/>
      <c r="AH250" s="177"/>
      <c r="AI250" s="177" t="str">
        <f>AI$10</f>
        <v>zonnepanelen</v>
      </c>
      <c r="AJ250" s="191"/>
      <c r="AK250" s="938"/>
      <c r="AL250" s="191"/>
      <c r="AM250" s="177" t="str">
        <f>AM$10</f>
        <v>verwarming</v>
      </c>
      <c r="AN250" s="177" t="str">
        <f>AN$10</f>
        <v>koeling</v>
      </c>
      <c r="AO250" s="177" t="str">
        <f>AO$10</f>
        <v>tapwater</v>
      </c>
      <c r="AP250" s="177"/>
      <c r="AQ250" s="177"/>
      <c r="AR250" s="177"/>
      <c r="AS250" s="177"/>
      <c r="AT250" s="177"/>
      <c r="AU250" s="177" t="str">
        <f>AU$10</f>
        <v>zonnepanelen</v>
      </c>
      <c r="AV250" s="191"/>
      <c r="AW250" s="938"/>
      <c r="AX250" s="191"/>
      <c r="AY250" s="177" t="str">
        <f>AY$10</f>
        <v>verwarming</v>
      </c>
      <c r="AZ250" s="177" t="str">
        <f>AZ$10</f>
        <v>koeling</v>
      </c>
      <c r="BA250" s="177" t="str">
        <f>BA$10</f>
        <v>tapwater</v>
      </c>
      <c r="BB250" s="177"/>
      <c r="BC250" s="177"/>
      <c r="BD250" s="177"/>
      <c r="BE250" s="177"/>
      <c r="BF250" s="177"/>
      <c r="BG250" s="177" t="str">
        <f>BG$10</f>
        <v>zonnepanelen</v>
      </c>
      <c r="BH250" s="36"/>
    </row>
    <row r="251" spans="1:60">
      <c r="A251" s="1040"/>
      <c r="B251" s="1109" t="s">
        <v>249</v>
      </c>
      <c r="C251" s="1107" t="s">
        <v>104</v>
      </c>
      <c r="D251" s="641" t="s">
        <v>45</v>
      </c>
      <c r="E251" s="180" t="s">
        <v>250</v>
      </c>
      <c r="F251" s="180"/>
      <c r="G251" s="180"/>
      <c r="H251" s="201" t="s">
        <v>160</v>
      </c>
      <c r="I251" s="114"/>
      <c r="J251" s="202">
        <f t="shared" ref="J251:J257" si="211">M251+Y251+AK251+AW251</f>
        <v>0</v>
      </c>
      <c r="K251" s="195"/>
      <c r="L251" s="195"/>
      <c r="M251" s="202">
        <f t="shared" ref="M251:M257" si="212">SUM(N251:X251)</f>
        <v>0</v>
      </c>
      <c r="N251" s="114"/>
      <c r="O251" s="168">
        <f>IF(OR(O$111=0,O$111=""),0,HLOOKUP(IF(O$83="",referentie_verwarming,O$83),toestellen_RV,ROWS(bibliotheek!$E$83:$E$87),FALSE)*O$110*(1-1/O$111)*f_P_renheat)</f>
        <v>0</v>
      </c>
      <c r="P251" s="168">
        <f>IF(OR(P$111=0,P$111=""),0,HLOOKUP(IF(P$83="",referentie_koeling,P$83),toestellen_KOEL,ROWS(bibliotheek!$E$190:$E$193),FALSE)*P$110*(1-1/P$111)*f_P_rencold)</f>
        <v>0</v>
      </c>
      <c r="Q251" s="168">
        <f>IF(OR(Q$111=0,Q$111=""),0,HLOOKUP(IF(Q$83="",referentie_warmtapwater,Q$83),toestellen_TAP,ROWS(bibliotheek!$E$139:$E$143),FALSE)*Q$110*(1-1/Q$111)*f_P_renheat)</f>
        <v>0</v>
      </c>
      <c r="R251" s="273"/>
      <c r="S251" s="273"/>
      <c r="T251" s="273"/>
      <c r="U251" s="273"/>
      <c r="V251" s="273"/>
      <c r="W251" s="273"/>
      <c r="X251" s="113"/>
      <c r="Y251" s="202">
        <f t="shared" ref="Y251:Y257" si="213">SUM(Z251:AJ251)</f>
        <v>0</v>
      </c>
      <c r="Z251" s="114"/>
      <c r="AA251" s="168">
        <f>IF(OR(AA$111=0,AA$111=""),0,HLOOKUP(IF(AA$83="",referentie_verwarming,AA$83),toestellen_RV,ROWS(bibliotheek!$E$83:$E$87),FALSE)*AA$110*(1-1/AA$111)*f_P_renheat)</f>
        <v>0</v>
      </c>
      <c r="AB251" s="168">
        <f>IF(OR(AB$111=0,AB$111=""),0,HLOOKUP(IF(AB$83="",referentie_koeling,AB$83),toestellen_KOEL,ROWS(bibliotheek!$E$190:$E$193),FALSE)*AB$110*(1-1/AB$111)*f_P_rencold)</f>
        <v>0</v>
      </c>
      <c r="AC251" s="168">
        <f>IF(OR(AC$111=0,AC$111=""),0,HLOOKUP(IF(AC$83="",referentie_warmtapwater,AC$83),toestellen_TAP,ROWS(bibliotheek!$E$139:$E$143),FALSE)*AC$110*(1-1/AC$111)*f_P_renheat)</f>
        <v>0</v>
      </c>
      <c r="AD251" s="273"/>
      <c r="AE251" s="273"/>
      <c r="AF251" s="273"/>
      <c r="AG251" s="273"/>
      <c r="AH251" s="273"/>
      <c r="AI251" s="273"/>
      <c r="AJ251" s="113"/>
      <c r="AK251" s="202">
        <f t="shared" ref="AK251:AK257" si="214">SUM(AL251:AV251)</f>
        <v>0</v>
      </c>
      <c r="AL251" s="191"/>
      <c r="AM251" s="168">
        <f>IF(OR(AM$111=0,AM$111=""),0,HLOOKUP(IF(AM$83="",referentie_verwarming,AM$83),toestellen_RV,ROWS(bibliotheek!$E$83:$E$87),FALSE)*AM$110*(1-1/AM$111)*f_P_renheat)</f>
        <v>0</v>
      </c>
      <c r="AN251" s="168">
        <f>IF(OR(AN$111=0,AN$111=""),0,HLOOKUP(IF(AN$83="",referentie_koeling,AN$83),toestellen_KOEL,ROWS(bibliotheek!$E$190:$E$193),FALSE)*AN$110*(1-1/AN$111)*f_P_rencold)</f>
        <v>0</v>
      </c>
      <c r="AO251" s="168">
        <f>IF(OR(AO$111=0,AO$111=""),0,HLOOKUP(IF(AO$83="",referentie_warmtapwater,AO$83),toestellen_TAP,ROWS(bibliotheek!$E$139:$E$143),FALSE)*AO$110*(1-1/AO$111)*f_P_renheat)</f>
        <v>0</v>
      </c>
      <c r="AP251" s="273"/>
      <c r="AQ251" s="273"/>
      <c r="AR251" s="273"/>
      <c r="AS251" s="273"/>
      <c r="AT251" s="273"/>
      <c r="AU251" s="273"/>
      <c r="AV251" s="191"/>
      <c r="AW251" s="202">
        <f t="shared" ref="AW251:AW257" si="215">SUM(AX251:BH251)</f>
        <v>0</v>
      </c>
      <c r="AX251" s="191"/>
      <c r="AY251" s="168">
        <f>IF(OR(AY$111=0,AY$111=""),0,HLOOKUP(IF(AY$83="",referentie_verwarming,AY$83),toestellen_RV,ROWS(bibliotheek!$E$83:$E$87),FALSE)*AY$110*(1-1/AY$111)*f_P_renheat)</f>
        <v>0</v>
      </c>
      <c r="AZ251" s="168">
        <f>IF(OR(AZ$111=0,AZ$111=""),0,HLOOKUP(IF(AZ$83="",referentie_koeling,AZ$83),toestellen_KOEL,ROWS(bibliotheek!$E$190:$E$193),FALSE)*AZ$110*(1-1/AZ$111)*f_P_rencold)</f>
        <v>0</v>
      </c>
      <c r="BA251" s="168">
        <f>IF(OR(BA$111=0,BA$111=""),0,HLOOKUP(IF(BA$83="",referentie_warmtapwater,BA$83),toestellen_TAP,ROWS(bibliotheek!$E$139:$E$143),FALSE)*BA$110*(1-1/BA$111)*f_P_renheat)</f>
        <v>0</v>
      </c>
      <c r="BB251" s="273"/>
      <c r="BC251" s="273"/>
      <c r="BD251" s="273"/>
      <c r="BE251" s="273"/>
      <c r="BF251" s="273"/>
      <c r="BG251" s="273"/>
      <c r="BH251" s="210"/>
    </row>
    <row r="252" spans="1:60">
      <c r="A252" s="1040"/>
      <c r="B252" s="1109" t="s">
        <v>249</v>
      </c>
      <c r="C252" s="1107" t="s">
        <v>104</v>
      </c>
      <c r="D252" s="641" t="s">
        <v>45</v>
      </c>
      <c r="E252" s="180" t="s">
        <v>251</v>
      </c>
      <c r="F252" s="180"/>
      <c r="G252" s="180"/>
      <c r="H252" s="201" t="s">
        <v>160</v>
      </c>
      <c r="I252" s="114"/>
      <c r="J252" s="202">
        <f t="shared" si="211"/>
        <v>0</v>
      </c>
      <c r="K252" s="195"/>
      <c r="L252" s="195"/>
      <c r="M252" s="202">
        <f t="shared" si="212"/>
        <v>0</v>
      </c>
      <c r="N252" s="114"/>
      <c r="O252" s="273"/>
      <c r="P252" s="168">
        <f>IF(OR(P$110=0,P$111&lt;=8),0,P$110*f_P_rencold*INDEX(bibliotheek!$E$195:$AC$195,MATCH(P$83,toestellen_KOEL_kopregel,0)))</f>
        <v>0</v>
      </c>
      <c r="Q252" s="273"/>
      <c r="R252" s="273"/>
      <c r="S252" s="273"/>
      <c r="T252" s="273"/>
      <c r="U252" s="273"/>
      <c r="V252" s="273"/>
      <c r="W252" s="273"/>
      <c r="X252" s="113"/>
      <c r="Y252" s="202">
        <f t="shared" si="213"/>
        <v>0</v>
      </c>
      <c r="Z252" s="114"/>
      <c r="AA252" s="273"/>
      <c r="AB252" s="168">
        <f>IF(OR(AB$110=0,AB$111&lt;=8),0,AB$110*f_P_rencold*INDEX(bibliotheek!$E$195:$AC$195,MATCH(AB$83,toestellen_KOEL_kopregel,0)))</f>
        <v>0</v>
      </c>
      <c r="AC252" s="273"/>
      <c r="AD252" s="273"/>
      <c r="AE252" s="273"/>
      <c r="AF252" s="273"/>
      <c r="AG252" s="273"/>
      <c r="AH252" s="273"/>
      <c r="AI252" s="273"/>
      <c r="AJ252" s="113"/>
      <c r="AK252" s="202">
        <f t="shared" si="214"/>
        <v>0</v>
      </c>
      <c r="AL252" s="191"/>
      <c r="AM252" s="273"/>
      <c r="AN252" s="168">
        <f>IF(OR(AN$110=0,AN$111&lt;=8),0,AN$110*f_P_rencold*INDEX(bibliotheek!$E$195:$AC$195,MATCH(AN$83,toestellen_KOEL_kopregel,0)))</f>
        <v>0</v>
      </c>
      <c r="AO252" s="273"/>
      <c r="AP252" s="273"/>
      <c r="AQ252" s="273"/>
      <c r="AR252" s="273"/>
      <c r="AS252" s="273"/>
      <c r="AT252" s="273"/>
      <c r="AU252" s="273"/>
      <c r="AV252" s="191"/>
      <c r="AW252" s="202">
        <f t="shared" si="215"/>
        <v>0</v>
      </c>
      <c r="AX252" s="191"/>
      <c r="AY252" s="273"/>
      <c r="AZ252" s="168">
        <f>IF(OR(AZ$110=0,AZ$111&lt;=8),0,AZ$110*f_P_rencold*INDEX(bibliotheek!$E$195:$AC$195,MATCH(AZ$83,toestellen_KOEL_kopregel,0)))</f>
        <v>0</v>
      </c>
      <c r="BA252" s="273"/>
      <c r="BB252" s="273"/>
      <c r="BC252" s="273"/>
      <c r="BD252" s="273"/>
      <c r="BE252" s="273"/>
      <c r="BF252" s="273"/>
      <c r="BG252" s="273"/>
      <c r="BH252" s="210"/>
    </row>
    <row r="253" spans="1:60">
      <c r="A253" s="1040"/>
      <c r="B253" s="1109" t="s">
        <v>249</v>
      </c>
      <c r="C253" s="1107" t="s">
        <v>104</v>
      </c>
      <c r="D253" s="641" t="s">
        <v>45</v>
      </c>
      <c r="E253" s="180" t="s">
        <v>252</v>
      </c>
      <c r="F253" s="180"/>
      <c r="G253" s="180"/>
      <c r="H253" s="201" t="s">
        <v>160</v>
      </c>
      <c r="I253" s="114"/>
      <c r="J253" s="202">
        <f t="shared" si="211"/>
        <v>0</v>
      </c>
      <c r="K253" s="195"/>
      <c r="L253" s="195"/>
      <c r="M253" s="202">
        <f t="shared" si="212"/>
        <v>0</v>
      </c>
      <c r="N253" s="114"/>
      <c r="O253" s="168">
        <f>IF(OR(O$110=0,LEFT(O$106,2)&lt;&gt;"bm"),0,O$110*INDEX(energiedragers_fPren,MATCH(O$105,energiedragers_namen,0)))+
IF(OR(O$144=0,LEFT(O$142,2)&lt;&gt;"bm"),0,O$144*INDEX(energiedragers_fPren,MATCH(O$141,energiedragers_namen,0)))</f>
        <v>0</v>
      </c>
      <c r="P253" s="273"/>
      <c r="Q253" s="168">
        <f>IF(OR(Q$110=0,LEFT(Q$106,2)&lt;&gt;"bm"),0,Q$110*INDEX(energiedragers_fPren,MATCH(Q$105,energiedragers_namen,0)))+
IF(OR(Q$144=0,LEFT(Q$142,2)&lt;&gt;"bm"),0,Q$144*INDEX(energiedragers_fPren,MATCH(Q$141,energiedragers_namen,0)))</f>
        <v>0</v>
      </c>
      <c r="R253" s="273"/>
      <c r="S253" s="273"/>
      <c r="T253" s="273"/>
      <c r="U253" s="273"/>
      <c r="V253" s="273"/>
      <c r="W253" s="273"/>
      <c r="X253" s="113"/>
      <c r="Y253" s="202">
        <f t="shared" si="213"/>
        <v>0</v>
      </c>
      <c r="Z253" s="114"/>
      <c r="AA253" s="168">
        <f>IF(OR(AA$110=0,LEFT(AA$106,2)&lt;&gt;"bm"),0,AA$110*INDEX(energiedragers_fPren,MATCH(AA$105,energiedragers_namen,0)))+
IF(OR(AA$144=0,LEFT(AA$142,2)&lt;&gt;"bm"),0,AA$144*INDEX(energiedragers_fPren,MATCH(AA$141,energiedragers_namen,0)))</f>
        <v>0</v>
      </c>
      <c r="AB253" s="273"/>
      <c r="AC253" s="168">
        <f>IF(OR(AC$110=0,LEFT(AC$106,2)&lt;&gt;"bm"),0,AC$110*INDEX(energiedragers_fPren,MATCH(AC$105,energiedragers_namen,0)))+
IF(OR(AC$144=0,LEFT(AC$142,2)&lt;&gt;"bm"),0,AC$144*INDEX(energiedragers_fPren,MATCH(AC$141,energiedragers_namen,0)))</f>
        <v>0</v>
      </c>
      <c r="AD253" s="273"/>
      <c r="AE253" s="273"/>
      <c r="AF253" s="273"/>
      <c r="AG253" s="273"/>
      <c r="AH253" s="273"/>
      <c r="AI253" s="273"/>
      <c r="AJ253" s="113"/>
      <c r="AK253" s="202">
        <f t="shared" si="214"/>
        <v>0</v>
      </c>
      <c r="AL253" s="191"/>
      <c r="AM253" s="168">
        <f>IF(OR(AM$110=0,LEFT(AM$106,2)&lt;&gt;"bm"),0,AM$110*INDEX(energiedragers_fPren,MATCH(AM$105,energiedragers_namen,0)))+
IF(OR(AM$144=0,LEFT(AM$142,2)&lt;&gt;"bm"),0,AM$144*INDEX(energiedragers_fPren,MATCH(AM$141,energiedragers_namen,0)))</f>
        <v>0</v>
      </c>
      <c r="AN253" s="273"/>
      <c r="AO253" s="168">
        <f>IF(OR(AO$110=0,LEFT(AO$106,2)&lt;&gt;"bm"),0,AO$110*INDEX(energiedragers_fPren,MATCH(AO$105,energiedragers_namen,0)))+
IF(OR(AO$144=0,LEFT(AO$142,2)&lt;&gt;"bm"),0,AO$144*INDEX(energiedragers_fPren,MATCH(AO$141,energiedragers_namen,0)))</f>
        <v>0</v>
      </c>
      <c r="AP253" s="273"/>
      <c r="AQ253" s="273"/>
      <c r="AR253" s="273"/>
      <c r="AS253" s="273"/>
      <c r="AT253" s="273"/>
      <c r="AU253" s="273"/>
      <c r="AV253" s="191"/>
      <c r="AW253" s="202">
        <f t="shared" si="215"/>
        <v>0</v>
      </c>
      <c r="AX253" s="191"/>
      <c r="AY253" s="168">
        <f>IF(OR(AY$110=0,LEFT(AY$106,2)&lt;&gt;"bm"),0,AY$110*INDEX(energiedragers_fPren,MATCH(AY$105,energiedragers_namen,0)))+
IF(OR(AY$144=0,LEFT(AY$142,2)&lt;&gt;"bm"),0,AY$144*INDEX(energiedragers_fPren,MATCH(AY$141,energiedragers_namen,0)))</f>
        <v>0</v>
      </c>
      <c r="AZ253" s="273"/>
      <c r="BA253" s="168">
        <f>IF(OR(BA$110=0,LEFT(BA$106,2)&lt;&gt;"bm"),0,BA$110*INDEX(energiedragers_fPren,MATCH(BA$105,energiedragers_namen,0)))+
IF(OR(BA$144=0,LEFT(BA$142,2)&lt;&gt;"bm"),0,BA$144*INDEX(energiedragers_fPren,MATCH(BA$141,energiedragers_namen,0)))</f>
        <v>0</v>
      </c>
      <c r="BB253" s="273"/>
      <c r="BC253" s="273"/>
      <c r="BD253" s="273"/>
      <c r="BE253" s="273"/>
      <c r="BF253" s="273"/>
      <c r="BG253" s="273"/>
      <c r="BH253" s="210"/>
    </row>
    <row r="254" spans="1:60">
      <c r="A254" s="1040"/>
      <c r="B254" s="1109" t="s">
        <v>249</v>
      </c>
      <c r="C254" s="1107" t="s">
        <v>104</v>
      </c>
      <c r="D254" s="641" t="s">
        <v>45</v>
      </c>
      <c r="E254" s="180" t="s">
        <v>253</v>
      </c>
      <c r="F254" s="180"/>
      <c r="G254" s="180"/>
      <c r="H254" s="201" t="s">
        <v>160</v>
      </c>
      <c r="I254" s="114"/>
      <c r="J254" s="202">
        <f t="shared" si="211"/>
        <v>0</v>
      </c>
      <c r="K254" s="195"/>
      <c r="L254" s="195"/>
      <c r="M254" s="202">
        <f t="shared" si="212"/>
        <v>0</v>
      </c>
      <c r="N254" s="114"/>
      <c r="O254" s="168">
        <f>IF(OR(O$110=0,LEFT(O$106,2)&lt;&gt;"dx"),0,O$110*INDEX(energiedragers_fPren,MATCH(O$105,energiedragers_namen,0)))+
IF(OR(O$144=0,LEFT(O$142,2)&lt;&gt;"dx"),0,O$144*INDEX(energiedragers_fPren,MATCH(O$141,energiedragers_namen,0)))</f>
        <v>0</v>
      </c>
      <c r="P254" s="168">
        <f>IF(OR(P$110=0,LEFT(P$106,2)&lt;&gt;"dx"),0,P$110*INDEX(energiedragers_fPren,MATCH(P$105,energiedragers_namen,0)))+
IF(OR(P$144=0,LEFT(P$142,2)&lt;&gt;"dx"),0,P$144*INDEX(energiedragers_fPren,MATCH(P$141,energiedragers_namen,0)))</f>
        <v>0</v>
      </c>
      <c r="Q254" s="168">
        <f>IF(OR(Q$110=0,LEFT(Q$106,2)&lt;&gt;"dx"),0,Q$110*INDEX(energiedragers_fPren,MATCH(Q$105,energiedragers_namen,0)))+
IF(OR(Q$144=0,LEFT(Q$142,2)&lt;&gt;"dx"),0,Q$144*INDEX(energiedragers_fPren,MATCH(Q$141,energiedragers_namen,0)))</f>
        <v>0</v>
      </c>
      <c r="R254" s="273"/>
      <c r="S254" s="273"/>
      <c r="T254" s="273"/>
      <c r="U254" s="273"/>
      <c r="V254" s="273"/>
      <c r="W254" s="273"/>
      <c r="X254" s="113"/>
      <c r="Y254" s="202">
        <f t="shared" si="213"/>
        <v>0</v>
      </c>
      <c r="Z254" s="114"/>
      <c r="AA254" s="168">
        <f>IF(OR(AA$110=0,LEFT(AA$106,2)&lt;&gt;"dx"),0,AA$110*INDEX(energiedragers_fPren,MATCH(AA$105,energiedragers_namen,0)))+
IF(OR(AA$144=0,LEFT(AA$142,2)&lt;&gt;"dx"),0,AA$144*INDEX(energiedragers_fPren,MATCH(AA$141,energiedragers_namen,0)))</f>
        <v>0</v>
      </c>
      <c r="AB254" s="168">
        <f>IF(OR(AB$110=0,LEFT(AB$106,2)&lt;&gt;"dx"),0,AB$110*INDEX(energiedragers_fPren,MATCH(AB$105,energiedragers_namen,0)))+
IF(OR(AB$144=0,LEFT(AB$142,2)&lt;&gt;"dx"),0,AB$144*INDEX(energiedragers_fPren,MATCH(AB$141,energiedragers_namen,0)))</f>
        <v>0</v>
      </c>
      <c r="AC254" s="168">
        <f>IF(OR(AC$110=0,LEFT(AC$106,2)&lt;&gt;"dx"),0,AC$110*INDEX(energiedragers_fPren,MATCH(AC$105,energiedragers_namen,0)))+
IF(OR(AC$144=0,LEFT(AC$142,2)&lt;&gt;"dx"),0,AC$144*INDEX(energiedragers_fPren,MATCH(AC$141,energiedragers_namen,0)))</f>
        <v>0</v>
      </c>
      <c r="AD254" s="273"/>
      <c r="AE254" s="273"/>
      <c r="AF254" s="273"/>
      <c r="AG254" s="273"/>
      <c r="AH254" s="273"/>
      <c r="AI254" s="273"/>
      <c r="AJ254" s="113"/>
      <c r="AK254" s="202">
        <f t="shared" si="214"/>
        <v>0</v>
      </c>
      <c r="AL254" s="191"/>
      <c r="AM254" s="168">
        <f>IF(OR(AM$110=0,LEFT(AM$106,2)&lt;&gt;"dx"),0,AM$110*INDEX(energiedragers_fPren,MATCH(AM$105,energiedragers_namen,0)))+
IF(OR(AM$144=0,LEFT(AM$142,2)&lt;&gt;"dx"),0,AM$144*INDEX(energiedragers_fPren,MATCH(AM$141,energiedragers_namen,0)))</f>
        <v>0</v>
      </c>
      <c r="AN254" s="168">
        <f>IF(OR(AN$110=0,LEFT(AN$106,2)&lt;&gt;"dx"),0,AN$110*INDEX(energiedragers_fPren,MATCH(AN$105,energiedragers_namen,0)))+
IF(OR(AN$144=0,LEFT(AN$142,2)&lt;&gt;"dx"),0,AN$144*INDEX(energiedragers_fPren,MATCH(AN$141,energiedragers_namen,0)))</f>
        <v>0</v>
      </c>
      <c r="AO254" s="168">
        <f>IF(OR(AO$110=0,LEFT(AO$106,2)&lt;&gt;"dx"),0,AO$110*INDEX(energiedragers_fPren,MATCH(AO$105,energiedragers_namen,0)))+
IF(OR(AO$144=0,LEFT(AO$142,2)&lt;&gt;"dx"),0,AO$144*INDEX(energiedragers_fPren,MATCH(AO$141,energiedragers_namen,0)))</f>
        <v>0</v>
      </c>
      <c r="AP254" s="273"/>
      <c r="AQ254" s="273"/>
      <c r="AR254" s="273"/>
      <c r="AS254" s="273"/>
      <c r="AT254" s="273"/>
      <c r="AU254" s="273"/>
      <c r="AV254" s="191"/>
      <c r="AW254" s="202">
        <f t="shared" si="215"/>
        <v>0</v>
      </c>
      <c r="AX254" s="191"/>
      <c r="AY254" s="168">
        <f>IF(OR(AY$110=0,LEFT(AY$106,2)&lt;&gt;"dx"),0,AY$110*INDEX(energiedragers_fPren,MATCH(AY$105,energiedragers_namen,0)))+
IF(OR(AY$144=0,LEFT(AY$142,2)&lt;&gt;"dx"),0,AY$144*INDEX(energiedragers_fPren,MATCH(AY$141,energiedragers_namen,0)))</f>
        <v>0</v>
      </c>
      <c r="AZ254" s="168">
        <f>IF(OR(AZ$110=0,LEFT(AZ$106,2)&lt;&gt;"dx"),0,AZ$110*INDEX(energiedragers_fPren,MATCH(AZ$105,energiedragers_namen,0)))+
IF(OR(AZ$144=0,LEFT(AZ$142,2)&lt;&gt;"dx"),0,AZ$144*INDEX(energiedragers_fPren,MATCH(AZ$141,energiedragers_namen,0)))</f>
        <v>0</v>
      </c>
      <c r="BA254" s="168">
        <f>IF(OR(BA$110=0,LEFT(BA$106,2)&lt;&gt;"dx"),0,BA$110*INDEX(energiedragers_fPren,MATCH(BA$105,energiedragers_namen,0)))+
IF(OR(BA$144=0,LEFT(BA$142,2)&lt;&gt;"dx"),0,BA$144*INDEX(energiedragers_fPren,MATCH(BA$141,energiedragers_namen,0)))</f>
        <v>0</v>
      </c>
      <c r="BB254" s="273"/>
      <c r="BC254" s="273"/>
      <c r="BD254" s="273"/>
      <c r="BE254" s="273"/>
      <c r="BF254" s="273"/>
      <c r="BG254" s="273"/>
      <c r="BH254" s="210"/>
    </row>
    <row r="255" spans="1:60">
      <c r="A255" s="1040"/>
      <c r="B255" s="1109" t="s">
        <v>249</v>
      </c>
      <c r="C255" s="1107" t="s">
        <v>104</v>
      </c>
      <c r="D255" s="641" t="s">
        <v>45</v>
      </c>
      <c r="E255" s="180" t="s">
        <v>254</v>
      </c>
      <c r="F255" s="180"/>
      <c r="G255" s="180"/>
      <c r="H255" s="201" t="s">
        <v>160</v>
      </c>
      <c r="I255" s="114"/>
      <c r="J255" s="202">
        <f t="shared" si="211"/>
        <v>0</v>
      </c>
      <c r="K255" s="195"/>
      <c r="L255" s="195"/>
      <c r="M255" s="202">
        <f t="shared" si="212"/>
        <v>0</v>
      </c>
      <c r="N255" s="114"/>
      <c r="O255" s="273"/>
      <c r="P255" s="168">
        <f>IF(OR(P$110=0,LEFT(P$106,2)&lt;&gt;"dx"),0,P$110*INDEX(energiedragers_fPren,MATCH(P$105,energiedragers_namen,0))+
IF(OR(P$144=0,LEFT(P$142,2)&lt;&gt;"dx"),0,P$144*INDEX(energiedragers_fPren,MATCH(P$141,energiedragers_namen,0))))</f>
        <v>0</v>
      </c>
      <c r="Q255" s="273"/>
      <c r="R255" s="273"/>
      <c r="S255" s="273"/>
      <c r="T255" s="273"/>
      <c r="U255" s="273"/>
      <c r="V255" s="273"/>
      <c r="W255" s="273"/>
      <c r="X255" s="113"/>
      <c r="Y255" s="202">
        <f t="shared" si="213"/>
        <v>0</v>
      </c>
      <c r="Z255" s="114"/>
      <c r="AA255" s="273"/>
      <c r="AB255" s="168">
        <f>IF(OR(AB$110=0,LEFT(AB$106,2)&lt;&gt;"dx"),0,AB$110*INDEX(energiedragers_fPren,MATCH(AB$105,energiedragers_namen,0))+
IF(OR(AB$144=0,LEFT(AB$142,2)&lt;&gt;"dx"),0,AB$144*INDEX(energiedragers_fPren,MATCH(AB$141,energiedragers_namen,0))))</f>
        <v>0</v>
      </c>
      <c r="AC255" s="273"/>
      <c r="AD255" s="273"/>
      <c r="AE255" s="273"/>
      <c r="AF255" s="273"/>
      <c r="AG255" s="273"/>
      <c r="AH255" s="273"/>
      <c r="AI255" s="273"/>
      <c r="AJ255" s="113"/>
      <c r="AK255" s="202">
        <f t="shared" si="214"/>
        <v>0</v>
      </c>
      <c r="AL255" s="191"/>
      <c r="AM255" s="273"/>
      <c r="AN255" s="168">
        <f>IF(OR(AN$110=0,LEFT(AN$106,2)&lt;&gt;"dx"),0,AN$110*INDEX(energiedragers_fPren,MATCH(AN$105,energiedragers_namen,0))+
IF(OR(AN$144=0,LEFT(AN$142,2)&lt;&gt;"dx"),0,AN$144*INDEX(energiedragers_fPren,MATCH(AN$141,energiedragers_namen,0))))</f>
        <v>0</v>
      </c>
      <c r="AO255" s="273"/>
      <c r="AP255" s="273"/>
      <c r="AQ255" s="273"/>
      <c r="AR255" s="273"/>
      <c r="AS255" s="273"/>
      <c r="AT255" s="273"/>
      <c r="AU255" s="273"/>
      <c r="AV255" s="191"/>
      <c r="AW255" s="202">
        <f t="shared" si="215"/>
        <v>0</v>
      </c>
      <c r="AX255" s="191"/>
      <c r="AY255" s="273"/>
      <c r="AZ255" s="168">
        <f>IF(OR(AZ$110=0,LEFT(AZ$106,2)&lt;&gt;"dx"),0,AZ$110*INDEX(energiedragers_fPren,MATCH(AZ$105,energiedragers_namen,0))+
IF(OR(AZ$144=0,LEFT(AZ$142,2)&lt;&gt;"dx"),0,AZ$144*INDEX(energiedragers_fPren,MATCH(AZ$141,energiedragers_namen,0))))</f>
        <v>0</v>
      </c>
      <c r="BA255" s="273"/>
      <c r="BB255" s="273"/>
      <c r="BC255" s="273"/>
      <c r="BD255" s="273"/>
      <c r="BE255" s="273"/>
      <c r="BF255" s="273"/>
      <c r="BG255" s="273"/>
      <c r="BH255" s="210"/>
    </row>
    <row r="256" spans="1:60">
      <c r="A256" s="1040"/>
      <c r="B256" s="1109" t="s">
        <v>249</v>
      </c>
      <c r="C256" s="1107" t="s">
        <v>104</v>
      </c>
      <c r="D256" s="641" t="s">
        <v>45</v>
      </c>
      <c r="E256" s="180" t="s">
        <v>255</v>
      </c>
      <c r="F256" s="180"/>
      <c r="G256" s="180"/>
      <c r="H256" s="201" t="s">
        <v>160</v>
      </c>
      <c r="I256" s="114"/>
      <c r="J256" s="202">
        <f t="shared" si="211"/>
        <v>0</v>
      </c>
      <c r="K256" s="195"/>
      <c r="L256" s="195"/>
      <c r="M256" s="202">
        <f t="shared" si="212"/>
        <v>0</v>
      </c>
      <c r="N256" s="114"/>
      <c r="O256" s="168">
        <f>O$91*f_P_renheat</f>
        <v>0</v>
      </c>
      <c r="P256" s="273"/>
      <c r="Q256" s="168">
        <f>Q$91*f_P_renheat</f>
        <v>0</v>
      </c>
      <c r="R256" s="273"/>
      <c r="S256" s="273"/>
      <c r="T256" s="273"/>
      <c r="U256" s="273"/>
      <c r="V256" s="273"/>
      <c r="W256" s="273"/>
      <c r="X256" s="108"/>
      <c r="Y256" s="202">
        <f t="shared" si="213"/>
        <v>0</v>
      </c>
      <c r="Z256" s="114"/>
      <c r="AA256" s="168">
        <f>AA$91*f_P_renheat</f>
        <v>0</v>
      </c>
      <c r="AB256" s="273"/>
      <c r="AC256" s="168">
        <f>AC$91*f_P_renheat</f>
        <v>0</v>
      </c>
      <c r="AD256" s="273"/>
      <c r="AE256" s="273"/>
      <c r="AF256" s="273"/>
      <c r="AG256" s="273"/>
      <c r="AH256" s="273"/>
      <c r="AI256" s="273"/>
      <c r="AJ256" s="108"/>
      <c r="AK256" s="202">
        <f t="shared" si="214"/>
        <v>0</v>
      </c>
      <c r="AL256" s="191"/>
      <c r="AM256" s="168">
        <f>AM$91*f_P_renheat</f>
        <v>0</v>
      </c>
      <c r="AN256" s="273"/>
      <c r="AO256" s="168">
        <f>AO$91*f_P_renheat</f>
        <v>0</v>
      </c>
      <c r="AP256" s="273"/>
      <c r="AQ256" s="273"/>
      <c r="AR256" s="273"/>
      <c r="AS256" s="273"/>
      <c r="AT256" s="273"/>
      <c r="AU256" s="273"/>
      <c r="AV256" s="191"/>
      <c r="AW256" s="202">
        <f t="shared" si="215"/>
        <v>0</v>
      </c>
      <c r="AX256" s="191"/>
      <c r="AY256" s="168">
        <f>AY$91*f_P_renheat</f>
        <v>0</v>
      </c>
      <c r="AZ256" s="273"/>
      <c r="BA256" s="168">
        <f>BA$91*f_P_renheat</f>
        <v>0</v>
      </c>
      <c r="BB256" s="273"/>
      <c r="BC256" s="273"/>
      <c r="BD256" s="273"/>
      <c r="BE256" s="273"/>
      <c r="BF256" s="273"/>
      <c r="BG256" s="273"/>
      <c r="BH256" s="174"/>
    </row>
    <row r="257" spans="1:60">
      <c r="A257" s="1040"/>
      <c r="B257" s="1109" t="s">
        <v>249</v>
      </c>
      <c r="C257" s="1107" t="s">
        <v>104</v>
      </c>
      <c r="D257" s="641" t="s">
        <v>45</v>
      </c>
      <c r="E257" s="180" t="s">
        <v>256</v>
      </c>
      <c r="F257" s="180"/>
      <c r="G257" s="180"/>
      <c r="H257" s="201" t="s">
        <v>160</v>
      </c>
      <c r="I257" s="114"/>
      <c r="J257" s="202">
        <f t="shared" si="211"/>
        <v>0</v>
      </c>
      <c r="K257" s="195"/>
      <c r="L257" s="195"/>
      <c r="M257" s="202">
        <f t="shared" si="212"/>
        <v>0</v>
      </c>
      <c r="N257" s="114"/>
      <c r="O257" s="273"/>
      <c r="P257" s="273"/>
      <c r="Q257" s="273"/>
      <c r="R257" s="273"/>
      <c r="S257" s="273"/>
      <c r="T257" s="273"/>
      <c r="U257" s="273"/>
      <c r="V257" s="273"/>
      <c r="W257" s="168">
        <f>M73*f_P_renelect</f>
        <v>0</v>
      </c>
      <c r="X257" s="113"/>
      <c r="Y257" s="202">
        <f t="shared" si="213"/>
        <v>0</v>
      </c>
      <c r="Z257" s="114"/>
      <c r="AA257" s="273"/>
      <c r="AB257" s="273"/>
      <c r="AC257" s="273"/>
      <c r="AD257" s="273"/>
      <c r="AE257" s="273"/>
      <c r="AF257" s="273"/>
      <c r="AG257" s="273"/>
      <c r="AH257" s="273"/>
      <c r="AI257" s="168">
        <f>Y73*f_P_renelect</f>
        <v>0</v>
      </c>
      <c r="AJ257" s="113"/>
      <c r="AK257" s="202">
        <f t="shared" si="214"/>
        <v>0</v>
      </c>
      <c r="AL257" s="191"/>
      <c r="AM257" s="273"/>
      <c r="AN257" s="273"/>
      <c r="AO257" s="273"/>
      <c r="AP257" s="273"/>
      <c r="AQ257" s="273"/>
      <c r="AR257" s="273"/>
      <c r="AS257" s="273"/>
      <c r="AT257" s="273"/>
      <c r="AU257" s="168">
        <f>AK73*f_P_renelect</f>
        <v>0</v>
      </c>
      <c r="AV257" s="191"/>
      <c r="AW257" s="202">
        <f t="shared" si="215"/>
        <v>0</v>
      </c>
      <c r="AX257" s="191"/>
      <c r="AY257" s="273"/>
      <c r="AZ257" s="273"/>
      <c r="BA257" s="273"/>
      <c r="BB257" s="273"/>
      <c r="BC257" s="273"/>
      <c r="BD257" s="273"/>
      <c r="BE257" s="273"/>
      <c r="BF257" s="273"/>
      <c r="BG257" s="168">
        <f>AW73*f_P_renelect</f>
        <v>0</v>
      </c>
      <c r="BH257" s="210"/>
    </row>
    <row r="258" spans="1:60">
      <c r="A258" s="1040"/>
      <c r="B258" s="1109" t="s">
        <v>249</v>
      </c>
      <c r="C258" s="1107" t="s">
        <v>104</v>
      </c>
      <c r="D258" s="638"/>
      <c r="E258" s="180" t="s">
        <v>232</v>
      </c>
      <c r="F258" s="180"/>
      <c r="G258" s="180"/>
      <c r="H258" s="201" t="s">
        <v>160</v>
      </c>
      <c r="I258" s="114"/>
      <c r="J258" s="202">
        <f>SUM(J251:J257)</f>
        <v>0</v>
      </c>
      <c r="K258" s="195"/>
      <c r="L258" s="195"/>
      <c r="M258" s="202">
        <f>SUM(M251:M257)</f>
        <v>0</v>
      </c>
      <c r="N258" s="114"/>
      <c r="O258" s="168">
        <f t="shared" ref="O258:W258" si="216">SUM(O251:O257)</f>
        <v>0</v>
      </c>
      <c r="P258" s="168">
        <f t="shared" si="216"/>
        <v>0</v>
      </c>
      <c r="Q258" s="168">
        <f t="shared" si="216"/>
        <v>0</v>
      </c>
      <c r="R258" s="273"/>
      <c r="S258" s="273"/>
      <c r="T258" s="273"/>
      <c r="U258" s="273"/>
      <c r="V258" s="273"/>
      <c r="W258" s="168">
        <f t="shared" si="216"/>
        <v>0</v>
      </c>
      <c r="X258" s="113"/>
      <c r="Y258" s="202">
        <f>SUM(Y251:Y257)</f>
        <v>0</v>
      </c>
      <c r="Z258" s="114"/>
      <c r="AA258" s="168">
        <f>SUM(AA251:AA257)</f>
        <v>0</v>
      </c>
      <c r="AB258" s="168">
        <f>SUM(AB251:AB257)</f>
        <v>0</v>
      </c>
      <c r="AC258" s="168">
        <f>SUM(AC251:AC257)</f>
        <v>0</v>
      </c>
      <c r="AD258" s="273"/>
      <c r="AE258" s="273"/>
      <c r="AF258" s="273"/>
      <c r="AG258" s="273"/>
      <c r="AH258" s="273"/>
      <c r="AI258" s="168">
        <f>SUM(AI251:AI257)</f>
        <v>0</v>
      </c>
      <c r="AJ258" s="113"/>
      <c r="AK258" s="202">
        <f>SUM(AK251:AK257)</f>
        <v>0</v>
      </c>
      <c r="AL258" s="191"/>
      <c r="AM258" s="168">
        <f>SUM(AM251:AM257)</f>
        <v>0</v>
      </c>
      <c r="AN258" s="168">
        <f>SUM(AN251:AN257)</f>
        <v>0</v>
      </c>
      <c r="AO258" s="168">
        <f>SUM(AO251:AO257)</f>
        <v>0</v>
      </c>
      <c r="AP258" s="273"/>
      <c r="AQ258" s="273"/>
      <c r="AR258" s="273"/>
      <c r="AS258" s="273"/>
      <c r="AT258" s="273"/>
      <c r="AU258" s="168">
        <f>SUM(AU251:AU257)</f>
        <v>0</v>
      </c>
      <c r="AV258" s="191"/>
      <c r="AW258" s="202">
        <f>SUM(AW251:AW257)</f>
        <v>0</v>
      </c>
      <c r="AX258" s="191"/>
      <c r="AY258" s="168">
        <f>SUM(AY251:AY257)</f>
        <v>0</v>
      </c>
      <c r="AZ258" s="168">
        <f>SUM(AZ251:AZ257)</f>
        <v>0</v>
      </c>
      <c r="BA258" s="168">
        <f>SUM(BA251:BA257)</f>
        <v>0</v>
      </c>
      <c r="BB258" s="273"/>
      <c r="BC258" s="273"/>
      <c r="BD258" s="273"/>
      <c r="BE258" s="273"/>
      <c r="BF258" s="273"/>
      <c r="BG258" s="168">
        <f>SUM(BG251:BG257)</f>
        <v>0</v>
      </c>
      <c r="BH258" s="210"/>
    </row>
    <row r="259" spans="1:60">
      <c r="A259" s="1040"/>
      <c r="B259" s="1109" t="s">
        <v>249</v>
      </c>
      <c r="C259" s="1106" t="s">
        <v>96</v>
      </c>
      <c r="D259" s="638"/>
      <c r="E259" s="79"/>
      <c r="F259" s="79"/>
      <c r="G259" s="79"/>
      <c r="H259" s="85"/>
      <c r="I259" s="79"/>
      <c r="J259" s="82"/>
      <c r="K259" s="79"/>
      <c r="L259" s="79"/>
      <c r="M259" s="82"/>
      <c r="N259" s="79"/>
      <c r="O259" s="82"/>
      <c r="P259" s="82"/>
      <c r="Q259" s="82"/>
      <c r="R259" s="82"/>
      <c r="S259" s="82"/>
      <c r="T259" s="82"/>
      <c r="U259" s="82"/>
      <c r="V259" s="82"/>
      <c r="W259" s="82"/>
      <c r="X259" s="82"/>
      <c r="Y259" s="82"/>
      <c r="Z259" s="79"/>
      <c r="AA259" s="82"/>
      <c r="AB259" s="82"/>
      <c r="AC259" s="82"/>
      <c r="AD259" s="82"/>
      <c r="AE259" s="82"/>
      <c r="AF259" s="82"/>
      <c r="AG259" s="82"/>
      <c r="AH259" s="82"/>
      <c r="AI259" s="82"/>
      <c r="AJ259" s="82"/>
      <c r="AK259" s="82"/>
      <c r="AL259" s="79"/>
      <c r="AM259" s="82"/>
      <c r="AN259" s="82"/>
      <c r="AO259" s="82"/>
      <c r="AP259" s="82"/>
      <c r="AQ259" s="82"/>
      <c r="AR259" s="82"/>
      <c r="AS259" s="82"/>
      <c r="AT259" s="82"/>
      <c r="AU259" s="82"/>
      <c r="AV259" s="191"/>
      <c r="AW259" s="82"/>
      <c r="AX259" s="79"/>
      <c r="AY259" s="82"/>
      <c r="AZ259" s="82"/>
      <c r="BA259" s="82"/>
      <c r="BB259" s="82"/>
      <c r="BC259" s="82"/>
      <c r="BD259" s="82"/>
      <c r="BE259" s="82"/>
      <c r="BF259" s="82"/>
      <c r="BG259" s="82"/>
      <c r="BH259" s="1"/>
    </row>
    <row r="260" spans="1:60">
      <c r="A260" s="1040"/>
      <c r="B260" s="1109" t="s">
        <v>257</v>
      </c>
      <c r="C260" s="1107" t="s">
        <v>96</v>
      </c>
      <c r="D260" s="638"/>
      <c r="E260" s="79"/>
      <c r="F260" s="79"/>
      <c r="G260" s="79"/>
      <c r="H260" s="85"/>
      <c r="I260" s="122"/>
      <c r="J260" s="82"/>
      <c r="K260" s="79"/>
      <c r="L260" s="79"/>
      <c r="M260" s="82"/>
      <c r="N260" s="79"/>
      <c r="O260" s="85"/>
      <c r="P260" s="85"/>
      <c r="Q260" s="82"/>
      <c r="R260" s="82"/>
      <c r="S260" s="82"/>
      <c r="T260" s="82"/>
      <c r="U260" s="82"/>
      <c r="V260" s="82"/>
      <c r="W260" s="82"/>
      <c r="X260" s="82"/>
      <c r="Y260" s="82"/>
      <c r="Z260" s="79"/>
      <c r="AA260" s="85"/>
      <c r="AB260" s="85"/>
      <c r="AC260" s="82"/>
      <c r="AD260" s="82"/>
      <c r="AE260" s="82"/>
      <c r="AF260" s="82"/>
      <c r="AG260" s="82"/>
      <c r="AH260" s="82"/>
      <c r="AI260" s="82"/>
      <c r="AJ260" s="82"/>
      <c r="AK260" s="82"/>
      <c r="AL260" s="79"/>
      <c r="AM260" s="85"/>
      <c r="AN260" s="85"/>
      <c r="AO260" s="82"/>
      <c r="AP260" s="82"/>
      <c r="AQ260" s="82"/>
      <c r="AR260" s="82"/>
      <c r="AS260" s="82"/>
      <c r="AT260" s="82"/>
      <c r="AU260" s="82"/>
      <c r="AV260" s="82"/>
      <c r="AW260" s="82"/>
      <c r="AX260" s="79"/>
      <c r="AY260" s="113"/>
      <c r="AZ260" s="82"/>
      <c r="BA260" s="82"/>
      <c r="BB260" s="82"/>
      <c r="BC260" s="82"/>
      <c r="BD260" s="82"/>
      <c r="BE260" s="82"/>
      <c r="BF260" s="82"/>
      <c r="BG260" s="82"/>
      <c r="BH260" s="1"/>
    </row>
    <row r="261" spans="1:60" ht="21">
      <c r="A261" s="1040"/>
      <c r="B261" s="1109" t="s">
        <v>257</v>
      </c>
      <c r="C261" s="1106" t="s">
        <v>96</v>
      </c>
      <c r="D261" s="643"/>
      <c r="E261" s="1181" t="s">
        <v>1358</v>
      </c>
      <c r="F261" s="1181"/>
      <c r="G261" s="1181"/>
      <c r="H261" s="1181"/>
      <c r="I261" s="77"/>
      <c r="J261" s="200" t="str">
        <f>J$10</f>
        <v>alle locaties</v>
      </c>
      <c r="K261" s="126"/>
      <c r="L261" s="126"/>
      <c r="M261" s="200" t="str">
        <f>M$10</f>
        <v>locatie 1</v>
      </c>
      <c r="N261" s="182"/>
      <c r="O261" s="966" t="str">
        <f>$E261&amp;" per energiepost"</f>
        <v>primaire fossiele energiefactor installaties buiten de locatie per energiepost</v>
      </c>
      <c r="P261" s="941"/>
      <c r="Q261" s="941"/>
      <c r="R261" s="941"/>
      <c r="S261" s="941"/>
      <c r="T261" s="941"/>
      <c r="U261" s="941"/>
      <c r="V261" s="941"/>
      <c r="W261" s="956"/>
      <c r="X261" s="174"/>
      <c r="Y261" s="200" t="str">
        <f>Y$10</f>
        <v>locatie 2</v>
      </c>
      <c r="Z261" s="182"/>
      <c r="AA261" s="966" t="str">
        <f>$E261&amp;" per energiepost"</f>
        <v>primaire fossiele energiefactor installaties buiten de locatie per energiepost</v>
      </c>
      <c r="AB261" s="941"/>
      <c r="AC261" s="941"/>
      <c r="AD261" s="941"/>
      <c r="AE261" s="941"/>
      <c r="AF261" s="941"/>
      <c r="AG261" s="941"/>
      <c r="AH261" s="941"/>
      <c r="AI261" s="956"/>
      <c r="AJ261" s="174"/>
      <c r="AK261" s="200" t="str">
        <f>AK$10</f>
        <v>locatie 3</v>
      </c>
      <c r="AL261" s="182"/>
      <c r="AM261" s="966" t="str">
        <f>$E261&amp;" per energiepost"</f>
        <v>primaire fossiele energiefactor installaties buiten de locatie per energiepost</v>
      </c>
      <c r="AN261" s="941"/>
      <c r="AO261" s="941"/>
      <c r="AP261" s="941"/>
      <c r="AQ261" s="941"/>
      <c r="AR261" s="941"/>
      <c r="AS261" s="941"/>
      <c r="AT261" s="941"/>
      <c r="AU261" s="956"/>
      <c r="AV261" s="174"/>
      <c r="AW261" s="200" t="str">
        <f>AW$10</f>
        <v>locatie 4</v>
      </c>
      <c r="AX261" s="182"/>
      <c r="AY261" s="966" t="str">
        <f>$E261&amp;" per energiepost"</f>
        <v>primaire fossiele energiefactor installaties buiten de locatie per energiepost</v>
      </c>
      <c r="AZ261" s="941"/>
      <c r="BA261" s="941"/>
      <c r="BB261" s="941"/>
      <c r="BC261" s="941"/>
      <c r="BD261" s="941"/>
      <c r="BE261" s="941"/>
      <c r="BF261" s="941"/>
      <c r="BG261" s="956"/>
      <c r="BH261" s="1"/>
    </row>
    <row r="262" spans="1:60">
      <c r="A262" s="1040"/>
      <c r="B262" s="1109" t="s">
        <v>257</v>
      </c>
      <c r="C262" s="1106" t="s">
        <v>96</v>
      </c>
      <c r="D262" s="638"/>
      <c r="E262" s="940" t="s">
        <v>1316</v>
      </c>
      <c r="F262" s="940"/>
      <c r="G262" s="940"/>
      <c r="H262" s="940"/>
      <c r="I262" s="77"/>
      <c r="J262" s="939"/>
      <c r="K262" s="126"/>
      <c r="L262" s="126"/>
      <c r="M262" s="938"/>
      <c r="N262" s="191"/>
      <c r="O262" s="177" t="str">
        <f>O$10</f>
        <v>verwarming</v>
      </c>
      <c r="P262" s="177" t="str">
        <f>P$10</f>
        <v>koeling</v>
      </c>
      <c r="Q262" s="177" t="str">
        <f>Q$10</f>
        <v>tapwater</v>
      </c>
      <c r="R262" s="177"/>
      <c r="S262" s="177"/>
      <c r="T262" s="177"/>
      <c r="U262" s="177"/>
      <c r="V262" s="177"/>
      <c r="W262" s="177"/>
      <c r="X262" s="191"/>
      <c r="Y262" s="938"/>
      <c r="Z262" s="191"/>
      <c r="AA262" s="177" t="str">
        <f>AA$10</f>
        <v>verwarming</v>
      </c>
      <c r="AB262" s="177" t="str">
        <f>AB$10</f>
        <v>koeling</v>
      </c>
      <c r="AC262" s="177" t="str">
        <f>AC$10</f>
        <v>tapwater</v>
      </c>
      <c r="AD262" s="177"/>
      <c r="AE262" s="177"/>
      <c r="AF262" s="177"/>
      <c r="AG262" s="177"/>
      <c r="AH262" s="177"/>
      <c r="AI262" s="177"/>
      <c r="AJ262" s="191"/>
      <c r="AK262" s="938"/>
      <c r="AL262" s="191"/>
      <c r="AM262" s="177" t="str">
        <f>AM$10</f>
        <v>verwarming</v>
      </c>
      <c r="AN262" s="177" t="str">
        <f>AN$10</f>
        <v>koeling</v>
      </c>
      <c r="AO262" s="177" t="str">
        <f>AO$10</f>
        <v>tapwater</v>
      </c>
      <c r="AP262" s="177"/>
      <c r="AQ262" s="177"/>
      <c r="AR262" s="177"/>
      <c r="AS262" s="177"/>
      <c r="AT262" s="177"/>
      <c r="AU262" s="177"/>
      <c r="AV262" s="191"/>
      <c r="AW262" s="938"/>
      <c r="AX262" s="191"/>
      <c r="AY262" s="177" t="str">
        <f>AY$10</f>
        <v>verwarming</v>
      </c>
      <c r="AZ262" s="177" t="str">
        <f>AZ$10</f>
        <v>koeling</v>
      </c>
      <c r="BA262" s="177" t="str">
        <f>BA$10</f>
        <v>tapwater</v>
      </c>
      <c r="BB262" s="177"/>
      <c r="BC262" s="177"/>
      <c r="BD262" s="177"/>
      <c r="BE262" s="177"/>
      <c r="BF262" s="177"/>
      <c r="BG262" s="177"/>
      <c r="BH262" s="36"/>
    </row>
    <row r="263" spans="1:60">
      <c r="A263" s="1040"/>
      <c r="B263" s="1109" t="s">
        <v>257</v>
      </c>
      <c r="C263" s="1107" t="s">
        <v>104</v>
      </c>
      <c r="D263" s="638"/>
      <c r="E263" s="180" t="s">
        <v>259</v>
      </c>
      <c r="F263" s="180"/>
      <c r="G263" s="180"/>
      <c r="H263" s="201" t="s">
        <v>65</v>
      </c>
      <c r="I263" s="114"/>
      <c r="J263" s="226"/>
      <c r="K263" s="234"/>
      <c r="L263" s="234"/>
      <c r="M263" s="202" t="str">
        <f>CONCATENATE(O263,"/",Q263)</f>
        <v>gebouw/gebouw</v>
      </c>
      <c r="N263" s="89"/>
      <c r="O263" s="168" t="str">
        <f>IF(O83=geen,"-",O84)</f>
        <v>gebouw</v>
      </c>
      <c r="P263" s="168" t="str">
        <f>IF(P83=geen,"-",P84)</f>
        <v>-</v>
      </c>
      <c r="Q263" s="168" t="str">
        <f>IF(Q83=geen,"-",Q84)</f>
        <v>gebouw</v>
      </c>
      <c r="R263" s="273"/>
      <c r="S263" s="273"/>
      <c r="T263" s="273"/>
      <c r="U263" s="273"/>
      <c r="V263" s="273"/>
      <c r="W263" s="273"/>
      <c r="X263" s="113"/>
      <c r="Y263" s="202" t="str">
        <f>CONCATENATE(AA263,"/",AC263)</f>
        <v>gebouw/gebouw</v>
      </c>
      <c r="Z263" s="89"/>
      <c r="AA263" s="168" t="str">
        <f>IF(AA83=geen,"-",AA84)</f>
        <v>gebouw</v>
      </c>
      <c r="AB263" s="168" t="str">
        <f>IF(AB83=geen,"-",AB84)</f>
        <v>-</v>
      </c>
      <c r="AC263" s="168" t="str">
        <f>IF(AC83=geen,"-",AC84)</f>
        <v>gebouw</v>
      </c>
      <c r="AD263" s="273"/>
      <c r="AE263" s="273"/>
      <c r="AF263" s="273"/>
      <c r="AG263" s="273"/>
      <c r="AH263" s="273"/>
      <c r="AI263" s="273"/>
      <c r="AJ263" s="113"/>
      <c r="AK263" s="202" t="str">
        <f>CONCATENATE(AM263,"/",AO263)</f>
        <v>gebouw/gebouw</v>
      </c>
      <c r="AL263" s="89"/>
      <c r="AM263" s="168" t="str">
        <f>IF(AM83=geen,"-",AM84)</f>
        <v>gebouw</v>
      </c>
      <c r="AN263" s="168" t="str">
        <f>IF(AN83=geen,"-",AN84)</f>
        <v>-</v>
      </c>
      <c r="AO263" s="168" t="str">
        <f>IF(AO83=geen,"-",AO84)</f>
        <v>gebouw</v>
      </c>
      <c r="AP263" s="273"/>
      <c r="AQ263" s="273"/>
      <c r="AR263" s="273"/>
      <c r="AS263" s="273"/>
      <c r="AT263" s="273"/>
      <c r="AU263" s="273"/>
      <c r="AV263" s="113"/>
      <c r="AW263" s="202" t="str">
        <f>CONCATENATE(AY263,"/",BA263)</f>
        <v>gebouw/gebouw</v>
      </c>
      <c r="AX263" s="89"/>
      <c r="AY263" s="168" t="str">
        <f>IF(AY83=geen,"-",AY84)</f>
        <v>gebouw</v>
      </c>
      <c r="AZ263" s="168" t="str">
        <f>IF(AZ83=geen,"-",AZ84)</f>
        <v>-</v>
      </c>
      <c r="BA263" s="168" t="str">
        <f>IF(BA83=geen,"-",BA84)</f>
        <v>gebouw</v>
      </c>
      <c r="BB263" s="168"/>
      <c r="BC263" s="273"/>
      <c r="BD263" s="273"/>
      <c r="BE263" s="273"/>
      <c r="BF263" s="273"/>
      <c r="BG263" s="273"/>
      <c r="BH263" s="210"/>
    </row>
    <row r="264" spans="1:60">
      <c r="A264" s="1040"/>
      <c r="B264" s="1109" t="s">
        <v>257</v>
      </c>
      <c r="C264" s="1107" t="s">
        <v>104</v>
      </c>
      <c r="D264" s="638"/>
      <c r="E264" s="1123" t="s">
        <v>1347</v>
      </c>
      <c r="F264" s="1123"/>
      <c r="G264" s="180"/>
      <c r="H264" s="201" t="s">
        <v>65</v>
      </c>
      <c r="I264" s="114"/>
      <c r="J264" s="226"/>
      <c r="K264" s="232"/>
      <c r="L264" s="232"/>
      <c r="M264" s="226" t="str">
        <f>IF(SUM(O264:Q264)=0,"",((O$263&lt;&gt;gebouw)*(O$120+O$151+O$174-O$214) + (P$263&lt;&gt;gebouw)*(P$120+P$151+P$174-P$214) + (Q$263&lt;&gt;gebouw)*(Q$120+Q$151+Q$174-Q$214) )/  ((O$263&lt;&gt;gebouw)*O$78 + AND(P$263&lt;&gt;gebouw,P$263&lt;&gt;"-")*P$78 + (Q$263&lt;&gt;gebouw)*Q$78) )</f>
        <v/>
      </c>
      <c r="N264" s="233"/>
      <c r="O264" s="227" t="str">
        <f>IF(OR(O$246=0,O$263=gebouw),"-",(O$120+O$151+O$174-O$214)/O$78)</f>
        <v>-</v>
      </c>
      <c r="P264" s="227" t="str">
        <f>IF(OR(P$246=0,P$263=gebouw),"-",(P$120+P$151+P$174-P$214)/P$78)</f>
        <v>-</v>
      </c>
      <c r="Q264" s="227" t="str">
        <f>IF(OR(Q$246=0,Q$263=gebouw),"-",(Q$120+Q$151+Q$174-Q$214)/Q$78)</f>
        <v>-</v>
      </c>
      <c r="R264" s="274"/>
      <c r="S264" s="274"/>
      <c r="T264" s="274"/>
      <c r="U264" s="274"/>
      <c r="V264" s="274"/>
      <c r="W264" s="274"/>
      <c r="X264" s="123"/>
      <c r="Y264" s="226" t="str">
        <f>IF(SUM(AA264:AC264)=0,"",((AA$263&lt;&gt;gebouw)*(AA$120+AA$151+AA$174-AA$214) + (AB$263&lt;&gt;gebouw)*(AB$120+AB$151+AB$174-AB$214) + (AC$263&lt;&gt;gebouw)*(AC$120+AC$151+AC$174-AC$214) )/  ((AA$263&lt;&gt;gebouw)*AA$78 + AND(AB$263&lt;&gt;gebouw,AB$263&lt;&gt;"-")*AB$78 + (AC$263&lt;&gt;gebouw)*AC$78) )</f>
        <v/>
      </c>
      <c r="Z264" s="233"/>
      <c r="AA264" s="227" t="str">
        <f>IF(OR(AA$246=0,AA$263=gebouw),"-",(AA$120+AA$151+AA$174-AA$214)/AA$78)</f>
        <v>-</v>
      </c>
      <c r="AB264" s="227" t="str">
        <f>IF(OR(AB$246=0,AB$263=gebouw),"-",(AB$120+AB$151+AB$174-AB$214)/AB$78)</f>
        <v>-</v>
      </c>
      <c r="AC264" s="227" t="str">
        <f>IF(OR(AC$246=0,AC$263=gebouw),"-",(AC$120+AC$151+AC$174-AC$214)/AC$78)</f>
        <v>-</v>
      </c>
      <c r="AD264" s="274"/>
      <c r="AE264" s="274"/>
      <c r="AF264" s="274"/>
      <c r="AG264" s="274"/>
      <c r="AH264" s="274"/>
      <c r="AI264" s="274"/>
      <c r="AJ264" s="123"/>
      <c r="AK264" s="226" t="str">
        <f>IF(SUM(AM264:AO264)=0,"",((AM$263&lt;&gt;gebouw)*(AM$120+AM$151+AM$174-AM$214) + (AN$263&lt;&gt;gebouw)*(AN$120+AN$151+AN$174-AN$214) + (AO$263&lt;&gt;gebouw)*(AO$120+AO$151+AO$174-AO$214) )/  ((AM$263&lt;&gt;gebouw)*AM$78 + AND(AN$263&lt;&gt;gebouw,AN$263&lt;&gt;"-")*AN$78 + (AO$263&lt;&gt;gebouw)*AO$78) )</f>
        <v/>
      </c>
      <c r="AL264" s="233"/>
      <c r="AM264" s="227" t="str">
        <f>IF(OR(AM$246=0,AM$263=gebouw),"-",(AM$120+AM$151+AM$174-AM$214)/AM$78)</f>
        <v>-</v>
      </c>
      <c r="AN264" s="227" t="str">
        <f>IF(OR(AN$246=0,AN$263=gebouw),"-",(AN$120+AN$151+AN$174-AN$214)/AN$78)</f>
        <v>-</v>
      </c>
      <c r="AO264" s="227" t="str">
        <f>IF(OR(AO$246=0,AO$263=gebouw),"-",(AO$120+AO$151+AO$174-AO$214)/AO$78)</f>
        <v>-</v>
      </c>
      <c r="AP264" s="274"/>
      <c r="AQ264" s="274"/>
      <c r="AR264" s="274"/>
      <c r="AS264" s="274"/>
      <c r="AT264" s="274"/>
      <c r="AU264" s="274"/>
      <c r="AV264" s="123"/>
      <c r="AW264" s="226" t="str">
        <f>IF(SUM(AY264:BA264)=0,"",((AY$263&lt;&gt;gebouw)*(AY$120+AY$151+AY$174-AY$214) + (AZ$263&lt;&gt;gebouw)*(AZ$120+AZ$151+AZ$174-AZ$214) + (BA$263&lt;&gt;gebouw)*(BA$120+BA$151+BA$174-BA$214) )/  ((AY$263&lt;&gt;gebouw)*AY$78 + AND(AZ$263&lt;&gt;gebouw,AZ$263&lt;&gt;"-")*AZ$78 + (BA$263&lt;&gt;gebouw)*BA$78) )</f>
        <v/>
      </c>
      <c r="AX264" s="233"/>
      <c r="AY264" s="227" t="str">
        <f>IF(OR(AY$246=0,AY$263=gebouw),"-",(AY$120+AY$151+AY$174-AY$214)/AY$78)</f>
        <v>-</v>
      </c>
      <c r="AZ264" s="227" t="str">
        <f>IF(OR(AZ$246=0,AZ$263=gebouw),"-",(AZ$120+AZ$151+AZ$174-AZ$214)/AZ$78)</f>
        <v>-</v>
      </c>
      <c r="BA264" s="227" t="str">
        <f>IF(OR(BA$246=0,BA$263=gebouw),"-",(BA$120+BA$151+BA$174-BA$214)/BA$78)</f>
        <v>-</v>
      </c>
      <c r="BB264" s="227"/>
      <c r="BC264" s="274"/>
      <c r="BD264" s="274"/>
      <c r="BE264" s="274"/>
      <c r="BF264" s="274"/>
      <c r="BG264" s="274"/>
      <c r="BH264" s="210"/>
    </row>
    <row r="265" spans="1:60">
      <c r="A265" s="1040"/>
      <c r="B265" s="1109" t="s">
        <v>257</v>
      </c>
      <c r="C265" s="1106" t="s">
        <v>96</v>
      </c>
      <c r="D265" s="638"/>
      <c r="E265" s="79"/>
      <c r="F265" s="79"/>
      <c r="G265" s="79"/>
      <c r="H265" s="85"/>
      <c r="I265" s="79"/>
      <c r="J265" s="82"/>
      <c r="K265" s="79"/>
      <c r="L265" s="79"/>
      <c r="M265" s="597"/>
      <c r="N265" s="79"/>
      <c r="O265" s="82"/>
      <c r="P265" s="82"/>
      <c r="Q265" s="82"/>
      <c r="R265" s="82"/>
      <c r="S265" s="82"/>
      <c r="T265" s="82"/>
      <c r="U265" s="82"/>
      <c r="V265" s="82"/>
      <c r="W265" s="82"/>
      <c r="X265" s="82"/>
      <c r="Y265" s="123"/>
      <c r="Z265" s="79"/>
      <c r="AA265" s="82"/>
      <c r="AB265" s="82"/>
      <c r="AC265" s="82"/>
      <c r="AD265" s="82"/>
      <c r="AE265" s="82"/>
      <c r="AF265" s="82"/>
      <c r="AG265" s="82"/>
      <c r="AH265" s="82"/>
      <c r="AI265" s="82"/>
      <c r="AJ265" s="82"/>
      <c r="AK265" s="82"/>
      <c r="AL265" s="79"/>
      <c r="AM265" s="82"/>
      <c r="AN265" s="82"/>
      <c r="AO265" s="82"/>
      <c r="AP265" s="82"/>
      <c r="AQ265" s="82"/>
      <c r="AR265" s="82"/>
      <c r="AS265" s="82"/>
      <c r="AT265" s="82"/>
      <c r="AU265" s="82"/>
      <c r="AV265" s="82"/>
      <c r="AW265" s="82"/>
      <c r="AX265" s="79"/>
      <c r="AY265" s="79"/>
      <c r="AZ265" s="82"/>
      <c r="BA265" s="82"/>
      <c r="BB265" s="82"/>
      <c r="BC265" s="82"/>
      <c r="BD265" s="82"/>
      <c r="BE265" s="82"/>
      <c r="BF265" s="82"/>
      <c r="BG265" s="82"/>
      <c r="BH265" s="1"/>
    </row>
    <row r="266" spans="1:60">
      <c r="A266" s="1040"/>
      <c r="B266" s="1109" t="s">
        <v>260</v>
      </c>
      <c r="C266" s="1107" t="s">
        <v>96</v>
      </c>
      <c r="D266" s="638"/>
      <c r="E266" s="79"/>
      <c r="F266" s="79"/>
      <c r="G266" s="79"/>
      <c r="H266" s="85"/>
      <c r="I266" s="79"/>
      <c r="J266" s="82"/>
      <c r="K266" s="79"/>
      <c r="L266" s="79"/>
      <c r="M266" s="82"/>
      <c r="N266" s="79"/>
      <c r="O266" s="82"/>
      <c r="P266" s="82"/>
      <c r="Q266" s="82"/>
      <c r="R266" s="82"/>
      <c r="S266" s="82"/>
      <c r="T266" s="82"/>
      <c r="U266" s="82"/>
      <c r="V266" s="82"/>
      <c r="W266" s="82"/>
      <c r="X266" s="82"/>
      <c r="Y266" s="82"/>
      <c r="Z266" s="79"/>
      <c r="AA266" s="82"/>
      <c r="AB266" s="82"/>
      <c r="AC266" s="82"/>
      <c r="AD266" s="82"/>
      <c r="AE266" s="82"/>
      <c r="AF266" s="82"/>
      <c r="AG266" s="82"/>
      <c r="AH266" s="82"/>
      <c r="AI266" s="82"/>
      <c r="AJ266" s="82"/>
      <c r="AK266" s="82"/>
      <c r="AL266" s="79"/>
      <c r="AM266" s="82"/>
      <c r="AN266" s="82"/>
      <c r="AO266" s="82"/>
      <c r="AP266" s="82"/>
      <c r="AQ266" s="82"/>
      <c r="AR266" s="82"/>
      <c r="AS266" s="82"/>
      <c r="AT266" s="82"/>
      <c r="AU266" s="82"/>
      <c r="AV266" s="82"/>
      <c r="AW266" s="82"/>
      <c r="AX266" s="79"/>
      <c r="AY266" s="82"/>
      <c r="AZ266" s="82"/>
      <c r="BA266" s="82"/>
      <c r="BB266" s="82"/>
      <c r="BC266" s="82"/>
      <c r="BD266" s="82"/>
      <c r="BE266" s="82"/>
      <c r="BF266" s="82"/>
      <c r="BG266" s="82"/>
      <c r="BH266" s="1"/>
    </row>
    <row r="267" spans="1:60" s="2" customFormat="1" ht="21">
      <c r="A267" s="1038"/>
      <c r="B267" s="1109" t="s">
        <v>260</v>
      </c>
      <c r="C267" s="1106" t="s">
        <v>96</v>
      </c>
      <c r="D267" s="640" t="s">
        <v>45</v>
      </c>
      <c r="E267" s="209" t="str">
        <f>"warmte-/koudebehoefte ruimteverwarming ["&amp;$F$6&amp;"]"</f>
        <v>warmte-/koudebehoefte ruimteverwarming [EP]</v>
      </c>
      <c r="F267" s="209"/>
      <c r="G267" s="209"/>
      <c r="H267" s="209"/>
      <c r="I267" s="129"/>
      <c r="J267" s="256"/>
      <c r="K267" s="126"/>
      <c r="L267" s="126"/>
      <c r="M267" s="256" t="str">
        <f>M$10</f>
        <v>locatie 1</v>
      </c>
      <c r="N267" s="182"/>
      <c r="O267" s="955" t="str">
        <f>$E267&amp;" per woning-/gebouwtype"</f>
        <v>warmte-/koudebehoefte ruimteverwarming [EP] per woning-/gebouwtype</v>
      </c>
      <c r="P267" s="945"/>
      <c r="Q267" s="945"/>
      <c r="R267" s="945"/>
      <c r="S267" s="945"/>
      <c r="T267" s="945"/>
      <c r="U267" s="945"/>
      <c r="V267" s="945"/>
      <c r="W267" s="257"/>
      <c r="X267" s="174"/>
      <c r="Y267" s="256" t="str">
        <f>Y$10</f>
        <v>locatie 2</v>
      </c>
      <c r="Z267" s="182"/>
      <c r="AA267" s="955" t="str">
        <f>$E267&amp;" per woning-/gebouwtype"</f>
        <v>warmte-/koudebehoefte ruimteverwarming [EP] per woning-/gebouwtype</v>
      </c>
      <c r="AB267" s="945"/>
      <c r="AC267" s="945"/>
      <c r="AD267" s="945"/>
      <c r="AE267" s="945"/>
      <c r="AF267" s="945"/>
      <c r="AG267" s="945"/>
      <c r="AH267" s="945"/>
      <c r="AI267" s="257"/>
      <c r="AJ267" s="174"/>
      <c r="AK267" s="256" t="str">
        <f>AK$10</f>
        <v>locatie 3</v>
      </c>
      <c r="AL267" s="182"/>
      <c r="AM267" s="955" t="str">
        <f>$E267&amp;" per woning-/gebouwtype"</f>
        <v>warmte-/koudebehoefte ruimteverwarming [EP] per woning-/gebouwtype</v>
      </c>
      <c r="AN267" s="945"/>
      <c r="AO267" s="945"/>
      <c r="AP267" s="945"/>
      <c r="AQ267" s="945"/>
      <c r="AR267" s="945"/>
      <c r="AS267" s="945"/>
      <c r="AT267" s="945"/>
      <c r="AU267" s="257"/>
      <c r="AV267" s="174"/>
      <c r="AW267" s="256" t="str">
        <f>AW$10</f>
        <v>locatie 4</v>
      </c>
      <c r="AX267" s="182"/>
      <c r="AY267" s="955" t="str">
        <f>$E267&amp;" per woning-/gebouwtype"</f>
        <v>warmte-/koudebehoefte ruimteverwarming [EP] per woning-/gebouwtype</v>
      </c>
      <c r="AZ267" s="945"/>
      <c r="BA267" s="945"/>
      <c r="BB267" s="945"/>
      <c r="BC267" s="945"/>
      <c r="BD267" s="945"/>
      <c r="BE267" s="945"/>
      <c r="BF267" s="945"/>
      <c r="BG267" s="257"/>
      <c r="BH267" s="1"/>
    </row>
    <row r="268" spans="1:60">
      <c r="A268" s="1040"/>
      <c r="B268" s="1109" t="s">
        <v>260</v>
      </c>
      <c r="C268" s="1106" t="s">
        <v>96</v>
      </c>
      <c r="D268" s="638"/>
      <c r="E268" s="942" t="str">
        <f>E267</f>
        <v>warmte-/koudebehoefte ruimteverwarming [EP]</v>
      </c>
      <c r="F268" s="942"/>
      <c r="G268" s="942"/>
      <c r="H268" s="942"/>
      <c r="I268" s="129"/>
      <c r="J268" s="943"/>
      <c r="K268" s="126"/>
      <c r="L268" s="126"/>
      <c r="M268" s="944"/>
      <c r="N268" s="195"/>
      <c r="O268" s="258" t="str">
        <f>O$17</f>
        <v/>
      </c>
      <c r="P268" s="258" t="str">
        <f t="shared" ref="P268:W268" si="217">P$17</f>
        <v/>
      </c>
      <c r="Q268" s="258" t="str">
        <f t="shared" si="217"/>
        <v/>
      </c>
      <c r="R268" s="258" t="str">
        <f t="shared" si="217"/>
        <v/>
      </c>
      <c r="S268" s="258" t="str">
        <f t="shared" si="217"/>
        <v/>
      </c>
      <c r="T268" s="258" t="str">
        <f t="shared" si="217"/>
        <v/>
      </c>
      <c r="U268" s="258" t="str">
        <f t="shared" si="217"/>
        <v/>
      </c>
      <c r="V268" s="258" t="str">
        <f t="shared" si="217"/>
        <v/>
      </c>
      <c r="W268" s="258" t="str">
        <f t="shared" si="217"/>
        <v/>
      </c>
      <c r="X268" s="195"/>
      <c r="Y268" s="944"/>
      <c r="Z268" s="195"/>
      <c r="AA268" s="258" t="str">
        <f>AA$17</f>
        <v/>
      </c>
      <c r="AB268" s="258" t="str">
        <f t="shared" ref="AB268:AI268" si="218">AB$17</f>
        <v/>
      </c>
      <c r="AC268" s="258" t="str">
        <f t="shared" si="218"/>
        <v/>
      </c>
      <c r="AD268" s="258" t="str">
        <f t="shared" si="218"/>
        <v/>
      </c>
      <c r="AE268" s="258" t="str">
        <f t="shared" si="218"/>
        <v/>
      </c>
      <c r="AF268" s="258" t="str">
        <f t="shared" si="218"/>
        <v/>
      </c>
      <c r="AG268" s="258" t="str">
        <f t="shared" si="218"/>
        <v/>
      </c>
      <c r="AH268" s="258" t="str">
        <f t="shared" si="218"/>
        <v/>
      </c>
      <c r="AI268" s="258" t="str">
        <f t="shared" si="218"/>
        <v/>
      </c>
      <c r="AJ268" s="195"/>
      <c r="AK268" s="944"/>
      <c r="AL268" s="195"/>
      <c r="AM268" s="258" t="str">
        <f>AM$17</f>
        <v/>
      </c>
      <c r="AN268" s="258" t="str">
        <f t="shared" ref="AN268:AU268" si="219">AN$17</f>
        <v/>
      </c>
      <c r="AO268" s="258" t="str">
        <f t="shared" si="219"/>
        <v/>
      </c>
      <c r="AP268" s="258" t="str">
        <f t="shared" si="219"/>
        <v/>
      </c>
      <c r="AQ268" s="258" t="str">
        <f t="shared" si="219"/>
        <v/>
      </c>
      <c r="AR268" s="258" t="str">
        <f t="shared" si="219"/>
        <v/>
      </c>
      <c r="AS268" s="258" t="str">
        <f t="shared" si="219"/>
        <v/>
      </c>
      <c r="AT268" s="258" t="str">
        <f t="shared" si="219"/>
        <v/>
      </c>
      <c r="AU268" s="258" t="str">
        <f t="shared" si="219"/>
        <v/>
      </c>
      <c r="AV268" s="195"/>
      <c r="AW268" s="944"/>
      <c r="AX268" s="195"/>
      <c r="AY268" s="258" t="str">
        <f>AY$17</f>
        <v/>
      </c>
      <c r="AZ268" s="258" t="str">
        <f t="shared" ref="AZ268:BG268" si="220">AZ$17</f>
        <v/>
      </c>
      <c r="BA268" s="258" t="str">
        <f t="shared" si="220"/>
        <v/>
      </c>
      <c r="BB268" s="258" t="str">
        <f t="shared" si="220"/>
        <v/>
      </c>
      <c r="BC268" s="258" t="str">
        <f t="shared" si="220"/>
        <v/>
      </c>
      <c r="BD268" s="258" t="str">
        <f t="shared" si="220"/>
        <v/>
      </c>
      <c r="BE268" s="258" t="str">
        <f t="shared" si="220"/>
        <v/>
      </c>
      <c r="BF268" s="258" t="str">
        <f t="shared" si="220"/>
        <v/>
      </c>
      <c r="BG268" s="258" t="str">
        <f t="shared" si="220"/>
        <v/>
      </c>
      <c r="BH268" s="36"/>
    </row>
    <row r="269" spans="1:60">
      <c r="A269" s="1040"/>
      <c r="B269" s="1109" t="s">
        <v>260</v>
      </c>
      <c r="C269" s="1107" t="s">
        <v>104</v>
      </c>
      <c r="D269" s="641"/>
      <c r="E269" s="180" t="s">
        <v>1159</v>
      </c>
      <c r="F269" s="180"/>
      <c r="G269" s="180"/>
      <c r="H269" s="201" t="s">
        <v>154</v>
      </c>
      <c r="I269" s="114"/>
      <c r="J269" s="190"/>
      <c r="K269" s="1092"/>
      <c r="L269" s="1092"/>
      <c r="M269" s="190"/>
      <c r="N269" s="119"/>
      <c r="O269" s="183" t="str">
        <f t="shared" ref="O269:W269" si="221">IF(O$17="","",O62)</f>
        <v/>
      </c>
      <c r="P269" s="183" t="str">
        <f t="shared" si="221"/>
        <v/>
      </c>
      <c r="Q269" s="183" t="str">
        <f t="shared" si="221"/>
        <v/>
      </c>
      <c r="R269" s="183" t="str">
        <f t="shared" si="221"/>
        <v/>
      </c>
      <c r="S269" s="183" t="str">
        <f t="shared" si="221"/>
        <v/>
      </c>
      <c r="T269" s="183" t="str">
        <f t="shared" si="221"/>
        <v/>
      </c>
      <c r="U269" s="183" t="str">
        <f t="shared" si="221"/>
        <v/>
      </c>
      <c r="V269" s="183" t="str">
        <f t="shared" si="221"/>
        <v/>
      </c>
      <c r="W269" s="183" t="str">
        <f t="shared" si="221"/>
        <v/>
      </c>
      <c r="X269" s="108"/>
      <c r="Y269" s="190"/>
      <c r="Z269" s="119"/>
      <c r="AA269" s="183" t="str">
        <f t="shared" ref="AA269:AI269" si="222">IF(AA$17="","",AA62)</f>
        <v/>
      </c>
      <c r="AB269" s="183" t="str">
        <f t="shared" si="222"/>
        <v/>
      </c>
      <c r="AC269" s="183" t="str">
        <f t="shared" si="222"/>
        <v/>
      </c>
      <c r="AD269" s="183" t="str">
        <f t="shared" si="222"/>
        <v/>
      </c>
      <c r="AE269" s="183" t="str">
        <f t="shared" si="222"/>
        <v/>
      </c>
      <c r="AF269" s="183" t="str">
        <f t="shared" si="222"/>
        <v/>
      </c>
      <c r="AG269" s="183" t="str">
        <f t="shared" si="222"/>
        <v/>
      </c>
      <c r="AH269" s="183" t="str">
        <f t="shared" si="222"/>
        <v/>
      </c>
      <c r="AI269" s="183" t="str">
        <f t="shared" si="222"/>
        <v/>
      </c>
      <c r="AJ269" s="108"/>
      <c r="AK269" s="190"/>
      <c r="AL269" s="119"/>
      <c r="AM269" s="183" t="str">
        <f t="shared" ref="AM269:AU269" si="223">IF(AM$17="","",AM62)</f>
        <v/>
      </c>
      <c r="AN269" s="183" t="str">
        <f t="shared" si="223"/>
        <v/>
      </c>
      <c r="AO269" s="183" t="str">
        <f t="shared" si="223"/>
        <v/>
      </c>
      <c r="AP269" s="183" t="str">
        <f t="shared" si="223"/>
        <v/>
      </c>
      <c r="AQ269" s="183" t="str">
        <f t="shared" si="223"/>
        <v/>
      </c>
      <c r="AR269" s="183" t="str">
        <f t="shared" si="223"/>
        <v/>
      </c>
      <c r="AS269" s="183" t="str">
        <f t="shared" si="223"/>
        <v/>
      </c>
      <c r="AT269" s="183" t="str">
        <f t="shared" si="223"/>
        <v/>
      </c>
      <c r="AU269" s="183" t="str">
        <f t="shared" si="223"/>
        <v/>
      </c>
      <c r="AV269" s="108"/>
      <c r="AW269" s="190"/>
      <c r="AX269" s="119"/>
      <c r="AY269" s="183" t="str">
        <f t="shared" ref="AY269:BG269" si="224">IF(AY$17="","",AY62)</f>
        <v/>
      </c>
      <c r="AZ269" s="183" t="str">
        <f t="shared" si="224"/>
        <v/>
      </c>
      <c r="BA269" s="183" t="str">
        <f t="shared" si="224"/>
        <v/>
      </c>
      <c r="BB269" s="183" t="str">
        <f t="shared" si="224"/>
        <v/>
      </c>
      <c r="BC269" s="183" t="str">
        <f t="shared" si="224"/>
        <v/>
      </c>
      <c r="BD269" s="183" t="str">
        <f t="shared" si="224"/>
        <v/>
      </c>
      <c r="BE269" s="183" t="str">
        <f t="shared" si="224"/>
        <v/>
      </c>
      <c r="BF269" s="183" t="str">
        <f t="shared" si="224"/>
        <v/>
      </c>
      <c r="BG269" s="183" t="str">
        <f t="shared" si="224"/>
        <v/>
      </c>
      <c r="BH269" s="210"/>
    </row>
    <row r="270" spans="1:60">
      <c r="A270" s="1040"/>
      <c r="B270" s="1109" t="s">
        <v>260</v>
      </c>
      <c r="C270" s="1107" t="s">
        <v>104</v>
      </c>
      <c r="D270" s="641"/>
      <c r="E270" s="180" t="s">
        <v>1160</v>
      </c>
      <c r="F270" s="180"/>
      <c r="G270" s="180"/>
      <c r="H270" s="201" t="s">
        <v>154</v>
      </c>
      <c r="I270" s="114"/>
      <c r="J270" s="190"/>
      <c r="K270" s="1092"/>
      <c r="L270" s="1092"/>
      <c r="M270" s="190"/>
      <c r="N270" s="119"/>
      <c r="O270" s="183" t="str">
        <f t="shared" ref="O270:W270" si="225">IF(O$17="","-",O64)</f>
        <v>-</v>
      </c>
      <c r="P270" s="183" t="str">
        <f t="shared" si="225"/>
        <v>-</v>
      </c>
      <c r="Q270" s="183" t="str">
        <f t="shared" si="225"/>
        <v>-</v>
      </c>
      <c r="R270" s="183" t="str">
        <f t="shared" si="225"/>
        <v>-</v>
      </c>
      <c r="S270" s="183" t="str">
        <f t="shared" si="225"/>
        <v>-</v>
      </c>
      <c r="T270" s="183" t="str">
        <f t="shared" si="225"/>
        <v>-</v>
      </c>
      <c r="U270" s="183" t="str">
        <f t="shared" si="225"/>
        <v>-</v>
      </c>
      <c r="V270" s="183" t="str">
        <f t="shared" si="225"/>
        <v>-</v>
      </c>
      <c r="W270" s="183" t="str">
        <f t="shared" si="225"/>
        <v>-</v>
      </c>
      <c r="X270" s="108"/>
      <c r="Y270" s="190"/>
      <c r="Z270" s="119"/>
      <c r="AA270" s="183" t="str">
        <f t="shared" ref="AA270:AI270" si="226">IF(AA$17="","-",AA64)</f>
        <v>-</v>
      </c>
      <c r="AB270" s="183" t="str">
        <f t="shared" si="226"/>
        <v>-</v>
      </c>
      <c r="AC270" s="183" t="str">
        <f t="shared" si="226"/>
        <v>-</v>
      </c>
      <c r="AD270" s="183" t="str">
        <f t="shared" si="226"/>
        <v>-</v>
      </c>
      <c r="AE270" s="183" t="str">
        <f t="shared" si="226"/>
        <v>-</v>
      </c>
      <c r="AF270" s="183" t="str">
        <f t="shared" si="226"/>
        <v>-</v>
      </c>
      <c r="AG270" s="183" t="str">
        <f t="shared" si="226"/>
        <v>-</v>
      </c>
      <c r="AH270" s="183" t="str">
        <f t="shared" si="226"/>
        <v>-</v>
      </c>
      <c r="AI270" s="183" t="str">
        <f t="shared" si="226"/>
        <v>-</v>
      </c>
      <c r="AJ270" s="108"/>
      <c r="AK270" s="190"/>
      <c r="AL270" s="119"/>
      <c r="AM270" s="183" t="str">
        <f t="shared" ref="AM270:AU270" si="227">IF(AM$17="","-",AM64)</f>
        <v>-</v>
      </c>
      <c r="AN270" s="183" t="str">
        <f t="shared" si="227"/>
        <v>-</v>
      </c>
      <c r="AO270" s="183" t="str">
        <f t="shared" si="227"/>
        <v>-</v>
      </c>
      <c r="AP270" s="183" t="str">
        <f t="shared" si="227"/>
        <v>-</v>
      </c>
      <c r="AQ270" s="183" t="str">
        <f t="shared" si="227"/>
        <v>-</v>
      </c>
      <c r="AR270" s="183" t="str">
        <f t="shared" si="227"/>
        <v>-</v>
      </c>
      <c r="AS270" s="183" t="str">
        <f t="shared" si="227"/>
        <v>-</v>
      </c>
      <c r="AT270" s="183" t="str">
        <f t="shared" si="227"/>
        <v>-</v>
      </c>
      <c r="AU270" s="183" t="str">
        <f t="shared" si="227"/>
        <v>-</v>
      </c>
      <c r="AV270" s="108"/>
      <c r="AW270" s="190"/>
      <c r="AX270" s="119"/>
      <c r="AY270" s="183" t="str">
        <f t="shared" ref="AY270:BG270" si="228">IF(AY$17="","-",AY64)</f>
        <v>-</v>
      </c>
      <c r="AZ270" s="183" t="str">
        <f t="shared" si="228"/>
        <v>-</v>
      </c>
      <c r="BA270" s="183" t="str">
        <f t="shared" si="228"/>
        <v>-</v>
      </c>
      <c r="BB270" s="183" t="str">
        <f t="shared" si="228"/>
        <v>-</v>
      </c>
      <c r="BC270" s="183" t="str">
        <f t="shared" si="228"/>
        <v>-</v>
      </c>
      <c r="BD270" s="183" t="str">
        <f t="shared" si="228"/>
        <v>-</v>
      </c>
      <c r="BE270" s="183" t="str">
        <f t="shared" si="228"/>
        <v>-</v>
      </c>
      <c r="BF270" s="183" t="str">
        <f t="shared" si="228"/>
        <v>-</v>
      </c>
      <c r="BG270" s="183" t="str">
        <f t="shared" si="228"/>
        <v>-</v>
      </c>
      <c r="BH270" s="210"/>
    </row>
    <row r="271" spans="1:60">
      <c r="A271" s="1040"/>
      <c r="B271" s="1109" t="s">
        <v>260</v>
      </c>
      <c r="C271" s="1106" t="s">
        <v>96</v>
      </c>
      <c r="D271" s="638"/>
      <c r="E271" s="79"/>
      <c r="F271" s="79"/>
      <c r="G271" s="79"/>
      <c r="H271" s="85"/>
      <c r="I271" s="79"/>
      <c r="J271" s="82"/>
      <c r="K271" s="79"/>
      <c r="L271" s="79"/>
      <c r="M271" s="82"/>
      <c r="N271" s="79"/>
      <c r="O271" s="81"/>
      <c r="P271" s="82"/>
      <c r="Q271" s="82"/>
      <c r="R271" s="82"/>
      <c r="S271" s="82"/>
      <c r="T271" s="82"/>
      <c r="U271" s="82"/>
      <c r="V271" s="82"/>
      <c r="W271" s="82"/>
      <c r="X271" s="82"/>
      <c r="Y271" s="82"/>
      <c r="Z271" s="79"/>
      <c r="AA271" s="79"/>
      <c r="AB271" s="79"/>
      <c r="AC271" s="79"/>
      <c r="AD271" s="79"/>
      <c r="AE271" s="79"/>
      <c r="AF271" s="79"/>
      <c r="AG271" s="79"/>
      <c r="AH271" s="79"/>
      <c r="AI271" s="79"/>
      <c r="AJ271" s="82"/>
      <c r="AK271" s="82"/>
      <c r="AL271" s="79"/>
      <c r="AM271" s="82"/>
      <c r="AN271" s="82"/>
      <c r="AO271" s="82"/>
      <c r="AP271" s="82"/>
      <c r="AQ271" s="82"/>
      <c r="AR271" s="82"/>
      <c r="AS271" s="82"/>
      <c r="AT271" s="82"/>
      <c r="AU271" s="82"/>
      <c r="AV271" s="82"/>
      <c r="AW271" s="82"/>
      <c r="AX271" s="79"/>
      <c r="AY271" s="82"/>
      <c r="AZ271" s="82"/>
      <c r="BA271" s="82"/>
      <c r="BB271" s="82"/>
      <c r="BC271" s="82"/>
      <c r="BD271" s="82"/>
      <c r="BE271" s="82"/>
      <c r="BF271" s="82"/>
      <c r="BG271" s="82"/>
      <c r="BH271" s="1"/>
    </row>
    <row r="272" spans="1:60" hidden="1">
      <c r="A272" s="1040"/>
      <c r="B272" s="1109" t="s">
        <v>261</v>
      </c>
      <c r="C272" s="1106" t="s">
        <v>262</v>
      </c>
      <c r="D272" s="638"/>
      <c r="E272" s="79"/>
      <c r="F272" s="79"/>
      <c r="G272" s="79"/>
      <c r="H272" s="85"/>
      <c r="I272" s="79"/>
      <c r="J272" s="82"/>
      <c r="K272" s="79"/>
      <c r="L272" s="79"/>
      <c r="M272" s="82"/>
      <c r="N272" s="79"/>
      <c r="O272" s="82"/>
      <c r="P272" s="82"/>
      <c r="Q272" s="82"/>
      <c r="R272" s="82"/>
      <c r="S272" s="82"/>
      <c r="T272" s="82"/>
      <c r="U272" s="82"/>
      <c r="V272" s="82"/>
      <c r="W272" s="82"/>
      <c r="X272" s="82"/>
      <c r="Y272" s="82"/>
      <c r="Z272" s="79"/>
      <c r="AA272" s="82"/>
      <c r="AB272" s="82"/>
      <c r="AC272" s="82"/>
      <c r="AD272" s="82"/>
      <c r="AE272" s="82"/>
      <c r="AF272" s="82"/>
      <c r="AG272" s="82"/>
      <c r="AH272" s="82"/>
      <c r="AI272" s="82"/>
      <c r="AJ272" s="82"/>
      <c r="AK272" s="82"/>
      <c r="AL272" s="79"/>
      <c r="AM272" s="82"/>
      <c r="AN272" s="82"/>
      <c r="AO272" s="82"/>
      <c r="AP272" s="82"/>
      <c r="AQ272" s="82"/>
      <c r="AR272" s="82"/>
      <c r="AS272" s="82"/>
      <c r="AT272" s="82"/>
      <c r="AU272" s="82"/>
      <c r="AV272" s="82"/>
      <c r="AW272" s="82"/>
      <c r="AX272" s="79"/>
      <c r="AY272" s="82"/>
      <c r="AZ272" s="82"/>
      <c r="BA272" s="82"/>
      <c r="BB272" s="82"/>
      <c r="BC272" s="82"/>
      <c r="BD272" s="82"/>
      <c r="BE272" s="82"/>
      <c r="BF272" s="82"/>
      <c r="BG272" s="82"/>
      <c r="BH272" s="1"/>
    </row>
    <row r="273" spans="1:60" s="2" customFormat="1" ht="21" hidden="1">
      <c r="A273" s="1038"/>
      <c r="B273" s="1109" t="s">
        <v>261</v>
      </c>
      <c r="C273" s="1106" t="s">
        <v>262</v>
      </c>
      <c r="D273" s="640"/>
      <c r="E273" s="209" t="s">
        <v>263</v>
      </c>
      <c r="F273" s="209"/>
      <c r="G273" s="209"/>
      <c r="H273" s="209"/>
      <c r="I273" s="129"/>
      <c r="J273" s="256" t="str">
        <f>J$10</f>
        <v>alle locaties</v>
      </c>
      <c r="K273" s="126"/>
      <c r="L273" s="126"/>
      <c r="M273" s="256" t="str">
        <f>M$10</f>
        <v>locatie 1</v>
      </c>
      <c r="N273" s="182"/>
      <c r="O273" s="955" t="s">
        <v>1161</v>
      </c>
      <c r="P273" s="945"/>
      <c r="Q273" s="945"/>
      <c r="R273" s="945"/>
      <c r="S273" s="945"/>
      <c r="T273" s="945"/>
      <c r="U273" s="945"/>
      <c r="V273" s="945"/>
      <c r="W273" s="257"/>
      <c r="X273" s="174"/>
      <c r="Y273" s="256" t="str">
        <f>Y$10</f>
        <v>locatie 2</v>
      </c>
      <c r="Z273" s="182"/>
      <c r="AA273" s="955" t="s">
        <v>1161</v>
      </c>
      <c r="AB273" s="945"/>
      <c r="AC273" s="945"/>
      <c r="AD273" s="945"/>
      <c r="AE273" s="945"/>
      <c r="AF273" s="945"/>
      <c r="AG273" s="945"/>
      <c r="AH273" s="945"/>
      <c r="AI273" s="257"/>
      <c r="AJ273" s="174"/>
      <c r="AK273" s="256" t="str">
        <f>AK$10</f>
        <v>locatie 3</v>
      </c>
      <c r="AL273" s="182"/>
      <c r="AM273" s="955" t="s">
        <v>1161</v>
      </c>
      <c r="AN273" s="945"/>
      <c r="AO273" s="945"/>
      <c r="AP273" s="945"/>
      <c r="AQ273" s="945"/>
      <c r="AR273" s="945"/>
      <c r="AS273" s="945"/>
      <c r="AT273" s="945"/>
      <c r="AU273" s="257"/>
      <c r="AV273" s="174"/>
      <c r="AW273" s="256" t="str">
        <f>AW$10</f>
        <v>locatie 4</v>
      </c>
      <c r="AX273" s="182"/>
      <c r="AY273" s="955" t="s">
        <v>1161</v>
      </c>
      <c r="AZ273" s="945"/>
      <c r="BA273" s="945"/>
      <c r="BB273" s="945"/>
      <c r="BC273" s="945"/>
      <c r="BD273" s="945"/>
      <c r="BE273" s="945"/>
      <c r="BF273" s="945"/>
      <c r="BG273" s="257"/>
      <c r="BH273" s="1"/>
    </row>
    <row r="274" spans="1:60" hidden="1">
      <c r="A274" s="1040"/>
      <c r="B274" s="1109" t="s">
        <v>261</v>
      </c>
      <c r="C274" s="1106" t="s">
        <v>262</v>
      </c>
      <c r="D274" s="638"/>
      <c r="E274" s="942" t="s">
        <v>1317</v>
      </c>
      <c r="F274" s="942"/>
      <c r="G274" s="942"/>
      <c r="H274" s="942"/>
      <c r="I274" s="129"/>
      <c r="J274" s="943"/>
      <c r="K274" s="126"/>
      <c r="L274" s="126"/>
      <c r="M274" s="944"/>
      <c r="N274" s="195"/>
      <c r="O274" s="258" t="str">
        <f>O$17</f>
        <v/>
      </c>
      <c r="P274" s="258" t="str">
        <f t="shared" ref="P274:W274" si="229">P$17</f>
        <v/>
      </c>
      <c r="Q274" s="258" t="str">
        <f t="shared" si="229"/>
        <v/>
      </c>
      <c r="R274" s="258" t="str">
        <f t="shared" si="229"/>
        <v/>
      </c>
      <c r="S274" s="258" t="str">
        <f t="shared" si="229"/>
        <v/>
      </c>
      <c r="T274" s="258" t="str">
        <f t="shared" si="229"/>
        <v/>
      </c>
      <c r="U274" s="258" t="str">
        <f t="shared" si="229"/>
        <v/>
      </c>
      <c r="V274" s="258" t="str">
        <f t="shared" si="229"/>
        <v/>
      </c>
      <c r="W274" s="258" t="str">
        <f t="shared" si="229"/>
        <v/>
      </c>
      <c r="X274" s="195"/>
      <c r="Y274" s="944"/>
      <c r="Z274" s="195"/>
      <c r="AA274" s="258" t="str">
        <f>AA$17</f>
        <v/>
      </c>
      <c r="AB274" s="258" t="str">
        <f t="shared" ref="AB274:AI274" si="230">AB$17</f>
        <v/>
      </c>
      <c r="AC274" s="258" t="str">
        <f t="shared" si="230"/>
        <v/>
      </c>
      <c r="AD274" s="258" t="str">
        <f t="shared" si="230"/>
        <v/>
      </c>
      <c r="AE274" s="258" t="str">
        <f t="shared" si="230"/>
        <v/>
      </c>
      <c r="AF274" s="258" t="str">
        <f t="shared" si="230"/>
        <v/>
      </c>
      <c r="AG274" s="258" t="str">
        <f t="shared" si="230"/>
        <v/>
      </c>
      <c r="AH274" s="258" t="str">
        <f t="shared" si="230"/>
        <v/>
      </c>
      <c r="AI274" s="258" t="str">
        <f t="shared" si="230"/>
        <v/>
      </c>
      <c r="AJ274" s="195"/>
      <c r="AK274" s="944"/>
      <c r="AL274" s="195"/>
      <c r="AM274" s="258" t="str">
        <f>AM$17</f>
        <v/>
      </c>
      <c r="AN274" s="258" t="str">
        <f t="shared" ref="AN274:AU274" si="231">AN$17</f>
        <v/>
      </c>
      <c r="AO274" s="258" t="str">
        <f t="shared" si="231"/>
        <v/>
      </c>
      <c r="AP274" s="258" t="str">
        <f t="shared" si="231"/>
        <v/>
      </c>
      <c r="AQ274" s="258" t="str">
        <f t="shared" si="231"/>
        <v/>
      </c>
      <c r="AR274" s="258" t="str">
        <f t="shared" si="231"/>
        <v/>
      </c>
      <c r="AS274" s="258" t="str">
        <f t="shared" si="231"/>
        <v/>
      </c>
      <c r="AT274" s="258" t="str">
        <f t="shared" si="231"/>
        <v/>
      </c>
      <c r="AU274" s="258" t="str">
        <f t="shared" si="231"/>
        <v/>
      </c>
      <c r="AV274" s="195"/>
      <c r="AW274" s="944"/>
      <c r="AX274" s="195"/>
      <c r="AY274" s="258" t="str">
        <f>AY$17</f>
        <v/>
      </c>
      <c r="AZ274" s="258" t="str">
        <f t="shared" ref="AZ274:BG274" si="232">AZ$17</f>
        <v/>
      </c>
      <c r="BA274" s="258" t="str">
        <f t="shared" si="232"/>
        <v/>
      </c>
      <c r="BB274" s="258" t="str">
        <f t="shared" si="232"/>
        <v/>
      </c>
      <c r="BC274" s="258" t="str">
        <f t="shared" si="232"/>
        <v/>
      </c>
      <c r="BD274" s="258" t="str">
        <f t="shared" si="232"/>
        <v/>
      </c>
      <c r="BE274" s="258" t="str">
        <f t="shared" si="232"/>
        <v/>
      </c>
      <c r="BF274" s="258" t="str">
        <f t="shared" si="232"/>
        <v/>
      </c>
      <c r="BG274" s="258" t="str">
        <f t="shared" si="232"/>
        <v/>
      </c>
      <c r="BH274" s="36"/>
    </row>
    <row r="275" spans="1:60" hidden="1">
      <c r="A275" s="1040"/>
      <c r="B275" s="1109" t="s">
        <v>261</v>
      </c>
      <c r="C275" s="1106" t="s">
        <v>262</v>
      </c>
      <c r="D275" s="641" t="s">
        <v>45</v>
      </c>
      <c r="E275" s="180" t="s">
        <v>264</v>
      </c>
      <c r="F275" s="180"/>
      <c r="G275" s="180"/>
      <c r="H275" s="201" t="s">
        <v>65</v>
      </c>
      <c r="I275" s="114"/>
      <c r="J275" s="190"/>
      <c r="K275" s="195"/>
      <c r="L275" s="195"/>
      <c r="M275" s="357">
        <f>SUM(N275:X275)</f>
        <v>0</v>
      </c>
      <c r="N275" s="358"/>
      <c r="O275" s="228">
        <f t="shared" ref="O275:W275" si="233">IF(OR(O$17="",$M62=0),0,O$30*O62/$M62/1000)</f>
        <v>0</v>
      </c>
      <c r="P275" s="228">
        <f t="shared" si="233"/>
        <v>0</v>
      </c>
      <c r="Q275" s="228">
        <f t="shared" si="233"/>
        <v>0</v>
      </c>
      <c r="R275" s="228">
        <f t="shared" si="233"/>
        <v>0</v>
      </c>
      <c r="S275" s="228">
        <f t="shared" si="233"/>
        <v>0</v>
      </c>
      <c r="T275" s="228">
        <f t="shared" si="233"/>
        <v>0</v>
      </c>
      <c r="U275" s="228">
        <f t="shared" si="233"/>
        <v>0</v>
      </c>
      <c r="V275" s="228">
        <f t="shared" si="233"/>
        <v>0</v>
      </c>
      <c r="W275" s="228">
        <f t="shared" si="233"/>
        <v>0</v>
      </c>
      <c r="X275" s="356"/>
      <c r="Y275" s="357">
        <f>SUM(Z275:AJ275)</f>
        <v>0</v>
      </c>
      <c r="Z275" s="358"/>
      <c r="AA275" s="228">
        <f t="shared" ref="AA275:AI275" si="234">IF(OR(AA$17="",$Y62=0),0,AA$30*AA62/$Y62/1000)</f>
        <v>0</v>
      </c>
      <c r="AB275" s="228">
        <f t="shared" si="234"/>
        <v>0</v>
      </c>
      <c r="AC275" s="228">
        <f t="shared" si="234"/>
        <v>0</v>
      </c>
      <c r="AD275" s="228">
        <f t="shared" si="234"/>
        <v>0</v>
      </c>
      <c r="AE275" s="228">
        <f t="shared" si="234"/>
        <v>0</v>
      </c>
      <c r="AF275" s="228">
        <f t="shared" si="234"/>
        <v>0</v>
      </c>
      <c r="AG275" s="228">
        <f t="shared" si="234"/>
        <v>0</v>
      </c>
      <c r="AH275" s="228">
        <f t="shared" si="234"/>
        <v>0</v>
      </c>
      <c r="AI275" s="228">
        <f t="shared" si="234"/>
        <v>0</v>
      </c>
      <c r="AJ275" s="356"/>
      <c r="AK275" s="357">
        <f>SUM(AL275:AV275)</f>
        <v>0</v>
      </c>
      <c r="AL275" s="358"/>
      <c r="AM275" s="228">
        <f t="shared" ref="AM275:AU275" si="235">IF(OR(AM$17="",$AK62=0),0,AM$30*AM62/$AK62/1000)</f>
        <v>0</v>
      </c>
      <c r="AN275" s="228">
        <f t="shared" si="235"/>
        <v>0</v>
      </c>
      <c r="AO275" s="228">
        <f t="shared" si="235"/>
        <v>0</v>
      </c>
      <c r="AP275" s="228">
        <f t="shared" si="235"/>
        <v>0</v>
      </c>
      <c r="AQ275" s="228">
        <f t="shared" si="235"/>
        <v>0</v>
      </c>
      <c r="AR275" s="228">
        <f t="shared" si="235"/>
        <v>0</v>
      </c>
      <c r="AS275" s="228">
        <f t="shared" si="235"/>
        <v>0</v>
      </c>
      <c r="AT275" s="228">
        <f t="shared" si="235"/>
        <v>0</v>
      </c>
      <c r="AU275" s="228">
        <f t="shared" si="235"/>
        <v>0</v>
      </c>
      <c r="AV275" s="356"/>
      <c r="AW275" s="357">
        <f>SUM(AX275:BH275)</f>
        <v>0</v>
      </c>
      <c r="AX275" s="358"/>
      <c r="AY275" s="228">
        <f t="shared" ref="AY275:BG275" si="236">IF(OR(AY$17="",$AW62=0),0,AY$30*AY62/$AW62/1000)</f>
        <v>0</v>
      </c>
      <c r="AZ275" s="228">
        <f t="shared" si="236"/>
        <v>0</v>
      </c>
      <c r="BA275" s="228">
        <f t="shared" si="236"/>
        <v>0</v>
      </c>
      <c r="BB275" s="228">
        <f t="shared" si="236"/>
        <v>0</v>
      </c>
      <c r="BC275" s="228">
        <f t="shared" si="236"/>
        <v>0</v>
      </c>
      <c r="BD275" s="228">
        <f t="shared" si="236"/>
        <v>0</v>
      </c>
      <c r="BE275" s="228">
        <f t="shared" si="236"/>
        <v>0</v>
      </c>
      <c r="BF275" s="228">
        <f t="shared" si="236"/>
        <v>0</v>
      </c>
      <c r="BG275" s="228">
        <f t="shared" si="236"/>
        <v>0</v>
      </c>
      <c r="BH275" s="210"/>
    </row>
    <row r="276" spans="1:60" hidden="1">
      <c r="A276" s="1040"/>
      <c r="B276" s="1109" t="s">
        <v>261</v>
      </c>
      <c r="C276" s="1106" t="s">
        <v>262</v>
      </c>
      <c r="D276" s="638"/>
      <c r="E276" s="180" t="s">
        <v>265</v>
      </c>
      <c r="F276" s="180"/>
      <c r="G276" s="180"/>
      <c r="H276" s="201" t="s">
        <v>65</v>
      </c>
      <c r="I276" s="114"/>
      <c r="J276" s="190"/>
      <c r="K276" s="195"/>
      <c r="L276" s="195"/>
      <c r="M276" s="357">
        <f>SUM(N276:X276)</f>
        <v>0</v>
      </c>
      <c r="N276" s="358"/>
      <c r="O276" s="228">
        <f t="shared" ref="O276:W276" si="237">IF(OR(O$17="",$M64=0),0,O$30*O64/$M64/1000)</f>
        <v>0</v>
      </c>
      <c r="P276" s="228">
        <f t="shared" si="237"/>
        <v>0</v>
      </c>
      <c r="Q276" s="228">
        <f t="shared" si="237"/>
        <v>0</v>
      </c>
      <c r="R276" s="228">
        <f t="shared" si="237"/>
        <v>0</v>
      </c>
      <c r="S276" s="228">
        <f t="shared" si="237"/>
        <v>0</v>
      </c>
      <c r="T276" s="228">
        <f t="shared" si="237"/>
        <v>0</v>
      </c>
      <c r="U276" s="228">
        <f t="shared" si="237"/>
        <v>0</v>
      </c>
      <c r="V276" s="228">
        <f t="shared" si="237"/>
        <v>0</v>
      </c>
      <c r="W276" s="228">
        <f t="shared" si="237"/>
        <v>0</v>
      </c>
      <c r="X276" s="356"/>
      <c r="Y276" s="357">
        <f>SUM(Z276:AJ276)</f>
        <v>0</v>
      </c>
      <c r="Z276" s="358"/>
      <c r="AA276" s="228">
        <f t="shared" ref="AA276:AI276" si="238">IF(OR(AA$17="",$Y64=0),0,AA$30*AA64/$Y64/1000)</f>
        <v>0</v>
      </c>
      <c r="AB276" s="228">
        <f t="shared" si="238"/>
        <v>0</v>
      </c>
      <c r="AC276" s="228">
        <f t="shared" si="238"/>
        <v>0</v>
      </c>
      <c r="AD276" s="228">
        <f t="shared" si="238"/>
        <v>0</v>
      </c>
      <c r="AE276" s="228">
        <f t="shared" si="238"/>
        <v>0</v>
      </c>
      <c r="AF276" s="228">
        <f t="shared" si="238"/>
        <v>0</v>
      </c>
      <c r="AG276" s="228">
        <f t="shared" si="238"/>
        <v>0</v>
      </c>
      <c r="AH276" s="228">
        <f t="shared" si="238"/>
        <v>0</v>
      </c>
      <c r="AI276" s="228">
        <f t="shared" si="238"/>
        <v>0</v>
      </c>
      <c r="AJ276" s="356"/>
      <c r="AK276" s="357">
        <f>SUM(AL276:AV276)</f>
        <v>0</v>
      </c>
      <c r="AL276" s="358"/>
      <c r="AM276" s="228">
        <f t="shared" ref="AM276:AU276" si="239">IF(OR(AM$17="",$AK64=0),0,AM$30*AM64/$AK64/1000)</f>
        <v>0</v>
      </c>
      <c r="AN276" s="228">
        <f t="shared" si="239"/>
        <v>0</v>
      </c>
      <c r="AO276" s="228">
        <f t="shared" si="239"/>
        <v>0</v>
      </c>
      <c r="AP276" s="228">
        <f t="shared" si="239"/>
        <v>0</v>
      </c>
      <c r="AQ276" s="228">
        <f t="shared" si="239"/>
        <v>0</v>
      </c>
      <c r="AR276" s="228">
        <f t="shared" si="239"/>
        <v>0</v>
      </c>
      <c r="AS276" s="228">
        <f t="shared" si="239"/>
        <v>0</v>
      </c>
      <c r="AT276" s="228">
        <f t="shared" si="239"/>
        <v>0</v>
      </c>
      <c r="AU276" s="228">
        <f t="shared" si="239"/>
        <v>0</v>
      </c>
      <c r="AV276" s="356"/>
      <c r="AW276" s="357">
        <f>SUM(AX276:BH276)</f>
        <v>0</v>
      </c>
      <c r="AX276" s="358"/>
      <c r="AY276" s="228">
        <f t="shared" ref="AY276:BG276" si="240">IF(OR(AY$17="",$AW64=0),0,AY$30*AY64/$AW64/1000)</f>
        <v>0</v>
      </c>
      <c r="AZ276" s="228">
        <f t="shared" si="240"/>
        <v>0</v>
      </c>
      <c r="BA276" s="228">
        <f t="shared" si="240"/>
        <v>0</v>
      </c>
      <c r="BB276" s="228">
        <f t="shared" si="240"/>
        <v>0</v>
      </c>
      <c r="BC276" s="228">
        <f t="shared" si="240"/>
        <v>0</v>
      </c>
      <c r="BD276" s="228">
        <f t="shared" si="240"/>
        <v>0</v>
      </c>
      <c r="BE276" s="228">
        <f t="shared" si="240"/>
        <v>0</v>
      </c>
      <c r="BF276" s="228">
        <f t="shared" si="240"/>
        <v>0</v>
      </c>
      <c r="BG276" s="228">
        <f t="shared" si="240"/>
        <v>0</v>
      </c>
      <c r="BH276" s="210"/>
    </row>
    <row r="277" spans="1:60" hidden="1">
      <c r="A277" s="1040"/>
      <c r="B277" s="1109" t="s">
        <v>261</v>
      </c>
      <c r="C277" s="1106" t="s">
        <v>262</v>
      </c>
      <c r="D277" s="638"/>
      <c r="E277" s="180" t="s">
        <v>266</v>
      </c>
      <c r="F277" s="180"/>
      <c r="G277" s="180"/>
      <c r="H277" s="201" t="s">
        <v>65</v>
      </c>
      <c r="I277" s="114"/>
      <c r="J277" s="190"/>
      <c r="K277" s="195"/>
      <c r="L277" s="195"/>
      <c r="M277" s="357">
        <f>SUM(N277:X277)</f>
        <v>0</v>
      </c>
      <c r="N277" s="358"/>
      <c r="O277" s="228">
        <f t="shared" ref="O277:W277" si="241">IF(OR(O$17="",$M$65=0),0,O$30*O65/$M65/1000)</f>
        <v>0</v>
      </c>
      <c r="P277" s="228">
        <f t="shared" si="241"/>
        <v>0</v>
      </c>
      <c r="Q277" s="228">
        <f t="shared" si="241"/>
        <v>0</v>
      </c>
      <c r="R277" s="228">
        <f t="shared" si="241"/>
        <v>0</v>
      </c>
      <c r="S277" s="228">
        <f t="shared" si="241"/>
        <v>0</v>
      </c>
      <c r="T277" s="228">
        <f t="shared" si="241"/>
        <v>0</v>
      </c>
      <c r="U277" s="228">
        <f t="shared" si="241"/>
        <v>0</v>
      </c>
      <c r="V277" s="228">
        <f t="shared" si="241"/>
        <v>0</v>
      </c>
      <c r="W277" s="228">
        <f t="shared" si="241"/>
        <v>0</v>
      </c>
      <c r="X277" s="356"/>
      <c r="Y277" s="357">
        <f>SUM(Z277:AJ277)</f>
        <v>0</v>
      </c>
      <c r="Z277" s="358"/>
      <c r="AA277" s="228">
        <f t="shared" ref="AA277:AI277" si="242">IF(OR(AA$17="",$Y$65=0),0,AA$30*AA65/$Y65/1000)</f>
        <v>0</v>
      </c>
      <c r="AB277" s="228">
        <f t="shared" si="242"/>
        <v>0</v>
      </c>
      <c r="AC277" s="228">
        <f t="shared" si="242"/>
        <v>0</v>
      </c>
      <c r="AD277" s="228">
        <f t="shared" si="242"/>
        <v>0</v>
      </c>
      <c r="AE277" s="228">
        <f t="shared" si="242"/>
        <v>0</v>
      </c>
      <c r="AF277" s="228">
        <f t="shared" si="242"/>
        <v>0</v>
      </c>
      <c r="AG277" s="228">
        <f t="shared" si="242"/>
        <v>0</v>
      </c>
      <c r="AH277" s="228">
        <f t="shared" si="242"/>
        <v>0</v>
      </c>
      <c r="AI277" s="228">
        <f t="shared" si="242"/>
        <v>0</v>
      </c>
      <c r="AJ277" s="356"/>
      <c r="AK277" s="357">
        <f>SUM(AL277:AV277)</f>
        <v>0</v>
      </c>
      <c r="AL277" s="358"/>
      <c r="AM277" s="228">
        <f t="shared" ref="AM277:AU277" si="243">IF(OR(AM$17="",$AK$65=0),0,AM$30*AM65/$AK65/1000)</f>
        <v>0</v>
      </c>
      <c r="AN277" s="228">
        <f t="shared" si="243"/>
        <v>0</v>
      </c>
      <c r="AO277" s="228">
        <f t="shared" si="243"/>
        <v>0</v>
      </c>
      <c r="AP277" s="228">
        <f t="shared" si="243"/>
        <v>0</v>
      </c>
      <c r="AQ277" s="228">
        <f t="shared" si="243"/>
        <v>0</v>
      </c>
      <c r="AR277" s="228">
        <f t="shared" si="243"/>
        <v>0</v>
      </c>
      <c r="AS277" s="228">
        <f t="shared" si="243"/>
        <v>0</v>
      </c>
      <c r="AT277" s="228">
        <f t="shared" si="243"/>
        <v>0</v>
      </c>
      <c r="AU277" s="228">
        <f t="shared" si="243"/>
        <v>0</v>
      </c>
      <c r="AV277" s="356"/>
      <c r="AW277" s="357">
        <f>SUM(AX277:BH277)</f>
        <v>0</v>
      </c>
      <c r="AX277" s="358"/>
      <c r="AY277" s="228">
        <f t="shared" ref="AY277:BG277" si="244">IF(OR(AY$17="",$AW$65=0),0,AY$30*AY65/$AW65/1000)</f>
        <v>0</v>
      </c>
      <c r="AZ277" s="228">
        <f t="shared" si="244"/>
        <v>0</v>
      </c>
      <c r="BA277" s="228">
        <f t="shared" si="244"/>
        <v>0</v>
      </c>
      <c r="BB277" s="228">
        <f t="shared" si="244"/>
        <v>0</v>
      </c>
      <c r="BC277" s="228">
        <f t="shared" si="244"/>
        <v>0</v>
      </c>
      <c r="BD277" s="228">
        <f t="shared" si="244"/>
        <v>0</v>
      </c>
      <c r="BE277" s="228">
        <f t="shared" si="244"/>
        <v>0</v>
      </c>
      <c r="BF277" s="228">
        <f t="shared" si="244"/>
        <v>0</v>
      </c>
      <c r="BG277" s="228">
        <f t="shared" si="244"/>
        <v>0</v>
      </c>
      <c r="BH277" s="210"/>
    </row>
    <row r="278" spans="1:60" hidden="1">
      <c r="A278" s="1040"/>
      <c r="B278" s="1109" t="s">
        <v>261</v>
      </c>
      <c r="C278" s="1106" t="s">
        <v>262</v>
      </c>
      <c r="D278" s="638"/>
      <c r="E278" s="79"/>
      <c r="F278" s="79"/>
      <c r="G278" s="79"/>
      <c r="H278" s="85"/>
      <c r="I278" s="79"/>
      <c r="J278" s="82"/>
      <c r="K278" s="79"/>
      <c r="L278" s="79"/>
      <c r="M278" s="82"/>
      <c r="N278" s="79"/>
      <c r="O278" s="81"/>
      <c r="P278" s="82"/>
      <c r="Q278" s="82"/>
      <c r="R278" s="82"/>
      <c r="S278" s="82"/>
      <c r="T278" s="82"/>
      <c r="U278" s="82"/>
      <c r="V278" s="82"/>
      <c r="W278" s="82"/>
      <c r="X278" s="82"/>
      <c r="Y278" s="82"/>
      <c r="Z278" s="79"/>
      <c r="AA278" s="79"/>
      <c r="AB278" s="79"/>
      <c r="AC278" s="79"/>
      <c r="AD278" s="79"/>
      <c r="AE278" s="79"/>
      <c r="AF278" s="79"/>
      <c r="AG278" s="79"/>
      <c r="AH278" s="79"/>
      <c r="AI278" s="79"/>
      <c r="AJ278" s="82"/>
      <c r="AK278" s="82"/>
      <c r="AL278" s="79"/>
      <c r="AM278" s="82"/>
      <c r="AN278" s="82"/>
      <c r="AO278" s="82"/>
      <c r="AP278" s="82"/>
      <c r="AQ278" s="82"/>
      <c r="AR278" s="82"/>
      <c r="AS278" s="82"/>
      <c r="AT278" s="82"/>
      <c r="AU278" s="82"/>
      <c r="AV278" s="82"/>
      <c r="AW278" s="82"/>
      <c r="AX278" s="79"/>
      <c r="AY278" s="82"/>
      <c r="AZ278" s="82"/>
      <c r="BA278" s="82"/>
      <c r="BB278" s="82"/>
      <c r="BC278" s="82"/>
      <c r="BD278" s="82"/>
      <c r="BE278" s="82"/>
      <c r="BF278" s="82"/>
      <c r="BG278" s="82"/>
      <c r="BH278" s="1"/>
    </row>
    <row r="279" spans="1:60">
      <c r="A279" s="1040"/>
      <c r="B279" s="1109" t="s">
        <v>1219</v>
      </c>
      <c r="C279" s="1107" t="s">
        <v>96</v>
      </c>
      <c r="D279" s="638"/>
      <c r="E279" s="79"/>
      <c r="F279" s="79"/>
      <c r="G279" s="79"/>
      <c r="H279" s="85"/>
      <c r="I279" s="79"/>
      <c r="J279" s="82"/>
      <c r="K279" s="79"/>
      <c r="L279" s="79"/>
      <c r="M279" s="82"/>
      <c r="N279" s="79"/>
      <c r="O279" s="82"/>
      <c r="P279" s="1098"/>
      <c r="Q279" s="82"/>
      <c r="R279" s="82"/>
      <c r="S279" s="82"/>
      <c r="T279" s="82"/>
      <c r="U279" s="82"/>
      <c r="V279" s="82"/>
      <c r="W279" s="82"/>
      <c r="X279" s="82"/>
      <c r="Y279" s="82"/>
      <c r="Z279" s="79"/>
      <c r="AA279" s="82"/>
      <c r="AB279" s="82"/>
      <c r="AC279" s="82"/>
      <c r="AD279" s="82"/>
      <c r="AE279" s="82"/>
      <c r="AF279" s="82"/>
      <c r="AG279" s="82"/>
      <c r="AH279" s="82"/>
      <c r="AI279" s="82"/>
      <c r="AJ279" s="82"/>
      <c r="AK279" s="82"/>
      <c r="AL279" s="79"/>
      <c r="AM279" s="82"/>
      <c r="AN279" s="82"/>
      <c r="AO279" s="82"/>
      <c r="AP279" s="82"/>
      <c r="AQ279" s="82"/>
      <c r="AR279" s="82"/>
      <c r="AS279" s="82"/>
      <c r="AT279" s="82"/>
      <c r="AU279" s="82"/>
      <c r="AV279" s="82"/>
      <c r="AW279" s="82"/>
      <c r="AX279" s="79"/>
      <c r="AY279" s="82"/>
      <c r="AZ279" s="82"/>
      <c r="BA279" s="82"/>
      <c r="BB279" s="82"/>
      <c r="BC279" s="82"/>
      <c r="BD279" s="82"/>
      <c r="BE279" s="82"/>
      <c r="BF279" s="82"/>
      <c r="BG279" s="82"/>
      <c r="BH279" s="1"/>
    </row>
    <row r="280" spans="1:60" s="2" customFormat="1" ht="21">
      <c r="A280" s="1038"/>
      <c r="B280" s="1109" t="s">
        <v>1219</v>
      </c>
      <c r="C280" s="1106" t="s">
        <v>96</v>
      </c>
      <c r="D280" s="640" t="s">
        <v>45</v>
      </c>
      <c r="E280" s="209" t="s">
        <v>1220</v>
      </c>
      <c r="F280" s="209"/>
      <c r="G280" s="209"/>
      <c r="H280" s="209"/>
      <c r="I280" s="129"/>
      <c r="J280" s="256" t="str">
        <f>"MWh "&amp;J$8</f>
        <v>MWh alle locaties</v>
      </c>
      <c r="K280" s="126"/>
      <c r="L280" s="126"/>
      <c r="M280" s="256" t="str">
        <f>"MWh "&amp;M$8</f>
        <v>MWh locatie 1</v>
      </c>
      <c r="N280" s="182"/>
      <c r="O280" s="955" t="str">
        <f>$E280&amp;" per woning-/gebouwtype"</f>
        <v>primair fossiel energiegebruik per woning-/gebouwtype</v>
      </c>
      <c r="P280" s="945"/>
      <c r="Q280" s="945"/>
      <c r="R280" s="945"/>
      <c r="S280" s="945"/>
      <c r="T280" s="945"/>
      <c r="U280" s="945"/>
      <c r="V280" s="945"/>
      <c r="W280" s="257"/>
      <c r="X280" s="174"/>
      <c r="Y280" s="256" t="str">
        <f>"MWh "&amp;Y$8</f>
        <v>MWh locatie 2</v>
      </c>
      <c r="Z280" s="182"/>
      <c r="AA280" s="955" t="str">
        <f>$E280&amp;" per woning-/gebouwtype"</f>
        <v>primair fossiel energiegebruik per woning-/gebouwtype</v>
      </c>
      <c r="AB280" s="945"/>
      <c r="AC280" s="945"/>
      <c r="AD280" s="945"/>
      <c r="AE280" s="945"/>
      <c r="AF280" s="945"/>
      <c r="AG280" s="945"/>
      <c r="AH280" s="945"/>
      <c r="AI280" s="257"/>
      <c r="AJ280" s="174"/>
      <c r="AK280" s="256" t="str">
        <f>"MWh "&amp;AK$8</f>
        <v>MWh locatie 3</v>
      </c>
      <c r="AL280" s="182"/>
      <c r="AM280" s="955" t="str">
        <f>$E280&amp;" per woning-/gebouwtype"</f>
        <v>primair fossiel energiegebruik per woning-/gebouwtype</v>
      </c>
      <c r="AN280" s="945"/>
      <c r="AO280" s="945"/>
      <c r="AP280" s="945"/>
      <c r="AQ280" s="945"/>
      <c r="AR280" s="945"/>
      <c r="AS280" s="945"/>
      <c r="AT280" s="945"/>
      <c r="AU280" s="257"/>
      <c r="AV280" s="174"/>
      <c r="AW280" s="256" t="str">
        <f>"MWh "&amp;AW$8</f>
        <v>MWh locatie 4</v>
      </c>
      <c r="AX280" s="182"/>
      <c r="AY280" s="955" t="str">
        <f>$E280&amp;" per woning-/gebouwtype"</f>
        <v>primair fossiel energiegebruik per woning-/gebouwtype</v>
      </c>
      <c r="AZ280" s="945"/>
      <c r="BA280" s="945"/>
      <c r="BB280" s="945"/>
      <c r="BC280" s="945"/>
      <c r="BD280" s="945"/>
      <c r="BE280" s="945"/>
      <c r="BF280" s="945"/>
      <c r="BG280" s="257"/>
      <c r="BH280" s="1"/>
    </row>
    <row r="281" spans="1:60">
      <c r="A281" s="1040"/>
      <c r="B281" s="1109" t="s">
        <v>1219</v>
      </c>
      <c r="C281" s="1106" t="s">
        <v>96</v>
      </c>
      <c r="D281" s="638"/>
      <c r="E281" s="942" t="s">
        <v>1318</v>
      </c>
      <c r="F281" s="942"/>
      <c r="G281" s="942"/>
      <c r="H281" s="942"/>
      <c r="I281" s="129"/>
      <c r="J281" s="943"/>
      <c r="K281" s="126"/>
      <c r="L281" s="126"/>
      <c r="M281" s="944"/>
      <c r="N281" s="195"/>
      <c r="O281" s="258" t="str">
        <f>O$17</f>
        <v/>
      </c>
      <c r="P281" s="258" t="str">
        <f t="shared" ref="P281:W281" si="245">P$17</f>
        <v/>
      </c>
      <c r="Q281" s="258" t="str">
        <f t="shared" si="245"/>
        <v/>
      </c>
      <c r="R281" s="258" t="str">
        <f t="shared" si="245"/>
        <v/>
      </c>
      <c r="S281" s="258" t="str">
        <f t="shared" si="245"/>
        <v/>
      </c>
      <c r="T281" s="258" t="str">
        <f t="shared" si="245"/>
        <v/>
      </c>
      <c r="U281" s="258" t="str">
        <f t="shared" si="245"/>
        <v/>
      </c>
      <c r="V281" s="258" t="str">
        <f t="shared" si="245"/>
        <v/>
      </c>
      <c r="W281" s="258" t="str">
        <f t="shared" si="245"/>
        <v/>
      </c>
      <c r="X281" s="195"/>
      <c r="Y281" s="944"/>
      <c r="Z281" s="195"/>
      <c r="AA281" s="258" t="str">
        <f>AA$17</f>
        <v/>
      </c>
      <c r="AB281" s="258" t="str">
        <f t="shared" ref="AB281:AI281" si="246">AB$17</f>
        <v/>
      </c>
      <c r="AC281" s="258" t="str">
        <f t="shared" si="246"/>
        <v/>
      </c>
      <c r="AD281" s="258" t="str">
        <f t="shared" si="246"/>
        <v/>
      </c>
      <c r="AE281" s="258" t="str">
        <f t="shared" si="246"/>
        <v/>
      </c>
      <c r="AF281" s="258" t="str">
        <f t="shared" si="246"/>
        <v/>
      </c>
      <c r="AG281" s="258" t="str">
        <f t="shared" si="246"/>
        <v/>
      </c>
      <c r="AH281" s="258" t="str">
        <f t="shared" si="246"/>
        <v/>
      </c>
      <c r="AI281" s="258" t="str">
        <f t="shared" si="246"/>
        <v/>
      </c>
      <c r="AJ281" s="195"/>
      <c r="AK281" s="944"/>
      <c r="AL281" s="195"/>
      <c r="AM281" s="258" t="str">
        <f>AM$17</f>
        <v/>
      </c>
      <c r="AN281" s="258" t="str">
        <f t="shared" ref="AN281:AU281" si="247">AN$17</f>
        <v/>
      </c>
      <c r="AO281" s="258" t="str">
        <f t="shared" si="247"/>
        <v/>
      </c>
      <c r="AP281" s="258" t="str">
        <f t="shared" si="247"/>
        <v/>
      </c>
      <c r="AQ281" s="258" t="str">
        <f t="shared" si="247"/>
        <v/>
      </c>
      <c r="AR281" s="258" t="str">
        <f t="shared" si="247"/>
        <v/>
      </c>
      <c r="AS281" s="258" t="str">
        <f t="shared" si="247"/>
        <v/>
      </c>
      <c r="AT281" s="258" t="str">
        <f t="shared" si="247"/>
        <v/>
      </c>
      <c r="AU281" s="258" t="str">
        <f t="shared" si="247"/>
        <v/>
      </c>
      <c r="AV281" s="195"/>
      <c r="AW281" s="944"/>
      <c r="AX281" s="195"/>
      <c r="AY281" s="258" t="str">
        <f>AY$17</f>
        <v/>
      </c>
      <c r="AZ281" s="258" t="str">
        <f t="shared" ref="AZ281:BG281" si="248">AZ$17</f>
        <v/>
      </c>
      <c r="BA281" s="258" t="str">
        <f t="shared" si="248"/>
        <v/>
      </c>
      <c r="BB281" s="258" t="str">
        <f t="shared" si="248"/>
        <v/>
      </c>
      <c r="BC281" s="258" t="str">
        <f t="shared" si="248"/>
        <v/>
      </c>
      <c r="BD281" s="258" t="str">
        <f t="shared" si="248"/>
        <v/>
      </c>
      <c r="BE281" s="258" t="str">
        <f t="shared" si="248"/>
        <v/>
      </c>
      <c r="BF281" s="258" t="str">
        <f t="shared" si="248"/>
        <v/>
      </c>
      <c r="BG281" s="258" t="str">
        <f t="shared" si="248"/>
        <v/>
      </c>
      <c r="BH281" s="36"/>
    </row>
    <row r="282" spans="1:60">
      <c r="A282" s="1040"/>
      <c r="B282" s="1109" t="s">
        <v>1219</v>
      </c>
      <c r="C282" s="1107" t="s">
        <v>104</v>
      </c>
      <c r="D282" s="641"/>
      <c r="E282" s="304" t="str">
        <f>$O$10</f>
        <v>verwarming</v>
      </c>
      <c r="F282" s="180"/>
      <c r="G282" s="180"/>
      <c r="H282" s="201" t="s">
        <v>267</v>
      </c>
      <c r="I282" s="114"/>
      <c r="J282" s="190">
        <f t="shared" ref="J282:J290" si="249">M282+Y282+AK282+AW282</f>
        <v>0</v>
      </c>
      <c r="K282" s="1092"/>
      <c r="L282" s="1092"/>
      <c r="M282" s="190">
        <f t="shared" ref="M282:M289" si="250">SUMPRODUCT(N282:X282,N$22:X$22,N$29:X$29)/1000</f>
        <v>0</v>
      </c>
      <c r="N282" s="119"/>
      <c r="O282" s="183">
        <f t="shared" ref="O282:W282" si="251">IF(OR(O$22=0,$O$78=0),0,
(($O$120+$O$151+$O$174)/$O$78)*O62)</f>
        <v>0</v>
      </c>
      <c r="P282" s="183">
        <f t="shared" si="251"/>
        <v>0</v>
      </c>
      <c r="Q282" s="183">
        <f t="shared" si="251"/>
        <v>0</v>
      </c>
      <c r="R282" s="183">
        <f t="shared" si="251"/>
        <v>0</v>
      </c>
      <c r="S282" s="183">
        <f t="shared" si="251"/>
        <v>0</v>
      </c>
      <c r="T282" s="183">
        <f t="shared" si="251"/>
        <v>0</v>
      </c>
      <c r="U282" s="183">
        <f t="shared" si="251"/>
        <v>0</v>
      </c>
      <c r="V282" s="183">
        <f t="shared" si="251"/>
        <v>0</v>
      </c>
      <c r="W282" s="183">
        <f t="shared" si="251"/>
        <v>0</v>
      </c>
      <c r="X282" s="108"/>
      <c r="Y282" s="190">
        <f t="shared" ref="Y282:Y289" si="252">SUMPRODUCT(Z282:AJ282,Z$22:AJ$22,Z$29:AJ$29)/1000</f>
        <v>0</v>
      </c>
      <c r="Z282" s="119"/>
      <c r="AA282" s="183">
        <f t="shared" ref="AA282:AI282" si="253">IF(AA$22=0,0,
(($AA$120+$AA$151+$AA$174)/$AA$78)*AA62)</f>
        <v>0</v>
      </c>
      <c r="AB282" s="183">
        <f t="shared" si="253"/>
        <v>0</v>
      </c>
      <c r="AC282" s="183">
        <f t="shared" si="253"/>
        <v>0</v>
      </c>
      <c r="AD282" s="183">
        <f t="shared" si="253"/>
        <v>0</v>
      </c>
      <c r="AE282" s="183">
        <f t="shared" si="253"/>
        <v>0</v>
      </c>
      <c r="AF282" s="183">
        <f t="shared" si="253"/>
        <v>0</v>
      </c>
      <c r="AG282" s="183">
        <f t="shared" si="253"/>
        <v>0</v>
      </c>
      <c r="AH282" s="183">
        <f t="shared" si="253"/>
        <v>0</v>
      </c>
      <c r="AI282" s="183">
        <f t="shared" si="253"/>
        <v>0</v>
      </c>
      <c r="AJ282" s="1092"/>
      <c r="AK282" s="190">
        <f t="shared" ref="AK282:AK289" si="254">SUMPRODUCT(AL282:AV282,AL$22:AV$22,AL$29:AV$29)/1000</f>
        <v>0</v>
      </c>
      <c r="AL282" s="1092"/>
      <c r="AM282" s="183">
        <f t="shared" ref="AM282:AU282" si="255">IF(AM$22=0,0,
(($AM$120+$AM$151+$AM$174)/$AM$78)*AM62)</f>
        <v>0</v>
      </c>
      <c r="AN282" s="183">
        <f t="shared" si="255"/>
        <v>0</v>
      </c>
      <c r="AO282" s="183">
        <f t="shared" si="255"/>
        <v>0</v>
      </c>
      <c r="AP282" s="183">
        <f t="shared" si="255"/>
        <v>0</v>
      </c>
      <c r="AQ282" s="183">
        <f t="shared" si="255"/>
        <v>0</v>
      </c>
      <c r="AR282" s="183">
        <f t="shared" si="255"/>
        <v>0</v>
      </c>
      <c r="AS282" s="183">
        <f t="shared" si="255"/>
        <v>0</v>
      </c>
      <c r="AT282" s="183">
        <f t="shared" si="255"/>
        <v>0</v>
      </c>
      <c r="AU282" s="183">
        <f t="shared" si="255"/>
        <v>0</v>
      </c>
      <c r="AV282" s="1092"/>
      <c r="AW282" s="190">
        <f t="shared" ref="AW282:AW289" si="256">SUMPRODUCT(AX282:BH282,AX$22:BH$22,AX$29:BH$29)/1000</f>
        <v>0</v>
      </c>
      <c r="AX282" s="1092"/>
      <c r="AY282" s="183">
        <f t="shared" ref="AY282:BG282" si="257">IF(AY$22=0,0,
(($AY$120+$AY$151+$AY$174)/$AY$78)*AY62)</f>
        <v>0</v>
      </c>
      <c r="AZ282" s="183">
        <f t="shared" si="257"/>
        <v>0</v>
      </c>
      <c r="BA282" s="183">
        <f t="shared" si="257"/>
        <v>0</v>
      </c>
      <c r="BB282" s="183">
        <f t="shared" si="257"/>
        <v>0</v>
      </c>
      <c r="BC282" s="183">
        <f t="shared" si="257"/>
        <v>0</v>
      </c>
      <c r="BD282" s="183">
        <f t="shared" si="257"/>
        <v>0</v>
      </c>
      <c r="BE282" s="183">
        <f t="shared" si="257"/>
        <v>0</v>
      </c>
      <c r="BF282" s="183">
        <f t="shared" si="257"/>
        <v>0</v>
      </c>
      <c r="BG282" s="183">
        <f t="shared" si="257"/>
        <v>0</v>
      </c>
      <c r="BH282" s="210"/>
    </row>
    <row r="283" spans="1:60">
      <c r="A283" s="1040"/>
      <c r="B283" s="1109" t="s">
        <v>1219</v>
      </c>
      <c r="C283" s="1107" t="s">
        <v>104</v>
      </c>
      <c r="D283" s="641"/>
      <c r="E283" s="304" t="str">
        <f>$P$10</f>
        <v>koeling</v>
      </c>
      <c r="F283" s="180"/>
      <c r="G283" s="180"/>
      <c r="H283" s="201" t="s">
        <v>267</v>
      </c>
      <c r="I283" s="114"/>
      <c r="J283" s="190">
        <f t="shared" si="249"/>
        <v>0</v>
      </c>
      <c r="K283" s="1092"/>
      <c r="L283" s="1092"/>
      <c r="M283" s="190">
        <f t="shared" si="250"/>
        <v>0</v>
      </c>
      <c r="N283" s="119"/>
      <c r="O283" s="183">
        <f t="shared" ref="O283:W283" si="258">IF(OR(O$22=0,$P$78=0),0,
(($P$120+$P$151+$P$174)/$P$78)*O64)</f>
        <v>0</v>
      </c>
      <c r="P283" s="183">
        <f t="shared" si="258"/>
        <v>0</v>
      </c>
      <c r="Q283" s="183">
        <f t="shared" si="258"/>
        <v>0</v>
      </c>
      <c r="R283" s="183">
        <f t="shared" si="258"/>
        <v>0</v>
      </c>
      <c r="S283" s="183">
        <f t="shared" si="258"/>
        <v>0</v>
      </c>
      <c r="T283" s="183">
        <f t="shared" si="258"/>
        <v>0</v>
      </c>
      <c r="U283" s="183">
        <f t="shared" si="258"/>
        <v>0</v>
      </c>
      <c r="V283" s="183">
        <f t="shared" si="258"/>
        <v>0</v>
      </c>
      <c r="W283" s="183">
        <f t="shared" si="258"/>
        <v>0</v>
      </c>
      <c r="X283" s="108"/>
      <c r="Y283" s="190">
        <f t="shared" si="252"/>
        <v>0</v>
      </c>
      <c r="Z283" s="119"/>
      <c r="AA283" s="183">
        <f t="shared" ref="AA283:AI283" si="259">IF(OR(AA$22=0,$AB$78=0),0,
(($AB$120+$AB$151+$AB$174)/$AB$78)*AA64)</f>
        <v>0</v>
      </c>
      <c r="AB283" s="183">
        <f t="shared" si="259"/>
        <v>0</v>
      </c>
      <c r="AC283" s="183">
        <f t="shared" si="259"/>
        <v>0</v>
      </c>
      <c r="AD283" s="183">
        <f t="shared" si="259"/>
        <v>0</v>
      </c>
      <c r="AE283" s="183">
        <f t="shared" si="259"/>
        <v>0</v>
      </c>
      <c r="AF283" s="183">
        <f t="shared" si="259"/>
        <v>0</v>
      </c>
      <c r="AG283" s="183">
        <f t="shared" si="259"/>
        <v>0</v>
      </c>
      <c r="AH283" s="183">
        <f t="shared" si="259"/>
        <v>0</v>
      </c>
      <c r="AI283" s="183">
        <f t="shared" si="259"/>
        <v>0</v>
      </c>
      <c r="AJ283" s="1092"/>
      <c r="AK283" s="190">
        <f t="shared" si="254"/>
        <v>0</v>
      </c>
      <c r="AL283" s="1092"/>
      <c r="AM283" s="183">
        <f t="shared" ref="AM283:AU283" si="260">IF(OR(AM$22=0,$AN$78=0),0,
(($AN$120+$AN$151+$AN$174)/$AN$78)*AM64)</f>
        <v>0</v>
      </c>
      <c r="AN283" s="183">
        <f t="shared" si="260"/>
        <v>0</v>
      </c>
      <c r="AO283" s="183">
        <f t="shared" si="260"/>
        <v>0</v>
      </c>
      <c r="AP283" s="183">
        <f t="shared" si="260"/>
        <v>0</v>
      </c>
      <c r="AQ283" s="183">
        <f t="shared" si="260"/>
        <v>0</v>
      </c>
      <c r="AR283" s="183">
        <f t="shared" si="260"/>
        <v>0</v>
      </c>
      <c r="AS283" s="183">
        <f t="shared" si="260"/>
        <v>0</v>
      </c>
      <c r="AT283" s="183">
        <f t="shared" si="260"/>
        <v>0</v>
      </c>
      <c r="AU283" s="183">
        <f t="shared" si="260"/>
        <v>0</v>
      </c>
      <c r="AV283" s="1092"/>
      <c r="AW283" s="190">
        <f t="shared" si="256"/>
        <v>0</v>
      </c>
      <c r="AX283" s="1092"/>
      <c r="AY283" s="183">
        <f t="shared" ref="AY283:BG283" si="261">IF(OR(AY$22=0,$AZ$78=0),0,
(($AZ$120+$AZ$151+$AZ$174)/$AZ$78)*AY64)</f>
        <v>0</v>
      </c>
      <c r="AZ283" s="183">
        <f t="shared" si="261"/>
        <v>0</v>
      </c>
      <c r="BA283" s="183">
        <f t="shared" si="261"/>
        <v>0</v>
      </c>
      <c r="BB283" s="183">
        <f t="shared" si="261"/>
        <v>0</v>
      </c>
      <c r="BC283" s="183">
        <f t="shared" si="261"/>
        <v>0</v>
      </c>
      <c r="BD283" s="183">
        <f t="shared" si="261"/>
        <v>0</v>
      </c>
      <c r="BE283" s="183">
        <f t="shared" si="261"/>
        <v>0</v>
      </c>
      <c r="BF283" s="183">
        <f t="shared" si="261"/>
        <v>0</v>
      </c>
      <c r="BG283" s="183">
        <f t="shared" si="261"/>
        <v>0</v>
      </c>
      <c r="BH283" s="210"/>
    </row>
    <row r="284" spans="1:60">
      <c r="A284" s="1040"/>
      <c r="B284" s="1109" t="s">
        <v>1219</v>
      </c>
      <c r="C284" s="1107" t="s">
        <v>104</v>
      </c>
      <c r="D284" s="641"/>
      <c r="E284" s="304" t="str">
        <f>$Q$10</f>
        <v>tapwater</v>
      </c>
      <c r="F284" s="180"/>
      <c r="G284" s="180"/>
      <c r="H284" s="201" t="s">
        <v>267</v>
      </c>
      <c r="I284" s="114"/>
      <c r="J284" s="190">
        <f t="shared" si="249"/>
        <v>0</v>
      </c>
      <c r="K284" s="1092"/>
      <c r="L284" s="1092"/>
      <c r="M284" s="190">
        <f t="shared" si="250"/>
        <v>0</v>
      </c>
      <c r="N284" s="119"/>
      <c r="O284" s="183">
        <f t="shared" ref="O284:W284" si="262">IF(O$22=0,0,
(($Q$120+$Q$151+$Q$174)/$Q$78)*O65)</f>
        <v>0</v>
      </c>
      <c r="P284" s="183">
        <f t="shared" si="262"/>
        <v>0</v>
      </c>
      <c r="Q284" s="183">
        <f t="shared" si="262"/>
        <v>0</v>
      </c>
      <c r="R284" s="183">
        <f t="shared" si="262"/>
        <v>0</v>
      </c>
      <c r="S284" s="183">
        <f t="shared" si="262"/>
        <v>0</v>
      </c>
      <c r="T284" s="183">
        <f t="shared" si="262"/>
        <v>0</v>
      </c>
      <c r="U284" s="183">
        <f t="shared" si="262"/>
        <v>0</v>
      </c>
      <c r="V284" s="183">
        <f t="shared" si="262"/>
        <v>0</v>
      </c>
      <c r="W284" s="183">
        <f t="shared" si="262"/>
        <v>0</v>
      </c>
      <c r="X284" s="108"/>
      <c r="Y284" s="190">
        <f t="shared" si="252"/>
        <v>0</v>
      </c>
      <c r="Z284" s="119"/>
      <c r="AA284" s="183">
        <f t="shared" ref="AA284:AI284" si="263">IF(AA$22=0,0,
(($AC$120+$AC$151+$AC$174)/$AC$78)*AA65)</f>
        <v>0</v>
      </c>
      <c r="AB284" s="183">
        <f t="shared" si="263"/>
        <v>0</v>
      </c>
      <c r="AC284" s="183">
        <f t="shared" si="263"/>
        <v>0</v>
      </c>
      <c r="AD284" s="183">
        <f t="shared" si="263"/>
        <v>0</v>
      </c>
      <c r="AE284" s="183">
        <f t="shared" si="263"/>
        <v>0</v>
      </c>
      <c r="AF284" s="183">
        <f t="shared" si="263"/>
        <v>0</v>
      </c>
      <c r="AG284" s="183">
        <f t="shared" si="263"/>
        <v>0</v>
      </c>
      <c r="AH284" s="183">
        <f t="shared" si="263"/>
        <v>0</v>
      </c>
      <c r="AI284" s="183">
        <f t="shared" si="263"/>
        <v>0</v>
      </c>
      <c r="AJ284" s="1092"/>
      <c r="AK284" s="190">
        <f t="shared" si="254"/>
        <v>0</v>
      </c>
      <c r="AL284" s="1092"/>
      <c r="AM284" s="183">
        <f t="shared" ref="AM284:AU284" si="264">IF(AM$22=0,0,
(($AO$120+$AO$151+$AO$174)/$AO$78)*AM65)</f>
        <v>0</v>
      </c>
      <c r="AN284" s="183">
        <f t="shared" si="264"/>
        <v>0</v>
      </c>
      <c r="AO284" s="183">
        <f t="shared" si="264"/>
        <v>0</v>
      </c>
      <c r="AP284" s="183">
        <f t="shared" si="264"/>
        <v>0</v>
      </c>
      <c r="AQ284" s="183">
        <f t="shared" si="264"/>
        <v>0</v>
      </c>
      <c r="AR284" s="183">
        <f t="shared" si="264"/>
        <v>0</v>
      </c>
      <c r="AS284" s="183">
        <f t="shared" si="264"/>
        <v>0</v>
      </c>
      <c r="AT284" s="183">
        <f t="shared" si="264"/>
        <v>0</v>
      </c>
      <c r="AU284" s="183">
        <f t="shared" si="264"/>
        <v>0</v>
      </c>
      <c r="AV284" s="1092"/>
      <c r="AW284" s="190">
        <f t="shared" si="256"/>
        <v>0</v>
      </c>
      <c r="AX284" s="1092"/>
      <c r="AY284" s="183">
        <f t="shared" ref="AY284:BG284" si="265">IF(AY$22=0,0,
(($BA$120+$BA$151+$BA$174)/$BA$78)*AY65)</f>
        <v>0</v>
      </c>
      <c r="AZ284" s="183">
        <f t="shared" si="265"/>
        <v>0</v>
      </c>
      <c r="BA284" s="183">
        <f t="shared" si="265"/>
        <v>0</v>
      </c>
      <c r="BB284" s="183">
        <f t="shared" si="265"/>
        <v>0</v>
      </c>
      <c r="BC284" s="183">
        <f t="shared" si="265"/>
        <v>0</v>
      </c>
      <c r="BD284" s="183">
        <f t="shared" si="265"/>
        <v>0</v>
      </c>
      <c r="BE284" s="183">
        <f t="shared" si="265"/>
        <v>0</v>
      </c>
      <c r="BF284" s="183">
        <f t="shared" si="265"/>
        <v>0</v>
      </c>
      <c r="BG284" s="183">
        <f t="shared" si="265"/>
        <v>0</v>
      </c>
      <c r="BH284" s="210"/>
    </row>
    <row r="285" spans="1:60">
      <c r="A285" s="1040"/>
      <c r="B285" s="1109" t="s">
        <v>1219</v>
      </c>
      <c r="C285" s="1107" t="s">
        <v>104</v>
      </c>
      <c r="D285" s="641"/>
      <c r="E285" s="304" t="str">
        <f>$R$10</f>
        <v>verlichting</v>
      </c>
      <c r="F285" s="180"/>
      <c r="G285" s="180"/>
      <c r="H285" s="201" t="s">
        <v>267</v>
      </c>
      <c r="I285" s="114"/>
      <c r="J285" s="190">
        <f t="shared" si="249"/>
        <v>0</v>
      </c>
      <c r="K285" s="1092"/>
      <c r="L285" s="1092"/>
      <c r="M285" s="190">
        <f>SUMPRODUCT(N285:X285,N$22:X$22,N$29:X$29)/1000</f>
        <v>0</v>
      </c>
      <c r="N285" s="119"/>
      <c r="O285" s="183">
        <f t="shared" ref="O285:W285" si="266">IF(O$22=0,0,$R$174/$R$78*O66)</f>
        <v>0</v>
      </c>
      <c r="P285" s="183">
        <f t="shared" si="266"/>
        <v>0</v>
      </c>
      <c r="Q285" s="183">
        <f t="shared" si="266"/>
        <v>0</v>
      </c>
      <c r="R285" s="183">
        <f t="shared" si="266"/>
        <v>0</v>
      </c>
      <c r="S285" s="183">
        <f t="shared" si="266"/>
        <v>0</v>
      </c>
      <c r="T285" s="183">
        <f t="shared" si="266"/>
        <v>0</v>
      </c>
      <c r="U285" s="183">
        <f t="shared" si="266"/>
        <v>0</v>
      </c>
      <c r="V285" s="183">
        <f t="shared" si="266"/>
        <v>0</v>
      </c>
      <c r="W285" s="183">
        <f t="shared" si="266"/>
        <v>0</v>
      </c>
      <c r="X285" s="108"/>
      <c r="Y285" s="190">
        <f t="shared" si="252"/>
        <v>0</v>
      </c>
      <c r="Z285" s="119"/>
      <c r="AA285" s="183">
        <f t="shared" ref="AA285:AI285" si="267">IF(AA$22=0,0,$AD$174/$AD$78*AA66)</f>
        <v>0</v>
      </c>
      <c r="AB285" s="183">
        <f t="shared" si="267"/>
        <v>0</v>
      </c>
      <c r="AC285" s="183">
        <f t="shared" si="267"/>
        <v>0</v>
      </c>
      <c r="AD285" s="183">
        <f t="shared" si="267"/>
        <v>0</v>
      </c>
      <c r="AE285" s="183">
        <f t="shared" si="267"/>
        <v>0</v>
      </c>
      <c r="AF285" s="183">
        <f t="shared" si="267"/>
        <v>0</v>
      </c>
      <c r="AG285" s="183">
        <f t="shared" si="267"/>
        <v>0</v>
      </c>
      <c r="AH285" s="183">
        <f t="shared" si="267"/>
        <v>0</v>
      </c>
      <c r="AI285" s="183">
        <f t="shared" si="267"/>
        <v>0</v>
      </c>
      <c r="AJ285" s="1092"/>
      <c r="AK285" s="190">
        <f t="shared" si="254"/>
        <v>0</v>
      </c>
      <c r="AL285" s="1092"/>
      <c r="AM285" s="183">
        <f t="shared" ref="AM285:AU285" si="268">IF(AM$22=0,0,$AP$174/$AP$78*AM66)</f>
        <v>0</v>
      </c>
      <c r="AN285" s="183">
        <f t="shared" si="268"/>
        <v>0</v>
      </c>
      <c r="AO285" s="183">
        <f t="shared" si="268"/>
        <v>0</v>
      </c>
      <c r="AP285" s="183">
        <f t="shared" si="268"/>
        <v>0</v>
      </c>
      <c r="AQ285" s="183">
        <f t="shared" si="268"/>
        <v>0</v>
      </c>
      <c r="AR285" s="183">
        <f t="shared" si="268"/>
        <v>0</v>
      </c>
      <c r="AS285" s="183">
        <f t="shared" si="268"/>
        <v>0</v>
      </c>
      <c r="AT285" s="183">
        <f t="shared" si="268"/>
        <v>0</v>
      </c>
      <c r="AU285" s="183">
        <f t="shared" si="268"/>
        <v>0</v>
      </c>
      <c r="AV285" s="1092"/>
      <c r="AW285" s="190">
        <f t="shared" si="256"/>
        <v>0</v>
      </c>
      <c r="AX285" s="1092"/>
      <c r="AY285" s="183">
        <f t="shared" ref="AY285:BG285" si="269">IF(AY$22=0,0,$BB$174/$BB$78*AY66)</f>
        <v>0</v>
      </c>
      <c r="AZ285" s="183">
        <f t="shared" si="269"/>
        <v>0</v>
      </c>
      <c r="BA285" s="183">
        <f t="shared" si="269"/>
        <v>0</v>
      </c>
      <c r="BB285" s="183">
        <f t="shared" si="269"/>
        <v>0</v>
      </c>
      <c r="BC285" s="183">
        <f t="shared" si="269"/>
        <v>0</v>
      </c>
      <c r="BD285" s="183">
        <f t="shared" si="269"/>
        <v>0</v>
      </c>
      <c r="BE285" s="183">
        <f t="shared" si="269"/>
        <v>0</v>
      </c>
      <c r="BF285" s="183">
        <f t="shared" si="269"/>
        <v>0</v>
      </c>
      <c r="BG285" s="183">
        <f t="shared" si="269"/>
        <v>0</v>
      </c>
      <c r="BH285" s="210"/>
    </row>
    <row r="286" spans="1:60">
      <c r="A286" s="1040"/>
      <c r="B286" s="1109" t="s">
        <v>1219</v>
      </c>
      <c r="C286" s="1107" t="s">
        <v>104</v>
      </c>
      <c r="D286" s="641"/>
      <c r="E286" s="304" t="str">
        <f>$S$10</f>
        <v>ventilatoren</v>
      </c>
      <c r="F286" s="180"/>
      <c r="G286" s="180"/>
      <c r="H286" s="201" t="s">
        <v>267</v>
      </c>
      <c r="I286" s="114"/>
      <c r="J286" s="190">
        <f t="shared" si="249"/>
        <v>0</v>
      </c>
      <c r="K286" s="1092"/>
      <c r="L286" s="1092"/>
      <c r="M286" s="190">
        <f t="shared" si="250"/>
        <v>0</v>
      </c>
      <c r="N286" s="119"/>
      <c r="O286" s="183">
        <f t="shared" ref="O286:W286" si="270">IF(OR(O$22=0,$S$78=0),0,$S$174/$S$78*O67)</f>
        <v>0</v>
      </c>
      <c r="P286" s="183">
        <f t="shared" si="270"/>
        <v>0</v>
      </c>
      <c r="Q286" s="183">
        <f t="shared" si="270"/>
        <v>0</v>
      </c>
      <c r="R286" s="183">
        <f t="shared" si="270"/>
        <v>0</v>
      </c>
      <c r="S286" s="183">
        <f t="shared" si="270"/>
        <v>0</v>
      </c>
      <c r="T286" s="183">
        <f t="shared" si="270"/>
        <v>0</v>
      </c>
      <c r="U286" s="183">
        <f t="shared" si="270"/>
        <v>0</v>
      </c>
      <c r="V286" s="183">
        <f t="shared" si="270"/>
        <v>0</v>
      </c>
      <c r="W286" s="183">
        <f t="shared" si="270"/>
        <v>0</v>
      </c>
      <c r="X286" s="108"/>
      <c r="Y286" s="190">
        <f t="shared" si="252"/>
        <v>0</v>
      </c>
      <c r="Z286" s="119"/>
      <c r="AA286" s="183">
        <f t="shared" ref="AA286:AI286" si="271">IF(OR(AA$22=0,$AE$78=0),0,$AE$174/$AE$78*AA67)</f>
        <v>0</v>
      </c>
      <c r="AB286" s="183">
        <f t="shared" si="271"/>
        <v>0</v>
      </c>
      <c r="AC286" s="183">
        <f t="shared" si="271"/>
        <v>0</v>
      </c>
      <c r="AD286" s="183">
        <f t="shared" si="271"/>
        <v>0</v>
      </c>
      <c r="AE286" s="183">
        <f t="shared" si="271"/>
        <v>0</v>
      </c>
      <c r="AF286" s="183">
        <f t="shared" si="271"/>
        <v>0</v>
      </c>
      <c r="AG286" s="183">
        <f t="shared" si="271"/>
        <v>0</v>
      </c>
      <c r="AH286" s="183">
        <f t="shared" si="271"/>
        <v>0</v>
      </c>
      <c r="AI286" s="183">
        <f t="shared" si="271"/>
        <v>0</v>
      </c>
      <c r="AJ286" s="1092"/>
      <c r="AK286" s="190">
        <f t="shared" si="254"/>
        <v>0</v>
      </c>
      <c r="AL286" s="1092"/>
      <c r="AM286" s="183">
        <f t="shared" ref="AM286:AU286" si="272">IF(OR(AM$22=0,$AQ$78=0),0,$AQ$174/$AQ$78*AM67)</f>
        <v>0</v>
      </c>
      <c r="AN286" s="183">
        <f t="shared" si="272"/>
        <v>0</v>
      </c>
      <c r="AO286" s="183">
        <f t="shared" si="272"/>
        <v>0</v>
      </c>
      <c r="AP286" s="183">
        <f t="shared" si="272"/>
        <v>0</v>
      </c>
      <c r="AQ286" s="183">
        <f t="shared" si="272"/>
        <v>0</v>
      </c>
      <c r="AR286" s="183">
        <f t="shared" si="272"/>
        <v>0</v>
      </c>
      <c r="AS286" s="183">
        <f t="shared" si="272"/>
        <v>0</v>
      </c>
      <c r="AT286" s="183">
        <f t="shared" si="272"/>
        <v>0</v>
      </c>
      <c r="AU286" s="183">
        <f t="shared" si="272"/>
        <v>0</v>
      </c>
      <c r="AV286" s="1092"/>
      <c r="AW286" s="190">
        <f t="shared" si="256"/>
        <v>0</v>
      </c>
      <c r="AX286" s="1092"/>
      <c r="AY286" s="183">
        <f t="shared" ref="AY286:BG286" si="273">IF(OR(AY$22=0,$BC$78=0),0,$BC$174/$BC$78*AY67)</f>
        <v>0</v>
      </c>
      <c r="AZ286" s="183">
        <f t="shared" si="273"/>
        <v>0</v>
      </c>
      <c r="BA286" s="183">
        <f t="shared" si="273"/>
        <v>0</v>
      </c>
      <c r="BB286" s="183">
        <f t="shared" si="273"/>
        <v>0</v>
      </c>
      <c r="BC286" s="183">
        <f t="shared" si="273"/>
        <v>0</v>
      </c>
      <c r="BD286" s="183">
        <f t="shared" si="273"/>
        <v>0</v>
      </c>
      <c r="BE286" s="183">
        <f t="shared" si="273"/>
        <v>0</v>
      </c>
      <c r="BF286" s="183">
        <f t="shared" si="273"/>
        <v>0</v>
      </c>
      <c r="BG286" s="183">
        <f t="shared" si="273"/>
        <v>0</v>
      </c>
      <c r="BH286" s="210"/>
    </row>
    <row r="287" spans="1:60">
      <c r="A287" s="1040"/>
      <c r="B287" s="1109" t="s">
        <v>1219</v>
      </c>
      <c r="C287" s="1107" t="s">
        <v>104</v>
      </c>
      <c r="D287" s="641"/>
      <c r="E287" s="304" t="str">
        <f>$T$10</f>
        <v>kookgas</v>
      </c>
      <c r="F287" s="180"/>
      <c r="G287" s="180"/>
      <c r="H287" s="201" t="s">
        <v>267</v>
      </c>
      <c r="I287" s="114"/>
      <c r="J287" s="190">
        <f t="shared" si="249"/>
        <v>0</v>
      </c>
      <c r="K287" s="1092"/>
      <c r="L287" s="1092"/>
      <c r="M287" s="190">
        <f t="shared" si="250"/>
        <v>0</v>
      </c>
      <c r="N287" s="119"/>
      <c r="O287" s="183">
        <f t="shared" ref="O287:W287" si="274">IF(OR(O$22=0,$T$78=0),0,$T$246/$T$78*O68)</f>
        <v>0</v>
      </c>
      <c r="P287" s="183">
        <f t="shared" si="274"/>
        <v>0</v>
      </c>
      <c r="Q287" s="183">
        <f t="shared" si="274"/>
        <v>0</v>
      </c>
      <c r="R287" s="183">
        <f t="shared" si="274"/>
        <v>0</v>
      </c>
      <c r="S287" s="183">
        <f t="shared" si="274"/>
        <v>0</v>
      </c>
      <c r="T287" s="183">
        <f t="shared" si="274"/>
        <v>0</v>
      </c>
      <c r="U287" s="183">
        <f t="shared" si="274"/>
        <v>0</v>
      </c>
      <c r="V287" s="183">
        <f t="shared" si="274"/>
        <v>0</v>
      </c>
      <c r="W287" s="183">
        <f t="shared" si="274"/>
        <v>0</v>
      </c>
      <c r="X287" s="108"/>
      <c r="Y287" s="190">
        <f t="shared" si="252"/>
        <v>0</v>
      </c>
      <c r="Z287" s="119"/>
      <c r="AA287" s="183">
        <f t="shared" ref="AA287:AI287" si="275">IF(OR(AA$22=0,$AF$78=0),0,$AF$246/$AF$78*AA68)</f>
        <v>0</v>
      </c>
      <c r="AB287" s="183">
        <f t="shared" si="275"/>
        <v>0</v>
      </c>
      <c r="AC287" s="183">
        <f t="shared" si="275"/>
        <v>0</v>
      </c>
      <c r="AD287" s="183">
        <f t="shared" si="275"/>
        <v>0</v>
      </c>
      <c r="AE287" s="183">
        <f t="shared" si="275"/>
        <v>0</v>
      </c>
      <c r="AF287" s="183">
        <f t="shared" si="275"/>
        <v>0</v>
      </c>
      <c r="AG287" s="183">
        <f t="shared" si="275"/>
        <v>0</v>
      </c>
      <c r="AH287" s="183">
        <f t="shared" si="275"/>
        <v>0</v>
      </c>
      <c r="AI287" s="183">
        <f t="shared" si="275"/>
        <v>0</v>
      </c>
      <c r="AJ287" s="1092"/>
      <c r="AK287" s="190">
        <f t="shared" si="254"/>
        <v>0</v>
      </c>
      <c r="AL287" s="1092"/>
      <c r="AM287" s="183">
        <f t="shared" ref="AM287:AU287" si="276">IF(OR(AM$22=0,$AR$78=0),0,$AR$246/$AR$78*AM68)</f>
        <v>0</v>
      </c>
      <c r="AN287" s="183">
        <f t="shared" si="276"/>
        <v>0</v>
      </c>
      <c r="AO287" s="183">
        <f t="shared" si="276"/>
        <v>0</v>
      </c>
      <c r="AP287" s="183">
        <f t="shared" si="276"/>
        <v>0</v>
      </c>
      <c r="AQ287" s="183">
        <f t="shared" si="276"/>
        <v>0</v>
      </c>
      <c r="AR287" s="183">
        <f t="shared" si="276"/>
        <v>0</v>
      </c>
      <c r="AS287" s="183">
        <f t="shared" si="276"/>
        <v>0</v>
      </c>
      <c r="AT287" s="183">
        <f t="shared" si="276"/>
        <v>0</v>
      </c>
      <c r="AU287" s="183">
        <f t="shared" si="276"/>
        <v>0</v>
      </c>
      <c r="AV287" s="1092"/>
      <c r="AW287" s="190">
        <f t="shared" si="256"/>
        <v>0</v>
      </c>
      <c r="AX287" s="1092"/>
      <c r="AY287" s="183">
        <f t="shared" ref="AY287:BG287" si="277">IF(OR(AY$22=0,$BD$78=0),0,$BD$246/$BD$78*AY68)</f>
        <v>0</v>
      </c>
      <c r="AZ287" s="183">
        <f t="shared" si="277"/>
        <v>0</v>
      </c>
      <c r="BA287" s="183">
        <f t="shared" si="277"/>
        <v>0</v>
      </c>
      <c r="BB287" s="183">
        <f t="shared" si="277"/>
        <v>0</v>
      </c>
      <c r="BC287" s="183">
        <f t="shared" si="277"/>
        <v>0</v>
      </c>
      <c r="BD287" s="183">
        <f t="shared" si="277"/>
        <v>0</v>
      </c>
      <c r="BE287" s="183">
        <f t="shared" si="277"/>
        <v>0</v>
      </c>
      <c r="BF287" s="183">
        <f t="shared" si="277"/>
        <v>0</v>
      </c>
      <c r="BG287" s="183">
        <f t="shared" si="277"/>
        <v>0</v>
      </c>
      <c r="BH287" s="210"/>
    </row>
    <row r="288" spans="1:60">
      <c r="A288" s="1040"/>
      <c r="B288" s="1109" t="s">
        <v>1219</v>
      </c>
      <c r="C288" s="1107" t="s">
        <v>104</v>
      </c>
      <c r="D288" s="641"/>
      <c r="E288" s="304" t="str">
        <f>$U$10</f>
        <v>overig elektra</v>
      </c>
      <c r="F288" s="180"/>
      <c r="G288" s="180"/>
      <c r="H288" s="201" t="s">
        <v>267</v>
      </c>
      <c r="I288" s="114"/>
      <c r="J288" s="190">
        <f t="shared" si="249"/>
        <v>0</v>
      </c>
      <c r="K288" s="1092"/>
      <c r="L288" s="1092"/>
      <c r="M288" s="190">
        <f t="shared" si="250"/>
        <v>0</v>
      </c>
      <c r="N288" s="119"/>
      <c r="O288" s="183">
        <f t="shared" ref="O288:W288" si="278">IF(OR(O$22=0,$U$78=0),0,$U$174/$U$78*O69)</f>
        <v>0</v>
      </c>
      <c r="P288" s="183">
        <f t="shared" si="278"/>
        <v>0</v>
      </c>
      <c r="Q288" s="183">
        <f t="shared" si="278"/>
        <v>0</v>
      </c>
      <c r="R288" s="183">
        <f t="shared" si="278"/>
        <v>0</v>
      </c>
      <c r="S288" s="183">
        <f t="shared" si="278"/>
        <v>0</v>
      </c>
      <c r="T288" s="183">
        <f t="shared" si="278"/>
        <v>0</v>
      </c>
      <c r="U288" s="183">
        <f t="shared" si="278"/>
        <v>0</v>
      </c>
      <c r="V288" s="183">
        <f t="shared" si="278"/>
        <v>0</v>
      </c>
      <c r="W288" s="183">
        <f t="shared" si="278"/>
        <v>0</v>
      </c>
      <c r="X288" s="108"/>
      <c r="Y288" s="190">
        <f t="shared" si="252"/>
        <v>0</v>
      </c>
      <c r="Z288" s="119"/>
      <c r="AA288" s="183">
        <f t="shared" ref="AA288:AI288" si="279">IF(OR(AA$22=0,$AG$78=0),0,$AG$174/$AG$78*AA69)</f>
        <v>0</v>
      </c>
      <c r="AB288" s="183">
        <f t="shared" si="279"/>
        <v>0</v>
      </c>
      <c r="AC288" s="183">
        <f t="shared" si="279"/>
        <v>0</v>
      </c>
      <c r="AD288" s="183">
        <f t="shared" si="279"/>
        <v>0</v>
      </c>
      <c r="AE288" s="183">
        <f t="shared" si="279"/>
        <v>0</v>
      </c>
      <c r="AF288" s="183">
        <f t="shared" si="279"/>
        <v>0</v>
      </c>
      <c r="AG288" s="183">
        <f t="shared" si="279"/>
        <v>0</v>
      </c>
      <c r="AH288" s="183">
        <f t="shared" si="279"/>
        <v>0</v>
      </c>
      <c r="AI288" s="183">
        <f t="shared" si="279"/>
        <v>0</v>
      </c>
      <c r="AJ288" s="1092"/>
      <c r="AK288" s="190">
        <f t="shared" si="254"/>
        <v>0</v>
      </c>
      <c r="AL288" s="1092"/>
      <c r="AM288" s="183">
        <f t="shared" ref="AM288:AU288" si="280">IF(OR(AM$22=0,$AS$78=0),0,$AS$174/$AS$78*AM69)</f>
        <v>0</v>
      </c>
      <c r="AN288" s="183">
        <f t="shared" si="280"/>
        <v>0</v>
      </c>
      <c r="AO288" s="183">
        <f t="shared" si="280"/>
        <v>0</v>
      </c>
      <c r="AP288" s="183">
        <f t="shared" si="280"/>
        <v>0</v>
      </c>
      <c r="AQ288" s="183">
        <f t="shared" si="280"/>
        <v>0</v>
      </c>
      <c r="AR288" s="183">
        <f t="shared" si="280"/>
        <v>0</v>
      </c>
      <c r="AS288" s="183">
        <f t="shared" si="280"/>
        <v>0</v>
      </c>
      <c r="AT288" s="183">
        <f t="shared" si="280"/>
        <v>0</v>
      </c>
      <c r="AU288" s="183">
        <f t="shared" si="280"/>
        <v>0</v>
      </c>
      <c r="AV288" s="1092"/>
      <c r="AW288" s="190">
        <f t="shared" si="256"/>
        <v>0</v>
      </c>
      <c r="AX288" s="1092"/>
      <c r="AY288" s="183">
        <f t="shared" ref="AY288:BG288" si="281">IF(OR(AY$22=0,$BE$78=0),0,$BE$174/$BE$78*AY69)</f>
        <v>0</v>
      </c>
      <c r="AZ288" s="183">
        <f t="shared" si="281"/>
        <v>0</v>
      </c>
      <c r="BA288" s="183">
        <f t="shared" si="281"/>
        <v>0</v>
      </c>
      <c r="BB288" s="183">
        <f t="shared" si="281"/>
        <v>0</v>
      </c>
      <c r="BC288" s="183">
        <f t="shared" si="281"/>
        <v>0</v>
      </c>
      <c r="BD288" s="183">
        <f t="shared" si="281"/>
        <v>0</v>
      </c>
      <c r="BE288" s="183">
        <f t="shared" si="281"/>
        <v>0</v>
      </c>
      <c r="BF288" s="183">
        <f t="shared" si="281"/>
        <v>0</v>
      </c>
      <c r="BG288" s="183">
        <f t="shared" si="281"/>
        <v>0</v>
      </c>
      <c r="BH288" s="210"/>
    </row>
    <row r="289" spans="1:60">
      <c r="A289" s="1040"/>
      <c r="B289" s="1109" t="s">
        <v>1219</v>
      </c>
      <c r="C289" s="1107" t="s">
        <v>104</v>
      </c>
      <c r="D289" s="641"/>
      <c r="E289" s="304" t="str">
        <f>$V$10</f>
        <v>mobiliteit</v>
      </c>
      <c r="F289" s="180"/>
      <c r="G289" s="180"/>
      <c r="H289" s="201" t="s">
        <v>267</v>
      </c>
      <c r="I289" s="114"/>
      <c r="J289" s="190">
        <f t="shared" si="249"/>
        <v>0</v>
      </c>
      <c r="K289" s="1092"/>
      <c r="L289" s="1092"/>
      <c r="M289" s="190">
        <f t="shared" si="250"/>
        <v>0</v>
      </c>
      <c r="N289" s="119"/>
      <c r="O289" s="183">
        <f t="shared" ref="O289:W289" si="282">IF(OR($V$169=0,O$29=0),0,$V$174/$V$169*O$71/O$29)</f>
        <v>0</v>
      </c>
      <c r="P289" s="183">
        <f t="shared" si="282"/>
        <v>0</v>
      </c>
      <c r="Q289" s="183">
        <f t="shared" si="282"/>
        <v>0</v>
      </c>
      <c r="R289" s="183">
        <f t="shared" si="282"/>
        <v>0</v>
      </c>
      <c r="S289" s="183">
        <f t="shared" si="282"/>
        <v>0</v>
      </c>
      <c r="T289" s="183">
        <f t="shared" si="282"/>
        <v>0</v>
      </c>
      <c r="U289" s="183">
        <f t="shared" si="282"/>
        <v>0</v>
      </c>
      <c r="V289" s="183">
        <f t="shared" si="282"/>
        <v>0</v>
      </c>
      <c r="W289" s="183">
        <f t="shared" si="282"/>
        <v>0</v>
      </c>
      <c r="X289" s="108"/>
      <c r="Y289" s="190">
        <f t="shared" si="252"/>
        <v>0</v>
      </c>
      <c r="Z289" s="119"/>
      <c r="AA289" s="183">
        <f t="shared" ref="AA289:AI289" si="283">IF(OR($AH$169=0,AA$29=0),0,$AH$174/$AH$169*AA$71/AA$29)</f>
        <v>0</v>
      </c>
      <c r="AB289" s="183">
        <f t="shared" si="283"/>
        <v>0</v>
      </c>
      <c r="AC289" s="183">
        <f t="shared" si="283"/>
        <v>0</v>
      </c>
      <c r="AD289" s="183">
        <f t="shared" si="283"/>
        <v>0</v>
      </c>
      <c r="AE289" s="183">
        <f t="shared" si="283"/>
        <v>0</v>
      </c>
      <c r="AF289" s="183">
        <f t="shared" si="283"/>
        <v>0</v>
      </c>
      <c r="AG289" s="183">
        <f t="shared" si="283"/>
        <v>0</v>
      </c>
      <c r="AH289" s="183">
        <f t="shared" si="283"/>
        <v>0</v>
      </c>
      <c r="AI289" s="183">
        <f t="shared" si="283"/>
        <v>0</v>
      </c>
      <c r="AJ289" s="1092"/>
      <c r="AK289" s="190">
        <f t="shared" si="254"/>
        <v>0</v>
      </c>
      <c r="AL289" s="1092"/>
      <c r="AM289" s="183">
        <f t="shared" ref="AM289:AU289" si="284">IF(OR($AT$169=0,AM$29=0),0,$AT$174/$AT$169*AM$71/AM$29)</f>
        <v>0</v>
      </c>
      <c r="AN289" s="183">
        <f t="shared" si="284"/>
        <v>0</v>
      </c>
      <c r="AO289" s="183">
        <f t="shared" si="284"/>
        <v>0</v>
      </c>
      <c r="AP289" s="183">
        <f t="shared" si="284"/>
        <v>0</v>
      </c>
      <c r="AQ289" s="183">
        <f t="shared" si="284"/>
        <v>0</v>
      </c>
      <c r="AR289" s="183">
        <f t="shared" si="284"/>
        <v>0</v>
      </c>
      <c r="AS289" s="183">
        <f t="shared" si="284"/>
        <v>0</v>
      </c>
      <c r="AT289" s="183">
        <f t="shared" si="284"/>
        <v>0</v>
      </c>
      <c r="AU289" s="183">
        <f t="shared" si="284"/>
        <v>0</v>
      </c>
      <c r="AV289" s="1092"/>
      <c r="AW289" s="190">
        <f t="shared" si="256"/>
        <v>0</v>
      </c>
      <c r="AX289" s="1092"/>
      <c r="AY289" s="183">
        <f>IF(OR($BF$169=0,AY$22=0),0,$BF$174/$BF$169*AY$71/AY$29)</f>
        <v>0</v>
      </c>
      <c r="AZ289" s="183">
        <f t="shared" ref="AZ289:BG289" si="285">IF(OR($BF$169=0,AZ$29=0),0,$BF$174/$BF$169*AZ$71/AZ$29)</f>
        <v>0</v>
      </c>
      <c r="BA289" s="183">
        <f t="shared" si="285"/>
        <v>0</v>
      </c>
      <c r="BB289" s="183">
        <f t="shared" si="285"/>
        <v>0</v>
      </c>
      <c r="BC289" s="183">
        <f t="shared" si="285"/>
        <v>0</v>
      </c>
      <c r="BD289" s="183">
        <f t="shared" si="285"/>
        <v>0</v>
      </c>
      <c r="BE289" s="183">
        <f t="shared" si="285"/>
        <v>0</v>
      </c>
      <c r="BF289" s="183">
        <f t="shared" si="285"/>
        <v>0</v>
      </c>
      <c r="BG289" s="183">
        <f t="shared" si="285"/>
        <v>0</v>
      </c>
      <c r="BH289" s="210"/>
    </row>
    <row r="290" spans="1:60">
      <c r="A290" s="1040"/>
      <c r="B290" s="1109" t="s">
        <v>1219</v>
      </c>
      <c r="C290" s="1107" t="s">
        <v>104</v>
      </c>
      <c r="D290" s="641"/>
      <c r="E290" s="1123" t="s">
        <v>232</v>
      </c>
      <c r="F290" s="180"/>
      <c r="G290" s="180"/>
      <c r="H290" s="201" t="s">
        <v>267</v>
      </c>
      <c r="I290" s="114"/>
      <c r="J290" s="190">
        <f t="shared" si="249"/>
        <v>0</v>
      </c>
      <c r="K290" s="1092"/>
      <c r="L290" s="1092"/>
      <c r="M290" s="190">
        <f>SUM(M282:M289)</f>
        <v>0</v>
      </c>
      <c r="N290" s="119"/>
      <c r="O290" s="183">
        <f t="shared" ref="O290:W290" si="286">SUM(O282:O289)</f>
        <v>0</v>
      </c>
      <c r="P290" s="183">
        <f t="shared" si="286"/>
        <v>0</v>
      </c>
      <c r="Q290" s="183">
        <f t="shared" si="286"/>
        <v>0</v>
      </c>
      <c r="R290" s="183">
        <f t="shared" si="286"/>
        <v>0</v>
      </c>
      <c r="S290" s="183">
        <f t="shared" si="286"/>
        <v>0</v>
      </c>
      <c r="T290" s="183">
        <f>SUM(T282:T289)</f>
        <v>0</v>
      </c>
      <c r="U290" s="183">
        <f t="shared" si="286"/>
        <v>0</v>
      </c>
      <c r="V290" s="183">
        <f t="shared" si="286"/>
        <v>0</v>
      </c>
      <c r="W290" s="183">
        <f t="shared" si="286"/>
        <v>0</v>
      </c>
      <c r="X290" s="108"/>
      <c r="Y290" s="190">
        <f>SUM(Y282:Y289)</f>
        <v>0</v>
      </c>
      <c r="Z290" s="119"/>
      <c r="AA290" s="183">
        <f t="shared" ref="AA290:AI290" si="287">SUM(AA282:AA289)</f>
        <v>0</v>
      </c>
      <c r="AB290" s="183">
        <f t="shared" si="287"/>
        <v>0</v>
      </c>
      <c r="AC290" s="183">
        <f t="shared" si="287"/>
        <v>0</v>
      </c>
      <c r="AD290" s="183">
        <f t="shared" si="287"/>
        <v>0</v>
      </c>
      <c r="AE290" s="183">
        <f t="shared" si="287"/>
        <v>0</v>
      </c>
      <c r="AF290" s="183">
        <f>SUM(AF282:AF289)</f>
        <v>0</v>
      </c>
      <c r="AG290" s="183">
        <f t="shared" si="287"/>
        <v>0</v>
      </c>
      <c r="AH290" s="183">
        <f t="shared" si="287"/>
        <v>0</v>
      </c>
      <c r="AI290" s="183">
        <f t="shared" si="287"/>
        <v>0</v>
      </c>
      <c r="AJ290" s="1092"/>
      <c r="AK290" s="190">
        <f t="shared" ref="AK290:AU290" si="288">SUM(AK282:AK289)</f>
        <v>0</v>
      </c>
      <c r="AL290" s="1092"/>
      <c r="AM290" s="183">
        <f t="shared" si="288"/>
        <v>0</v>
      </c>
      <c r="AN290" s="183">
        <f t="shared" si="288"/>
        <v>0</v>
      </c>
      <c r="AO290" s="183">
        <f t="shared" si="288"/>
        <v>0</v>
      </c>
      <c r="AP290" s="183">
        <f t="shared" si="288"/>
        <v>0</v>
      </c>
      <c r="AQ290" s="183">
        <f t="shared" si="288"/>
        <v>0</v>
      </c>
      <c r="AR290" s="183">
        <f>SUM(AR282:AR289)</f>
        <v>0</v>
      </c>
      <c r="AS290" s="183">
        <f t="shared" si="288"/>
        <v>0</v>
      </c>
      <c r="AT290" s="183">
        <f t="shared" si="288"/>
        <v>0</v>
      </c>
      <c r="AU290" s="183">
        <f t="shared" si="288"/>
        <v>0</v>
      </c>
      <c r="AV290" s="1092"/>
      <c r="AW290" s="190">
        <f>SUM(AW282:AW289)</f>
        <v>0</v>
      </c>
      <c r="AX290" s="1092"/>
      <c r="AY290" s="183">
        <f t="shared" ref="AY290:BG290" si="289">SUM(AY282:AY289)</f>
        <v>0</v>
      </c>
      <c r="AZ290" s="183">
        <f t="shared" si="289"/>
        <v>0</v>
      </c>
      <c r="BA290" s="183">
        <f t="shared" si="289"/>
        <v>0</v>
      </c>
      <c r="BB290" s="183">
        <f t="shared" si="289"/>
        <v>0</v>
      </c>
      <c r="BC290" s="183">
        <f t="shared" si="289"/>
        <v>0</v>
      </c>
      <c r="BD290" s="183">
        <f>SUM(BD282:BD289)</f>
        <v>0</v>
      </c>
      <c r="BE290" s="183">
        <f t="shared" si="289"/>
        <v>0</v>
      </c>
      <c r="BF290" s="183">
        <f t="shared" si="289"/>
        <v>0</v>
      </c>
      <c r="BG290" s="183">
        <f t="shared" si="289"/>
        <v>0</v>
      </c>
      <c r="BH290" s="210"/>
    </row>
    <row r="291" spans="1:60">
      <c r="A291" s="1040"/>
      <c r="B291" s="1109" t="s">
        <v>1219</v>
      </c>
      <c r="C291" s="1106" t="s">
        <v>96</v>
      </c>
      <c r="D291" s="638"/>
      <c r="E291" s="942" t="s">
        <v>1334</v>
      </c>
      <c r="F291" s="942"/>
      <c r="G291" s="942"/>
      <c r="H291" s="942"/>
      <c r="I291" s="129"/>
      <c r="J291" s="943"/>
      <c r="K291" s="126"/>
      <c r="L291" s="126"/>
      <c r="M291" s="944"/>
      <c r="N291" s="195"/>
      <c r="O291" s="258" t="str">
        <f>O$17</f>
        <v/>
      </c>
      <c r="P291" s="258" t="str">
        <f t="shared" ref="P291:W293" si="290">P$17</f>
        <v/>
      </c>
      <c r="Q291" s="258" t="str">
        <f t="shared" si="290"/>
        <v/>
      </c>
      <c r="R291" s="258" t="str">
        <f t="shared" si="290"/>
        <v/>
      </c>
      <c r="S291" s="258" t="str">
        <f t="shared" si="290"/>
        <v/>
      </c>
      <c r="T291" s="258" t="str">
        <f t="shared" si="290"/>
        <v/>
      </c>
      <c r="U291" s="258" t="str">
        <f t="shared" si="290"/>
        <v/>
      </c>
      <c r="V291" s="258" t="str">
        <f t="shared" si="290"/>
        <v/>
      </c>
      <c r="W291" s="258" t="str">
        <f t="shared" si="290"/>
        <v/>
      </c>
      <c r="X291" s="195"/>
      <c r="Y291" s="944"/>
      <c r="Z291" s="195"/>
      <c r="AA291" s="258" t="str">
        <f>AA$17</f>
        <v/>
      </c>
      <c r="AB291" s="258" t="str">
        <f t="shared" ref="AB291:AI293" si="291">AB$17</f>
        <v/>
      </c>
      <c r="AC291" s="258" t="str">
        <f t="shared" si="291"/>
        <v/>
      </c>
      <c r="AD291" s="258" t="str">
        <f t="shared" si="291"/>
        <v/>
      </c>
      <c r="AE291" s="258" t="str">
        <f t="shared" si="291"/>
        <v/>
      </c>
      <c r="AF291" s="258" t="str">
        <f t="shared" si="291"/>
        <v/>
      </c>
      <c r="AG291" s="258" t="str">
        <f t="shared" si="291"/>
        <v/>
      </c>
      <c r="AH291" s="258" t="str">
        <f t="shared" si="291"/>
        <v/>
      </c>
      <c r="AI291" s="258" t="str">
        <f t="shared" si="291"/>
        <v/>
      </c>
      <c r="AJ291" s="195"/>
      <c r="AK291" s="944"/>
      <c r="AL291" s="195"/>
      <c r="AM291" s="258" t="str">
        <f>AM$17</f>
        <v/>
      </c>
      <c r="AN291" s="258" t="str">
        <f t="shared" ref="AN291:AU293" si="292">AN$17</f>
        <v/>
      </c>
      <c r="AO291" s="258" t="str">
        <f t="shared" si="292"/>
        <v/>
      </c>
      <c r="AP291" s="258" t="str">
        <f t="shared" si="292"/>
        <v/>
      </c>
      <c r="AQ291" s="258" t="str">
        <f t="shared" si="292"/>
        <v/>
      </c>
      <c r="AR291" s="258" t="str">
        <f t="shared" si="292"/>
        <v/>
      </c>
      <c r="AS291" s="258" t="str">
        <f t="shared" si="292"/>
        <v/>
      </c>
      <c r="AT291" s="258" t="str">
        <f t="shared" si="292"/>
        <v/>
      </c>
      <c r="AU291" s="258" t="str">
        <f t="shared" si="292"/>
        <v/>
      </c>
      <c r="AV291" s="195"/>
      <c r="AW291" s="944"/>
      <c r="AX291" s="195"/>
      <c r="AY291" s="258" t="str">
        <f>AY$17</f>
        <v/>
      </c>
      <c r="AZ291" s="258" t="str">
        <f t="shared" ref="AZ291:BG293" si="293">AZ$17</f>
        <v/>
      </c>
      <c r="BA291" s="258" t="str">
        <f t="shared" si="293"/>
        <v/>
      </c>
      <c r="BB291" s="258" t="str">
        <f t="shared" si="293"/>
        <v/>
      </c>
      <c r="BC291" s="258" t="str">
        <f t="shared" si="293"/>
        <v/>
      </c>
      <c r="BD291" s="258" t="str">
        <f t="shared" si="293"/>
        <v/>
      </c>
      <c r="BE291" s="258" t="str">
        <f t="shared" si="293"/>
        <v/>
      </c>
      <c r="BF291" s="258" t="str">
        <f t="shared" si="293"/>
        <v/>
      </c>
      <c r="BG291" s="258" t="str">
        <f t="shared" si="293"/>
        <v/>
      </c>
      <c r="BH291" s="36"/>
    </row>
    <row r="292" spans="1:60">
      <c r="A292" s="1040"/>
      <c r="B292" s="1109" t="s">
        <v>1219</v>
      </c>
      <c r="C292" s="1107" t="s">
        <v>104</v>
      </c>
      <c r="D292" s="638"/>
      <c r="E292" s="1123" t="s">
        <v>1335</v>
      </c>
      <c r="F292" s="1123"/>
      <c r="G292" s="180"/>
      <c r="H292" s="201" t="s">
        <v>267</v>
      </c>
      <c r="I292" s="114"/>
      <c r="J292" s="190">
        <f>M292+Y292+AK292+AW292</f>
        <v>0</v>
      </c>
      <c r="K292" s="1092"/>
      <c r="L292" s="1092"/>
      <c r="M292" s="190">
        <f>M$201</f>
        <v>0</v>
      </c>
      <c r="N292" s="119"/>
      <c r="O292" s="183">
        <f>IF(OR(O$22=0,O$29=0,$M$187+$M$186=0),0,$M292*1000/O$31)</f>
        <v>0</v>
      </c>
      <c r="P292" s="183">
        <f t="shared" ref="P292:W292" si="294">IF(OR(P$22=0,P$29=0,$M$187+$M$186=0),0,$M292*1000/P$31)</f>
        <v>0</v>
      </c>
      <c r="Q292" s="183">
        <f t="shared" si="294"/>
        <v>0</v>
      </c>
      <c r="R292" s="183">
        <f t="shared" si="294"/>
        <v>0</v>
      </c>
      <c r="S292" s="183">
        <f t="shared" si="294"/>
        <v>0</v>
      </c>
      <c r="T292" s="183">
        <f t="shared" si="294"/>
        <v>0</v>
      </c>
      <c r="U292" s="183">
        <f t="shared" si="294"/>
        <v>0</v>
      </c>
      <c r="V292" s="183">
        <f t="shared" si="294"/>
        <v>0</v>
      </c>
      <c r="W292" s="183">
        <f t="shared" si="294"/>
        <v>0</v>
      </c>
      <c r="X292" s="108"/>
      <c r="Y292" s="190">
        <f>Y$201</f>
        <v>0</v>
      </c>
      <c r="Z292" s="119"/>
      <c r="AA292" s="183">
        <f>IF(OR(AA$22=0,AA$29=0,$M$187+$M$186=0),0,$Y292*1000/AA$31)</f>
        <v>0</v>
      </c>
      <c r="AB292" s="183">
        <f t="shared" ref="AB292:AI292" si="295">IF(OR(AB$22=0,AB$29=0,$M$187+$M$186=0),0,$Y292*1000/AB$31)</f>
        <v>0</v>
      </c>
      <c r="AC292" s="183">
        <f t="shared" si="295"/>
        <v>0</v>
      </c>
      <c r="AD292" s="183">
        <f t="shared" si="295"/>
        <v>0</v>
      </c>
      <c r="AE292" s="183">
        <f t="shared" si="295"/>
        <v>0</v>
      </c>
      <c r="AF292" s="183">
        <f t="shared" si="295"/>
        <v>0</v>
      </c>
      <c r="AG292" s="183">
        <f t="shared" si="295"/>
        <v>0</v>
      </c>
      <c r="AH292" s="183">
        <f t="shared" si="295"/>
        <v>0</v>
      </c>
      <c r="AI292" s="183">
        <f t="shared" si="295"/>
        <v>0</v>
      </c>
      <c r="AJ292" s="108"/>
      <c r="AK292" s="190">
        <f>AK$201</f>
        <v>0</v>
      </c>
      <c r="AL292" s="119"/>
      <c r="AM292" s="183">
        <f>IF(OR(AM$22=0,AM$29=0,$M$187+$M$186=0),0,$AK292*1000/AM$31)</f>
        <v>0</v>
      </c>
      <c r="AN292" s="183">
        <f t="shared" ref="AN292:AU292" si="296">IF(OR(AN$22=0,AN$29=0,$M$187+$M$186=0),0,$AK292*1000/AN$31)</f>
        <v>0</v>
      </c>
      <c r="AO292" s="183">
        <f t="shared" si="296"/>
        <v>0</v>
      </c>
      <c r="AP292" s="183">
        <f t="shared" si="296"/>
        <v>0</v>
      </c>
      <c r="AQ292" s="183">
        <f t="shared" si="296"/>
        <v>0</v>
      </c>
      <c r="AR292" s="183">
        <f t="shared" si="296"/>
        <v>0</v>
      </c>
      <c r="AS292" s="183">
        <f t="shared" si="296"/>
        <v>0</v>
      </c>
      <c r="AT292" s="183">
        <f t="shared" si="296"/>
        <v>0</v>
      </c>
      <c r="AU292" s="183">
        <f t="shared" si="296"/>
        <v>0</v>
      </c>
      <c r="AV292" s="108"/>
      <c r="AW292" s="190">
        <f>AW$201</f>
        <v>0</v>
      </c>
      <c r="AX292" s="119"/>
      <c r="AY292" s="183">
        <f>IF(OR(AY$22=0,AY$29=0,$M$187+$M$186=0),0,$AW292*1000/AY$31)</f>
        <v>0</v>
      </c>
      <c r="AZ292" s="183">
        <f t="shared" ref="AZ292:BG292" si="297">IF(OR(AZ$22=0,AZ$29=0,$M$187+$M$186=0),0,$AW292*1000/AZ$31)</f>
        <v>0</v>
      </c>
      <c r="BA292" s="183">
        <f t="shared" si="297"/>
        <v>0</v>
      </c>
      <c r="BB292" s="183">
        <f t="shared" si="297"/>
        <v>0</v>
      </c>
      <c r="BC292" s="183">
        <f t="shared" si="297"/>
        <v>0</v>
      </c>
      <c r="BD292" s="183">
        <f t="shared" si="297"/>
        <v>0</v>
      </c>
      <c r="BE292" s="183">
        <f t="shared" si="297"/>
        <v>0</v>
      </c>
      <c r="BF292" s="183">
        <f t="shared" si="297"/>
        <v>0</v>
      </c>
      <c r="BG292" s="183">
        <f t="shared" si="297"/>
        <v>0</v>
      </c>
      <c r="BH292" s="210"/>
    </row>
    <row r="293" spans="1:60">
      <c r="A293" s="1040"/>
      <c r="B293" s="1109" t="s">
        <v>1219</v>
      </c>
      <c r="C293" s="1106" t="s">
        <v>96</v>
      </c>
      <c r="D293" s="638"/>
      <c r="E293" s="942" t="s">
        <v>1319</v>
      </c>
      <c r="F293" s="942"/>
      <c r="G293" s="942"/>
      <c r="H293" s="942"/>
      <c r="I293" s="129"/>
      <c r="J293" s="943"/>
      <c r="K293" s="126"/>
      <c r="L293" s="126"/>
      <c r="M293" s="944"/>
      <c r="N293" s="195"/>
      <c r="O293" s="258" t="str">
        <f>O$17</f>
        <v/>
      </c>
      <c r="P293" s="258" t="str">
        <f t="shared" si="290"/>
        <v/>
      </c>
      <c r="Q293" s="258" t="str">
        <f t="shared" si="290"/>
        <v/>
      </c>
      <c r="R293" s="258" t="str">
        <f t="shared" si="290"/>
        <v/>
      </c>
      <c r="S293" s="258" t="str">
        <f t="shared" si="290"/>
        <v/>
      </c>
      <c r="T293" s="258" t="str">
        <f t="shared" si="290"/>
        <v/>
      </c>
      <c r="U293" s="258" t="str">
        <f t="shared" si="290"/>
        <v/>
      </c>
      <c r="V293" s="258" t="str">
        <f t="shared" si="290"/>
        <v/>
      </c>
      <c r="W293" s="258" t="str">
        <f t="shared" si="290"/>
        <v/>
      </c>
      <c r="X293" s="195"/>
      <c r="Y293" s="944"/>
      <c r="Z293" s="195"/>
      <c r="AA293" s="258" t="str">
        <f>AA$17</f>
        <v/>
      </c>
      <c r="AB293" s="258" t="str">
        <f t="shared" si="291"/>
        <v/>
      </c>
      <c r="AC293" s="258" t="str">
        <f t="shared" si="291"/>
        <v/>
      </c>
      <c r="AD293" s="258" t="str">
        <f t="shared" si="291"/>
        <v/>
      </c>
      <c r="AE293" s="258" t="str">
        <f t="shared" si="291"/>
        <v/>
      </c>
      <c r="AF293" s="258" t="str">
        <f t="shared" si="291"/>
        <v/>
      </c>
      <c r="AG293" s="258" t="str">
        <f t="shared" si="291"/>
        <v/>
      </c>
      <c r="AH293" s="258" t="str">
        <f t="shared" si="291"/>
        <v/>
      </c>
      <c r="AI293" s="258" t="str">
        <f t="shared" si="291"/>
        <v/>
      </c>
      <c r="AJ293" s="195"/>
      <c r="AK293" s="944"/>
      <c r="AL293" s="195"/>
      <c r="AM293" s="258" t="str">
        <f>AM$17</f>
        <v/>
      </c>
      <c r="AN293" s="258" t="str">
        <f t="shared" si="292"/>
        <v/>
      </c>
      <c r="AO293" s="258" t="str">
        <f t="shared" si="292"/>
        <v/>
      </c>
      <c r="AP293" s="258" t="str">
        <f t="shared" si="292"/>
        <v/>
      </c>
      <c r="AQ293" s="258" t="str">
        <f t="shared" si="292"/>
        <v/>
      </c>
      <c r="AR293" s="258" t="str">
        <f t="shared" si="292"/>
        <v/>
      </c>
      <c r="AS293" s="258" t="str">
        <f t="shared" si="292"/>
        <v/>
      </c>
      <c r="AT293" s="258" t="str">
        <f t="shared" si="292"/>
        <v/>
      </c>
      <c r="AU293" s="258" t="str">
        <f t="shared" si="292"/>
        <v/>
      </c>
      <c r="AV293" s="195"/>
      <c r="AW293" s="944"/>
      <c r="AX293" s="195"/>
      <c r="AY293" s="258" t="str">
        <f>AY$17</f>
        <v/>
      </c>
      <c r="AZ293" s="258" t="str">
        <f t="shared" si="293"/>
        <v/>
      </c>
      <c r="BA293" s="258" t="str">
        <f t="shared" si="293"/>
        <v/>
      </c>
      <c r="BB293" s="258" t="str">
        <f t="shared" si="293"/>
        <v/>
      </c>
      <c r="BC293" s="258" t="str">
        <f t="shared" si="293"/>
        <v/>
      </c>
      <c r="BD293" s="258" t="str">
        <f t="shared" si="293"/>
        <v/>
      </c>
      <c r="BE293" s="258" t="str">
        <f t="shared" si="293"/>
        <v/>
      </c>
      <c r="BF293" s="258" t="str">
        <f t="shared" si="293"/>
        <v/>
      </c>
      <c r="BG293" s="258" t="str">
        <f t="shared" si="293"/>
        <v/>
      </c>
      <c r="BH293" s="36"/>
    </row>
    <row r="294" spans="1:60">
      <c r="A294" s="1040"/>
      <c r="B294" s="1109" t="s">
        <v>1219</v>
      </c>
      <c r="C294" s="1107" t="s">
        <v>104</v>
      </c>
      <c r="D294" s="641"/>
      <c r="E294" s="1123" t="s">
        <v>269</v>
      </c>
      <c r="F294" s="1123"/>
      <c r="G294" s="180"/>
      <c r="H294" s="201" t="s">
        <v>267</v>
      </c>
      <c r="I294" s="114"/>
      <c r="J294" s="190">
        <f>M294+Y294+AK294+AW294</f>
        <v>0</v>
      </c>
      <c r="K294" s="1092"/>
      <c r="L294" s="1092"/>
      <c r="M294" s="190">
        <f>SUMPRODUCT(N294:X294,N$22:X$22,N$29:X$29)/1000</f>
        <v>0</v>
      </c>
      <c r="N294" s="119"/>
      <c r="O294" s="183">
        <f t="shared" ref="O294:W294" si="298">IF(OR(O$22=0,O$29=0,$M$187+$M$186=0),0,
-O73*($M$214/($M$187+$M$186))/O29)</f>
        <v>0</v>
      </c>
      <c r="P294" s="183">
        <f t="shared" si="298"/>
        <v>0</v>
      </c>
      <c r="Q294" s="183">
        <f t="shared" si="298"/>
        <v>0</v>
      </c>
      <c r="R294" s="183">
        <f t="shared" si="298"/>
        <v>0</v>
      </c>
      <c r="S294" s="183">
        <f t="shared" si="298"/>
        <v>0</v>
      </c>
      <c r="T294" s="183">
        <f t="shared" si="298"/>
        <v>0</v>
      </c>
      <c r="U294" s="183">
        <f t="shared" si="298"/>
        <v>0</v>
      </c>
      <c r="V294" s="183">
        <f t="shared" si="298"/>
        <v>0</v>
      </c>
      <c r="W294" s="183">
        <f t="shared" si="298"/>
        <v>0</v>
      </c>
      <c r="X294" s="108"/>
      <c r="Y294" s="190">
        <f>SUMPRODUCT(Z294:AJ294,Z$22:AJ$22,Z$29:AJ$29)/1000</f>
        <v>0</v>
      </c>
      <c r="Z294" s="119"/>
      <c r="AA294" s="183">
        <f t="shared" ref="AA294:AI294" si="299">IF(OR(AA$22=0,AA$29=0,$Y$187+$Y$186=0),0,
-AA73*($Y$214/($Y$187+$Y$186))/AA29)</f>
        <v>0</v>
      </c>
      <c r="AB294" s="183">
        <f t="shared" si="299"/>
        <v>0</v>
      </c>
      <c r="AC294" s="183">
        <f t="shared" si="299"/>
        <v>0</v>
      </c>
      <c r="AD294" s="183">
        <f t="shared" si="299"/>
        <v>0</v>
      </c>
      <c r="AE294" s="183">
        <f t="shared" si="299"/>
        <v>0</v>
      </c>
      <c r="AF294" s="183">
        <f t="shared" si="299"/>
        <v>0</v>
      </c>
      <c r="AG294" s="183">
        <f t="shared" si="299"/>
        <v>0</v>
      </c>
      <c r="AH294" s="183">
        <f t="shared" si="299"/>
        <v>0</v>
      </c>
      <c r="AI294" s="183">
        <f t="shared" si="299"/>
        <v>0</v>
      </c>
      <c r="AJ294" s="108"/>
      <c r="AK294" s="190">
        <f>SUMPRODUCT(AL294:AV294,AL$22:AV$22,AL$29:AV$29)/1000</f>
        <v>0</v>
      </c>
      <c r="AL294" s="119"/>
      <c r="AM294" s="183">
        <f t="shared" ref="AM294:AU294" si="300">IF(OR(AM$22=0,AM$29=0,$AK$187+$AK$186=0),0,
-AM73*($AK$214/($AK$187+$AK$186))/AM29)</f>
        <v>0</v>
      </c>
      <c r="AN294" s="183">
        <f t="shared" si="300"/>
        <v>0</v>
      </c>
      <c r="AO294" s="183">
        <f t="shared" si="300"/>
        <v>0</v>
      </c>
      <c r="AP294" s="183">
        <f t="shared" si="300"/>
        <v>0</v>
      </c>
      <c r="AQ294" s="183">
        <f t="shared" si="300"/>
        <v>0</v>
      </c>
      <c r="AR294" s="183">
        <f t="shared" si="300"/>
        <v>0</v>
      </c>
      <c r="AS294" s="183">
        <f t="shared" si="300"/>
        <v>0</v>
      </c>
      <c r="AT294" s="183">
        <f t="shared" si="300"/>
        <v>0</v>
      </c>
      <c r="AU294" s="183">
        <f t="shared" si="300"/>
        <v>0</v>
      </c>
      <c r="AV294" s="108"/>
      <c r="AW294" s="190">
        <f>SUMPRODUCT(AX294:BH294,AX$22:BH$22,AX$29:BH$29)/1000</f>
        <v>0</v>
      </c>
      <c r="AX294" s="119"/>
      <c r="AY294" s="183">
        <f t="shared" ref="AY294:BG294" si="301">IF(OR(AY$22=0,AY$29=0,$AW$187+$AW$186=0),0,
-AY73*($AW$214/($AW$187+$AW$186))/AY29)</f>
        <v>0</v>
      </c>
      <c r="AZ294" s="183">
        <f t="shared" si="301"/>
        <v>0</v>
      </c>
      <c r="BA294" s="183">
        <f t="shared" si="301"/>
        <v>0</v>
      </c>
      <c r="BB294" s="183">
        <f t="shared" si="301"/>
        <v>0</v>
      </c>
      <c r="BC294" s="183">
        <f t="shared" si="301"/>
        <v>0</v>
      </c>
      <c r="BD294" s="183">
        <f t="shared" si="301"/>
        <v>0</v>
      </c>
      <c r="BE294" s="183">
        <f t="shared" si="301"/>
        <v>0</v>
      </c>
      <c r="BF294" s="183">
        <f t="shared" si="301"/>
        <v>0</v>
      </c>
      <c r="BG294" s="183">
        <f t="shared" si="301"/>
        <v>0</v>
      </c>
      <c r="BH294" s="210"/>
    </row>
    <row r="295" spans="1:60">
      <c r="A295" s="1040"/>
      <c r="B295" s="1109" t="s">
        <v>1219</v>
      </c>
      <c r="C295" s="1107" t="s">
        <v>104</v>
      </c>
      <c r="D295" s="641"/>
      <c r="E295" s="1123" t="s">
        <v>268</v>
      </c>
      <c r="F295" s="1123"/>
      <c r="G295" s="180"/>
      <c r="H295" s="201" t="s">
        <v>267</v>
      </c>
      <c r="I295" s="114"/>
      <c r="J295" s="190">
        <f>M295+Y295+AK295+AW295</f>
        <v>0</v>
      </c>
      <c r="K295" s="1092"/>
      <c r="L295" s="1092"/>
      <c r="M295" s="190">
        <f>SUMPRODUCT(N295:X295,N$22:X$22,N$29:X$29)/1000</f>
        <v>0</v>
      </c>
      <c r="N295" s="119"/>
      <c r="O295" s="183">
        <f t="shared" ref="O295:W295" si="302">IF(OR(O$22=0,O$29=0,$M$187+$M$186=0),0,
-(O275*($M$187/($M$187+$M$186))*$M$214*1000)/(O22*O29))</f>
        <v>0</v>
      </c>
      <c r="P295" s="183">
        <f t="shared" si="302"/>
        <v>0</v>
      </c>
      <c r="Q295" s="183">
        <f t="shared" si="302"/>
        <v>0</v>
      </c>
      <c r="R295" s="183">
        <f t="shared" si="302"/>
        <v>0</v>
      </c>
      <c r="S295" s="183">
        <f t="shared" si="302"/>
        <v>0</v>
      </c>
      <c r="T295" s="183">
        <f t="shared" si="302"/>
        <v>0</v>
      </c>
      <c r="U295" s="183">
        <f t="shared" si="302"/>
        <v>0</v>
      </c>
      <c r="V295" s="183">
        <f t="shared" si="302"/>
        <v>0</v>
      </c>
      <c r="W295" s="183">
        <f t="shared" si="302"/>
        <v>0</v>
      </c>
      <c r="X295" s="108"/>
      <c r="Y295" s="190">
        <f>SUMPRODUCT(Z295:AJ295,Z$22:AJ$22,Z$29:AJ$29)/1000</f>
        <v>0</v>
      </c>
      <c r="Z295" s="119"/>
      <c r="AA295" s="183">
        <f t="shared" ref="AA295:AI295" si="303">IF(OR(AA$17="-",AA$22=0,AA$29=0,$Y$187+$Y$186=0),0,
-(AA275*($Y$187/($Y$187+$Y$186))*$Y$214*1000)/(AA22*AA29))</f>
        <v>0</v>
      </c>
      <c r="AB295" s="183">
        <f t="shared" si="303"/>
        <v>0</v>
      </c>
      <c r="AC295" s="183">
        <f t="shared" si="303"/>
        <v>0</v>
      </c>
      <c r="AD295" s="183">
        <f t="shared" si="303"/>
        <v>0</v>
      </c>
      <c r="AE295" s="183">
        <f t="shared" si="303"/>
        <v>0</v>
      </c>
      <c r="AF295" s="183">
        <f t="shared" si="303"/>
        <v>0</v>
      </c>
      <c r="AG295" s="183">
        <f t="shared" si="303"/>
        <v>0</v>
      </c>
      <c r="AH295" s="183">
        <f t="shared" si="303"/>
        <v>0</v>
      </c>
      <c r="AI295" s="183">
        <f t="shared" si="303"/>
        <v>0</v>
      </c>
      <c r="AJ295" s="108"/>
      <c r="AK295" s="190">
        <f>SUMPRODUCT(AL295:AV295,AL$22:AV$22,AL$29:AV$29)/1000</f>
        <v>0</v>
      </c>
      <c r="AL295" s="119"/>
      <c r="AM295" s="183">
        <f t="shared" ref="AM295:AU295" si="304">IF(OR(AM$22=0,AM$29=0,$AK$187+$AK$186=0),0,
-AM275*($AK$187/($AK$187+$AK$186))*$AK$214*1000/(AM22*AM29))</f>
        <v>0</v>
      </c>
      <c r="AN295" s="183">
        <f t="shared" si="304"/>
        <v>0</v>
      </c>
      <c r="AO295" s="183">
        <f t="shared" si="304"/>
        <v>0</v>
      </c>
      <c r="AP295" s="183">
        <f t="shared" si="304"/>
        <v>0</v>
      </c>
      <c r="AQ295" s="183">
        <f t="shared" si="304"/>
        <v>0</v>
      </c>
      <c r="AR295" s="183">
        <f t="shared" si="304"/>
        <v>0</v>
      </c>
      <c r="AS295" s="183">
        <f t="shared" si="304"/>
        <v>0</v>
      </c>
      <c r="AT295" s="183">
        <f t="shared" si="304"/>
        <v>0</v>
      </c>
      <c r="AU295" s="183">
        <f t="shared" si="304"/>
        <v>0</v>
      </c>
      <c r="AV295" s="108"/>
      <c r="AW295" s="190">
        <f>SUMPRODUCT(AX295:BH295,AX$22:BH$22,AX$29:BH$29)/1000</f>
        <v>0</v>
      </c>
      <c r="AX295" s="119"/>
      <c r="AY295" s="183">
        <f t="shared" ref="AY295:BG295" si="305">IF(OR(AY$22=0,AY$29=0,$AW$187+$AW$186=0),0,
-AY275*($AW$187/($AW$187+$AW$186))*$AW$214*1000/(AY22*AY29))</f>
        <v>0</v>
      </c>
      <c r="AZ295" s="183">
        <f t="shared" si="305"/>
        <v>0</v>
      </c>
      <c r="BA295" s="183">
        <f t="shared" si="305"/>
        <v>0</v>
      </c>
      <c r="BB295" s="183">
        <f t="shared" si="305"/>
        <v>0</v>
      </c>
      <c r="BC295" s="183">
        <f t="shared" si="305"/>
        <v>0</v>
      </c>
      <c r="BD295" s="183">
        <f t="shared" si="305"/>
        <v>0</v>
      </c>
      <c r="BE295" s="183">
        <f t="shared" si="305"/>
        <v>0</v>
      </c>
      <c r="BF295" s="183">
        <f t="shared" si="305"/>
        <v>0</v>
      </c>
      <c r="BG295" s="183">
        <f t="shared" si="305"/>
        <v>0</v>
      </c>
      <c r="BH295" s="210"/>
    </row>
    <row r="296" spans="1:60">
      <c r="A296" s="1040"/>
      <c r="B296" s="1109" t="s">
        <v>1219</v>
      </c>
      <c r="C296" s="1107" t="s">
        <v>104</v>
      </c>
      <c r="D296" s="641"/>
      <c r="E296" s="1123" t="s">
        <v>232</v>
      </c>
      <c r="F296" s="1123"/>
      <c r="G296" s="180"/>
      <c r="H296" s="201" t="s">
        <v>267</v>
      </c>
      <c r="I296" s="114"/>
      <c r="J296" s="190">
        <f>M296+Y296+AK296+AW296</f>
        <v>0</v>
      </c>
      <c r="K296" s="1092"/>
      <c r="L296" s="1092"/>
      <c r="M296" s="190">
        <f>M295+M294</f>
        <v>0</v>
      </c>
      <c r="N296" s="119"/>
      <c r="O296" s="183">
        <f t="shared" ref="O296:W296" si="306">O295+O294</f>
        <v>0</v>
      </c>
      <c r="P296" s="183">
        <f t="shared" si="306"/>
        <v>0</v>
      </c>
      <c r="Q296" s="183">
        <f t="shared" si="306"/>
        <v>0</v>
      </c>
      <c r="R296" s="183">
        <f t="shared" si="306"/>
        <v>0</v>
      </c>
      <c r="S296" s="183">
        <f t="shared" si="306"/>
        <v>0</v>
      </c>
      <c r="T296" s="183">
        <f t="shared" si="306"/>
        <v>0</v>
      </c>
      <c r="U296" s="183">
        <f t="shared" si="306"/>
        <v>0</v>
      </c>
      <c r="V296" s="183">
        <f t="shared" si="306"/>
        <v>0</v>
      </c>
      <c r="W296" s="183">
        <f t="shared" si="306"/>
        <v>0</v>
      </c>
      <c r="X296" s="108"/>
      <c r="Y296" s="190">
        <f>Y295+Y294</f>
        <v>0</v>
      </c>
      <c r="Z296" s="119"/>
      <c r="AA296" s="183">
        <f t="shared" ref="AA296:AI296" si="307">AA295+AA294</f>
        <v>0</v>
      </c>
      <c r="AB296" s="183">
        <f t="shared" si="307"/>
        <v>0</v>
      </c>
      <c r="AC296" s="183">
        <f t="shared" si="307"/>
        <v>0</v>
      </c>
      <c r="AD296" s="183">
        <f t="shared" si="307"/>
        <v>0</v>
      </c>
      <c r="AE296" s="183">
        <f t="shared" si="307"/>
        <v>0</v>
      </c>
      <c r="AF296" s="183">
        <f t="shared" si="307"/>
        <v>0</v>
      </c>
      <c r="AG296" s="183">
        <f t="shared" si="307"/>
        <v>0</v>
      </c>
      <c r="AH296" s="183">
        <f t="shared" si="307"/>
        <v>0</v>
      </c>
      <c r="AI296" s="183">
        <f t="shared" si="307"/>
        <v>0</v>
      </c>
      <c r="AJ296" s="108"/>
      <c r="AK296" s="190">
        <f>AK295+AK294</f>
        <v>0</v>
      </c>
      <c r="AL296" s="119"/>
      <c r="AM296" s="183">
        <f t="shared" ref="AM296:AU296" si="308">AM295+AM294</f>
        <v>0</v>
      </c>
      <c r="AN296" s="183">
        <f t="shared" si="308"/>
        <v>0</v>
      </c>
      <c r="AO296" s="183">
        <f t="shared" si="308"/>
        <v>0</v>
      </c>
      <c r="AP296" s="183">
        <f t="shared" si="308"/>
        <v>0</v>
      </c>
      <c r="AQ296" s="183">
        <f t="shared" si="308"/>
        <v>0</v>
      </c>
      <c r="AR296" s="183">
        <f t="shared" si="308"/>
        <v>0</v>
      </c>
      <c r="AS296" s="183">
        <f t="shared" si="308"/>
        <v>0</v>
      </c>
      <c r="AT296" s="183">
        <f t="shared" si="308"/>
        <v>0</v>
      </c>
      <c r="AU296" s="183">
        <f t="shared" si="308"/>
        <v>0</v>
      </c>
      <c r="AV296" s="108"/>
      <c r="AW296" s="190">
        <f>AW295+AW294</f>
        <v>0</v>
      </c>
      <c r="AX296" s="119"/>
      <c r="AY296" s="183">
        <f t="shared" ref="AY296:BG296" si="309">AY295+AY294</f>
        <v>0</v>
      </c>
      <c r="AZ296" s="183">
        <f t="shared" si="309"/>
        <v>0</v>
      </c>
      <c r="BA296" s="183">
        <f t="shared" si="309"/>
        <v>0</v>
      </c>
      <c r="BB296" s="183">
        <f t="shared" si="309"/>
        <v>0</v>
      </c>
      <c r="BC296" s="183">
        <f t="shared" si="309"/>
        <v>0</v>
      </c>
      <c r="BD296" s="183">
        <f t="shared" si="309"/>
        <v>0</v>
      </c>
      <c r="BE296" s="183">
        <f t="shared" si="309"/>
        <v>0</v>
      </c>
      <c r="BF296" s="183">
        <f t="shared" si="309"/>
        <v>0</v>
      </c>
      <c r="BG296" s="183">
        <f t="shared" si="309"/>
        <v>0</v>
      </c>
      <c r="BH296" s="210"/>
    </row>
    <row r="297" spans="1:60">
      <c r="A297" s="1040"/>
      <c r="B297" s="1109" t="s">
        <v>1219</v>
      </c>
      <c r="C297" s="1106" t="s">
        <v>96</v>
      </c>
      <c r="D297" s="638"/>
      <c r="E297" s="942" t="s">
        <v>1359</v>
      </c>
      <c r="F297" s="942"/>
      <c r="G297" s="942"/>
      <c r="H297" s="942"/>
      <c r="I297" s="129"/>
      <c r="J297" s="943"/>
      <c r="K297" s="126"/>
      <c r="L297" s="126"/>
      <c r="M297" s="944"/>
      <c r="N297" s="195"/>
      <c r="O297" s="258" t="str">
        <f>O$17</f>
        <v/>
      </c>
      <c r="P297" s="258" t="str">
        <f t="shared" ref="P297:W297" si="310">P$17</f>
        <v/>
      </c>
      <c r="Q297" s="258" t="str">
        <f t="shared" si="310"/>
        <v/>
      </c>
      <c r="R297" s="258" t="str">
        <f t="shared" si="310"/>
        <v/>
      </c>
      <c r="S297" s="258" t="str">
        <f t="shared" si="310"/>
        <v/>
      </c>
      <c r="T297" s="258" t="str">
        <f t="shared" si="310"/>
        <v/>
      </c>
      <c r="U297" s="258" t="str">
        <f t="shared" si="310"/>
        <v/>
      </c>
      <c r="V297" s="258" t="str">
        <f t="shared" si="310"/>
        <v/>
      </c>
      <c r="W297" s="258" t="str">
        <f t="shared" si="310"/>
        <v/>
      </c>
      <c r="X297" s="195"/>
      <c r="Y297" s="944"/>
      <c r="Z297" s="195"/>
      <c r="AA297" s="258" t="str">
        <f>AA$17</f>
        <v/>
      </c>
      <c r="AB297" s="258" t="str">
        <f t="shared" ref="AB297:AI297" si="311">AB$17</f>
        <v/>
      </c>
      <c r="AC297" s="258" t="str">
        <f t="shared" si="311"/>
        <v/>
      </c>
      <c r="AD297" s="258" t="str">
        <f t="shared" si="311"/>
        <v/>
      </c>
      <c r="AE297" s="258" t="str">
        <f t="shared" si="311"/>
        <v/>
      </c>
      <c r="AF297" s="258" t="str">
        <f t="shared" si="311"/>
        <v/>
      </c>
      <c r="AG297" s="258" t="str">
        <f t="shared" si="311"/>
        <v/>
      </c>
      <c r="AH297" s="258" t="str">
        <f t="shared" si="311"/>
        <v/>
      </c>
      <c r="AI297" s="258" t="str">
        <f t="shared" si="311"/>
        <v/>
      </c>
      <c r="AJ297" s="195"/>
      <c r="AK297" s="944"/>
      <c r="AL297" s="195"/>
      <c r="AM297" s="258" t="str">
        <f>AM$17</f>
        <v/>
      </c>
      <c r="AN297" s="258" t="str">
        <f t="shared" ref="AN297:AU297" si="312">AN$17</f>
        <v/>
      </c>
      <c r="AO297" s="258" t="str">
        <f t="shared" si="312"/>
        <v/>
      </c>
      <c r="AP297" s="258" t="str">
        <f t="shared" si="312"/>
        <v/>
      </c>
      <c r="AQ297" s="258" t="str">
        <f t="shared" si="312"/>
        <v/>
      </c>
      <c r="AR297" s="258" t="str">
        <f t="shared" si="312"/>
        <v/>
      </c>
      <c r="AS297" s="258" t="str">
        <f t="shared" si="312"/>
        <v/>
      </c>
      <c r="AT297" s="258" t="str">
        <f t="shared" si="312"/>
        <v/>
      </c>
      <c r="AU297" s="258" t="str">
        <f t="shared" si="312"/>
        <v/>
      </c>
      <c r="AV297" s="195"/>
      <c r="AW297" s="944"/>
      <c r="AX297" s="195"/>
      <c r="AY297" s="258" t="str">
        <f>AY$17</f>
        <v/>
      </c>
      <c r="AZ297" s="258" t="str">
        <f t="shared" ref="AZ297:BG297" si="313">AZ$17</f>
        <v/>
      </c>
      <c r="BA297" s="258" t="str">
        <f t="shared" si="313"/>
        <v/>
      </c>
      <c r="BB297" s="258" t="str">
        <f t="shared" si="313"/>
        <v/>
      </c>
      <c r="BC297" s="258" t="str">
        <f t="shared" si="313"/>
        <v/>
      </c>
      <c r="BD297" s="258" t="str">
        <f t="shared" si="313"/>
        <v/>
      </c>
      <c r="BE297" s="258" t="str">
        <f t="shared" si="313"/>
        <v/>
      </c>
      <c r="BF297" s="258" t="str">
        <f t="shared" si="313"/>
        <v/>
      </c>
      <c r="BG297" s="258" t="str">
        <f t="shared" si="313"/>
        <v/>
      </c>
      <c r="BH297" s="36"/>
    </row>
    <row r="298" spans="1:60">
      <c r="A298" s="1040"/>
      <c r="B298" s="1109" t="s">
        <v>1219</v>
      </c>
      <c r="C298" s="1107" t="s">
        <v>104</v>
      </c>
      <c r="D298" s="641"/>
      <c r="E298" s="1123" t="s">
        <v>1340</v>
      </c>
      <c r="F298" s="180"/>
      <c r="G298" s="180"/>
      <c r="H298" s="201" t="s">
        <v>267</v>
      </c>
      <c r="I298" s="114"/>
      <c r="J298" s="190">
        <f>M298+Y298+AK298+AW298</f>
        <v>0</v>
      </c>
      <c r="K298" s="1092"/>
      <c r="L298" s="1092"/>
      <c r="M298" s="190">
        <f>SUMPRODUCT(N298:X298,N$22:X$22,N$29:X$29)/1000</f>
        <v>0</v>
      </c>
      <c r="N298" s="119"/>
      <c r="O298" s="183">
        <f t="shared" ref="O298:W298" si="314">O290+O296</f>
        <v>0</v>
      </c>
      <c r="P298" s="183">
        <f t="shared" si="314"/>
        <v>0</v>
      </c>
      <c r="Q298" s="183">
        <f t="shared" si="314"/>
        <v>0</v>
      </c>
      <c r="R298" s="183">
        <f t="shared" si="314"/>
        <v>0</v>
      </c>
      <c r="S298" s="183">
        <f t="shared" si="314"/>
        <v>0</v>
      </c>
      <c r="T298" s="183">
        <f t="shared" si="314"/>
        <v>0</v>
      </c>
      <c r="U298" s="183">
        <f t="shared" si="314"/>
        <v>0</v>
      </c>
      <c r="V298" s="183">
        <f t="shared" si="314"/>
        <v>0</v>
      </c>
      <c r="W298" s="183">
        <f t="shared" si="314"/>
        <v>0</v>
      </c>
      <c r="X298" s="108"/>
      <c r="Y298" s="190">
        <f>Y290+Y296</f>
        <v>0</v>
      </c>
      <c r="Z298" s="119"/>
      <c r="AA298" s="183">
        <f t="shared" ref="AA298:AI298" si="315">AA290+AA296</f>
        <v>0</v>
      </c>
      <c r="AB298" s="183">
        <f t="shared" si="315"/>
        <v>0</v>
      </c>
      <c r="AC298" s="183">
        <f t="shared" si="315"/>
        <v>0</v>
      </c>
      <c r="AD298" s="183">
        <f t="shared" si="315"/>
        <v>0</v>
      </c>
      <c r="AE298" s="183">
        <f t="shared" si="315"/>
        <v>0</v>
      </c>
      <c r="AF298" s="183">
        <f t="shared" si="315"/>
        <v>0</v>
      </c>
      <c r="AG298" s="183">
        <f t="shared" si="315"/>
        <v>0</v>
      </c>
      <c r="AH298" s="183">
        <f t="shared" si="315"/>
        <v>0</v>
      </c>
      <c r="AI298" s="183">
        <f t="shared" si="315"/>
        <v>0</v>
      </c>
      <c r="AJ298" s="108"/>
      <c r="AK298" s="190">
        <f>AK290+AK296</f>
        <v>0</v>
      </c>
      <c r="AL298" s="119"/>
      <c r="AM298" s="183">
        <f t="shared" ref="AM298:AU298" si="316">AM290+AM296</f>
        <v>0</v>
      </c>
      <c r="AN298" s="183">
        <f t="shared" si="316"/>
        <v>0</v>
      </c>
      <c r="AO298" s="183">
        <f t="shared" si="316"/>
        <v>0</v>
      </c>
      <c r="AP298" s="183">
        <f t="shared" si="316"/>
        <v>0</v>
      </c>
      <c r="AQ298" s="183">
        <f t="shared" si="316"/>
        <v>0</v>
      </c>
      <c r="AR298" s="183">
        <f t="shared" si="316"/>
        <v>0</v>
      </c>
      <c r="AS298" s="183">
        <f t="shared" si="316"/>
        <v>0</v>
      </c>
      <c r="AT298" s="183">
        <f t="shared" si="316"/>
        <v>0</v>
      </c>
      <c r="AU298" s="183">
        <f t="shared" si="316"/>
        <v>0</v>
      </c>
      <c r="AV298" s="108"/>
      <c r="AW298" s="190">
        <f>AW290+AW296</f>
        <v>0</v>
      </c>
      <c r="AX298" s="119"/>
      <c r="AY298" s="183">
        <f t="shared" ref="AY298:BG298" si="317">AY290+AY296</f>
        <v>0</v>
      </c>
      <c r="AZ298" s="183">
        <f t="shared" si="317"/>
        <v>0</v>
      </c>
      <c r="BA298" s="183">
        <f t="shared" si="317"/>
        <v>0</v>
      </c>
      <c r="BB298" s="183">
        <f t="shared" si="317"/>
        <v>0</v>
      </c>
      <c r="BC298" s="183">
        <f t="shared" si="317"/>
        <v>0</v>
      </c>
      <c r="BD298" s="183">
        <f t="shared" si="317"/>
        <v>0</v>
      </c>
      <c r="BE298" s="183">
        <f t="shared" si="317"/>
        <v>0</v>
      </c>
      <c r="BF298" s="183">
        <f t="shared" si="317"/>
        <v>0</v>
      </c>
      <c r="BG298" s="183">
        <f t="shared" si="317"/>
        <v>0</v>
      </c>
      <c r="BH298" s="210"/>
    </row>
    <row r="299" spans="1:60">
      <c r="A299" s="1040"/>
      <c r="B299" s="1109" t="s">
        <v>1219</v>
      </c>
      <c r="C299" s="1107" t="s">
        <v>104</v>
      </c>
      <c r="D299" s="641"/>
      <c r="E299" s="1123" t="s">
        <v>1341</v>
      </c>
      <c r="F299" s="180"/>
      <c r="G299" s="180"/>
      <c r="H299" s="201" t="s">
        <v>267</v>
      </c>
      <c r="I299" s="114"/>
      <c r="J299" s="190">
        <f>M299+Y299+AK299+AW299</f>
        <v>0</v>
      </c>
      <c r="K299" s="1092"/>
      <c r="L299" s="1092"/>
      <c r="M299" s="190">
        <f>SUMPRODUCT(N299:X299,N$22:X$22,N$29:X$29)/1000</f>
        <v>0</v>
      </c>
      <c r="N299" s="119"/>
      <c r="O299" s="183">
        <f t="shared" ref="O299:W299" si="318">O$282+O$283+O$284+IF(OR(O$19=woning,O$19=woongebouw),0,O$285)+O$286-O$292+O$296</f>
        <v>0</v>
      </c>
      <c r="P299" s="183">
        <f t="shared" si="318"/>
        <v>0</v>
      </c>
      <c r="Q299" s="183">
        <f t="shared" si="318"/>
        <v>0</v>
      </c>
      <c r="R299" s="183">
        <f t="shared" si="318"/>
        <v>0</v>
      </c>
      <c r="S299" s="183">
        <f t="shared" si="318"/>
        <v>0</v>
      </c>
      <c r="T299" s="183">
        <f t="shared" si="318"/>
        <v>0</v>
      </c>
      <c r="U299" s="183">
        <f t="shared" si="318"/>
        <v>0</v>
      </c>
      <c r="V299" s="183">
        <f t="shared" si="318"/>
        <v>0</v>
      </c>
      <c r="W299" s="183">
        <f t="shared" si="318"/>
        <v>0</v>
      </c>
      <c r="X299" s="108"/>
      <c r="Y299" s="190">
        <f>SUMPRODUCT(Z299:AJ299,Z$22:AJ$22,Z$29:AJ$29)/1000</f>
        <v>0</v>
      </c>
      <c r="Z299" s="119"/>
      <c r="AA299" s="183">
        <f t="shared" ref="AA299:AI299" si="319">AA$282+AA$283+AA$284+IF(OR(AA$19=woning,AA$19=woongebouw),0,AA$285)+AA$286-AA$292+AA$296</f>
        <v>0</v>
      </c>
      <c r="AB299" s="183">
        <f t="shared" si="319"/>
        <v>0</v>
      </c>
      <c r="AC299" s="183">
        <f t="shared" si="319"/>
        <v>0</v>
      </c>
      <c r="AD299" s="183">
        <f t="shared" si="319"/>
        <v>0</v>
      </c>
      <c r="AE299" s="183">
        <f t="shared" si="319"/>
        <v>0</v>
      </c>
      <c r="AF299" s="183">
        <f t="shared" si="319"/>
        <v>0</v>
      </c>
      <c r="AG299" s="183">
        <f t="shared" si="319"/>
        <v>0</v>
      </c>
      <c r="AH299" s="183">
        <f t="shared" si="319"/>
        <v>0</v>
      </c>
      <c r="AI299" s="183">
        <f t="shared" si="319"/>
        <v>0</v>
      </c>
      <c r="AJ299" s="108"/>
      <c r="AK299" s="190">
        <f>SUMPRODUCT(AL299:AV299,AL$22:AV$22,AL$29:AV$29)/1000</f>
        <v>0</v>
      </c>
      <c r="AL299" s="119"/>
      <c r="AM299" s="183">
        <f t="shared" ref="AM299:AU299" si="320">AM$282+AM$283+AM$284+IF(OR(AM$19=woning,AM$19=woongebouw),0,AM$285)+AM$286-AM$292+AM$296</f>
        <v>0</v>
      </c>
      <c r="AN299" s="183">
        <f t="shared" si="320"/>
        <v>0</v>
      </c>
      <c r="AO299" s="183">
        <f t="shared" si="320"/>
        <v>0</v>
      </c>
      <c r="AP299" s="183">
        <f t="shared" si="320"/>
        <v>0</v>
      </c>
      <c r="AQ299" s="183">
        <f t="shared" si="320"/>
        <v>0</v>
      </c>
      <c r="AR299" s="183">
        <f t="shared" si="320"/>
        <v>0</v>
      </c>
      <c r="AS299" s="183">
        <f t="shared" si="320"/>
        <v>0</v>
      </c>
      <c r="AT299" s="183">
        <f t="shared" si="320"/>
        <v>0</v>
      </c>
      <c r="AU299" s="183">
        <f t="shared" si="320"/>
        <v>0</v>
      </c>
      <c r="AV299" s="108"/>
      <c r="AW299" s="190">
        <f>SUMPRODUCT(AX299:BH299,AX$22:BH$22,AX$29:BH$29)/1000</f>
        <v>0</v>
      </c>
      <c r="AX299" s="119"/>
      <c r="AY299" s="183">
        <f t="shared" ref="AY299:BG299" si="321">AY$282+AY$283+AY$284+IF(OR(AY$19=woning,AY$19=woongebouw),0,AY$285)+AY$286-AY$292+AY$296</f>
        <v>0</v>
      </c>
      <c r="AZ299" s="183">
        <f t="shared" si="321"/>
        <v>0</v>
      </c>
      <c r="BA299" s="183">
        <f t="shared" si="321"/>
        <v>0</v>
      </c>
      <c r="BB299" s="183">
        <f t="shared" si="321"/>
        <v>0</v>
      </c>
      <c r="BC299" s="183">
        <f t="shared" si="321"/>
        <v>0</v>
      </c>
      <c r="BD299" s="183">
        <f t="shared" si="321"/>
        <v>0</v>
      </c>
      <c r="BE299" s="183">
        <f t="shared" si="321"/>
        <v>0</v>
      </c>
      <c r="BF299" s="183">
        <f t="shared" si="321"/>
        <v>0</v>
      </c>
      <c r="BG299" s="183">
        <f t="shared" si="321"/>
        <v>0</v>
      </c>
      <c r="BH299" s="210"/>
    </row>
    <row r="300" spans="1:60">
      <c r="A300" s="1040"/>
      <c r="B300" s="1109" t="s">
        <v>1221</v>
      </c>
      <c r="C300" s="1106" t="s">
        <v>96</v>
      </c>
      <c r="D300" s="638"/>
      <c r="E300" s="79"/>
      <c r="F300" s="79"/>
      <c r="G300" s="79"/>
      <c r="H300" s="85"/>
      <c r="I300" s="79"/>
      <c r="J300" s="113"/>
      <c r="K300" s="79"/>
      <c r="L300" s="79"/>
      <c r="M300" s="113"/>
      <c r="N300" s="79"/>
      <c r="O300" s="81"/>
      <c r="P300" s="356"/>
      <c r="Q300" s="356"/>
      <c r="R300" s="82"/>
      <c r="S300" s="1152"/>
      <c r="T300" s="82"/>
      <c r="U300" s="82"/>
      <c r="V300" s="82"/>
      <c r="W300" s="82"/>
      <c r="X300" s="82"/>
      <c r="Y300" s="82"/>
      <c r="Z300" s="79"/>
      <c r="AA300" s="79"/>
      <c r="AB300" s="79"/>
      <c r="AC300" s="79"/>
      <c r="AD300" s="79"/>
      <c r="AE300" s="79"/>
      <c r="AF300" s="79"/>
      <c r="AG300" s="79"/>
      <c r="AH300" s="79"/>
      <c r="AI300" s="79"/>
      <c r="AJ300" s="79"/>
      <c r="AK300" s="113"/>
      <c r="AL300" s="79"/>
      <c r="AM300" s="82"/>
      <c r="AN300" s="82"/>
      <c r="AO300" s="82"/>
      <c r="AP300" s="82"/>
      <c r="AQ300" s="82"/>
      <c r="AR300" s="82"/>
      <c r="AS300" s="82"/>
      <c r="AT300" s="82"/>
      <c r="AU300" s="82"/>
      <c r="AV300" s="82"/>
      <c r="AW300" s="82"/>
      <c r="AX300" s="79"/>
      <c r="AY300" s="82"/>
      <c r="AZ300" s="82"/>
      <c r="BA300" s="82"/>
      <c r="BB300" s="82"/>
      <c r="BC300" s="82"/>
      <c r="BD300" s="82"/>
      <c r="BE300" s="82"/>
      <c r="BF300" s="82"/>
      <c r="BG300" s="82"/>
      <c r="BH300" s="1"/>
    </row>
    <row r="301" spans="1:60">
      <c r="A301" s="1040"/>
      <c r="B301" s="1109" t="s">
        <v>1222</v>
      </c>
      <c r="C301" s="1107" t="s">
        <v>96</v>
      </c>
      <c r="D301" s="638"/>
      <c r="E301" s="79"/>
      <c r="F301" s="79"/>
      <c r="G301" s="79"/>
      <c r="H301" s="85"/>
      <c r="I301" s="79"/>
      <c r="J301" s="1088"/>
      <c r="K301" s="79"/>
      <c r="L301" s="79"/>
      <c r="M301" s="113"/>
      <c r="N301" s="79"/>
      <c r="O301" s="1087"/>
      <c r="P301" s="356"/>
      <c r="Q301" s="356"/>
      <c r="R301" s="123"/>
      <c r="S301" s="82"/>
      <c r="T301" s="82"/>
      <c r="U301" s="82"/>
      <c r="V301" s="82"/>
      <c r="W301" s="82"/>
      <c r="X301" s="82"/>
      <c r="Y301" s="82"/>
      <c r="Z301" s="79"/>
      <c r="AA301" s="82"/>
      <c r="AB301" s="113"/>
      <c r="AC301" s="82"/>
      <c r="AD301" s="82"/>
      <c r="AE301" s="82"/>
      <c r="AF301" s="82"/>
      <c r="AG301" s="82"/>
      <c r="AH301" s="82"/>
      <c r="AI301" s="82"/>
      <c r="AJ301" s="82"/>
      <c r="AK301" s="82"/>
      <c r="AL301" s="79"/>
      <c r="AM301" s="82"/>
      <c r="AN301" s="82"/>
      <c r="AO301" s="82"/>
      <c r="AP301" s="82"/>
      <c r="AQ301" s="82"/>
      <c r="AR301" s="82"/>
      <c r="AS301" s="82"/>
      <c r="AT301" s="82"/>
      <c r="AU301" s="82"/>
      <c r="AV301" s="82"/>
      <c r="AW301" s="82"/>
      <c r="AX301" s="79"/>
      <c r="AY301" s="82"/>
      <c r="AZ301" s="82"/>
      <c r="BA301" s="82"/>
      <c r="BB301" s="82"/>
      <c r="BC301" s="82"/>
      <c r="BD301" s="82"/>
      <c r="BE301" s="82"/>
      <c r="BF301" s="82"/>
      <c r="BG301" s="82"/>
      <c r="BH301" s="1"/>
    </row>
    <row r="302" spans="1:60" s="2" customFormat="1" ht="21">
      <c r="A302" s="1038"/>
      <c r="B302" s="1109" t="s">
        <v>1222</v>
      </c>
      <c r="C302" s="1106" t="s">
        <v>96</v>
      </c>
      <c r="D302" s="641" t="s">
        <v>45</v>
      </c>
      <c r="E302" s="209" t="s">
        <v>1320</v>
      </c>
      <c r="F302" s="209"/>
      <c r="G302" s="209"/>
      <c r="H302" s="209"/>
      <c r="I302" s="129"/>
      <c r="J302" s="256" t="str">
        <f>"MWh "&amp;J$8</f>
        <v>MWh alle locaties</v>
      </c>
      <c r="K302" s="126"/>
      <c r="L302" s="126"/>
      <c r="M302" s="256" t="str">
        <f>"MWh "&amp;M$8</f>
        <v>MWh locatie 1</v>
      </c>
      <c r="N302" s="182"/>
      <c r="O302" s="955" t="str">
        <f>$E302&amp;" per woning-/gebouwtype"</f>
        <v>hernieuwbaar primair fossiel energiegebruik per woning-/gebouwtype</v>
      </c>
      <c r="P302" s="945"/>
      <c r="Q302" s="945"/>
      <c r="R302" s="945"/>
      <c r="S302" s="945"/>
      <c r="T302" s="945"/>
      <c r="U302" s="945"/>
      <c r="V302" s="945"/>
      <c r="W302" s="257"/>
      <c r="X302" s="174"/>
      <c r="Y302" s="256" t="str">
        <f>"MWh "&amp;Y$8</f>
        <v>MWh locatie 2</v>
      </c>
      <c r="Z302" s="182"/>
      <c r="AA302" s="955" t="str">
        <f>$E302&amp;" per woning-/gebouwtype"</f>
        <v>hernieuwbaar primair fossiel energiegebruik per woning-/gebouwtype</v>
      </c>
      <c r="AB302" s="945"/>
      <c r="AC302" s="945"/>
      <c r="AD302" s="945"/>
      <c r="AE302" s="945"/>
      <c r="AF302" s="945"/>
      <c r="AG302" s="945"/>
      <c r="AH302" s="945"/>
      <c r="AI302" s="257"/>
      <c r="AJ302" s="174"/>
      <c r="AK302" s="256" t="str">
        <f>"MWh "&amp;AK$8</f>
        <v>MWh locatie 3</v>
      </c>
      <c r="AL302" s="182"/>
      <c r="AM302" s="955" t="str">
        <f>$E302&amp;" per woning-/gebouwtype"</f>
        <v>hernieuwbaar primair fossiel energiegebruik per woning-/gebouwtype</v>
      </c>
      <c r="AN302" s="945"/>
      <c r="AO302" s="945"/>
      <c r="AP302" s="945"/>
      <c r="AQ302" s="945"/>
      <c r="AR302" s="945"/>
      <c r="AS302" s="945"/>
      <c r="AT302" s="945"/>
      <c r="AU302" s="257"/>
      <c r="AV302" s="174"/>
      <c r="AW302" s="256" t="str">
        <f>"MWh "&amp;AW$8</f>
        <v>MWh locatie 4</v>
      </c>
      <c r="AX302" s="182"/>
      <c r="AY302" s="955" t="str">
        <f>$E302&amp;" per woning-/gebouwtype"</f>
        <v>hernieuwbaar primair fossiel energiegebruik per woning-/gebouwtype</v>
      </c>
      <c r="AZ302" s="945"/>
      <c r="BA302" s="945"/>
      <c r="BB302" s="945"/>
      <c r="BC302" s="945"/>
      <c r="BD302" s="945"/>
      <c r="BE302" s="945"/>
      <c r="BF302" s="945"/>
      <c r="BG302" s="257"/>
      <c r="BH302" s="1"/>
    </row>
    <row r="303" spans="1:60">
      <c r="A303" s="1040"/>
      <c r="B303" s="1109" t="s">
        <v>1222</v>
      </c>
      <c r="C303" s="1106" t="s">
        <v>96</v>
      </c>
      <c r="D303" s="638"/>
      <c r="E303" s="942" t="s">
        <v>270</v>
      </c>
      <c r="F303" s="942"/>
      <c r="G303" s="942"/>
      <c r="H303" s="942"/>
      <c r="I303" s="129"/>
      <c r="J303" s="943"/>
      <c r="K303" s="126"/>
      <c r="L303" s="126"/>
      <c r="M303" s="944"/>
      <c r="N303" s="195"/>
      <c r="O303" s="258" t="str">
        <f>O$17</f>
        <v/>
      </c>
      <c r="P303" s="258" t="str">
        <f t="shared" ref="P303:W303" si="322">P$17</f>
        <v/>
      </c>
      <c r="Q303" s="258" t="str">
        <f t="shared" si="322"/>
        <v/>
      </c>
      <c r="R303" s="258" t="str">
        <f t="shared" si="322"/>
        <v/>
      </c>
      <c r="S303" s="258" t="str">
        <f t="shared" si="322"/>
        <v/>
      </c>
      <c r="T303" s="258" t="str">
        <f t="shared" si="322"/>
        <v/>
      </c>
      <c r="U303" s="258" t="str">
        <f t="shared" si="322"/>
        <v/>
      </c>
      <c r="V303" s="258" t="str">
        <f t="shared" si="322"/>
        <v/>
      </c>
      <c r="W303" s="258" t="str">
        <f t="shared" si="322"/>
        <v/>
      </c>
      <c r="X303" s="195"/>
      <c r="Y303" s="944"/>
      <c r="Z303" s="195"/>
      <c r="AA303" s="258" t="str">
        <f>AA$17</f>
        <v/>
      </c>
      <c r="AB303" s="258" t="str">
        <f t="shared" ref="AB303:AI303" si="323">AB$17</f>
        <v/>
      </c>
      <c r="AC303" s="258" t="str">
        <f t="shared" si="323"/>
        <v/>
      </c>
      <c r="AD303" s="258" t="str">
        <f t="shared" si="323"/>
        <v/>
      </c>
      <c r="AE303" s="258" t="str">
        <f t="shared" si="323"/>
        <v/>
      </c>
      <c r="AF303" s="258" t="str">
        <f t="shared" si="323"/>
        <v/>
      </c>
      <c r="AG303" s="258" t="str">
        <f t="shared" si="323"/>
        <v/>
      </c>
      <c r="AH303" s="258" t="str">
        <f t="shared" si="323"/>
        <v/>
      </c>
      <c r="AI303" s="258" t="str">
        <f t="shared" si="323"/>
        <v/>
      </c>
      <c r="AJ303" s="195"/>
      <c r="AK303" s="944"/>
      <c r="AL303" s="195"/>
      <c r="AM303" s="258" t="str">
        <f>AM$17</f>
        <v/>
      </c>
      <c r="AN303" s="258" t="str">
        <f t="shared" ref="AN303:AU303" si="324">AN$17</f>
        <v/>
      </c>
      <c r="AO303" s="258" t="str">
        <f t="shared" si="324"/>
        <v/>
      </c>
      <c r="AP303" s="258" t="str">
        <f t="shared" si="324"/>
        <v/>
      </c>
      <c r="AQ303" s="258" t="str">
        <f t="shared" si="324"/>
        <v/>
      </c>
      <c r="AR303" s="258" t="str">
        <f t="shared" si="324"/>
        <v/>
      </c>
      <c r="AS303" s="258" t="str">
        <f t="shared" si="324"/>
        <v/>
      </c>
      <c r="AT303" s="258" t="str">
        <f t="shared" si="324"/>
        <v/>
      </c>
      <c r="AU303" s="258" t="str">
        <f t="shared" si="324"/>
        <v/>
      </c>
      <c r="AV303" s="195"/>
      <c r="AW303" s="944"/>
      <c r="AX303" s="195"/>
      <c r="AY303" s="258" t="str">
        <f>AY$17</f>
        <v/>
      </c>
      <c r="AZ303" s="258" t="str">
        <f t="shared" ref="AZ303:BG303" si="325">AZ$17</f>
        <v/>
      </c>
      <c r="BA303" s="258" t="str">
        <f t="shared" si="325"/>
        <v/>
      </c>
      <c r="BB303" s="258" t="str">
        <f t="shared" si="325"/>
        <v/>
      </c>
      <c r="BC303" s="258" t="str">
        <f t="shared" si="325"/>
        <v/>
      </c>
      <c r="BD303" s="258" t="str">
        <f t="shared" si="325"/>
        <v/>
      </c>
      <c r="BE303" s="258" t="str">
        <f t="shared" si="325"/>
        <v/>
      </c>
      <c r="BF303" s="258" t="str">
        <f t="shared" si="325"/>
        <v/>
      </c>
      <c r="BG303" s="258" t="str">
        <f t="shared" si="325"/>
        <v/>
      </c>
      <c r="BH303" s="36"/>
    </row>
    <row r="304" spans="1:60">
      <c r="A304" s="1040"/>
      <c r="B304" s="1109" t="s">
        <v>1222</v>
      </c>
      <c r="C304" s="1107" t="s">
        <v>104</v>
      </c>
      <c r="D304" s="641" t="s">
        <v>45</v>
      </c>
      <c r="E304" s="180" t="s">
        <v>1329</v>
      </c>
      <c r="F304" s="180"/>
      <c r="G304" s="180"/>
      <c r="H304" s="201" t="s">
        <v>267</v>
      </c>
      <c r="I304" s="114"/>
      <c r="J304" s="190">
        <f>M304+Y304+AK304+AW304</f>
        <v>0</v>
      </c>
      <c r="K304" s="1092"/>
      <c r="L304" s="1092"/>
      <c r="M304" s="190">
        <f>SUMPRODUCT(N304:X304,N$30:X$30)/1000</f>
        <v>0</v>
      </c>
      <c r="N304" s="119"/>
      <c r="O304" s="227" t="str">
        <f t="shared" ref="O304:W304" si="326">IF(OR(O$17="",O$22=0,O$29=0),"",O$282+O$283+O$284+IF(OR(O$19=woning,O$19=woongebouw),0,O$285)+O$286-O$292+O$296)</f>
        <v/>
      </c>
      <c r="P304" s="183" t="str">
        <f t="shared" si="326"/>
        <v/>
      </c>
      <c r="Q304" s="183" t="str">
        <f t="shared" si="326"/>
        <v/>
      </c>
      <c r="R304" s="183" t="str">
        <f t="shared" si="326"/>
        <v/>
      </c>
      <c r="S304" s="183" t="str">
        <f t="shared" si="326"/>
        <v/>
      </c>
      <c r="T304" s="183" t="str">
        <f t="shared" si="326"/>
        <v/>
      </c>
      <c r="U304" s="183" t="str">
        <f t="shared" si="326"/>
        <v/>
      </c>
      <c r="V304" s="183" t="str">
        <f t="shared" si="326"/>
        <v/>
      </c>
      <c r="W304" s="183" t="str">
        <f t="shared" si="326"/>
        <v/>
      </c>
      <c r="X304" s="108"/>
      <c r="Y304" s="190">
        <f>SUMPRODUCT(Z304:AJ304,Z$30:AJ$30)/1000</f>
        <v>0</v>
      </c>
      <c r="Z304" s="119"/>
      <c r="AA304" s="183" t="str">
        <f t="shared" ref="AA304:AI304" si="327">IF(OR(AA$17="",AA$22=0,AA$29=0),"",AA$282+AA$283+AA$284+IF(OR(AA$19=woning,AA$19=woongebouw),0,AA$285)+AA$286-AA$292+AA$296)</f>
        <v/>
      </c>
      <c r="AB304" s="183" t="str">
        <f t="shared" si="327"/>
        <v/>
      </c>
      <c r="AC304" s="183" t="str">
        <f t="shared" si="327"/>
        <v/>
      </c>
      <c r="AD304" s="183" t="str">
        <f t="shared" si="327"/>
        <v/>
      </c>
      <c r="AE304" s="183" t="str">
        <f t="shared" si="327"/>
        <v/>
      </c>
      <c r="AF304" s="183" t="str">
        <f t="shared" si="327"/>
        <v/>
      </c>
      <c r="AG304" s="183" t="str">
        <f t="shared" si="327"/>
        <v/>
      </c>
      <c r="AH304" s="183" t="str">
        <f t="shared" si="327"/>
        <v/>
      </c>
      <c r="AI304" s="183" t="str">
        <f t="shared" si="327"/>
        <v/>
      </c>
      <c r="AJ304" s="108"/>
      <c r="AK304" s="190">
        <f>SUMPRODUCT(AL304:AV304,AL$30:AV$30)/1000</f>
        <v>0</v>
      </c>
      <c r="AL304" s="119"/>
      <c r="AM304" s="183" t="str">
        <f t="shared" ref="AM304:AU304" si="328">IF(OR(AM$17="",AM$22=0,AM$29=0),"",AM$282+AM$283+AM$284+IF(OR(AM$19=woning,AM$19=woongebouw),0,AM$285)+AM$286-AM$292+AM$296)</f>
        <v/>
      </c>
      <c r="AN304" s="183" t="str">
        <f t="shared" si="328"/>
        <v/>
      </c>
      <c r="AO304" s="183" t="str">
        <f t="shared" si="328"/>
        <v/>
      </c>
      <c r="AP304" s="183" t="str">
        <f t="shared" si="328"/>
        <v/>
      </c>
      <c r="AQ304" s="183" t="str">
        <f t="shared" si="328"/>
        <v/>
      </c>
      <c r="AR304" s="183" t="str">
        <f t="shared" si="328"/>
        <v/>
      </c>
      <c r="AS304" s="183" t="str">
        <f t="shared" si="328"/>
        <v/>
      </c>
      <c r="AT304" s="183" t="str">
        <f t="shared" si="328"/>
        <v/>
      </c>
      <c r="AU304" s="183" t="str">
        <f t="shared" si="328"/>
        <v/>
      </c>
      <c r="AV304" s="108"/>
      <c r="AW304" s="190">
        <f>SUMPRODUCT(AX304:BH304,AX$30:BH$30)/1000</f>
        <v>0</v>
      </c>
      <c r="AX304" s="119"/>
      <c r="AY304" s="183" t="str">
        <f t="shared" ref="AY304:BG304" si="329">IF(OR(AY$17="",AY$22=0,AY$29=0),"",AY$282+AY$283+AY$284+IF(OR(AY$19=woning,AY$19=woongebouw),0,AY$285)+AY$286-AY$292+AY$296)</f>
        <v/>
      </c>
      <c r="AZ304" s="183" t="str">
        <f t="shared" si="329"/>
        <v/>
      </c>
      <c r="BA304" s="183" t="str">
        <f t="shared" si="329"/>
        <v/>
      </c>
      <c r="BB304" s="183" t="str">
        <f t="shared" si="329"/>
        <v/>
      </c>
      <c r="BC304" s="183" t="str">
        <f t="shared" si="329"/>
        <v/>
      </c>
      <c r="BD304" s="183" t="str">
        <f t="shared" si="329"/>
        <v/>
      </c>
      <c r="BE304" s="183" t="str">
        <f t="shared" si="329"/>
        <v/>
      </c>
      <c r="BF304" s="183" t="str">
        <f t="shared" si="329"/>
        <v/>
      </c>
      <c r="BG304" s="183" t="str">
        <f t="shared" si="329"/>
        <v/>
      </c>
      <c r="BH304" s="210"/>
    </row>
    <row r="305" spans="1:60">
      <c r="A305" s="1040"/>
      <c r="B305" s="1109" t="s">
        <v>1222</v>
      </c>
      <c r="C305" s="1106" t="s">
        <v>96</v>
      </c>
      <c r="D305" s="638"/>
      <c r="E305" s="942" t="s">
        <v>271</v>
      </c>
      <c r="F305" s="942"/>
      <c r="G305" s="942"/>
      <c r="H305" s="942"/>
      <c r="I305" s="129"/>
      <c r="J305" s="943"/>
      <c r="K305" s="126"/>
      <c r="L305" s="126"/>
      <c r="M305" s="944"/>
      <c r="N305" s="195"/>
      <c r="O305" s="258" t="str">
        <f>O$17</f>
        <v/>
      </c>
      <c r="P305" s="258" t="str">
        <f t="shared" ref="P305:W305" si="330">P$17</f>
        <v/>
      </c>
      <c r="Q305" s="258" t="str">
        <f t="shared" si="330"/>
        <v/>
      </c>
      <c r="R305" s="258" t="str">
        <f t="shared" si="330"/>
        <v/>
      </c>
      <c r="S305" s="258" t="str">
        <f t="shared" si="330"/>
        <v/>
      </c>
      <c r="T305" s="258" t="str">
        <f t="shared" si="330"/>
        <v/>
      </c>
      <c r="U305" s="258" t="str">
        <f t="shared" si="330"/>
        <v/>
      </c>
      <c r="V305" s="258" t="str">
        <f t="shared" si="330"/>
        <v/>
      </c>
      <c r="W305" s="258" t="str">
        <f t="shared" si="330"/>
        <v/>
      </c>
      <c r="X305" s="195"/>
      <c r="Y305" s="944"/>
      <c r="Z305" s="195"/>
      <c r="AA305" s="258" t="str">
        <f>AA$17</f>
        <v/>
      </c>
      <c r="AB305" s="258" t="str">
        <f t="shared" ref="AB305:AI305" si="331">AB$17</f>
        <v/>
      </c>
      <c r="AC305" s="258" t="str">
        <f t="shared" si="331"/>
        <v/>
      </c>
      <c r="AD305" s="258" t="str">
        <f t="shared" si="331"/>
        <v/>
      </c>
      <c r="AE305" s="258" t="str">
        <f t="shared" si="331"/>
        <v/>
      </c>
      <c r="AF305" s="258" t="str">
        <f t="shared" si="331"/>
        <v/>
      </c>
      <c r="AG305" s="258" t="str">
        <f t="shared" si="331"/>
        <v/>
      </c>
      <c r="AH305" s="258" t="str">
        <f t="shared" si="331"/>
        <v/>
      </c>
      <c r="AI305" s="258" t="str">
        <f t="shared" si="331"/>
        <v/>
      </c>
      <c r="AJ305" s="195"/>
      <c r="AK305" s="944"/>
      <c r="AL305" s="195"/>
      <c r="AM305" s="258" t="str">
        <f>AM$17</f>
        <v/>
      </c>
      <c r="AN305" s="258" t="str">
        <f t="shared" ref="AN305:AU305" si="332">AN$17</f>
        <v/>
      </c>
      <c r="AO305" s="258" t="str">
        <f t="shared" si="332"/>
        <v/>
      </c>
      <c r="AP305" s="258" t="str">
        <f t="shared" si="332"/>
        <v/>
      </c>
      <c r="AQ305" s="258" t="str">
        <f t="shared" si="332"/>
        <v/>
      </c>
      <c r="AR305" s="258" t="str">
        <f t="shared" si="332"/>
        <v/>
      </c>
      <c r="AS305" s="258" t="str">
        <f t="shared" si="332"/>
        <v/>
      </c>
      <c r="AT305" s="258" t="str">
        <f t="shared" si="332"/>
        <v/>
      </c>
      <c r="AU305" s="258" t="str">
        <f t="shared" si="332"/>
        <v/>
      </c>
      <c r="AV305" s="195"/>
      <c r="AW305" s="944"/>
      <c r="AX305" s="195"/>
      <c r="AY305" s="258" t="str">
        <f>AY$17</f>
        <v/>
      </c>
      <c r="AZ305" s="258" t="str">
        <f t="shared" ref="AZ305:BG305" si="333">AZ$17</f>
        <v/>
      </c>
      <c r="BA305" s="258" t="str">
        <f t="shared" si="333"/>
        <v/>
      </c>
      <c r="BB305" s="258" t="str">
        <f t="shared" si="333"/>
        <v/>
      </c>
      <c r="BC305" s="258" t="str">
        <f t="shared" si="333"/>
        <v/>
      </c>
      <c r="BD305" s="258" t="str">
        <f t="shared" si="333"/>
        <v/>
      </c>
      <c r="BE305" s="258" t="str">
        <f t="shared" si="333"/>
        <v/>
      </c>
      <c r="BF305" s="258" t="str">
        <f t="shared" si="333"/>
        <v/>
      </c>
      <c r="BG305" s="258" t="str">
        <f t="shared" si="333"/>
        <v/>
      </c>
      <c r="BH305" s="36"/>
    </row>
    <row r="306" spans="1:60">
      <c r="A306" s="1040"/>
      <c r="B306" s="1109" t="s">
        <v>1222</v>
      </c>
      <c r="C306" s="1107" t="s">
        <v>104</v>
      </c>
      <c r="D306" s="641" t="s">
        <v>45</v>
      </c>
      <c r="E306" s="180" t="s">
        <v>1328</v>
      </c>
      <c r="F306" s="180"/>
      <c r="G306" s="180"/>
      <c r="H306" s="201" t="s">
        <v>267</v>
      </c>
      <c r="I306" s="114"/>
      <c r="J306" s="190">
        <f t="shared" ref="J306:J311" si="334">M306+Y306+AK306+AW306</f>
        <v>0</v>
      </c>
      <c r="K306" s="1092"/>
      <c r="L306" s="1092"/>
      <c r="M306" s="190">
        <f t="shared" ref="M306:M311" si="335">SUMPRODUCT(N306:X306,N$30:X$30)/1000</f>
        <v>0</v>
      </c>
      <c r="N306" s="119"/>
      <c r="O306" s="183" t="str">
        <f t="shared" ref="O306:W306" si="336">IF(OR(O$17="",O$22=0,O$29=0),"",
(O$275*$O251+O$276*$P251+O$277*$Q251)*1000/(O$22*O$29))</f>
        <v/>
      </c>
      <c r="P306" s="183" t="str">
        <f t="shared" si="336"/>
        <v/>
      </c>
      <c r="Q306" s="183" t="str">
        <f t="shared" si="336"/>
        <v/>
      </c>
      <c r="R306" s="183" t="str">
        <f t="shared" si="336"/>
        <v/>
      </c>
      <c r="S306" s="183" t="str">
        <f t="shared" si="336"/>
        <v/>
      </c>
      <c r="T306" s="183" t="str">
        <f t="shared" si="336"/>
        <v/>
      </c>
      <c r="U306" s="183" t="str">
        <f t="shared" si="336"/>
        <v/>
      </c>
      <c r="V306" s="183" t="str">
        <f t="shared" si="336"/>
        <v/>
      </c>
      <c r="W306" s="183" t="str">
        <f t="shared" si="336"/>
        <v/>
      </c>
      <c r="X306" s="108"/>
      <c r="Y306" s="190">
        <f t="shared" ref="Y306:Y311" si="337">SUMPRODUCT(Z306:AJ306,Z$30:AJ$30)/1000</f>
        <v>0</v>
      </c>
      <c r="Z306" s="119"/>
      <c r="AA306" s="183" t="str">
        <f t="shared" ref="AA306:AI306" si="338">IF(OR(AA$17="",AA$22=0,AA$29=0),"",
(AA$275*$AA251+AA$276*$AB251+AA$277*$AC251)*1000/(AA$22*AA$29))</f>
        <v/>
      </c>
      <c r="AB306" s="183" t="str">
        <f t="shared" si="338"/>
        <v/>
      </c>
      <c r="AC306" s="183" t="str">
        <f t="shared" si="338"/>
        <v/>
      </c>
      <c r="AD306" s="183" t="str">
        <f t="shared" si="338"/>
        <v/>
      </c>
      <c r="AE306" s="183" t="str">
        <f t="shared" si="338"/>
        <v/>
      </c>
      <c r="AF306" s="183" t="str">
        <f t="shared" si="338"/>
        <v/>
      </c>
      <c r="AG306" s="183" t="str">
        <f t="shared" si="338"/>
        <v/>
      </c>
      <c r="AH306" s="183" t="str">
        <f t="shared" si="338"/>
        <v/>
      </c>
      <c r="AI306" s="183" t="str">
        <f t="shared" si="338"/>
        <v/>
      </c>
      <c r="AJ306" s="108"/>
      <c r="AK306" s="190">
        <f t="shared" ref="AK306:AK311" si="339">SUMPRODUCT(AL306:AV306,AL$30:AV$30)/1000</f>
        <v>0</v>
      </c>
      <c r="AL306" s="119"/>
      <c r="AM306" s="183" t="str">
        <f t="shared" ref="AM306:AU306" si="340">IF(OR(AM$17="",AM$22=0,AM$29=0),"",
(AM$275*$AM251+AM$276*$AN251+AM$277*$AO251)*1000/(AM$22*AM$29))</f>
        <v/>
      </c>
      <c r="AN306" s="183" t="str">
        <f t="shared" si="340"/>
        <v/>
      </c>
      <c r="AO306" s="183" t="str">
        <f t="shared" si="340"/>
        <v/>
      </c>
      <c r="AP306" s="183" t="str">
        <f t="shared" si="340"/>
        <v/>
      </c>
      <c r="AQ306" s="183" t="str">
        <f t="shared" si="340"/>
        <v/>
      </c>
      <c r="AR306" s="183" t="str">
        <f t="shared" si="340"/>
        <v/>
      </c>
      <c r="AS306" s="183" t="str">
        <f t="shared" si="340"/>
        <v/>
      </c>
      <c r="AT306" s="183" t="str">
        <f t="shared" si="340"/>
        <v/>
      </c>
      <c r="AU306" s="183" t="str">
        <f t="shared" si="340"/>
        <v/>
      </c>
      <c r="AV306" s="108"/>
      <c r="AW306" s="190">
        <f t="shared" ref="AW306:AW311" si="341">SUMPRODUCT(AX306:BH306,AX$30:BH$30)/1000</f>
        <v>0</v>
      </c>
      <c r="AX306" s="119"/>
      <c r="AY306" s="183" t="str">
        <f t="shared" ref="AY306:BG306" si="342">IF(OR(AY$17="",AY$22=0,AY$29=0),"",
(AY$275*$AY251+AY$276*$AZ251+AY$277*$BA251)*1000/(AY$22*AY$29))</f>
        <v/>
      </c>
      <c r="AZ306" s="183" t="str">
        <f t="shared" si="342"/>
        <v/>
      </c>
      <c r="BA306" s="183" t="str">
        <f t="shared" si="342"/>
        <v/>
      </c>
      <c r="BB306" s="183" t="str">
        <f t="shared" si="342"/>
        <v/>
      </c>
      <c r="BC306" s="183" t="str">
        <f t="shared" si="342"/>
        <v/>
      </c>
      <c r="BD306" s="183" t="str">
        <f t="shared" si="342"/>
        <v/>
      </c>
      <c r="BE306" s="183" t="str">
        <f t="shared" si="342"/>
        <v/>
      </c>
      <c r="BF306" s="183" t="str">
        <f t="shared" si="342"/>
        <v/>
      </c>
      <c r="BG306" s="183" t="str">
        <f t="shared" si="342"/>
        <v/>
      </c>
      <c r="BH306" s="210"/>
    </row>
    <row r="307" spans="1:60">
      <c r="A307" s="1040"/>
      <c r="B307" s="1109" t="s">
        <v>1222</v>
      </c>
      <c r="C307" s="1107" t="s">
        <v>104</v>
      </c>
      <c r="D307" s="641" t="s">
        <v>45</v>
      </c>
      <c r="E307" s="180" t="s">
        <v>1327</v>
      </c>
      <c r="F307" s="180"/>
      <c r="G307" s="180"/>
      <c r="H307" s="201" t="s">
        <v>267</v>
      </c>
      <c r="I307" s="114"/>
      <c r="J307" s="190">
        <f t="shared" si="334"/>
        <v>0</v>
      </c>
      <c r="K307" s="1092"/>
      <c r="L307" s="1092"/>
      <c r="M307" s="190">
        <f t="shared" si="335"/>
        <v>0</v>
      </c>
      <c r="N307" s="119"/>
      <c r="O307" s="183" t="str">
        <f t="shared" ref="O307:W307" si="343">IF(OR(O$17="",O$22=0,O$29=0),"",
(O$276*$P252)*1000/(O$22*O$29))</f>
        <v/>
      </c>
      <c r="P307" s="183" t="str">
        <f t="shared" si="343"/>
        <v/>
      </c>
      <c r="Q307" s="183" t="str">
        <f t="shared" si="343"/>
        <v/>
      </c>
      <c r="R307" s="183" t="str">
        <f t="shared" si="343"/>
        <v/>
      </c>
      <c r="S307" s="183" t="str">
        <f t="shared" si="343"/>
        <v/>
      </c>
      <c r="T307" s="183" t="str">
        <f t="shared" si="343"/>
        <v/>
      </c>
      <c r="U307" s="183" t="str">
        <f t="shared" si="343"/>
        <v/>
      </c>
      <c r="V307" s="183" t="str">
        <f t="shared" si="343"/>
        <v/>
      </c>
      <c r="W307" s="183" t="str">
        <f t="shared" si="343"/>
        <v/>
      </c>
      <c r="X307" s="108"/>
      <c r="Y307" s="190">
        <f t="shared" si="337"/>
        <v>0</v>
      </c>
      <c r="Z307" s="119"/>
      <c r="AA307" s="183" t="str">
        <f t="shared" ref="AA307:AI307" si="344">IF(OR(AA$17="",AA$22=0,AA$29=0),"",
(AA$276*$AB252)*1000/(AA$22*AA$29))</f>
        <v/>
      </c>
      <c r="AB307" s="183" t="str">
        <f t="shared" si="344"/>
        <v/>
      </c>
      <c r="AC307" s="183" t="str">
        <f t="shared" si="344"/>
        <v/>
      </c>
      <c r="AD307" s="183" t="str">
        <f t="shared" si="344"/>
        <v/>
      </c>
      <c r="AE307" s="183" t="str">
        <f t="shared" si="344"/>
        <v/>
      </c>
      <c r="AF307" s="183" t="str">
        <f t="shared" si="344"/>
        <v/>
      </c>
      <c r="AG307" s="183" t="str">
        <f t="shared" si="344"/>
        <v/>
      </c>
      <c r="AH307" s="183" t="str">
        <f t="shared" si="344"/>
        <v/>
      </c>
      <c r="AI307" s="183" t="str">
        <f t="shared" si="344"/>
        <v/>
      </c>
      <c r="AJ307" s="108"/>
      <c r="AK307" s="190">
        <f t="shared" si="339"/>
        <v>0</v>
      </c>
      <c r="AL307" s="119"/>
      <c r="AM307" s="183" t="str">
        <f t="shared" ref="AM307:AU307" si="345">IF(OR(AM$17="",AM$22=0,AM$29=0),"",
(AM$276*$AN252)*1000/(AM$22*AM$29))</f>
        <v/>
      </c>
      <c r="AN307" s="183" t="str">
        <f t="shared" si="345"/>
        <v/>
      </c>
      <c r="AO307" s="183" t="str">
        <f t="shared" si="345"/>
        <v/>
      </c>
      <c r="AP307" s="183" t="str">
        <f t="shared" si="345"/>
        <v/>
      </c>
      <c r="AQ307" s="183" t="str">
        <f t="shared" si="345"/>
        <v/>
      </c>
      <c r="AR307" s="183" t="str">
        <f t="shared" si="345"/>
        <v/>
      </c>
      <c r="AS307" s="183" t="str">
        <f t="shared" si="345"/>
        <v/>
      </c>
      <c r="AT307" s="183" t="str">
        <f t="shared" si="345"/>
        <v/>
      </c>
      <c r="AU307" s="183" t="str">
        <f t="shared" si="345"/>
        <v/>
      </c>
      <c r="AV307" s="108"/>
      <c r="AW307" s="190">
        <f t="shared" si="341"/>
        <v>0</v>
      </c>
      <c r="AX307" s="119"/>
      <c r="AY307" s="183" t="str">
        <f t="shared" ref="AY307:BG307" si="346">IF(OR(AY$17="",AY$22=0,AY$29=0),"",
(AY$276*$AZ252)*1000/(AY$22*AY$29))</f>
        <v/>
      </c>
      <c r="AZ307" s="183" t="str">
        <f t="shared" si="346"/>
        <v/>
      </c>
      <c r="BA307" s="183" t="str">
        <f t="shared" si="346"/>
        <v/>
      </c>
      <c r="BB307" s="183" t="str">
        <f t="shared" si="346"/>
        <v/>
      </c>
      <c r="BC307" s="183" t="str">
        <f t="shared" si="346"/>
        <v/>
      </c>
      <c r="BD307" s="183" t="str">
        <f t="shared" si="346"/>
        <v/>
      </c>
      <c r="BE307" s="183" t="str">
        <f t="shared" si="346"/>
        <v/>
      </c>
      <c r="BF307" s="183" t="str">
        <f t="shared" si="346"/>
        <v/>
      </c>
      <c r="BG307" s="183" t="str">
        <f t="shared" si="346"/>
        <v/>
      </c>
      <c r="BH307" s="210"/>
    </row>
    <row r="308" spans="1:60">
      <c r="A308" s="1040"/>
      <c r="B308" s="1109" t="s">
        <v>1222</v>
      </c>
      <c r="C308" s="1107" t="s">
        <v>104</v>
      </c>
      <c r="D308" s="641" t="s">
        <v>45</v>
      </c>
      <c r="E308" s="180" t="s">
        <v>1326</v>
      </c>
      <c r="F308" s="180"/>
      <c r="G308" s="180"/>
      <c r="H308" s="201" t="s">
        <v>267</v>
      </c>
      <c r="I308" s="114"/>
      <c r="J308" s="190">
        <f t="shared" si="334"/>
        <v>0</v>
      </c>
      <c r="K308" s="1092"/>
      <c r="L308" s="1092"/>
      <c r="M308" s="190">
        <f t="shared" si="335"/>
        <v>0</v>
      </c>
      <c r="N308" s="119"/>
      <c r="O308" s="183" t="str">
        <f t="shared" ref="O308:W308" si="347">IF(OR(O$17="",O$22=0,O$29=0),"",
(O$275*$O253+O$277*$Q253)*1000/(O$22*O$29))</f>
        <v/>
      </c>
      <c r="P308" s="183" t="str">
        <f t="shared" si="347"/>
        <v/>
      </c>
      <c r="Q308" s="183" t="str">
        <f t="shared" si="347"/>
        <v/>
      </c>
      <c r="R308" s="183" t="str">
        <f t="shared" si="347"/>
        <v/>
      </c>
      <c r="S308" s="183" t="str">
        <f t="shared" si="347"/>
        <v/>
      </c>
      <c r="T308" s="183" t="str">
        <f t="shared" si="347"/>
        <v/>
      </c>
      <c r="U308" s="183" t="str">
        <f t="shared" si="347"/>
        <v/>
      </c>
      <c r="V308" s="183" t="str">
        <f t="shared" si="347"/>
        <v/>
      </c>
      <c r="W308" s="183" t="str">
        <f t="shared" si="347"/>
        <v/>
      </c>
      <c r="X308" s="108"/>
      <c r="Y308" s="190">
        <f t="shared" si="337"/>
        <v>0</v>
      </c>
      <c r="Z308" s="119"/>
      <c r="AA308" s="183" t="str">
        <f t="shared" ref="AA308:AI308" si="348">IF(OR(AA$17="",AA$22=0,AA$29=0),"",
(AA$275*$AA253+AA$277*$AC253)*1000/(AA$22*AA$29))</f>
        <v/>
      </c>
      <c r="AB308" s="183" t="str">
        <f t="shared" si="348"/>
        <v/>
      </c>
      <c r="AC308" s="183" t="str">
        <f t="shared" si="348"/>
        <v/>
      </c>
      <c r="AD308" s="183" t="str">
        <f t="shared" si="348"/>
        <v/>
      </c>
      <c r="AE308" s="183" t="str">
        <f t="shared" si="348"/>
        <v/>
      </c>
      <c r="AF308" s="183" t="str">
        <f t="shared" si="348"/>
        <v/>
      </c>
      <c r="AG308" s="183" t="str">
        <f t="shared" si="348"/>
        <v/>
      </c>
      <c r="AH308" s="183" t="str">
        <f t="shared" si="348"/>
        <v/>
      </c>
      <c r="AI308" s="183" t="str">
        <f t="shared" si="348"/>
        <v/>
      </c>
      <c r="AJ308" s="108"/>
      <c r="AK308" s="190">
        <f t="shared" si="339"/>
        <v>0</v>
      </c>
      <c r="AL308" s="119"/>
      <c r="AM308" s="183" t="str">
        <f t="shared" ref="AM308:AU308" si="349">IF(OR(AM$17="",AM$22=0,AM$29=0),"",
(AM$275*$AM253+AM$277*$AO253)*1000/(AM$22*AM$29))</f>
        <v/>
      </c>
      <c r="AN308" s="183" t="str">
        <f t="shared" si="349"/>
        <v/>
      </c>
      <c r="AO308" s="183" t="str">
        <f t="shared" si="349"/>
        <v/>
      </c>
      <c r="AP308" s="183" t="str">
        <f t="shared" si="349"/>
        <v/>
      </c>
      <c r="AQ308" s="183" t="str">
        <f t="shared" si="349"/>
        <v/>
      </c>
      <c r="AR308" s="183" t="str">
        <f t="shared" si="349"/>
        <v/>
      </c>
      <c r="AS308" s="183" t="str">
        <f t="shared" si="349"/>
        <v/>
      </c>
      <c r="AT308" s="183" t="str">
        <f t="shared" si="349"/>
        <v/>
      </c>
      <c r="AU308" s="183" t="str">
        <f t="shared" si="349"/>
        <v/>
      </c>
      <c r="AV308" s="108"/>
      <c r="AW308" s="190">
        <f t="shared" si="341"/>
        <v>0</v>
      </c>
      <c r="AX308" s="119"/>
      <c r="AY308" s="183" t="str">
        <f t="shared" ref="AY308:BG308" si="350">IF(OR(AY$17="",AY$22=0,AY$29=0),"",
(AY$275*$AY253+AY$277*$BA253)*1000/(AY$22*AY$29))</f>
        <v/>
      </c>
      <c r="AZ308" s="183" t="str">
        <f t="shared" si="350"/>
        <v/>
      </c>
      <c r="BA308" s="183" t="str">
        <f t="shared" si="350"/>
        <v/>
      </c>
      <c r="BB308" s="183" t="str">
        <f t="shared" si="350"/>
        <v/>
      </c>
      <c r="BC308" s="183" t="str">
        <f t="shared" si="350"/>
        <v/>
      </c>
      <c r="BD308" s="183" t="str">
        <f t="shared" si="350"/>
        <v/>
      </c>
      <c r="BE308" s="183" t="str">
        <f t="shared" si="350"/>
        <v/>
      </c>
      <c r="BF308" s="183" t="str">
        <f t="shared" si="350"/>
        <v/>
      </c>
      <c r="BG308" s="183" t="str">
        <f t="shared" si="350"/>
        <v/>
      </c>
      <c r="BH308" s="210"/>
    </row>
    <row r="309" spans="1:60">
      <c r="A309" s="1040"/>
      <c r="B309" s="1109" t="s">
        <v>1222</v>
      </c>
      <c r="C309" s="1107" t="s">
        <v>104</v>
      </c>
      <c r="D309" s="641" t="s">
        <v>45</v>
      </c>
      <c r="E309" s="180" t="s">
        <v>1325</v>
      </c>
      <c r="F309" s="180"/>
      <c r="G309" s="180"/>
      <c r="H309" s="201" t="s">
        <v>267</v>
      </c>
      <c r="I309" s="114"/>
      <c r="J309" s="190">
        <f t="shared" si="334"/>
        <v>0</v>
      </c>
      <c r="K309" s="1092"/>
      <c r="L309" s="1092"/>
      <c r="M309" s="190">
        <f t="shared" si="335"/>
        <v>0</v>
      </c>
      <c r="N309" s="119"/>
      <c r="O309" s="183" t="str">
        <f t="shared" ref="O309:W309" si="351">IF(OR(O$17="",O$22=0,O$29=0),"",
(O$275*$O254+O$276*$P254+O$277*$Q254)*1000/(O$22*O$29))</f>
        <v/>
      </c>
      <c r="P309" s="183" t="str">
        <f t="shared" si="351"/>
        <v/>
      </c>
      <c r="Q309" s="183" t="str">
        <f t="shared" si="351"/>
        <v/>
      </c>
      <c r="R309" s="183" t="str">
        <f t="shared" si="351"/>
        <v/>
      </c>
      <c r="S309" s="183" t="str">
        <f t="shared" si="351"/>
        <v/>
      </c>
      <c r="T309" s="183" t="str">
        <f t="shared" si="351"/>
        <v/>
      </c>
      <c r="U309" s="183" t="str">
        <f t="shared" si="351"/>
        <v/>
      </c>
      <c r="V309" s="183" t="str">
        <f t="shared" si="351"/>
        <v/>
      </c>
      <c r="W309" s="183" t="str">
        <f t="shared" si="351"/>
        <v/>
      </c>
      <c r="X309" s="108"/>
      <c r="Y309" s="190">
        <f t="shared" si="337"/>
        <v>0</v>
      </c>
      <c r="Z309" s="119"/>
      <c r="AA309" s="183" t="str">
        <f t="shared" ref="AA309:AI309" si="352">IF(OR(AA$17="",AA$22=0,AA$29=0),"",
(AA$275*$AA254+AA$276*$AB254+AA$277*$AC254)*1000/(AA$22*AA$29))</f>
        <v/>
      </c>
      <c r="AB309" s="183" t="str">
        <f t="shared" si="352"/>
        <v/>
      </c>
      <c r="AC309" s="183" t="str">
        <f t="shared" si="352"/>
        <v/>
      </c>
      <c r="AD309" s="183" t="str">
        <f t="shared" si="352"/>
        <v/>
      </c>
      <c r="AE309" s="183" t="str">
        <f t="shared" si="352"/>
        <v/>
      </c>
      <c r="AF309" s="183" t="str">
        <f t="shared" si="352"/>
        <v/>
      </c>
      <c r="AG309" s="183" t="str">
        <f t="shared" si="352"/>
        <v/>
      </c>
      <c r="AH309" s="183" t="str">
        <f t="shared" si="352"/>
        <v/>
      </c>
      <c r="AI309" s="183" t="str">
        <f t="shared" si="352"/>
        <v/>
      </c>
      <c r="AJ309" s="108"/>
      <c r="AK309" s="190">
        <f t="shared" si="339"/>
        <v>0</v>
      </c>
      <c r="AL309" s="119"/>
      <c r="AM309" s="183" t="str">
        <f t="shared" ref="AM309:AU309" si="353">IF(OR(AM$17="",AM$22=0,AM$29=0),"",
(AM$275*$AM254+AM$276*$AN254+AM$277*$AO254)*1000/(AM$22*AM$29))</f>
        <v/>
      </c>
      <c r="AN309" s="183" t="str">
        <f t="shared" si="353"/>
        <v/>
      </c>
      <c r="AO309" s="183" t="str">
        <f t="shared" si="353"/>
        <v/>
      </c>
      <c r="AP309" s="183" t="str">
        <f t="shared" si="353"/>
        <v/>
      </c>
      <c r="AQ309" s="183" t="str">
        <f t="shared" si="353"/>
        <v/>
      </c>
      <c r="AR309" s="183" t="str">
        <f t="shared" si="353"/>
        <v/>
      </c>
      <c r="AS309" s="183" t="str">
        <f t="shared" si="353"/>
        <v/>
      </c>
      <c r="AT309" s="183" t="str">
        <f t="shared" si="353"/>
        <v/>
      </c>
      <c r="AU309" s="183" t="str">
        <f t="shared" si="353"/>
        <v/>
      </c>
      <c r="AV309" s="108"/>
      <c r="AW309" s="190">
        <f t="shared" si="341"/>
        <v>0</v>
      </c>
      <c r="AX309" s="119"/>
      <c r="AY309" s="183" t="str">
        <f t="shared" ref="AY309:BG309" si="354">IF(OR(AY$17="",AY$22=0,AY$29=0),"",
(AY$275*$AY254+AY$276*$AZ254+AY$277*$BA254)*1000/(AY$22*AY$29))</f>
        <v/>
      </c>
      <c r="AZ309" s="183" t="str">
        <f t="shared" si="354"/>
        <v/>
      </c>
      <c r="BA309" s="183" t="str">
        <f t="shared" si="354"/>
        <v/>
      </c>
      <c r="BB309" s="183" t="str">
        <f t="shared" si="354"/>
        <v/>
      </c>
      <c r="BC309" s="183" t="str">
        <f t="shared" si="354"/>
        <v/>
      </c>
      <c r="BD309" s="183" t="str">
        <f t="shared" si="354"/>
        <v/>
      </c>
      <c r="BE309" s="183" t="str">
        <f t="shared" si="354"/>
        <v/>
      </c>
      <c r="BF309" s="183" t="str">
        <f t="shared" si="354"/>
        <v/>
      </c>
      <c r="BG309" s="183" t="str">
        <f t="shared" si="354"/>
        <v/>
      </c>
      <c r="BH309" s="210"/>
    </row>
    <row r="310" spans="1:60">
      <c r="A310" s="1040"/>
      <c r="B310" s="1109" t="s">
        <v>1222</v>
      </c>
      <c r="C310" s="1107" t="s">
        <v>104</v>
      </c>
      <c r="D310" s="641" t="s">
        <v>45</v>
      </c>
      <c r="E310" s="180" t="s">
        <v>1324</v>
      </c>
      <c r="F310" s="180"/>
      <c r="G310" s="180"/>
      <c r="H310" s="201" t="s">
        <v>267</v>
      </c>
      <c r="I310" s="114"/>
      <c r="J310" s="190">
        <f t="shared" si="334"/>
        <v>0</v>
      </c>
      <c r="K310" s="1092"/>
      <c r="L310" s="1092"/>
      <c r="M310" s="190">
        <f t="shared" si="335"/>
        <v>0</v>
      </c>
      <c r="N310" s="119"/>
      <c r="O310" s="183" t="str">
        <f t="shared" ref="O310:W310" si="355">IF(OR(O$17="",O$22=0,O$29=0),"",
(O$276*$P255)*1000/(O$22*O$29))</f>
        <v/>
      </c>
      <c r="P310" s="183" t="str">
        <f t="shared" si="355"/>
        <v/>
      </c>
      <c r="Q310" s="183" t="str">
        <f t="shared" si="355"/>
        <v/>
      </c>
      <c r="R310" s="183" t="str">
        <f t="shared" si="355"/>
        <v/>
      </c>
      <c r="S310" s="183" t="str">
        <f t="shared" si="355"/>
        <v/>
      </c>
      <c r="T310" s="183" t="str">
        <f t="shared" si="355"/>
        <v/>
      </c>
      <c r="U310" s="183" t="str">
        <f t="shared" si="355"/>
        <v/>
      </c>
      <c r="V310" s="183" t="str">
        <f t="shared" si="355"/>
        <v/>
      </c>
      <c r="W310" s="183" t="str">
        <f t="shared" si="355"/>
        <v/>
      </c>
      <c r="X310" s="108"/>
      <c r="Y310" s="190">
        <f t="shared" si="337"/>
        <v>0</v>
      </c>
      <c r="Z310" s="119"/>
      <c r="AA310" s="183" t="str">
        <f t="shared" ref="AA310:AI310" si="356">IF(OR(AA$17="",AA$22=0,AA$29=0),"",
(AA$276*$AB255)*1000/(AA$22*AA$29))</f>
        <v/>
      </c>
      <c r="AB310" s="183" t="str">
        <f t="shared" si="356"/>
        <v/>
      </c>
      <c r="AC310" s="183" t="str">
        <f t="shared" si="356"/>
        <v/>
      </c>
      <c r="AD310" s="183" t="str">
        <f t="shared" si="356"/>
        <v/>
      </c>
      <c r="AE310" s="183" t="str">
        <f t="shared" si="356"/>
        <v/>
      </c>
      <c r="AF310" s="183" t="str">
        <f t="shared" si="356"/>
        <v/>
      </c>
      <c r="AG310" s="183" t="str">
        <f t="shared" si="356"/>
        <v/>
      </c>
      <c r="AH310" s="183" t="str">
        <f t="shared" si="356"/>
        <v/>
      </c>
      <c r="AI310" s="183" t="str">
        <f t="shared" si="356"/>
        <v/>
      </c>
      <c r="AJ310" s="108"/>
      <c r="AK310" s="190">
        <f t="shared" si="339"/>
        <v>0</v>
      </c>
      <c r="AL310" s="119"/>
      <c r="AM310" s="183" t="str">
        <f t="shared" ref="AM310:AU310" si="357">IF(OR(AM$17="",AM$22=0,AM$29=0),"",
(AM$276*$AN255)*1000/(AM$22*AM$29))</f>
        <v/>
      </c>
      <c r="AN310" s="183" t="str">
        <f t="shared" si="357"/>
        <v/>
      </c>
      <c r="AO310" s="183" t="str">
        <f t="shared" si="357"/>
        <v/>
      </c>
      <c r="AP310" s="183" t="str">
        <f t="shared" si="357"/>
        <v/>
      </c>
      <c r="AQ310" s="183" t="str">
        <f t="shared" si="357"/>
        <v/>
      </c>
      <c r="AR310" s="183" t="str">
        <f t="shared" si="357"/>
        <v/>
      </c>
      <c r="AS310" s="183" t="str">
        <f t="shared" si="357"/>
        <v/>
      </c>
      <c r="AT310" s="183" t="str">
        <f t="shared" si="357"/>
        <v/>
      </c>
      <c r="AU310" s="183" t="str">
        <f t="shared" si="357"/>
        <v/>
      </c>
      <c r="AV310" s="108"/>
      <c r="AW310" s="190">
        <f t="shared" si="341"/>
        <v>0</v>
      </c>
      <c r="AX310" s="119"/>
      <c r="AY310" s="183" t="str">
        <f t="shared" ref="AY310:BG310" si="358">IF(OR(AY$17="",AY$22=0,AY$29=0),"",
(AY$276*$AZ255)*1000/(AY$22*AY$29))</f>
        <v/>
      </c>
      <c r="AZ310" s="183" t="str">
        <f t="shared" si="358"/>
        <v/>
      </c>
      <c r="BA310" s="183" t="str">
        <f t="shared" si="358"/>
        <v/>
      </c>
      <c r="BB310" s="183" t="str">
        <f t="shared" si="358"/>
        <v/>
      </c>
      <c r="BC310" s="183" t="str">
        <f t="shared" si="358"/>
        <v/>
      </c>
      <c r="BD310" s="183" t="str">
        <f t="shared" si="358"/>
        <v/>
      </c>
      <c r="BE310" s="183" t="str">
        <f t="shared" si="358"/>
        <v/>
      </c>
      <c r="BF310" s="183" t="str">
        <f t="shared" si="358"/>
        <v/>
      </c>
      <c r="BG310" s="183" t="str">
        <f t="shared" si="358"/>
        <v/>
      </c>
      <c r="BH310" s="210"/>
    </row>
    <row r="311" spans="1:60">
      <c r="A311" s="1040"/>
      <c r="B311" s="1109" t="s">
        <v>1222</v>
      </c>
      <c r="C311" s="1107" t="s">
        <v>104</v>
      </c>
      <c r="D311" s="641" t="s">
        <v>45</v>
      </c>
      <c r="E311" s="180" t="s">
        <v>1323</v>
      </c>
      <c r="F311" s="180"/>
      <c r="G311" s="180"/>
      <c r="H311" s="201" t="s">
        <v>267</v>
      </c>
      <c r="I311" s="114"/>
      <c r="J311" s="190">
        <f t="shared" si="334"/>
        <v>0</v>
      </c>
      <c r="K311" s="1092"/>
      <c r="L311" s="1092"/>
      <c r="M311" s="190">
        <f t="shared" si="335"/>
        <v>0</v>
      </c>
      <c r="N311" s="119"/>
      <c r="O311" s="183" t="str">
        <f t="shared" ref="O311:W311" si="359">IF(OR(O$17="",O$22=0,O$29=0),"",
(O$275*$O256+O$277*$Q256)*1000/(O$22*O$29))</f>
        <v/>
      </c>
      <c r="P311" s="183" t="str">
        <f t="shared" si="359"/>
        <v/>
      </c>
      <c r="Q311" s="183" t="str">
        <f t="shared" si="359"/>
        <v/>
      </c>
      <c r="R311" s="183" t="str">
        <f t="shared" si="359"/>
        <v/>
      </c>
      <c r="S311" s="183" t="str">
        <f t="shared" si="359"/>
        <v/>
      </c>
      <c r="T311" s="183" t="str">
        <f t="shared" si="359"/>
        <v/>
      </c>
      <c r="U311" s="183" t="str">
        <f t="shared" si="359"/>
        <v/>
      </c>
      <c r="V311" s="183" t="str">
        <f t="shared" si="359"/>
        <v/>
      </c>
      <c r="W311" s="183" t="str">
        <f t="shared" si="359"/>
        <v/>
      </c>
      <c r="X311" s="108"/>
      <c r="Y311" s="190">
        <f t="shared" si="337"/>
        <v>0</v>
      </c>
      <c r="Z311" s="119"/>
      <c r="AA311" s="183" t="str">
        <f t="shared" ref="AA311:AI311" si="360">IF(OR(AA$17="",AA$22=0,AA$29=0),"",
(AA$275*$AA256+AA$277*$AC256)*1000/(AA$22*AA$29))</f>
        <v/>
      </c>
      <c r="AB311" s="183" t="str">
        <f t="shared" si="360"/>
        <v/>
      </c>
      <c r="AC311" s="183" t="str">
        <f t="shared" si="360"/>
        <v/>
      </c>
      <c r="AD311" s="183" t="str">
        <f t="shared" si="360"/>
        <v/>
      </c>
      <c r="AE311" s="183" t="str">
        <f t="shared" si="360"/>
        <v/>
      </c>
      <c r="AF311" s="183" t="str">
        <f t="shared" si="360"/>
        <v/>
      </c>
      <c r="AG311" s="183" t="str">
        <f t="shared" si="360"/>
        <v/>
      </c>
      <c r="AH311" s="183" t="str">
        <f t="shared" si="360"/>
        <v/>
      </c>
      <c r="AI311" s="183" t="str">
        <f t="shared" si="360"/>
        <v/>
      </c>
      <c r="AJ311" s="108"/>
      <c r="AK311" s="190">
        <f t="shared" si="339"/>
        <v>0</v>
      </c>
      <c r="AL311" s="119"/>
      <c r="AM311" s="183" t="str">
        <f t="shared" ref="AM311:AU311" si="361">IF(OR(AM$17="",AM$22=0,AM$29=0),"",
(AM$275*$AM256+AM$277*$AO256)*1000/(AM$22*AM$29))</f>
        <v/>
      </c>
      <c r="AN311" s="183" t="str">
        <f t="shared" si="361"/>
        <v/>
      </c>
      <c r="AO311" s="183" t="str">
        <f t="shared" si="361"/>
        <v/>
      </c>
      <c r="AP311" s="183" t="str">
        <f t="shared" si="361"/>
        <v/>
      </c>
      <c r="AQ311" s="183" t="str">
        <f t="shared" si="361"/>
        <v/>
      </c>
      <c r="AR311" s="183" t="str">
        <f t="shared" si="361"/>
        <v/>
      </c>
      <c r="AS311" s="183" t="str">
        <f t="shared" si="361"/>
        <v/>
      </c>
      <c r="AT311" s="183" t="str">
        <f t="shared" si="361"/>
        <v/>
      </c>
      <c r="AU311" s="183" t="str">
        <f t="shared" si="361"/>
        <v/>
      </c>
      <c r="AV311" s="108"/>
      <c r="AW311" s="190">
        <f t="shared" si="341"/>
        <v>0</v>
      </c>
      <c r="AX311" s="119"/>
      <c r="AY311" s="183" t="str">
        <f t="shared" ref="AY311:BG311" si="362">IF(OR(AY$17="",AY$22=0,AY$29=0),"",
(AY$275*$AY256+AY$277*$BA256)*1000/(AY$22*AY$29))</f>
        <v/>
      </c>
      <c r="AZ311" s="183" t="str">
        <f t="shared" si="362"/>
        <v/>
      </c>
      <c r="BA311" s="183" t="str">
        <f t="shared" si="362"/>
        <v/>
      </c>
      <c r="BB311" s="183" t="str">
        <f t="shared" si="362"/>
        <v/>
      </c>
      <c r="BC311" s="183" t="str">
        <f t="shared" si="362"/>
        <v/>
      </c>
      <c r="BD311" s="183" t="str">
        <f t="shared" si="362"/>
        <v/>
      </c>
      <c r="BE311" s="183" t="str">
        <f t="shared" si="362"/>
        <v/>
      </c>
      <c r="BF311" s="183" t="str">
        <f t="shared" si="362"/>
        <v/>
      </c>
      <c r="BG311" s="183" t="str">
        <f t="shared" si="362"/>
        <v/>
      </c>
      <c r="BH311" s="174"/>
    </row>
    <row r="312" spans="1:60">
      <c r="A312" s="1040"/>
      <c r="B312" s="1109" t="s">
        <v>1222</v>
      </c>
      <c r="C312" s="1106" t="s">
        <v>96</v>
      </c>
      <c r="D312" s="638"/>
      <c r="E312" s="942" t="s">
        <v>1321</v>
      </c>
      <c r="F312" s="942"/>
      <c r="G312" s="942"/>
      <c r="H312" s="942"/>
      <c r="I312" s="129"/>
      <c r="J312" s="943"/>
      <c r="K312" s="126"/>
      <c r="L312" s="126"/>
      <c r="M312" s="944"/>
      <c r="N312" s="195"/>
      <c r="O312" s="258" t="str">
        <f>O$17</f>
        <v/>
      </c>
      <c r="P312" s="258" t="str">
        <f t="shared" ref="P312:W312" si="363">P$17</f>
        <v/>
      </c>
      <c r="Q312" s="258" t="str">
        <f t="shared" si="363"/>
        <v/>
      </c>
      <c r="R312" s="258" t="str">
        <f t="shared" si="363"/>
        <v/>
      </c>
      <c r="S312" s="258" t="str">
        <f t="shared" si="363"/>
        <v/>
      </c>
      <c r="T312" s="258" t="str">
        <f t="shared" si="363"/>
        <v/>
      </c>
      <c r="U312" s="258" t="str">
        <f t="shared" si="363"/>
        <v/>
      </c>
      <c r="V312" s="258" t="str">
        <f t="shared" si="363"/>
        <v/>
      </c>
      <c r="W312" s="258" t="str">
        <f t="shared" si="363"/>
        <v/>
      </c>
      <c r="X312" s="195"/>
      <c r="Y312" s="944"/>
      <c r="Z312" s="195"/>
      <c r="AA312" s="258" t="str">
        <f>AA$17</f>
        <v/>
      </c>
      <c r="AB312" s="258" t="str">
        <f t="shared" ref="AB312:AI312" si="364">AB$17</f>
        <v/>
      </c>
      <c r="AC312" s="258" t="str">
        <f t="shared" si="364"/>
        <v/>
      </c>
      <c r="AD312" s="258" t="str">
        <f t="shared" si="364"/>
        <v/>
      </c>
      <c r="AE312" s="258" t="str">
        <f t="shared" si="364"/>
        <v/>
      </c>
      <c r="AF312" s="258" t="str">
        <f t="shared" si="364"/>
        <v/>
      </c>
      <c r="AG312" s="258" t="str">
        <f t="shared" si="364"/>
        <v/>
      </c>
      <c r="AH312" s="258" t="str">
        <f t="shared" si="364"/>
        <v/>
      </c>
      <c r="AI312" s="258" t="str">
        <f t="shared" si="364"/>
        <v/>
      </c>
      <c r="AJ312" s="195"/>
      <c r="AK312" s="944"/>
      <c r="AL312" s="195"/>
      <c r="AM312" s="258" t="str">
        <f>AM$17</f>
        <v/>
      </c>
      <c r="AN312" s="258" t="str">
        <f t="shared" ref="AN312:AU312" si="365">AN$17</f>
        <v/>
      </c>
      <c r="AO312" s="258" t="str">
        <f t="shared" si="365"/>
        <v/>
      </c>
      <c r="AP312" s="258" t="str">
        <f t="shared" si="365"/>
        <v/>
      </c>
      <c r="AQ312" s="258" t="str">
        <f t="shared" si="365"/>
        <v/>
      </c>
      <c r="AR312" s="258" t="str">
        <f t="shared" si="365"/>
        <v/>
      </c>
      <c r="AS312" s="258" t="str">
        <f t="shared" si="365"/>
        <v/>
      </c>
      <c r="AT312" s="258" t="str">
        <f t="shared" si="365"/>
        <v/>
      </c>
      <c r="AU312" s="258" t="str">
        <f t="shared" si="365"/>
        <v/>
      </c>
      <c r="AV312" s="195"/>
      <c r="AW312" s="944"/>
      <c r="AX312" s="195"/>
      <c r="AY312" s="258" t="str">
        <f>AY$17</f>
        <v/>
      </c>
      <c r="AZ312" s="258" t="str">
        <f t="shared" ref="AZ312:BG312" si="366">AZ$17</f>
        <v/>
      </c>
      <c r="BA312" s="258" t="str">
        <f t="shared" si="366"/>
        <v/>
      </c>
      <c r="BB312" s="258" t="str">
        <f t="shared" si="366"/>
        <v/>
      </c>
      <c r="BC312" s="258" t="str">
        <f t="shared" si="366"/>
        <v/>
      </c>
      <c r="BD312" s="258" t="str">
        <f t="shared" si="366"/>
        <v/>
      </c>
      <c r="BE312" s="258" t="str">
        <f t="shared" si="366"/>
        <v/>
      </c>
      <c r="BF312" s="258" t="str">
        <f t="shared" si="366"/>
        <v/>
      </c>
      <c r="BG312" s="258" t="str">
        <f t="shared" si="366"/>
        <v/>
      </c>
      <c r="BH312" s="36"/>
    </row>
    <row r="313" spans="1:60">
      <c r="A313" s="1040"/>
      <c r="B313" s="1109" t="s">
        <v>1222</v>
      </c>
      <c r="C313" s="1107" t="s">
        <v>104</v>
      </c>
      <c r="D313" s="641" t="s">
        <v>45</v>
      </c>
      <c r="E313" s="180" t="s">
        <v>1322</v>
      </c>
      <c r="F313" s="180"/>
      <c r="G313" s="180"/>
      <c r="H313" s="201" t="s">
        <v>267</v>
      </c>
      <c r="I313" s="114"/>
      <c r="J313" s="190">
        <f>M313+Y313+AK313+AW313</f>
        <v>0</v>
      </c>
      <c r="K313" s="1092"/>
      <c r="L313" s="1092"/>
      <c r="M313" s="190">
        <f>SUMPRODUCT(N313:X313,N$30:X$30)/1000</f>
        <v>0</v>
      </c>
      <c r="N313" s="119"/>
      <c r="O313" s="183" t="str">
        <f t="shared" ref="O313:W313" si="367">IF(OR(O$17="",O$22=0,O$29=0),"",
O$73/O$29*f_P_renelect)</f>
        <v/>
      </c>
      <c r="P313" s="183" t="str">
        <f t="shared" si="367"/>
        <v/>
      </c>
      <c r="Q313" s="183" t="str">
        <f t="shared" si="367"/>
        <v/>
      </c>
      <c r="R313" s="183" t="str">
        <f t="shared" si="367"/>
        <v/>
      </c>
      <c r="S313" s="183" t="str">
        <f t="shared" si="367"/>
        <v/>
      </c>
      <c r="T313" s="183" t="str">
        <f t="shared" si="367"/>
        <v/>
      </c>
      <c r="U313" s="183" t="str">
        <f t="shared" si="367"/>
        <v/>
      </c>
      <c r="V313" s="183" t="str">
        <f t="shared" si="367"/>
        <v/>
      </c>
      <c r="W313" s="183" t="str">
        <f t="shared" si="367"/>
        <v/>
      </c>
      <c r="X313" s="108"/>
      <c r="Y313" s="190">
        <f>SUMPRODUCT(Z313:AJ313,Z$30:AJ$30)/1000</f>
        <v>0</v>
      </c>
      <c r="Z313" s="119"/>
      <c r="AA313" s="183" t="str">
        <f t="shared" ref="AA313:AI313" si="368">IF(OR(AA$17="",AA$22=0,AA$29=0),"",
AA$73/AA$29*f_P_renelect)</f>
        <v/>
      </c>
      <c r="AB313" s="183" t="str">
        <f t="shared" si="368"/>
        <v/>
      </c>
      <c r="AC313" s="183" t="str">
        <f t="shared" si="368"/>
        <v/>
      </c>
      <c r="AD313" s="183" t="str">
        <f t="shared" si="368"/>
        <v/>
      </c>
      <c r="AE313" s="183" t="str">
        <f t="shared" si="368"/>
        <v/>
      </c>
      <c r="AF313" s="183" t="str">
        <f t="shared" si="368"/>
        <v/>
      </c>
      <c r="AG313" s="183" t="str">
        <f t="shared" si="368"/>
        <v/>
      </c>
      <c r="AH313" s="183" t="str">
        <f t="shared" si="368"/>
        <v/>
      </c>
      <c r="AI313" s="183" t="str">
        <f t="shared" si="368"/>
        <v/>
      </c>
      <c r="AJ313" s="108"/>
      <c r="AK313" s="190">
        <f>SUMPRODUCT(AL313:AV313,AL$30:AV$30)/1000</f>
        <v>0</v>
      </c>
      <c r="AL313" s="119"/>
      <c r="AM313" s="183" t="str">
        <f t="shared" ref="AM313:AU313" si="369">IF(OR(AM$17="",AM$22=0,AM$29=0),"",
AM$73/AM$29*f_P_renelect)</f>
        <v/>
      </c>
      <c r="AN313" s="183" t="str">
        <f t="shared" si="369"/>
        <v/>
      </c>
      <c r="AO313" s="183" t="str">
        <f t="shared" si="369"/>
        <v/>
      </c>
      <c r="AP313" s="183" t="str">
        <f t="shared" si="369"/>
        <v/>
      </c>
      <c r="AQ313" s="183" t="str">
        <f t="shared" si="369"/>
        <v/>
      </c>
      <c r="AR313" s="183" t="str">
        <f t="shared" si="369"/>
        <v/>
      </c>
      <c r="AS313" s="183" t="str">
        <f t="shared" si="369"/>
        <v/>
      </c>
      <c r="AT313" s="183" t="str">
        <f t="shared" si="369"/>
        <v/>
      </c>
      <c r="AU313" s="183" t="str">
        <f t="shared" si="369"/>
        <v/>
      </c>
      <c r="AV313" s="108"/>
      <c r="AW313" s="190">
        <f>SUMPRODUCT(AX313:BH313,AX$30:BH$30)/1000</f>
        <v>0</v>
      </c>
      <c r="AX313" s="119"/>
      <c r="AY313" s="183" t="str">
        <f t="shared" ref="AY313:BG313" si="370">IF(OR(AY$17="",AY$22=0,AY$29=0),"",
AY$73/AY$29*f_P_renelect)</f>
        <v/>
      </c>
      <c r="AZ313" s="183" t="str">
        <f t="shared" si="370"/>
        <v/>
      </c>
      <c r="BA313" s="183" t="str">
        <f t="shared" si="370"/>
        <v/>
      </c>
      <c r="BB313" s="183" t="str">
        <f t="shared" si="370"/>
        <v/>
      </c>
      <c r="BC313" s="183" t="str">
        <f t="shared" si="370"/>
        <v/>
      </c>
      <c r="BD313" s="183" t="str">
        <f t="shared" si="370"/>
        <v/>
      </c>
      <c r="BE313" s="183" t="str">
        <f t="shared" si="370"/>
        <v/>
      </c>
      <c r="BF313" s="183" t="str">
        <f t="shared" si="370"/>
        <v/>
      </c>
      <c r="BG313" s="183" t="str">
        <f t="shared" si="370"/>
        <v/>
      </c>
      <c r="BH313" s="210"/>
    </row>
    <row r="314" spans="1:60">
      <c r="A314" s="1040"/>
      <c r="B314" s="1109" t="s">
        <v>1222</v>
      </c>
      <c r="C314" s="1106" t="s">
        <v>96</v>
      </c>
      <c r="D314" s="638"/>
      <c r="E314" s="942" t="s">
        <v>1320</v>
      </c>
      <c r="F314" s="942"/>
      <c r="G314" s="942"/>
      <c r="H314" s="942"/>
      <c r="I314" s="129"/>
      <c r="J314" s="943"/>
      <c r="K314" s="126"/>
      <c r="L314" s="126"/>
      <c r="M314" s="944"/>
      <c r="N314" s="195"/>
      <c r="O314" s="258" t="str">
        <f>O$17</f>
        <v/>
      </c>
      <c r="P314" s="258" t="str">
        <f t="shared" ref="P314:W314" si="371">P$17</f>
        <v/>
      </c>
      <c r="Q314" s="258" t="str">
        <f t="shared" si="371"/>
        <v/>
      </c>
      <c r="R314" s="258" t="str">
        <f t="shared" si="371"/>
        <v/>
      </c>
      <c r="S314" s="258" t="str">
        <f t="shared" si="371"/>
        <v/>
      </c>
      <c r="T314" s="258" t="str">
        <f t="shared" si="371"/>
        <v/>
      </c>
      <c r="U314" s="258" t="str">
        <f t="shared" si="371"/>
        <v/>
      </c>
      <c r="V314" s="258" t="str">
        <f t="shared" si="371"/>
        <v/>
      </c>
      <c r="W314" s="258" t="str">
        <f t="shared" si="371"/>
        <v/>
      </c>
      <c r="X314" s="195"/>
      <c r="Y314" s="944"/>
      <c r="Z314" s="195"/>
      <c r="AA314" s="258" t="str">
        <f>AA$17</f>
        <v/>
      </c>
      <c r="AB314" s="258" t="str">
        <f t="shared" ref="AB314:AI314" si="372">AB$17</f>
        <v/>
      </c>
      <c r="AC314" s="258" t="str">
        <f t="shared" si="372"/>
        <v/>
      </c>
      <c r="AD314" s="258" t="str">
        <f t="shared" si="372"/>
        <v/>
      </c>
      <c r="AE314" s="258" t="str">
        <f t="shared" si="372"/>
        <v/>
      </c>
      <c r="AF314" s="258" t="str">
        <f t="shared" si="372"/>
        <v/>
      </c>
      <c r="AG314" s="258" t="str">
        <f t="shared" si="372"/>
        <v/>
      </c>
      <c r="AH314" s="258" t="str">
        <f t="shared" si="372"/>
        <v/>
      </c>
      <c r="AI314" s="258" t="str">
        <f t="shared" si="372"/>
        <v/>
      </c>
      <c r="AJ314" s="195"/>
      <c r="AK314" s="944"/>
      <c r="AL314" s="195"/>
      <c r="AM314" s="258" t="str">
        <f>AM$17</f>
        <v/>
      </c>
      <c r="AN314" s="258" t="str">
        <f t="shared" ref="AN314:AU314" si="373">AN$17</f>
        <v/>
      </c>
      <c r="AO314" s="258" t="str">
        <f t="shared" si="373"/>
        <v/>
      </c>
      <c r="AP314" s="258" t="str">
        <f t="shared" si="373"/>
        <v/>
      </c>
      <c r="AQ314" s="258" t="str">
        <f t="shared" si="373"/>
        <v/>
      </c>
      <c r="AR314" s="258" t="str">
        <f t="shared" si="373"/>
        <v/>
      </c>
      <c r="AS314" s="258" t="str">
        <f t="shared" si="373"/>
        <v/>
      </c>
      <c r="AT314" s="258" t="str">
        <f t="shared" si="373"/>
        <v/>
      </c>
      <c r="AU314" s="258" t="str">
        <f t="shared" si="373"/>
        <v/>
      </c>
      <c r="AV314" s="195"/>
      <c r="AW314" s="944"/>
      <c r="AX314" s="195"/>
      <c r="AY314" s="258" t="str">
        <f>AY$17</f>
        <v/>
      </c>
      <c r="AZ314" s="258" t="str">
        <f t="shared" ref="AZ314:BG314" si="374">AZ$17</f>
        <v/>
      </c>
      <c r="BA314" s="258" t="str">
        <f t="shared" si="374"/>
        <v/>
      </c>
      <c r="BB314" s="258" t="str">
        <f t="shared" si="374"/>
        <v/>
      </c>
      <c r="BC314" s="258" t="str">
        <f t="shared" si="374"/>
        <v/>
      </c>
      <c r="BD314" s="258" t="str">
        <f t="shared" si="374"/>
        <v/>
      </c>
      <c r="BE314" s="258" t="str">
        <f t="shared" si="374"/>
        <v/>
      </c>
      <c r="BF314" s="258" t="str">
        <f t="shared" si="374"/>
        <v/>
      </c>
      <c r="BG314" s="258" t="str">
        <f t="shared" si="374"/>
        <v/>
      </c>
      <c r="BH314" s="36"/>
    </row>
    <row r="315" spans="1:60">
      <c r="A315" s="1040"/>
      <c r="B315" s="1109" t="s">
        <v>1222</v>
      </c>
      <c r="C315" s="1107" t="s">
        <v>104</v>
      </c>
      <c r="D315" s="641" t="s">
        <v>45</v>
      </c>
      <c r="E315" s="1123" t="s">
        <v>232</v>
      </c>
      <c r="F315" s="1123"/>
      <c r="G315" s="180"/>
      <c r="H315" s="201" t="s">
        <v>267</v>
      </c>
      <c r="I315" s="114"/>
      <c r="J315" s="190">
        <f>M315+Y315+AK315+AW315</f>
        <v>0</v>
      </c>
      <c r="K315" s="1092"/>
      <c r="L315" s="1092"/>
      <c r="M315" s="190">
        <f>SUMPRODUCT(N315:X315,N$30:X$30)/1000</f>
        <v>0</v>
      </c>
      <c r="N315" s="119"/>
      <c r="O315" s="183" t="str">
        <f t="shared" ref="O315:W315" si="375">IF(OR(O$17="",O$22=0,O$29=0),"",SUM(O306:O311)+O313)</f>
        <v/>
      </c>
      <c r="P315" s="183" t="str">
        <f t="shared" si="375"/>
        <v/>
      </c>
      <c r="Q315" s="183" t="str">
        <f t="shared" si="375"/>
        <v/>
      </c>
      <c r="R315" s="183" t="str">
        <f t="shared" si="375"/>
        <v/>
      </c>
      <c r="S315" s="183" t="str">
        <f t="shared" si="375"/>
        <v/>
      </c>
      <c r="T315" s="183" t="str">
        <f t="shared" si="375"/>
        <v/>
      </c>
      <c r="U315" s="183" t="str">
        <f t="shared" si="375"/>
        <v/>
      </c>
      <c r="V315" s="183" t="str">
        <f t="shared" si="375"/>
        <v/>
      </c>
      <c r="W315" s="183" t="str">
        <f t="shared" si="375"/>
        <v/>
      </c>
      <c r="X315" s="108"/>
      <c r="Y315" s="190">
        <f>SUMPRODUCT(Z315:AJ315,Z$30:AJ$30)/1000</f>
        <v>0</v>
      </c>
      <c r="Z315" s="119"/>
      <c r="AA315" s="183" t="str">
        <f t="shared" ref="AA315:AI315" si="376">IF(OR(AA$17="",AA$22=0,AA$29=0),"",SUM(AA306:AA311)+AA313)</f>
        <v/>
      </c>
      <c r="AB315" s="183" t="str">
        <f t="shared" si="376"/>
        <v/>
      </c>
      <c r="AC315" s="183" t="str">
        <f t="shared" si="376"/>
        <v/>
      </c>
      <c r="AD315" s="183" t="str">
        <f t="shared" si="376"/>
        <v/>
      </c>
      <c r="AE315" s="183" t="str">
        <f t="shared" si="376"/>
        <v/>
      </c>
      <c r="AF315" s="183" t="str">
        <f t="shared" si="376"/>
        <v/>
      </c>
      <c r="AG315" s="183" t="str">
        <f t="shared" si="376"/>
        <v/>
      </c>
      <c r="AH315" s="183" t="str">
        <f t="shared" si="376"/>
        <v/>
      </c>
      <c r="AI315" s="183" t="str">
        <f t="shared" si="376"/>
        <v/>
      </c>
      <c r="AJ315" s="108"/>
      <c r="AK315" s="190">
        <f>SUMPRODUCT(AL315:AV315,AL$30:AV$30)/1000</f>
        <v>0</v>
      </c>
      <c r="AL315" s="119"/>
      <c r="AM315" s="183" t="str">
        <f>IF(OR(AM$17="",AM$22=0,AM$29=0),"",SUM(AM306:AM311)+AM313)</f>
        <v/>
      </c>
      <c r="AN315" s="183" t="str">
        <f t="shared" ref="AN315:AU315" si="377">IF(OR(AN$17="",AN$22=0,AN$29=0),"",SUM(AN306:AN311)+AN313)</f>
        <v/>
      </c>
      <c r="AO315" s="183" t="str">
        <f t="shared" si="377"/>
        <v/>
      </c>
      <c r="AP315" s="183" t="str">
        <f t="shared" si="377"/>
        <v/>
      </c>
      <c r="AQ315" s="183" t="str">
        <f t="shared" si="377"/>
        <v/>
      </c>
      <c r="AR315" s="183" t="str">
        <f t="shared" si="377"/>
        <v/>
      </c>
      <c r="AS315" s="183" t="str">
        <f t="shared" si="377"/>
        <v/>
      </c>
      <c r="AT315" s="183" t="str">
        <f t="shared" si="377"/>
        <v/>
      </c>
      <c r="AU315" s="183" t="str">
        <f t="shared" si="377"/>
        <v/>
      </c>
      <c r="AV315" s="108"/>
      <c r="AW315" s="190">
        <f>SUMPRODUCT(AX315:BH315,AX$30:BH$30)/1000</f>
        <v>0</v>
      </c>
      <c r="AX315" s="119"/>
      <c r="AY315" s="183" t="str">
        <f>IF(OR(AY$17="",AY$22=0,AY$29=0),"",SUM(AY306:AY311)+AY313)</f>
        <v/>
      </c>
      <c r="AZ315" s="183" t="str">
        <f t="shared" ref="AZ315:BG315" si="378">IF(OR(AZ$17="",AZ$22=0,AZ$29=0),"",SUM(AZ306:AZ311)+AZ313)</f>
        <v/>
      </c>
      <c r="BA315" s="183" t="str">
        <f t="shared" si="378"/>
        <v/>
      </c>
      <c r="BB315" s="183" t="str">
        <f t="shared" si="378"/>
        <v/>
      </c>
      <c r="BC315" s="183" t="str">
        <f t="shared" si="378"/>
        <v/>
      </c>
      <c r="BD315" s="183" t="str">
        <f t="shared" si="378"/>
        <v/>
      </c>
      <c r="BE315" s="183" t="str">
        <f t="shared" si="378"/>
        <v/>
      </c>
      <c r="BF315" s="183" t="str">
        <f t="shared" si="378"/>
        <v/>
      </c>
      <c r="BG315" s="183" t="str">
        <f t="shared" si="378"/>
        <v/>
      </c>
      <c r="BH315" s="210"/>
    </row>
    <row r="316" spans="1:60">
      <c r="A316" s="1040"/>
      <c r="B316" s="1109" t="s">
        <v>1222</v>
      </c>
      <c r="C316" s="1106" t="s">
        <v>96</v>
      </c>
      <c r="D316" s="638"/>
      <c r="E316" s="942" t="s">
        <v>272</v>
      </c>
      <c r="F316" s="942"/>
      <c r="G316" s="942"/>
      <c r="H316" s="942"/>
      <c r="I316" s="129"/>
      <c r="J316" s="943"/>
      <c r="K316" s="126"/>
      <c r="L316" s="126"/>
      <c r="M316" s="944"/>
      <c r="N316" s="195"/>
      <c r="O316" s="258" t="str">
        <f>O$17</f>
        <v/>
      </c>
      <c r="P316" s="258" t="str">
        <f t="shared" ref="P316:W316" si="379">P$17</f>
        <v/>
      </c>
      <c r="Q316" s="258" t="str">
        <f t="shared" si="379"/>
        <v/>
      </c>
      <c r="R316" s="258" t="str">
        <f t="shared" si="379"/>
        <v/>
      </c>
      <c r="S316" s="258" t="str">
        <f t="shared" si="379"/>
        <v/>
      </c>
      <c r="T316" s="258" t="str">
        <f t="shared" si="379"/>
        <v/>
      </c>
      <c r="U316" s="258" t="str">
        <f t="shared" si="379"/>
        <v/>
      </c>
      <c r="V316" s="258" t="str">
        <f t="shared" si="379"/>
        <v/>
      </c>
      <c r="W316" s="258" t="str">
        <f t="shared" si="379"/>
        <v/>
      </c>
      <c r="X316" s="195"/>
      <c r="Y316" s="944"/>
      <c r="Z316" s="195"/>
      <c r="AA316" s="258" t="str">
        <f>AA$17</f>
        <v/>
      </c>
      <c r="AB316" s="258" t="str">
        <f t="shared" ref="AB316:AI316" si="380">AB$17</f>
        <v/>
      </c>
      <c r="AC316" s="258" t="str">
        <f t="shared" si="380"/>
        <v/>
      </c>
      <c r="AD316" s="258" t="str">
        <f t="shared" si="380"/>
        <v/>
      </c>
      <c r="AE316" s="258" t="str">
        <f t="shared" si="380"/>
        <v/>
      </c>
      <c r="AF316" s="258" t="str">
        <f t="shared" si="380"/>
        <v/>
      </c>
      <c r="AG316" s="258" t="str">
        <f t="shared" si="380"/>
        <v/>
      </c>
      <c r="AH316" s="258" t="str">
        <f t="shared" si="380"/>
        <v/>
      </c>
      <c r="AI316" s="258" t="str">
        <f t="shared" si="380"/>
        <v/>
      </c>
      <c r="AJ316" s="195"/>
      <c r="AK316" s="944"/>
      <c r="AL316" s="195"/>
      <c r="AM316" s="258" t="str">
        <f>AM$17</f>
        <v/>
      </c>
      <c r="AN316" s="258" t="str">
        <f t="shared" ref="AN316:AU316" si="381">AN$17</f>
        <v/>
      </c>
      <c r="AO316" s="258" t="str">
        <f t="shared" si="381"/>
        <v/>
      </c>
      <c r="AP316" s="258" t="str">
        <f t="shared" si="381"/>
        <v/>
      </c>
      <c r="AQ316" s="258" t="str">
        <f t="shared" si="381"/>
        <v/>
      </c>
      <c r="AR316" s="258" t="str">
        <f t="shared" si="381"/>
        <v/>
      </c>
      <c r="AS316" s="258" t="str">
        <f t="shared" si="381"/>
        <v/>
      </c>
      <c r="AT316" s="258" t="str">
        <f t="shared" si="381"/>
        <v/>
      </c>
      <c r="AU316" s="258" t="str">
        <f t="shared" si="381"/>
        <v/>
      </c>
      <c r="AV316" s="195"/>
      <c r="AW316" s="944"/>
      <c r="AX316" s="195"/>
      <c r="AY316" s="258" t="str">
        <f>AY$17</f>
        <v/>
      </c>
      <c r="AZ316" s="258" t="str">
        <f t="shared" ref="AZ316:BG316" si="382">AZ$17</f>
        <v/>
      </c>
      <c r="BA316" s="258" t="str">
        <f t="shared" si="382"/>
        <v/>
      </c>
      <c r="BB316" s="258" t="str">
        <f t="shared" si="382"/>
        <v/>
      </c>
      <c r="BC316" s="258" t="str">
        <f t="shared" si="382"/>
        <v/>
      </c>
      <c r="BD316" s="258" t="str">
        <f t="shared" si="382"/>
        <v/>
      </c>
      <c r="BE316" s="258" t="str">
        <f t="shared" si="382"/>
        <v/>
      </c>
      <c r="BF316" s="258" t="str">
        <f t="shared" si="382"/>
        <v/>
      </c>
      <c r="BG316" s="258" t="str">
        <f t="shared" si="382"/>
        <v/>
      </c>
      <c r="BH316" s="36"/>
    </row>
    <row r="317" spans="1:60">
      <c r="A317" s="1040"/>
      <c r="B317" s="1109" t="s">
        <v>1222</v>
      </c>
      <c r="C317" s="1107" t="s">
        <v>104</v>
      </c>
      <c r="D317" s="641" t="s">
        <v>45</v>
      </c>
      <c r="E317" s="1123" t="s">
        <v>1360</v>
      </c>
      <c r="F317" s="1123"/>
      <c r="G317" s="180"/>
      <c r="H317" s="201" t="s">
        <v>139</v>
      </c>
      <c r="I317" s="114"/>
      <c r="J317" s="554" t="str">
        <f>IF(J$22=0,"",
IF(J304+J315=0,0,J315/(J304+J315)))</f>
        <v/>
      </c>
      <c r="K317" s="1096"/>
      <c r="L317" s="1096"/>
      <c r="M317" s="554" t="str">
        <f>IF(M$22=0,"",
IF(M304+M315=0,0,M315/(M304+M315)))</f>
        <v/>
      </c>
      <c r="N317" s="1097"/>
      <c r="O317" s="1159" t="str">
        <f t="shared" ref="O317:W317" si="383">IF(OR(O$17="",O$22=0,O$29=0),"",
IF(O304+O315=0,0,O315/(O304+O315)))</f>
        <v/>
      </c>
      <c r="P317" s="285" t="str">
        <f t="shared" si="383"/>
        <v/>
      </c>
      <c r="Q317" s="285" t="str">
        <f t="shared" si="383"/>
        <v/>
      </c>
      <c r="R317" s="285" t="str">
        <f t="shared" si="383"/>
        <v/>
      </c>
      <c r="S317" s="285" t="str">
        <f t="shared" si="383"/>
        <v/>
      </c>
      <c r="T317" s="285" t="str">
        <f t="shared" si="383"/>
        <v/>
      </c>
      <c r="U317" s="285" t="str">
        <f t="shared" si="383"/>
        <v/>
      </c>
      <c r="V317" s="285" t="str">
        <f t="shared" si="383"/>
        <v/>
      </c>
      <c r="W317" s="285" t="str">
        <f t="shared" si="383"/>
        <v/>
      </c>
      <c r="X317" s="124"/>
      <c r="Y317" s="554" t="str">
        <f>IF(Y$22=0,"",
IF(Y304+Y315=0,0,Y315/(Y304+Y315)))</f>
        <v/>
      </c>
      <c r="Z317" s="1097"/>
      <c r="AA317" s="285" t="str">
        <f t="shared" ref="AA317:AI317" si="384">IF(OR(AA$17="",AA$22=0,AA$29=0),"",
IF(AA304+AA315=0,0,AA315/(AA304+AA315)))</f>
        <v/>
      </c>
      <c r="AB317" s="285" t="str">
        <f t="shared" si="384"/>
        <v/>
      </c>
      <c r="AC317" s="285" t="str">
        <f t="shared" si="384"/>
        <v/>
      </c>
      <c r="AD317" s="285" t="str">
        <f t="shared" si="384"/>
        <v/>
      </c>
      <c r="AE317" s="285" t="str">
        <f t="shared" si="384"/>
        <v/>
      </c>
      <c r="AF317" s="285" t="str">
        <f t="shared" si="384"/>
        <v/>
      </c>
      <c r="AG317" s="285" t="str">
        <f t="shared" si="384"/>
        <v/>
      </c>
      <c r="AH317" s="285" t="str">
        <f t="shared" si="384"/>
        <v/>
      </c>
      <c r="AI317" s="285" t="str">
        <f t="shared" si="384"/>
        <v/>
      </c>
      <c r="AJ317" s="124"/>
      <c r="AK317" s="554" t="str">
        <f>IF(AK$22=0,"",
IF(AK304+AK315=0,0,AK315/(AK304+AK315)))</f>
        <v/>
      </c>
      <c r="AL317" s="1097"/>
      <c r="AM317" s="285" t="str">
        <f>IF(OR(AM$17="",AM$22=0,AM$29=0),"",
IF(AM304+AM315=0,0,AM315/(AM304+AM315)))</f>
        <v/>
      </c>
      <c r="AN317" s="285" t="str">
        <f t="shared" ref="AN317:AU317" si="385">IF(OR(AN$17="",AN$22=0,AN$29=0),"",
IF(AN304+AN315=0,0,AN315/(AN304+AN315)))</f>
        <v/>
      </c>
      <c r="AO317" s="285" t="str">
        <f>IF(OR(AO$17="",AO$22=0,AO$29=0),"",
IF(AO304+AO315=0,0,AO315/(AO304+AO315)))</f>
        <v/>
      </c>
      <c r="AP317" s="285" t="str">
        <f t="shared" si="385"/>
        <v/>
      </c>
      <c r="AQ317" s="285" t="str">
        <f t="shared" si="385"/>
        <v/>
      </c>
      <c r="AR317" s="285" t="str">
        <f t="shared" si="385"/>
        <v/>
      </c>
      <c r="AS317" s="285" t="str">
        <f t="shared" si="385"/>
        <v/>
      </c>
      <c r="AT317" s="285" t="str">
        <f t="shared" si="385"/>
        <v/>
      </c>
      <c r="AU317" s="285" t="str">
        <f t="shared" si="385"/>
        <v/>
      </c>
      <c r="AV317" s="124"/>
      <c r="AW317" s="554" t="str">
        <f>IF(AW$22=0,"",
IF(AW304+AW315=0,0,AW315/(AW304+AW315)))</f>
        <v/>
      </c>
      <c r="AX317" s="1097"/>
      <c r="AY317" s="285" t="str">
        <f>IF(OR(AY$17="",AY$22=0,AY$29=0),"",
IF(AY304+AY315=0,0,AY315/(AY304+AY315)))</f>
        <v/>
      </c>
      <c r="AZ317" s="285" t="str">
        <f t="shared" ref="AZ317:BG317" si="386">IF(OR(AZ$17="",AZ$22=0,AZ$29=0),"",
IF(AZ304+AZ315=0,0,AZ315/(AZ304+AZ315)))</f>
        <v/>
      </c>
      <c r="BA317" s="285" t="str">
        <f t="shared" si="386"/>
        <v/>
      </c>
      <c r="BB317" s="285" t="str">
        <f t="shared" si="386"/>
        <v/>
      </c>
      <c r="BC317" s="285" t="str">
        <f t="shared" si="386"/>
        <v/>
      </c>
      <c r="BD317" s="285" t="str">
        <f t="shared" si="386"/>
        <v/>
      </c>
      <c r="BE317" s="285" t="str">
        <f t="shared" si="386"/>
        <v/>
      </c>
      <c r="BF317" s="285" t="str">
        <f t="shared" si="386"/>
        <v/>
      </c>
      <c r="BG317" s="285" t="str">
        <f t="shared" si="386"/>
        <v/>
      </c>
      <c r="BH317" s="212"/>
    </row>
    <row r="318" spans="1:60">
      <c r="A318" s="1040"/>
      <c r="B318" s="1109" t="s">
        <v>1222</v>
      </c>
      <c r="C318" s="1106" t="s">
        <v>96</v>
      </c>
      <c r="D318" s="638"/>
      <c r="E318" s="79"/>
      <c r="F318" s="79"/>
      <c r="G318" s="79"/>
      <c r="H318" s="85"/>
      <c r="I318" s="79"/>
      <c r="J318" s="82"/>
      <c r="K318" s="195"/>
      <c r="L318" s="195"/>
      <c r="M318" s="82"/>
      <c r="N318" s="79"/>
      <c r="O318" s="108"/>
      <c r="P318" s="108"/>
      <c r="Q318" s="108"/>
      <c r="R318" s="108"/>
      <c r="S318" s="108"/>
      <c r="T318" s="108"/>
      <c r="U318" s="108"/>
      <c r="V318" s="108"/>
      <c r="W318" s="108"/>
      <c r="X318" s="82"/>
      <c r="Y318" s="82"/>
      <c r="Z318" s="82"/>
      <c r="AA318" s="82"/>
      <c r="AB318" s="82"/>
      <c r="AC318" s="82"/>
      <c r="AD318" s="82"/>
      <c r="AE318" s="82"/>
      <c r="AF318" s="82"/>
      <c r="AG318" s="82"/>
      <c r="AH318" s="82"/>
      <c r="AI318" s="82"/>
      <c r="AJ318" s="82"/>
      <c r="AK318" s="82"/>
      <c r="AL318" s="79"/>
      <c r="AM318" s="108"/>
      <c r="AN318" s="108"/>
      <c r="AO318" s="108"/>
      <c r="AP318" s="108"/>
      <c r="AQ318" s="108"/>
      <c r="AR318" s="108"/>
      <c r="AS318" s="108"/>
      <c r="AT318" s="108"/>
      <c r="AU318" s="108"/>
      <c r="AV318" s="82"/>
      <c r="AW318" s="82"/>
      <c r="AX318" s="79"/>
      <c r="AY318" s="108"/>
      <c r="AZ318" s="108"/>
      <c r="BA318" s="108"/>
      <c r="BB318" s="108"/>
      <c r="BC318" s="108"/>
      <c r="BD318" s="108"/>
      <c r="BE318" s="108"/>
      <c r="BF318" s="108"/>
      <c r="BG318" s="108"/>
      <c r="BH318" s="1"/>
    </row>
    <row r="319" spans="1:60">
      <c r="A319" s="1040"/>
      <c r="B319" s="1109" t="s">
        <v>1223</v>
      </c>
      <c r="C319" s="1107" t="s">
        <v>96</v>
      </c>
      <c r="D319" s="638"/>
      <c r="E319" s="1098"/>
      <c r="F319" s="85"/>
      <c r="G319" s="85"/>
      <c r="H319" s="85"/>
      <c r="I319" s="79"/>
      <c r="J319" s="105"/>
      <c r="K319" s="79"/>
      <c r="L319" s="79"/>
      <c r="M319" s="82"/>
      <c r="N319" s="79"/>
      <c r="O319" s="79"/>
      <c r="P319" s="82"/>
      <c r="Q319" s="82"/>
      <c r="R319" s="82"/>
      <c r="S319" s="82"/>
      <c r="T319" s="82"/>
      <c r="U319" s="82"/>
      <c r="V319" s="82"/>
      <c r="W319" s="82"/>
      <c r="X319" s="82"/>
      <c r="Y319" s="82"/>
      <c r="Z319" s="79"/>
      <c r="AA319" s="82"/>
      <c r="AB319" s="82"/>
      <c r="AC319" s="82"/>
      <c r="AD319" s="82"/>
      <c r="AE319" s="82"/>
      <c r="AF319" s="82"/>
      <c r="AG319" s="82"/>
      <c r="AH319" s="82"/>
      <c r="AI319" s="82"/>
      <c r="AJ319" s="82"/>
      <c r="AK319" s="82"/>
      <c r="AL319" s="79"/>
      <c r="AM319" s="82"/>
      <c r="AN319" s="82"/>
      <c r="AO319" s="82"/>
      <c r="AP319" s="82"/>
      <c r="AQ319" s="82"/>
      <c r="AR319" s="82"/>
      <c r="AS319" s="82"/>
      <c r="AT319" s="82"/>
      <c r="AU319" s="82"/>
      <c r="AV319" s="82"/>
      <c r="AW319" s="82"/>
      <c r="AX319" s="79"/>
      <c r="AY319" s="82"/>
      <c r="AZ319" s="82"/>
      <c r="BA319" s="82"/>
      <c r="BB319" s="82"/>
      <c r="BC319" s="82"/>
      <c r="BD319" s="82"/>
      <c r="BE319" s="82"/>
      <c r="BF319" s="82"/>
      <c r="BG319" s="82"/>
      <c r="BH319" s="1"/>
    </row>
    <row r="320" spans="1:60" s="2" customFormat="1" ht="21">
      <c r="A320" s="1038"/>
      <c r="B320" s="1110" t="s">
        <v>1223</v>
      </c>
      <c r="C320" s="1106" t="s">
        <v>96</v>
      </c>
      <c r="D320" s="640" t="s">
        <v>45</v>
      </c>
      <c r="E320" s="209" t="s">
        <v>1371</v>
      </c>
      <c r="F320" s="209"/>
      <c r="G320" s="209"/>
      <c r="H320" s="1188" t="str">
        <f>IF(OR($F$5&lt;&gt;"NTA8800:2026",$F$6&lt;&gt;"EP"),"Voor correcte EP: Kies linksboven 'NTA8800:2026' en 'EP'","")</f>
        <v/>
      </c>
      <c r="I320" s="129"/>
      <c r="J320" s="256"/>
      <c r="K320" s="126"/>
      <c r="L320" s="126"/>
      <c r="M320" s="256" t="str">
        <f>M$8</f>
        <v>locatie 1</v>
      </c>
      <c r="N320" s="182"/>
      <c r="O320" s="955" t="str">
        <f>$E320&amp;" per woning-/gebouwtype"</f>
        <v>energieprestatie indicatoren primair fossiel per woning-/gebouwtype</v>
      </c>
      <c r="P320" s="945"/>
      <c r="Q320" s="945"/>
      <c r="R320" s="945"/>
      <c r="S320" s="945"/>
      <c r="T320" s="945"/>
      <c r="U320" s="945"/>
      <c r="V320" s="945"/>
      <c r="W320" s="257"/>
      <c r="X320" s="174"/>
      <c r="Y320" s="256" t="str">
        <f>Y$8</f>
        <v>locatie 2</v>
      </c>
      <c r="Z320" s="182"/>
      <c r="AA320" s="955" t="str">
        <f>$E320&amp;" per woning-/gebouwtype"</f>
        <v>energieprestatie indicatoren primair fossiel per woning-/gebouwtype</v>
      </c>
      <c r="AB320" s="945"/>
      <c r="AC320" s="945"/>
      <c r="AD320" s="945"/>
      <c r="AE320" s="945"/>
      <c r="AF320" s="945"/>
      <c r="AG320" s="945"/>
      <c r="AH320" s="945"/>
      <c r="AI320" s="257"/>
      <c r="AJ320" s="174"/>
      <c r="AK320" s="256" t="str">
        <f>AK$8</f>
        <v>locatie 3</v>
      </c>
      <c r="AL320" s="182"/>
      <c r="AM320" s="955" t="str">
        <f>$E320&amp;" per woning-/gebouwtype"</f>
        <v>energieprestatie indicatoren primair fossiel per woning-/gebouwtype</v>
      </c>
      <c r="AN320" s="945"/>
      <c r="AO320" s="945"/>
      <c r="AP320" s="945"/>
      <c r="AQ320" s="945"/>
      <c r="AR320" s="945"/>
      <c r="AS320" s="945"/>
      <c r="AT320" s="945"/>
      <c r="AU320" s="257"/>
      <c r="AV320" s="174"/>
      <c r="AW320" s="256" t="str">
        <f>AW$8</f>
        <v>locatie 4</v>
      </c>
      <c r="AX320" s="182"/>
      <c r="AY320" s="955" t="str">
        <f>$E320&amp;" per woning-/gebouwtype"</f>
        <v>energieprestatie indicatoren primair fossiel per woning-/gebouwtype</v>
      </c>
      <c r="AZ320" s="945"/>
      <c r="BA320" s="945"/>
      <c r="BB320" s="945"/>
      <c r="BC320" s="945"/>
      <c r="BD320" s="945"/>
      <c r="BE320" s="945"/>
      <c r="BF320" s="945"/>
      <c r="BG320" s="257"/>
      <c r="BH320" s="1"/>
    </row>
    <row r="321" spans="1:60" hidden="1">
      <c r="A321" s="1040"/>
      <c r="B321" s="1109" t="s">
        <v>1223</v>
      </c>
      <c r="C321" s="1106" t="s">
        <v>262</v>
      </c>
      <c r="D321" s="641"/>
      <c r="E321" s="942" t="s">
        <v>273</v>
      </c>
      <c r="F321" s="942"/>
      <c r="G321" s="942"/>
      <c r="H321" s="942"/>
      <c r="I321" s="129"/>
      <c r="J321" s="943"/>
      <c r="K321" s="126"/>
      <c r="L321" s="126"/>
      <c r="M321" s="944"/>
      <c r="N321" s="195"/>
      <c r="O321" s="258" t="str">
        <f>O$17</f>
        <v/>
      </c>
      <c r="P321" s="258" t="str">
        <f t="shared" ref="P321:W321" si="387">P$17</f>
        <v/>
      </c>
      <c r="Q321" s="258" t="str">
        <f t="shared" si="387"/>
        <v/>
      </c>
      <c r="R321" s="258" t="str">
        <f t="shared" si="387"/>
        <v/>
      </c>
      <c r="S321" s="258" t="str">
        <f t="shared" si="387"/>
        <v/>
      </c>
      <c r="T321" s="258" t="str">
        <f t="shared" si="387"/>
        <v/>
      </c>
      <c r="U321" s="258" t="str">
        <f t="shared" si="387"/>
        <v/>
      </c>
      <c r="V321" s="258" t="str">
        <f t="shared" si="387"/>
        <v/>
      </c>
      <c r="W321" s="258" t="str">
        <f t="shared" si="387"/>
        <v/>
      </c>
      <c r="X321" s="195"/>
      <c r="Y321" s="944"/>
      <c r="Z321" s="195"/>
      <c r="AA321" s="258" t="str">
        <f>AA$17</f>
        <v/>
      </c>
      <c r="AB321" s="258" t="str">
        <f t="shared" ref="AB321:AI321" si="388">AB$17</f>
        <v/>
      </c>
      <c r="AC321" s="258" t="str">
        <f t="shared" si="388"/>
        <v/>
      </c>
      <c r="AD321" s="258" t="str">
        <f t="shared" si="388"/>
        <v/>
      </c>
      <c r="AE321" s="258" t="str">
        <f t="shared" si="388"/>
        <v/>
      </c>
      <c r="AF321" s="258" t="str">
        <f t="shared" si="388"/>
        <v/>
      </c>
      <c r="AG321" s="258" t="str">
        <f t="shared" si="388"/>
        <v/>
      </c>
      <c r="AH321" s="258" t="str">
        <f t="shared" si="388"/>
        <v/>
      </c>
      <c r="AI321" s="258" t="str">
        <f t="shared" si="388"/>
        <v/>
      </c>
      <c r="AJ321" s="195"/>
      <c r="AK321" s="944"/>
      <c r="AL321" s="195"/>
      <c r="AM321" s="258" t="str">
        <f>AM$17</f>
        <v/>
      </c>
      <c r="AN321" s="258" t="str">
        <f t="shared" ref="AN321:AU321" si="389">AN$17</f>
        <v/>
      </c>
      <c r="AO321" s="258" t="str">
        <f t="shared" si="389"/>
        <v/>
      </c>
      <c r="AP321" s="258" t="str">
        <f t="shared" si="389"/>
        <v/>
      </c>
      <c r="AQ321" s="258" t="str">
        <f t="shared" si="389"/>
        <v/>
      </c>
      <c r="AR321" s="258" t="str">
        <f t="shared" si="389"/>
        <v/>
      </c>
      <c r="AS321" s="258" t="str">
        <f t="shared" si="389"/>
        <v/>
      </c>
      <c r="AT321" s="258" t="str">
        <f t="shared" si="389"/>
        <v/>
      </c>
      <c r="AU321" s="258" t="str">
        <f t="shared" si="389"/>
        <v/>
      </c>
      <c r="AV321" s="195"/>
      <c r="AW321" s="944"/>
      <c r="AX321" s="195"/>
      <c r="AY321" s="258" t="str">
        <f>AY$17</f>
        <v/>
      </c>
      <c r="AZ321" s="258" t="str">
        <f t="shared" ref="AZ321:BG321" si="390">AZ$17</f>
        <v/>
      </c>
      <c r="BA321" s="258" t="str">
        <f t="shared" si="390"/>
        <v/>
      </c>
      <c r="BB321" s="258" t="str">
        <f t="shared" si="390"/>
        <v/>
      </c>
      <c r="BC321" s="258" t="str">
        <f t="shared" si="390"/>
        <v/>
      </c>
      <c r="BD321" s="258" t="str">
        <f t="shared" si="390"/>
        <v/>
      </c>
      <c r="BE321" s="258" t="str">
        <f t="shared" si="390"/>
        <v/>
      </c>
      <c r="BF321" s="258" t="str">
        <f t="shared" si="390"/>
        <v/>
      </c>
      <c r="BG321" s="258" t="str">
        <f t="shared" si="390"/>
        <v/>
      </c>
      <c r="BH321" s="36"/>
    </row>
    <row r="322" spans="1:60" hidden="1">
      <c r="A322" s="1040"/>
      <c r="B322" s="1109" t="s">
        <v>1223</v>
      </c>
      <c r="C322" s="1106" t="s">
        <v>262</v>
      </c>
      <c r="D322" s="641"/>
      <c r="E322" s="203" t="s">
        <v>274</v>
      </c>
      <c r="F322" s="203"/>
      <c r="G322" s="203"/>
      <c r="H322" s="204" t="s">
        <v>65</v>
      </c>
      <c r="I322" s="205"/>
      <c r="J322" s="206"/>
      <c r="K322" s="79"/>
      <c r="L322" s="79"/>
      <c r="M322" s="206"/>
      <c r="N322" s="205"/>
      <c r="O322" s="1153" t="str">
        <f t="shared" ref="O322:W322" si="391">IF(OR(O$17="",O$22=0,O$29=0),"",MATCH(O$19,BENG_gebruiksfuncties,0))</f>
        <v/>
      </c>
      <c r="P322" s="1153" t="str">
        <f t="shared" si="391"/>
        <v/>
      </c>
      <c r="Q322" s="1153" t="str">
        <f t="shared" si="391"/>
        <v/>
      </c>
      <c r="R322" s="1153" t="str">
        <f t="shared" si="391"/>
        <v/>
      </c>
      <c r="S322" s="1153" t="str">
        <f t="shared" si="391"/>
        <v/>
      </c>
      <c r="T322" s="1153" t="str">
        <f t="shared" si="391"/>
        <v/>
      </c>
      <c r="U322" s="1153" t="str">
        <f t="shared" si="391"/>
        <v/>
      </c>
      <c r="V322" s="1153" t="str">
        <f t="shared" si="391"/>
        <v/>
      </c>
      <c r="W322" s="1153" t="str">
        <f t="shared" si="391"/>
        <v/>
      </c>
      <c r="X322" s="108"/>
      <c r="Y322" s="206"/>
      <c r="Z322" s="205"/>
      <c r="AA322" s="207" t="str">
        <f t="shared" ref="AA322:AI322" si="392">IF(OR(AA$17="",AA$22=0,AA$29=0),"",MATCH(AA$19,BENG_gebruiksfuncties,0))</f>
        <v/>
      </c>
      <c r="AB322" s="207" t="str">
        <f t="shared" si="392"/>
        <v/>
      </c>
      <c r="AC322" s="207" t="str">
        <f t="shared" si="392"/>
        <v/>
      </c>
      <c r="AD322" s="207" t="str">
        <f t="shared" si="392"/>
        <v/>
      </c>
      <c r="AE322" s="207" t="str">
        <f t="shared" si="392"/>
        <v/>
      </c>
      <c r="AF322" s="207" t="str">
        <f t="shared" si="392"/>
        <v/>
      </c>
      <c r="AG322" s="207" t="str">
        <f t="shared" si="392"/>
        <v/>
      </c>
      <c r="AH322" s="207" t="str">
        <f t="shared" si="392"/>
        <v/>
      </c>
      <c r="AI322" s="207" t="str">
        <f t="shared" si="392"/>
        <v/>
      </c>
      <c r="AJ322" s="108"/>
      <c r="AK322" s="206"/>
      <c r="AL322" s="205"/>
      <c r="AM322" s="207" t="str">
        <f>IF(OR(AM$17="",AM$22=0,AM$29=0),"",MATCH(AM$19,BENG_gebruiksfuncties,0))</f>
        <v/>
      </c>
      <c r="AN322" s="207" t="str">
        <f t="shared" ref="AN322:AU322" si="393">IF(OR(AN$17="",AN$22=0,AN$29=0),"",MATCH(AN$19,BENG_gebruiksfuncties,0))</f>
        <v/>
      </c>
      <c r="AO322" s="207" t="str">
        <f t="shared" si="393"/>
        <v/>
      </c>
      <c r="AP322" s="207" t="str">
        <f t="shared" si="393"/>
        <v/>
      </c>
      <c r="AQ322" s="207" t="str">
        <f t="shared" si="393"/>
        <v/>
      </c>
      <c r="AR322" s="207" t="str">
        <f t="shared" si="393"/>
        <v/>
      </c>
      <c r="AS322" s="207" t="str">
        <f t="shared" si="393"/>
        <v/>
      </c>
      <c r="AT322" s="207" t="str">
        <f t="shared" si="393"/>
        <v/>
      </c>
      <c r="AU322" s="207" t="str">
        <f t="shared" si="393"/>
        <v/>
      </c>
      <c r="AV322" s="108"/>
      <c r="AW322" s="206"/>
      <c r="AX322" s="205"/>
      <c r="AY322" s="207" t="str">
        <f t="shared" ref="AY322:BG322" si="394">IF(OR(AY$17="",AY$22=0,AY$29=0),"",MATCH(AY$19,BENG_gebruiksfuncties,0))</f>
        <v/>
      </c>
      <c r="AZ322" s="207" t="str">
        <f t="shared" si="394"/>
        <v/>
      </c>
      <c r="BA322" s="207" t="str">
        <f t="shared" si="394"/>
        <v/>
      </c>
      <c r="BB322" s="207" t="str">
        <f t="shared" si="394"/>
        <v/>
      </c>
      <c r="BC322" s="207" t="str">
        <f t="shared" si="394"/>
        <v/>
      </c>
      <c r="BD322" s="207" t="str">
        <f t="shared" si="394"/>
        <v/>
      </c>
      <c r="BE322" s="207" t="str">
        <f t="shared" si="394"/>
        <v/>
      </c>
      <c r="BF322" s="207" t="str">
        <f t="shared" si="394"/>
        <v/>
      </c>
      <c r="BG322" s="207" t="str">
        <f t="shared" si="394"/>
        <v/>
      </c>
      <c r="BH322" s="210"/>
    </row>
    <row r="323" spans="1:60">
      <c r="A323" s="1040"/>
      <c r="B323" s="1109" t="s">
        <v>1223</v>
      </c>
      <c r="C323" s="1106" t="s">
        <v>96</v>
      </c>
      <c r="D323" s="640" t="s">
        <v>45</v>
      </c>
      <c r="E323" s="942" t="s">
        <v>1166</v>
      </c>
      <c r="F323" s="942"/>
      <c r="G323" s="942"/>
      <c r="H323" s="942"/>
      <c r="I323" s="129"/>
      <c r="J323" s="943"/>
      <c r="K323" s="126"/>
      <c r="L323" s="126"/>
      <c r="M323" s="944"/>
      <c r="N323" s="195"/>
      <c r="O323" s="1154" t="str">
        <f>O$17</f>
        <v/>
      </c>
      <c r="P323" s="1154" t="str">
        <f t="shared" ref="P323:W323" si="395">P$17</f>
        <v/>
      </c>
      <c r="Q323" s="1154" t="str">
        <f t="shared" si="395"/>
        <v/>
      </c>
      <c r="R323" s="1154" t="str">
        <f t="shared" si="395"/>
        <v/>
      </c>
      <c r="S323" s="1154" t="str">
        <f t="shared" si="395"/>
        <v/>
      </c>
      <c r="T323" s="1154" t="str">
        <f t="shared" si="395"/>
        <v/>
      </c>
      <c r="U323" s="1154" t="str">
        <f t="shared" si="395"/>
        <v/>
      </c>
      <c r="V323" s="1154" t="str">
        <f t="shared" si="395"/>
        <v/>
      </c>
      <c r="W323" s="1154" t="str">
        <f t="shared" si="395"/>
        <v/>
      </c>
      <c r="X323" s="195"/>
      <c r="Y323" s="944"/>
      <c r="Z323" s="195"/>
      <c r="AA323" s="258" t="str">
        <f>AA$17</f>
        <v/>
      </c>
      <c r="AB323" s="258" t="str">
        <f t="shared" ref="AB323:AI323" si="396">AB$17</f>
        <v/>
      </c>
      <c r="AC323" s="258" t="str">
        <f t="shared" si="396"/>
        <v/>
      </c>
      <c r="AD323" s="258" t="str">
        <f t="shared" si="396"/>
        <v/>
      </c>
      <c r="AE323" s="258" t="str">
        <f t="shared" si="396"/>
        <v/>
      </c>
      <c r="AF323" s="258" t="str">
        <f t="shared" si="396"/>
        <v/>
      </c>
      <c r="AG323" s="258" t="str">
        <f t="shared" si="396"/>
        <v/>
      </c>
      <c r="AH323" s="258" t="str">
        <f t="shared" si="396"/>
        <v/>
      </c>
      <c r="AI323" s="258" t="str">
        <f t="shared" si="396"/>
        <v/>
      </c>
      <c r="AJ323" s="195"/>
      <c r="AK323" s="944"/>
      <c r="AL323" s="195"/>
      <c r="AM323" s="258" t="str">
        <f>AM$17</f>
        <v/>
      </c>
      <c r="AN323" s="258" t="str">
        <f t="shared" ref="AN323:AU323" si="397">AN$17</f>
        <v/>
      </c>
      <c r="AO323" s="258" t="str">
        <f t="shared" si="397"/>
        <v/>
      </c>
      <c r="AP323" s="258" t="str">
        <f t="shared" si="397"/>
        <v/>
      </c>
      <c r="AQ323" s="258" t="str">
        <f t="shared" si="397"/>
        <v/>
      </c>
      <c r="AR323" s="258" t="str">
        <f t="shared" si="397"/>
        <v/>
      </c>
      <c r="AS323" s="258" t="str">
        <f t="shared" si="397"/>
        <v/>
      </c>
      <c r="AT323" s="258" t="str">
        <f t="shared" si="397"/>
        <v/>
      </c>
      <c r="AU323" s="258" t="str">
        <f t="shared" si="397"/>
        <v/>
      </c>
      <c r="AV323" s="195"/>
      <c r="AW323" s="944"/>
      <c r="AX323" s="195"/>
      <c r="AY323" s="258" t="str">
        <f>AY$17</f>
        <v/>
      </c>
      <c r="AZ323" s="258" t="str">
        <f t="shared" ref="AZ323:BG323" si="398">AZ$17</f>
        <v/>
      </c>
      <c r="BA323" s="258" t="str">
        <f t="shared" si="398"/>
        <v/>
      </c>
      <c r="BB323" s="258" t="str">
        <f t="shared" si="398"/>
        <v/>
      </c>
      <c r="BC323" s="258" t="str">
        <f t="shared" si="398"/>
        <v/>
      </c>
      <c r="BD323" s="258" t="str">
        <f t="shared" si="398"/>
        <v/>
      </c>
      <c r="BE323" s="258" t="str">
        <f t="shared" si="398"/>
        <v/>
      </c>
      <c r="BF323" s="258" t="str">
        <f t="shared" si="398"/>
        <v/>
      </c>
      <c r="BG323" s="258" t="str">
        <f t="shared" si="398"/>
        <v/>
      </c>
      <c r="BH323" s="36"/>
    </row>
    <row r="324" spans="1:60">
      <c r="A324" s="1040"/>
      <c r="B324" s="1109" t="s">
        <v>1223</v>
      </c>
      <c r="C324" s="1107" t="s">
        <v>104</v>
      </c>
      <c r="D324" s="641"/>
      <c r="E324" s="203" t="s">
        <v>275</v>
      </c>
      <c r="F324" s="203"/>
      <c r="G324" s="203"/>
      <c r="H324" s="204" t="s">
        <v>154</v>
      </c>
      <c r="I324" s="205"/>
      <c r="J324" s="206"/>
      <c r="K324" s="79"/>
      <c r="L324" s="79"/>
      <c r="M324" s="206"/>
      <c r="N324" s="205"/>
      <c r="O324" s="1155" t="str" cm="1">
        <f t="array" ref="O324">IF(OR(O$17="",O$38="",O$40="",O$322=""),"",
IF(O$32&lt;=INDEX(BENG1_eis_grenswaarde_1,O$322),
      INDEX(BENG1_eis_Als_deeldoor_Ag_kleiner_dan_grenswaarde_1,O$322),
IF(O$32&lt;=INDEX(BENG1_eis_grenswaarde_2,O$322),
      INDEX(BENG1_eis_C1,O$322) + INDEX(BENG1_eis_C2,O$322) * (O$32 - INDEX(BENG1_eis_C3,O$322) ),
      INDEX(BENG1_eis_C4,O$322)  + INDEX(BENG1_eis_C5,O$322) * (O$32 - INDEX(BENG1_eis_C6,O$322) ))))</f>
        <v/>
      </c>
      <c r="P324" s="1155" t="str" cm="1">
        <f t="array" ref="P324">IF(OR(P$17="",P$38="",P$40="",P$322=""),"",
IF(P$32&lt;=INDEX(BENG1_eis_grenswaarde_1,P$322),
      INDEX(BENG1_eis_Als_deeldoor_Ag_kleiner_dan_grenswaarde_1,P$322),
IF(P$32&lt;=INDEX(BENG1_eis_grenswaarde_2,P$322),
      INDEX(BENG1_eis_C1,P$322) + INDEX(BENG1_eis_C2,P$322) * (P$32 - INDEX(BENG1_eis_C3,P$322) ),
      INDEX(BENG1_eis_C4,P$322)  + INDEX(BENG1_eis_C5,P$322) * (P$32 - INDEX(BENG1_eis_C6,P$322) ))))</f>
        <v/>
      </c>
      <c r="Q324" s="1155" t="str" cm="1">
        <f t="array" ref="Q324">IF(OR(Q$17="",Q$38="",Q$40="",Q$322=""),"",
IF(Q$32&lt;=INDEX(BENG1_eis_grenswaarde_1,Q$322),
      INDEX(BENG1_eis_Als_deeldoor_Ag_kleiner_dan_grenswaarde_1,Q$322),
IF(Q$32&lt;=INDEX(BENG1_eis_grenswaarde_2,Q$322),
      INDEX(BENG1_eis_C1,Q$322) + INDEX(BENG1_eis_C2,Q$322) * (Q$32 - INDEX(BENG1_eis_C3,Q$322) ),
      INDEX(BENG1_eis_C4,Q$322)  + INDEX(BENG1_eis_C5,Q$322) * (Q$32 - INDEX(BENG1_eis_C6,Q$322) ))))</f>
        <v/>
      </c>
      <c r="R324" s="1155" t="str" cm="1">
        <f t="array" ref="R324">IF(OR(R$17="",R$38="",R$40="",R$322=""),"",
IF(R$32&lt;=INDEX(BENG1_eis_grenswaarde_1,R$322),
      INDEX(BENG1_eis_Als_deeldoor_Ag_kleiner_dan_grenswaarde_1,R$322),
IF(R$32&lt;=INDEX(BENG1_eis_grenswaarde_2,R$322),
      INDEX(BENG1_eis_C1,R$322) + INDEX(BENG1_eis_C2,R$322) * (R$32 - INDEX(BENG1_eis_C3,R$322) ),
      INDEX(BENG1_eis_C4,R$322)  + INDEX(BENG1_eis_C5,R$322) * (R$32 - INDEX(BENG1_eis_C6,R$322) ))))</f>
        <v/>
      </c>
      <c r="S324" s="1155" t="str" cm="1">
        <f t="array" ref="S324">IF(OR(S$17="",S$38="",S$40="",S$322=""),"",
IF(S$32&lt;=INDEX(BENG1_eis_grenswaarde_1,S$322),
      INDEX(BENG1_eis_Als_deeldoor_Ag_kleiner_dan_grenswaarde_1,S$322),
IF(S$32&lt;=INDEX(BENG1_eis_grenswaarde_2,S$322),
      INDEX(BENG1_eis_C1,S$322) + INDEX(BENG1_eis_C2,S$322) * (S$32 - INDEX(BENG1_eis_C3,S$322) ),
      INDEX(BENG1_eis_C4,S$322)  + INDEX(BENG1_eis_C5,S$322) * (S$32 - INDEX(BENG1_eis_C6,S$322) ))))</f>
        <v/>
      </c>
      <c r="T324" s="1155" t="str" cm="1">
        <f t="array" ref="T324">IF(OR(T$17="",T$38="",T$40="",T$322=""),"",
IF(T$32&lt;=INDEX(BENG1_eis_grenswaarde_1,T$322),
      INDEX(BENG1_eis_Als_deeldoor_Ag_kleiner_dan_grenswaarde_1,T$322),
IF(T$32&lt;=INDEX(BENG1_eis_grenswaarde_2,T$322),
      INDEX(BENG1_eis_C1,T$322) + INDEX(BENG1_eis_C2,T$322) * (T$32 - INDEX(BENG1_eis_C3,T$322) ),
      INDEX(BENG1_eis_C4,T$322)  + INDEX(BENG1_eis_C5,T$322) * (T$32 - INDEX(BENG1_eis_C6,T$322) ))))</f>
        <v/>
      </c>
      <c r="U324" s="1155" t="str" cm="1">
        <f t="array" ref="U324">IF(OR(U$17="",U$38="",U$40="",U$322=""),"",
IF(U$32&lt;=INDEX(BENG1_eis_grenswaarde_1,U$322),
      INDEX(BENG1_eis_Als_deeldoor_Ag_kleiner_dan_grenswaarde_1,U$322),
IF(U$32&lt;=INDEX(BENG1_eis_grenswaarde_2,U$322),
      INDEX(BENG1_eis_C1,U$322) + INDEX(BENG1_eis_C2,U$322) * (U$32 - INDEX(BENG1_eis_C3,U$322) ),
      INDEX(BENG1_eis_C4,U$322)  + INDEX(BENG1_eis_C5,U$322) * (U$32 - INDEX(BENG1_eis_C6,U$322) ))))</f>
        <v/>
      </c>
      <c r="V324" s="1155" t="str" cm="1">
        <f t="array" ref="V324">IF(OR(V$17="",V$38="",V$40="",V$322=""),"",
IF(V$32&lt;=INDEX(BENG1_eis_grenswaarde_1,V$322),
      INDEX(BENG1_eis_Als_deeldoor_Ag_kleiner_dan_grenswaarde_1,V$322),
IF(V$32&lt;=INDEX(BENG1_eis_grenswaarde_2,V$322),
      INDEX(BENG1_eis_C1,V$322) + INDEX(BENG1_eis_C2,V$322) * (V$32 - INDEX(BENG1_eis_C3,V$322) ),
      INDEX(BENG1_eis_C4,V$322)  + INDEX(BENG1_eis_C5,V$322) * (V$32 - INDEX(BENG1_eis_C6,V$322) ))))</f>
        <v/>
      </c>
      <c r="W324" s="1155" t="str" cm="1">
        <f t="array" ref="W324">IF(OR(W$17="",W$38="",W$40="",W$322=""),"",
IF(W$32&lt;=INDEX(BENG1_eis_grenswaarde_1,W$322),
      INDEX(BENG1_eis_Als_deeldoor_Ag_kleiner_dan_grenswaarde_1,W$322),
IF(W$32&lt;=INDEX(BENG1_eis_grenswaarde_2,W$322),
      INDEX(BENG1_eis_C1,W$322) + INDEX(BENG1_eis_C2,W$322) * (W$32 - INDEX(BENG1_eis_C3,W$322) ),
      INDEX(BENG1_eis_C4,W$322)  + INDEX(BENG1_eis_C5,W$322) * (W$32 - INDEX(BENG1_eis_C6,W$322) ))))</f>
        <v/>
      </c>
      <c r="X324" s="108"/>
      <c r="Y324" s="206"/>
      <c r="Z324" s="1091"/>
      <c r="AA324" s="542" t="str" cm="1">
        <f t="array" ref="AA324">IF(OR(AA$17="",AA$38="",AA$40="",AA$322=""),"",
IF(AA$32&lt;=INDEX(BENG1_eis_grenswaarde_1,AA$322),
      INDEX(BENG1_eis_Als_deeldoor_Ag_kleiner_dan_grenswaarde_1,AA$322),
IF(AA$32&lt;=INDEX(BENG1_eis_grenswaarde_2,AA$322),
      INDEX(BENG1_eis_C1,AA$322) + INDEX(BENG1_eis_C2,AA$322) * (AA$32 - INDEX(BENG1_eis_C3,AA$322) ),
      INDEX(BENG1_eis_C4,AA$322)  + INDEX(BENG1_eis_C5,AA$322) * (AA$32 - INDEX(BENG1_eis_C6,AA$322) ))))</f>
        <v/>
      </c>
      <c r="AB324" s="542" t="str" cm="1">
        <f t="array" ref="AB324">IF(OR(AB$17="",AB$38="",AB$40="",AB$322=""),"",
IF(AB$32&lt;=INDEX(BENG1_eis_grenswaarde_1,AB$322),
      INDEX(BENG1_eis_Als_deeldoor_Ag_kleiner_dan_grenswaarde_1,AB$322),
IF(AB$32&lt;=INDEX(BENG1_eis_grenswaarde_2,AB$322),
      INDEX(BENG1_eis_C1,AB$322) + INDEX(BENG1_eis_C2,AB$322) * (AB$32 - INDEX(BENG1_eis_C3,AB$322) ),
      INDEX(BENG1_eis_C4,AB$322)  + INDEX(BENG1_eis_C5,AB$322) * (AB$32 - INDEX(BENG1_eis_C6,AB$322) ))))</f>
        <v/>
      </c>
      <c r="AC324" s="542" t="str" cm="1">
        <f t="array" ref="AC324">IF(OR(AC$17="",AC$38="",AC$40="",AC$322=""),"",
IF(AC$32&lt;=INDEX(BENG1_eis_grenswaarde_1,AC$322),
      INDEX(BENG1_eis_Als_deeldoor_Ag_kleiner_dan_grenswaarde_1,AC$322),
IF(AC$32&lt;=INDEX(BENG1_eis_grenswaarde_2,AC$322),
      INDEX(BENG1_eis_C1,AC$322) + INDEX(BENG1_eis_C2,AC$322) * (AC$32 - INDEX(BENG1_eis_C3,AC$322) ),
      INDEX(BENG1_eis_C4,AC$322)  + INDEX(BENG1_eis_C5,AC$322) * (AC$32 - INDEX(BENG1_eis_C6,AC$322) ))))</f>
        <v/>
      </c>
      <c r="AD324" s="542" t="str" cm="1">
        <f t="array" ref="AD324">IF(OR(AD$17="",AD$38="",AD$40="",AD$322=""),"",
IF(AD$32&lt;=INDEX(BENG1_eis_grenswaarde_1,AD$322),
      INDEX(BENG1_eis_Als_deeldoor_Ag_kleiner_dan_grenswaarde_1,AD$322),
IF(AD$32&lt;=INDEX(BENG1_eis_grenswaarde_2,AD$322),
      INDEX(BENG1_eis_C1,AD$322) + INDEX(BENG1_eis_C2,AD$322) * (AD$32 - INDEX(BENG1_eis_C3,AD$322) ),
      INDEX(BENG1_eis_C4,AD$322)  + INDEX(BENG1_eis_C5,AD$322) * (AD$32 - INDEX(BENG1_eis_C6,AD$322) ))))</f>
        <v/>
      </c>
      <c r="AE324" s="542" t="str" cm="1">
        <f t="array" ref="AE324">IF(OR(AE$17="",AE$38="",AE$40="",AE$322=""),"",
IF(AE$32&lt;=INDEX(BENG1_eis_grenswaarde_1,AE$322),
      INDEX(BENG1_eis_Als_deeldoor_Ag_kleiner_dan_grenswaarde_1,AE$322),
IF(AE$32&lt;=INDEX(BENG1_eis_grenswaarde_2,AE$322),
      INDEX(BENG1_eis_C1,AE$322) + INDEX(BENG1_eis_C2,AE$322) * (AE$32 - INDEX(BENG1_eis_C3,AE$322) ),
      INDEX(BENG1_eis_C4,AE$322)  + INDEX(BENG1_eis_C5,AE$322) * (AE$32 - INDEX(BENG1_eis_C6,AE$322) ))))</f>
        <v/>
      </c>
      <c r="AF324" s="542" t="str" cm="1">
        <f t="array" ref="AF324">IF(OR(AF$17="",AF$38="",AF$40="",AF$322=""),"",
IF(AF$32&lt;=INDEX(BENG1_eis_grenswaarde_1,AF$322),
      INDEX(BENG1_eis_Als_deeldoor_Ag_kleiner_dan_grenswaarde_1,AF$322),
IF(AF$32&lt;=INDEX(BENG1_eis_grenswaarde_2,AF$322),
      INDEX(BENG1_eis_C1,AF$322) + INDEX(BENG1_eis_C2,AF$322) * (AF$32 - INDEX(BENG1_eis_C3,AF$322) ),
      INDEX(BENG1_eis_C4,AF$322)  + INDEX(BENG1_eis_C5,AF$322) * (AF$32 - INDEX(BENG1_eis_C6,AF$322) ))))</f>
        <v/>
      </c>
      <c r="AG324" s="542" t="str" cm="1">
        <f t="array" ref="AG324">IF(OR(AG$17="",AG$38="",AG$40="",AG$322=""),"",
IF(AG$32&lt;=INDEX(BENG1_eis_grenswaarde_1,AG$322),
      INDEX(BENG1_eis_Als_deeldoor_Ag_kleiner_dan_grenswaarde_1,AG$322),
IF(AG$32&lt;=INDEX(BENG1_eis_grenswaarde_2,AG$322),
      INDEX(BENG1_eis_C1,AG$322) + INDEX(BENG1_eis_C2,AG$322) * (AG$32 - INDEX(BENG1_eis_C3,AG$322) ),
      INDEX(BENG1_eis_C4,AG$322)  + INDEX(BENG1_eis_C5,AG$322) * (AG$32 - INDEX(BENG1_eis_C6,AG$322) ))))</f>
        <v/>
      </c>
      <c r="AH324" s="542" t="str" cm="1">
        <f t="array" ref="AH324">IF(OR(AH$17="",AH$38="",AH$40="",AH$322=""),"",
IF(AH$32&lt;=INDEX(BENG1_eis_grenswaarde_1,AH$322),
      INDEX(BENG1_eis_Als_deeldoor_Ag_kleiner_dan_grenswaarde_1,AH$322),
IF(AH$32&lt;=INDEX(BENG1_eis_grenswaarde_2,AH$322),
      INDEX(BENG1_eis_C1,AH$322) + INDEX(BENG1_eis_C2,AH$322) * (AH$32 - INDEX(BENG1_eis_C3,AH$322) ),
      INDEX(BENG1_eis_C4,AH$322)  + INDEX(BENG1_eis_C5,AH$322) * (AH$32 - INDEX(BENG1_eis_C6,AH$322) ))))</f>
        <v/>
      </c>
      <c r="AI324" s="542" t="str" cm="1">
        <f t="array" ref="AI324">IF(OR(AI$17="",AI$38="",AI$40="",AI$322=""),"",
IF(AI$32&lt;=INDEX(BENG1_eis_grenswaarde_1,AI$322),
      INDEX(BENG1_eis_Als_deeldoor_Ag_kleiner_dan_grenswaarde_1,AI$322),
IF(AI$32&lt;=INDEX(BENG1_eis_grenswaarde_2,AI$322),
      INDEX(BENG1_eis_C1,AI$322) + INDEX(BENG1_eis_C2,AI$322) * (AI$32 - INDEX(BENG1_eis_C3,AI$322) ),
      INDEX(BENG1_eis_C4,AI$322)  + INDEX(BENG1_eis_C5,AI$322) * (AI$32 - INDEX(BENG1_eis_C6,AI$322) ))))</f>
        <v/>
      </c>
      <c r="AJ324" s="108"/>
      <c r="AK324" s="206"/>
      <c r="AL324" s="1091"/>
      <c r="AM324" s="542" t="str" cm="1">
        <f t="array" ref="AM324">IF(OR(AM$17="",AM$38="",AM$40="",AM$322=""),"",
IF(AM$32&lt;=INDEX(BENG1_eis_grenswaarde_1,AM$322),
      INDEX(BENG1_eis_Als_deeldoor_Ag_kleiner_dan_grenswaarde_1,AM$322),
IF(AM$32&lt;=INDEX(BENG1_eis_grenswaarde_2,AM$322),
      INDEX(BENG1_eis_C1,AM$322) + INDEX(BENG1_eis_C2,AM$322) * (AM$32 - INDEX(BENG1_eis_C3,AM$322) ),
      INDEX(BENG1_eis_C4,AM$322)  + INDEX(BENG1_eis_C5,AM$322) * (AM$32 - INDEX(BENG1_eis_C6,AM$322) ))))</f>
        <v/>
      </c>
      <c r="AN324" s="542" t="str" cm="1">
        <f t="array" ref="AN324">IF(OR(AN$17="",AN$38="",AN$40="",AN$322=""),"",
IF(AN$32&lt;=INDEX(BENG1_eis_grenswaarde_1,AN$322),
      INDEX(BENG1_eis_Als_deeldoor_Ag_kleiner_dan_grenswaarde_1,AN$322),
IF(AN$32&lt;=INDEX(BENG1_eis_grenswaarde_2,AN$322),
      INDEX(BENG1_eis_C1,AN$322) + INDEX(BENG1_eis_C2,AN$322) * (AN$32 - INDEX(BENG1_eis_C3,AN$322) ),
      INDEX(BENG1_eis_C4,AN$322)  + INDEX(BENG1_eis_C5,AN$322) * (AN$32 - INDEX(BENG1_eis_C6,AN$322) ))))</f>
        <v/>
      </c>
      <c r="AO324" s="542" t="str" cm="1">
        <f t="array" ref="AO324">IF(OR(AO$17="",AO$38="",AO$40="",AO$322=""),"",
IF(AO$32&lt;=INDEX(BENG1_eis_grenswaarde_1,AO$322),
      INDEX(BENG1_eis_Als_deeldoor_Ag_kleiner_dan_grenswaarde_1,AO$322),
IF(AO$32&lt;=INDEX(BENG1_eis_grenswaarde_2,AO$322),
      INDEX(BENG1_eis_C1,AO$322) + INDEX(BENG1_eis_C2,AO$322) * (AO$32 - INDEX(BENG1_eis_C3,AO$322) ),
      INDEX(BENG1_eis_C4,AO$322)  + INDEX(BENG1_eis_C5,AO$322) * (AO$32 - INDEX(BENG1_eis_C6,AO$322) ))))</f>
        <v/>
      </c>
      <c r="AP324" s="542" t="str" cm="1">
        <f t="array" ref="AP324">IF(OR(AP$17="",AP$38="",AP$40="",AP$322=""),"",
IF(AP$32&lt;=INDEX(BENG1_eis_grenswaarde_1,AP$322),
      INDEX(BENG1_eis_Als_deeldoor_Ag_kleiner_dan_grenswaarde_1,AP$322),
IF(AP$32&lt;=INDEX(BENG1_eis_grenswaarde_2,AP$322),
      INDEX(BENG1_eis_C1,AP$322) + INDEX(BENG1_eis_C2,AP$322) * (AP$32 - INDEX(BENG1_eis_C3,AP$322) ),
      INDEX(BENG1_eis_C4,AP$322)  + INDEX(BENG1_eis_C5,AP$322) * (AP$32 - INDEX(BENG1_eis_C6,AP$322) ))))</f>
        <v/>
      </c>
      <c r="AQ324" s="542" t="str" cm="1">
        <f t="array" ref="AQ324">IF(OR(AQ$17="",AQ$38="",AQ$40="",AQ$322=""),"",
IF(AQ$32&lt;=INDEX(BENG1_eis_grenswaarde_1,AQ$322),
      INDEX(BENG1_eis_Als_deeldoor_Ag_kleiner_dan_grenswaarde_1,AQ$322),
IF(AQ$32&lt;=INDEX(BENG1_eis_grenswaarde_2,AQ$322),
      INDEX(BENG1_eis_C1,AQ$322) + INDEX(BENG1_eis_C2,AQ$322) * (AQ$32 - INDEX(BENG1_eis_C3,AQ$322) ),
      INDEX(BENG1_eis_C4,AQ$322)  + INDEX(BENG1_eis_C5,AQ$322) * (AQ$32 - INDEX(BENG1_eis_C6,AQ$322) ))))</f>
        <v/>
      </c>
      <c r="AR324" s="542" t="str" cm="1">
        <f t="array" ref="AR324">IF(OR(AR$17="",AR$38="",AR$40="",AR$322=""),"",
IF(AR$32&lt;=INDEX(BENG1_eis_grenswaarde_1,AR$322),
      INDEX(BENG1_eis_Als_deeldoor_Ag_kleiner_dan_grenswaarde_1,AR$322),
IF(AR$32&lt;=INDEX(BENG1_eis_grenswaarde_2,AR$322),
      INDEX(BENG1_eis_C1,AR$322) + INDEX(BENG1_eis_C2,AR$322) * (AR$32 - INDEX(BENG1_eis_C3,AR$322) ),
      INDEX(BENG1_eis_C4,AR$322)  + INDEX(BENG1_eis_C5,AR$322) * (AR$32 - INDEX(BENG1_eis_C6,AR$322) ))))</f>
        <v/>
      </c>
      <c r="AS324" s="542" t="str" cm="1">
        <f t="array" ref="AS324">IF(OR(AS$17="",AS$38="",AS$40="",AS$322=""),"",
IF(AS$32&lt;=INDEX(BENG1_eis_grenswaarde_1,AS$322),
      INDEX(BENG1_eis_Als_deeldoor_Ag_kleiner_dan_grenswaarde_1,AS$322),
IF(AS$32&lt;=INDEX(BENG1_eis_grenswaarde_2,AS$322),
      INDEX(BENG1_eis_C1,AS$322) + INDEX(BENG1_eis_C2,AS$322) * (AS$32 - INDEX(BENG1_eis_C3,AS$322) ),
      INDEX(BENG1_eis_C4,AS$322)  + INDEX(BENG1_eis_C5,AS$322) * (AS$32 - INDEX(BENG1_eis_C6,AS$322) ))))</f>
        <v/>
      </c>
      <c r="AT324" s="542" t="str" cm="1">
        <f t="array" ref="AT324">IF(OR(AT$17="",AT$38="",AT$40="",AT$322=""),"",
IF(AT$32&lt;=INDEX(BENG1_eis_grenswaarde_1,AT$322),
      INDEX(BENG1_eis_Als_deeldoor_Ag_kleiner_dan_grenswaarde_1,AT$322),
IF(AT$32&lt;=INDEX(BENG1_eis_grenswaarde_2,AT$322),
      INDEX(BENG1_eis_C1,AT$322) + INDEX(BENG1_eis_C2,AT$322) * (AT$32 - INDEX(BENG1_eis_C3,AT$322) ),
      INDEX(BENG1_eis_C4,AT$322)  + INDEX(BENG1_eis_C5,AT$322) * (AT$32 - INDEX(BENG1_eis_C6,AT$322) ))))</f>
        <v/>
      </c>
      <c r="AU324" s="542" t="str" cm="1">
        <f t="array" ref="AU324">IF(OR(AU$17="",AU$38="",AU$40="",AU$322=""),"",
IF(AU$32&lt;=INDEX(BENG1_eis_grenswaarde_1,AU$322),
      INDEX(BENG1_eis_Als_deeldoor_Ag_kleiner_dan_grenswaarde_1,AU$322),
IF(AU$32&lt;=INDEX(BENG1_eis_grenswaarde_2,AU$322),
      INDEX(BENG1_eis_C1,AU$322) + INDEX(BENG1_eis_C2,AU$322) * (AU$32 - INDEX(BENG1_eis_C3,AU$322) ),
      INDEX(BENG1_eis_C4,AU$322)  + INDEX(BENG1_eis_C5,AU$322) * (AU$32 - INDEX(BENG1_eis_C6,AU$322) ))))</f>
        <v/>
      </c>
      <c r="AV324" s="108"/>
      <c r="AW324" s="206"/>
      <c r="AX324" s="1091"/>
      <c r="AY324" s="542" t="str" cm="1">
        <f t="array" ref="AY324">IF(OR(AY$17="",AY$38="",AY$40="",AY$322=""),"",
IF(AY$32&lt;=INDEX(BENG1_eis_grenswaarde_1,AY$322),
      INDEX(BENG1_eis_Als_deeldoor_Ag_kleiner_dan_grenswaarde_1,AY$322),
IF(AY$32&lt;=INDEX(BENG1_eis_grenswaarde_2,AY$322),
      INDEX(BENG1_eis_C1,AY$322) + INDEX(BENG1_eis_C2,AY$322) * (AY$32 - INDEX(BENG1_eis_C3,AY$322) ),
      INDEX(BENG1_eis_C4,AY$322)  + INDEX(BENG1_eis_C5,AY$322) * (AY$32 - INDEX(BENG1_eis_C6,AY$322) ))))</f>
        <v/>
      </c>
      <c r="AZ324" s="542" t="str" cm="1">
        <f t="array" ref="AZ324">IF(OR(AZ$17="",AZ$38="",AZ$40="",AZ$322=""),"",
IF(AZ$32&lt;=INDEX(BENG1_eis_grenswaarde_1,AZ$322),
      INDEX(BENG1_eis_Als_deeldoor_Ag_kleiner_dan_grenswaarde_1,AZ$322),
IF(AZ$32&lt;=INDEX(BENG1_eis_grenswaarde_2,AZ$322),
      INDEX(BENG1_eis_C1,AZ$322) + INDEX(BENG1_eis_C2,AZ$322) * (AZ$32 - INDEX(BENG1_eis_C3,AZ$322) ),
      INDEX(BENG1_eis_C4,AZ$322)  + INDEX(BENG1_eis_C5,AZ$322) * (AZ$32 - INDEX(BENG1_eis_C6,AZ$322) ))))</f>
        <v/>
      </c>
      <c r="BA324" s="542" t="str" cm="1">
        <f t="array" ref="BA324">IF(OR(BA$17="",BA$38="",BA$40="",BA$322=""),"",
IF(BA$32&lt;=INDEX(BENG1_eis_grenswaarde_1,BA$322),
      INDEX(BENG1_eis_Als_deeldoor_Ag_kleiner_dan_grenswaarde_1,BA$322),
IF(BA$32&lt;=INDEX(BENG1_eis_grenswaarde_2,BA$322),
      INDEX(BENG1_eis_C1,BA$322) + INDEX(BENG1_eis_C2,BA$322) * (BA$32 - INDEX(BENG1_eis_C3,BA$322) ),
      INDEX(BENG1_eis_C4,BA$322)  + INDEX(BENG1_eis_C5,BA$322) * (BA$32 - INDEX(BENG1_eis_C6,BA$322) ))))</f>
        <v/>
      </c>
      <c r="BB324" s="542" t="str" cm="1">
        <f t="array" ref="BB324">IF(OR(BB$17="",BB$38="",BB$40="",BB$322=""),"",
IF(BB$32&lt;=INDEX(BENG1_eis_grenswaarde_1,BB$322),
      INDEX(BENG1_eis_Als_deeldoor_Ag_kleiner_dan_grenswaarde_1,BB$322),
IF(BB$32&lt;=INDEX(BENG1_eis_grenswaarde_2,BB$322),
      INDEX(BENG1_eis_C1,BB$322) + INDEX(BENG1_eis_C2,BB$322) * (BB$32 - INDEX(BENG1_eis_C3,BB$322) ),
      INDEX(BENG1_eis_C4,BB$322)  + INDEX(BENG1_eis_C5,BB$322) * (BB$32 - INDEX(BENG1_eis_C6,BB$322) ))))</f>
        <v/>
      </c>
      <c r="BC324" s="542" t="str" cm="1">
        <f t="array" ref="BC324">IF(OR(BC$17="",BC$38="",BC$40="",BC$322=""),"",
IF(BC$32&lt;=INDEX(BENG1_eis_grenswaarde_1,BC$322),
      INDEX(BENG1_eis_Als_deeldoor_Ag_kleiner_dan_grenswaarde_1,BC$322),
IF(BC$32&lt;=INDEX(BENG1_eis_grenswaarde_2,BC$322),
      INDEX(BENG1_eis_C1,BC$322) + INDEX(BENG1_eis_C2,BC$322) * (BC$32 - INDEX(BENG1_eis_C3,BC$322) ),
      INDEX(BENG1_eis_C4,BC$322)  + INDEX(BENG1_eis_C5,BC$322) * (BC$32 - INDEX(BENG1_eis_C6,BC$322) ))))</f>
        <v/>
      </c>
      <c r="BD324" s="542" t="str" cm="1">
        <f t="array" ref="BD324">IF(OR(BD$17="",BD$38="",BD$40="",BD$322=""),"",
IF(BD$32&lt;=INDEX(BENG1_eis_grenswaarde_1,BD$322),
      INDEX(BENG1_eis_Als_deeldoor_Ag_kleiner_dan_grenswaarde_1,BD$322),
IF(BD$32&lt;=INDEX(BENG1_eis_grenswaarde_2,BD$322),
      INDEX(BENG1_eis_C1,BD$322) + INDEX(BENG1_eis_C2,BD$322) * (BD$32 - INDEX(BENG1_eis_C3,BD$322) ),
      INDEX(BENG1_eis_C4,BD$322)  + INDEX(BENG1_eis_C5,BD$322) * (BD$32 - INDEX(BENG1_eis_C6,BD$322) ))))</f>
        <v/>
      </c>
      <c r="BE324" s="542" t="str" cm="1">
        <f t="array" ref="BE324">IF(OR(BE$17="",BE$38="",BE$40="",BE$322=""),"",
IF(BE$32&lt;=INDEX(BENG1_eis_grenswaarde_1,BE$322),
      INDEX(BENG1_eis_Als_deeldoor_Ag_kleiner_dan_grenswaarde_1,BE$322),
IF(BE$32&lt;=INDEX(BENG1_eis_grenswaarde_2,BE$322),
      INDEX(BENG1_eis_C1,BE$322) + INDEX(BENG1_eis_C2,BE$322) * (BE$32 - INDEX(BENG1_eis_C3,BE$322) ),
      INDEX(BENG1_eis_C4,BE$322)  + INDEX(BENG1_eis_C5,BE$322) * (BE$32 - INDEX(BENG1_eis_C6,BE$322) ))))</f>
        <v/>
      </c>
      <c r="BF324" s="542" t="str" cm="1">
        <f t="array" ref="BF324">IF(OR(BF$17="",BF$38="",BF$40="",BF$322=""),"",
IF(BF$32&lt;=INDEX(BENG1_eis_grenswaarde_1,BF$322),
      INDEX(BENG1_eis_Als_deeldoor_Ag_kleiner_dan_grenswaarde_1,BF$322),
IF(BF$32&lt;=INDEX(BENG1_eis_grenswaarde_2,BF$322),
      INDEX(BENG1_eis_C1,BF$322) + INDEX(BENG1_eis_C2,BF$322) * (BF$32 - INDEX(BENG1_eis_C3,BF$322) ),
      INDEX(BENG1_eis_C4,BF$322)  + INDEX(BENG1_eis_C5,BF$322) * (BF$32 - INDEX(BENG1_eis_C6,BF$322) ))))</f>
        <v/>
      </c>
      <c r="BG324" s="542" t="str" cm="1">
        <f t="array" ref="BG324">IF(OR(BG$17="",BG$38="",BG$40="",BG$322=""),"",
IF(BG$32&lt;=INDEX(BENG1_eis_grenswaarde_1,BG$322),
      INDEX(BENG1_eis_Als_deeldoor_Ag_kleiner_dan_grenswaarde_1,BG$322),
IF(BG$32&lt;=INDEX(BENG1_eis_grenswaarde_2,BG$322),
      INDEX(BENG1_eis_C1,BG$322) + INDEX(BENG1_eis_C2,BG$322) * (BG$32 - INDEX(BENG1_eis_C3,BG$322) ),
      INDEX(BENG1_eis_C4,BG$322)  + INDEX(BENG1_eis_C5,BG$322) * (BG$32 - INDEX(BENG1_eis_C6,BG$322) ))))</f>
        <v/>
      </c>
      <c r="BH324" s="210"/>
    </row>
    <row r="325" spans="1:60">
      <c r="A325" s="1040"/>
      <c r="B325" s="1109" t="s">
        <v>1223</v>
      </c>
      <c r="C325" s="1107" t="s">
        <v>104</v>
      </c>
      <c r="D325" s="641"/>
      <c r="E325" s="203" t="s">
        <v>276</v>
      </c>
      <c r="F325" s="203"/>
      <c r="G325" s="203"/>
      <c r="H325" s="204" t="s">
        <v>267</v>
      </c>
      <c r="I325" s="205"/>
      <c r="J325" s="206"/>
      <c r="K325" s="79"/>
      <c r="L325" s="79"/>
      <c r="M325" s="206"/>
      <c r="N325" s="205"/>
      <c r="O325" s="1155" t="str" cm="1">
        <f t="array" ref="O325">IF(O$322="","",INDEX(BENG2_eis,O$322))</f>
        <v/>
      </c>
      <c r="P325" s="1155" t="str" cm="1">
        <f t="array" ref="P325">IF(P$322="","",INDEX(BENG2_eis,P$322))</f>
        <v/>
      </c>
      <c r="Q325" s="1155" t="str" cm="1">
        <f t="array" ref="Q325">IF(Q$322="","",INDEX(BENG2_eis,Q$322))</f>
        <v/>
      </c>
      <c r="R325" s="1155" t="str" cm="1">
        <f t="array" ref="R325">IF(R$322="","",INDEX(BENG2_eis,R$322))</f>
        <v/>
      </c>
      <c r="S325" s="1155" t="str" cm="1">
        <f t="array" ref="S325">IF(S$322="","",INDEX(BENG2_eis,S$322))</f>
        <v/>
      </c>
      <c r="T325" s="1155" t="str" cm="1">
        <f t="array" ref="T325">IF(T$322="","",INDEX(BENG2_eis,T$322))</f>
        <v/>
      </c>
      <c r="U325" s="1155" t="str" cm="1">
        <f t="array" ref="U325">IF(U$322="","",INDEX(BENG2_eis,U$322))</f>
        <v/>
      </c>
      <c r="V325" s="1155" t="str" cm="1">
        <f t="array" ref="V325">IF(V$322="","",INDEX(BENG2_eis,V$322))</f>
        <v/>
      </c>
      <c r="W325" s="1155" t="str" cm="1">
        <f t="array" ref="W325">IF(W$322="","",INDEX(BENG2_eis,W$322))</f>
        <v/>
      </c>
      <c r="X325" s="108"/>
      <c r="Y325" s="206"/>
      <c r="Z325" s="1091"/>
      <c r="AA325" s="542" t="str" cm="1">
        <f t="array" ref="AA325">IF(AA$322="","",INDEX(BENG2_eis,AA$322))</f>
        <v/>
      </c>
      <c r="AB325" s="542" t="str" cm="1">
        <f t="array" ref="AB325">IF(AB$322="","",INDEX(BENG2_eis,AB$322))</f>
        <v/>
      </c>
      <c r="AC325" s="542" t="str" cm="1">
        <f t="array" ref="AC325">IF(AC$322="","",INDEX(BENG2_eis,AC$322))</f>
        <v/>
      </c>
      <c r="AD325" s="542" t="str" cm="1">
        <f t="array" ref="AD325">IF(AD$322="","",INDEX(BENG2_eis,AD$322))</f>
        <v/>
      </c>
      <c r="AE325" s="542" t="str" cm="1">
        <f t="array" ref="AE325">IF(AE$322="","",INDEX(BENG2_eis,AE$322))</f>
        <v/>
      </c>
      <c r="AF325" s="542" t="str" cm="1">
        <f t="array" ref="AF325">IF(AF$322="","",INDEX(BENG2_eis,AF$322))</f>
        <v/>
      </c>
      <c r="AG325" s="542" t="str" cm="1">
        <f t="array" ref="AG325">IF(AG$322="","",INDEX(BENG2_eis,AG$322))</f>
        <v/>
      </c>
      <c r="AH325" s="542" t="str" cm="1">
        <f t="array" ref="AH325">IF(AH$322="","",INDEX(BENG2_eis,AH$322))</f>
        <v/>
      </c>
      <c r="AI325" s="542" t="str" cm="1">
        <f t="array" ref="AI325">IF(AI$322="","",INDEX(BENG2_eis,AI$322))</f>
        <v/>
      </c>
      <c r="AJ325" s="108"/>
      <c r="AK325" s="206"/>
      <c r="AL325" s="1091"/>
      <c r="AM325" s="542" t="str" cm="1">
        <f t="array" ref="AM325">IF(AM$322="","",INDEX(BENG2_eis,AM$322))</f>
        <v/>
      </c>
      <c r="AN325" s="542" t="str" cm="1">
        <f t="array" ref="AN325">IF(AN$322="","",INDEX(BENG2_eis,AN$322))</f>
        <v/>
      </c>
      <c r="AO325" s="542" t="str" cm="1">
        <f t="array" ref="AO325">IF(AO$322="","",INDEX(BENG2_eis,AO$322))</f>
        <v/>
      </c>
      <c r="AP325" s="542" t="str" cm="1">
        <f t="array" ref="AP325">IF(AP$322="","",INDEX(BENG2_eis,AP$322))</f>
        <v/>
      </c>
      <c r="AQ325" s="542" t="str" cm="1">
        <f t="array" ref="AQ325">IF(AQ$322="","",INDEX(BENG2_eis,AQ$322))</f>
        <v/>
      </c>
      <c r="AR325" s="542" t="str" cm="1">
        <f t="array" ref="AR325">IF(AR$322="","",INDEX(BENG2_eis,AR$322))</f>
        <v/>
      </c>
      <c r="AS325" s="542" t="str" cm="1">
        <f t="array" ref="AS325">IF(AS$322="","",INDEX(BENG2_eis,AS$322))</f>
        <v/>
      </c>
      <c r="AT325" s="542" t="str" cm="1">
        <f t="array" ref="AT325">IF(AT$322="","",INDEX(BENG2_eis,AT$322))</f>
        <v/>
      </c>
      <c r="AU325" s="542" t="str" cm="1">
        <f t="array" ref="AU325">IF(AU$322="","",INDEX(BENG2_eis,AU$322))</f>
        <v/>
      </c>
      <c r="AV325" s="108"/>
      <c r="AW325" s="206"/>
      <c r="AX325" s="1091"/>
      <c r="AY325" s="542" t="str" cm="1">
        <f t="array" ref="AY325">IF(AY$322="","",INDEX(BENG2_eis,AY$322))</f>
        <v/>
      </c>
      <c r="AZ325" s="542" t="str" cm="1">
        <f t="array" ref="AZ325">IF(AZ$322="","",INDEX(BENG2_eis,AZ$322))</f>
        <v/>
      </c>
      <c r="BA325" s="542" t="str" cm="1">
        <f t="array" ref="BA325">IF(BA$322="","",INDEX(BENG2_eis,BA$322))</f>
        <v/>
      </c>
      <c r="BB325" s="542" t="str" cm="1">
        <f t="array" ref="BB325">IF(BB$322="","",INDEX(BENG2_eis,BB$322))</f>
        <v/>
      </c>
      <c r="BC325" s="542" t="str" cm="1">
        <f t="array" ref="BC325">IF(BC$322="","",INDEX(BENG2_eis,BC$322))</f>
        <v/>
      </c>
      <c r="BD325" s="542" t="str" cm="1">
        <f t="array" ref="BD325">IF(BD$322="","",INDEX(BENG2_eis,BD$322))</f>
        <v/>
      </c>
      <c r="BE325" s="542" t="str" cm="1">
        <f t="array" ref="BE325">IF(BE$322="","",INDEX(BENG2_eis,BE$322))</f>
        <v/>
      </c>
      <c r="BF325" s="542" t="str" cm="1">
        <f t="array" ref="BF325">IF(BF$322="","",INDEX(BENG2_eis,BF$322))</f>
        <v/>
      </c>
      <c r="BG325" s="542" t="str" cm="1">
        <f t="array" ref="BG325">IF(BG$322="","",INDEX(BENG2_eis,BG$322))</f>
        <v/>
      </c>
      <c r="BH325" s="210"/>
    </row>
    <row r="326" spans="1:60">
      <c r="A326" s="1040"/>
      <c r="B326" s="1109" t="s">
        <v>1223</v>
      </c>
      <c r="C326" s="1107" t="s">
        <v>104</v>
      </c>
      <c r="D326" s="641"/>
      <c r="E326" s="203" t="s">
        <v>277</v>
      </c>
      <c r="F326" s="203"/>
      <c r="G326" s="203"/>
      <c r="H326" s="204" t="s">
        <v>139</v>
      </c>
      <c r="I326" s="205"/>
      <c r="J326" s="206"/>
      <c r="K326" s="79"/>
      <c r="L326" s="79"/>
      <c r="M326" s="206"/>
      <c r="N326" s="205"/>
      <c r="O326" s="1155" t="str" cm="1">
        <f t="array" ref="O326">IF(O$322="","",INDEX(BENG3_eis,O$322))</f>
        <v/>
      </c>
      <c r="P326" s="1155" t="str" cm="1">
        <f t="array" ref="P326">IF(P$322="","",INDEX(BENG3_eis,P$322))</f>
        <v/>
      </c>
      <c r="Q326" s="1155" t="str" cm="1">
        <f t="array" ref="Q326">IF(Q$322="","",INDEX(BENG3_eis,Q$322))</f>
        <v/>
      </c>
      <c r="R326" s="1155" t="str" cm="1">
        <f t="array" ref="R326">IF(R$322="","",INDEX(BENG3_eis,R$322))</f>
        <v/>
      </c>
      <c r="S326" s="1155" t="str" cm="1">
        <f t="array" ref="S326">IF(S$322="","",INDEX(BENG3_eis,S$322))</f>
        <v/>
      </c>
      <c r="T326" s="1155" t="str" cm="1">
        <f t="array" ref="T326">IF(T$322="","",INDEX(BENG3_eis,T$322))</f>
        <v/>
      </c>
      <c r="U326" s="1155" t="str" cm="1">
        <f t="array" ref="U326">IF(U$322="","",INDEX(BENG3_eis,U$322))</f>
        <v/>
      </c>
      <c r="V326" s="1155" t="str" cm="1">
        <f t="array" ref="V326">IF(V$322="","",INDEX(BENG3_eis,V$322))</f>
        <v/>
      </c>
      <c r="W326" s="1155" t="str" cm="1">
        <f t="array" ref="W326">IF(W$322="","",INDEX(BENG3_eis,W$322))</f>
        <v/>
      </c>
      <c r="X326" s="108"/>
      <c r="Y326" s="206"/>
      <c r="Z326" s="1091"/>
      <c r="AA326" s="542" t="str" cm="1">
        <f t="array" ref="AA326">IF(AA$322="","",INDEX(BENG3_eis,AA$322))</f>
        <v/>
      </c>
      <c r="AB326" s="542" t="str" cm="1">
        <f t="array" ref="AB326">IF(AB$322="","",INDEX(BENG3_eis,AB$322))</f>
        <v/>
      </c>
      <c r="AC326" s="542" t="str" cm="1">
        <f t="array" ref="AC326">IF(AC$322="","",INDEX(BENG3_eis,AC$322))</f>
        <v/>
      </c>
      <c r="AD326" s="542" t="str" cm="1">
        <f t="array" ref="AD326">IF(AD$322="","",INDEX(BENG3_eis,AD$322))</f>
        <v/>
      </c>
      <c r="AE326" s="542" t="str" cm="1">
        <f t="array" ref="AE326">IF(AE$322="","",INDEX(BENG3_eis,AE$322))</f>
        <v/>
      </c>
      <c r="AF326" s="542" t="str" cm="1">
        <f t="array" ref="AF326">IF(AF$322="","",INDEX(BENG3_eis,AF$322))</f>
        <v/>
      </c>
      <c r="AG326" s="542" t="str" cm="1">
        <f t="array" ref="AG326">IF(AG$322="","",INDEX(BENG3_eis,AG$322))</f>
        <v/>
      </c>
      <c r="AH326" s="542" t="str" cm="1">
        <f t="array" ref="AH326">IF(AH$322="","",INDEX(BENG3_eis,AH$322))</f>
        <v/>
      </c>
      <c r="AI326" s="542" t="str" cm="1">
        <f t="array" ref="AI326">IF(AI$322="","",INDEX(BENG3_eis,AI$322))</f>
        <v/>
      </c>
      <c r="AJ326" s="108"/>
      <c r="AK326" s="206"/>
      <c r="AL326" s="1091"/>
      <c r="AM326" s="542" t="str" cm="1">
        <f t="array" ref="AM326">IF(AM$322="","",INDEX(BENG3_eis,AM$322))</f>
        <v/>
      </c>
      <c r="AN326" s="542" t="str" cm="1">
        <f t="array" ref="AN326">IF(AN$322="","",INDEX(BENG3_eis,AN$322))</f>
        <v/>
      </c>
      <c r="AO326" s="542" t="str" cm="1">
        <f t="array" ref="AO326">IF(AO$322="","",INDEX(BENG3_eis,AO$322))</f>
        <v/>
      </c>
      <c r="AP326" s="542" t="str" cm="1">
        <f t="array" ref="AP326">IF(AP$322="","",INDEX(BENG3_eis,AP$322))</f>
        <v/>
      </c>
      <c r="AQ326" s="542" t="str" cm="1">
        <f t="array" ref="AQ326">IF(AQ$322="","",INDEX(BENG3_eis,AQ$322))</f>
        <v/>
      </c>
      <c r="AR326" s="542" t="str" cm="1">
        <f t="array" ref="AR326">IF(AR$322="","",INDEX(BENG3_eis,AR$322))</f>
        <v/>
      </c>
      <c r="AS326" s="542" t="str" cm="1">
        <f t="array" ref="AS326">IF(AS$322="","",INDEX(BENG3_eis,AS$322))</f>
        <v/>
      </c>
      <c r="AT326" s="542" t="str" cm="1">
        <f t="array" ref="AT326">IF(AT$322="","",INDEX(BENG3_eis,AT$322))</f>
        <v/>
      </c>
      <c r="AU326" s="542" t="str" cm="1">
        <f t="array" ref="AU326">IF(AU$322="","",INDEX(BENG3_eis,AU$322))</f>
        <v/>
      </c>
      <c r="AV326" s="108"/>
      <c r="AW326" s="206"/>
      <c r="AX326" s="1091"/>
      <c r="AY326" s="542" t="str" cm="1">
        <f t="array" ref="AY326">IF(AY$322="","",INDEX(BENG3_eis,AY$322))</f>
        <v/>
      </c>
      <c r="AZ326" s="542" t="str" cm="1">
        <f t="array" ref="AZ326">IF(AZ$322="","",INDEX(BENG3_eis,AZ$322))</f>
        <v/>
      </c>
      <c r="BA326" s="542" t="str" cm="1">
        <f t="array" ref="BA326">IF(BA$322="","",INDEX(BENG3_eis,BA$322))</f>
        <v/>
      </c>
      <c r="BB326" s="542" t="str" cm="1">
        <f t="array" ref="BB326">IF(BB$322="","",INDEX(BENG3_eis,BB$322))</f>
        <v/>
      </c>
      <c r="BC326" s="542" t="str" cm="1">
        <f t="array" ref="BC326">IF(BC$322="","",INDEX(BENG3_eis,BC$322))</f>
        <v/>
      </c>
      <c r="BD326" s="542" t="str" cm="1">
        <f t="array" ref="BD326">IF(BD$322="","",INDEX(BENG3_eis,BD$322))</f>
        <v/>
      </c>
      <c r="BE326" s="542" t="str" cm="1">
        <f t="array" ref="BE326">IF(BE$322="","",INDEX(BENG3_eis,BE$322))</f>
        <v/>
      </c>
      <c r="BF326" s="542" t="str" cm="1">
        <f t="array" ref="BF326">IF(BF$322="","",INDEX(BENG3_eis,BF$322))</f>
        <v/>
      </c>
      <c r="BG326" s="542" t="str" cm="1">
        <f t="array" ref="BG326">IF(BG$322="","",INDEX(BENG3_eis,BG$322))</f>
        <v/>
      </c>
      <c r="BH326" s="210"/>
    </row>
    <row r="327" spans="1:60">
      <c r="A327" s="1040"/>
      <c r="B327" s="1109" t="s">
        <v>1223</v>
      </c>
      <c r="C327" s="1106" t="s">
        <v>96</v>
      </c>
      <c r="D327" s="640" t="s">
        <v>45</v>
      </c>
      <c r="E327" s="942" t="s">
        <v>278</v>
      </c>
      <c r="F327" s="942"/>
      <c r="G327" s="942"/>
      <c r="H327" s="942"/>
      <c r="I327" s="129"/>
      <c r="J327" s="943"/>
      <c r="K327" s="126"/>
      <c r="L327" s="126"/>
      <c r="M327" s="944"/>
      <c r="N327" s="195"/>
      <c r="O327" s="1154" t="str">
        <f>O$17</f>
        <v/>
      </c>
      <c r="P327" s="1154" t="str">
        <f t="shared" ref="P327:W327" si="399">P$17</f>
        <v/>
      </c>
      <c r="Q327" s="1154" t="str">
        <f t="shared" si="399"/>
        <v/>
      </c>
      <c r="R327" s="1154" t="str">
        <f t="shared" si="399"/>
        <v/>
      </c>
      <c r="S327" s="1154" t="str">
        <f t="shared" si="399"/>
        <v/>
      </c>
      <c r="T327" s="1154" t="str">
        <f t="shared" si="399"/>
        <v/>
      </c>
      <c r="U327" s="1154" t="str">
        <f t="shared" si="399"/>
        <v/>
      </c>
      <c r="V327" s="1154" t="str">
        <f t="shared" si="399"/>
        <v/>
      </c>
      <c r="W327" s="1154" t="str">
        <f t="shared" si="399"/>
        <v/>
      </c>
      <c r="X327" s="195"/>
      <c r="Y327" s="944"/>
      <c r="Z327" s="195"/>
      <c r="AA327" s="258" t="str">
        <f>AA$17</f>
        <v/>
      </c>
      <c r="AB327" s="258" t="str">
        <f t="shared" ref="AB327:AI327" si="400">AB$17</f>
        <v/>
      </c>
      <c r="AC327" s="258" t="str">
        <f t="shared" si="400"/>
        <v/>
      </c>
      <c r="AD327" s="258" t="str">
        <f t="shared" si="400"/>
        <v/>
      </c>
      <c r="AE327" s="258" t="str">
        <f t="shared" si="400"/>
        <v/>
      </c>
      <c r="AF327" s="258" t="str">
        <f t="shared" si="400"/>
        <v/>
      </c>
      <c r="AG327" s="258" t="str">
        <f t="shared" si="400"/>
        <v/>
      </c>
      <c r="AH327" s="258" t="str">
        <f t="shared" si="400"/>
        <v/>
      </c>
      <c r="AI327" s="258" t="str">
        <f t="shared" si="400"/>
        <v/>
      </c>
      <c r="AJ327" s="195"/>
      <c r="AK327" s="944"/>
      <c r="AL327" s="195"/>
      <c r="AM327" s="258" t="str">
        <f>AM$17</f>
        <v/>
      </c>
      <c r="AN327" s="258" t="str">
        <f t="shared" ref="AN327:AU327" si="401">AN$17</f>
        <v/>
      </c>
      <c r="AO327" s="258" t="str">
        <f t="shared" si="401"/>
        <v/>
      </c>
      <c r="AP327" s="258" t="str">
        <f t="shared" si="401"/>
        <v/>
      </c>
      <c r="AQ327" s="258" t="str">
        <f t="shared" si="401"/>
        <v/>
      </c>
      <c r="AR327" s="258" t="str">
        <f t="shared" si="401"/>
        <v/>
      </c>
      <c r="AS327" s="258" t="str">
        <f t="shared" si="401"/>
        <v/>
      </c>
      <c r="AT327" s="258" t="str">
        <f t="shared" si="401"/>
        <v/>
      </c>
      <c r="AU327" s="258" t="str">
        <f t="shared" si="401"/>
        <v/>
      </c>
      <c r="AV327" s="195"/>
      <c r="AW327" s="944"/>
      <c r="AX327" s="195"/>
      <c r="AY327" s="258" t="str">
        <f>AY$17</f>
        <v/>
      </c>
      <c r="AZ327" s="258" t="str">
        <f t="shared" ref="AZ327:BG327" si="402">AZ$17</f>
        <v/>
      </c>
      <c r="BA327" s="258" t="str">
        <f t="shared" si="402"/>
        <v/>
      </c>
      <c r="BB327" s="258" t="str">
        <f t="shared" si="402"/>
        <v/>
      </c>
      <c r="BC327" s="258" t="str">
        <f t="shared" si="402"/>
        <v/>
      </c>
      <c r="BD327" s="258" t="str">
        <f t="shared" si="402"/>
        <v/>
      </c>
      <c r="BE327" s="258" t="str">
        <f t="shared" si="402"/>
        <v/>
      </c>
      <c r="BF327" s="258" t="str">
        <f t="shared" si="402"/>
        <v/>
      </c>
      <c r="BG327" s="258" t="str">
        <f t="shared" si="402"/>
        <v/>
      </c>
      <c r="BH327" s="36"/>
    </row>
    <row r="328" spans="1:60" hidden="1">
      <c r="A328" s="1041"/>
      <c r="B328" s="1109" t="s">
        <v>1223</v>
      </c>
      <c r="C328" s="1106" t="s">
        <v>262</v>
      </c>
      <c r="D328" s="1183"/>
      <c r="E328" s="413" t="s">
        <v>1058</v>
      </c>
      <c r="F328" s="296"/>
      <c r="G328" s="894" t="str">
        <f ca="1">fitformule_Ehc_nd_EP</f>
        <v>Ehc;nd;EP</v>
      </c>
      <c r="H328" s="295" t="s">
        <v>65</v>
      </c>
      <c r="I328" s="259"/>
      <c r="J328" s="895"/>
      <c r="K328" s="896"/>
      <c r="L328" s="896"/>
      <c r="M328" s="895"/>
      <c r="N328" s="897" t="s">
        <v>84</v>
      </c>
      <c r="O328" s="1156" t="e">
        <f t="shared" ref="O328:W328" ca="1" si="403">$F$6
&amp;INDEX(gebruiksfuncties_fitcurve_NTA8800,MATCH(O$19,gebruiksfuncties_namen,0))
&amp;INDEX(ventilatiesystemen_code,MATCH(O$40,ventilatiesystemen_namen,0))
&amp;O$49
&amp;$G328</f>
        <v>#N/A</v>
      </c>
      <c r="P328" s="1157" t="e">
        <f t="shared" ca="1" si="403"/>
        <v>#N/A</v>
      </c>
      <c r="Q328" s="1157" t="e">
        <f t="shared" ca="1" si="403"/>
        <v>#N/A</v>
      </c>
      <c r="R328" s="1157" t="e">
        <f t="shared" ca="1" si="403"/>
        <v>#N/A</v>
      </c>
      <c r="S328" s="1157" t="e">
        <f t="shared" ca="1" si="403"/>
        <v>#N/A</v>
      </c>
      <c r="T328" s="1157" t="e">
        <f t="shared" ca="1" si="403"/>
        <v>#N/A</v>
      </c>
      <c r="U328" s="1157" t="e">
        <f t="shared" ca="1" si="403"/>
        <v>#N/A</v>
      </c>
      <c r="V328" s="1157" t="e">
        <f t="shared" ca="1" si="403"/>
        <v>#N/A</v>
      </c>
      <c r="W328" s="1157" t="e">
        <f t="shared" ca="1" si="403"/>
        <v>#N/A</v>
      </c>
      <c r="X328" s="896"/>
      <c r="Y328" s="895"/>
      <c r="Z328" s="897" t="s">
        <v>84</v>
      </c>
      <c r="AA328" s="880" t="e">
        <f t="shared" ref="AA328:AI328" ca="1" si="404">$F$6
&amp;INDEX(gebruiksfuncties_fitcurve_NTA8800,MATCH(AA$19,gebruiksfuncties_namen,0))
&amp;INDEX(ventilatiesystemen_code,MATCH(AA$40,ventilatiesystemen_namen,0))
&amp;AA$49
&amp;$G328</f>
        <v>#N/A</v>
      </c>
      <c r="AB328" s="880" t="e">
        <f t="shared" ca="1" si="404"/>
        <v>#N/A</v>
      </c>
      <c r="AC328" s="880" t="e">
        <f t="shared" ca="1" si="404"/>
        <v>#N/A</v>
      </c>
      <c r="AD328" s="880" t="e">
        <f t="shared" ca="1" si="404"/>
        <v>#N/A</v>
      </c>
      <c r="AE328" s="880" t="e">
        <f t="shared" ca="1" si="404"/>
        <v>#N/A</v>
      </c>
      <c r="AF328" s="880" t="e">
        <f t="shared" ca="1" si="404"/>
        <v>#N/A</v>
      </c>
      <c r="AG328" s="880" t="e">
        <f t="shared" ca="1" si="404"/>
        <v>#N/A</v>
      </c>
      <c r="AH328" s="880" t="e">
        <f t="shared" ca="1" si="404"/>
        <v>#N/A</v>
      </c>
      <c r="AI328" s="880" t="e">
        <f t="shared" ca="1" si="404"/>
        <v>#N/A</v>
      </c>
      <c r="AJ328" s="896"/>
      <c r="AK328" s="895"/>
      <c r="AL328" s="897" t="s">
        <v>84</v>
      </c>
      <c r="AM328" s="880" t="e">
        <f t="shared" ref="AM328:AU328" ca="1" si="405">$F$6
&amp;INDEX(gebruiksfuncties_fitcurve_NTA8800,MATCH(AM$19,gebruiksfuncties_namen,0))
&amp;INDEX(ventilatiesystemen_code,MATCH(AM$40,ventilatiesystemen_namen,0))
&amp;AM$49
&amp;$G328</f>
        <v>#N/A</v>
      </c>
      <c r="AN328" s="880" t="e">
        <f t="shared" ca="1" si="405"/>
        <v>#N/A</v>
      </c>
      <c r="AO328" s="880" t="e">
        <f t="shared" ca="1" si="405"/>
        <v>#N/A</v>
      </c>
      <c r="AP328" s="880" t="e">
        <f t="shared" ca="1" si="405"/>
        <v>#N/A</v>
      </c>
      <c r="AQ328" s="880" t="e">
        <f t="shared" ca="1" si="405"/>
        <v>#N/A</v>
      </c>
      <c r="AR328" s="880" t="e">
        <f t="shared" ca="1" si="405"/>
        <v>#N/A</v>
      </c>
      <c r="AS328" s="880" t="e">
        <f t="shared" ca="1" si="405"/>
        <v>#N/A</v>
      </c>
      <c r="AT328" s="880" t="e">
        <f t="shared" ca="1" si="405"/>
        <v>#N/A</v>
      </c>
      <c r="AU328" s="880" t="e">
        <f t="shared" ca="1" si="405"/>
        <v>#N/A</v>
      </c>
      <c r="AV328" s="896"/>
      <c r="AW328" s="895"/>
      <c r="AX328" s="897" t="s">
        <v>84</v>
      </c>
      <c r="AY328" s="880" t="e">
        <f t="shared" ref="AY328:BG328" ca="1" si="406">$F$6
&amp;INDEX(gebruiksfuncties_fitcurve_NTA8800,MATCH(AY$19,gebruiksfuncties_namen,0))
&amp;INDEX(ventilatiesystemen_code,MATCH(AY$40,ventilatiesystemen_namen,0))
&amp;AY$49
&amp;$G328</f>
        <v>#N/A</v>
      </c>
      <c r="AZ328" s="880" t="e">
        <f t="shared" ca="1" si="406"/>
        <v>#N/A</v>
      </c>
      <c r="BA328" s="880" t="e">
        <f t="shared" ca="1" si="406"/>
        <v>#N/A</v>
      </c>
      <c r="BB328" s="880" t="e">
        <f t="shared" ca="1" si="406"/>
        <v>#N/A</v>
      </c>
      <c r="BC328" s="880" t="e">
        <f t="shared" ca="1" si="406"/>
        <v>#N/A</v>
      </c>
      <c r="BD328" s="880" t="e">
        <f t="shared" ca="1" si="406"/>
        <v>#N/A</v>
      </c>
      <c r="BE328" s="880" t="e">
        <f t="shared" ca="1" si="406"/>
        <v>#N/A</v>
      </c>
      <c r="BF328" s="880" t="e">
        <f t="shared" ca="1" si="406"/>
        <v>#N/A</v>
      </c>
      <c r="BG328" s="880" t="e">
        <f t="shared" ca="1" si="406"/>
        <v>#N/A</v>
      </c>
      <c r="BH328" s="218"/>
    </row>
    <row r="329" spans="1:60">
      <c r="A329" s="1040"/>
      <c r="B329" s="1109" t="s">
        <v>1223</v>
      </c>
      <c r="C329" s="1107" t="s">
        <v>104</v>
      </c>
      <c r="D329" s="640" t="s">
        <v>45</v>
      </c>
      <c r="E329" s="203" t="s">
        <v>279</v>
      </c>
      <c r="F329" s="203"/>
      <c r="G329" s="203"/>
      <c r="H329" s="204" t="s">
        <v>154</v>
      </c>
      <c r="I329" s="205"/>
      <c r="J329" s="206"/>
      <c r="K329" s="79"/>
      <c r="L329" s="79"/>
      <c r="M329" s="206"/>
      <c r="N329" s="205"/>
      <c r="O329" s="1158" t="str">
        <f t="shared" ref="O329:W329" si="407">IFERROR(IF(OR(O$17="",O$38="",O$40=""),"",MAX(warmtebehoefte_verwarming_ondergrens,
HLOOKUP(O$328,fitcurves_NTA8800,MATCH(fit_a0,parameters_fitformule,0),FALSE)
+HLOOKUP(O$328,fitcurves_NTA8800,MATCH(fit_a1,parameters_fitformule,0),FALSE)
*O$54*O$32^HLOOKUP(O$328,fitcurves_NTA8800,MATCH(fit_n1,parameters_fitformule,0),FALSE)
)),0)</f>
        <v/>
      </c>
      <c r="P329" s="1158" t="str">
        <f t="shared" si="407"/>
        <v/>
      </c>
      <c r="Q329" s="1158" t="str">
        <f t="shared" si="407"/>
        <v/>
      </c>
      <c r="R329" s="1158" t="str">
        <f t="shared" si="407"/>
        <v/>
      </c>
      <c r="S329" s="1158" t="str">
        <f t="shared" si="407"/>
        <v/>
      </c>
      <c r="T329" s="1158" t="str">
        <f t="shared" si="407"/>
        <v/>
      </c>
      <c r="U329" s="1158" t="str">
        <f t="shared" si="407"/>
        <v/>
      </c>
      <c r="V329" s="1158" t="str">
        <f t="shared" si="407"/>
        <v/>
      </c>
      <c r="W329" s="1158" t="str">
        <f t="shared" si="407"/>
        <v/>
      </c>
      <c r="X329" s="108"/>
      <c r="Y329" s="206"/>
      <c r="Z329" s="205"/>
      <c r="AA329" s="1090" t="str">
        <f t="shared" ref="AA329:AI329" si="408">IFERROR(IF(OR(AA$17="",AA$38="",AA$40=""),"",MAX(warmtebehoefte_verwarming_ondergrens,
HLOOKUP(AA$328,fitcurves_NTA8800,MATCH(fit_a0,parameters_fitformule,0),FALSE)
+HLOOKUP(AA$328,fitcurves_NTA8800,MATCH(fit_a1,parameters_fitformule,0),FALSE)
*AA$54*AA$32^HLOOKUP(AA$328,fitcurves_NTA8800,MATCH(fit_n1,parameters_fitformule,0),FALSE)
)),0)</f>
        <v/>
      </c>
      <c r="AB329" s="1090" t="str">
        <f t="shared" si="408"/>
        <v/>
      </c>
      <c r="AC329" s="1090" t="str">
        <f t="shared" si="408"/>
        <v/>
      </c>
      <c r="AD329" s="1090" t="str">
        <f t="shared" si="408"/>
        <v/>
      </c>
      <c r="AE329" s="1090" t="str">
        <f t="shared" si="408"/>
        <v/>
      </c>
      <c r="AF329" s="1090" t="str">
        <f t="shared" si="408"/>
        <v/>
      </c>
      <c r="AG329" s="1090" t="str">
        <f t="shared" si="408"/>
        <v/>
      </c>
      <c r="AH329" s="1090" t="str">
        <f t="shared" si="408"/>
        <v/>
      </c>
      <c r="AI329" s="1090" t="str">
        <f t="shared" si="408"/>
        <v/>
      </c>
      <c r="AJ329" s="108"/>
      <c r="AK329" s="206"/>
      <c r="AL329" s="205"/>
      <c r="AM329" s="1090" t="str">
        <f t="shared" ref="AM329:AU329" si="409">IFERROR(IF(OR(AM$17="",AM$38="",AM$40=""),"",MAX(warmtebehoefte_verwarming_ondergrens,
HLOOKUP(AM$328,fitcurves_NTA8800,MATCH(fit_a0,parameters_fitformule,0),FALSE)
+HLOOKUP(AM$328,fitcurves_NTA8800,MATCH(fit_a1,parameters_fitformule,0),FALSE)
*AM$54*AM$32^HLOOKUP(AM$328,fitcurves_NTA8800,MATCH(fit_n1,parameters_fitformule,0),FALSE)
)),0)</f>
        <v/>
      </c>
      <c r="AN329" s="1090" t="str">
        <f t="shared" si="409"/>
        <v/>
      </c>
      <c r="AO329" s="1090" t="str">
        <f t="shared" si="409"/>
        <v/>
      </c>
      <c r="AP329" s="1090" t="str">
        <f t="shared" si="409"/>
        <v/>
      </c>
      <c r="AQ329" s="1090" t="str">
        <f t="shared" si="409"/>
        <v/>
      </c>
      <c r="AR329" s="1090" t="str">
        <f t="shared" si="409"/>
        <v/>
      </c>
      <c r="AS329" s="1090" t="str">
        <f t="shared" si="409"/>
        <v/>
      </c>
      <c r="AT329" s="1090" t="str">
        <f t="shared" si="409"/>
        <v/>
      </c>
      <c r="AU329" s="1090" t="str">
        <f t="shared" si="409"/>
        <v/>
      </c>
      <c r="AV329" s="108"/>
      <c r="AW329" s="206"/>
      <c r="AX329" s="205"/>
      <c r="AY329" s="1090" t="str">
        <f t="shared" ref="AY329:BG329" si="410">IFERROR(IF(OR(AY$17="",AY$38="",AY$40=""),"",MAX(warmtebehoefte_verwarming_ondergrens,
HLOOKUP(AY$328,fitcurves_NTA8800,MATCH(fit_a0,parameters_fitformule,0),FALSE)
+HLOOKUP(AY$328,fitcurves_NTA8800,MATCH(fit_a1,parameters_fitformule,0),FALSE)
*AY$54*AY$32^HLOOKUP(AY$328,fitcurves_NTA8800,MATCH(fit_n1,parameters_fitformule,0),FALSE)
)),0)</f>
        <v/>
      </c>
      <c r="AZ329" s="1090" t="str">
        <f t="shared" si="410"/>
        <v/>
      </c>
      <c r="BA329" s="1090" t="str">
        <f t="shared" si="410"/>
        <v/>
      </c>
      <c r="BB329" s="1090" t="str">
        <f t="shared" si="410"/>
        <v/>
      </c>
      <c r="BC329" s="1090" t="str">
        <f t="shared" si="410"/>
        <v/>
      </c>
      <c r="BD329" s="1090" t="str">
        <f t="shared" si="410"/>
        <v/>
      </c>
      <c r="BE329" s="1090" t="str">
        <f t="shared" si="410"/>
        <v/>
      </c>
      <c r="BF329" s="1090" t="str">
        <f t="shared" si="410"/>
        <v/>
      </c>
      <c r="BG329" s="1090" t="str">
        <f t="shared" si="410"/>
        <v/>
      </c>
      <c r="BH329" s="210"/>
    </row>
    <row r="330" spans="1:60">
      <c r="A330" s="1040"/>
      <c r="B330" s="1109" t="s">
        <v>1223</v>
      </c>
      <c r="C330" s="1107" t="s">
        <v>104</v>
      </c>
      <c r="D330" s="640" t="s">
        <v>45</v>
      </c>
      <c r="E330" s="203" t="s">
        <v>280</v>
      </c>
      <c r="F330" s="203"/>
      <c r="G330" s="203"/>
      <c r="H330" s="204" t="s">
        <v>267</v>
      </c>
      <c r="I330" s="205"/>
      <c r="J330" s="206"/>
      <c r="K330" s="79"/>
      <c r="L330" s="79"/>
      <c r="M330" s="206"/>
      <c r="N330" s="205"/>
      <c r="O330" s="1158" t="str">
        <f t="shared" ref="O330:W330" si="411">IF(OR(O$17="",O$22=0,O$29=0),"",ROUNDUP(O$298-O$287-O$288-O$289-IF(OR(O$19=woning,O$19=woongebouw),O285,0),2)-O$292)</f>
        <v/>
      </c>
      <c r="P330" s="1158" t="str">
        <f t="shared" si="411"/>
        <v/>
      </c>
      <c r="Q330" s="1158" t="str">
        <f t="shared" si="411"/>
        <v/>
      </c>
      <c r="R330" s="1158" t="str">
        <f t="shared" si="411"/>
        <v/>
      </c>
      <c r="S330" s="1158" t="str">
        <f t="shared" si="411"/>
        <v/>
      </c>
      <c r="T330" s="1158" t="str">
        <f t="shared" si="411"/>
        <v/>
      </c>
      <c r="U330" s="1158" t="str">
        <f t="shared" si="411"/>
        <v/>
      </c>
      <c r="V330" s="1158" t="str">
        <f t="shared" si="411"/>
        <v/>
      </c>
      <c r="W330" s="1158" t="str">
        <f t="shared" si="411"/>
        <v/>
      </c>
      <c r="X330" s="108"/>
      <c r="Y330" s="206"/>
      <c r="Z330" s="205"/>
      <c r="AA330" s="1090" t="str">
        <f t="shared" ref="AA330:AI330" si="412">IF(OR(AA$17="",AA$22=0,AA$29=0),"",ROUNDUP(AA$298-AA$287-AA$288-AA$289-IF(OR(AA$19=woning,AA$19=woongebouw),AA285,0),2)-AA$292)</f>
        <v/>
      </c>
      <c r="AB330" s="1090" t="str">
        <f t="shared" si="412"/>
        <v/>
      </c>
      <c r="AC330" s="1090" t="str">
        <f t="shared" si="412"/>
        <v/>
      </c>
      <c r="AD330" s="1090" t="str">
        <f t="shared" si="412"/>
        <v/>
      </c>
      <c r="AE330" s="1090" t="str">
        <f t="shared" si="412"/>
        <v/>
      </c>
      <c r="AF330" s="1090" t="str">
        <f t="shared" si="412"/>
        <v/>
      </c>
      <c r="AG330" s="1090" t="str">
        <f t="shared" si="412"/>
        <v/>
      </c>
      <c r="AH330" s="1090" t="str">
        <f t="shared" si="412"/>
        <v/>
      </c>
      <c r="AI330" s="1090" t="str">
        <f t="shared" si="412"/>
        <v/>
      </c>
      <c r="AJ330" s="108"/>
      <c r="AK330" s="206"/>
      <c r="AL330" s="205"/>
      <c r="AM330" s="1090" t="str">
        <f t="shared" ref="AM330:AU330" si="413">IF(OR(AM$17="",AM$22=0,AM$29=0),"",ROUNDUP(AM$298-AM$287-AM$288-AM$289-IF(OR(AM$19=woning,AM$19=woongebouw),AM285,0),2)-AM$292)</f>
        <v/>
      </c>
      <c r="AN330" s="1090" t="str">
        <f t="shared" si="413"/>
        <v/>
      </c>
      <c r="AO330" s="1090" t="str">
        <f t="shared" si="413"/>
        <v/>
      </c>
      <c r="AP330" s="1090" t="str">
        <f t="shared" si="413"/>
        <v/>
      </c>
      <c r="AQ330" s="1090" t="str">
        <f t="shared" si="413"/>
        <v/>
      </c>
      <c r="AR330" s="1090" t="str">
        <f t="shared" si="413"/>
        <v/>
      </c>
      <c r="AS330" s="1090" t="str">
        <f t="shared" si="413"/>
        <v/>
      </c>
      <c r="AT330" s="1090" t="str">
        <f t="shared" si="413"/>
        <v/>
      </c>
      <c r="AU330" s="1090" t="str">
        <f t="shared" si="413"/>
        <v/>
      </c>
      <c r="AV330" s="108"/>
      <c r="AW330" s="206"/>
      <c r="AX330" s="205"/>
      <c r="AY330" s="1090" t="str">
        <f t="shared" ref="AY330:BG330" si="414">IF(OR(AY$17="",AY$22=0,AY$29=0),"",ROUNDUP(AY$298-AY$287-AY$288-AY$289-IF(OR(AY$19=woning,AY$19=woongebouw),AY285,0),2)-AY$292)</f>
        <v/>
      </c>
      <c r="AZ330" s="1090" t="str">
        <f t="shared" si="414"/>
        <v/>
      </c>
      <c r="BA330" s="1090" t="str">
        <f t="shared" si="414"/>
        <v/>
      </c>
      <c r="BB330" s="1090" t="str">
        <f t="shared" si="414"/>
        <v/>
      </c>
      <c r="BC330" s="1090" t="str">
        <f t="shared" si="414"/>
        <v/>
      </c>
      <c r="BD330" s="1090" t="str">
        <f t="shared" si="414"/>
        <v/>
      </c>
      <c r="BE330" s="1090" t="str">
        <f t="shared" si="414"/>
        <v/>
      </c>
      <c r="BF330" s="1090" t="str">
        <f t="shared" si="414"/>
        <v/>
      </c>
      <c r="BG330" s="1090" t="str">
        <f t="shared" si="414"/>
        <v/>
      </c>
      <c r="BH330" s="210"/>
    </row>
    <row r="331" spans="1:60">
      <c r="A331" s="1040"/>
      <c r="B331" s="1109" t="s">
        <v>1223</v>
      </c>
      <c r="C331" s="1107" t="s">
        <v>104</v>
      </c>
      <c r="D331" s="641" t="s">
        <v>45</v>
      </c>
      <c r="E331" s="203" t="s">
        <v>281</v>
      </c>
      <c r="F331" s="203"/>
      <c r="G331" s="203"/>
      <c r="H331" s="204" t="s">
        <v>139</v>
      </c>
      <c r="I331" s="205"/>
      <c r="J331" s="206"/>
      <c r="K331" s="79"/>
      <c r="L331" s="79"/>
      <c r="M331" s="206"/>
      <c r="N331" s="205"/>
      <c r="O331" s="1160" t="str">
        <f t="shared" ref="O331:W331" si="415">IF(O$322="","",O317)</f>
        <v/>
      </c>
      <c r="P331" s="1089" t="str">
        <f t="shared" si="415"/>
        <v/>
      </c>
      <c r="Q331" s="1089" t="str">
        <f t="shared" si="415"/>
        <v/>
      </c>
      <c r="R331" s="1089" t="str">
        <f t="shared" si="415"/>
        <v/>
      </c>
      <c r="S331" s="1089" t="str">
        <f t="shared" si="415"/>
        <v/>
      </c>
      <c r="T331" s="1089" t="str">
        <f t="shared" si="415"/>
        <v/>
      </c>
      <c r="U331" s="1089" t="str">
        <f t="shared" si="415"/>
        <v/>
      </c>
      <c r="V331" s="1089" t="str">
        <f t="shared" si="415"/>
        <v/>
      </c>
      <c r="W331" s="1089" t="str">
        <f t="shared" si="415"/>
        <v/>
      </c>
      <c r="X331" s="597"/>
      <c r="Y331" s="598"/>
      <c r="Z331" s="599"/>
      <c r="AA331" s="1089" t="str">
        <f t="shared" ref="AA331:AI331" si="416">IF(AA$322="","",AA317)</f>
        <v/>
      </c>
      <c r="AB331" s="1089" t="str">
        <f t="shared" si="416"/>
        <v/>
      </c>
      <c r="AC331" s="1089" t="str">
        <f t="shared" si="416"/>
        <v/>
      </c>
      <c r="AD331" s="1089" t="str">
        <f t="shared" si="416"/>
        <v/>
      </c>
      <c r="AE331" s="1089" t="str">
        <f t="shared" si="416"/>
        <v/>
      </c>
      <c r="AF331" s="1089" t="str">
        <f t="shared" si="416"/>
        <v/>
      </c>
      <c r="AG331" s="1089" t="str">
        <f t="shared" si="416"/>
        <v/>
      </c>
      <c r="AH331" s="1089" t="str">
        <f t="shared" si="416"/>
        <v/>
      </c>
      <c r="AI331" s="1089" t="str">
        <f t="shared" si="416"/>
        <v/>
      </c>
      <c r="AJ331" s="597"/>
      <c r="AK331" s="598"/>
      <c r="AL331" s="599"/>
      <c r="AM331" s="1089" t="str">
        <f>IF(AM$322="","",AM317)</f>
        <v/>
      </c>
      <c r="AN331" s="1089" t="str">
        <f t="shared" ref="AN331:AU331" si="417">IF(AN$322="","",AN317)</f>
        <v/>
      </c>
      <c r="AO331" s="1089" t="str">
        <f t="shared" si="417"/>
        <v/>
      </c>
      <c r="AP331" s="1089" t="str">
        <f t="shared" si="417"/>
        <v/>
      </c>
      <c r="AQ331" s="1089" t="str">
        <f t="shared" si="417"/>
        <v/>
      </c>
      <c r="AR331" s="1089" t="str">
        <f t="shared" si="417"/>
        <v/>
      </c>
      <c r="AS331" s="1089" t="str">
        <f t="shared" si="417"/>
        <v/>
      </c>
      <c r="AT331" s="1089" t="str">
        <f t="shared" si="417"/>
        <v/>
      </c>
      <c r="AU331" s="1089" t="str">
        <f t="shared" si="417"/>
        <v/>
      </c>
      <c r="AV331" s="597"/>
      <c r="AW331" s="598"/>
      <c r="AX331" s="599"/>
      <c r="AY331" s="1089" t="str">
        <f>IF(AY$322="","",AY317)</f>
        <v/>
      </c>
      <c r="AZ331" s="1089" t="str">
        <f t="shared" ref="AZ331:BG331" si="418">IF(AZ$322="","",AZ317)</f>
        <v/>
      </c>
      <c r="BA331" s="1089" t="str">
        <f t="shared" si="418"/>
        <v/>
      </c>
      <c r="BB331" s="1089" t="str">
        <f t="shared" si="418"/>
        <v/>
      </c>
      <c r="BC331" s="1089" t="str">
        <f t="shared" si="418"/>
        <v/>
      </c>
      <c r="BD331" s="1089" t="str">
        <f t="shared" si="418"/>
        <v/>
      </c>
      <c r="BE331" s="1089" t="str">
        <f t="shared" si="418"/>
        <v/>
      </c>
      <c r="BF331" s="1089" t="str">
        <f t="shared" si="418"/>
        <v/>
      </c>
      <c r="BG331" s="1089" t="str">
        <f t="shared" si="418"/>
        <v/>
      </c>
      <c r="BH331" s="210"/>
    </row>
    <row r="332" spans="1:60">
      <c r="A332" s="1040"/>
      <c r="B332" s="1109" t="s">
        <v>1223</v>
      </c>
      <c r="C332" s="1106" t="s">
        <v>96</v>
      </c>
      <c r="D332" s="638"/>
      <c r="E332" s="942" t="s">
        <v>282</v>
      </c>
      <c r="F332" s="942"/>
      <c r="G332" s="942"/>
      <c r="H332" s="942"/>
      <c r="I332" s="129"/>
      <c r="J332" s="943"/>
      <c r="K332" s="126"/>
      <c r="L332" s="126"/>
      <c r="M332" s="944"/>
      <c r="N332" s="195"/>
      <c r="O332" s="258" t="str">
        <f>O$17</f>
        <v/>
      </c>
      <c r="P332" s="258" t="str">
        <f t="shared" ref="P332:W332" si="419">P$17</f>
        <v/>
      </c>
      <c r="Q332" s="258" t="str">
        <f t="shared" si="419"/>
        <v/>
      </c>
      <c r="R332" s="258" t="str">
        <f t="shared" si="419"/>
        <v/>
      </c>
      <c r="S332" s="258" t="str">
        <f t="shared" si="419"/>
        <v/>
      </c>
      <c r="T332" s="258" t="str">
        <f t="shared" si="419"/>
        <v/>
      </c>
      <c r="U332" s="258" t="str">
        <f t="shared" si="419"/>
        <v/>
      </c>
      <c r="V332" s="258" t="str">
        <f t="shared" si="419"/>
        <v/>
      </c>
      <c r="W332" s="258" t="str">
        <f t="shared" si="419"/>
        <v/>
      </c>
      <c r="X332" s="195"/>
      <c r="Y332" s="944"/>
      <c r="Z332" s="195"/>
      <c r="AA332" s="258" t="str">
        <f>AA$17</f>
        <v/>
      </c>
      <c r="AB332" s="258" t="str">
        <f t="shared" ref="AB332:AI332" si="420">AB$17</f>
        <v/>
      </c>
      <c r="AC332" s="258" t="str">
        <f t="shared" si="420"/>
        <v/>
      </c>
      <c r="AD332" s="258" t="str">
        <f t="shared" si="420"/>
        <v/>
      </c>
      <c r="AE332" s="258" t="str">
        <f t="shared" si="420"/>
        <v/>
      </c>
      <c r="AF332" s="258" t="str">
        <f t="shared" si="420"/>
        <v/>
      </c>
      <c r="AG332" s="258" t="str">
        <f t="shared" si="420"/>
        <v/>
      </c>
      <c r="AH332" s="258" t="str">
        <f t="shared" si="420"/>
        <v/>
      </c>
      <c r="AI332" s="258" t="str">
        <f t="shared" si="420"/>
        <v/>
      </c>
      <c r="AJ332" s="195"/>
      <c r="AK332" s="944"/>
      <c r="AL332" s="195"/>
      <c r="AM332" s="258" t="str">
        <f>AM$17</f>
        <v/>
      </c>
      <c r="AN332" s="258" t="str">
        <f t="shared" ref="AN332:AU332" si="421">AN$17</f>
        <v/>
      </c>
      <c r="AO332" s="258" t="str">
        <f t="shared" si="421"/>
        <v/>
      </c>
      <c r="AP332" s="258" t="str">
        <f t="shared" si="421"/>
        <v/>
      </c>
      <c r="AQ332" s="258" t="str">
        <f t="shared" si="421"/>
        <v/>
      </c>
      <c r="AR332" s="258" t="str">
        <f t="shared" si="421"/>
        <v/>
      </c>
      <c r="AS332" s="258" t="str">
        <f t="shared" si="421"/>
        <v/>
      </c>
      <c r="AT332" s="258" t="str">
        <f t="shared" si="421"/>
        <v/>
      </c>
      <c r="AU332" s="258" t="str">
        <f t="shared" si="421"/>
        <v/>
      </c>
      <c r="AV332" s="195"/>
      <c r="AW332" s="944"/>
      <c r="AX332" s="195"/>
      <c r="AY332" s="258" t="str">
        <f>AY$17</f>
        <v/>
      </c>
      <c r="AZ332" s="258" t="str">
        <f t="shared" ref="AZ332:BG332" si="422">AZ$17</f>
        <v/>
      </c>
      <c r="BA332" s="258" t="str">
        <f t="shared" si="422"/>
        <v/>
      </c>
      <c r="BB332" s="258" t="str">
        <f t="shared" si="422"/>
        <v/>
      </c>
      <c r="BC332" s="258" t="str">
        <f t="shared" si="422"/>
        <v/>
      </c>
      <c r="BD332" s="258" t="str">
        <f t="shared" si="422"/>
        <v/>
      </c>
      <c r="BE332" s="258" t="str">
        <f t="shared" si="422"/>
        <v/>
      </c>
      <c r="BF332" s="258" t="str">
        <f t="shared" si="422"/>
        <v/>
      </c>
      <c r="BG332" s="258" t="str">
        <f t="shared" si="422"/>
        <v/>
      </c>
      <c r="BH332" s="36"/>
    </row>
    <row r="333" spans="1:60">
      <c r="A333" s="1040"/>
      <c r="B333" s="1109" t="s">
        <v>1223</v>
      </c>
      <c r="C333" s="1107" t="s">
        <v>104</v>
      </c>
      <c r="D333" s="640" t="s">
        <v>45</v>
      </c>
      <c r="E333" s="1134" t="s">
        <v>282</v>
      </c>
      <c r="F333" s="203"/>
      <c r="G333" s="203"/>
      <c r="H333" s="204" t="s">
        <v>65</v>
      </c>
      <c r="I333" s="114"/>
      <c r="J333" s="202"/>
      <c r="K333" s="195"/>
      <c r="L333" s="195"/>
      <c r="M333" s="202"/>
      <c r="N333" s="114"/>
      <c r="O333" s="168" t="str">
        <f ca="1">IF(OR(O$22=0,$O$78=0),"",
INDEX(energielabels_labelnamen,MATCH(O330,OFFSET(bibliotheek!$H$488,0,MATCH(O$19,gebruiksfuncties_namen,0)-1,ROWS(energielabels_labelnamen),1),-1)))</f>
        <v/>
      </c>
      <c r="P333" s="168" t="str">
        <f ca="1">IF(OR(P$22=0,$O$78=0),"",
INDEX(energielabels_labelnamen,MATCH(P330,OFFSET(bibliotheek!$H$488,0,MATCH(P$19,gebruiksfuncties_namen,0)-1,ROWS(energielabels_labelnamen),1),-1)))</f>
        <v/>
      </c>
      <c r="Q333" s="168" t="str">
        <f ca="1">IF(OR(Q$22=0,$O$78=0),"",
INDEX(energielabels_labelnamen,MATCH(Q330,OFFSET(bibliotheek!$H$488,0,MATCH(Q$19,gebruiksfuncties_namen,0)-1,ROWS(energielabels_labelnamen),1),-1)))</f>
        <v/>
      </c>
      <c r="R333" s="168" t="str">
        <f ca="1">IF(OR(R$22=0,$O$78=0),"",
INDEX(energielabels_labelnamen,MATCH(R330,OFFSET(bibliotheek!$H$488,0,MATCH(R$19,gebruiksfuncties_namen,0)-1,ROWS(energielabels_labelnamen),1),-1)))</f>
        <v/>
      </c>
      <c r="S333" s="168" t="str">
        <f ca="1">IF(OR(S$22=0,$O$78=0),"",
INDEX(energielabels_labelnamen,MATCH(S330,OFFSET(bibliotheek!$H$488,0,MATCH(S$19,gebruiksfuncties_namen,0)-1,ROWS(energielabels_labelnamen),1),-1)))</f>
        <v/>
      </c>
      <c r="T333" s="168" t="str">
        <f ca="1">IF(OR(T$22=0,$O$78=0),"",
INDEX(energielabels_labelnamen,MATCH(T330,OFFSET(bibliotheek!$H$488,0,MATCH(T$19,gebruiksfuncties_namen,0)-1,ROWS(energielabels_labelnamen),1),-1)))</f>
        <v/>
      </c>
      <c r="U333" s="168" t="str">
        <f ca="1">IF(OR(U$22=0,$O$78=0),"",
INDEX(energielabels_labelnamen,MATCH(U330,OFFSET(bibliotheek!$H$488,0,MATCH(U$19,gebruiksfuncties_namen,0)-1,ROWS(energielabels_labelnamen),1),-1)))</f>
        <v/>
      </c>
      <c r="V333" s="168" t="str">
        <f ca="1">IF(OR(V$22=0,$O$78=0),"",
INDEX(energielabels_labelnamen,MATCH(V330,OFFSET(bibliotheek!$H$488,0,MATCH(V$19,gebruiksfuncties_namen,0)-1,ROWS(energielabels_labelnamen),1),-1)))</f>
        <v/>
      </c>
      <c r="W333" s="168" t="str">
        <f ca="1">IF(OR(W$22=0,$O$78=0),"",
INDEX(energielabels_labelnamen,MATCH(W330,OFFSET(bibliotheek!$H$488,0,MATCH(W$19,gebruiksfuncties_namen,0)-1,ROWS(energielabels_labelnamen),1),-1)))</f>
        <v/>
      </c>
      <c r="X333" s="113"/>
      <c r="Y333" s="202"/>
      <c r="Z333" s="114"/>
      <c r="AA333" s="168" t="str">
        <f ca="1">IF(OR(AA$22=0,$AA$78=0),"",
INDEX(energielabels_labelnamen,MATCH(AA330,OFFSET(bibliotheek!$H$488,0,MATCH(AA$19,gebruiksfuncties_namen,0)-1,ROWS(energielabels_labelnamen),1),-1)))</f>
        <v/>
      </c>
      <c r="AB333" s="168" t="str">
        <f ca="1">IF(OR(AB$22=0,$AA$78=0),"",
INDEX(energielabels_labelnamen,MATCH(AB330,OFFSET(bibliotheek!$H$488,0,MATCH(AB$19,gebruiksfuncties_namen,0)-1,ROWS(energielabels_labelnamen),1),-1)))</f>
        <v/>
      </c>
      <c r="AC333" s="168" t="str">
        <f ca="1">IF(OR(AC$22=0,$AA$78=0),"",
INDEX(energielabels_labelnamen,MATCH(AC330,OFFSET(bibliotheek!$H$488,0,MATCH(AC$19,gebruiksfuncties_namen,0)-1,ROWS(energielabels_labelnamen),1),-1)))</f>
        <v/>
      </c>
      <c r="AD333" s="168" t="str">
        <f ca="1">IF(OR(AD$22=0,$AA$78=0),"",
INDEX(energielabels_labelnamen,MATCH(AD330,OFFSET(bibliotheek!$H$488,0,MATCH(AD$19,gebruiksfuncties_namen,0)-1,ROWS(energielabels_labelnamen),1),-1)))</f>
        <v/>
      </c>
      <c r="AE333" s="168" t="str">
        <f ca="1">IF(OR(AE$22=0,$AA$78=0),"",
INDEX(energielabels_labelnamen,MATCH(AE330,OFFSET(bibliotheek!$H$488,0,MATCH(AE$19,gebruiksfuncties_namen,0)-1,ROWS(energielabels_labelnamen),1),-1)))</f>
        <v/>
      </c>
      <c r="AF333" s="168" t="str">
        <f ca="1">IF(OR(AF$22=0,$AA$78=0),"",
INDEX(energielabels_labelnamen,MATCH(AF330,OFFSET(bibliotheek!$H$488,0,MATCH(AF$19,gebruiksfuncties_namen,0)-1,ROWS(energielabels_labelnamen),1),-1)))</f>
        <v/>
      </c>
      <c r="AG333" s="168" t="str">
        <f ca="1">IF(OR(AG$22=0,$AA$78=0),"",
INDEX(energielabels_labelnamen,MATCH(AG330,OFFSET(bibliotheek!$H$488,0,MATCH(AG$19,gebruiksfuncties_namen,0)-1,ROWS(energielabels_labelnamen),1),-1)))</f>
        <v/>
      </c>
      <c r="AH333" s="168" t="str">
        <f ca="1">IF(OR(AH$22=0,$AA$78=0),"",
INDEX(energielabels_labelnamen,MATCH(AH330,OFFSET(bibliotheek!$H$488,0,MATCH(AH$19,gebruiksfuncties_namen,0)-1,ROWS(energielabels_labelnamen),1),-1)))</f>
        <v/>
      </c>
      <c r="AI333" s="168" t="str">
        <f ca="1">IF(OR(AI$22=0,$AA$78=0),"",
INDEX(energielabels_labelnamen,MATCH(AI330,OFFSET(bibliotheek!$H$488,0,MATCH(AI$19,gebruiksfuncties_namen,0)-1,ROWS(energielabels_labelnamen),1),-1)))</f>
        <v/>
      </c>
      <c r="AJ333" s="113"/>
      <c r="AK333" s="202"/>
      <c r="AL333" s="114"/>
      <c r="AM333" s="168" t="str">
        <f ca="1">IF(OR(AM$22=0,$AM$78=0),"",
INDEX(energielabels_labelnamen,MATCH(AM330,OFFSET(bibliotheek!$H$488,0,MATCH(AM$19,gebruiksfuncties_namen,0)-1,ROWS(energielabels_labelnamen),1),-1)))</f>
        <v/>
      </c>
      <c r="AN333" s="168" t="str">
        <f ca="1">IF(OR(AN$22=0,$AM$78=0),"",
INDEX(energielabels_labelnamen,MATCH(AN330,OFFSET(bibliotheek!$H$488,0,MATCH(AN$19,gebruiksfuncties_namen,0)-1,ROWS(energielabels_labelnamen),1),-1)))</f>
        <v/>
      </c>
      <c r="AO333" s="168" t="str">
        <f ca="1">IF(OR(AO$22=0,$AM$78=0),"",
INDEX(energielabels_labelnamen,MATCH(AO330,OFFSET(bibliotheek!$H$488,0,MATCH(AO$19,gebruiksfuncties_namen,0)-1,ROWS(energielabels_labelnamen),1),-1)))</f>
        <v/>
      </c>
      <c r="AP333" s="168" t="str">
        <f ca="1">IF(OR(AP$22=0,$AM$78=0),"",
INDEX(energielabels_labelnamen,MATCH(AP330,OFFSET(bibliotheek!$H$488,0,MATCH(AP$19,gebruiksfuncties_namen,0)-1,ROWS(energielabels_labelnamen),1),-1)))</f>
        <v/>
      </c>
      <c r="AQ333" s="168" t="str">
        <f ca="1">IF(OR(AQ$22=0,$AM$78=0),"",
INDEX(energielabels_labelnamen,MATCH(AQ330,OFFSET(bibliotheek!$H$488,0,MATCH(AQ$19,gebruiksfuncties_namen,0)-1,ROWS(energielabels_labelnamen),1),-1)))</f>
        <v/>
      </c>
      <c r="AR333" s="168" t="str">
        <f ca="1">IF(OR(AR$22=0,$AM$78=0),"",
INDEX(energielabels_labelnamen,MATCH(AR330,OFFSET(bibliotheek!$H$488,0,MATCH(AR$19,gebruiksfuncties_namen,0)-1,ROWS(energielabels_labelnamen),1),-1)))</f>
        <v/>
      </c>
      <c r="AS333" s="168" t="str">
        <f ca="1">IF(OR(AS$22=0,$AM$78=0),"",
INDEX(energielabels_labelnamen,MATCH(AS330,OFFSET(bibliotheek!$H$488,0,MATCH(AS$19,gebruiksfuncties_namen,0)-1,ROWS(energielabels_labelnamen),1),-1)))</f>
        <v/>
      </c>
      <c r="AT333" s="168" t="str">
        <f ca="1">IF(OR(AT$22=0,$AM$78=0),"",
INDEX(energielabels_labelnamen,MATCH(AT330,OFFSET(bibliotheek!$H$488,0,MATCH(AT$19,gebruiksfuncties_namen,0)-1,ROWS(energielabels_labelnamen),1),-1)))</f>
        <v/>
      </c>
      <c r="AU333" s="168" t="str">
        <f ca="1">IF(OR(AU$22=0,$AM$78=0),"",
INDEX(energielabels_labelnamen,MATCH(AU330,OFFSET(bibliotheek!$H$488,0,MATCH(AU$19,gebruiksfuncties_namen,0)-1,ROWS(energielabels_labelnamen),1),-1)))</f>
        <v/>
      </c>
      <c r="AV333" s="113"/>
      <c r="AW333" s="202"/>
      <c r="AX333" s="114"/>
      <c r="AY333" s="168" t="str">
        <f ca="1">IF(OR(AY$22=0,$AW$78=0),"",
INDEX(energielabels_labelnamen,MATCH(AY330,OFFSET(bibliotheek!$H$488,0,MATCH(AY$19,gebruiksfuncties_namen,0)-1,ROWS(energielabels_labelnamen),1),-1)))</f>
        <v/>
      </c>
      <c r="AZ333" s="168" t="str">
        <f ca="1">IF(OR(AZ$22=0,$AW$78=0),"",
INDEX(energielabels_labelnamen,MATCH(AZ330,OFFSET(bibliotheek!$H$488,0,MATCH(AZ$19,gebruiksfuncties_namen,0)-1,ROWS(energielabels_labelnamen),1),-1)))</f>
        <v/>
      </c>
      <c r="BA333" s="168" t="str">
        <f ca="1">IF(OR(BA$22=0,$AW$78=0),"",
INDEX(energielabels_labelnamen,MATCH(BA330,OFFSET(bibliotheek!$H$488,0,MATCH(BA$19,gebruiksfuncties_namen,0)-1,ROWS(energielabels_labelnamen),1),-1)))</f>
        <v/>
      </c>
      <c r="BB333" s="168" t="str">
        <f ca="1">IF(OR(BB$22=0,$AW$78=0),"",
INDEX(energielabels_labelnamen,MATCH(BB330,OFFSET(bibliotheek!$H$488,0,MATCH(BB$19,gebruiksfuncties_namen,0)-1,ROWS(energielabels_labelnamen),1),-1)))</f>
        <v/>
      </c>
      <c r="BC333" s="168" t="str">
        <f ca="1">IF(OR(BC$22=0,$AW$78=0),"",
INDEX(energielabels_labelnamen,MATCH(BC330,OFFSET(bibliotheek!$H$488,0,MATCH(BC$19,gebruiksfuncties_namen,0)-1,ROWS(energielabels_labelnamen),1),-1)))</f>
        <v/>
      </c>
      <c r="BD333" s="168" t="str">
        <f ca="1">IF(OR(BD$22=0,$AW$78=0),"",
INDEX(energielabels_labelnamen,MATCH(BD330,OFFSET(bibliotheek!$H$488,0,MATCH(BD$19,gebruiksfuncties_namen,0)-1,ROWS(energielabels_labelnamen),1),-1)))</f>
        <v/>
      </c>
      <c r="BE333" s="168" t="str">
        <f ca="1">IF(OR(BE$22=0,$AW$78=0),"",
INDEX(energielabels_labelnamen,MATCH(BE330,OFFSET(bibliotheek!$H$488,0,MATCH(BE$19,gebruiksfuncties_namen,0)-1,ROWS(energielabels_labelnamen),1),-1)))</f>
        <v/>
      </c>
      <c r="BF333" s="168" t="str">
        <f ca="1">IF(OR(BF$22=0,$AW$78=0),"",
INDEX(energielabels_labelnamen,MATCH(BF330,OFFSET(bibliotheek!$H$488,0,MATCH(BF$19,gebruiksfuncties_namen,0)-1,ROWS(energielabels_labelnamen),1),-1)))</f>
        <v/>
      </c>
      <c r="BG333" s="168" t="str">
        <f ca="1">IF(OR(BG$22=0,$AW$78=0),"",
INDEX(energielabels_labelnamen,MATCH(BG330,OFFSET(bibliotheek!$H$488,0,MATCH(BG$19,gebruiksfuncties_namen,0)-1,ROWS(energielabels_labelnamen),1),-1)))</f>
        <v/>
      </c>
      <c r="BH333" s="210"/>
    </row>
    <row r="334" spans="1:60">
      <c r="A334" s="1040"/>
      <c r="B334" s="1109" t="s">
        <v>1223</v>
      </c>
      <c r="C334" s="1107" t="s">
        <v>104</v>
      </c>
      <c r="D334" s="640" t="s">
        <v>45</v>
      </c>
      <c r="E334" s="203" t="s">
        <v>1015</v>
      </c>
      <c r="F334" s="862"/>
      <c r="G334" s="862"/>
      <c r="H334" s="204" t="s">
        <v>65</v>
      </c>
      <c r="I334" s="114"/>
      <c r="J334" s="202"/>
      <c r="K334" s="195"/>
      <c r="L334" s="195"/>
      <c r="M334" s="202"/>
      <c r="N334" s="114"/>
      <c r="O334" s="168" t="str">
        <f t="shared" ref="O334:W334" si="423">IF(O$26=0,"",INDEX(eindnorm_utiliteit_energielabel,MATCH(O$19,gebruiksfuncties_namen,0)))</f>
        <v/>
      </c>
      <c r="P334" s="168" t="str">
        <f>IF(P$26=0,"",INDEX(eindnorm_utiliteit_energielabel,MATCH(P$19,gebruiksfuncties_namen,0)))</f>
        <v/>
      </c>
      <c r="Q334" s="168" t="str">
        <f t="shared" si="423"/>
        <v/>
      </c>
      <c r="R334" s="168" t="str">
        <f t="shared" si="423"/>
        <v/>
      </c>
      <c r="S334" s="168" t="str">
        <f t="shared" si="423"/>
        <v/>
      </c>
      <c r="T334" s="168" t="str">
        <f t="shared" si="423"/>
        <v/>
      </c>
      <c r="U334" s="168" t="str">
        <f t="shared" si="423"/>
        <v/>
      </c>
      <c r="V334" s="168" t="str">
        <f t="shared" si="423"/>
        <v/>
      </c>
      <c r="W334" s="168" t="str">
        <f t="shared" si="423"/>
        <v/>
      </c>
      <c r="X334" s="113"/>
      <c r="Y334" s="202"/>
      <c r="Z334" s="114"/>
      <c r="AA334" s="168" t="str">
        <f t="shared" ref="AA334:AI334" si="424">IF(AA$26=0,"",INDEX(eindnorm_utiliteit_energielabel,MATCH(AA$19,gebruiksfuncties_namen,0)))</f>
        <v/>
      </c>
      <c r="AB334" s="168" t="str">
        <f t="shared" si="424"/>
        <v/>
      </c>
      <c r="AC334" s="168" t="str">
        <f t="shared" si="424"/>
        <v/>
      </c>
      <c r="AD334" s="168" t="str">
        <f t="shared" si="424"/>
        <v/>
      </c>
      <c r="AE334" s="168" t="str">
        <f t="shared" si="424"/>
        <v/>
      </c>
      <c r="AF334" s="168" t="str">
        <f t="shared" si="424"/>
        <v/>
      </c>
      <c r="AG334" s="168" t="str">
        <f t="shared" si="424"/>
        <v/>
      </c>
      <c r="AH334" s="168" t="str">
        <f t="shared" si="424"/>
        <v/>
      </c>
      <c r="AI334" s="168" t="str">
        <f t="shared" si="424"/>
        <v/>
      </c>
      <c r="AJ334" s="113"/>
      <c r="AK334" s="202"/>
      <c r="AL334" s="114"/>
      <c r="AM334" s="168" t="str">
        <f t="shared" ref="AM334:AU334" si="425">IF(AM$26=0,"",INDEX(eindnorm_utiliteit_energielabel,MATCH(AM$19,gebruiksfuncties_namen,0)))</f>
        <v/>
      </c>
      <c r="AN334" s="168" t="str">
        <f t="shared" si="425"/>
        <v/>
      </c>
      <c r="AO334" s="168" t="str">
        <f t="shared" si="425"/>
        <v/>
      </c>
      <c r="AP334" s="168" t="str">
        <f t="shared" si="425"/>
        <v/>
      </c>
      <c r="AQ334" s="168" t="str">
        <f t="shared" si="425"/>
        <v/>
      </c>
      <c r="AR334" s="168" t="str">
        <f t="shared" si="425"/>
        <v/>
      </c>
      <c r="AS334" s="168" t="str">
        <f t="shared" si="425"/>
        <v/>
      </c>
      <c r="AT334" s="168" t="str">
        <f t="shared" si="425"/>
        <v/>
      </c>
      <c r="AU334" s="168" t="str">
        <f t="shared" si="425"/>
        <v/>
      </c>
      <c r="AV334" s="113"/>
      <c r="AW334" s="202"/>
      <c r="AX334" s="114"/>
      <c r="AY334" s="168" t="str">
        <f t="shared" ref="AY334:BG334" si="426">IF(AY$26=0,"",INDEX(eindnorm_utiliteit_energielabel,MATCH(AY$19,gebruiksfuncties_namen,0)))</f>
        <v/>
      </c>
      <c r="AZ334" s="168" t="str">
        <f t="shared" si="426"/>
        <v/>
      </c>
      <c r="BA334" s="168" t="str">
        <f t="shared" si="426"/>
        <v/>
      </c>
      <c r="BB334" s="168" t="str">
        <f t="shared" si="426"/>
        <v/>
      </c>
      <c r="BC334" s="168" t="str">
        <f t="shared" si="426"/>
        <v/>
      </c>
      <c r="BD334" s="168" t="str">
        <f t="shared" si="426"/>
        <v/>
      </c>
      <c r="BE334" s="168" t="str">
        <f t="shared" si="426"/>
        <v/>
      </c>
      <c r="BF334" s="168" t="str">
        <f t="shared" si="426"/>
        <v/>
      </c>
      <c r="BG334" s="168" t="str">
        <f t="shared" si="426"/>
        <v/>
      </c>
      <c r="BH334" s="210"/>
    </row>
    <row r="335" spans="1:60">
      <c r="A335" s="1040"/>
      <c r="B335" s="1109" t="s">
        <v>1223</v>
      </c>
      <c r="C335" s="1106" t="s">
        <v>96</v>
      </c>
      <c r="D335" s="640" t="s">
        <v>45</v>
      </c>
      <c r="E335" s="942" t="s">
        <v>283</v>
      </c>
      <c r="F335" s="942"/>
      <c r="G335" s="942"/>
      <c r="H335" s="942"/>
      <c r="I335" s="129"/>
      <c r="J335" s="943"/>
      <c r="K335" s="126"/>
      <c r="L335" s="126"/>
      <c r="M335" s="944"/>
      <c r="N335" s="195"/>
      <c r="O335" s="258" t="str">
        <f>O$17</f>
        <v/>
      </c>
      <c r="P335" s="258" t="str">
        <f t="shared" ref="P335:W335" si="427">P$17</f>
        <v/>
      </c>
      <c r="Q335" s="258" t="str">
        <f t="shared" si="427"/>
        <v/>
      </c>
      <c r="R335" s="258" t="str">
        <f t="shared" si="427"/>
        <v/>
      </c>
      <c r="S335" s="258" t="str">
        <f t="shared" si="427"/>
        <v/>
      </c>
      <c r="T335" s="258" t="str">
        <f t="shared" si="427"/>
        <v/>
      </c>
      <c r="U335" s="258" t="str">
        <f t="shared" si="427"/>
        <v/>
      </c>
      <c r="V335" s="258" t="str">
        <f t="shared" si="427"/>
        <v/>
      </c>
      <c r="W335" s="258" t="str">
        <f t="shared" si="427"/>
        <v/>
      </c>
      <c r="X335" s="195"/>
      <c r="Y335" s="944"/>
      <c r="Z335" s="195"/>
      <c r="AA335" s="258" t="str">
        <f>AA$17</f>
        <v/>
      </c>
      <c r="AB335" s="258" t="str">
        <f t="shared" ref="AB335:AI335" si="428">AB$17</f>
        <v/>
      </c>
      <c r="AC335" s="258" t="str">
        <f t="shared" si="428"/>
        <v/>
      </c>
      <c r="AD335" s="258" t="str">
        <f t="shared" si="428"/>
        <v/>
      </c>
      <c r="AE335" s="258" t="str">
        <f t="shared" si="428"/>
        <v/>
      </c>
      <c r="AF335" s="258" t="str">
        <f t="shared" si="428"/>
        <v/>
      </c>
      <c r="AG335" s="258" t="str">
        <f t="shared" si="428"/>
        <v/>
      </c>
      <c r="AH335" s="258" t="str">
        <f t="shared" si="428"/>
        <v/>
      </c>
      <c r="AI335" s="258" t="str">
        <f t="shared" si="428"/>
        <v/>
      </c>
      <c r="AJ335" s="195"/>
      <c r="AK335" s="944"/>
      <c r="AL335" s="195"/>
      <c r="AM335" s="258" t="str">
        <f>AM$17</f>
        <v/>
      </c>
      <c r="AN335" s="258" t="str">
        <f t="shared" ref="AN335:AU335" si="429">AN$17</f>
        <v/>
      </c>
      <c r="AO335" s="258" t="str">
        <f t="shared" si="429"/>
        <v/>
      </c>
      <c r="AP335" s="258" t="str">
        <f t="shared" si="429"/>
        <v/>
      </c>
      <c r="AQ335" s="258" t="str">
        <f t="shared" si="429"/>
        <v/>
      </c>
      <c r="AR335" s="258" t="str">
        <f t="shared" si="429"/>
        <v/>
      </c>
      <c r="AS335" s="258" t="str">
        <f t="shared" si="429"/>
        <v/>
      </c>
      <c r="AT335" s="258" t="str">
        <f t="shared" si="429"/>
        <v/>
      </c>
      <c r="AU335" s="258" t="str">
        <f t="shared" si="429"/>
        <v/>
      </c>
      <c r="AV335" s="195"/>
      <c r="AW335" s="944"/>
      <c r="AX335" s="195"/>
      <c r="AY335" s="258" t="str">
        <f>AY$17</f>
        <v/>
      </c>
      <c r="AZ335" s="258" t="str">
        <f t="shared" ref="AZ335:BG335" si="430">AZ$17</f>
        <v/>
      </c>
      <c r="BA335" s="258" t="str">
        <f t="shared" si="430"/>
        <v/>
      </c>
      <c r="BB335" s="258" t="str">
        <f t="shared" si="430"/>
        <v/>
      </c>
      <c r="BC335" s="258" t="str">
        <f t="shared" si="430"/>
        <v/>
      </c>
      <c r="BD335" s="258" t="str">
        <f t="shared" si="430"/>
        <v/>
      </c>
      <c r="BE335" s="258" t="str">
        <f t="shared" si="430"/>
        <v/>
      </c>
      <c r="BF335" s="258" t="str">
        <f t="shared" si="430"/>
        <v/>
      </c>
      <c r="BG335" s="258" t="str">
        <f t="shared" si="430"/>
        <v/>
      </c>
      <c r="BH335" s="36"/>
    </row>
    <row r="336" spans="1:60">
      <c r="A336" s="1040"/>
      <c r="B336" s="1109" t="s">
        <v>1223</v>
      </c>
      <c r="C336" s="1107" t="s">
        <v>104</v>
      </c>
      <c r="D336" s="641"/>
      <c r="E336" s="203" t="s">
        <v>284</v>
      </c>
      <c r="F336" s="203"/>
      <c r="G336" s="203"/>
      <c r="H336" s="204" t="s">
        <v>154</v>
      </c>
      <c r="I336" s="205"/>
      <c r="J336" s="206"/>
      <c r="K336" s="79"/>
      <c r="L336" s="79"/>
      <c r="M336" s="206"/>
      <c r="N336" s="205"/>
      <c r="O336" s="542" t="str">
        <f t="shared" ref="O336:W336" si="431">IF(O$337="","",IF(O$337="nvt","nvt",
INDEX(standaardwaarde_basis,MATCH(O$19,standaardwaarden_gebruiksfuncties,0))+
MAX(0,O$32-1)*INDEX(standaardwaarde_extra_vraag_boven_grenswaarde_vormfactor,MATCH(O$19,standaardwaarden_gebruiksfuncties,0))))</f>
        <v/>
      </c>
      <c r="P336" s="542" t="str">
        <f t="shared" si="431"/>
        <v/>
      </c>
      <c r="Q336" s="542" t="str">
        <f t="shared" si="431"/>
        <v/>
      </c>
      <c r="R336" s="542" t="str">
        <f t="shared" si="431"/>
        <v/>
      </c>
      <c r="S336" s="542" t="str">
        <f t="shared" si="431"/>
        <v/>
      </c>
      <c r="T336" s="542" t="str">
        <f t="shared" si="431"/>
        <v/>
      </c>
      <c r="U336" s="542" t="str">
        <f t="shared" si="431"/>
        <v/>
      </c>
      <c r="V336" s="542" t="str">
        <f t="shared" si="431"/>
        <v/>
      </c>
      <c r="W336" s="542" t="str">
        <f t="shared" si="431"/>
        <v/>
      </c>
      <c r="X336" s="108"/>
      <c r="Y336" s="206"/>
      <c r="Z336" s="1091"/>
      <c r="AA336" s="542" t="str">
        <f t="shared" ref="AA336:AI336" si="432">IF(AA$337="","",IF(AA$337="nvt","nvt",
INDEX(standaardwaarde_basis,MATCH(AA$19,standaardwaarden_gebruiksfuncties,0))+
MAX(0,AA$32-1)*INDEX(standaardwaarde_extra_vraag_boven_grenswaarde_vormfactor,MATCH(AA$19,standaardwaarden_gebruiksfuncties,0))))</f>
        <v/>
      </c>
      <c r="AB336" s="542" t="str">
        <f t="shared" si="432"/>
        <v/>
      </c>
      <c r="AC336" s="542" t="str">
        <f t="shared" si="432"/>
        <v/>
      </c>
      <c r="AD336" s="542" t="str">
        <f t="shared" si="432"/>
        <v/>
      </c>
      <c r="AE336" s="542" t="str">
        <f t="shared" si="432"/>
        <v/>
      </c>
      <c r="AF336" s="542" t="str">
        <f t="shared" si="432"/>
        <v/>
      </c>
      <c r="AG336" s="542" t="str">
        <f t="shared" si="432"/>
        <v/>
      </c>
      <c r="AH336" s="542" t="str">
        <f t="shared" si="432"/>
        <v/>
      </c>
      <c r="AI336" s="542" t="str">
        <f t="shared" si="432"/>
        <v/>
      </c>
      <c r="AJ336" s="108"/>
      <c r="AK336" s="206"/>
      <c r="AL336" s="1091"/>
      <c r="AM336" s="542" t="str">
        <f t="shared" ref="AM336:AU336" si="433">IF(AM$337="","",IF(AM$337="nvt","nvt",
INDEX(standaardwaarde_basis,MATCH(AM$19,standaardwaarden_gebruiksfuncties,0))+
MAX(0,AM$32-1)*INDEX(standaardwaarde_extra_vraag_boven_grenswaarde_vormfactor,MATCH(AM$19,standaardwaarden_gebruiksfuncties,0))))</f>
        <v/>
      </c>
      <c r="AN336" s="542" t="str">
        <f t="shared" si="433"/>
        <v/>
      </c>
      <c r="AO336" s="542" t="str">
        <f t="shared" si="433"/>
        <v/>
      </c>
      <c r="AP336" s="542" t="str">
        <f t="shared" si="433"/>
        <v/>
      </c>
      <c r="AQ336" s="542" t="str">
        <f t="shared" si="433"/>
        <v/>
      </c>
      <c r="AR336" s="542" t="str">
        <f t="shared" si="433"/>
        <v/>
      </c>
      <c r="AS336" s="542" t="str">
        <f t="shared" si="433"/>
        <v/>
      </c>
      <c r="AT336" s="542" t="str">
        <f t="shared" si="433"/>
        <v/>
      </c>
      <c r="AU336" s="542" t="str">
        <f t="shared" si="433"/>
        <v/>
      </c>
      <c r="AV336" s="108"/>
      <c r="AW336" s="206"/>
      <c r="AX336" s="1091"/>
      <c r="AY336" s="542" t="str">
        <f t="shared" ref="AY336:BG336" si="434">IF(AY$337="","",IF(AY$337="nvt","nvt",
INDEX(standaardwaarde_basis,MATCH(AY$19,standaardwaarden_gebruiksfuncties,0))+
MAX(0,AY$32-1)*INDEX(standaardwaarde_extra_vraag_boven_grenswaarde_vormfactor,MATCH(AY$19,standaardwaarden_gebruiksfuncties,0))))</f>
        <v/>
      </c>
      <c r="AZ336" s="542" t="str">
        <f t="shared" si="434"/>
        <v/>
      </c>
      <c r="BA336" s="542" t="str">
        <f t="shared" si="434"/>
        <v/>
      </c>
      <c r="BB336" s="542" t="str">
        <f t="shared" si="434"/>
        <v/>
      </c>
      <c r="BC336" s="542" t="str">
        <f t="shared" si="434"/>
        <v/>
      </c>
      <c r="BD336" s="542" t="str">
        <f t="shared" si="434"/>
        <v/>
      </c>
      <c r="BE336" s="542" t="str">
        <f t="shared" si="434"/>
        <v/>
      </c>
      <c r="BF336" s="542" t="str">
        <f t="shared" si="434"/>
        <v/>
      </c>
      <c r="BG336" s="542" t="str">
        <f t="shared" si="434"/>
        <v/>
      </c>
      <c r="BH336" s="210"/>
    </row>
    <row r="337" spans="1:60">
      <c r="A337" s="1040"/>
      <c r="B337" s="1109" t="s">
        <v>1223</v>
      </c>
      <c r="C337" s="1107" t="s">
        <v>104</v>
      </c>
      <c r="D337" s="641"/>
      <c r="E337" s="203" t="s">
        <v>285</v>
      </c>
      <c r="F337" s="203"/>
      <c r="G337" s="203"/>
      <c r="H337" s="204" t="s">
        <v>154</v>
      </c>
      <c r="I337" s="205"/>
      <c r="J337" s="206"/>
      <c r="K337" s="79"/>
      <c r="L337" s="79"/>
      <c r="M337" s="206"/>
      <c r="N337" s="205"/>
      <c r="O337" s="542" t="str">
        <f t="shared" ref="O337:W337" si="435">IF(OR(O$17="",O$38="",O$40="",O$322=""),"",IF(OR(O$19=woning,O$19=woongebouw),O$269,"nvt"))</f>
        <v/>
      </c>
      <c r="P337" s="542" t="str">
        <f t="shared" si="435"/>
        <v/>
      </c>
      <c r="Q337" s="542" t="str">
        <f t="shared" si="435"/>
        <v/>
      </c>
      <c r="R337" s="542" t="str">
        <f t="shared" si="435"/>
        <v/>
      </c>
      <c r="S337" s="542" t="str">
        <f t="shared" si="435"/>
        <v/>
      </c>
      <c r="T337" s="542" t="str">
        <f t="shared" si="435"/>
        <v/>
      </c>
      <c r="U337" s="542" t="str">
        <f t="shared" si="435"/>
        <v/>
      </c>
      <c r="V337" s="542" t="str">
        <f t="shared" si="435"/>
        <v/>
      </c>
      <c r="W337" s="542" t="str">
        <f t="shared" si="435"/>
        <v/>
      </c>
      <c r="X337" s="108"/>
      <c r="Y337" s="206"/>
      <c r="Z337" s="1091"/>
      <c r="AA337" s="542" t="str">
        <f t="shared" ref="AA337:AI337" si="436">IF(OR(AA$17="",AA$38="",AA$40="",AA$322=""),"",IF(OR(AA$19=woning,AA$19=woongebouw),AA$269,"nvt"))</f>
        <v/>
      </c>
      <c r="AB337" s="542" t="str">
        <f t="shared" si="436"/>
        <v/>
      </c>
      <c r="AC337" s="542" t="str">
        <f t="shared" si="436"/>
        <v/>
      </c>
      <c r="AD337" s="542" t="str">
        <f t="shared" si="436"/>
        <v/>
      </c>
      <c r="AE337" s="542" t="str">
        <f t="shared" si="436"/>
        <v/>
      </c>
      <c r="AF337" s="542" t="str">
        <f t="shared" si="436"/>
        <v/>
      </c>
      <c r="AG337" s="542" t="str">
        <f t="shared" si="436"/>
        <v/>
      </c>
      <c r="AH337" s="542" t="str">
        <f t="shared" si="436"/>
        <v/>
      </c>
      <c r="AI337" s="542" t="str">
        <f t="shared" si="436"/>
        <v/>
      </c>
      <c r="AJ337" s="108"/>
      <c r="AK337" s="206"/>
      <c r="AL337" s="1091"/>
      <c r="AM337" s="542" t="str">
        <f t="shared" ref="AM337:AU337" si="437">IF(OR(AM$17="",AM$38="",AM$40="",AM$322=""),"",IF(OR(AM$19=woning,AM$19=woongebouw),AM$269,"nvt"))</f>
        <v/>
      </c>
      <c r="AN337" s="542" t="str">
        <f t="shared" si="437"/>
        <v/>
      </c>
      <c r="AO337" s="542" t="str">
        <f t="shared" si="437"/>
        <v/>
      </c>
      <c r="AP337" s="542" t="str">
        <f t="shared" si="437"/>
        <v/>
      </c>
      <c r="AQ337" s="542" t="str">
        <f t="shared" si="437"/>
        <v/>
      </c>
      <c r="AR337" s="542" t="str">
        <f t="shared" si="437"/>
        <v/>
      </c>
      <c r="AS337" s="542" t="str">
        <f t="shared" si="437"/>
        <v/>
      </c>
      <c r="AT337" s="542" t="str">
        <f t="shared" si="437"/>
        <v/>
      </c>
      <c r="AU337" s="542" t="str">
        <f t="shared" si="437"/>
        <v/>
      </c>
      <c r="AV337" s="108"/>
      <c r="AW337" s="206"/>
      <c r="AX337" s="1091"/>
      <c r="AY337" s="542" t="str">
        <f t="shared" ref="AY337:BG337" si="438">IF(OR(AY$17="",AY$38="",AY$40="",AY$322=""),"",IF(OR(AY$19=woning,AY$19=woongebouw),AY$269,"nvt"))</f>
        <v/>
      </c>
      <c r="AZ337" s="542" t="str">
        <f t="shared" si="438"/>
        <v/>
      </c>
      <c r="BA337" s="542" t="str">
        <f t="shared" si="438"/>
        <v/>
      </c>
      <c r="BB337" s="542" t="str">
        <f t="shared" si="438"/>
        <v/>
      </c>
      <c r="BC337" s="542" t="str">
        <f t="shared" si="438"/>
        <v/>
      </c>
      <c r="BD337" s="542" t="str">
        <f t="shared" si="438"/>
        <v/>
      </c>
      <c r="BE337" s="542" t="str">
        <f t="shared" si="438"/>
        <v/>
      </c>
      <c r="BF337" s="542" t="str">
        <f t="shared" si="438"/>
        <v/>
      </c>
      <c r="BG337" s="542" t="str">
        <f t="shared" si="438"/>
        <v/>
      </c>
      <c r="BH337" s="210"/>
    </row>
    <row r="338" spans="1:60">
      <c r="A338" s="1040"/>
      <c r="B338" s="1109" t="s">
        <v>1223</v>
      </c>
      <c r="C338" s="1106" t="s">
        <v>96</v>
      </c>
      <c r="D338" s="638"/>
      <c r="E338" s="942" t="s">
        <v>286</v>
      </c>
      <c r="F338" s="942"/>
      <c r="G338" s="942"/>
      <c r="H338" s="942"/>
      <c r="I338" s="129"/>
      <c r="J338" s="943"/>
      <c r="K338" s="126"/>
      <c r="L338" s="126"/>
      <c r="M338" s="944"/>
      <c r="N338" s="195"/>
      <c r="O338" s="258" t="str">
        <f>O$17</f>
        <v/>
      </c>
      <c r="P338" s="258" t="str">
        <f t="shared" ref="P338:W338" si="439">P$17</f>
        <v/>
      </c>
      <c r="Q338" s="258" t="str">
        <f t="shared" si="439"/>
        <v/>
      </c>
      <c r="R338" s="258" t="str">
        <f t="shared" si="439"/>
        <v/>
      </c>
      <c r="S338" s="258" t="str">
        <f t="shared" si="439"/>
        <v/>
      </c>
      <c r="T338" s="258" t="str">
        <f t="shared" si="439"/>
        <v/>
      </c>
      <c r="U338" s="258" t="str">
        <f t="shared" si="439"/>
        <v/>
      </c>
      <c r="V338" s="258" t="str">
        <f t="shared" si="439"/>
        <v/>
      </c>
      <c r="W338" s="258" t="str">
        <f t="shared" si="439"/>
        <v/>
      </c>
      <c r="X338" s="1092"/>
      <c r="Y338" s="944"/>
      <c r="Z338" s="1092"/>
      <c r="AA338" s="258" t="str">
        <f>AA$17</f>
        <v/>
      </c>
      <c r="AB338" s="258" t="str">
        <f t="shared" ref="AB338:AI338" si="440">AB$17</f>
        <v/>
      </c>
      <c r="AC338" s="258" t="str">
        <f t="shared" si="440"/>
        <v/>
      </c>
      <c r="AD338" s="258" t="str">
        <f t="shared" si="440"/>
        <v/>
      </c>
      <c r="AE338" s="258" t="str">
        <f t="shared" si="440"/>
        <v/>
      </c>
      <c r="AF338" s="258" t="str">
        <f t="shared" si="440"/>
        <v/>
      </c>
      <c r="AG338" s="258" t="str">
        <f t="shared" si="440"/>
        <v/>
      </c>
      <c r="AH338" s="258" t="str">
        <f t="shared" si="440"/>
        <v/>
      </c>
      <c r="AI338" s="258" t="str">
        <f t="shared" si="440"/>
        <v/>
      </c>
      <c r="AJ338" s="1092"/>
      <c r="AK338" s="944"/>
      <c r="AL338" s="1092"/>
      <c r="AM338" s="258" t="str">
        <f>AM$17</f>
        <v/>
      </c>
      <c r="AN338" s="258" t="str">
        <f t="shared" ref="AN338:AU338" si="441">AN$17</f>
        <v/>
      </c>
      <c r="AO338" s="258" t="str">
        <f t="shared" si="441"/>
        <v/>
      </c>
      <c r="AP338" s="258" t="str">
        <f t="shared" si="441"/>
        <v/>
      </c>
      <c r="AQ338" s="258" t="str">
        <f t="shared" si="441"/>
        <v/>
      </c>
      <c r="AR338" s="258" t="str">
        <f t="shared" si="441"/>
        <v/>
      </c>
      <c r="AS338" s="258" t="str">
        <f t="shared" si="441"/>
        <v/>
      </c>
      <c r="AT338" s="258" t="str">
        <f t="shared" si="441"/>
        <v/>
      </c>
      <c r="AU338" s="258" t="str">
        <f t="shared" si="441"/>
        <v/>
      </c>
      <c r="AV338" s="1092"/>
      <c r="AW338" s="944"/>
      <c r="AX338" s="1092"/>
      <c r="AY338" s="258" t="str">
        <f>AY$17</f>
        <v/>
      </c>
      <c r="AZ338" s="258" t="str">
        <f t="shared" ref="AZ338:BG338" si="442">AZ$17</f>
        <v/>
      </c>
      <c r="BA338" s="258" t="str">
        <f t="shared" si="442"/>
        <v/>
      </c>
      <c r="BB338" s="258" t="str">
        <f t="shared" si="442"/>
        <v/>
      </c>
      <c r="BC338" s="258" t="str">
        <f t="shared" si="442"/>
        <v/>
      </c>
      <c r="BD338" s="258" t="str">
        <f t="shared" si="442"/>
        <v/>
      </c>
      <c r="BE338" s="258" t="str">
        <f t="shared" si="442"/>
        <v/>
      </c>
      <c r="BF338" s="258" t="str">
        <f t="shared" si="442"/>
        <v/>
      </c>
      <c r="BG338" s="258" t="str">
        <f t="shared" si="442"/>
        <v/>
      </c>
      <c r="BH338" s="36"/>
    </row>
    <row r="339" spans="1:60">
      <c r="A339" s="1040"/>
      <c r="B339" s="1109" t="s">
        <v>1223</v>
      </c>
      <c r="C339" s="1107" t="s">
        <v>104</v>
      </c>
      <c r="D339" s="641"/>
      <c r="E339" s="203" t="s">
        <v>287</v>
      </c>
      <c r="F339" s="203"/>
      <c r="G339" s="203"/>
      <c r="H339" s="204" t="s">
        <v>154</v>
      </c>
      <c r="I339" s="205"/>
      <c r="J339" s="206"/>
      <c r="K339" s="79"/>
      <c r="L339" s="79"/>
      <c r="M339" s="206"/>
      <c r="N339" s="205"/>
      <c r="O339" s="542" t="str" cm="1">
        <f t="array" ref="O339">IF(O$337="","",IF(O$337="nvt","nvt",
INDEX(standaardwaarde_basis,MATCH(O$19,standaardwaarden_gebruiksfuncties,0)+1)+
MAX(0,O$32-1)*INDEX(standaardwaarde_extra_vraag_boven_grenswaarde_vormfactor,MATCH(O$19,standaardwaarden_gebruiksfuncties,0)+1)))</f>
        <v/>
      </c>
      <c r="P339" s="542" t="str" cm="1">
        <f t="array" ref="P339">IF(P$337="","",IF(P$337="nvt","nvt",
INDEX(standaardwaarde_basis,MATCH(P$19,standaardwaarden_gebruiksfuncties,0)+1)+
MAX(0,P$32-1)*INDEX(standaardwaarde_extra_vraag_boven_grenswaarde_vormfactor,MATCH(P$19,standaardwaarden_gebruiksfuncties,0)+1)))</f>
        <v/>
      </c>
      <c r="Q339" s="542" t="str" cm="1">
        <f t="array" ref="Q339">IF(Q$337="","",IF(Q$337="nvt","nvt",
INDEX(standaardwaarde_basis,MATCH(Q$19,standaardwaarden_gebruiksfuncties,0)+1)+
MAX(0,Q$32-1)*INDEX(standaardwaarde_extra_vraag_boven_grenswaarde_vormfactor,MATCH(Q$19,standaardwaarden_gebruiksfuncties,0)+1)))</f>
        <v/>
      </c>
      <c r="R339" s="542" t="str" cm="1">
        <f t="array" ref="R339">IF(R$337="","",IF(R$337="nvt","nvt",
INDEX(standaardwaarde_basis,MATCH(R$19,standaardwaarden_gebruiksfuncties,0)+1)+
MAX(0,R$32-1)*INDEX(standaardwaarde_extra_vraag_boven_grenswaarde_vormfactor,MATCH(R$19,standaardwaarden_gebruiksfuncties,0)+1)))</f>
        <v/>
      </c>
      <c r="S339" s="542" t="str" cm="1">
        <f t="array" ref="S339">IF(S$337="","",IF(S$337="nvt","nvt",
INDEX(standaardwaarde_basis,MATCH(S$19,standaardwaarden_gebruiksfuncties,0)+1)+
MAX(0,S$32-1)*INDEX(standaardwaarde_extra_vraag_boven_grenswaarde_vormfactor,MATCH(S$19,standaardwaarden_gebruiksfuncties,0)+1)))</f>
        <v/>
      </c>
      <c r="T339" s="542" t="str" cm="1">
        <f t="array" ref="T339">IF(T$337="","",IF(T$337="nvt","nvt",
INDEX(standaardwaarde_basis,MATCH(T$19,standaardwaarden_gebruiksfuncties,0)+1)+
MAX(0,T$32-1)*INDEX(standaardwaarde_extra_vraag_boven_grenswaarde_vormfactor,MATCH(T$19,standaardwaarden_gebruiksfuncties,0)+1)))</f>
        <v/>
      </c>
      <c r="U339" s="542" t="str" cm="1">
        <f t="array" ref="U339">IF(U$337="","",IF(U$337="nvt","nvt",
INDEX(standaardwaarde_basis,MATCH(U$19,standaardwaarden_gebruiksfuncties,0)+1)+
MAX(0,U$32-1)*INDEX(standaardwaarde_extra_vraag_boven_grenswaarde_vormfactor,MATCH(U$19,standaardwaarden_gebruiksfuncties,0)+1)))</f>
        <v/>
      </c>
      <c r="V339" s="542" t="str" cm="1">
        <f t="array" ref="V339">IF(V$337="","",IF(V$337="nvt","nvt",
INDEX(standaardwaarde_basis,MATCH(V$19,standaardwaarden_gebruiksfuncties,0)+1)+
MAX(0,V$32-1)*INDEX(standaardwaarde_extra_vraag_boven_grenswaarde_vormfactor,MATCH(V$19,standaardwaarden_gebruiksfuncties,0)+1)))</f>
        <v/>
      </c>
      <c r="W339" s="542" t="str" cm="1">
        <f t="array" ref="W339">IF(W$337="","",IF(W$337="nvt","nvt",
INDEX(standaardwaarde_basis,MATCH(W$19,standaardwaarden_gebruiksfuncties,0)+1)+
MAX(0,W$32-1)*INDEX(standaardwaarde_extra_vraag_boven_grenswaarde_vormfactor,MATCH(W$19,standaardwaarden_gebruiksfuncties,0)+1)))</f>
        <v/>
      </c>
      <c r="X339" s="108"/>
      <c r="Y339" s="206"/>
      <c r="Z339" s="1091"/>
      <c r="AA339" s="542" t="str" cm="1">
        <f t="array" ref="AA339">IF(AA$337="","",IF(AA$337="nvt","nvt",
INDEX(standaardwaarde_basis,MATCH(AA$19,standaardwaarden_gebruiksfuncties,0)+1)+
MAX(0,AA$32-1)*INDEX(standaardwaarde_extra_vraag_boven_grenswaarde_vormfactor,MATCH(AA$19,standaardwaarden_gebruiksfuncties,0)+1)))</f>
        <v/>
      </c>
      <c r="AB339" s="542" t="str" cm="1">
        <f t="array" ref="AB339">IF(AB$337="","",IF(AB$337="nvt","nvt",
INDEX(standaardwaarde_basis,MATCH(AB$19,standaardwaarden_gebruiksfuncties,0)+1)+
MAX(0,AB$32-1)*INDEX(standaardwaarde_extra_vraag_boven_grenswaarde_vormfactor,MATCH(AB$19,standaardwaarden_gebruiksfuncties,0)+1)))</f>
        <v/>
      </c>
      <c r="AC339" s="542" t="str" cm="1">
        <f t="array" ref="AC339">IF(AC$337="","",IF(AC$337="nvt","nvt",
INDEX(standaardwaarde_basis,MATCH(AC$19,standaardwaarden_gebruiksfuncties,0)+1)+
MAX(0,AC$32-1)*INDEX(standaardwaarde_extra_vraag_boven_grenswaarde_vormfactor,MATCH(AC$19,standaardwaarden_gebruiksfuncties,0)+1)))</f>
        <v/>
      </c>
      <c r="AD339" s="542" t="str" cm="1">
        <f t="array" ref="AD339">IF(AD$337="","",IF(AD$337="nvt","nvt",
INDEX(standaardwaarde_basis,MATCH(AD$19,standaardwaarden_gebruiksfuncties,0)+1)+
MAX(0,AD$32-1)*INDEX(standaardwaarde_extra_vraag_boven_grenswaarde_vormfactor,MATCH(AD$19,standaardwaarden_gebruiksfuncties,0)+1)))</f>
        <v/>
      </c>
      <c r="AE339" s="542" t="str" cm="1">
        <f t="array" ref="AE339">IF(AE$337="","",IF(AE$337="nvt","nvt",
INDEX(standaardwaarde_basis,MATCH(AE$19,standaardwaarden_gebruiksfuncties,0)+1)+
MAX(0,AE$32-1)*INDEX(standaardwaarde_extra_vraag_boven_grenswaarde_vormfactor,MATCH(AE$19,standaardwaarden_gebruiksfuncties,0)+1)))</f>
        <v/>
      </c>
      <c r="AF339" s="542" t="str" cm="1">
        <f t="array" ref="AF339">IF(AF$337="","",IF(AF$337="nvt","nvt",
INDEX(standaardwaarde_basis,MATCH(AF$19,standaardwaarden_gebruiksfuncties,0)+1)+
MAX(0,AF$32-1)*INDEX(standaardwaarde_extra_vraag_boven_grenswaarde_vormfactor,MATCH(AF$19,standaardwaarden_gebruiksfuncties,0)+1)))</f>
        <v/>
      </c>
      <c r="AG339" s="542" t="str" cm="1">
        <f t="array" ref="AG339">IF(AG$337="","",IF(AG$337="nvt","nvt",
INDEX(standaardwaarde_basis,MATCH(AG$19,standaardwaarden_gebruiksfuncties,0)+1)+
MAX(0,AG$32-1)*INDEX(standaardwaarde_extra_vraag_boven_grenswaarde_vormfactor,MATCH(AG$19,standaardwaarden_gebruiksfuncties,0)+1)))</f>
        <v/>
      </c>
      <c r="AH339" s="542" t="str" cm="1">
        <f t="array" ref="AH339">IF(AH$337="","",IF(AH$337="nvt","nvt",
INDEX(standaardwaarde_basis,MATCH(AH$19,standaardwaarden_gebruiksfuncties,0)+1)+
MAX(0,AH$32-1)*INDEX(standaardwaarde_extra_vraag_boven_grenswaarde_vormfactor,MATCH(AH$19,standaardwaarden_gebruiksfuncties,0)+1)))</f>
        <v/>
      </c>
      <c r="AI339" s="542" t="str" cm="1">
        <f t="array" ref="AI339">IF(AI$337="","",IF(AI$337="nvt","nvt",
INDEX(standaardwaarde_basis,MATCH(AI$19,standaardwaarden_gebruiksfuncties,0)+1)+
MAX(0,AI$32-1)*INDEX(standaardwaarde_extra_vraag_boven_grenswaarde_vormfactor,MATCH(AI$19,standaardwaarden_gebruiksfuncties,0)+1)))</f>
        <v/>
      </c>
      <c r="AJ339" s="108"/>
      <c r="AK339" s="206"/>
      <c r="AL339" s="1091"/>
      <c r="AM339" s="542" t="str" cm="1">
        <f t="array" ref="AM339">IF(AM$337="","",IF(AM$337="nvt","nvt",
INDEX(standaardwaarde_basis,MATCH(AM$19,standaardwaarden_gebruiksfuncties,0)+1)+
MAX(0,AM$32-1)*INDEX(standaardwaarde_extra_vraag_boven_grenswaarde_vormfactor,MATCH(AM$19,standaardwaarden_gebruiksfuncties,0)+1)))</f>
        <v/>
      </c>
      <c r="AN339" s="542" t="str" cm="1">
        <f t="array" ref="AN339">IF(AN$337="","",IF(AN$337="nvt","nvt",
INDEX(standaardwaarde_basis,MATCH(AN$19,standaardwaarden_gebruiksfuncties,0)+1)+
MAX(0,AN$32-1)*INDEX(standaardwaarde_extra_vraag_boven_grenswaarde_vormfactor,MATCH(AN$19,standaardwaarden_gebruiksfuncties,0)+1)))</f>
        <v/>
      </c>
      <c r="AO339" s="542" t="str" cm="1">
        <f t="array" ref="AO339">IF(AO$337="","",IF(AO$337="nvt","nvt",
INDEX(standaardwaarde_basis,MATCH(AO$19,standaardwaarden_gebruiksfuncties,0)+1)+
MAX(0,AO$32-1)*INDEX(standaardwaarde_extra_vraag_boven_grenswaarde_vormfactor,MATCH(AO$19,standaardwaarden_gebruiksfuncties,0)+1)))</f>
        <v/>
      </c>
      <c r="AP339" s="542" t="str" cm="1">
        <f t="array" ref="AP339">IF(AP$337="","",IF(AP$337="nvt","nvt",
INDEX(standaardwaarde_basis,MATCH(AP$19,standaardwaarden_gebruiksfuncties,0)+1)+
MAX(0,AP$32-1)*INDEX(standaardwaarde_extra_vraag_boven_grenswaarde_vormfactor,MATCH(AP$19,standaardwaarden_gebruiksfuncties,0)+1)))</f>
        <v/>
      </c>
      <c r="AQ339" s="542" t="str" cm="1">
        <f t="array" ref="AQ339">IF(AQ$337="","",IF(AQ$337="nvt","nvt",
INDEX(standaardwaarde_basis,MATCH(AQ$19,standaardwaarden_gebruiksfuncties,0)+1)+
MAX(0,AQ$32-1)*INDEX(standaardwaarde_extra_vraag_boven_grenswaarde_vormfactor,MATCH(AQ$19,standaardwaarden_gebruiksfuncties,0)+1)))</f>
        <v/>
      </c>
      <c r="AR339" s="542" t="str" cm="1">
        <f t="array" ref="AR339">IF(AR$337="","",IF(AR$337="nvt","nvt",
INDEX(standaardwaarde_basis,MATCH(AR$19,standaardwaarden_gebruiksfuncties,0)+1)+
MAX(0,AR$32-1)*INDEX(standaardwaarde_extra_vraag_boven_grenswaarde_vormfactor,MATCH(AR$19,standaardwaarden_gebruiksfuncties,0)+1)))</f>
        <v/>
      </c>
      <c r="AS339" s="542" t="str" cm="1">
        <f t="array" ref="AS339">IF(AS$337="","",IF(AS$337="nvt","nvt",
INDEX(standaardwaarde_basis,MATCH(AS$19,standaardwaarden_gebruiksfuncties,0)+1)+
MAX(0,AS$32-1)*INDEX(standaardwaarde_extra_vraag_boven_grenswaarde_vormfactor,MATCH(AS$19,standaardwaarden_gebruiksfuncties,0)+1)))</f>
        <v/>
      </c>
      <c r="AT339" s="542" t="str" cm="1">
        <f t="array" ref="AT339">IF(AT$337="","",IF(AT$337="nvt","nvt",
INDEX(standaardwaarde_basis,MATCH(AT$19,standaardwaarden_gebruiksfuncties,0)+1)+
MAX(0,AT$32-1)*INDEX(standaardwaarde_extra_vraag_boven_grenswaarde_vormfactor,MATCH(AT$19,standaardwaarden_gebruiksfuncties,0)+1)))</f>
        <v/>
      </c>
      <c r="AU339" s="542" t="str" cm="1">
        <f t="array" ref="AU339">IF(AU$337="","",IF(AU$337="nvt","nvt",
INDEX(standaardwaarde_basis,MATCH(AU$19,standaardwaarden_gebruiksfuncties,0)+1)+
MAX(0,AU$32-1)*INDEX(standaardwaarde_extra_vraag_boven_grenswaarde_vormfactor,MATCH(AU$19,standaardwaarden_gebruiksfuncties,0)+1)))</f>
        <v/>
      </c>
      <c r="AV339" s="108"/>
      <c r="AW339" s="206"/>
      <c r="AX339" s="1091"/>
      <c r="AY339" s="542" t="str" cm="1">
        <f t="array" ref="AY339">IF(AY$337="","",IF(AY$337="nvt","nvt",
INDEX(standaardwaarde_basis,MATCH(AY$19,standaardwaarden_gebruiksfuncties,0)+1)+
MAX(0,AY$32-1)*INDEX(standaardwaarde_extra_vraag_boven_grenswaarde_vormfactor,MATCH(AY$19,standaardwaarden_gebruiksfuncties,0)+1)))</f>
        <v/>
      </c>
      <c r="AZ339" s="542" t="str" cm="1">
        <f t="array" ref="AZ339">IF(AZ$337="","",IF(AZ$337="nvt","nvt",
INDEX(standaardwaarde_basis,MATCH(AZ$19,standaardwaarden_gebruiksfuncties,0)+1)+
MAX(0,AZ$32-1)*INDEX(standaardwaarde_extra_vraag_boven_grenswaarde_vormfactor,MATCH(AZ$19,standaardwaarden_gebruiksfuncties,0)+1)))</f>
        <v/>
      </c>
      <c r="BA339" s="542" t="str" cm="1">
        <f t="array" ref="BA339">IF(BA$337="","",IF(BA$337="nvt","nvt",
INDEX(standaardwaarde_basis,MATCH(BA$19,standaardwaarden_gebruiksfuncties,0)+1)+
MAX(0,BA$32-1)*INDEX(standaardwaarde_extra_vraag_boven_grenswaarde_vormfactor,MATCH(BA$19,standaardwaarden_gebruiksfuncties,0)+1)))</f>
        <v/>
      </c>
      <c r="BB339" s="542" t="str" cm="1">
        <f t="array" ref="BB339">IF(BB$337="","",IF(BB$337="nvt","nvt",
INDEX(standaardwaarde_basis,MATCH(BB$19,standaardwaarden_gebruiksfuncties,0)+1)+
MAX(0,BB$32-1)*INDEX(standaardwaarde_extra_vraag_boven_grenswaarde_vormfactor,MATCH(BB$19,standaardwaarden_gebruiksfuncties,0)+1)))</f>
        <v/>
      </c>
      <c r="BC339" s="542" t="str" cm="1">
        <f t="array" ref="BC339">IF(BC$337="","",IF(BC$337="nvt","nvt",
INDEX(standaardwaarde_basis,MATCH(BC$19,standaardwaarden_gebruiksfuncties,0)+1)+
MAX(0,BC$32-1)*INDEX(standaardwaarde_extra_vraag_boven_grenswaarde_vormfactor,MATCH(BC$19,standaardwaarden_gebruiksfuncties,0)+1)))</f>
        <v/>
      </c>
      <c r="BD339" s="542" t="str" cm="1">
        <f t="array" ref="BD339">IF(BD$337="","",IF(BD$337="nvt","nvt",
INDEX(standaardwaarde_basis,MATCH(BD$19,standaardwaarden_gebruiksfuncties,0)+1)+
MAX(0,BD$32-1)*INDEX(standaardwaarde_extra_vraag_boven_grenswaarde_vormfactor,MATCH(BD$19,standaardwaarden_gebruiksfuncties,0)+1)))</f>
        <v/>
      </c>
      <c r="BE339" s="542" t="str" cm="1">
        <f t="array" ref="BE339">IF(BE$337="","",IF(BE$337="nvt","nvt",
INDEX(standaardwaarde_basis,MATCH(BE$19,standaardwaarden_gebruiksfuncties,0)+1)+
MAX(0,BE$32-1)*INDEX(standaardwaarde_extra_vraag_boven_grenswaarde_vormfactor,MATCH(BE$19,standaardwaarden_gebruiksfuncties,0)+1)))</f>
        <v/>
      </c>
      <c r="BF339" s="542" t="str" cm="1">
        <f t="array" ref="BF339">IF(BF$337="","",IF(BF$337="nvt","nvt",
INDEX(standaardwaarde_basis,MATCH(BF$19,standaardwaarden_gebruiksfuncties,0)+1)+
MAX(0,BF$32-1)*INDEX(standaardwaarde_extra_vraag_boven_grenswaarde_vormfactor,MATCH(BF$19,standaardwaarden_gebruiksfuncties,0)+1)))</f>
        <v/>
      </c>
      <c r="BG339" s="542" t="str" cm="1">
        <f t="array" ref="BG339">IF(BG$337="","",IF(BG$337="nvt","nvt",
INDEX(standaardwaarde_basis,MATCH(BG$19,standaardwaarden_gebruiksfuncties,0)+1)+
MAX(0,BG$32-1)*INDEX(standaardwaarde_extra_vraag_boven_grenswaarde_vormfactor,MATCH(BG$19,standaardwaarden_gebruiksfuncties,0)+1)))</f>
        <v/>
      </c>
      <c r="BH339" s="210"/>
    </row>
    <row r="340" spans="1:60">
      <c r="A340" s="1040"/>
      <c r="B340" s="1109" t="s">
        <v>1223</v>
      </c>
      <c r="C340" s="1107" t="s">
        <v>104</v>
      </c>
      <c r="D340" s="641"/>
      <c r="E340" s="203" t="s">
        <v>285</v>
      </c>
      <c r="F340" s="203"/>
      <c r="G340" s="203"/>
      <c r="H340" s="204" t="s">
        <v>154</v>
      </c>
      <c r="I340" s="205"/>
      <c r="J340" s="206"/>
      <c r="K340" s="79"/>
      <c r="L340" s="79"/>
      <c r="M340" s="206"/>
      <c r="N340" s="205"/>
      <c r="O340" s="542" t="str">
        <f t="shared" ref="O340:W340" si="443">IF(OR(O$17="",O$38="",O$40="",O$322=""),"",IF(OR(O$19=woning,O$19=woongebouw),O$269,"nvt"))</f>
        <v/>
      </c>
      <c r="P340" s="542" t="str">
        <f t="shared" si="443"/>
        <v/>
      </c>
      <c r="Q340" s="542" t="str">
        <f t="shared" si="443"/>
        <v/>
      </c>
      <c r="R340" s="542" t="str">
        <f t="shared" si="443"/>
        <v/>
      </c>
      <c r="S340" s="542" t="str">
        <f t="shared" si="443"/>
        <v/>
      </c>
      <c r="T340" s="542" t="str">
        <f t="shared" si="443"/>
        <v/>
      </c>
      <c r="U340" s="542" t="str">
        <f t="shared" si="443"/>
        <v/>
      </c>
      <c r="V340" s="542" t="str">
        <f t="shared" si="443"/>
        <v/>
      </c>
      <c r="W340" s="542" t="str">
        <f t="shared" si="443"/>
        <v/>
      </c>
      <c r="X340" s="108"/>
      <c r="Y340" s="206"/>
      <c r="Z340" s="1091"/>
      <c r="AA340" s="542" t="str">
        <f t="shared" ref="AA340:AI340" si="444">IF(OR(AA$17="",AA$38="",AA$40="",AA$322=""),"",IF(OR(AA$19=woning,AA$19=woongebouw),AA$269,"nvt"))</f>
        <v/>
      </c>
      <c r="AB340" s="542" t="str">
        <f t="shared" si="444"/>
        <v/>
      </c>
      <c r="AC340" s="542" t="str">
        <f t="shared" si="444"/>
        <v/>
      </c>
      <c r="AD340" s="542" t="str">
        <f t="shared" si="444"/>
        <v/>
      </c>
      <c r="AE340" s="542" t="str">
        <f t="shared" si="444"/>
        <v/>
      </c>
      <c r="AF340" s="542" t="str">
        <f t="shared" si="444"/>
        <v/>
      </c>
      <c r="AG340" s="542" t="str">
        <f t="shared" si="444"/>
        <v/>
      </c>
      <c r="AH340" s="542" t="str">
        <f t="shared" si="444"/>
        <v/>
      </c>
      <c r="AI340" s="542" t="str">
        <f t="shared" si="444"/>
        <v/>
      </c>
      <c r="AJ340" s="108"/>
      <c r="AK340" s="206"/>
      <c r="AL340" s="1091"/>
      <c r="AM340" s="542" t="str">
        <f t="shared" ref="AM340:AU340" si="445">IF(OR(AM$17="",AM$38="",AM$40="",AM$322=""),"",IF(OR(AM$19=woning,AM$19=woongebouw),AM$269,"nvt"))</f>
        <v/>
      </c>
      <c r="AN340" s="542" t="str">
        <f t="shared" si="445"/>
        <v/>
      </c>
      <c r="AO340" s="542" t="str">
        <f t="shared" si="445"/>
        <v/>
      </c>
      <c r="AP340" s="542" t="str">
        <f t="shared" si="445"/>
        <v/>
      </c>
      <c r="AQ340" s="542" t="str">
        <f t="shared" si="445"/>
        <v/>
      </c>
      <c r="AR340" s="542" t="str">
        <f t="shared" si="445"/>
        <v/>
      </c>
      <c r="AS340" s="542" t="str">
        <f t="shared" si="445"/>
        <v/>
      </c>
      <c r="AT340" s="542" t="str">
        <f t="shared" si="445"/>
        <v/>
      </c>
      <c r="AU340" s="542" t="str">
        <f t="shared" si="445"/>
        <v/>
      </c>
      <c r="AV340" s="108"/>
      <c r="AW340" s="206"/>
      <c r="AX340" s="1091"/>
      <c r="AY340" s="542" t="str">
        <f t="shared" ref="AY340:BG340" si="446">IF(OR(AY$17="",AY$38="",AY$40="",AY$322=""),"",IF(OR(AY$19=woning,AY$19=woongebouw),AY$269,"nvt"))</f>
        <v/>
      </c>
      <c r="AZ340" s="542" t="str">
        <f t="shared" si="446"/>
        <v/>
      </c>
      <c r="BA340" s="542" t="str">
        <f t="shared" si="446"/>
        <v/>
      </c>
      <c r="BB340" s="542" t="str">
        <f t="shared" si="446"/>
        <v/>
      </c>
      <c r="BC340" s="542" t="str">
        <f t="shared" si="446"/>
        <v/>
      </c>
      <c r="BD340" s="542" t="str">
        <f t="shared" si="446"/>
        <v/>
      </c>
      <c r="BE340" s="542" t="str">
        <f t="shared" si="446"/>
        <v/>
      </c>
      <c r="BF340" s="542" t="str">
        <f t="shared" si="446"/>
        <v/>
      </c>
      <c r="BG340" s="542" t="str">
        <f t="shared" si="446"/>
        <v/>
      </c>
      <c r="BH340" s="210"/>
    </row>
    <row r="341" spans="1:60">
      <c r="A341" s="1040"/>
      <c r="B341" s="1109" t="s">
        <v>1223</v>
      </c>
      <c r="C341" s="1106" t="s">
        <v>96</v>
      </c>
      <c r="D341" s="638"/>
      <c r="E341" s="79"/>
      <c r="F341" s="79"/>
      <c r="G341" s="79"/>
      <c r="H341" s="85"/>
      <c r="I341" s="79"/>
      <c r="J341" s="82"/>
      <c r="K341" s="79"/>
      <c r="L341" s="79"/>
      <c r="M341" s="82"/>
      <c r="N341" s="79"/>
      <c r="O341" s="108"/>
      <c r="P341" s="108"/>
      <c r="Q341" s="108"/>
      <c r="R341" s="108"/>
      <c r="S341" s="108"/>
      <c r="T341" s="108"/>
      <c r="U341" s="108"/>
      <c r="V341" s="108"/>
      <c r="W341" s="108"/>
      <c r="X341" s="82"/>
      <c r="Y341" s="82"/>
      <c r="Z341" s="79"/>
      <c r="AA341" s="108"/>
      <c r="AB341" s="108"/>
      <c r="AC341" s="108"/>
      <c r="AD341" s="108"/>
      <c r="AE341" s="108"/>
      <c r="AF341" s="108"/>
      <c r="AG341" s="108"/>
      <c r="AH341" s="108"/>
      <c r="AI341" s="108"/>
      <c r="AJ341" s="82"/>
      <c r="AK341" s="82"/>
      <c r="AL341" s="79"/>
      <c r="AM341" s="108"/>
      <c r="AN341" s="108"/>
      <c r="AO341" s="108"/>
      <c r="AP341" s="108"/>
      <c r="AQ341" s="108"/>
      <c r="AR341" s="108"/>
      <c r="AS341" s="108"/>
      <c r="AT341" s="108"/>
      <c r="AU341" s="108"/>
      <c r="AV341" s="82"/>
      <c r="AW341" s="82"/>
      <c r="AX341" s="79"/>
      <c r="AY341" s="108"/>
      <c r="AZ341" s="108"/>
      <c r="BA341" s="108"/>
      <c r="BB341" s="108"/>
      <c r="BC341" s="108"/>
      <c r="BD341" s="108"/>
      <c r="BE341" s="108"/>
      <c r="BF341" s="108"/>
      <c r="BG341" s="108"/>
      <c r="BH341" s="1"/>
    </row>
    <row r="342" spans="1:60">
      <c r="A342" s="1040"/>
      <c r="B342" s="1109" t="s">
        <v>1224</v>
      </c>
      <c r="C342" s="1107" t="s">
        <v>96</v>
      </c>
      <c r="D342" s="638"/>
      <c r="E342" s="79"/>
      <c r="F342" s="79"/>
      <c r="G342" s="79"/>
      <c r="H342" s="85"/>
      <c r="I342" s="79"/>
      <c r="J342" s="82"/>
      <c r="K342" s="79"/>
      <c r="L342" s="79"/>
      <c r="M342" s="82"/>
      <c r="N342" s="79"/>
      <c r="O342" s="82"/>
      <c r="P342" s="82"/>
      <c r="Q342" s="82"/>
      <c r="R342" s="82"/>
      <c r="S342" s="82"/>
      <c r="T342" s="82"/>
      <c r="U342" s="82"/>
      <c r="V342" s="82"/>
      <c r="W342" s="82"/>
      <c r="X342" s="82"/>
      <c r="Y342" s="82"/>
      <c r="Z342" s="79"/>
      <c r="AA342" s="82"/>
      <c r="AB342" s="82"/>
      <c r="AC342" s="82"/>
      <c r="AD342" s="82"/>
      <c r="AE342" s="82"/>
      <c r="AF342" s="82"/>
      <c r="AG342" s="82"/>
      <c r="AH342" s="82"/>
      <c r="AI342" s="82"/>
      <c r="AJ342" s="82"/>
      <c r="AK342" s="82"/>
      <c r="AL342" s="79"/>
      <c r="AM342" s="82"/>
      <c r="AN342" s="82"/>
      <c r="AO342" s="82"/>
      <c r="AP342" s="82"/>
      <c r="AQ342" s="82"/>
      <c r="AR342" s="82"/>
      <c r="AS342" s="82"/>
      <c r="AT342" s="82"/>
      <c r="AU342" s="82"/>
      <c r="AV342" s="82"/>
      <c r="AW342" s="82"/>
      <c r="AX342" s="79"/>
      <c r="AY342" s="82"/>
      <c r="AZ342" s="82"/>
      <c r="BA342" s="82"/>
      <c r="BB342" s="82"/>
      <c r="BC342" s="82"/>
      <c r="BD342" s="82"/>
      <c r="BE342" s="82"/>
      <c r="BF342" s="82"/>
      <c r="BG342" s="82"/>
      <c r="BH342" s="1"/>
    </row>
    <row r="343" spans="1:60" s="2" customFormat="1" ht="21">
      <c r="A343" s="1038"/>
      <c r="B343" s="1109" t="s">
        <v>1224</v>
      </c>
      <c r="C343" s="1106" t="s">
        <v>96</v>
      </c>
      <c r="D343" s="640" t="s">
        <v>45</v>
      </c>
      <c r="E343" s="209" t="s">
        <v>1361</v>
      </c>
      <c r="F343" s="209"/>
      <c r="G343" s="209"/>
      <c r="H343" s="209"/>
      <c r="I343" s="129"/>
      <c r="J343" s="256" t="str">
        <f>"ton CO2 "&amp;J$8</f>
        <v>ton CO2 alle locaties</v>
      </c>
      <c r="K343" s="126"/>
      <c r="L343" s="126"/>
      <c r="M343" s="256" t="str">
        <f>"ton CO2 "&amp;M$8</f>
        <v>ton CO2 locatie 1</v>
      </c>
      <c r="N343" s="182"/>
      <c r="O343" s="955" t="str">
        <f>$E343&amp;" per woning-/gebouwtype"</f>
        <v>CO2 emissie indicatie op basis van berekening fossiel per woning-/gebouwtype</v>
      </c>
      <c r="P343" s="945"/>
      <c r="Q343" s="945"/>
      <c r="R343" s="945"/>
      <c r="S343" s="945"/>
      <c r="T343" s="945"/>
      <c r="U343" s="945"/>
      <c r="V343" s="945"/>
      <c r="W343" s="257"/>
      <c r="X343" s="174"/>
      <c r="Y343" s="256" t="str">
        <f>"ton CO2 "&amp;Y$8</f>
        <v>ton CO2 locatie 2</v>
      </c>
      <c r="Z343" s="182"/>
      <c r="AA343" s="955" t="str">
        <f>$E343&amp;" per woning-/gebouwtype"</f>
        <v>CO2 emissie indicatie op basis van berekening fossiel per woning-/gebouwtype</v>
      </c>
      <c r="AB343" s="945"/>
      <c r="AC343" s="945"/>
      <c r="AD343" s="945"/>
      <c r="AE343" s="945"/>
      <c r="AF343" s="945"/>
      <c r="AG343" s="945"/>
      <c r="AH343" s="945"/>
      <c r="AI343" s="257"/>
      <c r="AJ343" s="174"/>
      <c r="AK343" s="256" t="str">
        <f>"ton CO2 "&amp;AK$8</f>
        <v>ton CO2 locatie 3</v>
      </c>
      <c r="AL343" s="182"/>
      <c r="AM343" s="955" t="str">
        <f>$E343&amp;" per woning-/gebouwtype"</f>
        <v>CO2 emissie indicatie op basis van berekening fossiel per woning-/gebouwtype</v>
      </c>
      <c r="AN343" s="945"/>
      <c r="AO343" s="945"/>
      <c r="AP343" s="945"/>
      <c r="AQ343" s="945"/>
      <c r="AR343" s="945"/>
      <c r="AS343" s="945"/>
      <c r="AT343" s="945"/>
      <c r="AU343" s="257"/>
      <c r="AV343" s="174"/>
      <c r="AW343" s="256" t="str">
        <f>"ton CO2 "&amp;AW$8</f>
        <v>ton CO2 locatie 4</v>
      </c>
      <c r="AX343" s="182"/>
      <c r="AY343" s="955" t="str">
        <f>$E343&amp;" per woning-/gebouwtype"</f>
        <v>CO2 emissie indicatie op basis van berekening fossiel per woning-/gebouwtype</v>
      </c>
      <c r="AZ343" s="945"/>
      <c r="BA343" s="945"/>
      <c r="BB343" s="945"/>
      <c r="BC343" s="945"/>
      <c r="BD343" s="945"/>
      <c r="BE343" s="945"/>
      <c r="BF343" s="945"/>
      <c r="BG343" s="257"/>
      <c r="BH343" s="1"/>
    </row>
    <row r="344" spans="1:60">
      <c r="A344" s="1040"/>
      <c r="B344" s="1109" t="s">
        <v>1224</v>
      </c>
      <c r="C344" s="1106" t="s">
        <v>96</v>
      </c>
      <c r="D344" s="638"/>
      <c r="E344" s="942" t="s">
        <v>288</v>
      </c>
      <c r="F344" s="942"/>
      <c r="G344" s="942"/>
      <c r="H344" s="942"/>
      <c r="I344" s="129"/>
      <c r="J344" s="943"/>
      <c r="K344" s="126"/>
      <c r="L344" s="126"/>
      <c r="M344" s="944"/>
      <c r="N344" s="195"/>
      <c r="O344" s="258" t="str">
        <f>O$17</f>
        <v/>
      </c>
      <c r="P344" s="258" t="str">
        <f t="shared" ref="P344:W344" si="447">P$17</f>
        <v/>
      </c>
      <c r="Q344" s="258" t="str">
        <f t="shared" si="447"/>
        <v/>
      </c>
      <c r="R344" s="258" t="str">
        <f t="shared" si="447"/>
        <v/>
      </c>
      <c r="S344" s="258" t="str">
        <f t="shared" si="447"/>
        <v/>
      </c>
      <c r="T344" s="258" t="str">
        <f t="shared" si="447"/>
        <v/>
      </c>
      <c r="U344" s="258" t="str">
        <f t="shared" si="447"/>
        <v/>
      </c>
      <c r="V344" s="258" t="str">
        <f t="shared" si="447"/>
        <v/>
      </c>
      <c r="W344" s="258" t="str">
        <f t="shared" si="447"/>
        <v/>
      </c>
      <c r="X344" s="195"/>
      <c r="Y344" s="944"/>
      <c r="Z344" s="195"/>
      <c r="AA344" s="258" t="str">
        <f>AA$17</f>
        <v/>
      </c>
      <c r="AB344" s="258" t="str">
        <f t="shared" ref="AB344:AI344" si="448">AB$17</f>
        <v/>
      </c>
      <c r="AC344" s="258" t="str">
        <f t="shared" si="448"/>
        <v/>
      </c>
      <c r="AD344" s="258" t="str">
        <f t="shared" si="448"/>
        <v/>
      </c>
      <c r="AE344" s="258" t="str">
        <f t="shared" si="448"/>
        <v/>
      </c>
      <c r="AF344" s="258" t="str">
        <f t="shared" si="448"/>
        <v/>
      </c>
      <c r="AG344" s="258" t="str">
        <f t="shared" si="448"/>
        <v/>
      </c>
      <c r="AH344" s="258" t="str">
        <f t="shared" si="448"/>
        <v/>
      </c>
      <c r="AI344" s="258" t="str">
        <f t="shared" si="448"/>
        <v/>
      </c>
      <c r="AJ344" s="195"/>
      <c r="AK344" s="944"/>
      <c r="AL344" s="195"/>
      <c r="AM344" s="258" t="str">
        <f>AM$17</f>
        <v/>
      </c>
      <c r="AN344" s="258" t="str">
        <f t="shared" ref="AN344:AU344" si="449">AN$17</f>
        <v/>
      </c>
      <c r="AO344" s="258" t="str">
        <f t="shared" si="449"/>
        <v/>
      </c>
      <c r="AP344" s="258" t="str">
        <f t="shared" si="449"/>
        <v/>
      </c>
      <c r="AQ344" s="258" t="str">
        <f t="shared" si="449"/>
        <v/>
      </c>
      <c r="AR344" s="258" t="str">
        <f t="shared" si="449"/>
        <v/>
      </c>
      <c r="AS344" s="258" t="str">
        <f t="shared" si="449"/>
        <v/>
      </c>
      <c r="AT344" s="258" t="str">
        <f t="shared" si="449"/>
        <v/>
      </c>
      <c r="AU344" s="258" t="str">
        <f t="shared" si="449"/>
        <v/>
      </c>
      <c r="AV344" s="195"/>
      <c r="AW344" s="944"/>
      <c r="AX344" s="195"/>
      <c r="AY344" s="258" t="str">
        <f>AY$17</f>
        <v/>
      </c>
      <c r="AZ344" s="258" t="str">
        <f t="shared" ref="AZ344:BG344" si="450">AZ$17</f>
        <v/>
      </c>
      <c r="BA344" s="258" t="str">
        <f t="shared" si="450"/>
        <v/>
      </c>
      <c r="BB344" s="258" t="str">
        <f t="shared" si="450"/>
        <v/>
      </c>
      <c r="BC344" s="258" t="str">
        <f t="shared" si="450"/>
        <v/>
      </c>
      <c r="BD344" s="258" t="str">
        <f t="shared" si="450"/>
        <v/>
      </c>
      <c r="BE344" s="258" t="str">
        <f t="shared" si="450"/>
        <v/>
      </c>
      <c r="BF344" s="258" t="str">
        <f t="shared" si="450"/>
        <v/>
      </c>
      <c r="BG344" s="258" t="str">
        <f t="shared" si="450"/>
        <v/>
      </c>
      <c r="BH344" s="36"/>
    </row>
    <row r="345" spans="1:60" s="2" customFormat="1">
      <c r="A345" s="1038"/>
      <c r="B345" s="1110" t="s">
        <v>1224</v>
      </c>
      <c r="C345" s="1106" t="s">
        <v>104</v>
      </c>
      <c r="D345" s="645"/>
      <c r="E345" s="304" t="str">
        <f>$O$10</f>
        <v>verwarming</v>
      </c>
      <c r="F345" s="203"/>
      <c r="G345" s="203"/>
      <c r="H345" s="204" t="s">
        <v>289</v>
      </c>
      <c r="I345" s="205"/>
      <c r="J345" s="206">
        <f t="shared" ref="J345:J353" si="451">M345+Y345+AK345+AW345</f>
        <v>0</v>
      </c>
      <c r="K345" s="220"/>
      <c r="L345" s="220"/>
      <c r="M345" s="206">
        <f t="shared" ref="M345:M352" si="452">SUMPRODUCT(N345:X345,N$22:X$22,N$29:X$29)/1000</f>
        <v>0</v>
      </c>
      <c r="N345" s="220"/>
      <c r="O345" s="1093">
        <f t="shared" ref="O345:W345" si="453">IF($O$78=0,0,
($O$130+$O$161+$O$181)/$O$78*O62)</f>
        <v>0</v>
      </c>
      <c r="P345" s="1093">
        <f t="shared" si="453"/>
        <v>0</v>
      </c>
      <c r="Q345" s="1093">
        <f t="shared" si="453"/>
        <v>0</v>
      </c>
      <c r="R345" s="1093">
        <f t="shared" si="453"/>
        <v>0</v>
      </c>
      <c r="S345" s="1093">
        <f t="shared" si="453"/>
        <v>0</v>
      </c>
      <c r="T345" s="1093">
        <f t="shared" si="453"/>
        <v>0</v>
      </c>
      <c r="U345" s="1093">
        <f t="shared" si="453"/>
        <v>0</v>
      </c>
      <c r="V345" s="1093">
        <f t="shared" si="453"/>
        <v>0</v>
      </c>
      <c r="W345" s="1093">
        <f t="shared" si="453"/>
        <v>0</v>
      </c>
      <c r="X345" s="174"/>
      <c r="Y345" s="206">
        <f t="shared" ref="Y345:Y352" si="454">SUMPRODUCT(Z345:AJ345,Z$22:AJ$22,Z$29:AJ$29)/1000</f>
        <v>0</v>
      </c>
      <c r="Z345" s="220"/>
      <c r="AA345" s="1093">
        <f t="shared" ref="AA345:AI345" si="455">IF($AA$78=0,0,
($AA$130+$AA$161+$AA$181)/$AA$78*AA62)</f>
        <v>0</v>
      </c>
      <c r="AB345" s="1093">
        <f t="shared" si="455"/>
        <v>0</v>
      </c>
      <c r="AC345" s="1093">
        <f t="shared" si="455"/>
        <v>0</v>
      </c>
      <c r="AD345" s="1093">
        <f t="shared" si="455"/>
        <v>0</v>
      </c>
      <c r="AE345" s="1093">
        <f t="shared" si="455"/>
        <v>0</v>
      </c>
      <c r="AF345" s="1093">
        <f t="shared" si="455"/>
        <v>0</v>
      </c>
      <c r="AG345" s="1093">
        <f t="shared" si="455"/>
        <v>0</v>
      </c>
      <c r="AH345" s="1093">
        <f t="shared" si="455"/>
        <v>0</v>
      </c>
      <c r="AI345" s="1093">
        <f t="shared" si="455"/>
        <v>0</v>
      </c>
      <c r="AJ345" s="174"/>
      <c r="AK345" s="206">
        <f t="shared" ref="AK345:AK352" si="456">SUMPRODUCT(AL345:AV345,AL$22:AV$22,AL$29:AV$29)/1000</f>
        <v>0</v>
      </c>
      <c r="AL345" s="1091"/>
      <c r="AM345" s="1093">
        <f t="shared" ref="AM345:AU345" si="457">IF($AM$78=0,0,
($AM$130+$AM$161+$AM$181)/$AM$78*AM62)</f>
        <v>0</v>
      </c>
      <c r="AN345" s="1093">
        <f t="shared" si="457"/>
        <v>0</v>
      </c>
      <c r="AO345" s="1093">
        <f t="shared" si="457"/>
        <v>0</v>
      </c>
      <c r="AP345" s="1093">
        <f t="shared" si="457"/>
        <v>0</v>
      </c>
      <c r="AQ345" s="1093">
        <f t="shared" si="457"/>
        <v>0</v>
      </c>
      <c r="AR345" s="1093">
        <f t="shared" si="457"/>
        <v>0</v>
      </c>
      <c r="AS345" s="1093">
        <f t="shared" si="457"/>
        <v>0</v>
      </c>
      <c r="AT345" s="1093">
        <f t="shared" si="457"/>
        <v>0</v>
      </c>
      <c r="AU345" s="1093">
        <f t="shared" si="457"/>
        <v>0</v>
      </c>
      <c r="AV345" s="174"/>
      <c r="AW345" s="206">
        <f t="shared" ref="AW345:AW352" si="458">SUMPRODUCT(AX345:BH345,AX$22:BH$22,AX$29:BH$29)/1000</f>
        <v>0</v>
      </c>
      <c r="AX345" s="1091"/>
      <c r="AY345" s="1093">
        <f t="shared" ref="AY345:BG345" si="459">IF($AY$78=0,0,
($AY$130+$AY$161+$AY$181)/$AY$78*AY62)</f>
        <v>0</v>
      </c>
      <c r="AZ345" s="1093">
        <f t="shared" si="459"/>
        <v>0</v>
      </c>
      <c r="BA345" s="1093">
        <f t="shared" si="459"/>
        <v>0</v>
      </c>
      <c r="BB345" s="1093">
        <f t="shared" si="459"/>
        <v>0</v>
      </c>
      <c r="BC345" s="1093">
        <f t="shared" si="459"/>
        <v>0</v>
      </c>
      <c r="BD345" s="1093">
        <f t="shared" si="459"/>
        <v>0</v>
      </c>
      <c r="BE345" s="1093">
        <f t="shared" si="459"/>
        <v>0</v>
      </c>
      <c r="BF345" s="1093">
        <f t="shared" si="459"/>
        <v>0</v>
      </c>
      <c r="BG345" s="1093">
        <f t="shared" si="459"/>
        <v>0</v>
      </c>
      <c r="BH345" s="210"/>
    </row>
    <row r="346" spans="1:60" s="2" customFormat="1">
      <c r="A346" s="1038"/>
      <c r="B346" s="1110" t="s">
        <v>1224</v>
      </c>
      <c r="C346" s="1106" t="s">
        <v>104</v>
      </c>
      <c r="D346" s="645"/>
      <c r="E346" s="304" t="str">
        <f>$P$10</f>
        <v>koeling</v>
      </c>
      <c r="F346" s="203"/>
      <c r="G346" s="203"/>
      <c r="H346" s="204" t="s">
        <v>289</v>
      </c>
      <c r="I346" s="205"/>
      <c r="J346" s="206">
        <f t="shared" si="451"/>
        <v>0</v>
      </c>
      <c r="K346" s="220"/>
      <c r="L346" s="220"/>
      <c r="M346" s="206">
        <f t="shared" si="452"/>
        <v>0</v>
      </c>
      <c r="N346" s="220"/>
      <c r="O346" s="1093">
        <f t="shared" ref="O346:W346" si="460">IF($P$78=0,0,
($P$130+$P$161+$P$181)/$P$78*O64)</f>
        <v>0</v>
      </c>
      <c r="P346" s="1093">
        <f t="shared" si="460"/>
        <v>0</v>
      </c>
      <c r="Q346" s="1093">
        <f t="shared" si="460"/>
        <v>0</v>
      </c>
      <c r="R346" s="1093">
        <f t="shared" si="460"/>
        <v>0</v>
      </c>
      <c r="S346" s="1093">
        <f t="shared" si="460"/>
        <v>0</v>
      </c>
      <c r="T346" s="1093">
        <f t="shared" si="460"/>
        <v>0</v>
      </c>
      <c r="U346" s="1093">
        <f t="shared" si="460"/>
        <v>0</v>
      </c>
      <c r="V346" s="1093">
        <f t="shared" si="460"/>
        <v>0</v>
      </c>
      <c r="W346" s="1093">
        <f t="shared" si="460"/>
        <v>0</v>
      </c>
      <c r="X346" s="174"/>
      <c r="Y346" s="206">
        <f t="shared" si="454"/>
        <v>0</v>
      </c>
      <c r="Z346" s="220"/>
      <c r="AA346" s="1093">
        <f t="shared" ref="AA346:AI346" si="461">IF($AB$78=0,0,
($AB$130+$AB$161+$AB$181)/$AB$78*AA64)</f>
        <v>0</v>
      </c>
      <c r="AB346" s="1093">
        <f t="shared" si="461"/>
        <v>0</v>
      </c>
      <c r="AC346" s="1093">
        <f t="shared" si="461"/>
        <v>0</v>
      </c>
      <c r="AD346" s="1093">
        <f t="shared" si="461"/>
        <v>0</v>
      </c>
      <c r="AE346" s="1093">
        <f t="shared" si="461"/>
        <v>0</v>
      </c>
      <c r="AF346" s="1093">
        <f t="shared" si="461"/>
        <v>0</v>
      </c>
      <c r="AG346" s="1093">
        <f t="shared" si="461"/>
        <v>0</v>
      </c>
      <c r="AH346" s="1093">
        <f t="shared" si="461"/>
        <v>0</v>
      </c>
      <c r="AI346" s="1093">
        <f t="shared" si="461"/>
        <v>0</v>
      </c>
      <c r="AJ346" s="174"/>
      <c r="AK346" s="206">
        <f t="shared" si="456"/>
        <v>0</v>
      </c>
      <c r="AL346" s="1091"/>
      <c r="AM346" s="1093">
        <f t="shared" ref="AM346:AU346" si="462">IF($AN$78=0,0,
($AN$130+$AN$161+$AN$181)/$AN$78*AM64)</f>
        <v>0</v>
      </c>
      <c r="AN346" s="1093">
        <f t="shared" si="462"/>
        <v>0</v>
      </c>
      <c r="AO346" s="1093">
        <f t="shared" si="462"/>
        <v>0</v>
      </c>
      <c r="AP346" s="1093">
        <f t="shared" si="462"/>
        <v>0</v>
      </c>
      <c r="AQ346" s="1093">
        <f t="shared" si="462"/>
        <v>0</v>
      </c>
      <c r="AR346" s="1093">
        <f t="shared" si="462"/>
        <v>0</v>
      </c>
      <c r="AS346" s="1093">
        <f t="shared" si="462"/>
        <v>0</v>
      </c>
      <c r="AT346" s="1093">
        <f t="shared" si="462"/>
        <v>0</v>
      </c>
      <c r="AU346" s="1093">
        <f t="shared" si="462"/>
        <v>0</v>
      </c>
      <c r="AV346" s="174"/>
      <c r="AW346" s="206">
        <f t="shared" si="458"/>
        <v>0</v>
      </c>
      <c r="AX346" s="1091"/>
      <c r="AY346" s="1093">
        <f t="shared" ref="AY346:BG346" si="463">IF($AZ$78=0,0,
($AZ$130+$AZ$161+$AZ$181)/$AZ$78*AY64)</f>
        <v>0</v>
      </c>
      <c r="AZ346" s="1093">
        <f t="shared" si="463"/>
        <v>0</v>
      </c>
      <c r="BA346" s="1093">
        <f t="shared" si="463"/>
        <v>0</v>
      </c>
      <c r="BB346" s="1093">
        <f t="shared" si="463"/>
        <v>0</v>
      </c>
      <c r="BC346" s="1093">
        <f t="shared" si="463"/>
        <v>0</v>
      </c>
      <c r="BD346" s="1093">
        <f t="shared" si="463"/>
        <v>0</v>
      </c>
      <c r="BE346" s="1093">
        <f t="shared" si="463"/>
        <v>0</v>
      </c>
      <c r="BF346" s="1093">
        <f t="shared" si="463"/>
        <v>0</v>
      </c>
      <c r="BG346" s="1093">
        <f t="shared" si="463"/>
        <v>0</v>
      </c>
      <c r="BH346" s="210"/>
    </row>
    <row r="347" spans="1:60" s="2" customFormat="1">
      <c r="A347" s="1038"/>
      <c r="B347" s="1110" t="s">
        <v>1224</v>
      </c>
      <c r="C347" s="1106" t="s">
        <v>104</v>
      </c>
      <c r="D347" s="645"/>
      <c r="E347" s="304" t="str">
        <f>$Q$10</f>
        <v>tapwater</v>
      </c>
      <c r="F347" s="203"/>
      <c r="G347" s="203"/>
      <c r="H347" s="204" t="s">
        <v>289</v>
      </c>
      <c r="I347" s="205"/>
      <c r="J347" s="206">
        <f t="shared" si="451"/>
        <v>0</v>
      </c>
      <c r="K347" s="220"/>
      <c r="L347" s="220"/>
      <c r="M347" s="206">
        <f t="shared" si="452"/>
        <v>0</v>
      </c>
      <c r="N347" s="220"/>
      <c r="O347" s="1093">
        <f t="shared" ref="O347:W347" si="464">IF($Q$78=0,0,
($Q$130+$Q$161+$Q$181)/$Q$78*O65)</f>
        <v>0</v>
      </c>
      <c r="P347" s="1093">
        <f t="shared" si="464"/>
        <v>0</v>
      </c>
      <c r="Q347" s="1093">
        <f t="shared" si="464"/>
        <v>0</v>
      </c>
      <c r="R347" s="1093">
        <f t="shared" si="464"/>
        <v>0</v>
      </c>
      <c r="S347" s="1093">
        <f t="shared" si="464"/>
        <v>0</v>
      </c>
      <c r="T347" s="1093">
        <f t="shared" si="464"/>
        <v>0</v>
      </c>
      <c r="U347" s="1093">
        <f t="shared" si="464"/>
        <v>0</v>
      </c>
      <c r="V347" s="1093">
        <f t="shared" si="464"/>
        <v>0</v>
      </c>
      <c r="W347" s="1093">
        <f t="shared" si="464"/>
        <v>0</v>
      </c>
      <c r="X347" s="174"/>
      <c r="Y347" s="206">
        <f t="shared" si="454"/>
        <v>0</v>
      </c>
      <c r="Z347" s="220"/>
      <c r="AA347" s="1093">
        <f t="shared" ref="AA347:AI347" si="465">IF($AC$78=0,0,
($AC$130+$AC$161+$AC$181)/$AC$78*AA65)</f>
        <v>0</v>
      </c>
      <c r="AB347" s="1093">
        <f t="shared" si="465"/>
        <v>0</v>
      </c>
      <c r="AC347" s="1093">
        <f t="shared" si="465"/>
        <v>0</v>
      </c>
      <c r="AD347" s="1093">
        <f t="shared" si="465"/>
        <v>0</v>
      </c>
      <c r="AE347" s="1093">
        <f t="shared" si="465"/>
        <v>0</v>
      </c>
      <c r="AF347" s="1093">
        <f t="shared" si="465"/>
        <v>0</v>
      </c>
      <c r="AG347" s="1093">
        <f t="shared" si="465"/>
        <v>0</v>
      </c>
      <c r="AH347" s="1093">
        <f t="shared" si="465"/>
        <v>0</v>
      </c>
      <c r="AI347" s="1093">
        <f t="shared" si="465"/>
        <v>0</v>
      </c>
      <c r="AJ347" s="174"/>
      <c r="AK347" s="206">
        <f t="shared" si="456"/>
        <v>0</v>
      </c>
      <c r="AL347" s="1091"/>
      <c r="AM347" s="1093">
        <f t="shared" ref="AM347:AU347" si="466">IF($AO$78=0,0,
($AO$130+$AO$161+$AO$181)/$AO$78*AM65)</f>
        <v>0</v>
      </c>
      <c r="AN347" s="1093">
        <f t="shared" si="466"/>
        <v>0</v>
      </c>
      <c r="AO347" s="1093">
        <f t="shared" si="466"/>
        <v>0</v>
      </c>
      <c r="AP347" s="1093">
        <f t="shared" si="466"/>
        <v>0</v>
      </c>
      <c r="AQ347" s="1093">
        <f t="shared" si="466"/>
        <v>0</v>
      </c>
      <c r="AR347" s="1093">
        <f t="shared" si="466"/>
        <v>0</v>
      </c>
      <c r="AS347" s="1093">
        <f t="shared" si="466"/>
        <v>0</v>
      </c>
      <c r="AT347" s="1093">
        <f t="shared" si="466"/>
        <v>0</v>
      </c>
      <c r="AU347" s="1093">
        <f t="shared" si="466"/>
        <v>0</v>
      </c>
      <c r="AV347" s="174"/>
      <c r="AW347" s="206">
        <f t="shared" si="458"/>
        <v>0</v>
      </c>
      <c r="AX347" s="1091"/>
      <c r="AY347" s="1093">
        <f t="shared" ref="AY347:BG347" si="467">IF($BA$78=0,0,
($BA$130+$BA$161+$BA$181)/$BA$78*AY65)</f>
        <v>0</v>
      </c>
      <c r="AZ347" s="1093">
        <f t="shared" si="467"/>
        <v>0</v>
      </c>
      <c r="BA347" s="1093">
        <f t="shared" si="467"/>
        <v>0</v>
      </c>
      <c r="BB347" s="1093">
        <f t="shared" si="467"/>
        <v>0</v>
      </c>
      <c r="BC347" s="1093">
        <f t="shared" si="467"/>
        <v>0</v>
      </c>
      <c r="BD347" s="1093">
        <f t="shared" si="467"/>
        <v>0</v>
      </c>
      <c r="BE347" s="1093">
        <f t="shared" si="467"/>
        <v>0</v>
      </c>
      <c r="BF347" s="1093">
        <f t="shared" si="467"/>
        <v>0</v>
      </c>
      <c r="BG347" s="1093">
        <f t="shared" si="467"/>
        <v>0</v>
      </c>
      <c r="BH347" s="210"/>
    </row>
    <row r="348" spans="1:60" s="2" customFormat="1">
      <c r="A348" s="1038"/>
      <c r="B348" s="1110" t="s">
        <v>1224</v>
      </c>
      <c r="C348" s="1106" t="s">
        <v>104</v>
      </c>
      <c r="D348" s="645"/>
      <c r="E348" s="304" t="str">
        <f>$R$10</f>
        <v>verlichting</v>
      </c>
      <c r="F348" s="203"/>
      <c r="G348" s="203"/>
      <c r="H348" s="204" t="s">
        <v>289</v>
      </c>
      <c r="I348" s="205"/>
      <c r="J348" s="206">
        <f t="shared" si="451"/>
        <v>0</v>
      </c>
      <c r="K348" s="220"/>
      <c r="L348" s="220"/>
      <c r="M348" s="206">
        <f t="shared" si="452"/>
        <v>0</v>
      </c>
      <c r="N348" s="220"/>
      <c r="O348" s="1093">
        <f t="shared" ref="O348:W348" si="468">IF($R$78=0,0,$R$181/$R$78*O66)</f>
        <v>0</v>
      </c>
      <c r="P348" s="1093">
        <f t="shared" si="468"/>
        <v>0</v>
      </c>
      <c r="Q348" s="1093">
        <f t="shared" si="468"/>
        <v>0</v>
      </c>
      <c r="R348" s="1093">
        <f t="shared" si="468"/>
        <v>0</v>
      </c>
      <c r="S348" s="1093">
        <f t="shared" si="468"/>
        <v>0</v>
      </c>
      <c r="T348" s="1093">
        <f t="shared" si="468"/>
        <v>0</v>
      </c>
      <c r="U348" s="1093">
        <f t="shared" si="468"/>
        <v>0</v>
      </c>
      <c r="V348" s="1093">
        <f t="shared" si="468"/>
        <v>0</v>
      </c>
      <c r="W348" s="1093">
        <f t="shared" si="468"/>
        <v>0</v>
      </c>
      <c r="X348" s="174"/>
      <c r="Y348" s="206">
        <f t="shared" si="454"/>
        <v>0</v>
      </c>
      <c r="Z348" s="220"/>
      <c r="AA348" s="1093">
        <f t="shared" ref="AA348:AI348" si="469">IF($AD$78=0,0,$AD$181/$AD$78*AA66)</f>
        <v>0</v>
      </c>
      <c r="AB348" s="1093">
        <f t="shared" si="469"/>
        <v>0</v>
      </c>
      <c r="AC348" s="1093">
        <f t="shared" si="469"/>
        <v>0</v>
      </c>
      <c r="AD348" s="1093">
        <f t="shared" si="469"/>
        <v>0</v>
      </c>
      <c r="AE348" s="1093">
        <f t="shared" si="469"/>
        <v>0</v>
      </c>
      <c r="AF348" s="1093">
        <f t="shared" si="469"/>
        <v>0</v>
      </c>
      <c r="AG348" s="1093">
        <f t="shared" si="469"/>
        <v>0</v>
      </c>
      <c r="AH348" s="1093">
        <f t="shared" si="469"/>
        <v>0</v>
      </c>
      <c r="AI348" s="1093">
        <f t="shared" si="469"/>
        <v>0</v>
      </c>
      <c r="AJ348" s="174"/>
      <c r="AK348" s="206">
        <f t="shared" si="456"/>
        <v>0</v>
      </c>
      <c r="AL348" s="1091"/>
      <c r="AM348" s="1093">
        <f t="shared" ref="AM348:AU348" si="470">IF($AP$78=0,0,$AP$181/$AP$78*AM66)</f>
        <v>0</v>
      </c>
      <c r="AN348" s="1093">
        <f t="shared" si="470"/>
        <v>0</v>
      </c>
      <c r="AO348" s="1093">
        <f t="shared" si="470"/>
        <v>0</v>
      </c>
      <c r="AP348" s="1093">
        <f t="shared" si="470"/>
        <v>0</v>
      </c>
      <c r="AQ348" s="1093">
        <f t="shared" si="470"/>
        <v>0</v>
      </c>
      <c r="AR348" s="1093">
        <f t="shared" si="470"/>
        <v>0</v>
      </c>
      <c r="AS348" s="1093">
        <f t="shared" si="470"/>
        <v>0</v>
      </c>
      <c r="AT348" s="1093">
        <f t="shared" si="470"/>
        <v>0</v>
      </c>
      <c r="AU348" s="1093">
        <f t="shared" si="470"/>
        <v>0</v>
      </c>
      <c r="AV348" s="174"/>
      <c r="AW348" s="206">
        <f t="shared" si="458"/>
        <v>0</v>
      </c>
      <c r="AX348" s="1091"/>
      <c r="AY348" s="1093">
        <f t="shared" ref="AY348:BG348" si="471">IF($BB$78=0,0,$BB$181/$BB$78*AY66)</f>
        <v>0</v>
      </c>
      <c r="AZ348" s="1093">
        <f t="shared" si="471"/>
        <v>0</v>
      </c>
      <c r="BA348" s="1093">
        <f t="shared" si="471"/>
        <v>0</v>
      </c>
      <c r="BB348" s="1093">
        <f t="shared" si="471"/>
        <v>0</v>
      </c>
      <c r="BC348" s="1093">
        <f t="shared" si="471"/>
        <v>0</v>
      </c>
      <c r="BD348" s="1093">
        <f t="shared" si="471"/>
        <v>0</v>
      </c>
      <c r="BE348" s="1093">
        <f t="shared" si="471"/>
        <v>0</v>
      </c>
      <c r="BF348" s="1093">
        <f t="shared" si="471"/>
        <v>0</v>
      </c>
      <c r="BG348" s="1093">
        <f t="shared" si="471"/>
        <v>0</v>
      </c>
      <c r="BH348" s="210"/>
    </row>
    <row r="349" spans="1:60" s="2" customFormat="1">
      <c r="A349" s="1038"/>
      <c r="B349" s="1110" t="s">
        <v>1224</v>
      </c>
      <c r="C349" s="1106" t="s">
        <v>104</v>
      </c>
      <c r="D349" s="645"/>
      <c r="E349" s="304" t="str">
        <f>$S$10</f>
        <v>ventilatoren</v>
      </c>
      <c r="F349" s="203"/>
      <c r="G349" s="203"/>
      <c r="H349" s="204" t="s">
        <v>289</v>
      </c>
      <c r="I349" s="205"/>
      <c r="J349" s="206">
        <f t="shared" si="451"/>
        <v>0</v>
      </c>
      <c r="K349" s="220"/>
      <c r="L349" s="220"/>
      <c r="M349" s="206">
        <f t="shared" si="452"/>
        <v>0</v>
      </c>
      <c r="N349" s="220"/>
      <c r="O349" s="1093">
        <f t="shared" ref="O349:W349" si="472">IF($S$78=0,0,$S$181/$S$78*O67)</f>
        <v>0</v>
      </c>
      <c r="P349" s="1093">
        <f t="shared" si="472"/>
        <v>0</v>
      </c>
      <c r="Q349" s="1093">
        <f t="shared" si="472"/>
        <v>0</v>
      </c>
      <c r="R349" s="1093">
        <f t="shared" si="472"/>
        <v>0</v>
      </c>
      <c r="S349" s="1093">
        <f t="shared" si="472"/>
        <v>0</v>
      </c>
      <c r="T349" s="1093">
        <f t="shared" si="472"/>
        <v>0</v>
      </c>
      <c r="U349" s="1093">
        <f t="shared" si="472"/>
        <v>0</v>
      </c>
      <c r="V349" s="1093">
        <f t="shared" si="472"/>
        <v>0</v>
      </c>
      <c r="W349" s="1093">
        <f t="shared" si="472"/>
        <v>0</v>
      </c>
      <c r="X349" s="174"/>
      <c r="Y349" s="206">
        <f t="shared" si="454"/>
        <v>0</v>
      </c>
      <c r="Z349" s="220"/>
      <c r="AA349" s="1093">
        <f t="shared" ref="AA349:AI349" si="473">IF($AE$78=0,0,$AE$181/$AE$78*AA67)</f>
        <v>0</v>
      </c>
      <c r="AB349" s="1093">
        <f t="shared" si="473"/>
        <v>0</v>
      </c>
      <c r="AC349" s="1093">
        <f t="shared" si="473"/>
        <v>0</v>
      </c>
      <c r="AD349" s="1093">
        <f t="shared" si="473"/>
        <v>0</v>
      </c>
      <c r="AE349" s="1093">
        <f t="shared" si="473"/>
        <v>0</v>
      </c>
      <c r="AF349" s="1093">
        <f t="shared" si="473"/>
        <v>0</v>
      </c>
      <c r="AG349" s="1093">
        <f t="shared" si="473"/>
        <v>0</v>
      </c>
      <c r="AH349" s="1093">
        <f t="shared" si="473"/>
        <v>0</v>
      </c>
      <c r="AI349" s="1093">
        <f t="shared" si="473"/>
        <v>0</v>
      </c>
      <c r="AJ349" s="174"/>
      <c r="AK349" s="206">
        <f t="shared" si="456"/>
        <v>0</v>
      </c>
      <c r="AL349" s="1091"/>
      <c r="AM349" s="1093">
        <f t="shared" ref="AM349:AU349" si="474">IF($AQ$78=0,0,$AQ$181/$AQ$78*AM67)</f>
        <v>0</v>
      </c>
      <c r="AN349" s="1093">
        <f t="shared" si="474"/>
        <v>0</v>
      </c>
      <c r="AO349" s="1093">
        <f t="shared" si="474"/>
        <v>0</v>
      </c>
      <c r="AP349" s="1093">
        <f t="shared" si="474"/>
        <v>0</v>
      </c>
      <c r="AQ349" s="1093">
        <f t="shared" si="474"/>
        <v>0</v>
      </c>
      <c r="AR349" s="1093">
        <f t="shared" si="474"/>
        <v>0</v>
      </c>
      <c r="AS349" s="1093">
        <f t="shared" si="474"/>
        <v>0</v>
      </c>
      <c r="AT349" s="1093">
        <f t="shared" si="474"/>
        <v>0</v>
      </c>
      <c r="AU349" s="1093">
        <f t="shared" si="474"/>
        <v>0</v>
      </c>
      <c r="AV349" s="174"/>
      <c r="AW349" s="206">
        <f t="shared" si="458"/>
        <v>0</v>
      </c>
      <c r="AX349" s="1091"/>
      <c r="AY349" s="1093">
        <f t="shared" ref="AY349:BG349" si="475">IF($BC$78=0,0,$BC$181/$BC$78*AY67)</f>
        <v>0</v>
      </c>
      <c r="AZ349" s="1093">
        <f t="shared" si="475"/>
        <v>0</v>
      </c>
      <c r="BA349" s="1093">
        <f t="shared" si="475"/>
        <v>0</v>
      </c>
      <c r="BB349" s="1093">
        <f t="shared" si="475"/>
        <v>0</v>
      </c>
      <c r="BC349" s="1093">
        <f t="shared" si="475"/>
        <v>0</v>
      </c>
      <c r="BD349" s="1093">
        <f t="shared" si="475"/>
        <v>0</v>
      </c>
      <c r="BE349" s="1093">
        <f t="shared" si="475"/>
        <v>0</v>
      </c>
      <c r="BF349" s="1093">
        <f t="shared" si="475"/>
        <v>0</v>
      </c>
      <c r="BG349" s="1093">
        <f t="shared" si="475"/>
        <v>0</v>
      </c>
      <c r="BH349" s="210"/>
    </row>
    <row r="350" spans="1:60" s="2" customFormat="1">
      <c r="A350" s="1038"/>
      <c r="B350" s="1110" t="s">
        <v>1224</v>
      </c>
      <c r="C350" s="1106" t="s">
        <v>104</v>
      </c>
      <c r="D350" s="645"/>
      <c r="E350" s="304" t="str">
        <f>$T$10</f>
        <v>kookgas</v>
      </c>
      <c r="F350" s="203"/>
      <c r="G350" s="203"/>
      <c r="H350" s="204" t="s">
        <v>289</v>
      </c>
      <c r="I350" s="205"/>
      <c r="J350" s="206">
        <f t="shared" si="451"/>
        <v>0</v>
      </c>
      <c r="K350" s="220"/>
      <c r="L350" s="220"/>
      <c r="M350" s="206">
        <f t="shared" si="452"/>
        <v>0</v>
      </c>
      <c r="N350" s="220"/>
      <c r="O350" s="1093">
        <f t="shared" ref="O350:W350" si="476">IF($T$78=0,0,$T$181/$T$78*O68)</f>
        <v>0</v>
      </c>
      <c r="P350" s="1093">
        <f t="shared" si="476"/>
        <v>0</v>
      </c>
      <c r="Q350" s="1093">
        <f t="shared" si="476"/>
        <v>0</v>
      </c>
      <c r="R350" s="1093">
        <f t="shared" si="476"/>
        <v>0</v>
      </c>
      <c r="S350" s="1093">
        <f t="shared" si="476"/>
        <v>0</v>
      </c>
      <c r="T350" s="1093">
        <f t="shared" si="476"/>
        <v>0</v>
      </c>
      <c r="U350" s="1093">
        <f t="shared" si="476"/>
        <v>0</v>
      </c>
      <c r="V350" s="1093">
        <f t="shared" si="476"/>
        <v>0</v>
      </c>
      <c r="W350" s="1093">
        <f t="shared" si="476"/>
        <v>0</v>
      </c>
      <c r="X350" s="174"/>
      <c r="Y350" s="206">
        <f t="shared" si="454"/>
        <v>0</v>
      </c>
      <c r="Z350" s="220"/>
      <c r="AA350" s="1093">
        <f t="shared" ref="AA350:AI350" si="477">IF($AF$78=0,0,$AF$181/$AF$78*AA68)</f>
        <v>0</v>
      </c>
      <c r="AB350" s="1093">
        <f t="shared" si="477"/>
        <v>0</v>
      </c>
      <c r="AC350" s="1093">
        <f t="shared" si="477"/>
        <v>0</v>
      </c>
      <c r="AD350" s="1093">
        <f t="shared" si="477"/>
        <v>0</v>
      </c>
      <c r="AE350" s="1093">
        <f t="shared" si="477"/>
        <v>0</v>
      </c>
      <c r="AF350" s="1093">
        <f t="shared" si="477"/>
        <v>0</v>
      </c>
      <c r="AG350" s="1093">
        <f t="shared" si="477"/>
        <v>0</v>
      </c>
      <c r="AH350" s="1093">
        <f t="shared" si="477"/>
        <v>0</v>
      </c>
      <c r="AI350" s="1093">
        <f t="shared" si="477"/>
        <v>0</v>
      </c>
      <c r="AJ350" s="174"/>
      <c r="AK350" s="206">
        <f t="shared" si="456"/>
        <v>0</v>
      </c>
      <c r="AL350" s="1091"/>
      <c r="AM350" s="1093">
        <f t="shared" ref="AM350:AU350" si="478">IF($AR$78=0,0,$AR$181/$AR$78*AM68)</f>
        <v>0</v>
      </c>
      <c r="AN350" s="1093">
        <f t="shared" si="478"/>
        <v>0</v>
      </c>
      <c r="AO350" s="1093">
        <f t="shared" si="478"/>
        <v>0</v>
      </c>
      <c r="AP350" s="1093">
        <f t="shared" si="478"/>
        <v>0</v>
      </c>
      <c r="AQ350" s="1093">
        <f t="shared" si="478"/>
        <v>0</v>
      </c>
      <c r="AR350" s="1093">
        <f t="shared" si="478"/>
        <v>0</v>
      </c>
      <c r="AS350" s="1093">
        <f t="shared" si="478"/>
        <v>0</v>
      </c>
      <c r="AT350" s="1093">
        <f t="shared" si="478"/>
        <v>0</v>
      </c>
      <c r="AU350" s="1093">
        <f t="shared" si="478"/>
        <v>0</v>
      </c>
      <c r="AV350" s="174"/>
      <c r="AW350" s="206">
        <f t="shared" si="458"/>
        <v>0</v>
      </c>
      <c r="AX350" s="1091"/>
      <c r="AY350" s="1093">
        <f t="shared" ref="AY350:BG350" si="479">IF($BD$78=0,0,$BD$181/$BD$78*AY68)</f>
        <v>0</v>
      </c>
      <c r="AZ350" s="1093">
        <f t="shared" si="479"/>
        <v>0</v>
      </c>
      <c r="BA350" s="1093">
        <f t="shared" si="479"/>
        <v>0</v>
      </c>
      <c r="BB350" s="1093">
        <f t="shared" si="479"/>
        <v>0</v>
      </c>
      <c r="BC350" s="1093">
        <f t="shared" si="479"/>
        <v>0</v>
      </c>
      <c r="BD350" s="1093">
        <f t="shared" si="479"/>
        <v>0</v>
      </c>
      <c r="BE350" s="1093">
        <f t="shared" si="479"/>
        <v>0</v>
      </c>
      <c r="BF350" s="1093">
        <f t="shared" si="479"/>
        <v>0</v>
      </c>
      <c r="BG350" s="1093">
        <f t="shared" si="479"/>
        <v>0</v>
      </c>
      <c r="BH350" s="210"/>
    </row>
    <row r="351" spans="1:60" s="2" customFormat="1">
      <c r="A351" s="1038"/>
      <c r="B351" s="1110" t="s">
        <v>1224</v>
      </c>
      <c r="C351" s="1106" t="s">
        <v>104</v>
      </c>
      <c r="D351" s="645"/>
      <c r="E351" s="304" t="str">
        <f>$U$10</f>
        <v>overig elektra</v>
      </c>
      <c r="F351" s="203"/>
      <c r="G351" s="203"/>
      <c r="H351" s="204" t="s">
        <v>289</v>
      </c>
      <c r="I351" s="205"/>
      <c r="J351" s="206">
        <f t="shared" si="451"/>
        <v>0</v>
      </c>
      <c r="K351" s="220"/>
      <c r="L351" s="220"/>
      <c r="M351" s="206">
        <f t="shared" si="452"/>
        <v>0</v>
      </c>
      <c r="N351" s="220"/>
      <c r="O351" s="1093">
        <f t="shared" ref="O351:W351" si="480">IF($U$78=0,0,$U$181/$U$78*O69)</f>
        <v>0</v>
      </c>
      <c r="P351" s="1093">
        <f t="shared" si="480"/>
        <v>0</v>
      </c>
      <c r="Q351" s="1093">
        <f t="shared" si="480"/>
        <v>0</v>
      </c>
      <c r="R351" s="1093">
        <f t="shared" si="480"/>
        <v>0</v>
      </c>
      <c r="S351" s="1093">
        <f t="shared" si="480"/>
        <v>0</v>
      </c>
      <c r="T351" s="1093">
        <f t="shared" si="480"/>
        <v>0</v>
      </c>
      <c r="U351" s="1093">
        <f t="shared" si="480"/>
        <v>0</v>
      </c>
      <c r="V351" s="1093">
        <f t="shared" si="480"/>
        <v>0</v>
      </c>
      <c r="W351" s="1093">
        <f t="shared" si="480"/>
        <v>0</v>
      </c>
      <c r="X351" s="174"/>
      <c r="Y351" s="206">
        <f t="shared" si="454"/>
        <v>0</v>
      </c>
      <c r="Z351" s="220"/>
      <c r="AA351" s="1093">
        <f t="shared" ref="AA351:AI351" si="481">IF($AG$78=0,0,$AG$181/$AG$78*AA69)</f>
        <v>0</v>
      </c>
      <c r="AB351" s="1093">
        <f t="shared" si="481"/>
        <v>0</v>
      </c>
      <c r="AC351" s="1093">
        <f t="shared" si="481"/>
        <v>0</v>
      </c>
      <c r="AD351" s="1093">
        <f t="shared" si="481"/>
        <v>0</v>
      </c>
      <c r="AE351" s="1093">
        <f t="shared" si="481"/>
        <v>0</v>
      </c>
      <c r="AF351" s="1093">
        <f t="shared" si="481"/>
        <v>0</v>
      </c>
      <c r="AG351" s="1093">
        <f t="shared" si="481"/>
        <v>0</v>
      </c>
      <c r="AH351" s="1093">
        <f t="shared" si="481"/>
        <v>0</v>
      </c>
      <c r="AI351" s="1093">
        <f t="shared" si="481"/>
        <v>0</v>
      </c>
      <c r="AJ351" s="174"/>
      <c r="AK351" s="206">
        <f t="shared" si="456"/>
        <v>0</v>
      </c>
      <c r="AL351" s="1091"/>
      <c r="AM351" s="1093">
        <f t="shared" ref="AM351:AU351" si="482">IF($AS$78=0,0,$AS$181/$AS$78*AM69)</f>
        <v>0</v>
      </c>
      <c r="AN351" s="1093">
        <f t="shared" si="482"/>
        <v>0</v>
      </c>
      <c r="AO351" s="1093">
        <f t="shared" si="482"/>
        <v>0</v>
      </c>
      <c r="AP351" s="1093">
        <f t="shared" si="482"/>
        <v>0</v>
      </c>
      <c r="AQ351" s="1093">
        <f t="shared" si="482"/>
        <v>0</v>
      </c>
      <c r="AR351" s="1093">
        <f t="shared" si="482"/>
        <v>0</v>
      </c>
      <c r="AS351" s="1093">
        <f t="shared" si="482"/>
        <v>0</v>
      </c>
      <c r="AT351" s="1093">
        <f t="shared" si="482"/>
        <v>0</v>
      </c>
      <c r="AU351" s="1093">
        <f t="shared" si="482"/>
        <v>0</v>
      </c>
      <c r="AV351" s="174"/>
      <c r="AW351" s="206">
        <f t="shared" si="458"/>
        <v>0</v>
      </c>
      <c r="AX351" s="1091"/>
      <c r="AY351" s="1093">
        <f t="shared" ref="AY351:BG351" si="483">IF($BE$78=0,0,$BE$181/$BE$78*AY69)</f>
        <v>0</v>
      </c>
      <c r="AZ351" s="1093">
        <f t="shared" si="483"/>
        <v>0</v>
      </c>
      <c r="BA351" s="1093">
        <f t="shared" si="483"/>
        <v>0</v>
      </c>
      <c r="BB351" s="1093">
        <f t="shared" si="483"/>
        <v>0</v>
      </c>
      <c r="BC351" s="1093">
        <f t="shared" si="483"/>
        <v>0</v>
      </c>
      <c r="BD351" s="1093">
        <f t="shared" si="483"/>
        <v>0</v>
      </c>
      <c r="BE351" s="1093">
        <f t="shared" si="483"/>
        <v>0</v>
      </c>
      <c r="BF351" s="1093">
        <f t="shared" si="483"/>
        <v>0</v>
      </c>
      <c r="BG351" s="1093">
        <f t="shared" si="483"/>
        <v>0</v>
      </c>
      <c r="BH351" s="210"/>
    </row>
    <row r="352" spans="1:60" s="2" customFormat="1">
      <c r="A352" s="1038"/>
      <c r="B352" s="1110" t="s">
        <v>1224</v>
      </c>
      <c r="C352" s="1106" t="s">
        <v>104</v>
      </c>
      <c r="D352" s="645"/>
      <c r="E352" s="304" t="str">
        <f>$V$10</f>
        <v>mobiliteit</v>
      </c>
      <c r="F352" s="203"/>
      <c r="G352" s="203"/>
      <c r="H352" s="204" t="s">
        <v>289</v>
      </c>
      <c r="I352" s="205"/>
      <c r="J352" s="206">
        <f t="shared" si="451"/>
        <v>0</v>
      </c>
      <c r="K352" s="220"/>
      <c r="L352" s="220"/>
      <c r="M352" s="206">
        <f t="shared" si="452"/>
        <v>0</v>
      </c>
      <c r="N352" s="220"/>
      <c r="O352" s="1093">
        <f t="shared" ref="O352:W352" si="484">IF(OR($V$169=0,O$29=0),0,$V$181/$V$169*O$71/O$29)</f>
        <v>0</v>
      </c>
      <c r="P352" s="1093">
        <f t="shared" si="484"/>
        <v>0</v>
      </c>
      <c r="Q352" s="1093">
        <f t="shared" si="484"/>
        <v>0</v>
      </c>
      <c r="R352" s="1093">
        <f t="shared" si="484"/>
        <v>0</v>
      </c>
      <c r="S352" s="1093">
        <f t="shared" si="484"/>
        <v>0</v>
      </c>
      <c r="T352" s="1093">
        <f t="shared" si="484"/>
        <v>0</v>
      </c>
      <c r="U352" s="1093">
        <f t="shared" si="484"/>
        <v>0</v>
      </c>
      <c r="V352" s="1093">
        <f t="shared" si="484"/>
        <v>0</v>
      </c>
      <c r="W352" s="1093">
        <f t="shared" si="484"/>
        <v>0</v>
      </c>
      <c r="X352" s="174"/>
      <c r="Y352" s="206">
        <f t="shared" si="454"/>
        <v>0</v>
      </c>
      <c r="Z352" s="220"/>
      <c r="AA352" s="1093">
        <f t="shared" ref="AA352:AI352" si="485">IF(OR($AH$169=0,AA$29=0),0,$AH$181/$AH$169*AA$71/AA$29)</f>
        <v>0</v>
      </c>
      <c r="AB352" s="1093">
        <f t="shared" si="485"/>
        <v>0</v>
      </c>
      <c r="AC352" s="1093">
        <f t="shared" si="485"/>
        <v>0</v>
      </c>
      <c r="AD352" s="1093">
        <f t="shared" si="485"/>
        <v>0</v>
      </c>
      <c r="AE352" s="1093">
        <f t="shared" si="485"/>
        <v>0</v>
      </c>
      <c r="AF352" s="1093">
        <f t="shared" si="485"/>
        <v>0</v>
      </c>
      <c r="AG352" s="1093">
        <f t="shared" si="485"/>
        <v>0</v>
      </c>
      <c r="AH352" s="1093">
        <f t="shared" si="485"/>
        <v>0</v>
      </c>
      <c r="AI352" s="1093">
        <f t="shared" si="485"/>
        <v>0</v>
      </c>
      <c r="AJ352" s="174"/>
      <c r="AK352" s="206">
        <f t="shared" si="456"/>
        <v>0</v>
      </c>
      <c r="AL352" s="1091"/>
      <c r="AM352" s="1093">
        <f t="shared" ref="AM352:AU352" si="486">IF(OR($AT$169=0,AM$29=0),0,$AT$181/$AT$169*AM$71/AM$29)</f>
        <v>0</v>
      </c>
      <c r="AN352" s="1093">
        <f t="shared" si="486"/>
        <v>0</v>
      </c>
      <c r="AO352" s="1093">
        <f t="shared" si="486"/>
        <v>0</v>
      </c>
      <c r="AP352" s="1093">
        <f t="shared" si="486"/>
        <v>0</v>
      </c>
      <c r="AQ352" s="1093">
        <f t="shared" si="486"/>
        <v>0</v>
      </c>
      <c r="AR352" s="1093">
        <f t="shared" si="486"/>
        <v>0</v>
      </c>
      <c r="AS352" s="1093">
        <f t="shared" si="486"/>
        <v>0</v>
      </c>
      <c r="AT352" s="1093">
        <f t="shared" si="486"/>
        <v>0</v>
      </c>
      <c r="AU352" s="1093">
        <f t="shared" si="486"/>
        <v>0</v>
      </c>
      <c r="AV352" s="174"/>
      <c r="AW352" s="206">
        <f t="shared" si="458"/>
        <v>0</v>
      </c>
      <c r="AX352" s="1091"/>
      <c r="AY352" s="1093">
        <f t="shared" ref="AY352:BG352" si="487">IF(OR($BF$169=0,AY$29=0),0,$BF$181/$BF$169*AY$71/AY$29)</f>
        <v>0</v>
      </c>
      <c r="AZ352" s="1093">
        <f t="shared" si="487"/>
        <v>0</v>
      </c>
      <c r="BA352" s="1093">
        <f t="shared" si="487"/>
        <v>0</v>
      </c>
      <c r="BB352" s="1093">
        <f t="shared" si="487"/>
        <v>0</v>
      </c>
      <c r="BC352" s="1093">
        <f t="shared" si="487"/>
        <v>0</v>
      </c>
      <c r="BD352" s="1093">
        <f t="shared" si="487"/>
        <v>0</v>
      </c>
      <c r="BE352" s="1093">
        <f t="shared" si="487"/>
        <v>0</v>
      </c>
      <c r="BF352" s="1093">
        <f t="shared" si="487"/>
        <v>0</v>
      </c>
      <c r="BG352" s="1093">
        <f t="shared" si="487"/>
        <v>0</v>
      </c>
      <c r="BH352" s="210"/>
    </row>
    <row r="353" spans="1:60" s="2" customFormat="1">
      <c r="A353" s="1038"/>
      <c r="B353" s="1110" t="s">
        <v>1224</v>
      </c>
      <c r="C353" s="1106" t="s">
        <v>104</v>
      </c>
      <c r="D353" s="645"/>
      <c r="E353" s="203" t="s">
        <v>1278</v>
      </c>
      <c r="F353" s="203"/>
      <c r="G353" s="203"/>
      <c r="H353" s="204" t="s">
        <v>289</v>
      </c>
      <c r="I353" s="205"/>
      <c r="J353" s="206">
        <f t="shared" si="451"/>
        <v>0</v>
      </c>
      <c r="K353" s="220"/>
      <c r="L353" s="220"/>
      <c r="M353" s="206">
        <f>SUM(M345:M352)</f>
        <v>0</v>
      </c>
      <c r="N353" s="220"/>
      <c r="O353" s="1093">
        <f t="shared" ref="O353:W353" si="488">SUM(O345:O352)</f>
        <v>0</v>
      </c>
      <c r="P353" s="1093">
        <f t="shared" si="488"/>
        <v>0</v>
      </c>
      <c r="Q353" s="1093">
        <f t="shared" si="488"/>
        <v>0</v>
      </c>
      <c r="R353" s="1093">
        <f t="shared" si="488"/>
        <v>0</v>
      </c>
      <c r="S353" s="1093">
        <f t="shared" si="488"/>
        <v>0</v>
      </c>
      <c r="T353" s="1093">
        <f t="shared" si="488"/>
        <v>0</v>
      </c>
      <c r="U353" s="1093">
        <f t="shared" si="488"/>
        <v>0</v>
      </c>
      <c r="V353" s="1093">
        <f t="shared" si="488"/>
        <v>0</v>
      </c>
      <c r="W353" s="1093">
        <f t="shared" si="488"/>
        <v>0</v>
      </c>
      <c r="X353" s="174"/>
      <c r="Y353" s="206">
        <f>SUM(Y345:Y352)</f>
        <v>0</v>
      </c>
      <c r="Z353" s="220"/>
      <c r="AA353" s="1093">
        <f t="shared" ref="AA353:AI353" si="489">SUM(AA345:AA352)</f>
        <v>0</v>
      </c>
      <c r="AB353" s="1093">
        <f t="shared" si="489"/>
        <v>0</v>
      </c>
      <c r="AC353" s="1093">
        <f t="shared" si="489"/>
        <v>0</v>
      </c>
      <c r="AD353" s="1093">
        <f t="shared" si="489"/>
        <v>0</v>
      </c>
      <c r="AE353" s="1093">
        <f t="shared" si="489"/>
        <v>0</v>
      </c>
      <c r="AF353" s="1093">
        <f t="shared" si="489"/>
        <v>0</v>
      </c>
      <c r="AG353" s="1093">
        <f t="shared" si="489"/>
        <v>0</v>
      </c>
      <c r="AH353" s="1093">
        <f t="shared" si="489"/>
        <v>0</v>
      </c>
      <c r="AI353" s="1093">
        <f t="shared" si="489"/>
        <v>0</v>
      </c>
      <c r="AJ353" s="174"/>
      <c r="AK353" s="206">
        <f>SUM(AK345:AK352)</f>
        <v>0</v>
      </c>
      <c r="AL353" s="1091"/>
      <c r="AM353" s="1093">
        <f t="shared" ref="AM353:AU353" si="490">SUM(AM345:AM352)</f>
        <v>0</v>
      </c>
      <c r="AN353" s="1093">
        <f t="shared" si="490"/>
        <v>0</v>
      </c>
      <c r="AO353" s="1093">
        <f t="shared" si="490"/>
        <v>0</v>
      </c>
      <c r="AP353" s="1093">
        <f t="shared" si="490"/>
        <v>0</v>
      </c>
      <c r="AQ353" s="1093">
        <f t="shared" si="490"/>
        <v>0</v>
      </c>
      <c r="AR353" s="1093">
        <f t="shared" si="490"/>
        <v>0</v>
      </c>
      <c r="AS353" s="1093">
        <f t="shared" si="490"/>
        <v>0</v>
      </c>
      <c r="AT353" s="1093">
        <f t="shared" si="490"/>
        <v>0</v>
      </c>
      <c r="AU353" s="1093">
        <f t="shared" si="490"/>
        <v>0</v>
      </c>
      <c r="AV353" s="174"/>
      <c r="AW353" s="206">
        <f>SUM(AW345:AW352)</f>
        <v>0</v>
      </c>
      <c r="AX353" s="1091"/>
      <c r="AY353" s="1093">
        <f t="shared" ref="AY353:BG353" si="491">SUM(AY345:AY352)</f>
        <v>0</v>
      </c>
      <c r="AZ353" s="1093">
        <f t="shared" si="491"/>
        <v>0</v>
      </c>
      <c r="BA353" s="1093">
        <f t="shared" si="491"/>
        <v>0</v>
      </c>
      <c r="BB353" s="1093">
        <f t="shared" si="491"/>
        <v>0</v>
      </c>
      <c r="BC353" s="1093">
        <f t="shared" si="491"/>
        <v>0</v>
      </c>
      <c r="BD353" s="1093">
        <f t="shared" si="491"/>
        <v>0</v>
      </c>
      <c r="BE353" s="1093">
        <f t="shared" si="491"/>
        <v>0</v>
      </c>
      <c r="BF353" s="1093">
        <f t="shared" si="491"/>
        <v>0</v>
      </c>
      <c r="BG353" s="1093">
        <f t="shared" si="491"/>
        <v>0</v>
      </c>
      <c r="BH353" s="210"/>
    </row>
    <row r="354" spans="1:60" s="2" customFormat="1">
      <c r="A354" s="1038"/>
      <c r="B354" s="1110" t="s">
        <v>1224</v>
      </c>
      <c r="C354" s="1106" t="s">
        <v>96</v>
      </c>
      <c r="D354" s="644"/>
      <c r="E354" s="942" t="s">
        <v>290</v>
      </c>
      <c r="F354" s="942"/>
      <c r="G354" s="942"/>
      <c r="H354" s="942"/>
      <c r="I354" s="129"/>
      <c r="J354" s="943"/>
      <c r="K354" s="1094"/>
      <c r="L354" s="1094"/>
      <c r="M354" s="944"/>
      <c r="N354" s="1095"/>
      <c r="O354" s="258" t="str">
        <f>O$17</f>
        <v/>
      </c>
      <c r="P354" s="258" t="str">
        <f t="shared" ref="P354:W354" si="492">P$17</f>
        <v/>
      </c>
      <c r="Q354" s="258" t="str">
        <f t="shared" si="492"/>
        <v/>
      </c>
      <c r="R354" s="258" t="str">
        <f t="shared" si="492"/>
        <v/>
      </c>
      <c r="S354" s="258" t="str">
        <f t="shared" si="492"/>
        <v/>
      </c>
      <c r="T354" s="258" t="str">
        <f t="shared" si="492"/>
        <v/>
      </c>
      <c r="U354" s="258" t="str">
        <f t="shared" si="492"/>
        <v/>
      </c>
      <c r="V354" s="258" t="str">
        <f t="shared" si="492"/>
        <v/>
      </c>
      <c r="W354" s="258" t="str">
        <f t="shared" si="492"/>
        <v/>
      </c>
      <c r="X354" s="1095"/>
      <c r="Y354" s="944"/>
      <c r="Z354" s="1095"/>
      <c r="AA354" s="258" t="str">
        <f>AA$17</f>
        <v/>
      </c>
      <c r="AB354" s="258" t="str">
        <f t="shared" ref="AB354:AI354" si="493">AB$17</f>
        <v/>
      </c>
      <c r="AC354" s="258" t="str">
        <f t="shared" si="493"/>
        <v/>
      </c>
      <c r="AD354" s="258" t="str">
        <f t="shared" si="493"/>
        <v/>
      </c>
      <c r="AE354" s="258" t="str">
        <f t="shared" si="493"/>
        <v/>
      </c>
      <c r="AF354" s="258" t="str">
        <f t="shared" si="493"/>
        <v/>
      </c>
      <c r="AG354" s="258" t="str">
        <f t="shared" si="493"/>
        <v/>
      </c>
      <c r="AH354" s="258" t="str">
        <f t="shared" si="493"/>
        <v/>
      </c>
      <c r="AI354" s="258" t="str">
        <f t="shared" si="493"/>
        <v/>
      </c>
      <c r="AJ354" s="1095"/>
      <c r="AK354" s="944"/>
      <c r="AL354" s="1095"/>
      <c r="AM354" s="258" t="str">
        <f>AM$17</f>
        <v/>
      </c>
      <c r="AN354" s="258" t="str">
        <f t="shared" ref="AN354:AU354" si="494">AN$17</f>
        <v/>
      </c>
      <c r="AO354" s="258" t="str">
        <f t="shared" si="494"/>
        <v/>
      </c>
      <c r="AP354" s="258" t="str">
        <f t="shared" si="494"/>
        <v/>
      </c>
      <c r="AQ354" s="258" t="str">
        <f t="shared" si="494"/>
        <v/>
      </c>
      <c r="AR354" s="258" t="str">
        <f t="shared" si="494"/>
        <v/>
      </c>
      <c r="AS354" s="258" t="str">
        <f t="shared" si="494"/>
        <v/>
      </c>
      <c r="AT354" s="258" t="str">
        <f t="shared" si="494"/>
        <v/>
      </c>
      <c r="AU354" s="258" t="str">
        <f t="shared" si="494"/>
        <v/>
      </c>
      <c r="AV354" s="1095"/>
      <c r="AW354" s="944"/>
      <c r="AX354" s="1095"/>
      <c r="AY354" s="258" t="str">
        <f>AY$17</f>
        <v/>
      </c>
      <c r="AZ354" s="258" t="str">
        <f t="shared" ref="AZ354:BG354" si="495">AZ$17</f>
        <v/>
      </c>
      <c r="BA354" s="258" t="str">
        <f t="shared" si="495"/>
        <v/>
      </c>
      <c r="BB354" s="258" t="str">
        <f t="shared" si="495"/>
        <v/>
      </c>
      <c r="BC354" s="258" t="str">
        <f t="shared" si="495"/>
        <v/>
      </c>
      <c r="BD354" s="258" t="str">
        <f t="shared" si="495"/>
        <v/>
      </c>
      <c r="BE354" s="258" t="str">
        <f t="shared" si="495"/>
        <v/>
      </c>
      <c r="BF354" s="258" t="str">
        <f t="shared" si="495"/>
        <v/>
      </c>
      <c r="BG354" s="258" t="str">
        <f t="shared" si="495"/>
        <v/>
      </c>
    </row>
    <row r="355" spans="1:60" s="2" customFormat="1">
      <c r="A355" s="1038"/>
      <c r="B355" s="1110" t="s">
        <v>1224</v>
      </c>
      <c r="C355" s="1106" t="s">
        <v>104</v>
      </c>
      <c r="D355" s="645"/>
      <c r="E355" s="180" t="s">
        <v>291</v>
      </c>
      <c r="F355" s="203"/>
      <c r="G355" s="203"/>
      <c r="H355" s="204" t="s">
        <v>289</v>
      </c>
      <c r="I355" s="205"/>
      <c r="J355" s="206">
        <f>M355+Y355+AK355+AW355</f>
        <v>0</v>
      </c>
      <c r="K355" s="220"/>
      <c r="L355" s="220"/>
      <c r="M355" s="206">
        <f>SUMPRODUCT(N355:X355,N$22:X$22,N$29:X$29)/1000</f>
        <v>0</v>
      </c>
      <c r="N355" s="220"/>
      <c r="O355" s="1093">
        <f t="shared" ref="O355:W355" si="496">IF(OR(O$22=0,O$29=0,($M$187+$M$186)=0),0,
-(O275*$M$187/($M$187+$M$186)*$M$224*1000)/(O22*O29))</f>
        <v>0</v>
      </c>
      <c r="P355" s="1093">
        <f t="shared" si="496"/>
        <v>0</v>
      </c>
      <c r="Q355" s="1093">
        <f t="shared" si="496"/>
        <v>0</v>
      </c>
      <c r="R355" s="1093">
        <f t="shared" si="496"/>
        <v>0</v>
      </c>
      <c r="S355" s="1093">
        <f t="shared" si="496"/>
        <v>0</v>
      </c>
      <c r="T355" s="1093">
        <f t="shared" si="496"/>
        <v>0</v>
      </c>
      <c r="U355" s="1093">
        <f t="shared" si="496"/>
        <v>0</v>
      </c>
      <c r="V355" s="1093">
        <f t="shared" si="496"/>
        <v>0</v>
      </c>
      <c r="W355" s="1093">
        <f t="shared" si="496"/>
        <v>0</v>
      </c>
      <c r="X355" s="174"/>
      <c r="Y355" s="206">
        <f>SUMPRODUCT(Z355:AJ355,Z$22:AJ$22,Z$29:AJ$29)/1000</f>
        <v>0</v>
      </c>
      <c r="Z355" s="220"/>
      <c r="AA355" s="1093">
        <f t="shared" ref="AA355:AI355" si="497">IF(OR(AA$22=0,AA$29=0,($Y$187+$Y$186)=0),0,
-(AA275*$Y$187/($Y$187+$Y$186)*$Y$224*1000)/(AA22*AA29))</f>
        <v>0</v>
      </c>
      <c r="AB355" s="1093">
        <f t="shared" si="497"/>
        <v>0</v>
      </c>
      <c r="AC355" s="1093">
        <f t="shared" si="497"/>
        <v>0</v>
      </c>
      <c r="AD355" s="1093">
        <f t="shared" si="497"/>
        <v>0</v>
      </c>
      <c r="AE355" s="1093">
        <f t="shared" si="497"/>
        <v>0</v>
      </c>
      <c r="AF355" s="1093">
        <f t="shared" si="497"/>
        <v>0</v>
      </c>
      <c r="AG355" s="1093">
        <f t="shared" si="497"/>
        <v>0</v>
      </c>
      <c r="AH355" s="1093">
        <f t="shared" si="497"/>
        <v>0</v>
      </c>
      <c r="AI355" s="1093">
        <f t="shared" si="497"/>
        <v>0</v>
      </c>
      <c r="AJ355" s="174"/>
      <c r="AK355" s="206">
        <f>SUMPRODUCT(AL355:AV355,AL$22:AV$22,AL$29:AV$29)/1000</f>
        <v>0</v>
      </c>
      <c r="AL355" s="1091"/>
      <c r="AM355" s="1093">
        <f t="shared" ref="AM355:AU355" si="498">IF(OR(AM$22=0,AM$29=0,($AK$187+$AK$186)=0),0,
-(AM275*$AK$187/($AK$187+$AK$186)*$AK$224*1000)/(AM22*AM29))</f>
        <v>0</v>
      </c>
      <c r="AN355" s="1093">
        <f t="shared" si="498"/>
        <v>0</v>
      </c>
      <c r="AO355" s="1093">
        <f t="shared" si="498"/>
        <v>0</v>
      </c>
      <c r="AP355" s="1093">
        <f t="shared" si="498"/>
        <v>0</v>
      </c>
      <c r="AQ355" s="1093">
        <f t="shared" si="498"/>
        <v>0</v>
      </c>
      <c r="AR355" s="1093">
        <f t="shared" si="498"/>
        <v>0</v>
      </c>
      <c r="AS355" s="1093">
        <f t="shared" si="498"/>
        <v>0</v>
      </c>
      <c r="AT355" s="1093">
        <f t="shared" si="498"/>
        <v>0</v>
      </c>
      <c r="AU355" s="1093">
        <f t="shared" si="498"/>
        <v>0</v>
      </c>
      <c r="AV355" s="174"/>
      <c r="AW355" s="206">
        <f>SUMPRODUCT(AX355:BH355,AX$22:BH$22,AX$29:BH$29)/1000</f>
        <v>0</v>
      </c>
      <c r="AX355" s="1091"/>
      <c r="AY355" s="1093">
        <f t="shared" ref="AY355:BG355" si="499">IF(OR(AY$22=0,AY$29=0,($AW$187+$AW$186)=0),0,
-(AY275*$AW$187/($AW$187+$AW$186)*$AW$224*1000)/(AY22*AY29))</f>
        <v>0</v>
      </c>
      <c r="AZ355" s="1093">
        <f t="shared" si="499"/>
        <v>0</v>
      </c>
      <c r="BA355" s="1093">
        <f t="shared" si="499"/>
        <v>0</v>
      </c>
      <c r="BB355" s="1093">
        <f t="shared" si="499"/>
        <v>0</v>
      </c>
      <c r="BC355" s="1093">
        <f t="shared" si="499"/>
        <v>0</v>
      </c>
      <c r="BD355" s="1093">
        <f t="shared" si="499"/>
        <v>0</v>
      </c>
      <c r="BE355" s="1093">
        <f t="shared" si="499"/>
        <v>0</v>
      </c>
      <c r="BF355" s="1093">
        <f t="shared" si="499"/>
        <v>0</v>
      </c>
      <c r="BG355" s="1093">
        <f t="shared" si="499"/>
        <v>0</v>
      </c>
      <c r="BH355" s="210"/>
    </row>
    <row r="356" spans="1:60" s="2" customFormat="1">
      <c r="A356" s="1038"/>
      <c r="B356" s="1110" t="s">
        <v>1224</v>
      </c>
      <c r="C356" s="1106" t="s">
        <v>104</v>
      </c>
      <c r="D356" s="645"/>
      <c r="E356" s="180" t="s">
        <v>292</v>
      </c>
      <c r="F356" s="203"/>
      <c r="G356" s="203"/>
      <c r="H356" s="204" t="s">
        <v>289</v>
      </c>
      <c r="I356" s="205"/>
      <c r="J356" s="206">
        <f>M356+Y356+AK356+AW356</f>
        <v>0</v>
      </c>
      <c r="K356" s="220"/>
      <c r="L356" s="220"/>
      <c r="M356" s="206">
        <f>SUMPRODUCT(N356:X356,N$22:X$22,N$29:X$29)/1000</f>
        <v>0</v>
      </c>
      <c r="N356" s="220"/>
      <c r="O356" s="1093">
        <f t="shared" ref="O356:W356" si="500">IF(OR(O$22=0,O$29=0,($M$187+$M$186)=0),0,
-O73*$M$224/($M$187+$M$186)/O29)</f>
        <v>0</v>
      </c>
      <c r="P356" s="1093">
        <f t="shared" si="500"/>
        <v>0</v>
      </c>
      <c r="Q356" s="1093">
        <f t="shared" si="500"/>
        <v>0</v>
      </c>
      <c r="R356" s="1093">
        <f t="shared" si="500"/>
        <v>0</v>
      </c>
      <c r="S356" s="1093">
        <f t="shared" si="500"/>
        <v>0</v>
      </c>
      <c r="T356" s="1093">
        <f t="shared" si="500"/>
        <v>0</v>
      </c>
      <c r="U356" s="1093">
        <f t="shared" si="500"/>
        <v>0</v>
      </c>
      <c r="V356" s="1093">
        <f t="shared" si="500"/>
        <v>0</v>
      </c>
      <c r="W356" s="1093">
        <f t="shared" si="500"/>
        <v>0</v>
      </c>
      <c r="X356" s="174"/>
      <c r="Y356" s="206">
        <f>SUMPRODUCT(Z356:AJ356,Z$22:AJ$22,Z$29:AJ$29)/1000</f>
        <v>0</v>
      </c>
      <c r="Z356" s="220"/>
      <c r="AA356" s="1093">
        <f t="shared" ref="AA356:AI356" si="501">IF(OR(AA$22=0,AA$29=0,($Y$187+$Y$186)=0),0,
-AA73*$Y$224/($Y$187+$Y$186)/AA29)</f>
        <v>0</v>
      </c>
      <c r="AB356" s="1093">
        <f t="shared" si="501"/>
        <v>0</v>
      </c>
      <c r="AC356" s="1093">
        <f t="shared" si="501"/>
        <v>0</v>
      </c>
      <c r="AD356" s="1093">
        <f t="shared" si="501"/>
        <v>0</v>
      </c>
      <c r="AE356" s="1093">
        <f t="shared" si="501"/>
        <v>0</v>
      </c>
      <c r="AF356" s="1093">
        <f t="shared" si="501"/>
        <v>0</v>
      </c>
      <c r="AG356" s="1093">
        <f t="shared" si="501"/>
        <v>0</v>
      </c>
      <c r="AH356" s="1093">
        <f t="shared" si="501"/>
        <v>0</v>
      </c>
      <c r="AI356" s="1093">
        <f t="shared" si="501"/>
        <v>0</v>
      </c>
      <c r="AJ356" s="174"/>
      <c r="AK356" s="206">
        <f>SUMPRODUCT(AL356:AV356,AL$22:AV$22,AL$29:AV$29)/1000</f>
        <v>0</v>
      </c>
      <c r="AL356" s="1091"/>
      <c r="AM356" s="1093">
        <f t="shared" ref="AM356:AU356" si="502">IF(OR(AM$22=0,AM$29=0,($AK$187+$AK$186)=0),0,
-AM73*$AK$224/($AK$187+$AK$186)/AM29)</f>
        <v>0</v>
      </c>
      <c r="AN356" s="1093">
        <f t="shared" si="502"/>
        <v>0</v>
      </c>
      <c r="AO356" s="1093">
        <f t="shared" si="502"/>
        <v>0</v>
      </c>
      <c r="AP356" s="1093">
        <f t="shared" si="502"/>
        <v>0</v>
      </c>
      <c r="AQ356" s="1093">
        <f t="shared" si="502"/>
        <v>0</v>
      </c>
      <c r="AR356" s="1093">
        <f t="shared" si="502"/>
        <v>0</v>
      </c>
      <c r="AS356" s="1093">
        <f t="shared" si="502"/>
        <v>0</v>
      </c>
      <c r="AT356" s="1093">
        <f t="shared" si="502"/>
        <v>0</v>
      </c>
      <c r="AU356" s="1093">
        <f t="shared" si="502"/>
        <v>0</v>
      </c>
      <c r="AV356" s="174"/>
      <c r="AW356" s="206">
        <f>SUMPRODUCT(AX356:BH356,AX$22:BH$22,AX$29:BH$29)/1000</f>
        <v>0</v>
      </c>
      <c r="AX356" s="1091"/>
      <c r="AY356" s="1093">
        <f t="shared" ref="AY356:BG356" si="503">IF(OR(AY$22=0,AY$29=0,($AW$187+$AW$186)=0),0,
-AY73*$AW$224/($AW$187+$AW$186)/AY29)</f>
        <v>0</v>
      </c>
      <c r="AZ356" s="1093">
        <f t="shared" si="503"/>
        <v>0</v>
      </c>
      <c r="BA356" s="1093">
        <f t="shared" si="503"/>
        <v>0</v>
      </c>
      <c r="BB356" s="1093">
        <f t="shared" si="503"/>
        <v>0</v>
      </c>
      <c r="BC356" s="1093">
        <f t="shared" si="503"/>
        <v>0</v>
      </c>
      <c r="BD356" s="1093">
        <f t="shared" si="503"/>
        <v>0</v>
      </c>
      <c r="BE356" s="1093">
        <f t="shared" si="503"/>
        <v>0</v>
      </c>
      <c r="BF356" s="1093">
        <f t="shared" si="503"/>
        <v>0</v>
      </c>
      <c r="BG356" s="1093">
        <f t="shared" si="503"/>
        <v>0</v>
      </c>
      <c r="BH356" s="210"/>
    </row>
    <row r="357" spans="1:60" s="2" customFormat="1">
      <c r="A357" s="1038"/>
      <c r="B357" s="1110" t="s">
        <v>1224</v>
      </c>
      <c r="C357" s="1106" t="s">
        <v>104</v>
      </c>
      <c r="D357" s="645"/>
      <c r="E357" s="203" t="s">
        <v>293</v>
      </c>
      <c r="F357" s="203"/>
      <c r="G357" s="203"/>
      <c r="H357" s="204" t="s">
        <v>289</v>
      </c>
      <c r="I357" s="205"/>
      <c r="J357" s="206">
        <f>M357+Y357+AK357+AW357</f>
        <v>0</v>
      </c>
      <c r="K357" s="220"/>
      <c r="L357" s="220"/>
      <c r="M357" s="206">
        <f>M355+M356</f>
        <v>0</v>
      </c>
      <c r="N357" s="220"/>
      <c r="O357" s="1093">
        <f t="shared" ref="O357:W357" si="504">O355+O356</f>
        <v>0</v>
      </c>
      <c r="P357" s="1093">
        <f t="shared" si="504"/>
        <v>0</v>
      </c>
      <c r="Q357" s="1093">
        <f t="shared" si="504"/>
        <v>0</v>
      </c>
      <c r="R357" s="1093">
        <f t="shared" si="504"/>
        <v>0</v>
      </c>
      <c r="S357" s="1093">
        <f t="shared" si="504"/>
        <v>0</v>
      </c>
      <c r="T357" s="1093">
        <f>T355+T356</f>
        <v>0</v>
      </c>
      <c r="U357" s="1093">
        <f t="shared" si="504"/>
        <v>0</v>
      </c>
      <c r="V357" s="1093">
        <f t="shared" si="504"/>
        <v>0</v>
      </c>
      <c r="W357" s="1093">
        <f t="shared" si="504"/>
        <v>0</v>
      </c>
      <c r="X357" s="174"/>
      <c r="Y357" s="206">
        <f>Y355+Y356</f>
        <v>0</v>
      </c>
      <c r="Z357" s="220"/>
      <c r="AA357" s="1093">
        <f t="shared" ref="AA357:AI357" si="505">AA355+AA356</f>
        <v>0</v>
      </c>
      <c r="AB357" s="1093">
        <f t="shared" si="505"/>
        <v>0</v>
      </c>
      <c r="AC357" s="1093">
        <f t="shared" si="505"/>
        <v>0</v>
      </c>
      <c r="AD357" s="1093">
        <f t="shared" si="505"/>
        <v>0</v>
      </c>
      <c r="AE357" s="1093">
        <f t="shared" si="505"/>
        <v>0</v>
      </c>
      <c r="AF357" s="1093">
        <f>AF355+AF356</f>
        <v>0</v>
      </c>
      <c r="AG357" s="1093">
        <f t="shared" si="505"/>
        <v>0</v>
      </c>
      <c r="AH357" s="1093">
        <f t="shared" si="505"/>
        <v>0</v>
      </c>
      <c r="AI357" s="1093">
        <f t="shared" si="505"/>
        <v>0</v>
      </c>
      <c r="AJ357" s="174"/>
      <c r="AK357" s="206">
        <f>AK355+AK356</f>
        <v>0</v>
      </c>
      <c r="AL357" s="1091"/>
      <c r="AM357" s="1093">
        <f t="shared" ref="AM357:AU357" si="506">AM355+AM356</f>
        <v>0</v>
      </c>
      <c r="AN357" s="1093">
        <f t="shared" si="506"/>
        <v>0</v>
      </c>
      <c r="AO357" s="1093">
        <f t="shared" si="506"/>
        <v>0</v>
      </c>
      <c r="AP357" s="1093">
        <f t="shared" si="506"/>
        <v>0</v>
      </c>
      <c r="AQ357" s="1093">
        <f t="shared" si="506"/>
        <v>0</v>
      </c>
      <c r="AR357" s="1093">
        <f>AR355+AR356</f>
        <v>0</v>
      </c>
      <c r="AS357" s="1093">
        <f t="shared" si="506"/>
        <v>0</v>
      </c>
      <c r="AT357" s="1093">
        <f t="shared" si="506"/>
        <v>0</v>
      </c>
      <c r="AU357" s="1093">
        <f t="shared" si="506"/>
        <v>0</v>
      </c>
      <c r="AV357" s="174"/>
      <c r="AW357" s="206">
        <f>AW355+AW356</f>
        <v>0</v>
      </c>
      <c r="AX357" s="1091"/>
      <c r="AY357" s="1093">
        <f t="shared" ref="AY357:BG357" si="507">AY355+AY356</f>
        <v>0</v>
      </c>
      <c r="AZ357" s="1093">
        <f t="shared" si="507"/>
        <v>0</v>
      </c>
      <c r="BA357" s="1093">
        <f t="shared" si="507"/>
        <v>0</v>
      </c>
      <c r="BB357" s="1093">
        <f t="shared" si="507"/>
        <v>0</v>
      </c>
      <c r="BC357" s="1093">
        <f t="shared" si="507"/>
        <v>0</v>
      </c>
      <c r="BD357" s="1093">
        <f>BD355+BD356</f>
        <v>0</v>
      </c>
      <c r="BE357" s="1093">
        <f t="shared" si="507"/>
        <v>0</v>
      </c>
      <c r="BF357" s="1093">
        <f t="shared" si="507"/>
        <v>0</v>
      </c>
      <c r="BG357" s="1093">
        <f t="shared" si="507"/>
        <v>0</v>
      </c>
      <c r="BH357" s="210"/>
    </row>
    <row r="358" spans="1:60" s="2" customFormat="1">
      <c r="A358" s="1038"/>
      <c r="B358" s="1110" t="s">
        <v>1224</v>
      </c>
      <c r="C358" s="1106" t="s">
        <v>96</v>
      </c>
      <c r="D358" s="644"/>
      <c r="E358" s="942" t="s">
        <v>107</v>
      </c>
      <c r="F358" s="942"/>
      <c r="G358" s="942"/>
      <c r="H358" s="942"/>
      <c r="I358" s="129"/>
      <c r="J358" s="943"/>
      <c r="K358" s="1094"/>
      <c r="L358" s="1094"/>
      <c r="M358" s="944"/>
      <c r="N358" s="1095"/>
      <c r="O358" s="258" t="str">
        <f>O$17</f>
        <v/>
      </c>
      <c r="P358" s="258" t="str">
        <f t="shared" ref="P358:W358" si="508">P$17</f>
        <v/>
      </c>
      <c r="Q358" s="258" t="str">
        <f t="shared" si="508"/>
        <v/>
      </c>
      <c r="R358" s="258" t="str">
        <f t="shared" si="508"/>
        <v/>
      </c>
      <c r="S358" s="258" t="str">
        <f t="shared" si="508"/>
        <v/>
      </c>
      <c r="T358" s="258" t="str">
        <f t="shared" si="508"/>
        <v/>
      </c>
      <c r="U358" s="258" t="str">
        <f t="shared" si="508"/>
        <v/>
      </c>
      <c r="V358" s="258" t="str">
        <f t="shared" si="508"/>
        <v/>
      </c>
      <c r="W358" s="258" t="str">
        <f t="shared" si="508"/>
        <v/>
      </c>
      <c r="X358" s="1095"/>
      <c r="Y358" s="944"/>
      <c r="Z358" s="1095"/>
      <c r="AA358" s="258" t="str">
        <f>AA$17</f>
        <v/>
      </c>
      <c r="AB358" s="258" t="str">
        <f t="shared" ref="AB358:AI358" si="509">AB$17</f>
        <v/>
      </c>
      <c r="AC358" s="258" t="str">
        <f t="shared" si="509"/>
        <v/>
      </c>
      <c r="AD358" s="258" t="str">
        <f t="shared" si="509"/>
        <v/>
      </c>
      <c r="AE358" s="258" t="str">
        <f t="shared" si="509"/>
        <v/>
      </c>
      <c r="AF358" s="258" t="str">
        <f t="shared" si="509"/>
        <v/>
      </c>
      <c r="AG358" s="258" t="str">
        <f t="shared" si="509"/>
        <v/>
      </c>
      <c r="AH358" s="258" t="str">
        <f t="shared" si="509"/>
        <v/>
      </c>
      <c r="AI358" s="258" t="str">
        <f t="shared" si="509"/>
        <v/>
      </c>
      <c r="AJ358" s="1095"/>
      <c r="AK358" s="944"/>
      <c r="AL358" s="1095"/>
      <c r="AM358" s="258" t="str">
        <f>AM$17</f>
        <v/>
      </c>
      <c r="AN358" s="258" t="str">
        <f t="shared" ref="AN358:AU358" si="510">AN$17</f>
        <v/>
      </c>
      <c r="AO358" s="258" t="str">
        <f t="shared" si="510"/>
        <v/>
      </c>
      <c r="AP358" s="258" t="str">
        <f t="shared" si="510"/>
        <v/>
      </c>
      <c r="AQ358" s="258" t="str">
        <f t="shared" si="510"/>
        <v/>
      </c>
      <c r="AR358" s="258" t="str">
        <f t="shared" si="510"/>
        <v/>
      </c>
      <c r="AS358" s="258" t="str">
        <f t="shared" si="510"/>
        <v/>
      </c>
      <c r="AT358" s="258" t="str">
        <f t="shared" si="510"/>
        <v/>
      </c>
      <c r="AU358" s="258" t="str">
        <f t="shared" si="510"/>
        <v/>
      </c>
      <c r="AV358" s="1095"/>
      <c r="AW358" s="944"/>
      <c r="AX358" s="1095"/>
      <c r="AY358" s="258" t="str">
        <f>AY$17</f>
        <v/>
      </c>
      <c r="AZ358" s="258" t="str">
        <f t="shared" ref="AZ358:BG358" si="511">AZ$17</f>
        <v/>
      </c>
      <c r="BA358" s="258" t="str">
        <f t="shared" si="511"/>
        <v/>
      </c>
      <c r="BB358" s="258" t="str">
        <f t="shared" si="511"/>
        <v/>
      </c>
      <c r="BC358" s="258" t="str">
        <f t="shared" si="511"/>
        <v/>
      </c>
      <c r="BD358" s="258" t="str">
        <f t="shared" si="511"/>
        <v/>
      </c>
      <c r="BE358" s="258" t="str">
        <f t="shared" si="511"/>
        <v/>
      </c>
      <c r="BF358" s="258" t="str">
        <f t="shared" si="511"/>
        <v/>
      </c>
      <c r="BG358" s="258" t="str">
        <f t="shared" si="511"/>
        <v/>
      </c>
    </row>
    <row r="359" spans="1:60" s="2" customFormat="1">
      <c r="A359" s="1038"/>
      <c r="B359" s="1110" t="s">
        <v>1224</v>
      </c>
      <c r="C359" s="1106" t="s">
        <v>104</v>
      </c>
      <c r="D359" s="645"/>
      <c r="E359" s="203" t="s">
        <v>1340</v>
      </c>
      <c r="F359" s="203"/>
      <c r="G359" s="203"/>
      <c r="H359" s="204" t="s">
        <v>289</v>
      </c>
      <c r="I359" s="205"/>
      <c r="J359" s="206">
        <f>M359+Y359+AK359+AW359</f>
        <v>0</v>
      </c>
      <c r="K359" s="220"/>
      <c r="L359" s="220"/>
      <c r="M359" s="206">
        <f>SUMPRODUCT(N359:X359,N$22:X$22,N$29:X$29)/1000</f>
        <v>0</v>
      </c>
      <c r="N359" s="220"/>
      <c r="O359" s="1093">
        <f t="shared" ref="O359:W359" si="512">O353+O357</f>
        <v>0</v>
      </c>
      <c r="P359" s="1093">
        <f t="shared" si="512"/>
        <v>0</v>
      </c>
      <c r="Q359" s="1093">
        <f t="shared" si="512"/>
        <v>0</v>
      </c>
      <c r="R359" s="1093">
        <f t="shared" si="512"/>
        <v>0</v>
      </c>
      <c r="S359" s="1093">
        <f t="shared" si="512"/>
        <v>0</v>
      </c>
      <c r="T359" s="1093">
        <f>T353+T357</f>
        <v>0</v>
      </c>
      <c r="U359" s="1093">
        <f t="shared" si="512"/>
        <v>0</v>
      </c>
      <c r="V359" s="1093">
        <f t="shared" si="512"/>
        <v>0</v>
      </c>
      <c r="W359" s="1093">
        <f t="shared" si="512"/>
        <v>0</v>
      </c>
      <c r="X359" s="174"/>
      <c r="Y359" s="206">
        <f>SUMPRODUCT(Z359:AJ359,Z$22:AJ$22,Z$29:AJ$29)/1000</f>
        <v>0</v>
      </c>
      <c r="Z359" s="220"/>
      <c r="AA359" s="1093">
        <f t="shared" ref="AA359:AE359" si="513">AA353+AA357</f>
        <v>0</v>
      </c>
      <c r="AB359" s="1093">
        <f t="shared" si="513"/>
        <v>0</v>
      </c>
      <c r="AC359" s="1093">
        <f t="shared" si="513"/>
        <v>0</v>
      </c>
      <c r="AD359" s="1093">
        <f t="shared" si="513"/>
        <v>0</v>
      </c>
      <c r="AE359" s="1093">
        <f t="shared" si="513"/>
        <v>0</v>
      </c>
      <c r="AF359" s="1093">
        <f>AF353+AF357</f>
        <v>0</v>
      </c>
      <c r="AG359" s="1093">
        <f t="shared" ref="AG359:AI359" si="514">AG353+AG357</f>
        <v>0</v>
      </c>
      <c r="AH359" s="1093">
        <f t="shared" si="514"/>
        <v>0</v>
      </c>
      <c r="AI359" s="1093">
        <f t="shared" si="514"/>
        <v>0</v>
      </c>
      <c r="AJ359" s="174"/>
      <c r="AK359" s="206">
        <f>SUMPRODUCT(AL359:AV359,AL$22:AV$22,AL$29:AV$29)/1000</f>
        <v>0</v>
      </c>
      <c r="AL359" s="1091"/>
      <c r="AM359" s="1093">
        <f t="shared" ref="AM359:AQ359" si="515">AM353+AM357</f>
        <v>0</v>
      </c>
      <c r="AN359" s="1093">
        <f t="shared" si="515"/>
        <v>0</v>
      </c>
      <c r="AO359" s="1093">
        <f t="shared" si="515"/>
        <v>0</v>
      </c>
      <c r="AP359" s="1093">
        <f t="shared" si="515"/>
        <v>0</v>
      </c>
      <c r="AQ359" s="1093">
        <f t="shared" si="515"/>
        <v>0</v>
      </c>
      <c r="AR359" s="1093">
        <f>AR353+AR357</f>
        <v>0</v>
      </c>
      <c r="AS359" s="1093">
        <f t="shared" ref="AS359:AU359" si="516">AS353+AS357</f>
        <v>0</v>
      </c>
      <c r="AT359" s="1093">
        <f t="shared" si="516"/>
        <v>0</v>
      </c>
      <c r="AU359" s="1093">
        <f t="shared" si="516"/>
        <v>0</v>
      </c>
      <c r="AV359" s="174"/>
      <c r="AW359" s="206">
        <f>SUMPRODUCT(AX359:BH359,AX$22:BH$22,AX$29:BH$29)/1000</f>
        <v>0</v>
      </c>
      <c r="AX359" s="1091"/>
      <c r="AY359" s="1093">
        <f t="shared" ref="AY359:BC359" si="517">AY353+AY357</f>
        <v>0</v>
      </c>
      <c r="AZ359" s="1093">
        <f t="shared" si="517"/>
        <v>0</v>
      </c>
      <c r="BA359" s="1093">
        <f t="shared" si="517"/>
        <v>0</v>
      </c>
      <c r="BB359" s="1093">
        <f t="shared" si="517"/>
        <v>0</v>
      </c>
      <c r="BC359" s="1093">
        <f t="shared" si="517"/>
        <v>0</v>
      </c>
      <c r="BD359" s="1093">
        <f>BD353+BD357</f>
        <v>0</v>
      </c>
      <c r="BE359" s="1093">
        <f t="shared" ref="BE359:BG359" si="518">BE353+BE357</f>
        <v>0</v>
      </c>
      <c r="BF359" s="1093">
        <f t="shared" si="518"/>
        <v>0</v>
      </c>
      <c r="BG359" s="1093">
        <f t="shared" si="518"/>
        <v>0</v>
      </c>
      <c r="BH359" s="210"/>
    </row>
    <row r="360" spans="1:60" s="2" customFormat="1">
      <c r="A360" s="1038"/>
      <c r="B360" s="1110" t="s">
        <v>1224</v>
      </c>
      <c r="C360" s="1106" t="s">
        <v>104</v>
      </c>
      <c r="D360" s="645"/>
      <c r="E360" s="203" t="s">
        <v>1341</v>
      </c>
      <c r="F360" s="203"/>
      <c r="G360" s="203"/>
      <c r="H360" s="204" t="s">
        <v>289</v>
      </c>
      <c r="I360" s="205"/>
      <c r="J360" s="206">
        <f>M360+Y360+AK360+AW360</f>
        <v>0</v>
      </c>
      <c r="K360" s="220"/>
      <c r="L360" s="220"/>
      <c r="M360" s="206">
        <f>SUMPRODUCT(N360:X360,N$22:X$22,N$29:X$29)/1000</f>
        <v>0</v>
      </c>
      <c r="N360" s="220"/>
      <c r="O360" s="1093">
        <f t="shared" ref="O360:W360" si="519">O$345+O$346+O$347+IF(OR(O$19=woning,O$19=woongebouw),0,O$348)+O$349+O$357</f>
        <v>0</v>
      </c>
      <c r="P360" s="1093">
        <f t="shared" si="519"/>
        <v>0</v>
      </c>
      <c r="Q360" s="1093">
        <f t="shared" si="519"/>
        <v>0</v>
      </c>
      <c r="R360" s="1093">
        <f t="shared" si="519"/>
        <v>0</v>
      </c>
      <c r="S360" s="1093">
        <f t="shared" si="519"/>
        <v>0</v>
      </c>
      <c r="T360" s="1093">
        <f t="shared" si="519"/>
        <v>0</v>
      </c>
      <c r="U360" s="1093">
        <f t="shared" si="519"/>
        <v>0</v>
      </c>
      <c r="V360" s="1093">
        <f t="shared" si="519"/>
        <v>0</v>
      </c>
      <c r="W360" s="1093">
        <f t="shared" si="519"/>
        <v>0</v>
      </c>
      <c r="X360" s="174"/>
      <c r="Y360" s="206">
        <f>SUMPRODUCT(Z360:AJ360,Z$22:AJ$22,Z$29:AJ$29)/1000</f>
        <v>0</v>
      </c>
      <c r="Z360" s="220"/>
      <c r="AA360" s="1093">
        <f t="shared" ref="AA360:AI360" si="520">AA$345+AA$346+AA$347+IF(OR(AA$19=woning,AA$19=woongebouw),0,AA$348)+AA$349+AA$357</f>
        <v>0</v>
      </c>
      <c r="AB360" s="1093">
        <f t="shared" si="520"/>
        <v>0</v>
      </c>
      <c r="AC360" s="1093">
        <f t="shared" si="520"/>
        <v>0</v>
      </c>
      <c r="AD360" s="1093">
        <f t="shared" si="520"/>
        <v>0</v>
      </c>
      <c r="AE360" s="1093">
        <f t="shared" si="520"/>
        <v>0</v>
      </c>
      <c r="AF360" s="1093">
        <f t="shared" si="520"/>
        <v>0</v>
      </c>
      <c r="AG360" s="1093">
        <f t="shared" si="520"/>
        <v>0</v>
      </c>
      <c r="AH360" s="1093">
        <f t="shared" si="520"/>
        <v>0</v>
      </c>
      <c r="AI360" s="1093">
        <f t="shared" si="520"/>
        <v>0</v>
      </c>
      <c r="AJ360" s="174"/>
      <c r="AK360" s="206">
        <f>SUMPRODUCT(AL360:AV360,AL$22:AV$22,AL$29:AV$29)/1000</f>
        <v>0</v>
      </c>
      <c r="AL360" s="1091"/>
      <c r="AM360" s="1093">
        <f t="shared" ref="AM360:AU360" si="521">AM$345+AM$346+AM$347+IF(OR(AM$19=woning,AM$19=woongebouw),0,AM$348)+AM$349+AM$357</f>
        <v>0</v>
      </c>
      <c r="AN360" s="1093">
        <f t="shared" si="521"/>
        <v>0</v>
      </c>
      <c r="AO360" s="1093">
        <f t="shared" si="521"/>
        <v>0</v>
      </c>
      <c r="AP360" s="1093">
        <f t="shared" si="521"/>
        <v>0</v>
      </c>
      <c r="AQ360" s="1093">
        <f t="shared" si="521"/>
        <v>0</v>
      </c>
      <c r="AR360" s="1093">
        <f t="shared" si="521"/>
        <v>0</v>
      </c>
      <c r="AS360" s="1093">
        <f t="shared" si="521"/>
        <v>0</v>
      </c>
      <c r="AT360" s="1093">
        <f t="shared" si="521"/>
        <v>0</v>
      </c>
      <c r="AU360" s="1093">
        <f t="shared" si="521"/>
        <v>0</v>
      </c>
      <c r="AV360" s="174"/>
      <c r="AW360" s="206">
        <f>SUMPRODUCT(AX360:BH360,AX$22:BH$22,AX$29:BH$29)/1000</f>
        <v>0</v>
      </c>
      <c r="AX360" s="1091"/>
      <c r="AY360" s="1093">
        <f t="shared" ref="AY360:BG360" si="522">AY$345+AY$346+AY$347+IF(OR(AY$19=woning,AY$19=woongebouw),0,AY$348)+AY$349+AY$357</f>
        <v>0</v>
      </c>
      <c r="AZ360" s="1093">
        <f t="shared" si="522"/>
        <v>0</v>
      </c>
      <c r="BA360" s="1093">
        <f t="shared" si="522"/>
        <v>0</v>
      </c>
      <c r="BB360" s="1093">
        <f t="shared" si="522"/>
        <v>0</v>
      </c>
      <c r="BC360" s="1093">
        <f t="shared" si="522"/>
        <v>0</v>
      </c>
      <c r="BD360" s="1093">
        <f t="shared" si="522"/>
        <v>0</v>
      </c>
      <c r="BE360" s="1093">
        <f t="shared" si="522"/>
        <v>0</v>
      </c>
      <c r="BF360" s="1093">
        <f t="shared" si="522"/>
        <v>0</v>
      </c>
      <c r="BG360" s="1093">
        <f t="shared" si="522"/>
        <v>0</v>
      </c>
      <c r="BH360" s="210"/>
    </row>
    <row r="361" spans="1:60">
      <c r="A361" s="1040"/>
      <c r="B361" s="1109" t="s">
        <v>1219</v>
      </c>
      <c r="C361" s="1106" t="s">
        <v>96</v>
      </c>
      <c r="D361" s="638"/>
      <c r="E361" s="79"/>
      <c r="F361" s="79"/>
      <c r="G361" s="79"/>
      <c r="H361" s="85"/>
      <c r="I361" s="79"/>
      <c r="J361" s="113"/>
      <c r="K361" s="79"/>
      <c r="L361" s="79"/>
      <c r="M361" s="113"/>
      <c r="N361" s="79"/>
      <c r="O361" s="81"/>
      <c r="P361" s="1163"/>
      <c r="Q361" s="81"/>
      <c r="R361" s="81"/>
      <c r="S361" s="81"/>
      <c r="T361" s="81"/>
      <c r="U361" s="81"/>
      <c r="V361" s="81"/>
      <c r="W361" s="81"/>
      <c r="X361" s="82"/>
      <c r="Y361" s="82"/>
      <c r="Z361" s="79"/>
      <c r="AA361" s="79"/>
      <c r="AB361" s="79"/>
      <c r="AC361" s="79"/>
      <c r="AD361" s="79"/>
      <c r="AE361" s="79"/>
      <c r="AF361" s="79"/>
      <c r="AG361" s="79"/>
      <c r="AH361" s="79"/>
      <c r="AI361" s="79"/>
      <c r="AJ361" s="79"/>
      <c r="AK361" s="113"/>
      <c r="AL361" s="79"/>
      <c r="AM361" s="82"/>
      <c r="AN361" s="82"/>
      <c r="AO361" s="82"/>
      <c r="AP361" s="82"/>
      <c r="AQ361" s="82"/>
      <c r="AR361" s="82"/>
      <c r="AS361" s="82"/>
      <c r="AT361" s="82"/>
      <c r="AU361" s="82"/>
      <c r="AV361" s="82"/>
      <c r="AW361" s="82"/>
      <c r="AX361" s="79"/>
      <c r="AY361" s="82"/>
      <c r="AZ361" s="82"/>
      <c r="BA361" s="82"/>
      <c r="BB361" s="82"/>
      <c r="BC361" s="82"/>
      <c r="BD361" s="82"/>
      <c r="BE361" s="82"/>
      <c r="BF361" s="82"/>
      <c r="BG361" s="82"/>
      <c r="BH361" s="1"/>
    </row>
    <row r="362" spans="1:60">
      <c r="A362" s="1040"/>
      <c r="B362" s="1109" t="s">
        <v>1221</v>
      </c>
      <c r="C362" s="1106" t="s">
        <v>96</v>
      </c>
      <c r="D362" s="638"/>
      <c r="E362" s="1184"/>
      <c r="F362" s="79"/>
      <c r="G362" s="79"/>
      <c r="H362" s="85"/>
      <c r="I362" s="79"/>
      <c r="J362" s="1088"/>
      <c r="K362" s="79"/>
      <c r="L362" s="79"/>
      <c r="M362" s="113"/>
      <c r="N362" s="79"/>
      <c r="O362" s="1087"/>
      <c r="P362" s="1087"/>
      <c r="Q362" s="1087"/>
      <c r="R362" s="1087"/>
      <c r="S362" s="1087"/>
      <c r="T362" s="1087"/>
      <c r="U362" s="1087"/>
      <c r="V362" s="1087"/>
      <c r="W362" s="1087"/>
      <c r="X362" s="82"/>
      <c r="Y362" s="82"/>
      <c r="Z362" s="79"/>
      <c r="AA362" s="79"/>
      <c r="AB362" s="79"/>
      <c r="AC362" s="79"/>
      <c r="AD362" s="79"/>
      <c r="AE362" s="79"/>
      <c r="AF362" s="79"/>
      <c r="AG362" s="79"/>
      <c r="AH362" s="79"/>
      <c r="AI362" s="79"/>
      <c r="AJ362" s="79"/>
      <c r="AK362" s="113"/>
      <c r="AL362" s="79"/>
      <c r="AM362" s="82"/>
      <c r="AN362" s="82"/>
      <c r="AO362" s="82"/>
      <c r="AP362" s="82"/>
      <c r="AQ362" s="82"/>
      <c r="AR362" s="82"/>
      <c r="AS362" s="82"/>
      <c r="AT362" s="82"/>
      <c r="AU362" s="82"/>
      <c r="AV362" s="82"/>
      <c r="AW362" s="82"/>
      <c r="AX362" s="79"/>
      <c r="AY362" s="82"/>
      <c r="AZ362" s="82"/>
      <c r="BA362" s="82"/>
      <c r="BB362" s="82"/>
      <c r="BC362" s="82"/>
      <c r="BD362" s="82"/>
      <c r="BE362" s="82"/>
      <c r="BF362" s="82"/>
      <c r="BG362" s="82"/>
      <c r="BH362" s="1"/>
    </row>
    <row r="363" spans="1:60" ht="21">
      <c r="A363" s="1040"/>
      <c r="B363" s="1109" t="s">
        <v>1221</v>
      </c>
      <c r="C363" s="1106" t="s">
        <v>96</v>
      </c>
      <c r="D363" s="645" t="s">
        <v>45</v>
      </c>
      <c r="E363" s="209" t="s">
        <v>1362</v>
      </c>
      <c r="F363" s="209"/>
      <c r="G363" s="209"/>
      <c r="H363" s="1188" t="str">
        <f>IF(OR($F$5&lt;&gt;"NTA8800:2026",$F$6&lt;&gt;"EP"),"Voor correcte EP: Kies linksboven 'NTA8800:2026' en 'EP'","")</f>
        <v/>
      </c>
      <c r="I363" s="129"/>
      <c r="J363" s="256"/>
      <c r="K363" s="126"/>
      <c r="L363" s="126"/>
      <c r="M363" s="256" t="str">
        <f>"MWh "&amp;M$8</f>
        <v>MWh locatie 1</v>
      </c>
      <c r="N363" s="182"/>
      <c r="O363" s="955" t="str">
        <f>$E363&amp;" per woning-/gebouwtype"</f>
        <v>primair totaal energiegebruik ZEB per woning-/gebouwtype</v>
      </c>
      <c r="P363" s="945"/>
      <c r="Q363" s="945"/>
      <c r="R363" s="945"/>
      <c r="S363" s="945"/>
      <c r="T363" s="945"/>
      <c r="U363" s="945"/>
      <c r="V363" s="945"/>
      <c r="W363" s="257"/>
      <c r="X363" s="82"/>
      <c r="Y363" s="256" t="str">
        <f>"MWh "&amp;Y$8</f>
        <v>MWh locatie 2</v>
      </c>
      <c r="Z363" s="182"/>
      <c r="AA363" s="955" t="str">
        <f>$E363&amp;" per woning-/gebouwtype"</f>
        <v>primair totaal energiegebruik ZEB per woning-/gebouwtype</v>
      </c>
      <c r="AB363" s="945"/>
      <c r="AC363" s="945"/>
      <c r="AD363" s="945"/>
      <c r="AE363" s="945"/>
      <c r="AF363" s="945"/>
      <c r="AG363" s="945"/>
      <c r="AH363" s="945"/>
      <c r="AI363" s="257"/>
      <c r="AJ363" s="79"/>
      <c r="AK363" s="256" t="str">
        <f>"MWh "&amp;AK$8</f>
        <v>MWh locatie 3</v>
      </c>
      <c r="AL363" s="182"/>
      <c r="AM363" s="955" t="str">
        <f>$E363&amp;" per woning-/gebouwtype"</f>
        <v>primair totaal energiegebruik ZEB per woning-/gebouwtype</v>
      </c>
      <c r="AN363" s="945"/>
      <c r="AO363" s="945"/>
      <c r="AP363" s="945"/>
      <c r="AQ363" s="945"/>
      <c r="AR363" s="945"/>
      <c r="AS363" s="945"/>
      <c r="AT363" s="945"/>
      <c r="AU363" s="257"/>
      <c r="AV363" s="82"/>
      <c r="AW363" s="256" t="str">
        <f>"MWh "&amp;AW$8</f>
        <v>MWh locatie 4</v>
      </c>
      <c r="AX363" s="182"/>
      <c r="AY363" s="955" t="str">
        <f>$E363&amp;" per woning-/gebouwtype"</f>
        <v>primair totaal energiegebruik ZEB per woning-/gebouwtype</v>
      </c>
      <c r="AZ363" s="945"/>
      <c r="BA363" s="945"/>
      <c r="BB363" s="945"/>
      <c r="BC363" s="945"/>
      <c r="BD363" s="945"/>
      <c r="BE363" s="945"/>
      <c r="BF363" s="945"/>
      <c r="BG363" s="257"/>
      <c r="BH363" s="1"/>
    </row>
    <row r="364" spans="1:60">
      <c r="A364" s="1040"/>
      <c r="B364" s="1109" t="s">
        <v>1221</v>
      </c>
      <c r="C364" s="1106" t="s">
        <v>96</v>
      </c>
      <c r="D364" s="645"/>
      <c r="E364" s="942" t="s">
        <v>1330</v>
      </c>
      <c r="F364" s="942"/>
      <c r="G364" s="942"/>
      <c r="H364" s="942"/>
      <c r="I364" s="129"/>
      <c r="J364" s="943"/>
      <c r="K364" s="126"/>
      <c r="L364" s="126"/>
      <c r="M364" s="944"/>
      <c r="N364" s="195"/>
      <c r="O364" s="258" t="str">
        <f>O$17</f>
        <v/>
      </c>
      <c r="P364" s="258" t="str">
        <f t="shared" ref="P364:W364" si="523">P$17</f>
        <v/>
      </c>
      <c r="Q364" s="258" t="str">
        <f t="shared" si="523"/>
        <v/>
      </c>
      <c r="R364" s="258" t="str">
        <f t="shared" si="523"/>
        <v/>
      </c>
      <c r="S364" s="258" t="str">
        <f t="shared" si="523"/>
        <v/>
      </c>
      <c r="T364" s="258" t="str">
        <f t="shared" si="523"/>
        <v/>
      </c>
      <c r="U364" s="258" t="str">
        <f t="shared" si="523"/>
        <v/>
      </c>
      <c r="V364" s="258" t="str">
        <f t="shared" si="523"/>
        <v/>
      </c>
      <c r="W364" s="258" t="str">
        <f t="shared" si="523"/>
        <v/>
      </c>
      <c r="X364" s="82"/>
      <c r="Y364" s="944"/>
      <c r="Z364" s="195"/>
      <c r="AA364" s="258" t="str">
        <f>AA$17</f>
        <v/>
      </c>
      <c r="AB364" s="258" t="str">
        <f t="shared" ref="AB364:AI364" si="524">AB$17</f>
        <v/>
      </c>
      <c r="AC364" s="258" t="str">
        <f t="shared" si="524"/>
        <v/>
      </c>
      <c r="AD364" s="258" t="str">
        <f t="shared" si="524"/>
        <v/>
      </c>
      <c r="AE364" s="258" t="str">
        <f t="shared" si="524"/>
        <v/>
      </c>
      <c r="AF364" s="258" t="str">
        <f t="shared" si="524"/>
        <v/>
      </c>
      <c r="AG364" s="258" t="str">
        <f t="shared" si="524"/>
        <v/>
      </c>
      <c r="AH364" s="258" t="str">
        <f t="shared" si="524"/>
        <v/>
      </c>
      <c r="AI364" s="258" t="str">
        <f t="shared" si="524"/>
        <v/>
      </c>
      <c r="AJ364" s="79"/>
      <c r="AK364" s="944"/>
      <c r="AL364" s="195"/>
      <c r="AM364" s="258" t="str">
        <f>AM$17</f>
        <v/>
      </c>
      <c r="AN364" s="258" t="str">
        <f t="shared" ref="AN364:AU364" si="525">AN$17</f>
        <v/>
      </c>
      <c r="AO364" s="258" t="str">
        <f t="shared" si="525"/>
        <v/>
      </c>
      <c r="AP364" s="258" t="str">
        <f t="shared" si="525"/>
        <v/>
      </c>
      <c r="AQ364" s="258" t="str">
        <f t="shared" si="525"/>
        <v/>
      </c>
      <c r="AR364" s="258" t="str">
        <f t="shared" si="525"/>
        <v/>
      </c>
      <c r="AS364" s="258" t="str">
        <f t="shared" si="525"/>
        <v/>
      </c>
      <c r="AT364" s="258" t="str">
        <f t="shared" si="525"/>
        <v/>
      </c>
      <c r="AU364" s="258" t="str">
        <f t="shared" si="525"/>
        <v/>
      </c>
      <c r="AV364" s="82"/>
      <c r="AW364" s="944"/>
      <c r="AX364" s="195"/>
      <c r="AY364" s="258" t="str">
        <f>AY$17</f>
        <v/>
      </c>
      <c r="AZ364" s="258" t="str">
        <f t="shared" ref="AZ364:BG364" si="526">AZ$17</f>
        <v/>
      </c>
      <c r="BA364" s="258" t="str">
        <f t="shared" si="526"/>
        <v/>
      </c>
      <c r="BB364" s="258" t="str">
        <f t="shared" si="526"/>
        <v/>
      </c>
      <c r="BC364" s="258" t="str">
        <f t="shared" si="526"/>
        <v/>
      </c>
      <c r="BD364" s="258" t="str">
        <f t="shared" si="526"/>
        <v/>
      </c>
      <c r="BE364" s="258" t="str">
        <f t="shared" si="526"/>
        <v/>
      </c>
      <c r="BF364" s="258" t="str">
        <f t="shared" si="526"/>
        <v/>
      </c>
      <c r="BG364" s="258" t="str">
        <f t="shared" si="526"/>
        <v/>
      </c>
      <c r="BH364" s="1"/>
    </row>
    <row r="365" spans="1:60">
      <c r="A365" s="1040"/>
      <c r="B365" s="1109" t="s">
        <v>1221</v>
      </c>
      <c r="C365" s="1107" t="s">
        <v>104</v>
      </c>
      <c r="D365" s="645"/>
      <c r="E365" s="304" t="str">
        <f>$O$10</f>
        <v>verwarming</v>
      </c>
      <c r="F365" s="180"/>
      <c r="G365" s="180"/>
      <c r="H365" s="201" t="s">
        <v>1207</v>
      </c>
      <c r="I365" s="114"/>
      <c r="J365" s="190"/>
      <c r="K365" s="1092"/>
      <c r="L365" s="1092"/>
      <c r="M365" s="190">
        <f>SUMPRODUCT(N365:X365,N$22:X$22,N$29:X$29)/1000</f>
        <v>0</v>
      </c>
      <c r="N365" s="119"/>
      <c r="O365" s="183">
        <f>IF(OR(O$22=0,$O$78=0),0,
(($O$126+$O$157+$O$178)/$O$78)*O$62)</f>
        <v>0</v>
      </c>
      <c r="P365" s="183">
        <f t="shared" ref="P365:W365" si="527">IF(OR(P$22=0,$O$78=0),0,
(($O$126+$O$157+$O$178)/$O$78)*P$62)</f>
        <v>0</v>
      </c>
      <c r="Q365" s="183">
        <f t="shared" si="527"/>
        <v>0</v>
      </c>
      <c r="R365" s="183">
        <f t="shared" si="527"/>
        <v>0</v>
      </c>
      <c r="S365" s="183">
        <f t="shared" si="527"/>
        <v>0</v>
      </c>
      <c r="T365" s="183">
        <f t="shared" si="527"/>
        <v>0</v>
      </c>
      <c r="U365" s="183">
        <f t="shared" si="527"/>
        <v>0</v>
      </c>
      <c r="V365" s="183">
        <f t="shared" si="527"/>
        <v>0</v>
      </c>
      <c r="W365" s="183">
        <f t="shared" si="527"/>
        <v>0</v>
      </c>
      <c r="X365" s="108"/>
      <c r="Y365" s="190">
        <f>SUMPRODUCT(Z365:AJ365,Z$22:AJ$22,Z$29:AJ$29)/1000</f>
        <v>0</v>
      </c>
      <c r="Z365" s="119"/>
      <c r="AA365" s="183">
        <f>IF(OR(AA$22=0,$AA$78=0),0,
(($AA$126+$AA$157+$AA$178)/$AA$78)*AA$62)</f>
        <v>0</v>
      </c>
      <c r="AB365" s="183">
        <f t="shared" ref="AB365:AI365" si="528">IF(OR(AB$22=0,$AA$78=0),0,
(($AA$126+$AA$157+$AA$178)/$AA$78)*AB$62)</f>
        <v>0</v>
      </c>
      <c r="AC365" s="183">
        <f t="shared" si="528"/>
        <v>0</v>
      </c>
      <c r="AD365" s="183">
        <f t="shared" si="528"/>
        <v>0</v>
      </c>
      <c r="AE365" s="183">
        <f t="shared" si="528"/>
        <v>0</v>
      </c>
      <c r="AF365" s="183">
        <f t="shared" si="528"/>
        <v>0</v>
      </c>
      <c r="AG365" s="183">
        <f t="shared" si="528"/>
        <v>0</v>
      </c>
      <c r="AH365" s="183">
        <f t="shared" si="528"/>
        <v>0</v>
      </c>
      <c r="AI365" s="183">
        <f t="shared" si="528"/>
        <v>0</v>
      </c>
      <c r="AJ365" s="1051"/>
      <c r="AK365" s="190">
        <f>SUMPRODUCT(AL365:AV365,AL$22:AV$22,AL$29:AV$29)/1000</f>
        <v>0</v>
      </c>
      <c r="AL365" s="119"/>
      <c r="AM365" s="183">
        <f>IF(OR(AM$22=0,$AM$78=0),0,
(($AM$126+$AM$157+$AM$178)/$AM$78)*AM$62)</f>
        <v>0</v>
      </c>
      <c r="AN365" s="183">
        <f t="shared" ref="AN365:AU365" si="529">IF(OR(AN$22=0,$AM$78=0),0,
(($AM$126+$AM$157+$AM$178)/$AM$78)*AN$62)</f>
        <v>0</v>
      </c>
      <c r="AO365" s="183">
        <f t="shared" si="529"/>
        <v>0</v>
      </c>
      <c r="AP365" s="183">
        <f t="shared" si="529"/>
        <v>0</v>
      </c>
      <c r="AQ365" s="183">
        <f t="shared" si="529"/>
        <v>0</v>
      </c>
      <c r="AR365" s="183">
        <f t="shared" si="529"/>
        <v>0</v>
      </c>
      <c r="AS365" s="183">
        <f t="shared" si="529"/>
        <v>0</v>
      </c>
      <c r="AT365" s="183">
        <f t="shared" si="529"/>
        <v>0</v>
      </c>
      <c r="AU365" s="183">
        <f t="shared" si="529"/>
        <v>0</v>
      </c>
      <c r="AV365" s="108"/>
      <c r="AW365" s="190">
        <f>SUMPRODUCT(AX365:BH365,AX$22:BH$22,AX$29:BH$29)/1000</f>
        <v>0</v>
      </c>
      <c r="AX365" s="119"/>
      <c r="AY365" s="183">
        <f>IF(OR(AY$22=0,$AY$78=0),0,
(($AY$126+$AY$157+$AY$178)/$AY$78)*AY$62)</f>
        <v>0</v>
      </c>
      <c r="AZ365" s="183">
        <f t="shared" ref="AZ365:BG365" si="530">IF(OR(AZ$22=0,$AY$78=0),0,
(($AY$126+$AY$157+$AY$178)/$AY$78)*AZ$62)</f>
        <v>0</v>
      </c>
      <c r="BA365" s="183">
        <f t="shared" si="530"/>
        <v>0</v>
      </c>
      <c r="BB365" s="183">
        <f t="shared" si="530"/>
        <v>0</v>
      </c>
      <c r="BC365" s="183">
        <f t="shared" si="530"/>
        <v>0</v>
      </c>
      <c r="BD365" s="183">
        <f t="shared" si="530"/>
        <v>0</v>
      </c>
      <c r="BE365" s="183">
        <f t="shared" si="530"/>
        <v>0</v>
      </c>
      <c r="BF365" s="183">
        <f t="shared" si="530"/>
        <v>0</v>
      </c>
      <c r="BG365" s="183">
        <f t="shared" si="530"/>
        <v>0</v>
      </c>
      <c r="BH365" s="1"/>
    </row>
    <row r="366" spans="1:60">
      <c r="A366" s="1040"/>
      <c r="B366" s="1109" t="s">
        <v>1221</v>
      </c>
      <c r="C366" s="1107" t="s">
        <v>104</v>
      </c>
      <c r="D366" s="645"/>
      <c r="E366" s="304" t="str">
        <f>$P$10</f>
        <v>koeling</v>
      </c>
      <c r="F366" s="180"/>
      <c r="G366" s="180"/>
      <c r="H366" s="201" t="s">
        <v>1207</v>
      </c>
      <c r="I366" s="114"/>
      <c r="J366" s="190"/>
      <c r="K366" s="1092"/>
      <c r="L366" s="1092"/>
      <c r="M366" s="190">
        <f t="shared" ref="M366:M374" si="531">SUMPRODUCT(N366:X366,N$22:X$22,N$29:X$29)/1000</f>
        <v>0</v>
      </c>
      <c r="N366" s="119"/>
      <c r="O366" s="183">
        <f t="shared" ref="O366:W366" si="532">IF(OR(O$22=0,$P$78=0),0,
(($P$126+$P$157+$P$178)/$P$78)*O64)</f>
        <v>0</v>
      </c>
      <c r="P366" s="183">
        <f t="shared" si="532"/>
        <v>0</v>
      </c>
      <c r="Q366" s="183">
        <f t="shared" si="532"/>
        <v>0</v>
      </c>
      <c r="R366" s="183">
        <f t="shared" si="532"/>
        <v>0</v>
      </c>
      <c r="S366" s="183">
        <f t="shared" si="532"/>
        <v>0</v>
      </c>
      <c r="T366" s="183">
        <f t="shared" si="532"/>
        <v>0</v>
      </c>
      <c r="U366" s="183">
        <f t="shared" si="532"/>
        <v>0</v>
      </c>
      <c r="V366" s="183">
        <f t="shared" si="532"/>
        <v>0</v>
      </c>
      <c r="W366" s="183">
        <f t="shared" si="532"/>
        <v>0</v>
      </c>
      <c r="X366" s="108"/>
      <c r="Y366" s="190">
        <f t="shared" ref="Y366:Y374" si="533">SUMPRODUCT(Z366:AJ366,Z$22:AJ$22,Z$29:AJ$29)/1000</f>
        <v>0</v>
      </c>
      <c r="Z366" s="119"/>
      <c r="AA366" s="183">
        <f t="shared" ref="AA366:AI366" si="534">IF(OR(AA$22=0,$AB$78=0),0,
(($AB$126+$AB$157+$AB$178)/$AB$78)*AA64)</f>
        <v>0</v>
      </c>
      <c r="AB366" s="183">
        <f t="shared" si="534"/>
        <v>0</v>
      </c>
      <c r="AC366" s="183">
        <f t="shared" si="534"/>
        <v>0</v>
      </c>
      <c r="AD366" s="183">
        <f t="shared" si="534"/>
        <v>0</v>
      </c>
      <c r="AE366" s="183">
        <f t="shared" si="534"/>
        <v>0</v>
      </c>
      <c r="AF366" s="183">
        <f t="shared" si="534"/>
        <v>0</v>
      </c>
      <c r="AG366" s="183">
        <f t="shared" si="534"/>
        <v>0</v>
      </c>
      <c r="AH366" s="183">
        <f t="shared" si="534"/>
        <v>0</v>
      </c>
      <c r="AI366" s="183">
        <f t="shared" si="534"/>
        <v>0</v>
      </c>
      <c r="AJ366" s="1051"/>
      <c r="AK366" s="190">
        <f t="shared" ref="AK366:AK374" si="535">SUMPRODUCT(AL366:AV366,AL$22:AV$22,AL$29:AV$29)/1000</f>
        <v>0</v>
      </c>
      <c r="AL366" s="119"/>
      <c r="AM366" s="183">
        <f t="shared" ref="AM366:AU366" si="536">IF(OR(AM$22=0,$AN$78=0),0,
(($AN$126+$AN$157+$AN$178)/$AN$78)*AM64)</f>
        <v>0</v>
      </c>
      <c r="AN366" s="183">
        <f t="shared" si="536"/>
        <v>0</v>
      </c>
      <c r="AO366" s="183">
        <f t="shared" si="536"/>
        <v>0</v>
      </c>
      <c r="AP366" s="183">
        <f t="shared" si="536"/>
        <v>0</v>
      </c>
      <c r="AQ366" s="183">
        <f t="shared" si="536"/>
        <v>0</v>
      </c>
      <c r="AR366" s="183">
        <f t="shared" si="536"/>
        <v>0</v>
      </c>
      <c r="AS366" s="183">
        <f t="shared" si="536"/>
        <v>0</v>
      </c>
      <c r="AT366" s="183">
        <f t="shared" si="536"/>
        <v>0</v>
      </c>
      <c r="AU366" s="183">
        <f t="shared" si="536"/>
        <v>0</v>
      </c>
      <c r="AV366" s="108"/>
      <c r="AW366" s="190">
        <f t="shared" ref="AW366:AW374" si="537">SUMPRODUCT(AX366:BH366,AX$22:BH$22,AX$29:BH$29)/1000</f>
        <v>0</v>
      </c>
      <c r="AX366" s="119"/>
      <c r="AY366" s="183">
        <f t="shared" ref="AY366:BG366" si="538">IF(OR(AY$22=0,$AZ$78=0),0,
(($AZ$126+$AZ$157+$AZ$178)/$AZ$78)*AY64)</f>
        <v>0</v>
      </c>
      <c r="AZ366" s="183">
        <f t="shared" si="538"/>
        <v>0</v>
      </c>
      <c r="BA366" s="183">
        <f t="shared" si="538"/>
        <v>0</v>
      </c>
      <c r="BB366" s="183">
        <f t="shared" si="538"/>
        <v>0</v>
      </c>
      <c r="BC366" s="183">
        <f t="shared" si="538"/>
        <v>0</v>
      </c>
      <c r="BD366" s="183">
        <f t="shared" si="538"/>
        <v>0</v>
      </c>
      <c r="BE366" s="183">
        <f t="shared" si="538"/>
        <v>0</v>
      </c>
      <c r="BF366" s="183">
        <f t="shared" si="538"/>
        <v>0</v>
      </c>
      <c r="BG366" s="183">
        <f t="shared" si="538"/>
        <v>0</v>
      </c>
      <c r="BH366" s="1"/>
    </row>
    <row r="367" spans="1:60">
      <c r="A367" s="1040"/>
      <c r="B367" s="1109" t="s">
        <v>1221</v>
      </c>
      <c r="C367" s="1107" t="s">
        <v>104</v>
      </c>
      <c r="D367" s="645"/>
      <c r="E367" s="304" t="str">
        <f>$Q$10</f>
        <v>tapwater</v>
      </c>
      <c r="F367" s="180"/>
      <c r="G367" s="180"/>
      <c r="H367" s="201" t="s">
        <v>1207</v>
      </c>
      <c r="I367" s="114"/>
      <c r="J367" s="190"/>
      <c r="K367" s="1092"/>
      <c r="L367" s="1092"/>
      <c r="M367" s="190">
        <f t="shared" si="531"/>
        <v>0</v>
      </c>
      <c r="N367" s="119"/>
      <c r="O367" s="183">
        <f>IF(O$22=0,0,
(($Q$126+$Q$157+$Q$178)/$Q$78)*O$65)</f>
        <v>0</v>
      </c>
      <c r="P367" s="183">
        <f t="shared" ref="P367:W367" si="539">IF(P$22=0,0,
(($Q$126+$Q$157+$Q$178)/$Q$78)*P$65)</f>
        <v>0</v>
      </c>
      <c r="Q367" s="183">
        <f t="shared" si="539"/>
        <v>0</v>
      </c>
      <c r="R367" s="183">
        <f t="shared" si="539"/>
        <v>0</v>
      </c>
      <c r="S367" s="183">
        <f t="shared" si="539"/>
        <v>0</v>
      </c>
      <c r="T367" s="183">
        <f t="shared" si="539"/>
        <v>0</v>
      </c>
      <c r="U367" s="183">
        <f t="shared" si="539"/>
        <v>0</v>
      </c>
      <c r="V367" s="183">
        <f t="shared" si="539"/>
        <v>0</v>
      </c>
      <c r="W367" s="183">
        <f t="shared" si="539"/>
        <v>0</v>
      </c>
      <c r="X367" s="108"/>
      <c r="Y367" s="190">
        <f t="shared" si="533"/>
        <v>0</v>
      </c>
      <c r="Z367" s="119"/>
      <c r="AA367" s="183">
        <f>IF(AA$22=0,0,
(($AC$126+$AC$157+$AC$178)/$AC$78)*AA$65)</f>
        <v>0</v>
      </c>
      <c r="AB367" s="183">
        <f t="shared" ref="AB367:AI367" si="540">IF(AB$22=0,0,
(($AC$126+$AC$157+$AC$178)/$AC$78)*AB$65)</f>
        <v>0</v>
      </c>
      <c r="AC367" s="183">
        <f t="shared" si="540"/>
        <v>0</v>
      </c>
      <c r="AD367" s="183">
        <f t="shared" si="540"/>
        <v>0</v>
      </c>
      <c r="AE367" s="183">
        <f t="shared" si="540"/>
        <v>0</v>
      </c>
      <c r="AF367" s="183">
        <f t="shared" si="540"/>
        <v>0</v>
      </c>
      <c r="AG367" s="183">
        <f t="shared" si="540"/>
        <v>0</v>
      </c>
      <c r="AH367" s="183">
        <f t="shared" si="540"/>
        <v>0</v>
      </c>
      <c r="AI367" s="183">
        <f t="shared" si="540"/>
        <v>0</v>
      </c>
      <c r="AJ367" s="1051"/>
      <c r="AK367" s="190">
        <f t="shared" si="535"/>
        <v>0</v>
      </c>
      <c r="AL367" s="119"/>
      <c r="AM367" s="183">
        <f>IF(AM$22=0,0,
(($AO$126+$AO$157+$AO$178)/$AO$78)*AM$65)</f>
        <v>0</v>
      </c>
      <c r="AN367" s="183">
        <f t="shared" ref="AN367:AU367" si="541">IF(AN$22=0,0,
(($AO$126+$AO$157+$AO$178)/$AO$78)*AN$65)</f>
        <v>0</v>
      </c>
      <c r="AO367" s="183">
        <f t="shared" si="541"/>
        <v>0</v>
      </c>
      <c r="AP367" s="183">
        <f t="shared" si="541"/>
        <v>0</v>
      </c>
      <c r="AQ367" s="183">
        <f t="shared" si="541"/>
        <v>0</v>
      </c>
      <c r="AR367" s="183">
        <f t="shared" si="541"/>
        <v>0</v>
      </c>
      <c r="AS367" s="183">
        <f t="shared" si="541"/>
        <v>0</v>
      </c>
      <c r="AT367" s="183">
        <f t="shared" si="541"/>
        <v>0</v>
      </c>
      <c r="AU367" s="183">
        <f t="shared" si="541"/>
        <v>0</v>
      </c>
      <c r="AV367" s="108"/>
      <c r="AW367" s="190">
        <f t="shared" si="537"/>
        <v>0</v>
      </c>
      <c r="AX367" s="119"/>
      <c r="AY367" s="183">
        <f>IF(AY$22=0,0,
(($BA$126+$BA$157+$BA$178)/$BA$78)*AY$65)</f>
        <v>0</v>
      </c>
      <c r="AZ367" s="183">
        <f t="shared" ref="AZ367:BF367" si="542">IF(AZ$22=0,0,
(($BA$126+$BA$157+$BA$178)/$BA$78)*AZ$65)</f>
        <v>0</v>
      </c>
      <c r="BA367" s="183">
        <f t="shared" si="542"/>
        <v>0</v>
      </c>
      <c r="BB367" s="183">
        <f t="shared" si="542"/>
        <v>0</v>
      </c>
      <c r="BC367" s="183">
        <f t="shared" si="542"/>
        <v>0</v>
      </c>
      <c r="BD367" s="183">
        <f t="shared" si="542"/>
        <v>0</v>
      </c>
      <c r="BE367" s="183">
        <f t="shared" si="542"/>
        <v>0</v>
      </c>
      <c r="BF367" s="183">
        <f t="shared" si="542"/>
        <v>0</v>
      </c>
      <c r="BG367" s="183">
        <f>IF(BG$22=0,0,
(($BA$126+$BA$157+$BA$178)/$BA$78)*BG$65)</f>
        <v>0</v>
      </c>
      <c r="BH367" s="1"/>
    </row>
    <row r="368" spans="1:60">
      <c r="A368" s="1040"/>
      <c r="B368" s="1109" t="s">
        <v>1221</v>
      </c>
      <c r="C368" s="1107" t="s">
        <v>104</v>
      </c>
      <c r="D368" s="645"/>
      <c r="E368" s="304" t="str">
        <f>$R$10</f>
        <v>verlichting</v>
      </c>
      <c r="F368" s="180"/>
      <c r="G368" s="180"/>
      <c r="H368" s="201" t="s">
        <v>1207</v>
      </c>
      <c r="I368" s="114"/>
      <c r="J368" s="190"/>
      <c r="K368" s="1092"/>
      <c r="L368" s="1092"/>
      <c r="M368" s="190">
        <f t="shared" si="531"/>
        <v>0</v>
      </c>
      <c r="N368" s="119"/>
      <c r="O368" s="183">
        <f>IF(OR(O$19=woning,O$19=woongebouw,O$22=0),0,O66*bibliotheek!$I$307)</f>
        <v>0</v>
      </c>
      <c r="P368" s="183">
        <f>IF(OR(P$19=woning,P$19=woongebouw,P$22=0),0,P66*bibliotheek!$I$307)</f>
        <v>0</v>
      </c>
      <c r="Q368" s="183">
        <f>IF(OR(Q$19=woning,Q$19=woongebouw,Q$22=0),0,Q66*bibliotheek!$I$307)</f>
        <v>0</v>
      </c>
      <c r="R368" s="183">
        <f>IF(OR(R$19=woning,R$19=woongebouw,R$22=0),0,R66*bibliotheek!$I$307)</f>
        <v>0</v>
      </c>
      <c r="S368" s="183">
        <f>IF(OR(S$19=woning,S$19=woongebouw,S$22=0),0,S66*bibliotheek!$I$307)</f>
        <v>0</v>
      </c>
      <c r="T368" s="183">
        <f>IF(OR(T$19=woning,T$19=woongebouw,T$22=0),0,T66*bibliotheek!$I$307)</f>
        <v>0</v>
      </c>
      <c r="U368" s="183">
        <f>IF(OR(U$19=woning,U$19=woongebouw,U$22=0),0,U66*bibliotheek!$I$307)</f>
        <v>0</v>
      </c>
      <c r="V368" s="183">
        <f>IF(OR(V$19=woning,V$19=woongebouw,V$22=0),0,V66*bibliotheek!$I$307)</f>
        <v>0</v>
      </c>
      <c r="W368" s="183">
        <f>IF(OR(W$19=woning,W$19=woongebouw,W$22=0),0,W66*bibliotheek!$I$307)</f>
        <v>0</v>
      </c>
      <c r="X368" s="108"/>
      <c r="Y368" s="190">
        <f t="shared" si="533"/>
        <v>0</v>
      </c>
      <c r="Z368" s="119"/>
      <c r="AA368" s="183">
        <f>IF(OR(AA$19=woning,AA$19=woongebouw,AA$22=0),0,AA66*bibliotheek!$I$307)</f>
        <v>0</v>
      </c>
      <c r="AB368" s="183">
        <f>IF(OR(AB$19=woning,AB$19=woongebouw,AB$22=0),0,AB66*bibliotheek!$I$307)</f>
        <v>0</v>
      </c>
      <c r="AC368" s="183">
        <f>IF(OR(AC$19=woning,AC$19=woongebouw,AC$22=0),0,AC66*bibliotheek!$I$307)</f>
        <v>0</v>
      </c>
      <c r="AD368" s="183">
        <f>IF(OR(AD$19=woning,AD$19=woongebouw,AD$22=0),0,AD66*bibliotheek!$I$307)</f>
        <v>0</v>
      </c>
      <c r="AE368" s="183">
        <f>IF(OR(AE$19=woning,AE$19=woongebouw,AE$22=0),0,AE66*bibliotheek!$I$307)</f>
        <v>0</v>
      </c>
      <c r="AF368" s="183">
        <f>IF(OR(AF$19=woning,AF$19=woongebouw,AF$22=0),0,AF66*bibliotheek!$I$307)</f>
        <v>0</v>
      </c>
      <c r="AG368" s="183">
        <f>IF(OR(AG$19=woning,AG$19=woongebouw,AG$22=0),0,AG66*bibliotheek!$I$307)</f>
        <v>0</v>
      </c>
      <c r="AH368" s="183">
        <f>IF(OR(AH$19=woning,AH$19=woongebouw,AH$22=0),0,AH66*bibliotheek!$I$307)</f>
        <v>0</v>
      </c>
      <c r="AI368" s="183">
        <f>IF(OR(AI$19=woning,AI$19=woongebouw,AI$22=0),0,AI66*bibliotheek!$I$307)</f>
        <v>0</v>
      </c>
      <c r="AJ368" s="1051"/>
      <c r="AK368" s="190">
        <f t="shared" si="535"/>
        <v>0</v>
      </c>
      <c r="AL368" s="119"/>
      <c r="AM368" s="183">
        <f>IF(OR(AM$19=woning,AM$19=woongebouw,AM$22=0),0,AM66*bibliotheek!$I$307)</f>
        <v>0</v>
      </c>
      <c r="AN368" s="183">
        <f>IF(OR(AN$19=woning,AN$19=woongebouw,AN$22=0),0,AN66*bibliotheek!$I$307)</f>
        <v>0</v>
      </c>
      <c r="AO368" s="183">
        <f>IF(OR(AO$19=woning,AO$19=woongebouw,AO$22=0),0,AO66*bibliotheek!$I$307)</f>
        <v>0</v>
      </c>
      <c r="AP368" s="183">
        <f>IF(OR(AP$19=woning,AP$19=woongebouw,AP$22=0),0,AP66*bibliotheek!$I$307)</f>
        <v>0</v>
      </c>
      <c r="AQ368" s="183">
        <f>IF(OR(AQ$19=woning,AQ$19=woongebouw,AQ$22=0),0,AQ66*bibliotheek!$I$307)</f>
        <v>0</v>
      </c>
      <c r="AR368" s="183">
        <f>IF(OR(AR$19=woning,AR$19=woongebouw,AR$22=0),0,AR66*bibliotheek!$I$307)</f>
        <v>0</v>
      </c>
      <c r="AS368" s="183">
        <f>IF(OR(AS$19=woning,AS$19=woongebouw,AS$22=0),0,AS66*bibliotheek!$I$307)</f>
        <v>0</v>
      </c>
      <c r="AT368" s="183">
        <f>IF(OR(AT$19=woning,AT$19=woongebouw,AT$22=0),0,AT66*bibliotheek!$I$307)</f>
        <v>0</v>
      </c>
      <c r="AU368" s="183">
        <f>IF(OR(AU$19=woning,AU$19=woongebouw,AU$22=0),0,AU66*bibliotheek!$I$307)</f>
        <v>0</v>
      </c>
      <c r="AV368" s="108"/>
      <c r="AW368" s="190">
        <f t="shared" si="537"/>
        <v>0</v>
      </c>
      <c r="AX368" s="119"/>
      <c r="AY368" s="183">
        <f>IF(OR(AY$19=woning,AY$19=woongebouw,AY$22=0),0,AY66*bibliotheek!$I$307)</f>
        <v>0</v>
      </c>
      <c r="AZ368" s="183">
        <f>IF(OR(AZ$19=woning,AZ$19=woongebouw,AZ$22=0),0,AZ66*bibliotheek!$I$307)</f>
        <v>0</v>
      </c>
      <c r="BA368" s="183">
        <f>IF(OR(BA$19=woning,BA$19=woongebouw,BA$22=0),0,BA66*bibliotheek!$I$307)</f>
        <v>0</v>
      </c>
      <c r="BB368" s="183">
        <f>IF(OR(BB$19=woning,BB$19=woongebouw,BB$22=0),0,BB66*bibliotheek!$I$307)</f>
        <v>0</v>
      </c>
      <c r="BC368" s="183">
        <f>IF(OR(BC$19=woning,BC$19=woongebouw,BC$22=0),0,BC66*bibliotheek!$I$307)</f>
        <v>0</v>
      </c>
      <c r="BD368" s="183">
        <f>IF(OR(BD$19=woning,BD$19=woongebouw,BD$22=0),0,BD66*bibliotheek!$I$307)</f>
        <v>0</v>
      </c>
      <c r="BE368" s="183">
        <f>IF(OR(BE$19=woning,BE$19=woongebouw,BE$22=0),0,BE66*bibliotheek!$I$307)</f>
        <v>0</v>
      </c>
      <c r="BF368" s="183">
        <f>IF(OR(BF$19=woning,BF$19=woongebouw,BF$22=0),0,BF66*bibliotheek!$I$307)</f>
        <v>0</v>
      </c>
      <c r="BG368" s="183">
        <f>IF(OR(BG$19=woning,BG$19=woongebouw,BG$22=0),0,BG66*bibliotheek!$I$307)</f>
        <v>0</v>
      </c>
      <c r="BH368" s="1"/>
    </row>
    <row r="369" spans="1:60">
      <c r="A369" s="1040"/>
      <c r="B369" s="1109" t="s">
        <v>1221</v>
      </c>
      <c r="C369" s="1107" t="s">
        <v>104</v>
      </c>
      <c r="D369" s="645"/>
      <c r="E369" s="304" t="str">
        <f>$S$10</f>
        <v>ventilatoren</v>
      </c>
      <c r="F369" s="180"/>
      <c r="G369" s="180"/>
      <c r="H369" s="201" t="s">
        <v>1207</v>
      </c>
      <c r="I369" s="114"/>
      <c r="J369" s="190"/>
      <c r="K369" s="1092"/>
      <c r="L369" s="1092"/>
      <c r="M369" s="190">
        <f t="shared" si="531"/>
        <v>0</v>
      </c>
      <c r="N369" s="119"/>
      <c r="O369" s="183">
        <f>IF(OR(O$22=0,$S$78=0),0,$S$178/$S$78*O$67)</f>
        <v>0</v>
      </c>
      <c r="P369" s="183">
        <f t="shared" ref="P369:W369" si="543">IF(OR(P$22=0,$S$78=0),0,$S$178/$S$78*P$67)</f>
        <v>0</v>
      </c>
      <c r="Q369" s="183">
        <f t="shared" si="543"/>
        <v>0</v>
      </c>
      <c r="R369" s="183">
        <f t="shared" si="543"/>
        <v>0</v>
      </c>
      <c r="S369" s="183">
        <f t="shared" si="543"/>
        <v>0</v>
      </c>
      <c r="T369" s="183">
        <f t="shared" si="543"/>
        <v>0</v>
      </c>
      <c r="U369" s="183">
        <f t="shared" si="543"/>
        <v>0</v>
      </c>
      <c r="V369" s="183">
        <f t="shared" si="543"/>
        <v>0</v>
      </c>
      <c r="W369" s="183">
        <f t="shared" si="543"/>
        <v>0</v>
      </c>
      <c r="X369" s="108"/>
      <c r="Y369" s="190">
        <f t="shared" si="533"/>
        <v>0</v>
      </c>
      <c r="Z369" s="119"/>
      <c r="AA369" s="183">
        <f>IF(OR(AA$22=0,$AE$78=0),0,$AE$178/$AE$78*AA$67)</f>
        <v>0</v>
      </c>
      <c r="AB369" s="183">
        <f t="shared" ref="AB369:AI369" si="544">IF(OR(AB$22=0,$AE$78=0),0,$AE$178/$AE$78*AB$67)</f>
        <v>0</v>
      </c>
      <c r="AC369" s="183">
        <f t="shared" si="544"/>
        <v>0</v>
      </c>
      <c r="AD369" s="183">
        <f t="shared" si="544"/>
        <v>0</v>
      </c>
      <c r="AE369" s="183">
        <f t="shared" si="544"/>
        <v>0</v>
      </c>
      <c r="AF369" s="183">
        <f t="shared" si="544"/>
        <v>0</v>
      </c>
      <c r="AG369" s="183">
        <f t="shared" si="544"/>
        <v>0</v>
      </c>
      <c r="AH369" s="183">
        <f t="shared" si="544"/>
        <v>0</v>
      </c>
      <c r="AI369" s="183">
        <f t="shared" si="544"/>
        <v>0</v>
      </c>
      <c r="AJ369" s="1051"/>
      <c r="AK369" s="190">
        <f t="shared" si="535"/>
        <v>0</v>
      </c>
      <c r="AL369" s="119"/>
      <c r="AM369" s="183">
        <f>IF(OR(AM$22=0,$AQ$78=0),0,$AQ$178/$AQ$78*AM$67)</f>
        <v>0</v>
      </c>
      <c r="AN369" s="183">
        <f t="shared" ref="AN369:AU369" si="545">IF(OR(AN$22=0,$AQ$78=0),0,$AQ$178/$AQ$78*AN$67)</f>
        <v>0</v>
      </c>
      <c r="AO369" s="183">
        <f t="shared" si="545"/>
        <v>0</v>
      </c>
      <c r="AP369" s="183">
        <f t="shared" si="545"/>
        <v>0</v>
      </c>
      <c r="AQ369" s="183">
        <f t="shared" si="545"/>
        <v>0</v>
      </c>
      <c r="AR369" s="183">
        <f t="shared" si="545"/>
        <v>0</v>
      </c>
      <c r="AS369" s="183">
        <f t="shared" si="545"/>
        <v>0</v>
      </c>
      <c r="AT369" s="183">
        <f t="shared" si="545"/>
        <v>0</v>
      </c>
      <c r="AU369" s="183">
        <f t="shared" si="545"/>
        <v>0</v>
      </c>
      <c r="AV369" s="108"/>
      <c r="AW369" s="190">
        <f t="shared" si="537"/>
        <v>0</v>
      </c>
      <c r="AX369" s="119"/>
      <c r="AY369" s="183">
        <f>IF(OR(AY$22=0,$BC$78=0),0,$BC$178/$BC$78*AY$67)</f>
        <v>0</v>
      </c>
      <c r="AZ369" s="183">
        <f t="shared" ref="AZ369:BF369" si="546">IF(OR(AZ$22=0,$BC$78=0),0,$BC$178/$BC$78*AZ$67)</f>
        <v>0</v>
      </c>
      <c r="BA369" s="183">
        <f t="shared" si="546"/>
        <v>0</v>
      </c>
      <c r="BB369" s="183">
        <f t="shared" si="546"/>
        <v>0</v>
      </c>
      <c r="BC369" s="183">
        <f t="shared" si="546"/>
        <v>0</v>
      </c>
      <c r="BD369" s="183">
        <f t="shared" si="546"/>
        <v>0</v>
      </c>
      <c r="BE369" s="183">
        <f t="shared" si="546"/>
        <v>0</v>
      </c>
      <c r="BF369" s="183">
        <f t="shared" si="546"/>
        <v>0</v>
      </c>
      <c r="BG369" s="183">
        <f>IF(OR(BG$22=0,$BC$78=0),0,$BC$178/$BC$78*BG$67)</f>
        <v>0</v>
      </c>
      <c r="BH369" s="1"/>
    </row>
    <row r="370" spans="1:60">
      <c r="A370" s="1040"/>
      <c r="B370" s="1109" t="s">
        <v>1221</v>
      </c>
      <c r="C370" s="1107" t="s">
        <v>104</v>
      </c>
      <c r="D370" s="645"/>
      <c r="E370" s="203" t="s">
        <v>232</v>
      </c>
      <c r="F370" s="203"/>
      <c r="G370" s="180"/>
      <c r="H370" s="201" t="s">
        <v>1207</v>
      </c>
      <c r="I370" s="114"/>
      <c r="J370" s="190"/>
      <c r="K370" s="1092"/>
      <c r="L370" s="1092"/>
      <c r="M370" s="190">
        <f t="shared" si="531"/>
        <v>0</v>
      </c>
      <c r="N370" s="119"/>
      <c r="O370" s="183">
        <f t="shared" ref="O370:W370" si="547">SUM(O365:O369)</f>
        <v>0</v>
      </c>
      <c r="P370" s="183">
        <f t="shared" si="547"/>
        <v>0</v>
      </c>
      <c r="Q370" s="183">
        <f t="shared" si="547"/>
        <v>0</v>
      </c>
      <c r="R370" s="183">
        <f t="shared" si="547"/>
        <v>0</v>
      </c>
      <c r="S370" s="183">
        <f t="shared" si="547"/>
        <v>0</v>
      </c>
      <c r="T370" s="183">
        <f t="shared" si="547"/>
        <v>0</v>
      </c>
      <c r="U370" s="183">
        <f t="shared" si="547"/>
        <v>0</v>
      </c>
      <c r="V370" s="183">
        <f t="shared" si="547"/>
        <v>0</v>
      </c>
      <c r="W370" s="183">
        <f t="shared" si="547"/>
        <v>0</v>
      </c>
      <c r="X370" s="108"/>
      <c r="Y370" s="190">
        <f t="shared" si="533"/>
        <v>0</v>
      </c>
      <c r="Z370" s="119"/>
      <c r="AA370" s="183">
        <f t="shared" ref="AA370:AI370" si="548">SUM(AA365:AA369)</f>
        <v>0</v>
      </c>
      <c r="AB370" s="183">
        <f t="shared" si="548"/>
        <v>0</v>
      </c>
      <c r="AC370" s="183">
        <f t="shared" si="548"/>
        <v>0</v>
      </c>
      <c r="AD370" s="183">
        <f t="shared" si="548"/>
        <v>0</v>
      </c>
      <c r="AE370" s="183">
        <f t="shared" si="548"/>
        <v>0</v>
      </c>
      <c r="AF370" s="183">
        <f t="shared" si="548"/>
        <v>0</v>
      </c>
      <c r="AG370" s="183">
        <f t="shared" si="548"/>
        <v>0</v>
      </c>
      <c r="AH370" s="183">
        <f t="shared" si="548"/>
        <v>0</v>
      </c>
      <c r="AI370" s="183">
        <f t="shared" si="548"/>
        <v>0</v>
      </c>
      <c r="AJ370" s="1051"/>
      <c r="AK370" s="190">
        <f t="shared" si="535"/>
        <v>0</v>
      </c>
      <c r="AL370" s="119"/>
      <c r="AM370" s="183">
        <f t="shared" ref="AM370:AU370" si="549">SUM(AM365:AM369)</f>
        <v>0</v>
      </c>
      <c r="AN370" s="183">
        <f t="shared" si="549"/>
        <v>0</v>
      </c>
      <c r="AO370" s="183">
        <f t="shared" si="549"/>
        <v>0</v>
      </c>
      <c r="AP370" s="183">
        <f t="shared" si="549"/>
        <v>0</v>
      </c>
      <c r="AQ370" s="183">
        <f t="shared" si="549"/>
        <v>0</v>
      </c>
      <c r="AR370" s="183">
        <f t="shared" si="549"/>
        <v>0</v>
      </c>
      <c r="AS370" s="183">
        <f t="shared" si="549"/>
        <v>0</v>
      </c>
      <c r="AT370" s="183">
        <f t="shared" si="549"/>
        <v>0</v>
      </c>
      <c r="AU370" s="183">
        <f t="shared" si="549"/>
        <v>0</v>
      </c>
      <c r="AV370" s="108"/>
      <c r="AW370" s="190">
        <f t="shared" si="537"/>
        <v>0</v>
      </c>
      <c r="AX370" s="119"/>
      <c r="AY370" s="183">
        <f t="shared" ref="AY370:BG370" si="550">SUM(AY365:AY369)</f>
        <v>0</v>
      </c>
      <c r="AZ370" s="183">
        <f t="shared" si="550"/>
        <v>0</v>
      </c>
      <c r="BA370" s="183">
        <f t="shared" si="550"/>
        <v>0</v>
      </c>
      <c r="BB370" s="183">
        <f t="shared" si="550"/>
        <v>0</v>
      </c>
      <c r="BC370" s="183">
        <f t="shared" si="550"/>
        <v>0</v>
      </c>
      <c r="BD370" s="183">
        <f t="shared" si="550"/>
        <v>0</v>
      </c>
      <c r="BE370" s="183">
        <f t="shared" si="550"/>
        <v>0</v>
      </c>
      <c r="BF370" s="183">
        <f t="shared" si="550"/>
        <v>0</v>
      </c>
      <c r="BG370" s="183">
        <f t="shared" si="550"/>
        <v>0</v>
      </c>
      <c r="BH370" s="1"/>
    </row>
    <row r="371" spans="1:60">
      <c r="A371" s="1040"/>
      <c r="B371" s="1109" t="s">
        <v>1221</v>
      </c>
      <c r="C371" s="1106" t="s">
        <v>96</v>
      </c>
      <c r="D371" s="645"/>
      <c r="E371" s="942" t="s">
        <v>1331</v>
      </c>
      <c r="F371" s="942"/>
      <c r="G371" s="942"/>
      <c r="H371" s="942"/>
      <c r="I371" s="129"/>
      <c r="J371" s="943"/>
      <c r="K371" s="126"/>
      <c r="L371" s="126"/>
      <c r="M371" s="944"/>
      <c r="N371" s="195"/>
      <c r="O371" s="258"/>
      <c r="P371" s="258"/>
      <c r="Q371" s="258"/>
      <c r="R371" s="258"/>
      <c r="S371" s="258"/>
      <c r="T371" s="258"/>
      <c r="U371" s="258"/>
      <c r="V371" s="258"/>
      <c r="W371" s="258"/>
      <c r="X371" s="82"/>
      <c r="Y371" s="944"/>
      <c r="Z371" s="195"/>
      <c r="AA371" s="258"/>
      <c r="AB371" s="258"/>
      <c r="AC371" s="258"/>
      <c r="AD371" s="258"/>
      <c r="AE371" s="258"/>
      <c r="AF371" s="258"/>
      <c r="AG371" s="258"/>
      <c r="AH371" s="258"/>
      <c r="AI371" s="258"/>
      <c r="AJ371" s="79"/>
      <c r="AK371" s="944"/>
      <c r="AL371" s="195"/>
      <c r="AM371" s="258"/>
      <c r="AN371" s="258"/>
      <c r="AO371" s="258"/>
      <c r="AP371" s="258"/>
      <c r="AQ371" s="258"/>
      <c r="AR371" s="258"/>
      <c r="AS371" s="258"/>
      <c r="AT371" s="258"/>
      <c r="AU371" s="258"/>
      <c r="AV371" s="82"/>
      <c r="AW371" s="944"/>
      <c r="AX371" s="195"/>
      <c r="AY371" s="258"/>
      <c r="AZ371" s="258"/>
      <c r="BA371" s="258"/>
      <c r="BB371" s="258"/>
      <c r="BC371" s="258"/>
      <c r="BD371" s="258"/>
      <c r="BE371" s="258"/>
      <c r="BF371" s="258"/>
      <c r="BG371" s="258"/>
      <c r="BH371" s="1"/>
    </row>
    <row r="372" spans="1:60">
      <c r="A372" s="1040"/>
      <c r="B372" s="1109" t="s">
        <v>1221</v>
      </c>
      <c r="C372" s="1107" t="s">
        <v>104</v>
      </c>
      <c r="D372" s="645"/>
      <c r="E372" s="203" t="s">
        <v>232</v>
      </c>
      <c r="F372" s="203"/>
      <c r="G372" s="180"/>
      <c r="H372" s="201" t="s">
        <v>1207</v>
      </c>
      <c r="I372" s="114"/>
      <c r="J372" s="190"/>
      <c r="K372" s="1092"/>
      <c r="L372" s="1092"/>
      <c r="M372" s="190" t="e">
        <f t="shared" si="531"/>
        <v>#DIV/0!</v>
      </c>
      <c r="N372" s="119"/>
      <c r="O372" s="183" t="e">
        <f>-$M$220*1000/O$31</f>
        <v>#DIV/0!</v>
      </c>
      <c r="P372" s="183" t="e">
        <f t="shared" ref="P372:W372" si="551">-$M$220*1000/P$31</f>
        <v>#DIV/0!</v>
      </c>
      <c r="Q372" s="183" t="e">
        <f t="shared" si="551"/>
        <v>#DIV/0!</v>
      </c>
      <c r="R372" s="183" t="e">
        <f t="shared" si="551"/>
        <v>#DIV/0!</v>
      </c>
      <c r="S372" s="183" t="e">
        <f t="shared" si="551"/>
        <v>#DIV/0!</v>
      </c>
      <c r="T372" s="183" t="e">
        <f t="shared" si="551"/>
        <v>#DIV/0!</v>
      </c>
      <c r="U372" s="183" t="e">
        <f t="shared" si="551"/>
        <v>#DIV/0!</v>
      </c>
      <c r="V372" s="183" t="e">
        <f t="shared" si="551"/>
        <v>#DIV/0!</v>
      </c>
      <c r="W372" s="183" t="e">
        <f t="shared" si="551"/>
        <v>#DIV/0!</v>
      </c>
      <c r="X372" s="108"/>
      <c r="Y372" s="190" t="e">
        <f t="shared" si="533"/>
        <v>#DIV/0!</v>
      </c>
      <c r="Z372" s="119"/>
      <c r="AA372" s="183" t="e">
        <f t="shared" ref="AA372:AI372" si="552">-$Y$220*1000/AA$31</f>
        <v>#DIV/0!</v>
      </c>
      <c r="AB372" s="183" t="e">
        <f t="shared" si="552"/>
        <v>#DIV/0!</v>
      </c>
      <c r="AC372" s="183" t="e">
        <f t="shared" si="552"/>
        <v>#DIV/0!</v>
      </c>
      <c r="AD372" s="183" t="e">
        <f t="shared" si="552"/>
        <v>#DIV/0!</v>
      </c>
      <c r="AE372" s="183" t="e">
        <f t="shared" si="552"/>
        <v>#DIV/0!</v>
      </c>
      <c r="AF372" s="183" t="e">
        <f t="shared" si="552"/>
        <v>#DIV/0!</v>
      </c>
      <c r="AG372" s="183" t="e">
        <f t="shared" si="552"/>
        <v>#DIV/0!</v>
      </c>
      <c r="AH372" s="183" t="e">
        <f t="shared" si="552"/>
        <v>#DIV/0!</v>
      </c>
      <c r="AI372" s="183" t="e">
        <f t="shared" si="552"/>
        <v>#DIV/0!</v>
      </c>
      <c r="AJ372" s="1051"/>
      <c r="AK372" s="190" t="e">
        <f t="shared" si="535"/>
        <v>#DIV/0!</v>
      </c>
      <c r="AL372" s="119"/>
      <c r="AM372" s="183" t="e">
        <f t="shared" ref="AM372:AU372" si="553">-$AK$220*1000/AM$31</f>
        <v>#DIV/0!</v>
      </c>
      <c r="AN372" s="183" t="e">
        <f t="shared" si="553"/>
        <v>#DIV/0!</v>
      </c>
      <c r="AO372" s="183" t="e">
        <f t="shared" si="553"/>
        <v>#DIV/0!</v>
      </c>
      <c r="AP372" s="183" t="e">
        <f t="shared" si="553"/>
        <v>#DIV/0!</v>
      </c>
      <c r="AQ372" s="183" t="e">
        <f t="shared" si="553"/>
        <v>#DIV/0!</v>
      </c>
      <c r="AR372" s="183" t="e">
        <f t="shared" si="553"/>
        <v>#DIV/0!</v>
      </c>
      <c r="AS372" s="183" t="e">
        <f t="shared" si="553"/>
        <v>#DIV/0!</v>
      </c>
      <c r="AT372" s="183" t="e">
        <f t="shared" si="553"/>
        <v>#DIV/0!</v>
      </c>
      <c r="AU372" s="183" t="e">
        <f t="shared" si="553"/>
        <v>#DIV/0!</v>
      </c>
      <c r="AV372" s="108"/>
      <c r="AW372" s="190" t="e">
        <f t="shared" si="537"/>
        <v>#DIV/0!</v>
      </c>
      <c r="AX372" s="119"/>
      <c r="AY372" s="183" t="e">
        <f t="shared" ref="AY372:BG372" si="554">-$AW$220*1000/AY$31</f>
        <v>#DIV/0!</v>
      </c>
      <c r="AZ372" s="183" t="e">
        <f t="shared" si="554"/>
        <v>#DIV/0!</v>
      </c>
      <c r="BA372" s="183" t="e">
        <f t="shared" si="554"/>
        <v>#DIV/0!</v>
      </c>
      <c r="BB372" s="183" t="e">
        <f t="shared" si="554"/>
        <v>#DIV/0!</v>
      </c>
      <c r="BC372" s="183" t="e">
        <f t="shared" si="554"/>
        <v>#DIV/0!</v>
      </c>
      <c r="BD372" s="183" t="e">
        <f t="shared" si="554"/>
        <v>#DIV/0!</v>
      </c>
      <c r="BE372" s="183" t="e">
        <f t="shared" si="554"/>
        <v>#DIV/0!</v>
      </c>
      <c r="BF372" s="183" t="e">
        <f t="shared" si="554"/>
        <v>#DIV/0!</v>
      </c>
      <c r="BG372" s="183" t="e">
        <f t="shared" si="554"/>
        <v>#DIV/0!</v>
      </c>
    </row>
    <row r="373" spans="1:60">
      <c r="A373" s="1040"/>
      <c r="B373" s="1109" t="s">
        <v>1221</v>
      </c>
      <c r="C373" s="1106" t="s">
        <v>96</v>
      </c>
      <c r="D373" s="645"/>
      <c r="E373" s="942" t="s">
        <v>1200</v>
      </c>
      <c r="F373" s="942"/>
      <c r="G373" s="942"/>
      <c r="H373" s="942"/>
      <c r="I373" s="129"/>
      <c r="J373" s="943"/>
      <c r="K373" s="126"/>
      <c r="L373" s="126"/>
      <c r="M373" s="944"/>
      <c r="N373" s="195"/>
      <c r="O373" s="258"/>
      <c r="P373" s="258"/>
      <c r="Q373" s="258"/>
      <c r="R373" s="258"/>
      <c r="S373" s="258"/>
      <c r="T373" s="258"/>
      <c r="U373" s="258"/>
      <c r="V373" s="258"/>
      <c r="W373" s="258"/>
      <c r="X373" s="82"/>
      <c r="Y373" s="944"/>
      <c r="Z373" s="195"/>
      <c r="AA373" s="258"/>
      <c r="AB373" s="258"/>
      <c r="AC373" s="258"/>
      <c r="AD373" s="258"/>
      <c r="AE373" s="258"/>
      <c r="AF373" s="258"/>
      <c r="AG373" s="258"/>
      <c r="AH373" s="258"/>
      <c r="AI373" s="258"/>
      <c r="AJ373" s="79"/>
      <c r="AK373" s="944"/>
      <c r="AL373" s="195"/>
      <c r="AM373" s="258"/>
      <c r="AN373" s="258"/>
      <c r="AO373" s="258"/>
      <c r="AP373" s="258"/>
      <c r="AQ373" s="258"/>
      <c r="AR373" s="258"/>
      <c r="AS373" s="258"/>
      <c r="AT373" s="258"/>
      <c r="AU373" s="258"/>
      <c r="AV373" s="82"/>
      <c r="AW373" s="944"/>
      <c r="AX373" s="195"/>
      <c r="AY373" s="258"/>
      <c r="AZ373" s="258"/>
      <c r="BA373" s="258"/>
      <c r="BB373" s="258"/>
      <c r="BC373" s="258"/>
      <c r="BD373" s="258"/>
      <c r="BE373" s="258"/>
      <c r="BF373" s="258"/>
      <c r="BG373" s="258"/>
      <c r="BH373" s="1"/>
    </row>
    <row r="374" spans="1:60">
      <c r="A374" s="1040"/>
      <c r="B374" s="1109" t="s">
        <v>1221</v>
      </c>
      <c r="C374" s="1107" t="s">
        <v>104</v>
      </c>
      <c r="D374" s="645"/>
      <c r="E374" s="203" t="s">
        <v>232</v>
      </c>
      <c r="F374" s="203"/>
      <c r="G374" s="180"/>
      <c r="H374" s="201" t="s">
        <v>1207</v>
      </c>
      <c r="I374" s="114"/>
      <c r="J374" s="190"/>
      <c r="K374" s="1092"/>
      <c r="L374" s="1092"/>
      <c r="M374" s="190" t="e">
        <f t="shared" si="531"/>
        <v>#DIV/0!</v>
      </c>
      <c r="N374" s="119"/>
      <c r="O374" s="183" t="e">
        <f>O370+O372</f>
        <v>#DIV/0!</v>
      </c>
      <c r="P374" s="183" t="e">
        <f t="shared" ref="P374:W374" si="555">P370+P372</f>
        <v>#DIV/0!</v>
      </c>
      <c r="Q374" s="183" t="e">
        <f t="shared" si="555"/>
        <v>#DIV/0!</v>
      </c>
      <c r="R374" s="183" t="e">
        <f t="shared" si="555"/>
        <v>#DIV/0!</v>
      </c>
      <c r="S374" s="183" t="e">
        <f t="shared" si="555"/>
        <v>#DIV/0!</v>
      </c>
      <c r="T374" s="183" t="e">
        <f t="shared" si="555"/>
        <v>#DIV/0!</v>
      </c>
      <c r="U374" s="183" t="e">
        <f t="shared" si="555"/>
        <v>#DIV/0!</v>
      </c>
      <c r="V374" s="183" t="e">
        <f t="shared" si="555"/>
        <v>#DIV/0!</v>
      </c>
      <c r="W374" s="183" t="e">
        <f t="shared" si="555"/>
        <v>#DIV/0!</v>
      </c>
      <c r="X374" s="108"/>
      <c r="Y374" s="190" t="e">
        <f t="shared" si="533"/>
        <v>#DIV/0!</v>
      </c>
      <c r="Z374" s="119"/>
      <c r="AA374" s="183" t="e">
        <f t="shared" ref="AA374:AI374" si="556">AA370+AA372</f>
        <v>#DIV/0!</v>
      </c>
      <c r="AB374" s="183" t="e">
        <f t="shared" si="556"/>
        <v>#DIV/0!</v>
      </c>
      <c r="AC374" s="183" t="e">
        <f t="shared" si="556"/>
        <v>#DIV/0!</v>
      </c>
      <c r="AD374" s="183" t="e">
        <f t="shared" si="556"/>
        <v>#DIV/0!</v>
      </c>
      <c r="AE374" s="183" t="e">
        <f t="shared" si="556"/>
        <v>#DIV/0!</v>
      </c>
      <c r="AF374" s="183" t="e">
        <f t="shared" si="556"/>
        <v>#DIV/0!</v>
      </c>
      <c r="AG374" s="183" t="e">
        <f t="shared" si="556"/>
        <v>#DIV/0!</v>
      </c>
      <c r="AH374" s="183" t="e">
        <f t="shared" si="556"/>
        <v>#DIV/0!</v>
      </c>
      <c r="AI374" s="183" t="e">
        <f t="shared" si="556"/>
        <v>#DIV/0!</v>
      </c>
      <c r="AJ374" s="1051"/>
      <c r="AK374" s="190" t="e">
        <f t="shared" si="535"/>
        <v>#DIV/0!</v>
      </c>
      <c r="AL374" s="119"/>
      <c r="AM374" s="183" t="e">
        <f t="shared" ref="AM374:AU374" si="557">AM370+AM372</f>
        <v>#DIV/0!</v>
      </c>
      <c r="AN374" s="183" t="e">
        <f t="shared" si="557"/>
        <v>#DIV/0!</v>
      </c>
      <c r="AO374" s="183" t="e">
        <f t="shared" si="557"/>
        <v>#DIV/0!</v>
      </c>
      <c r="AP374" s="183" t="e">
        <f t="shared" si="557"/>
        <v>#DIV/0!</v>
      </c>
      <c r="AQ374" s="183" t="e">
        <f t="shared" si="557"/>
        <v>#DIV/0!</v>
      </c>
      <c r="AR374" s="183" t="e">
        <f t="shared" si="557"/>
        <v>#DIV/0!</v>
      </c>
      <c r="AS374" s="183" t="e">
        <f t="shared" si="557"/>
        <v>#DIV/0!</v>
      </c>
      <c r="AT374" s="183" t="e">
        <f t="shared" si="557"/>
        <v>#DIV/0!</v>
      </c>
      <c r="AU374" s="183" t="e">
        <f t="shared" si="557"/>
        <v>#DIV/0!</v>
      </c>
      <c r="AV374" s="108"/>
      <c r="AW374" s="190" t="e">
        <f t="shared" si="537"/>
        <v>#DIV/0!</v>
      </c>
      <c r="AX374" s="119"/>
      <c r="AY374" s="183" t="e">
        <f t="shared" ref="AY374:BG374" si="558">AY370+AY372</f>
        <v>#DIV/0!</v>
      </c>
      <c r="AZ374" s="183" t="e">
        <f t="shared" si="558"/>
        <v>#DIV/0!</v>
      </c>
      <c r="BA374" s="183" t="e">
        <f t="shared" si="558"/>
        <v>#DIV/0!</v>
      </c>
      <c r="BB374" s="183" t="e">
        <f t="shared" si="558"/>
        <v>#DIV/0!</v>
      </c>
      <c r="BC374" s="183" t="e">
        <f t="shared" si="558"/>
        <v>#DIV/0!</v>
      </c>
      <c r="BD374" s="183" t="e">
        <f t="shared" si="558"/>
        <v>#DIV/0!</v>
      </c>
      <c r="BE374" s="183" t="e">
        <f t="shared" si="558"/>
        <v>#DIV/0!</v>
      </c>
      <c r="BF374" s="183" t="e">
        <f t="shared" si="558"/>
        <v>#DIV/0!</v>
      </c>
      <c r="BG374" s="183" t="e">
        <f t="shared" si="558"/>
        <v>#DIV/0!</v>
      </c>
      <c r="BH374" s="1"/>
    </row>
    <row r="375" spans="1:60">
      <c r="A375" s="1040"/>
      <c r="B375" s="1109" t="s">
        <v>1224</v>
      </c>
      <c r="C375" s="1106" t="s">
        <v>96</v>
      </c>
      <c r="D375" s="638"/>
      <c r="E375" s="79"/>
      <c r="F375" s="79"/>
      <c r="G375" s="79"/>
      <c r="H375" s="85"/>
      <c r="I375" s="79"/>
      <c r="J375" s="82"/>
      <c r="K375" s="79"/>
      <c r="L375" s="79"/>
      <c r="M375" s="108"/>
      <c r="N375" s="79"/>
      <c r="O375" s="108"/>
      <c r="P375" s="356"/>
      <c r="Q375" s="108"/>
      <c r="R375" s="108"/>
      <c r="S375" s="108"/>
      <c r="T375" s="108"/>
      <c r="U375" s="108"/>
      <c r="V375" s="108"/>
      <c r="W375" s="108"/>
      <c r="X375" s="82"/>
      <c r="Y375" s="82"/>
      <c r="Z375" s="79"/>
      <c r="AA375" s="82"/>
      <c r="AB375" s="82"/>
      <c r="AC375" s="82"/>
      <c r="AD375" s="82"/>
      <c r="AE375" s="82"/>
      <c r="AF375" s="82"/>
      <c r="AG375" s="82"/>
      <c r="AH375" s="82"/>
      <c r="AI375" s="82"/>
      <c r="AJ375" s="82"/>
      <c r="AK375" s="82"/>
      <c r="AL375" s="79"/>
      <c r="AM375" s="82"/>
      <c r="AN375" s="82"/>
      <c r="AO375" s="82"/>
      <c r="AP375" s="82"/>
      <c r="AQ375" s="82"/>
      <c r="AR375" s="82"/>
      <c r="AS375" s="82"/>
      <c r="AT375" s="82"/>
      <c r="AU375" s="82"/>
      <c r="AV375" s="82"/>
      <c r="AW375" s="82"/>
      <c r="AX375" s="79"/>
      <c r="AY375" s="82"/>
      <c r="AZ375" s="82"/>
      <c r="BA375" s="82"/>
      <c r="BB375" s="82"/>
      <c r="BC375" s="82"/>
      <c r="BD375" s="82"/>
      <c r="BE375" s="82"/>
      <c r="BF375" s="82"/>
      <c r="BG375" s="82"/>
      <c r="BH375" s="1"/>
    </row>
    <row r="376" spans="1:60" ht="21">
      <c r="A376" s="1040"/>
      <c r="B376" s="1109" t="s">
        <v>294</v>
      </c>
      <c r="C376" s="1107" t="s">
        <v>96</v>
      </c>
      <c r="D376" s="643" t="s">
        <v>84</v>
      </c>
      <c r="E376" s="1219" t="s">
        <v>82</v>
      </c>
      <c r="F376" s="480"/>
      <c r="G376" s="480"/>
      <c r="H376" s="481"/>
      <c r="I376" s="481"/>
      <c r="J376" s="482"/>
      <c r="K376" s="691"/>
      <c r="L376" s="691"/>
      <c r="M376" s="482"/>
      <c r="N376" s="482"/>
      <c r="O376" s="1167"/>
      <c r="P376" s="482"/>
      <c r="Q376" s="482"/>
      <c r="R376" s="482"/>
      <c r="S376" s="482"/>
      <c r="T376" s="482"/>
      <c r="U376" s="482"/>
      <c r="V376" s="482"/>
      <c r="W376" s="482"/>
      <c r="X376" s="482"/>
      <c r="Y376" s="482"/>
      <c r="Z376" s="482"/>
      <c r="AA376" s="482"/>
      <c r="AB376" s="482"/>
      <c r="AC376" s="482"/>
      <c r="AD376" s="482"/>
      <c r="AE376" s="482"/>
      <c r="AF376" s="482"/>
      <c r="AG376" s="482"/>
      <c r="AH376" s="482"/>
      <c r="AI376" s="482"/>
      <c r="AJ376" s="482"/>
      <c r="AK376" s="482"/>
      <c r="AL376" s="482"/>
      <c r="AM376" s="482"/>
      <c r="AN376" s="482"/>
      <c r="AO376" s="482"/>
      <c r="AP376" s="482"/>
      <c r="AQ376" s="482"/>
      <c r="AR376" s="482"/>
      <c r="AS376" s="482"/>
      <c r="AT376" s="482"/>
      <c r="AU376" s="482"/>
      <c r="AV376" s="482"/>
      <c r="AW376" s="482"/>
      <c r="AX376" s="482"/>
      <c r="AY376" s="483"/>
      <c r="AZ376" s="483"/>
      <c r="BA376" s="483"/>
      <c r="BB376" s="483"/>
      <c r="BC376" s="483"/>
      <c r="BD376" s="483"/>
      <c r="BE376" s="483"/>
      <c r="BF376" s="483"/>
      <c r="BG376" s="483"/>
      <c r="BH376" s="225"/>
    </row>
  </sheetData>
  <sheetProtection algorithmName="SHA-512" hashValue="jXZoVwC1C+bA8PzEB6fzj5dY5Xo3WyRX8SiJrZo14CQrMorAq8CN2FN5/xM4mPW0mT20p9aOQC5uGwNRyCSI1A==" saltValue="sFiUbH7qq7oWlzTcTNKuBQ==" spinCount="100000" sheet="1" objects="1" scenarios="1" formatColumns="0" autoFilter="0"/>
  <autoFilter ref="B8:C376" xr:uid="{41D3E58C-B86B-4AE1-8380-FDD6F14E9537}">
    <filterColumn colId="1">
      <filters>
        <filter val="00. kop"/>
        <filter val="01. invoer"/>
        <filter val="04. resultaat"/>
      </filters>
    </filterColumn>
  </autoFilter>
  <dataConsolidate/>
  <mergeCells count="5">
    <mergeCell ref="E3:F3"/>
    <mergeCell ref="F4:H4"/>
    <mergeCell ref="B5:B7"/>
    <mergeCell ref="C5:C7"/>
    <mergeCell ref="E40:G40"/>
  </mergeCells>
  <phoneticPr fontId="0" type="noConversion"/>
  <conditionalFormatting sqref="C10:C24 B15:B24 B25:C42 B44:C360 B363:C376">
    <cfRule type="expression" dxfId="995" priority="460">
      <formula>B10=""</formula>
    </cfRule>
  </conditionalFormatting>
  <conditionalFormatting sqref="E56">
    <cfRule type="expression" dxfId="994" priority="201">
      <formula>$G$6=FALSE</formula>
    </cfRule>
  </conditionalFormatting>
  <conditionalFormatting sqref="F4:F6 H3">
    <cfRule type="expression" dxfId="993" priority="1350">
      <formula>F3=""</formula>
    </cfRule>
  </conditionalFormatting>
  <conditionalFormatting sqref="F5">
    <cfRule type="expression" dxfId="992" priority="1171">
      <formula>OR($F$5="",ISERROR(MATCH(F5,opwekking_elektriciteit,0))=TRUE)</formula>
    </cfRule>
  </conditionalFormatting>
  <conditionalFormatting sqref="F6">
    <cfRule type="expression" dxfId="991" priority="171">
      <formula>OR($F$5="",ISERROR(MATCH(F6,rekenmethode_EP_MWA,0))=TRUE)</formula>
    </cfRule>
  </conditionalFormatting>
  <conditionalFormatting sqref="F2:H2">
    <cfRule type="expression" dxfId="990" priority="2047">
      <formula>$F$2&lt;&gt;""</formula>
    </cfRule>
  </conditionalFormatting>
  <conditionalFormatting sqref="F44:H44">
    <cfRule type="expression" dxfId="989" priority="137">
      <formula>$F$6=EP</formula>
    </cfRule>
  </conditionalFormatting>
  <conditionalFormatting sqref="G61">
    <cfRule type="expression" dxfId="988" priority="186">
      <formula>OR(G61="",ISERROR(MATCH(G61,beschikbare_fitformules_NTA8800,0))=TRUE)</formula>
    </cfRule>
  </conditionalFormatting>
  <conditionalFormatting sqref="G63">
    <cfRule type="expression" dxfId="987" priority="183">
      <formula>OR(G63="",ISERROR(MATCH(G63,beschikbare_fitformules_NTA8800,0))=TRUE)</formula>
    </cfRule>
  </conditionalFormatting>
  <conditionalFormatting sqref="G328">
    <cfRule type="expression" dxfId="986" priority="180">
      <formula>OR(G328="",ISERROR(MATCH(G328,beschikbare_fitformules_NTA8800,0))=TRUE)</formula>
    </cfRule>
  </conditionalFormatting>
  <conditionalFormatting sqref="H320:J320">
    <cfRule type="expression" dxfId="985" priority="178">
      <formula>OR($F$5&lt;&gt;"NTA8800:2026",$F$6=MWA)</formula>
    </cfRule>
  </conditionalFormatting>
  <conditionalFormatting sqref="H363:J363">
    <cfRule type="expression" dxfId="984" priority="1">
      <formula>OR($F$5&lt;&gt;"NTA8800:2026",$F$6=MWA)</formula>
    </cfRule>
  </conditionalFormatting>
  <conditionalFormatting sqref="J30:J31">
    <cfRule type="cellIs" dxfId="983" priority="788" operator="greaterThan">
      <formula>0</formula>
    </cfRule>
  </conditionalFormatting>
  <conditionalFormatting sqref="J38:J40">
    <cfRule type="expression" dxfId="982" priority="450">
      <formula>J38="OK"</formula>
    </cfRule>
  </conditionalFormatting>
  <conditionalFormatting sqref="J46:J47">
    <cfRule type="expression" dxfId="981" priority="448">
      <formula>J46="OK"</formula>
    </cfRule>
  </conditionalFormatting>
  <conditionalFormatting sqref="J50">
    <cfRule type="expression" dxfId="980" priority="46">
      <formula>J50="OK"</formula>
    </cfRule>
  </conditionalFormatting>
  <conditionalFormatting sqref="J52">
    <cfRule type="cellIs" dxfId="979" priority="437" operator="equal">
      <formula>"nee"</formula>
    </cfRule>
  </conditionalFormatting>
  <conditionalFormatting sqref="J83">
    <cfRule type="cellIs" dxfId="978" priority="883" operator="equal">
      <formula>"nee"</formula>
    </cfRule>
  </conditionalFormatting>
  <conditionalFormatting sqref="J144">
    <cfRule type="cellIs" dxfId="977" priority="380" operator="equal">
      <formula>0</formula>
    </cfRule>
  </conditionalFormatting>
  <conditionalFormatting sqref="M30:M31">
    <cfRule type="cellIs" dxfId="976" priority="787" operator="greaterThan">
      <formula>0</formula>
    </cfRule>
  </conditionalFormatting>
  <conditionalFormatting sqref="M50">
    <cfRule type="expression" dxfId="975" priority="39">
      <formula>AND(M$22&gt;0,M50&lt;&gt;"ja",M50&lt;&gt;"nee")</formula>
    </cfRule>
    <cfRule type="expression" dxfId="974" priority="38">
      <formula>M$22=0</formula>
    </cfRule>
  </conditionalFormatting>
  <conditionalFormatting sqref="M52">
    <cfRule type="cellIs" dxfId="973" priority="136" operator="equal">
      <formula>"nee"</formula>
    </cfRule>
  </conditionalFormatting>
  <conditionalFormatting sqref="M83">
    <cfRule type="cellIs" dxfId="972" priority="132" operator="equal">
      <formula>"nee"</formula>
    </cfRule>
  </conditionalFormatting>
  <conditionalFormatting sqref="M140:M147 Y140:Y147 AK140:AK147 AW140:AW147 M149:M157 Y149:Y157 AK149:AK157 AW149:AW157 M159:M161 Y159:Y161 AK159:AK161 AW159:AW161">
    <cfRule type="expression" dxfId="971" priority="1669">
      <formula>SUM(M$140:M$161)=0</formula>
    </cfRule>
  </conditionalFormatting>
  <conditionalFormatting sqref="M144 Y144 AK144 AW144 J147 M147 Y147 AK147 AW147 J151:J153 M151:M153 Y151:Y153 AK151:AK153 AW151:AW153 J155 M155 Y155 AK155 AW155 J157 M157 Y157 AK157 AW157 J161 M161 Y161 AK161 AW161">
    <cfRule type="cellIs" dxfId="970" priority="423" operator="equal">
      <formula>0</formula>
    </cfRule>
  </conditionalFormatting>
  <conditionalFormatting sqref="M317 O317:X317 AJ317 AV317 BH317">
    <cfRule type="expression" dxfId="969" priority="2544">
      <formula>#REF!&gt;M317</formula>
    </cfRule>
  </conditionalFormatting>
  <conditionalFormatting sqref="O83 AA83 AM83 AY83">
    <cfRule type="expression" dxfId="968" priority="432">
      <formula>OR(AND(O83="",O$22&gt;0),ISERROR(MATCH(O83,toestellen_RV_invoer,0)))</formula>
    </cfRule>
  </conditionalFormatting>
  <conditionalFormatting sqref="O90 Q90 AA90 AC90 AM90 AO90 AY90 BA90">
    <cfRule type="expression" dxfId="967" priority="1348">
      <formula>OR(AND(O$78&gt;0,O90=""),AND(O90&lt;&gt;"ja",O90&lt;&gt;"nee",O90&lt;&gt;""))</formula>
    </cfRule>
  </conditionalFormatting>
  <conditionalFormatting sqref="O135 Q135 AA135 AC135 AM135 AO135 AY135 BA135">
    <cfRule type="expression" dxfId="966" priority="3841">
      <formula>O$134=0</formula>
    </cfRule>
  </conditionalFormatting>
  <conditionalFormatting sqref="O90:Q91 AA90:AC91 AM90:AO91 AY90:BA91 O86:Q88 AA86:AC88 AM86:AO88 AY86:BA88 O93:Q95 AA93:AC95 AM93:AO95 AY93:BA95 O83:Q84 AA83:AC84 AM83:AO84 AY83:BA84 O97:Q99 AA97:AC99 AM97:AO99 AY97:BA99">
    <cfRule type="expression" dxfId="965" priority="5875">
      <formula>O$27=0</formula>
    </cfRule>
    <cfRule type="expression" dxfId="964" priority="5876">
      <formula>O$78=0</formula>
    </cfRule>
  </conditionalFormatting>
  <conditionalFormatting sqref="O104:Q104 AA104:AC104 AM104:AO104 AY104:BA104 AA140:AC140 AM140:AO140 AY140:BA140">
    <cfRule type="expression" dxfId="963" priority="1033">
      <formula>O$78=0</formula>
    </cfRule>
  </conditionalFormatting>
  <conditionalFormatting sqref="O109:Q109 AA109:AC109 AM109:AO109 O112:Q112 AA112:AC112 AM112:AO112 AY112:BA112 O119:Q119 AA119:AC119 AM119:AO119 AY119:BA119 O129:Q129 AA129:AC129 AM129:AO129 AY129:BA129 O135:Q135 AA135:AC135 AM135:AO135 AY135:BA135 O87 Q87 AA87 AC87 AM87 AO87 AY87 BA87 O94 Q94 AA94 AC94 AM94 AO94 AY94 BA94">
    <cfRule type="expression" dxfId="962" priority="941">
      <formula>AND(O$78&gt;0,O87="")</formula>
    </cfRule>
  </conditionalFormatting>
  <conditionalFormatting sqref="O122:Q125 AA122:AC125 AM122:AO125 AY122:BA125 AA104:AC106 AM104:AO106 AY104:BA106 O105:Q106 O108:Q116 AA108:AC116 AM108:AO116 AY108:BA116 O118:Q119 AA118:AC120 AM118:AO120 AY118:BA120 P120:Q120 O128:Q130 AA128:AC130 AM128:AO130 AY128:BA130 O132:Q135 AA132:AC135 AM132:AO135 AY132:BA135">
    <cfRule type="expression" dxfId="961" priority="394">
      <formula>OR(O$78=0,O$104="geen")</formula>
    </cfRule>
  </conditionalFormatting>
  <conditionalFormatting sqref="O123:Q123">
    <cfRule type="expression" dxfId="960" priority="121">
      <formula>AND(O$78&gt;0,O123="")</formula>
    </cfRule>
  </conditionalFormatting>
  <conditionalFormatting sqref="O125:Q125">
    <cfRule type="expression" dxfId="959" priority="124">
      <formula>AND(O$78&gt;0,O125="")</formula>
    </cfRule>
  </conditionalFormatting>
  <conditionalFormatting sqref="O140:Q140">
    <cfRule type="expression" dxfId="958" priority="967">
      <formula>O$78=0</formula>
    </cfRule>
  </conditionalFormatting>
  <conditionalFormatting sqref="O146:Q146 AA146:AC146 AM146:AO146 AY146:BA146 O150:Q150 AA150:AC150 AM150:AO150 AY150:BA150 O160:Q160 AA160:AC160 AM160:AO160 AY160:BA160">
    <cfRule type="expression" dxfId="957" priority="5294">
      <formula>AND(O$78&gt;0,O$140&lt;&gt;"geen",O146="")</formula>
    </cfRule>
  </conditionalFormatting>
  <conditionalFormatting sqref="O153:Q157 AA153:AC157 AM153:AO157 AY153:BA157 O141:Q147 AA141:AC147 AM141:AO147 AY141:BA147 O149:Q151 AA149:AC151 AM149:AO151 AY149:BA151 O159:Q161 AA159:AC161 AM159:AO161 AY159:BA161">
    <cfRule type="expression" dxfId="956" priority="377">
      <formula>OR(O$78=0,O$140="geen")</formula>
    </cfRule>
  </conditionalFormatting>
  <conditionalFormatting sqref="O154:Q154">
    <cfRule type="expression" dxfId="955" priority="123">
      <formula>AND(O$78&gt;0,O$140&lt;&gt;"geen",O154="")</formula>
    </cfRule>
  </conditionalFormatting>
  <conditionalFormatting sqref="O156:Q156">
    <cfRule type="expression" dxfId="954" priority="122">
      <formula>AND(O$78&gt;0,O$140&lt;&gt;"geen",O156="")</formula>
    </cfRule>
  </conditionalFormatting>
  <conditionalFormatting sqref="O166:Q168 AA166:AC168 AM166:AO168 AY166:BA168">
    <cfRule type="expression" dxfId="953" priority="5977">
      <formula>OR(O$27=0,O$132=0)</formula>
    </cfRule>
  </conditionalFormatting>
  <conditionalFormatting sqref="O167:Q167 AA167:AC167 AM167:AO167 AY167:BA167">
    <cfRule type="expression" dxfId="952" priority="1019">
      <formula>AND(O$132&gt;0,O167="")</formula>
    </cfRule>
  </conditionalFormatting>
  <conditionalFormatting sqref="O186:T188 T229:W231 AF229:AF231 AR229:AR231 BD229:BD231 AA230 AM230 AY230 O251:T258">
    <cfRule type="expression" dxfId="951" priority="648">
      <formula>O$27=0</formula>
    </cfRule>
  </conditionalFormatting>
  <conditionalFormatting sqref="O17:W17">
    <cfRule type="expression" dxfId="950" priority="168">
      <formula>AND(O17&lt;&gt;"",ISERROR(MATCH(O17,woningen_gebouwen_namen,0))=TRUE)</formula>
    </cfRule>
  </conditionalFormatting>
  <conditionalFormatting sqref="O20:W20">
    <cfRule type="expression" dxfId="949" priority="769">
      <formula>OR(O$17="",AND(O$19&lt;&gt;woning,O$19&lt;&gt;woongebouw))</formula>
    </cfRule>
  </conditionalFormatting>
  <conditionalFormatting sqref="O21:W21">
    <cfRule type="expression" dxfId="948" priority="170">
      <formula>AND(O21&lt;&gt;"",ISERROR(MATCH(O21,woningen_gebouwen_namen,0))=TRUE)</formula>
    </cfRule>
  </conditionalFormatting>
  <conditionalFormatting sqref="O22:W23 AA22:BG23">
    <cfRule type="expression" dxfId="947" priority="537">
      <formula>O$17=""</formula>
    </cfRule>
  </conditionalFormatting>
  <conditionalFormatting sqref="O23:W23 AM23:AU23 AY23:BG23">
    <cfRule type="expression" dxfId="946" priority="3348">
      <formula>AND(O$17="",O23&gt;0)</formula>
    </cfRule>
    <cfRule type="expression" dxfId="945" priority="3350">
      <formula>AND(O$17&lt;&gt;"",O23="")</formula>
    </cfRule>
  </conditionalFormatting>
  <conditionalFormatting sqref="O28:W28">
    <cfRule type="expression" dxfId="944" priority="161">
      <formula>AND(O28&lt;&gt;"",ISERROR(MATCH(O28,woningen_gebouwen_namen,0))=TRUE)</formula>
    </cfRule>
  </conditionalFormatting>
  <conditionalFormatting sqref="O37:W37">
    <cfRule type="expression" dxfId="943" priority="147">
      <formula>AND(O37&lt;&gt;"",ISERROR(MATCH(O37,woningen_gebouwen_namen,0))=TRUE)</formula>
    </cfRule>
  </conditionalFormatting>
  <conditionalFormatting sqref="O38:W43">
    <cfRule type="expression" dxfId="942" priority="19">
      <formula>OR(O$17="",O$22=0)</formula>
    </cfRule>
  </conditionalFormatting>
  <conditionalFormatting sqref="O40:W40 AA40:AI40 AM40:AU40 AY40:BG40">
    <cfRule type="expression" dxfId="941" priority="3397">
      <formula>OR(AND(O$17&lt;&gt;"",O$22&gt;0,O40=""),ISERROR(MATCH(O40,ventilatiesystemen_namen,0))=TRUE)</formula>
    </cfRule>
  </conditionalFormatting>
  <conditionalFormatting sqref="O41:W41 AA41:AI41 AM41:AU41 AY41:BG41">
    <cfRule type="expression" dxfId="940" priority="5840">
      <formula>OR(O$17="",O$22=0,LEFT(INDEX(ventilatiesystemen_code,MATCH(O$40,ventilatiesystemen_namen,0)),1)="A")</formula>
    </cfRule>
    <cfRule type="expression" dxfId="939" priority="3425">
      <formula>OR(AND(O$17&lt;&gt;"",O$22&gt;0,O41=""),ISERROR(MATCH(O41,ventilatoren_typen,0))=TRUE)</formula>
    </cfRule>
  </conditionalFormatting>
  <conditionalFormatting sqref="O42:W42 AA42:AI42 AM42:AU42 AY42:BG42">
    <cfRule type="expression" dxfId="938" priority="396">
      <formula>OR(AND(O$17&lt;&gt;"",O$22&gt;0,O42=""),ISERROR(MATCH(O42,DWTW_namen,0))=TRUE)</formula>
    </cfRule>
  </conditionalFormatting>
  <conditionalFormatting sqref="O44:W44 AA44:AI44 AM44:AU44 AY44:BG44">
    <cfRule type="expression" dxfId="937" priority="138">
      <formula>$F$6=EP</formula>
    </cfRule>
  </conditionalFormatting>
  <conditionalFormatting sqref="O44:W49 AY44:BG49 O24:W27 AM24:AU27 AY24:BG27 O29:W33 AA29:AI33 AM29:AU33 AY29:BG33 O52:W52 O54:W56 AM61:AU69 AY61:BG69 O71:W71 AM71:AU71 AY71:BG71 O73:W73 AM328:AU328 AY328:BG328">
    <cfRule type="expression" dxfId="936" priority="172">
      <formula>OR(O$17="",O$22=0)</formula>
    </cfRule>
  </conditionalFormatting>
  <conditionalFormatting sqref="O45:W46 AA45:AI46 AM45:AU46 AY45:BG46">
    <cfRule type="expression" dxfId="935" priority="440">
      <formula>OR(O$17="",O$26=0)</formula>
    </cfRule>
    <cfRule type="expression" dxfId="934" priority="5125">
      <formula>AND(O$17&lt;&gt;"",O$26&gt;0,O45="")</formula>
    </cfRule>
  </conditionalFormatting>
  <conditionalFormatting sqref="O46:W46 AA46:AI46 AM46:AU46 AY46:BG46">
    <cfRule type="expression" dxfId="933" priority="5228">
      <formula>AND(O46&lt;&gt;"",ISERROR(MATCH(O46,verlichtingsregeling_namen,0))=TRUE)</formula>
    </cfRule>
  </conditionalFormatting>
  <conditionalFormatting sqref="O47:W47 AA47:AI47 AM47:AU47 AY47:BG47">
    <cfRule type="expression" dxfId="932" priority="486">
      <formula>OR(O$17="",O$24+O$25=0,AND(O$19&lt;&gt;woning,O$19&lt;&gt;woongebouw))</formula>
    </cfRule>
    <cfRule type="expression" dxfId="931" priority="5237">
      <formula>OR(AND(O$17&lt;&gt;"",O$22&gt;0,O47=""),AND(O47&lt;&gt;elektriciteit,O47&lt;&gt;aardgas))</formula>
    </cfRule>
  </conditionalFormatting>
  <conditionalFormatting sqref="O49:W49">
    <cfRule type="expression" dxfId="930" priority="191">
      <formula>IF(AND($O$36&lt;&gt;"",$O$49=""),TRUE,FALSE)</formula>
    </cfRule>
  </conditionalFormatting>
  <conditionalFormatting sqref="O51:W51 O53:W53">
    <cfRule type="expression" dxfId="929" priority="159">
      <formula>AND(O51&lt;&gt;"",ISERROR(MATCH(O51,woningen_gebouwen_namen,0))=TRUE)</formula>
    </cfRule>
  </conditionalFormatting>
  <conditionalFormatting sqref="O52:W52 AA52:AI52 AM52:AU52 AY52:BG52">
    <cfRule type="expression" dxfId="928" priority="485">
      <formula>$O17=""</formula>
    </cfRule>
    <cfRule type="cellIs" dxfId="927" priority="5265" operator="equal">
      <formula>"nee"</formula>
    </cfRule>
  </conditionalFormatting>
  <conditionalFormatting sqref="O55:W55 AA55:AI55 AM55:AU55 AY55:BG55">
    <cfRule type="cellIs" dxfId="926" priority="242" operator="equal">
      <formula>0</formula>
    </cfRule>
  </conditionalFormatting>
  <conditionalFormatting sqref="O56:W56 AA56:AI56 AM56:AU56 AY56:BG56">
    <cfRule type="expression" dxfId="925" priority="6340">
      <formula>AND(O$22&gt;0,O56="",$F$6=MWA)</formula>
    </cfRule>
    <cfRule type="expression" dxfId="924" priority="6341">
      <formula>AND(O$22&gt;0,O$56&gt;0,$F$6=MWA)</formula>
    </cfRule>
    <cfRule type="expression" dxfId="923" priority="6339">
      <formula>O$22=0</formula>
    </cfRule>
  </conditionalFormatting>
  <conditionalFormatting sqref="O60:W60">
    <cfRule type="expression" dxfId="922" priority="158">
      <formula>AND(O60&lt;&gt;"",ISERROR(MATCH(O60,woningen_gebouwen_namen,0))=TRUE)</formula>
    </cfRule>
  </conditionalFormatting>
  <conditionalFormatting sqref="O61:W69">
    <cfRule type="expression" dxfId="921" priority="184">
      <formula>OR(O$17="",O$22=0)</formula>
    </cfRule>
  </conditionalFormatting>
  <conditionalFormatting sqref="O70:W70">
    <cfRule type="expression" dxfId="920" priority="157">
      <formula>AND(O70&lt;&gt;"",ISERROR(MATCH(O70,woningen_gebouwen_namen,0))=TRUE)</formula>
    </cfRule>
  </conditionalFormatting>
  <conditionalFormatting sqref="O71:W71 AM71:AU71 AY71:BG71 O73:W73">
    <cfRule type="expression" dxfId="919" priority="402">
      <formula>AND(O$17&lt;&gt;"",O71="")</formula>
    </cfRule>
  </conditionalFormatting>
  <conditionalFormatting sqref="O72:W72">
    <cfRule type="expression" dxfId="918" priority="156">
      <formula>AND(O72&lt;&gt;"",ISERROR(MATCH(O72,woningen_gebouwen_namen,0))=TRUE)</formula>
    </cfRule>
  </conditionalFormatting>
  <conditionalFormatting sqref="O78:W78">
    <cfRule type="expression" dxfId="917" priority="998">
      <formula>O$27=0</formula>
    </cfRule>
  </conditionalFormatting>
  <conditionalFormatting sqref="O268:W268">
    <cfRule type="expression" dxfId="916" priority="145">
      <formula>AND(O268&lt;&gt;"",ISERROR(MATCH(O268,woningen_gebouwen_namen,0))=TRUE)</formula>
    </cfRule>
  </conditionalFormatting>
  <conditionalFormatting sqref="O274:W274 O281:W281">
    <cfRule type="expression" dxfId="915" priority="144">
      <formula>AND(O274&lt;&gt;"",ISERROR(MATCH(O274,woningen_gebouwen_namen,0))=TRUE)</formula>
    </cfRule>
  </conditionalFormatting>
  <conditionalFormatting sqref="O291:W291">
    <cfRule type="expression" dxfId="914" priority="12">
      <formula>AND(O291&lt;&gt;"",ISERROR(MATCH(O291,woningen_gebouwen_namen,0))=TRUE)</formula>
    </cfRule>
  </conditionalFormatting>
  <conditionalFormatting sqref="O292:W292 AA292:AI292 AM292:AU292 AY292:BG292 AM364:AU372 O364:W374 AA364:AI374">
    <cfRule type="expression" dxfId="913" priority="11">
      <formula>O$22=0</formula>
    </cfRule>
  </conditionalFormatting>
  <conditionalFormatting sqref="O293:W293 O297:W297">
    <cfRule type="expression" dxfId="912" priority="151">
      <formula>AND(O293&lt;&gt;"",ISERROR(MATCH(O293,woningen_gebouwen_namen,0))=TRUE)</formula>
    </cfRule>
  </conditionalFormatting>
  <conditionalFormatting sqref="O305:W305 O312:W312 O314:W314 O316:W316">
    <cfRule type="expression" dxfId="911" priority="150">
      <formula>AND(O305&lt;&gt;"",ISERROR(MATCH(O305,woningen_gebouwen_namen,0))=TRUE)</formula>
    </cfRule>
  </conditionalFormatting>
  <conditionalFormatting sqref="O321:W321">
    <cfRule type="expression" dxfId="910" priority="142">
      <formula>AND(O321&lt;&gt;"",ISERROR(MATCH(O321,woningen_gebouwen_namen,0))=TRUE)</formula>
    </cfRule>
  </conditionalFormatting>
  <conditionalFormatting sqref="O323:W323 O327:W327 O332:W332 O335:W335 O338:W338">
    <cfRule type="expression" dxfId="909" priority="149">
      <formula>AND(O323&lt;&gt;"",ISERROR(MATCH(O323,woningen_gebouwen_namen,0))=TRUE)</formula>
    </cfRule>
  </conditionalFormatting>
  <conditionalFormatting sqref="O328:W328">
    <cfRule type="expression" dxfId="908" priority="181">
      <formula>OR(O$17="",O$22=0)</formula>
    </cfRule>
  </conditionalFormatting>
  <conditionalFormatting sqref="O329:W330">
    <cfRule type="expression" dxfId="907" priority="1951">
      <formula>O329&gt;O324</formula>
    </cfRule>
  </conditionalFormatting>
  <conditionalFormatting sqref="O331:W331 AA331:AI331 AM331:AU331 AY331:BG331">
    <cfRule type="expression" dxfId="906" priority="194">
      <formula>$O$331&lt;$O$326</formula>
    </cfRule>
  </conditionalFormatting>
  <conditionalFormatting sqref="O333:W334 AA333:AI334 O317:W317 O329:W331 O339:W340 AY339:BG340 O269:W270 AA269:AI270 AA275:AI277 AM275:AU277 AY275:BG277 O282:W290 AA282:AI290 AK282:AK290 AM282:AU290 AW282:AW290 AY282:BG290 O298:W299 AA298:AI299 AM298:AU299 AY298:BG299 O304:W304 AA304:AI304 AY304:BG304 O306:W311 AA306:AI311 AY306:BG311 O313:W313 AA313:AI313 AY313:BG313 O315:W315 AA315:AI315 AY315:BG315 AA317:AI317 AY317:BG317 AA322:AI322 AY322:BG322 O324:W326 AA324:AI326 AY324:BG326 O345:W353 AY345:BG353 O355:W357 AA355:AI357 AM355:AU357">
    <cfRule type="expression" dxfId="905" priority="5837">
      <formula>O$22=0</formula>
    </cfRule>
  </conditionalFormatting>
  <conditionalFormatting sqref="O336:W337">
    <cfRule type="expression" dxfId="904" priority="490">
      <formula>O$22=0</formula>
    </cfRule>
  </conditionalFormatting>
  <conditionalFormatting sqref="O337:W337">
    <cfRule type="expression" dxfId="903" priority="280">
      <formula>AND(O337&lt;&gt;"nvt",O337&gt;O336)</formula>
    </cfRule>
    <cfRule type="expression" dxfId="902" priority="281">
      <formula>AND(O337&lt;&gt;"nvt",O337&lt;=O336)</formula>
    </cfRule>
  </conditionalFormatting>
  <conditionalFormatting sqref="O340:W340">
    <cfRule type="expression" dxfId="901" priority="278">
      <formula>AND(O340&lt;&gt;"nvt",O340&gt;O339)</formula>
    </cfRule>
    <cfRule type="expression" dxfId="900" priority="279">
      <formula>AND(O340&lt;&gt;"nvt",O340&lt;=O339)</formula>
    </cfRule>
  </conditionalFormatting>
  <conditionalFormatting sqref="O344:W344">
    <cfRule type="expression" dxfId="899" priority="141">
      <formula>AND(O344&lt;&gt;"",ISERROR(MATCH(O344,woningen_gebouwen_namen,0))=TRUE)</formula>
    </cfRule>
  </conditionalFormatting>
  <conditionalFormatting sqref="O354:W354 O358:W358">
    <cfRule type="expression" dxfId="898" priority="148">
      <formula>AND(O354&lt;&gt;"",ISERROR(MATCH(O354,woningen_gebouwen_namen,0))=TRUE)</formula>
    </cfRule>
  </conditionalFormatting>
  <conditionalFormatting sqref="O364:W364">
    <cfRule type="expression" dxfId="897" priority="118">
      <formula>AND(O364&lt;&gt;"",ISERROR(MATCH(O364,woningen_gebouwen_namen,0))=TRUE)</formula>
    </cfRule>
  </conditionalFormatting>
  <conditionalFormatting sqref="O371:W371 O373:W373">
    <cfRule type="expression" dxfId="896" priority="119">
      <formula>AND(O371&lt;&gt;"",ISERROR(MATCH(O371,woningen_gebouwen_namen,0))=TRUE)</formula>
    </cfRule>
  </conditionalFormatting>
  <conditionalFormatting sqref="P83 AB83 AN83 AZ83">
    <cfRule type="expression" dxfId="895" priority="891">
      <formula>OR(AND(P83="",P$22&gt;0),ISERROR(MATCH(P83,toestellen_KOEL_invoer,0)))</formula>
    </cfRule>
  </conditionalFormatting>
  <conditionalFormatting sqref="P84 AB84 AN84 AZ84 P86:P88 AB86:AB88 AN86:AN88 AZ86:AZ88 P90:P91 AB90:AB91 AN90:AN91 AZ90:AZ91 P93:P95 AB93:AB95 AN93:AN95 AZ93:AZ95 P97:P99 AB97:AB99 AN97:AN99 AZ97:AZ99">
    <cfRule type="expression" dxfId="894" priority="327">
      <formula>P$83="geen"</formula>
    </cfRule>
  </conditionalFormatting>
  <conditionalFormatting sqref="Q83 AC83 AO83 BA83">
    <cfRule type="expression" dxfId="893" priority="909">
      <formula>OR(AND(Q83="",Q$22&gt;0),ISERROR(MATCH(Q83,toestellen_TAP_invoer,0)))</formula>
    </cfRule>
  </conditionalFormatting>
  <conditionalFormatting sqref="Q90 AC90 AO90 BA90">
    <cfRule type="expression" dxfId="892" priority="6021">
      <formula>OR(AND(Q$22&gt;0,Q$78&gt;0,Q90=""),AND(Q90&lt;&gt;"ja",Q90&lt;&gt;"nee",Q90&lt;&gt;""))</formula>
    </cfRule>
  </conditionalFormatting>
  <conditionalFormatting sqref="T170:T171">
    <cfRule type="expression" dxfId="891" priority="469">
      <formula>T$27=0</formula>
    </cfRule>
  </conditionalFormatting>
  <conditionalFormatting sqref="T173:T174">
    <cfRule type="expression" dxfId="890" priority="467">
      <formula>T$27=0</formula>
    </cfRule>
  </conditionalFormatting>
  <conditionalFormatting sqref="T180">
    <cfRule type="expression" dxfId="889" priority="466">
      <formula>T$27=0</formula>
    </cfRule>
  </conditionalFormatting>
  <conditionalFormatting sqref="T233">
    <cfRule type="expression" dxfId="888" priority="470">
      <formula>T$27=0</formula>
    </cfRule>
  </conditionalFormatting>
  <conditionalFormatting sqref="T246">
    <cfRule type="expression" dxfId="887" priority="669">
      <formula>T$27=0</formula>
    </cfRule>
  </conditionalFormatting>
  <conditionalFormatting sqref="T263:T264">
    <cfRule type="expression" dxfId="886" priority="659">
      <formula>T$27=0</formula>
    </cfRule>
  </conditionalFormatting>
  <conditionalFormatting sqref="U169:W171">
    <cfRule type="expression" dxfId="885" priority="962">
      <formula>U$27=0</formula>
    </cfRule>
  </conditionalFormatting>
  <conditionalFormatting sqref="Y50">
    <cfRule type="expression" dxfId="884" priority="29">
      <formula>Y$22=0</formula>
    </cfRule>
    <cfRule type="expression" dxfId="883" priority="30">
      <formula>AND(Y$22&gt;0,Y50&lt;&gt;"ja",Y50&lt;&gt;"nee")</formula>
    </cfRule>
  </conditionalFormatting>
  <conditionalFormatting sqref="Y52">
    <cfRule type="cellIs" dxfId="882" priority="135" operator="equal">
      <formula>"nee"</formula>
    </cfRule>
  </conditionalFormatting>
  <conditionalFormatting sqref="Y83">
    <cfRule type="cellIs" dxfId="881" priority="127" operator="equal">
      <formula>"nee"</formula>
    </cfRule>
  </conditionalFormatting>
  <conditionalFormatting sqref="Z38:AI39">
    <cfRule type="expression" dxfId="880" priority="195">
      <formula>OR(Z$17="",Z$22=0)</formula>
    </cfRule>
  </conditionalFormatting>
  <conditionalFormatting sqref="AA49:AB49">
    <cfRule type="expression" dxfId="879" priority="174">
      <formula>IF(AND($O$36&lt;&gt;"",$O$49=""),TRUE,FALSE)</formula>
    </cfRule>
  </conditionalFormatting>
  <conditionalFormatting sqref="AA123:AC123">
    <cfRule type="expression" dxfId="878" priority="104">
      <formula>AND(AA$78&gt;0,AA123="")</formula>
    </cfRule>
  </conditionalFormatting>
  <conditionalFormatting sqref="AA125:AC125">
    <cfRule type="expression" dxfId="877" priority="105">
      <formula>AND(AA$78&gt;0,AA125="")</formula>
    </cfRule>
  </conditionalFormatting>
  <conditionalFormatting sqref="AA154:AC154">
    <cfRule type="expression" dxfId="876" priority="61">
      <formula>AND(AA$78&gt;0,AA$140&lt;&gt;"geen",AA154="")</formula>
    </cfRule>
  </conditionalFormatting>
  <conditionalFormatting sqref="AA156:AC156">
    <cfRule type="expression" dxfId="875" priority="60">
      <formula>AND(AA$78&gt;0,AA$140&lt;&gt;"geen",AA156="")</formula>
    </cfRule>
  </conditionalFormatting>
  <conditionalFormatting sqref="AA251:AC251">
    <cfRule type="expression" dxfId="874" priority="315">
      <formula>AA$27=0</formula>
    </cfRule>
  </conditionalFormatting>
  <conditionalFormatting sqref="AA229:AE229">
    <cfRule type="expression" dxfId="873" priority="731">
      <formula>AA$27=0</formula>
    </cfRule>
  </conditionalFormatting>
  <conditionalFormatting sqref="AA258:AE258">
    <cfRule type="expression" dxfId="872" priority="705">
      <formula>AA$27=0</formula>
    </cfRule>
  </conditionalFormatting>
  <conditionalFormatting sqref="AA17:AI17">
    <cfRule type="expression" dxfId="871" priority="97">
      <formula>AND(AA17&lt;&gt;"",ISERROR(MATCH(AA17,woningen_gebouwen_namen,0))=TRUE)</formula>
    </cfRule>
  </conditionalFormatting>
  <conditionalFormatting sqref="AA20:AI20">
    <cfRule type="expression" dxfId="870" priority="426">
      <formula>OR(AA$17="",AND(AA$19&lt;&gt;woning,AA$19&lt;&gt;woongebouw))</formula>
    </cfRule>
  </conditionalFormatting>
  <conditionalFormatting sqref="AA21:AI21">
    <cfRule type="expression" dxfId="869" priority="94">
      <formula>AND(AA21&lt;&gt;"",ISERROR(MATCH(AA21,woningen_gebouwen_namen,0))=TRUE)</formula>
    </cfRule>
  </conditionalFormatting>
  <conditionalFormatting sqref="AA23:AI23">
    <cfRule type="expression" dxfId="868" priority="5254">
      <formula>AND(AA$17&lt;&gt;"",AA23="")</formula>
    </cfRule>
    <cfRule type="expression" dxfId="867" priority="5253">
      <formula>AND(AA$17="",AA23&gt;0)</formula>
    </cfRule>
  </conditionalFormatting>
  <conditionalFormatting sqref="AA24:AI27">
    <cfRule type="expression" dxfId="866" priority="2488">
      <formula>OR(AA$17="",AA$22=0)</formula>
    </cfRule>
  </conditionalFormatting>
  <conditionalFormatting sqref="AA28:AI28">
    <cfRule type="expression" dxfId="865" priority="93">
      <formula>AND(AA28&lt;&gt;"",ISERROR(MATCH(AA28,woningen_gebouwen_namen,0))=TRUE)</formula>
    </cfRule>
  </conditionalFormatting>
  <conditionalFormatting sqref="AA37:AI37">
    <cfRule type="expression" dxfId="864" priority="88">
      <formula>AND(AA37&lt;&gt;"",ISERROR(MATCH(AA37,woningen_gebouwen_namen,0))=TRUE)</formula>
    </cfRule>
  </conditionalFormatting>
  <conditionalFormatting sqref="AA39:AI39 O39:W39 AM39:AU39 AY39:BG39">
    <cfRule type="expression" dxfId="863" priority="204">
      <formula>AND(O$17&lt;&gt;"",O$22&gt;0,O39&lt;&gt;"",ISERROR(MATCH(O39,isolatiepakketten_gebouwschil_namen,0))=TRUE)</formula>
    </cfRule>
  </conditionalFormatting>
  <conditionalFormatting sqref="AA40:AI43">
    <cfRule type="expression" dxfId="862" priority="17">
      <formula>OR(AA$17="",AA$22=0)</formula>
    </cfRule>
  </conditionalFormatting>
  <conditionalFormatting sqref="AA44:AI49">
    <cfRule type="expression" dxfId="861" priority="175">
      <formula>OR(AA$17="",AA$22=0)</formula>
    </cfRule>
  </conditionalFormatting>
  <conditionalFormatting sqref="AA49:AI49">
    <cfRule type="expression" dxfId="860" priority="177">
      <formula>IF(AND($AA$36&lt;&gt;"",$AA$49=""),TRUE,FALSE)</formula>
    </cfRule>
  </conditionalFormatting>
  <conditionalFormatting sqref="AA51:AI51">
    <cfRule type="expression" dxfId="859" priority="87">
      <formula>AND(AA51&lt;&gt;"",ISERROR(MATCH(AA51,woningen_gebouwen_namen,0))=TRUE)</formula>
    </cfRule>
  </conditionalFormatting>
  <conditionalFormatting sqref="AA53:AI53">
    <cfRule type="expression" dxfId="858" priority="86">
      <formula>AND(AA53&lt;&gt;"",ISERROR(MATCH(AA53,woningen_gebouwen_namen,0))=TRUE)</formula>
    </cfRule>
  </conditionalFormatting>
  <conditionalFormatting sqref="AA60:AI60">
    <cfRule type="expression" dxfId="857" priority="79">
      <formula>AND(AA60&lt;&gt;"",ISERROR(MATCH(AA60,woningen_gebouwen_namen,0))=TRUE)</formula>
    </cfRule>
  </conditionalFormatting>
  <conditionalFormatting sqref="AA61:AI69">
    <cfRule type="expression" dxfId="856" priority="185">
      <formula>OR(AA$17="",AA$22=0)</formula>
    </cfRule>
  </conditionalFormatting>
  <conditionalFormatting sqref="AA70:AI70 AM70:AU70 AY70:BG70 AA72:AI72 AM72:AU72 AY72:BG72">
    <cfRule type="expression" dxfId="855" priority="73">
      <formula>AND(AA70&lt;&gt;"",ISERROR(MATCH(AA70,woningen_gebouwen_namen,0))=TRUE)</formula>
    </cfRule>
  </conditionalFormatting>
  <conditionalFormatting sqref="AA71:AI71">
    <cfRule type="expression" dxfId="854" priority="1168">
      <formula>OR(AA$17="",AA$22=0)</formula>
    </cfRule>
    <cfRule type="expression" dxfId="853" priority="1169">
      <formula>AND(AA$17&lt;&gt;"",AA71="")</formula>
    </cfRule>
  </conditionalFormatting>
  <conditionalFormatting sqref="AA73:AI73">
    <cfRule type="expression" dxfId="852" priority="2">
      <formula>OR(AA$17="",AA$22=0)</formula>
    </cfRule>
    <cfRule type="expression" dxfId="851" priority="3">
      <formula>AND(AA$17&lt;&gt;"",AA73="")</formula>
    </cfRule>
  </conditionalFormatting>
  <conditionalFormatting sqref="AA78:AI78">
    <cfRule type="expression" dxfId="850" priority="667">
      <formula>AA$27=0</formula>
    </cfRule>
  </conditionalFormatting>
  <conditionalFormatting sqref="AA268:AI268 AM268:AU268 AY268:BG268">
    <cfRule type="expression" dxfId="849" priority="63">
      <formula>AND(AA268&lt;&gt;"",ISERROR(MATCH(AA268,woningen_gebouwen_namen,0))=TRUE)</formula>
    </cfRule>
  </conditionalFormatting>
  <conditionalFormatting sqref="AA274:AI274 AM274:AU274 AY274:BG274">
    <cfRule type="expression" dxfId="848" priority="62">
      <formula>AND(AA274&lt;&gt;"",ISERROR(MATCH(AA274,woningen_gebouwen_namen,0))=TRUE)</formula>
    </cfRule>
  </conditionalFormatting>
  <conditionalFormatting sqref="AA281:AI281 AM281:AU281 AY281:BG281">
    <cfRule type="expression" dxfId="847" priority="72">
      <formula>AND(AA281&lt;&gt;"",ISERROR(MATCH(AA281,woningen_gebouwen_namen,0))=TRUE)</formula>
    </cfRule>
  </conditionalFormatting>
  <conditionalFormatting sqref="AA291:AI291 AM291:AU291 AY291:BG291">
    <cfRule type="expression" dxfId="846" priority="10">
      <formula>AND(AA291&lt;&gt;"",ISERROR(MATCH(AA291,woningen_gebouwen_namen,0))=TRUE)</formula>
    </cfRule>
  </conditionalFormatting>
  <conditionalFormatting sqref="AA293:AI293 AM293:AU293 AY293:BG293 AA297:AI297 AM297:AU297 AY297:BG297">
    <cfRule type="expression" dxfId="845" priority="65">
      <formula>AND(AA293&lt;&gt;"",ISERROR(MATCH(AA293,woningen_gebouwen_namen,0))=TRUE)</formula>
    </cfRule>
  </conditionalFormatting>
  <conditionalFormatting sqref="AA305:AI305 AM305:AU305 AY305:BG305 AA312:AI312 AM312:AU312 AY312:BG312 AA314:AI314 AM314:AU314 AY314:BG314 AA316:AI316 AM316:AU316 AY316:BG316">
    <cfRule type="expression" dxfId="844" priority="70">
      <formula>AND(AA305&lt;&gt;"",ISERROR(MATCH(AA305,woningen_gebouwen_namen,0))=TRUE)</formula>
    </cfRule>
  </conditionalFormatting>
  <conditionalFormatting sqref="AA321:AI321 AM321:AU321 AY321:BG321">
    <cfRule type="expression" dxfId="843" priority="69">
      <formula>AND(AA321&lt;&gt;"",ISERROR(MATCH(AA321,woningen_gebouwen_namen,0))=TRUE)</formula>
    </cfRule>
  </conditionalFormatting>
  <conditionalFormatting sqref="AA323:AI323 AM323:AU323 AY323:BG323 AA327:AI327 AM327:AU327 AY327:BG327 AA332:AI332 AM332:AU332 AY332:BG332 AA335:AI335 AM335:AU335 AY335:BG335 AA338:AI338 AM338:AU338 AY338:BG338">
    <cfRule type="expression" dxfId="842" priority="68">
      <formula>AND(AA323&lt;&gt;"",ISERROR(MATCH(AA323,woningen_gebouwen_namen,0))=TRUE)</formula>
    </cfRule>
  </conditionalFormatting>
  <conditionalFormatting sqref="AA328:AI328">
    <cfRule type="expression" dxfId="841" priority="182">
      <formula>OR(AA$17="",AA$22=0)</formula>
    </cfRule>
  </conditionalFormatting>
  <conditionalFormatting sqref="AA329:AI331 AM329:AU331">
    <cfRule type="expression" dxfId="840" priority="219">
      <formula>AA$22=0</formula>
    </cfRule>
  </conditionalFormatting>
  <conditionalFormatting sqref="AA337:AI337">
    <cfRule type="expression" dxfId="839" priority="275">
      <formula>AND(AA337&lt;&gt;"nvt",AA337&lt;=AA336)</formula>
    </cfRule>
    <cfRule type="expression" dxfId="838" priority="274">
      <formula>AND(AA337&lt;&gt;"nvt",AA337&gt;AA336)</formula>
    </cfRule>
  </conditionalFormatting>
  <conditionalFormatting sqref="AA340:AI340">
    <cfRule type="expression" dxfId="837" priority="273">
      <formula>AND(AA340&lt;&gt;"nvt",AA340&lt;=AA339)</formula>
    </cfRule>
    <cfRule type="expression" dxfId="836" priority="272">
      <formula>AND(AA340&lt;&gt;"nvt",AA340&gt;AA339)</formula>
    </cfRule>
  </conditionalFormatting>
  <conditionalFormatting sqref="AA344:AI344 AM344:AU344 AY344:BG344">
    <cfRule type="expression" dxfId="835" priority="67">
      <formula>AND(AA344&lt;&gt;"",ISERROR(MATCH(AA344,woningen_gebouwen_namen,0))=TRUE)</formula>
    </cfRule>
  </conditionalFormatting>
  <conditionalFormatting sqref="AA345:AI353">
    <cfRule type="expression" dxfId="834" priority="496">
      <formula>AA$22=0</formula>
    </cfRule>
  </conditionalFormatting>
  <conditionalFormatting sqref="AA354:AI354 AM354:AU354 AY354:BG354 AA358:AI358 AM358:AU358 AY358:BG358">
    <cfRule type="expression" dxfId="833" priority="66">
      <formula>AND(AA354&lt;&gt;"",ISERROR(MATCH(AA354,woningen_gebouwen_namen,0))=TRUE)</formula>
    </cfRule>
  </conditionalFormatting>
  <conditionalFormatting sqref="AA359:AI360">
    <cfRule type="expression" dxfId="832" priority="114">
      <formula>AA$22=0</formula>
    </cfRule>
  </conditionalFormatting>
  <conditionalFormatting sqref="AA364:AI364 AM364:AU364 AY364:BG364 O303:W303 AA303:AI303 AM303:AU303 AY303:BG303">
    <cfRule type="expression" dxfId="831" priority="71">
      <formula>AND(O303&lt;&gt;"",ISERROR(MATCH(O303,woningen_gebouwen_namen,0))=TRUE)</formula>
    </cfRule>
  </conditionalFormatting>
  <conditionalFormatting sqref="AA371:AI371 AA373:AI373">
    <cfRule type="expression" dxfId="830" priority="113">
      <formula>AND(AA371&lt;&gt;"",ISERROR(MATCH(AA371,woningen_gebouwen_namen,0))=TRUE)</formula>
    </cfRule>
  </conditionalFormatting>
  <conditionalFormatting sqref="AA329:AU330">
    <cfRule type="expression" dxfId="829" priority="1586">
      <formula>AA329&gt;AA324</formula>
    </cfRule>
  </conditionalFormatting>
  <conditionalFormatting sqref="AF263:AF264">
    <cfRule type="expression" dxfId="828" priority="616">
      <formula>AF$27=0</formula>
    </cfRule>
  </conditionalFormatting>
  <conditionalFormatting sqref="AF251:AK258">
    <cfRule type="expression" dxfId="827" priority="510">
      <formula>AF$27=0</formula>
    </cfRule>
  </conditionalFormatting>
  <conditionalFormatting sqref="AJ338 AV338">
    <cfRule type="expression" dxfId="826" priority="264">
      <formula>AJ338&lt;AJ333</formula>
    </cfRule>
  </conditionalFormatting>
  <conditionalFormatting sqref="AK50">
    <cfRule type="expression" dxfId="825" priority="27">
      <formula>AK$22=0</formula>
    </cfRule>
    <cfRule type="expression" dxfId="824" priority="28">
      <formula>AND(AK$22&gt;0,AK50&lt;&gt;"ja",AK50&lt;&gt;"nee")</formula>
    </cfRule>
  </conditionalFormatting>
  <conditionalFormatting sqref="AK52">
    <cfRule type="cellIs" dxfId="823" priority="134" operator="equal">
      <formula>"nee"</formula>
    </cfRule>
  </conditionalFormatting>
  <conditionalFormatting sqref="AK83">
    <cfRule type="cellIs" dxfId="822" priority="126" operator="equal">
      <formula>"nee"</formula>
    </cfRule>
  </conditionalFormatting>
  <conditionalFormatting sqref="AM123:AO123">
    <cfRule type="expression" dxfId="821" priority="102">
      <formula>AND(AM$78&gt;0,AM123="")</formula>
    </cfRule>
  </conditionalFormatting>
  <conditionalFormatting sqref="AM125:AO125">
    <cfRule type="expression" dxfId="820" priority="103">
      <formula>AND(AM$78&gt;0,AM125="")</formula>
    </cfRule>
  </conditionalFormatting>
  <conditionalFormatting sqref="AM154:AO154">
    <cfRule type="expression" dxfId="819" priority="59">
      <formula>AND(AM$78&gt;0,AM$140&lt;&gt;"geen",AM154="")</formula>
    </cfRule>
  </conditionalFormatting>
  <conditionalFormatting sqref="AM156:AO156">
    <cfRule type="expression" dxfId="818" priority="58">
      <formula>AND(AM$78&gt;0,AM$140&lt;&gt;"geen",AM156="")</formula>
    </cfRule>
  </conditionalFormatting>
  <conditionalFormatting sqref="AM251:AO251">
    <cfRule type="expression" dxfId="817" priority="314">
      <formula>AM$27=0</formula>
    </cfRule>
  </conditionalFormatting>
  <conditionalFormatting sqref="AM17:AU17">
    <cfRule type="expression" dxfId="816" priority="96">
      <formula>AND(AM17&lt;&gt;"",ISERROR(MATCH(AM17,woningen_gebouwen_namen,0))=TRUE)</formula>
    </cfRule>
  </conditionalFormatting>
  <conditionalFormatting sqref="AM20:AU20">
    <cfRule type="expression" dxfId="815" priority="425">
      <formula>OR(AM$17="",AND(AM$19&lt;&gt;woning,AM$19&lt;&gt;woongebouw))</formula>
    </cfRule>
  </conditionalFormatting>
  <conditionalFormatting sqref="AM21:AU21">
    <cfRule type="expression" dxfId="814" priority="91">
      <formula>AND(AM21&lt;&gt;"",ISERROR(MATCH(AM21,woningen_gebouwen_namen,0))=TRUE)</formula>
    </cfRule>
  </conditionalFormatting>
  <conditionalFormatting sqref="AM28:AU28">
    <cfRule type="expression" dxfId="813" priority="92">
      <formula>AND(AM28&lt;&gt;"",ISERROR(MATCH(AM28,woningen_gebouwen_namen,0))=TRUE)</formula>
    </cfRule>
  </conditionalFormatting>
  <conditionalFormatting sqref="AM37:AU37">
    <cfRule type="expression" dxfId="812" priority="83">
      <formula>AND(AM37&lt;&gt;"",ISERROR(MATCH(AM37,woningen_gebouwen_namen,0))=TRUE)</formula>
    </cfRule>
  </conditionalFormatting>
  <conditionalFormatting sqref="AM38:AU43">
    <cfRule type="expression" dxfId="811" priority="16">
      <formula>OR(AM$17="",AM$22=0)</formula>
    </cfRule>
  </conditionalFormatting>
  <conditionalFormatting sqref="AM44:AU44 AA44:AI44 O44:W44 AY44:BG44">
    <cfRule type="expression" dxfId="810" priority="4618">
      <formula>OR(O44&lt;0.5,O44&gt;2,AND(O$17&lt;&gt;"",O44=""))</formula>
    </cfRule>
  </conditionalFormatting>
  <conditionalFormatting sqref="AM44:AU49">
    <cfRule type="expression" dxfId="809" priority="202">
      <formula>OR(AM$17="",AM$22=0)</formula>
    </cfRule>
  </conditionalFormatting>
  <conditionalFormatting sqref="AM48:AU48 AA48:AI48 O48:W48 AY48:BG48">
    <cfRule type="expression" dxfId="808" priority="5245">
      <formula>OR(O48&lt;0,O48&gt;1,AND(O$17&lt;&gt;"",O48=""))</formula>
    </cfRule>
  </conditionalFormatting>
  <conditionalFormatting sqref="AM49:AU49">
    <cfRule type="expression" dxfId="807" priority="190">
      <formula>IF(AND($AM$36&lt;&gt;"",$AM$49=""),TRUE,FALSE)</formula>
    </cfRule>
  </conditionalFormatting>
  <conditionalFormatting sqref="AM51:AU51">
    <cfRule type="expression" dxfId="806" priority="85">
      <formula>AND(AM51&lt;&gt;"",ISERROR(MATCH(AM51,woningen_gebouwen_namen,0))=TRUE)</formula>
    </cfRule>
  </conditionalFormatting>
  <conditionalFormatting sqref="AM53:AU53">
    <cfRule type="expression" dxfId="805" priority="84">
      <formula>AND(AM53&lt;&gt;"",ISERROR(MATCH(AM53,woningen_gebouwen_namen,0))=TRUE)</formula>
    </cfRule>
  </conditionalFormatting>
  <conditionalFormatting sqref="AM60:AU60">
    <cfRule type="expression" dxfId="804" priority="78">
      <formula>AND(AM60&lt;&gt;"",ISERROR(MATCH(AM60,woningen_gebouwen_namen,0))=TRUE)</formula>
    </cfRule>
  </conditionalFormatting>
  <conditionalFormatting sqref="AM73:AU73">
    <cfRule type="expression" dxfId="803" priority="330">
      <formula>OR(AM$17="",AM$22=0)</formula>
    </cfRule>
    <cfRule type="expression" dxfId="802" priority="331">
      <formula>AND(AM$17&lt;&gt;"",AM73="")</formula>
    </cfRule>
  </conditionalFormatting>
  <conditionalFormatting sqref="AM78:AU78 AY78:BG78 O240:T245 AM251:AU258 AW251:AW258 AY251:BD258">
    <cfRule type="expression" dxfId="801" priority="665">
      <formula>O$27=0</formula>
    </cfRule>
  </conditionalFormatting>
  <conditionalFormatting sqref="AM269:AU270">
    <cfRule type="expression" dxfId="800" priority="552">
      <formula>AM$22=0</formula>
    </cfRule>
  </conditionalFormatting>
  <conditionalFormatting sqref="AM333:AU334">
    <cfRule type="expression" dxfId="799" priority="214">
      <formula>AM$22=0</formula>
    </cfRule>
  </conditionalFormatting>
  <conditionalFormatting sqref="AM334:AU334 AY334:BG334 O334:W334 AA334:AI334">
    <cfRule type="expression" dxfId="798" priority="5836">
      <formula>#REF!&lt;O$330</formula>
    </cfRule>
  </conditionalFormatting>
  <conditionalFormatting sqref="AM337:AU337">
    <cfRule type="expression" dxfId="797" priority="269">
      <formula>AND(AM337&lt;&gt;"nvt",AM337&lt;=AM336)</formula>
    </cfRule>
    <cfRule type="expression" dxfId="796" priority="268">
      <formula>AND(AM337&lt;&gt;"nvt",AM337&gt;AM336)</formula>
    </cfRule>
  </conditionalFormatting>
  <conditionalFormatting sqref="AM340:AU340">
    <cfRule type="expression" dxfId="795" priority="267">
      <formula>AND(AM340&lt;&gt;"nvt",AM340&lt;=AM339)</formula>
    </cfRule>
    <cfRule type="expression" dxfId="794" priority="266">
      <formula>AND(AM340&lt;&gt;"nvt",AM340&gt;AM339)</formula>
    </cfRule>
  </conditionalFormatting>
  <conditionalFormatting sqref="AM345:AU353">
    <cfRule type="expression" dxfId="793" priority="495">
      <formula>AM$22=0</formula>
    </cfRule>
  </conditionalFormatting>
  <conditionalFormatting sqref="AM371:AU371 AM373:AU373">
    <cfRule type="expression" dxfId="792" priority="110">
      <formula>AND(AM371&lt;&gt;"",ISERROR(MATCH(AM371,woningen_gebouwen_namen,0))=TRUE)</formula>
    </cfRule>
  </conditionalFormatting>
  <conditionalFormatting sqref="AM373:AU374 O294:W296 AA294:AI296 AM294:AU296 AY294:BG296 O359:W360 AM359:AU360 AY359:BG360">
    <cfRule type="expression" dxfId="791" priority="120">
      <formula>O$22=0</formula>
    </cfRule>
  </conditionalFormatting>
  <conditionalFormatting sqref="AM374:AU374">
    <cfRule type="expression" dxfId="790" priority="53">
      <formula>AM$22=0</formula>
    </cfRule>
  </conditionalFormatting>
  <conditionalFormatting sqref="AR263:AR264">
    <cfRule type="expression" dxfId="789" priority="570">
      <formula>AR$27=0</formula>
    </cfRule>
  </conditionalFormatting>
  <conditionalFormatting sqref="AW50">
    <cfRule type="expression" dxfId="788" priority="25">
      <formula>AW$22=0</formula>
    </cfRule>
    <cfRule type="expression" dxfId="787" priority="26">
      <formula>AND(AW$22&gt;0,AW50&lt;&gt;"ja",AW50&lt;&gt;"nee")</formula>
    </cfRule>
  </conditionalFormatting>
  <conditionalFormatting sqref="AW52">
    <cfRule type="cellIs" dxfId="786" priority="133" operator="equal">
      <formula>"nee"</formula>
    </cfRule>
  </conditionalFormatting>
  <conditionalFormatting sqref="AW83">
    <cfRule type="cellIs" dxfId="785" priority="125" operator="equal">
      <formula>"nee"</formula>
    </cfRule>
  </conditionalFormatting>
  <conditionalFormatting sqref="AY109:BA109">
    <cfRule type="expression" dxfId="784" priority="5134">
      <formula>AND(AY$78&gt;0,AY109="")</formula>
    </cfRule>
  </conditionalFormatting>
  <conditionalFormatting sqref="AY123:BA123">
    <cfRule type="expression" dxfId="783" priority="100">
      <formula>AND(AY$78&gt;0,AY123="")</formula>
    </cfRule>
  </conditionalFormatting>
  <conditionalFormatting sqref="AY125:BA125">
    <cfRule type="expression" dxfId="782" priority="101">
      <formula>AND(AY$78&gt;0,AY125="")</formula>
    </cfRule>
  </conditionalFormatting>
  <conditionalFormatting sqref="AY154:BA154">
    <cfRule type="expression" dxfId="781" priority="57">
      <formula>AND(AY$78&gt;0,AY$140&lt;&gt;"geen",AY154="")</formula>
    </cfRule>
  </conditionalFormatting>
  <conditionalFormatting sqref="AY156:BA156">
    <cfRule type="expression" dxfId="780" priority="56">
      <formula>AND(AY$78&gt;0,AY$140&lt;&gt;"geen",AY156="")</formula>
    </cfRule>
  </conditionalFormatting>
  <conditionalFormatting sqref="AY251:BA251">
    <cfRule type="expression" dxfId="779" priority="313">
      <formula>AY$27=0</formula>
    </cfRule>
  </conditionalFormatting>
  <conditionalFormatting sqref="AY229:BC229">
    <cfRule type="expression" dxfId="778" priority="729">
      <formula>AY$27=0</formula>
    </cfRule>
  </conditionalFormatting>
  <conditionalFormatting sqref="AY17:BG17">
    <cfRule type="expression" dxfId="777" priority="95">
      <formula>AND(AY17&lt;&gt;"",ISERROR(MATCH(AY17,woningen_gebouwen_namen,0))=TRUE)</formula>
    </cfRule>
  </conditionalFormatting>
  <conditionalFormatting sqref="AY20:BG20">
    <cfRule type="expression" dxfId="776" priority="424">
      <formula>OR(AY$17="",AND(AY$19&lt;&gt;woning,AY$19&lt;&gt;woongebouw))</formula>
    </cfRule>
  </conditionalFormatting>
  <conditionalFormatting sqref="AY21:BG21">
    <cfRule type="expression" dxfId="775" priority="90">
      <formula>AND(AY21&lt;&gt;"",ISERROR(MATCH(AY21,woningen_gebouwen_namen,0))=TRUE)</formula>
    </cfRule>
  </conditionalFormatting>
  <conditionalFormatting sqref="AY28:BG28">
    <cfRule type="expression" dxfId="774" priority="89">
      <formula>AND(AY28&lt;&gt;"",ISERROR(MATCH(AY28,woningen_gebouwen_namen,0))=TRUE)</formula>
    </cfRule>
  </conditionalFormatting>
  <conditionalFormatting sqref="AY37:BG37">
    <cfRule type="expression" dxfId="773" priority="82">
      <formula>AND(AY37&lt;&gt;"",ISERROR(MATCH(AY37,woningen_gebouwen_namen,0))=TRUE)</formula>
    </cfRule>
  </conditionalFormatting>
  <conditionalFormatting sqref="AY38:BG43">
    <cfRule type="expression" dxfId="772" priority="15">
      <formula>OR(AY$17="",AY$22=0)</formula>
    </cfRule>
  </conditionalFormatting>
  <conditionalFormatting sqref="AY49:BG49">
    <cfRule type="expression" dxfId="771" priority="176">
      <formula>IF(AND($AY$36&lt;&gt;"",$AY$49=""),TRUE,FALSE)</formula>
    </cfRule>
  </conditionalFormatting>
  <conditionalFormatting sqref="AY51:BG51">
    <cfRule type="expression" dxfId="770" priority="81">
      <formula>AND(AY51&lt;&gt;"",ISERROR(MATCH(AY51,woningen_gebouwen_namen,0))=TRUE)</formula>
    </cfRule>
  </conditionalFormatting>
  <conditionalFormatting sqref="AY53:BG53">
    <cfRule type="expression" dxfId="769" priority="80">
      <formula>AND(AY53&lt;&gt;"",ISERROR(MATCH(AY53,woningen_gebouwen_namen,0))=TRUE)</formula>
    </cfRule>
  </conditionalFormatting>
  <conditionalFormatting sqref="AY60:BG60">
    <cfRule type="expression" dxfId="768" priority="77">
      <formula>AND(AY60&lt;&gt;"",ISERROR(MATCH(AY60,woningen_gebouwen_namen,0))=TRUE)</formula>
    </cfRule>
  </conditionalFormatting>
  <conditionalFormatting sqref="AY73:BG73">
    <cfRule type="expression" dxfId="767" priority="328">
      <formula>OR(AY$17="",AY$22=0)</formula>
    </cfRule>
    <cfRule type="expression" dxfId="766" priority="329">
      <formula>AND(AY$17&lt;&gt;"",AY73="")</formula>
    </cfRule>
  </conditionalFormatting>
  <conditionalFormatting sqref="AY269:BG270">
    <cfRule type="expression" dxfId="765" priority="507">
      <formula>AY$22=0</formula>
    </cfRule>
  </conditionalFormatting>
  <conditionalFormatting sqref="AY329:BG330">
    <cfRule type="expression" dxfId="764" priority="1584">
      <formula>AY329&gt;AY324</formula>
    </cfRule>
  </conditionalFormatting>
  <conditionalFormatting sqref="AY329:BG331">
    <cfRule type="expression" dxfId="763" priority="957">
      <formula>AY$22=0</formula>
    </cfRule>
  </conditionalFormatting>
  <conditionalFormatting sqref="AY333:BG334">
    <cfRule type="expression" dxfId="762" priority="209">
      <formula>AY$22=0</formula>
    </cfRule>
  </conditionalFormatting>
  <conditionalFormatting sqref="AY336:BG337">
    <cfRule type="expression" dxfId="761" priority="487">
      <formula>AY$22=0</formula>
    </cfRule>
  </conditionalFormatting>
  <conditionalFormatting sqref="AY337:BG337">
    <cfRule type="expression" dxfId="760" priority="262">
      <formula>AND(AY337&lt;&gt;"nvt",AY337&gt;AY336)</formula>
    </cfRule>
    <cfRule type="expression" dxfId="759" priority="263">
      <formula>AND(AY337&lt;&gt;"nvt",AY337&lt;=AY336)</formula>
    </cfRule>
  </conditionalFormatting>
  <conditionalFormatting sqref="AY340:BG340">
    <cfRule type="expression" dxfId="758" priority="260">
      <formula>AND(AY340&lt;&gt;"nvt",AY340&gt;AY339)</formula>
    </cfRule>
    <cfRule type="expression" dxfId="757" priority="261">
      <formula>AND(AY340&lt;&gt;"nvt",AY340&lt;=AY339)</formula>
    </cfRule>
  </conditionalFormatting>
  <conditionalFormatting sqref="AY355:BG357">
    <cfRule type="expression" dxfId="756" priority="513">
      <formula>AY$22=0</formula>
    </cfRule>
  </conditionalFormatting>
  <conditionalFormatting sqref="AY364:BG374">
    <cfRule type="expression" dxfId="755" priority="4">
      <formula>AY$22=0</formula>
    </cfRule>
  </conditionalFormatting>
  <conditionalFormatting sqref="AY371:BG371 AY373:BG373">
    <cfRule type="expression" dxfId="754" priority="107">
      <formula>AND(AY371&lt;&gt;"",ISERROR(MATCH(AY371,woningen_gebouwen_namen,0))=TRUE)</formula>
    </cfRule>
  </conditionalFormatting>
  <conditionalFormatting sqref="BD180:BD181">
    <cfRule type="expression" dxfId="753" priority="472">
      <formula>BD$27=0</formula>
    </cfRule>
  </conditionalFormatting>
  <conditionalFormatting sqref="BD263:BD264">
    <cfRule type="expression" dxfId="752" priority="524">
      <formula>BD$27=0</formula>
    </cfRule>
  </conditionalFormatting>
  <conditionalFormatting sqref="BD331">
    <cfRule type="expression" dxfId="751" priority="536">
      <formula>BD331&lt;BD326</formula>
    </cfRule>
  </conditionalFormatting>
  <conditionalFormatting sqref="BH229 BH233">
    <cfRule type="expression" dxfId="750" priority="6583">
      <formula>AND(BH229&lt;&gt;"-",BH229&gt;#REF!)</formula>
    </cfRule>
  </conditionalFormatting>
  <conditionalFormatting sqref="BH230 BH234">
    <cfRule type="expression" dxfId="749" priority="6574">
      <formula>AND(BH230&lt;&gt;"-",BH230&gt;BH232)</formula>
    </cfRule>
  </conditionalFormatting>
  <conditionalFormatting sqref="BH231 BH235">
    <cfRule type="expression" dxfId="748" priority="1984">
      <formula>AND(BH231&lt;&gt;"-",BH231&gt;BH232)</formula>
    </cfRule>
  </conditionalFormatting>
  <conditionalFormatting sqref="BH269">
    <cfRule type="expression" dxfId="747" priority="4832">
      <formula>AND(BH269&lt;&gt;"-",BH269&gt;#REF!)</formula>
    </cfRule>
  </conditionalFormatting>
  <dataValidations xWindow="97" yWindow="1212" count="111">
    <dataValidation allowBlank="1" showInputMessage="1" showErrorMessage="1" promptTitle="CO2 emisse" prompt="De CO2 emissie in kg/m2.jaar per woningtype, per energiepost en voor het totaal._x000a__x000a_De CO2 emissie in ton/jaar per (deel)locatie, per energiepost en voor het totaal._x000a__x000a_" sqref="D343" xr:uid="{A3A12D46-CB7F-4FE8-AADE-076FD2CF8966}"/>
    <dataValidation type="list" allowBlank="1" showInputMessage="1" showErrorMessage="1" errorTitle="Toestel RV" error="Kies een beschikbaar toestel." sqref="AA83 O83 AM83 AY83" xr:uid="{E3DD390B-0C2B-4EBD-9C72-75E0626F9700}">
      <formula1>toestellen_RV_invoer</formula1>
    </dataValidation>
    <dataValidation allowBlank="1" showInputMessage="1" showErrorMessage="1" promptTitle="Primair totaal energiegebruik" prompt="Het primair totaal energiegebruik in kWh_prim/m2.jaar per woningtype, per energiepost en voor het totaal." sqref="D363" xr:uid="{B471E37A-CA4A-442C-AF47-CB7936135971}"/>
    <dataValidation allowBlank="1" showInputMessage="1" showErrorMessage="1" promptTitle="Warmte-/koudebehoefte" prompt="De warmte- en koudebehoefte van de woning of het utiliteitsgebouw is gegeven in kWh/m2._x000a__x000a_Het is geen maat voor BENG 1, omdat het ventilatiesysteem voor BENG 1 per definitie C1 moet zijn. En dat is hier niet het geval." sqref="D267" xr:uid="{959F8E59-C46D-45B1-B369-1C9EC04C6732}"/>
    <dataValidation allowBlank="1" showInputMessage="1" showErrorMessage="1" promptTitle="Mobiliteit" prompt="Het geschatte elektriciteitsgebruik voor mobiliteit, bijvoorbeeld door elektrische auto's, kan worden ingevuld in kWh per woning of per utiliteitsgebouw." sqref="D71" xr:uid="{20C1A7C7-E836-49C6-9E35-887C5AD41C87}"/>
    <dataValidation allowBlank="1" showInputMessage="1" showErrorMessage="1" promptTitle="PV" prompt="Opbrengst PV op gevel en dak in kWh per woning | utiliteitsgebouw." sqref="D73" xr:uid="{6FF0BE9D-A713-4EE6-A95B-57541D34D612}"/>
    <dataValidation allowBlank="1" showInputMessage="1" showErrorMessage="1" promptTitle="Karakteristiek energiegebruik" prompt="Totaal naar primaire energie omgerekend fossiele brandstoffen voor gebouwgebonden energiegebruik (voor woningen ZONDER verlichting), verminderd met primair energiegebruik op eigen perceel geproduceerde energie._x000a__x000a_Cf. NTA8800 par. 5.5." sqref="D304" xr:uid="{2745FAD5-4819-49BA-BB6B-0060C0C87A93}"/>
    <dataValidation allowBlank="1" showInputMessage="1" showErrorMessage="1" promptTitle="Relatieve bijdrage per type" prompt="De relatieve bijdrage per energiepost (verwarming, warmtapwater, ..) wordt per type woning, woongebouw, utiliteitsgebouw bepaald op basis van de primaire energiegebruiken conform EPG/BENG." sqref="D275" xr:uid="{CDFE3B71-5EB4-4C5D-9B97-B988DF444C38}"/>
    <dataValidation allowBlank="1" showInputMessage="1" showErrorMessage="1" promptTitle="Distributieverlies extern" prompt="Het warmteverlies bij warmtedistributie buiten het gebouw in MWh per woning en/of utiliteitsgebouw._x000a__x000a_Als hiervoor waarden beschikbaar zijn, kunnen de forfaitaire waarden uit het model worden overschreven." sqref="D92" xr:uid="{EE755FCD-EE53-4C23-BDD9-717D86F8E70E}"/>
    <dataValidation allowBlank="1" showInputMessage="1" showErrorMessage="1" promptTitle="Forfaitaire waarden PV" prompt="Forfaitaire waarde voor opbrengst van PV: 875 kWh/kWp._x000a_" sqref="D186" xr:uid="{314439A7-CC14-4B2E-B110-D361892B516B}"/>
    <dataValidation allowBlank="1" showInputMessage="1" showErrorMessage="1" promptTitle="Opwekkingsrendement" prompt="Binnen de Uniforme Maatlat wordt het opwekkingsrendement op bovenwaarde gebruikt." sqref="D111" xr:uid="{CB8A8E20-C1DE-4DAE-A36D-4A822BBBD114}"/>
    <dataValidation allowBlank="1" showInputMessage="1" showErrorMessage="1" promptTitle="Primaire energiefactor" prompt="Het is mogelijk een eigen primaire energiefactor in te voeren. _x000a_Let op: Het verrekenen van aftapwarmte gaat via 'gederfde elektriciteit'." sqref="D149" xr:uid="{4EB943FB-1609-46DA-905A-910881D0C3C4}"/>
    <dataValidation type="decimal" allowBlank="1" showInputMessage="1" showErrorMessage="1" sqref="AA151 O151 O155:Q155 AA155:AC155 AM155:AO155 AM151 AY151 AY155:BA155" xr:uid="{C7504A49-41E3-4DCF-8353-2D7A4C5473C6}">
      <formula1>0</formula1>
      <formula2>1</formula2>
    </dataValidation>
    <dataValidation type="whole" allowBlank="1" showInputMessage="1" showErrorMessage="1" sqref="AB151:AC151 AZ151:BA151 P151:Q151 AN151:AO151" xr:uid="{F346A92F-EC91-4E80-89ED-E3661BEBE5B9}">
      <formula1>0</formula1>
      <formula2>1</formula2>
    </dataValidation>
    <dataValidation allowBlank="1" showInputMessage="1" showErrorMessage="1" promptTitle="Regerenatie WKO" prompt="Indien regeneratie van de WKO wordt voorzien wordt het elektriciteitsverbruik voor regeneratie bepaald als volgt:_x000a_Elektriciteitsverbruik regeneratie = abs (hoeveelheid warmte uit aquifer – hoeveelheid koude uit aquifer) * specifiek vermogen regeneratie_x000a_" sqref="D132" xr:uid="{2CE5EDA2-9F22-4617-AF52-5224C1F2BED4}"/>
    <dataValidation allowBlank="1" showInputMessage="1" showErrorMessage="1" promptTitle="BENG-eisen" prompt="Als er meer dan één gebruiksfunctie is, dan is de eis gelijk aan het naar gebruiksoppervlakte gewogen gemiddelde over de verschillende functies." sqref="A315" xr:uid="{A531D7D1-07C5-4B24-B29F-877C2686B7A6}"/>
    <dataValidation type="list" allowBlank="1" showInputMessage="1" showErrorMessage="1" sqref="F5" xr:uid="{FC58D90B-854A-4D58-BD5B-E8560F869701}">
      <formula1>opwekking_elektriciteit</formula1>
    </dataValidation>
    <dataValidation type="list" allowBlank="1" showInputMessage="1" showErrorMessage="1" sqref="P83 AN83 AB83 AZ83" xr:uid="{BF2F42B6-F3DE-4B01-9EEB-27F88A7F6AE3}">
      <formula1>toestellen_KOEL_invoer</formula1>
    </dataValidation>
    <dataValidation type="list" allowBlank="1" showInputMessage="1" showErrorMessage="1" sqref="Q83 AC83 AO83 BA83" xr:uid="{E730BBB4-8875-4FE2-ABF6-03233CC831F1}">
      <formula1>toestellen_TAP_invoer</formula1>
    </dataValidation>
    <dataValidation allowBlank="1" showInputMessage="1" showErrorMessage="1" promptTitle="Distributieverlies binnen gebouw" prompt="Warmtedistributieverlies binnen woning|gebouw voor ruimteverwarming en warmtapwater, en afgifteverlies (radiator, vloerverwarming) voor ruimteverwarming._x000a_(Afgifteverlies voor warmtapwater zit verwerkt in het kengetal voor energiebehoefte warmtapwater.)" sqref="D85" xr:uid="{07667BB5-B5D3-4D1E-92BA-BAF6ED370C0A}"/>
    <dataValidation allowBlank="1" showInputMessage="1" showErrorMessage="1" promptTitle="Gegevensfilter en navigatie" prompt="&lt;-_x000a_Het gegevensfilter biedt de mogelijkheid om (delen van) tabellen in de UMGO te filteren._x000a__x000a_-&gt;_x000a_Navigatieknoppen naar andere tabbladen." sqref="D8" xr:uid="{8EB41D1A-FB67-42E0-A888-2D0AB8812A25}"/>
    <dataValidation allowBlank="1" showInputMessage="1" showErrorMessage="1" promptTitle="Warmtebehoefte warmtapwater" prompt="De energiebehoefte voor warmtapwatergebruik wordt berekend op basis van rekenregels in NTA8800 (paragraaf 13.2)." sqref="D65" xr:uid="{ADBF0287-9781-4CE3-8C8F-8E8A66538DD6}"/>
    <dataValidation allowBlank="1" showInputMessage="1" showErrorMessage="1" promptTitle="Isolatiepakket gebouwschil" prompt="De aangeboden isolatiepakketten voor de gebouwschil bepalen de gemiddelde warmtedoorgangscoëfficiënt van de gebouwschil. In de bibliotheek zijn de Rc- en U-waarden per pakket en per bouwdeel aangegeven._x000a__x000a_Eigen pakketten zijn daaraan toe te voegen." sqref="D38" xr:uid="{752AC3BB-451F-482E-8D9A-C2499AA8D86B}"/>
    <dataValidation type="list" allowBlank="1" showInputMessage="1" showErrorMessage="1" errorTitle="Toestel RV" error="Kies een beschikbaar toestel." sqref="Q90 AA90 AC90 AM90 AO90 AY90 BA90 O90" xr:uid="{D73A7A98-F399-48E6-B015-68667823EB82}">
      <formula1>"ja,nee"</formula1>
    </dataValidation>
    <dataValidation allowBlank="1" showErrorMessage="1" promptTitle="Correctiefactor ruimteverwarming" prompt="Werkelijk energiegebruik voor ruimteverwarming wijkt vaak af van energiegebruik cf. EPG._x000a__x000a_Slecht geïsoleerde woningen verbruiken gemiddeld minder en goed geïsoleerde woningen verbruiken gemiddeld meer dan berekend._x000a__x000a_Deze correctiefactor verrekent dat." sqref="D56" xr:uid="{3DC29C14-7A9C-47C9-868D-6952E423DCAA}"/>
    <dataValidation type="list" allowBlank="1" showInputMessage="1" showErrorMessage="1" sqref="O40:W40 AY40:BG40 AA40:AI40 AM40:AU40" xr:uid="{732BF28C-9E82-441F-BE04-64EFBD19AC37}">
      <formula1>ventilatiesystemen_namen</formula1>
    </dataValidation>
    <dataValidation type="list" allowBlank="1" showInputMessage="1" showErrorMessage="1" sqref="AM41:AU41 AA41:AI41 AY41:BG41 O41:W41" xr:uid="{984FD9D4-3B45-487B-9CF9-EB3D2FB6691F}">
      <formula1>ventilatoren_typen</formula1>
    </dataValidation>
    <dataValidation type="list" allowBlank="1" showInputMessage="1" showErrorMessage="1" sqref="AM46:AU46 AA46:AI46 AY46:BG46 O46:W46" xr:uid="{72EC363D-3EA9-4083-912E-018FA9EA24A7}">
      <formula1>verlichtingsregeling_namen</formula1>
    </dataValidation>
    <dataValidation allowBlank="1" showInputMessage="1" showErrorMessage="1" promptTitle="Vermogen verwarming &amp; koeling" prompt="Een indicatie van het verwarmings- en koelvermogen op basis van formules NTA8800. Zie 'bibliotheek' voor meer details." sqref="D99" xr:uid="{3079F8E6-90AD-4395-A017-1D5A4FC675E9}"/>
    <dataValidation allowBlank="1" showInputMessage="1" showErrorMessage="1" promptTitle="Aantal toestellen" prompt="Voor toestellen met geografisch niveau:_x000a_- 'gebouw': aantal woningen en gebouwen in deellocatie._x000a_- 'gebied': totale gebruiksoppervlakte in deelgebied delen door gemiddeld maximaal te verwarmen/koelen oppervlak._x000a_- 'centraal': 1." sqref="D98" xr:uid="{DB581705-0A3D-4B71-B0C1-5196DDCDF890}"/>
    <dataValidation allowBlank="1" showInputMessage="1" showErrorMessage="1" promptTitle="Hernieuwbare energie warmtepomp" prompt="Ingezette hernieuwbare energie door warmtepompen. Mits EN:_x000a_- COP (of eta) &gt;=1,0;_x000a_- bron is GEEN ventilatieretourlucht_x000a_- warmtepomp GEEN booster-wp._x000a__x000a_EPren;hp = QHW;gen;hp;out * (1-1/COP) * fPren;renheat_x000a__x000a_Cf. NTA8800 par. 5.6.2." sqref="D306 D251" xr:uid="{82A7078C-580F-462E-958C-476253D5F877}"/>
    <dataValidation allowBlank="1" showInputMessage="1" showErrorMessage="1" promptTitle="Hernieuwbare energie biomassa" prompt="Ingezette hernieuwbare energie door biomassatoestel._x000a__x000a_EPren;gen;out = QHW;gen;out * fPren;bmX_x000a__x000a_Waarbij de X in fPren;bmX staat voor A, B of C afhankelijk van het type biomassa._x000a__x000a_Cf. NTA8800 par. 5.6.2._x000a_" sqref="D308 D253" xr:uid="{B49E92EA-4D24-447F-936A-2016E556E3A0}"/>
    <dataValidation allowBlank="1" showInputMessage="1" showErrorMessage="1" promptTitle="Hernieuwbaar ext. warmte/koude" prompt="Ingezette hernieuwbare energie door externe warmte-/koudelevering. Waarbij de X in fPren;d[hcw]X staat voor 'kwal' (met) of 'forf' (zonder kwalteitsverklaring)._x000a__x000a_EPren;gen;out = Q[HCW];gen;out * fPren;d[hcw]X_x000a__x000a_Cf. NTA8800 par. 5.6.2._x000a_" sqref="D309" xr:uid="{9B5FB2E0-7A32-4F2A-8307-8D285BC9533B}"/>
    <dataValidation allowBlank="1" showInputMessage="1" showErrorMessage="1" promptTitle="Hernieuwbaar zonne-energie therm" prompt="Onder praktijkomstandigheden aangeleverde hoeveelheid hernieuwbare energie, door thermische zonne-energiesystemen (zonneboiler(combi)s op eigen perceel._x000a__x000a_EPren;sol;prac = QHW;sol;prac * fPren;renheat_x000a__x000a_Cf. NTA8800 par. 5.6.2._x000a_" sqref="D311 D256" xr:uid="{CE91BCAF-92BE-4089-9580-3BD281477EE4}"/>
    <dataValidation allowBlank="1" showInputMessage="1" showErrorMessage="1" promptTitle="Hernieuwbaar opgewekte elek." prompt="Op het eigen perceel opgewekte primaire hernieuwbare elektriciteit._x000a__x000a_EPren;el = Eel;PV/PVT/wind * fPren;renelect_x000a__x000a_Cf. NTA8800 par. 5.6.2.4." sqref="D313 D257" xr:uid="{75D51F46-CDD9-40DF-9A2B-A301A2DB8735}"/>
    <dataValidation allowBlank="1" showInputMessage="1" showErrorMessage="1" promptTitle="Totaal hernieuwbare prim energie" prompt="Hernieuwbare 'primaire' energie van de woning of het gebouw." sqref="D315" xr:uid="{88D2F169-EF58-4AB0-BCEC-D1FC6DEFF137}"/>
    <dataValidation allowBlank="1" showInputMessage="1" showErrorMessage="1" promptTitle="Hernieuwb. abs. koel ext. warmte" prompt="Geleverde energie door absorptiekoeling op externe warmtelevering._x000a__x000a_EPren;gen;out = QC;gen;out * fPren;dhX_x000a__x000a_Waarbij de X in fPren;dhX staat voor 'kwal' (met) of 'forf' (zonder kwalteitsverklaring)._x000a__x000a_Cf. NTA8800 par. 5.6.2." sqref="D310 D255" xr:uid="{5010E6AD-1C41-4C95-AEA0-DE55B7EBDF0C}"/>
    <dataValidation allowBlank="1" showInputMessage="1" showErrorMessage="1" promptTitle="Aandeel hernieuwb. prim energie" prompt="Aandeel hernieuwbare energie._x000a__x000a_RERPrenTOT = EPrenTot / (EPTot + EPrenTot) * 100%_x000a__x000a_Cf. NTA8800 par. 5.3.1.3, formule 5.3" sqref="D317" xr:uid="{054D8929-2850-4D7B-9973-0C0499953701}"/>
    <dataValidation allowBlank="1" showInputMessage="1" showErrorMessage="1" promptTitle="Hernieuwbaar door vrije koeling" prompt="Geleverde energie door vrije koeling. Mits EER &gt;= 8 (anders EPren;gen;out = 0)_x000a__x000a_EPren;gen;out = QC;gen;out * fPren;rencold_x000a__x000a_Cf. NTA8800 par. 5.6.2.2_x000a_" sqref="D307 D252" xr:uid="{18B9C8E2-BCF8-4AAA-B6C7-50C04465C9D1}"/>
    <dataValidation allowBlank="1" showInputMessage="1" showErrorMessage="1" promptTitle="Warmtebehoefte ruimteverwarming" prompt="De warmtebehoefte voor verwarming is afgeleid met data van gebouwen uit de energielabeldatabase (UT) en Voorbeeldgebouwen 2020. Na (her)berekenen met NTA8800 is een verband afgeleid tussen warmtebehoefte en:_x000a_- Als/Ag_x000a_- U gem_x000a_- vent.sys." sqref="D62" xr:uid="{9246FC70-D5DE-481A-A012-7B4FE91F14DE}"/>
    <dataValidation allowBlank="1" showInputMessage="1" showErrorMessage="1" promptTitle="Koudebehoefte koeling" prompt="De koudebehoefte voor koeling is afgeleid met data van gebouwen uit de energielabeldatabase (UT) en Voorbeeldgebouwen 2020. Na (her)berekenen met NTA8800 is een verband afgeleid tussen koudebehoefte en:_x000a_- Als/Ag_x000a_- U gem_x000a_- vent.sys." sqref="D64" xr:uid="{73A2DA58-0850-4212-B3D1-F68E5C38CF50}"/>
    <dataValidation allowBlank="1" showInputMessage="1" showErrorMessage="1" promptTitle="Elektriciteitsvraag verlichting" prompt="De elektriciteitsvraag voor verlichting is afgeleid met gebouwen uit de energielabeldatabase (UT) en Voorbeeldgebouwen 2020. Na (her)berekenen met NTA8800 wordt de elektricitetsvraag berekend obv:_x000a_- geïnstalleerd vermogen in W/m2_x000a_- verlichtingsregeling" sqref="D66" xr:uid="{BB1A4861-63AF-497D-82B0-8A069B4BF785}"/>
    <dataValidation allowBlank="1" showInputMessage="1" showErrorMessage="1" promptTitle="Elektriciteitsvraag ventilatoren" prompt="De elektriciteitsvraag voor ventilatoren is afgeleid met gebouwen uit de energielabeldatabase (UT) en Voorbeeldgebouwen 2020. Na (her)berekenen met NTA8800 wordt de elektricitetsvraag berekend obv:_x000a_- ventilatiesysteem_x000a_- wissel-gelijkstroom/installatiejaar" sqref="D67" xr:uid="{AC29EABB-BED5-4997-965F-A428157B2D96}"/>
    <dataValidation allowBlank="1" showInputMessage="1" showErrorMessage="1" promptTitle="Elektriciteitsgebruik overig" prompt="Het elektriciteitsgebruik binnen het gebouw, niet gerelateerd aan gebouwinstallaties (computers, printers, elektrisch koken, klusapparatuur et cetera)._x000a__x000a_Voor woningen zijn CBS cijfers gebruikt. Voor utiliteitsgebouwen tabel 7.3 uit NTA8800." sqref="D69" xr:uid="{9CF056C4-E2C0-43F6-8FB6-E63F2F5B247B}"/>
    <dataValidation allowBlank="1" showInputMessage="1" showErrorMessage="1" promptTitle="Besparing elektr. apparatuur" prompt="Reductie van het niet gebouwgebonden elektriciteitsgebruik zoals dat in de onderstaande tabel is berekend._x000a__x000a_Een reductie van 100% betekent dat in de UMGO het niet gebouwgebonden elektriciteitsgebruik niet in de berekening wordt meegenomen." sqref="D48" xr:uid="{A7A890C4-6C78-45B6-8FB7-751618BAD15F}"/>
    <dataValidation allowBlank="1" showInputMessage="1" showErrorMessage="1" promptTitle="Energiegebruik per energiepost" prompt="Per deellocatie is de energiebehoefte van alle woningen en gebouwen per energiepost gesommeerd." sqref="D78" xr:uid="{D8F27C35-CF4B-4F27-8AEB-30EC1C8FA1E8}"/>
    <dataValidation allowBlank="1" showInputMessage="1" showErrorMessage="1" promptTitle="BENG eisen 2021" prompt="De BENG eisen zijn overgenomen van:_x000a__x000a_https://zoek.officielebekendmakingen.nl/stb-2019-501.html_x000a__x000a_" sqref="D323" xr:uid="{1A89A682-F289-4924-B858-01086967836E}"/>
    <dataValidation allowBlank="1" showInputMessage="1" showErrorMessage="1" promptTitle="Energieprestaties" prompt="De berekende energieprestatie (bestaande bouw EN nieuwbouw) is afgezet tegen de BENG eisen voor NIEUWBOUW._x000a__x000a_GROEN: berekende waarde voldoet WEL aan de eis_x000a_ROOD: berekende waarde voldoet NIET aan de eis_x000a__x000a_" sqref="D327" xr:uid="{17655FDE-EF17-4D1B-AEA6-51D26D085AAF}"/>
    <dataValidation allowBlank="1" showInputMessage="1" showErrorMessage="1" promptTitle="energiebehoefte-indicator" prompt="Let op: groen = voldoet aan eis BENG 1_x000a__x000a_Warmtebehoefte ruimteverwarming + koudebehoefte voor koeling, berekend met ventilatiesysteem C1, in kWh/m2._x000a__x000a_NTA8800, par. 5.3.1.1_x000a__x000a_" sqref="D329" xr:uid="{58BDC3EB-8B38-4008-B427-3698356D844B}"/>
    <dataValidation allowBlank="1" showInputMessage="1" showErrorMessage="1" promptTitle="primaire energie indicator" prompt="Let op: groen = voldoet aan eis BENG 2._x000a__x000a_Het totale gebouwgebonden primaire (vermeden) energiegebruik (voor woningen ZONDER verlichting) in kWh/m2._x000a__x000a_NTA8800, par. 5.3.1.2_x000a__x000a_" sqref="D330" xr:uid="{2E3E4E57-814B-438C-827F-51A66308AC49}"/>
    <dataValidation allowBlank="1" showInputMessage="1" showErrorMessage="1" promptTitle="Hernieuwbaar ext. warmte/koude" prompt="Ingezette hernieuwbare energie door externe warmte-/koudelevering._x000a__x000a_EPren;gen;out = Q[HCW];gen;out * fPren;d[hcw]X_x000a__x000a_X staat voor 'kwal' (kwalteitsverklaring) of 'forf' (forfaitair)._x000a__x000a_Cf. NTA8800 par. 5.6.2." sqref="D254" xr:uid="{2AE88821-6422-4523-B1E6-D1A273FDF1C5}"/>
    <dataValidation type="decimal" allowBlank="1" showInputMessage="1" showErrorMessage="1" errorTitle="Bereik 0%-100%" error="De ingevoerde waarde is buiten het bereik." sqref="AY109:BA109 AA109:AC109 O109:Q109 AM109:AO109" xr:uid="{49A7B2C1-14D3-47EA-B8BF-9E61A494CC33}">
      <formula1>0</formula1>
      <formula2>1</formula2>
    </dataValidation>
    <dataValidation type="decimal" allowBlank="1" showInputMessage="1" showErrorMessage="1" errorTitle="Bereik 0,1-15,0" error="De ingevoerde waarde valt buiten het bereik." sqref="AA112:AC112 AY112:BA112 AY146:BA146 O146:Q146 AA146:AC146 O112:Q112 AM146:AO146 AM112:AO112" xr:uid="{8F451621-75BD-496D-AF34-EFAF85EDE51E}">
      <formula1>0.1</formula1>
      <formula2>15</formula2>
    </dataValidation>
    <dataValidation type="decimal" allowBlank="1" showInputMessage="1" showErrorMessage="1" errorTitle="Bereik 0%-100%" error="De ingevoerde waarde valt buiten het bereik." sqref="AA48:AI48 O48:W48 AM48:AU48 AY48:BG48" xr:uid="{24F560BB-445F-4BE4-8699-0C171C1DD4D7}">
      <formula1>0</formula1>
      <formula2>1</formula2>
    </dataValidation>
    <dataValidation type="decimal" operator="greaterThanOrEqual" allowBlank="1" showInputMessage="1" showErrorMessage="1" errorTitle="Bereik ≥0" error="De ingevulde waarde valt buiten het bereik." sqref="O23:W23 AA23:AI23 AY23:BG23 AM23:AU23" xr:uid="{E2151683-FF9C-4D97-9C42-80A4F481E1B1}">
      <formula1>0</formula1>
    </dataValidation>
    <dataValidation type="decimal" allowBlank="1" showInputMessage="1" showErrorMessage="1" errorTitle="Bereik 0-30" error="De ingevoerde waarde valt buiten het bereik." sqref="O45:W45 AA45:AI45 AY45:BG45 AM45:AU45 O50:W50 AA50:AI50 AM50:AU50 AY50:BG50" xr:uid="{AFE0B17D-7CB3-4C43-97BB-EF9A79976831}">
      <formula1>0</formula1>
      <formula2>30</formula2>
    </dataValidation>
    <dataValidation type="decimal" operator="greaterThanOrEqual" allowBlank="1" showInputMessage="1" showErrorMessage="1" errorTitle="Bereik ≥0" error="De ingevoerde waarde valt buiten het bereik." sqref="BA94 O71:W71 AA71:AI71 O94 Q94 AA94 AC94 AM94 AO94 AY94 AY71:BG71 AM71:AU71" xr:uid="{9D434F8C-8F65-4557-81B7-907612229BE3}">
      <formula1>0</formula1>
    </dataValidation>
    <dataValidation type="decimal" operator="greaterThanOrEqual" allowBlank="1" showInputMessage="1" showErrorMessage="1" errorTitle="Bereik ≥0" error="De ingevoerde waarde valt buiten het bereik." promptTitle="Energiepakket / energiebehoefte" sqref="O73:W73 AM73:AU73 AY73:BG73 AA73:AI73" xr:uid="{91B84CE6-6D01-4DC6-8A29-0383B34E225C}">
      <formula1>0</formula1>
    </dataValidation>
    <dataValidation type="decimal" allowBlank="1" showInputMessage="1" showErrorMessage="1" errorTitle="Bereik 0,10-1,00" error="De ingevoerde waarde valt buiten het bereik." sqref="O87 Q87 AA87 AC87 AY87 BA87 AM87 AO87" xr:uid="{93ABE72B-F511-46C1-9982-133D373EAC54}">
      <formula1>0.1</formula1>
      <formula2>1</formula2>
    </dataValidation>
    <dataValidation type="decimal" allowBlank="1" showInputMessage="1" showErrorMessage="1" errorTitle="Bereik 0,0-2,0" error="De ingevoerde waarde valt buiten het bereik." sqref="O119:Q119 AA119:AC119 AY119:BA119 O150:Q150 AA150:AC150 AY150:BA150 O129 AM150:AO150 AM119:AO119 O125:Q125 O123:Q123 O156:Q156 O154:Q154 AA125:AC125 AA123:AC123 AM125:AO125 AM123:AO123 AY125:BA125 AY123:BA123 AA156:AC156 AA154:AC154 AM156:AO156 AM154:AO154 AY156:BA156 AY154:BA154" xr:uid="{C2ADB055-2E93-4B3A-A310-CA23A4AE9746}">
      <formula1>0</formula1>
      <formula2>2</formula2>
    </dataValidation>
    <dataValidation type="decimal" allowBlank="1" showInputMessage="1" showErrorMessage="1" errorTitle="Bereik 0,0-1,0" error="De ingevoerde waarde valt buiten het bereik." sqref="AY167:BA167 AA129:AC129 AY129:BA129 O160:Q160 AA160:AC160 AY160:BA160 O167:Q167 AA167:AC167 P129:Q129 AM167:AO167 AM160:AO160 AM129:AO129" xr:uid="{236B6213-928F-4B98-820E-394B7152A39E}">
      <formula1>0</formula1>
      <formula2>1</formula2>
    </dataValidation>
    <dataValidation type="decimal" allowBlank="1" showInputMessage="1" showErrorMessage="1" errorTitle="Bereik 0,0-0,5" error="De ingevoerde waarde valt buiten het bereik." sqref="O135:Q135 AA135:AC135 AY135:BA135 AM135:AO135" xr:uid="{31A260F9-82EE-4023-AE5B-EDF2795CF5D6}">
      <formula1>0</formula1>
      <formula2>0.5</formula2>
    </dataValidation>
    <dataValidation allowBlank="1" showInputMessage="1" showErrorMessage="1" promptTitle="Energie niet voor verwarmen/koel" prompt="Elektra en gas NIET voor verwarmen/koelen._x000a_- gebouwgebonden (hulpenergie_x000a_   toestellen, verlichting,_x000a_   ventilatoren);_x000a_- niet gebouwgebonden (apparatuur_x000a_   (tv, computer, elektrisch koken,_x000a_   klusapparatuur, etc), mobiliteit);_x000a_-  kookgas" sqref="D164" xr:uid="{DA7565E4-D392-4F5A-A9E2-ED54681255F3}"/>
    <dataValidation allowBlank="1" showInputMessage="1" showErrorMessage="1" promptTitle="Thermische zonne-energie" prompt="Het thermisch zonne-energiesysteem levert een % van de warmtevraag inclusief intern distributieverlies._x000a__x000a_In de UMGO worden de volgende forfaitaire waarden aangehouden:_x000a_- ruimteverwarming: 15%;_x000a_- warmtapwater: 50%." sqref="D89" xr:uid="{02AED43B-1458-4899-A484-9F4430289817}"/>
    <dataValidation allowBlank="1" showInputMessage="1" showErrorMessage="1" promptTitle="Installatie" prompt="De installatie voor verwarming, koeling en warmtapwater wordt vastgelegd door keuze voor het type preferent toestel, de warmteverliezen door interen en externe warmtedistributie en gebruik van thermische zonne-energie." sqref="D81" xr:uid="{97C17504-8930-4D72-94B8-C0D4038DC4E6}"/>
    <dataValidation allowBlank="1" showInputMessage="1" showErrorMessage="1" promptTitle="Keuze preferent toestel" prompt="De keuze van het preferente toestel bepaalt welke forfaitaire waarden voor warmtedistributie, energiedragers en rendementen uit de bibliotheek worden opgehaald." sqref="D82" xr:uid="{AA9432F3-812C-4161-81A3-7E3CBA492533}"/>
    <dataValidation allowBlank="1" showInputMessage="1" showErrorMessage="1" promptTitle="Te leveren warmte en koude" prompt="Aan het distributiesysteem te leveren warmte|koude wordt berekend op basis van de warmte- en koudevraag van woningen en utiliteitsgebouwen (energiebehoefte per energiepost), de verliezen door warmte-/koudedistributie en gebruik van thermische zonnewarmte." sqref="D96" xr:uid="{8D003FA6-39A8-4D6F-B935-B39A4F59B5C5}"/>
    <dataValidation allowBlank="1" showInputMessage="1" showErrorMessage="1" promptTitle="Preferent toestel" prompt="Hier kunnen de kenmerken van het al eerder gekozen preferente toestel worden gewijzigd._x000a_De kenmerken bepalen welk deel van de te leveren warmte|koude door het preferente toestel geleverd wordt en hoeveel primair energiegebruik en CO2 emissie dat kost." sqref="D102" xr:uid="{B7576171-861C-43EE-91D6-0BAD233FF224}"/>
    <dataValidation allowBlank="1" showInputMessage="1" showErrorMessage="1" promptTitle="Niet preferent toestel" prompt="Kenmerken wijzigen van het niet preferente toestel (niet preferent toestel bepaald door type installatie)._x000a_De kenmerken bepalen de te leveren warmte|koude door het niet preferente toestel, het finaal/primair energiegebruik en de CO2 emissie." sqref="D138" xr:uid="{D134B48B-66FC-4AED-9C69-0D3813D9F71B}"/>
    <dataValidation allowBlank="1" showInputMessage="1" showErrorMessage="1" promptTitle="Resultaten" prompt="De tabel geeft een samenvatting van het primair energiegebruik, de CO2 emissie en het gasverbruik van de locatie(s) als gevolg van energetische keuzes in deze variant." sqref="D10" xr:uid="{347DAFFD-F188-4C8A-932F-B7A3F78EE032}"/>
    <dataValidation allowBlank="1" showInputMessage="1" showErrorMessage="1" promptTitle="Woningen|utiliteitsgebouwen" prompt="De tabel geeft een terugkoppeling van de ingevoerde woningen en utileitsgebouwen in" sqref="D16" xr:uid="{F36194A3-7F01-4859-8911-67202147A79A}"/>
    <dataValidation allowBlank="1" showInputMessage="1" showErrorMessage="1" promptTitle="Besparing warmtevraag TAP (MWA)" prompt="Reductie (of toename) van de warmtevraag voor warmtapwater t.o.v. van de berekende warmtevraag cf. NTA 8800._x000a__x000a_Te denken valt aan waterbesparende kranen, lagere bezetting, bewust energiezuinig gedrag, et cetera." sqref="D44" xr:uid="{6C6204F7-9E07-4530-A2FD-53F9DF9761C9}"/>
    <dataValidation allowBlank="1" showInputMessage="1" showErrorMessage="1" promptTitle="Energielabel" prompt="Het energielabel wordt bepaald op basis van het gebouwgebonden primair energiegebruik in kWh/m2._x000a__x000a_Zie 'Regeling energieprestatie gebouwen', https://wetten.overheid.nl/BWBR0020921/2021-07-01" sqref="D333" xr:uid="{B6000326-9099-4F74-AD70-258E69865B48}"/>
    <dataValidation allowBlank="1" showInputMessage="1" showErrorMessage="1" promptTitle="Energieprestatie indicatoren" prompt="De energieprestatie indicatoren gaan alleen over GEBOUWGEBONDEN energiegebruik en zijn bepaald cf. paragraaf 5.3.1 van NTA 8800._x000a__x000a_" sqref="D320" xr:uid="{8DE63E0A-EFDC-40E6-ACEE-7C4D51A2A069}"/>
    <dataValidation allowBlank="1" showInputMessage="1" showErrorMessage="1" promptTitle="Hernieuwbare 'primaire' energie" prompt="De totale hernieuwbare 'primaire' energie voor GEBOUWGEBONDEN energiegebruik is berekend cf. NTA8800._x000a__x000a_NTA8800 par. 5.6." sqref="D302" xr:uid="{1358E344-C667-492E-9DDA-0E1CB35ADDA0}"/>
    <dataValidation allowBlank="1" showInputMessage="1" showErrorMessage="1" promptTitle="Kookgas" prompt="Gasverbruik voor kookgas." sqref="D68" xr:uid="{0FB05954-C11B-4010-BD75-1721C735A39B}"/>
    <dataValidation type="list" allowBlank="1" showInputMessage="1" showErrorMessage="1" sqref="O47:W47 AA47:AI47 AY47:BG47 AM47:AU47" xr:uid="{43CD5BFA-1E12-4290-8267-63CDA19AB4FF}">
      <formula1>"elektriciteit,aardgas"</formula1>
    </dataValidation>
    <dataValidation allowBlank="1" showInputMessage="1" showErrorMessage="1" promptTitle="Aandeel hernieuwbare energie" prompt="Let op: Groen = voldoet aan eis BENG3_x000a__x000a_Aandeel hernieuwbare energie._x000a__x000a_RERPrenTOT = EPrenTot / (EPTot + EPrenTot) * 100%_x000a__x000a_Cf. NTA8800 par. 5.3.1.3, formule 5.3" sqref="D331" xr:uid="{CE3E123E-8148-40BA-967F-BFBE0F6BC912}"/>
    <dataValidation allowBlank="1" showInputMessage="1" showErrorMessage="1" promptTitle="Bijdrage zonthermisch MWh" prompt="Bijdrage zonthermisch = %bijdrage zonthermisch * (energiebehoefte + intern distributieverlies)_x000a__x000a_Het % bijdrage zonthermisch is verschillend voor RV en TAP en staat in de bibliotheek." sqref="D91" xr:uid="{B2CB6022-D26C-41FB-9D08-3ED43CF28569}"/>
    <dataValidation allowBlank="1" showInputMessage="1" showErrorMessage="1" promptTitle="Indicatie geïnstalleerd vermogen" prompt="Forfaitaire, conservatieve, waarden in NTA8800, par. 14.3, in W/m2:_x000a_- winkels: 30_x000a_- gezondheid met bed, logies, cellen: 17_x000a_- overige functies: 16_x000a__x000a_Gebruikelijk is 30% lager._x000a_Energiezuinig 50%-60% lager." sqref="D45" xr:uid="{F482F784-8CB3-41AA-BB67-ED330C8EC611}"/>
    <dataValidation allowBlank="1" showInputMessage="1" showErrorMessage="1" promptTitle="Elektriciteit 'overig'" prompt="Elektriciteit 'overig' is het elektriciteitsgebruik voor hulpenergie installaties, verlichting, ventilatoren, apparatuur, mobiliteit, elektrisch koken, etcetera." sqref="D169" xr:uid="{A0C5F7EC-ABF8-43CE-A99C-974A3C5EE414}"/>
    <dataValidation type="textLength" errorStyle="warning" allowBlank="1" showInputMessage="1" showErrorMessage="1" errorTitle="Maximaal 30 karakters" error="Maximaal 30 karakters" sqref="E3 F4" xr:uid="{E85D288B-7874-4F31-8C23-0ADD72961271}">
      <formula1>0</formula1>
      <formula2>30</formula2>
    </dataValidation>
    <dataValidation type="textLength" errorStyle="warning" allowBlank="1" showInputMessage="1" showErrorMessage="1" errorTitle="Maximaal 30 karakters" error="Maximaal 30 karakters" sqref="H3" xr:uid="{A3C002CD-DD4E-477B-8D14-CD3D6187C906}">
      <formula1>0</formula1>
      <formula2>40</formula2>
    </dataValidation>
    <dataValidation type="textLength" allowBlank="1" showInputMessage="1" showErrorMessage="1" errorTitle="Maximaal 65 karakters" error="Maximaal 65 karakters." sqref="F4" xr:uid="{C83996CD-F397-4F2F-A9B6-88C88407661E}">
      <formula1>0</formula1>
      <formula2>65</formula2>
    </dataValidation>
    <dataValidation allowBlank="1" showInputMessage="1" showErrorMessage="1" promptTitle="Primaire energiefactor" prompt="Primaire energiefactor energiedrager._x000a__x000a_Bij collectieve WKK met/zonder derving, geothermie, etc wordt de primaire energiefactor uitgerekend cf. NEN7125_2017 paragraaf 7.3.4.5/6/9._x000a__x000a_Bij een EMG-verklaring wordt de waarde voor fPdel overgenomen." sqref="D118" xr:uid="{A1009EB4-4586-4CA5-96DD-7A9774C24E1D}"/>
    <dataValidation allowBlank="1" showInputMessage="1" showErrorMessage="1" promptTitle="Elektriciteitsderving bij WKK" prompt="Bij WKK's waarbij de elektriciteitsproductie afneemt bij onttrekking van warmte, wordt de primaire energiefactor uitgerekend met de verhouding tussen elektriciteitsderving en thermische omzettingsgetal (Δε;chp;el / ε;chp;th)._x000a__x000a_NEN7125_2017 par 7.3.4.6" sqref="D113" xr:uid="{6A0978A1-5DE9-41B8-B572-0224C2B8B722}"/>
    <dataValidation allowBlank="1" showInputMessage="1" showErrorMessage="1" promptTitle="CO2 emissiecoëfficiënt" prompt="CO2 emissiecoëfficiënt energiedrager._x000a__x000a_Bij collectieve WKK met/zonder derving, geothermie, etc wordt de CO2 emissiecoëfficiënt uitgerekend cf. NEN7125_2017 paragraaf 7.3.4.5/6/9._x000a__x000a_Bij een EMG-verklaring wordt de waarde voor K_CO2 del overgenomen." sqref="D128" xr:uid="{B259BF10-7771-4241-B06F-33902CC97DAE}"/>
    <dataValidation allowBlank="1" showInputMessage="1" showErrorMessage="1" promptTitle="Standaardwaarde" prompt="Deze standaard geeft aan wanneer een woning goed genoeg is geïsoleerd om aardgasvrij te worden. Hij is ontstaan uit het Klimaatakkoord._x000a_" sqref="D335" xr:uid="{ED67F2F5-93A2-48DF-B07A-D4799B0E513D}"/>
    <dataValidation allowBlank="1" showInputMessage="1" showErrorMessage="1" promptTitle="Indicatie warmtebehoefte RV" prompt="Indicatie warmtebehoefte ruimteverwarming (RV) NTA8800 cf. energieprestatie (EP) of cf. maatwerkadvies (MWA). Berekend met benaderingsformules op basis van bouwmassa, ventilatiesysteem, gebruiksfunctie, Ugemiddeld en de vormfactor." sqref="D55" xr:uid="{E27F4D66-0CB7-4689-813A-F6D590E28775}"/>
    <dataValidation type="whole" allowBlank="1" showInputMessage="1" showErrorMessage="1" errorTitle="Invoer valt buiten bereik" error="De ingevoerde waarde valt buiten het bereik." sqref="AY56:BG56 O56:W56 AA56:AI56 AM56:AU56" xr:uid="{2AED0598-9DF0-4E84-A117-71584D1683F5}">
      <formula1>0</formula1>
      <formula2>1000</formula2>
    </dataValidation>
    <dataValidation allowBlank="1" showInputMessage="1" showErrorMessage="1" promptTitle="Correctie warmtebehoefte RV" prompt="In slecht geïsoleerde gebouwen berekent NTA8800 gemiddeld té hoge energiegebruiken voor ruimteverwarming._x000a_De correctie corrigeert de NTA berekening op basis van de gemiddelde U-waarde._x000a__x000a_&gt;&gt; energieprestatie-indicatoren zijn alleen geldig ZONDER correctie." sqref="D6" xr:uid="{D3F96453-CA1B-48C8-88B4-D4690F18BCDB}"/>
    <dataValidation type="list" allowBlank="1" showInputMessage="1" showErrorMessage="1" promptTitle="Energiepakket / energiebehoefte" sqref="AY39:BG39 AA39:AI39 AM39:AU39 O39:W39" xr:uid="{F22FA4F3-0FBB-45B7-B302-72714BCA4508}">
      <formula1>isolatiepakketten_gebouwschil_namen</formula1>
    </dataValidation>
    <dataValidation allowBlank="1" showInputMessage="1" showErrorMessage="1" promptTitle="Energiepakket / energiebehoefte" sqref="O38:W38 Y38:AI38 AY38:BG38 AW38 AK38 AM38:AU38" xr:uid="{607B1DF2-6AE6-4DD3-9829-C34CCBC8D0CD}"/>
    <dataValidation allowBlank="1" showInputMessage="1" showErrorMessage="1" promptTitle="Renocatiestandaard utiliteit" prompt="De renovatiestandaard is een vrijwillige richtlijn voor de energieprestatie van utiliteitsgebouwen. Na 2030 wordt er een verplichte eindnorm bepaald waaraan de energieprestaties van alle gebouwen moeten voldoen in 2050." sqref="D334" xr:uid="{3BC16C0B-01CC-4FB5-94D7-550392ACA558}"/>
    <dataValidation type="list" allowBlank="1" showInputMessage="1" showErrorMessage="1" sqref="AA49:AI49 AY49:BG49 O49:W49 AM49:AU49" xr:uid="{AD6974AF-E480-423F-A4B5-4F4C9BF3D369}">
      <formula1>specifieke_interne_warmtecapaciteit</formula1>
    </dataValidation>
    <dataValidation allowBlank="1" showInputMessage="1" showErrorMessage="1" promptTitle="Specifieke interne warmtecapacit" prompt="450 kJ/m2K is een waarde die hoort bij zware gebouwen (steen, beton)_x000a__x000a_055 kJ/m2K hoort bij lichte gebouwen (hout-, staalskeletbouw) met gesloten plafonds." sqref="D49" xr:uid="{9839DC9C-BC8C-437A-B5DD-EA3D94442928}"/>
    <dataValidation type="list" showInputMessage="1" showErrorMessage="1" sqref="G61 G63" xr:uid="{22C5250D-877E-4DE7-BAFF-BAF82028730B}">
      <formula1>beschikbare_fitformules_NTA8800</formula1>
    </dataValidation>
    <dataValidation type="list" allowBlank="1" showInputMessage="1" showErrorMessage="1" sqref="AA42:AI42 AM42:AU42 AY42:BG42 O42:W42" xr:uid="{7B3D7E8B-B2E5-4F18-BC26-A0B7715C6636}">
      <formula1>DWTW_namen</formula1>
    </dataValidation>
    <dataValidation type="list" allowBlank="1" showInputMessage="1" showErrorMessage="1" sqref="F6" xr:uid="{BFC22513-78AD-4BF8-86FE-7B5EAC383574}">
      <formula1>rekenmethode_EP_MWA</formula1>
    </dataValidation>
    <dataValidation type="decimal" allowBlank="1" showInputMessage="1" showErrorMessage="1" sqref="O153:P153 AA153:AB153 AM153:AN153 AY153:AZ153" xr:uid="{808A05EB-881A-4E05-B4D3-3F74B8798EFC}">
      <formula1>0</formula1>
      <formula2>2</formula2>
    </dataValidation>
    <dataValidation allowBlank="1" showInputMessage="1" showErrorMessage="1" promptTitle="Primair energiegebruik" prompt="De Uniforme Maatlat rekent op onderwaarde. De EPG rekent echter op bovenwaarde. De berekende primaire energiebruiken in de EPG zijn daarom hoger." sqref="D174" xr:uid="{9CE6192E-F6C0-4C2D-BE2F-6429AFDD6EC2}"/>
    <dataValidation allowBlank="1" showInputMessage="1" showErrorMessage="1" promptTitle="direct gebruik elektriciteit wkk" prompt="Volgens formule AB.66 in paragraaf AB.2.3.2. uit NTA 8800 2026." sqref="D208" xr:uid="{712D2EE5-2263-4CFC-9669-108371B407CB}"/>
    <dataValidation allowBlank="1" showInputMessage="1" showErrorMessage="1" promptTitle="direct gebruik elektriciteit PV" prompt="Volgens formule AB.65 in paragraaf AB.2.3.2. uit NTA 8800 2026." sqref="D205" xr:uid="{12991ED1-B715-41D6-A3B5-CCEEC80F808A}"/>
    <dataValidation type="list" allowBlank="1" showInputMessage="1" showErrorMessage="1" promptTitle="Energiepakket / energiebehoefte" sqref="M50 Y50 AK50 AW50" xr:uid="{4D4BB1E4-4096-4C48-9D87-A545D30D7CBD}">
      <formula1>"ja,nee"</formula1>
    </dataValidation>
    <dataValidation allowBlank="1" showInputMessage="1" showErrorMessage="1" promptTitle="correctiepost waardering opslag" prompt="Correctiepost voor de (beleidsmatige) waardering van opslagsystemen voor hernieuwbare elektriciteit in kWh._x000a__x000a_Deze wordt zonder primaire energiefactor meegenomen in het primair energiegbruik._x000a__x000a_Volgens formule 5.14a in paragraaf 5.5.2 uit NTA 8800 2026." sqref="D201" xr:uid="{7003D877-DDA0-4ACB-937A-0093FAA84972}"/>
    <dataValidation allowBlank="1" showInputMessage="1" showErrorMessage="1" promptTitle="geëxporteerde elektriciteit" prompt="geproducreede elektriciteit MIN geproduceerde elektriciteit die gebruikt wordt ter dekking van het gebruik op eigen perceel_x000a__x000a_Volgens formule 5.26 in paragraaf 5.5.4 uit NTA 8800 2026." sqref="D202" xr:uid="{E83B91EE-419D-4C3D-9143-22471BF109A7}"/>
    <dataValidation allowBlank="1" showInputMessage="1" showErrorMessage="1" promptTitle="Primair fossiel energiegebruik" prompt="Het primair fossiel energiegebruik in kWh_prim/m2.jaar per woningtype/gebouw, per energiepost en voor het totaal._x000a__x000a_Alleen het gebouwgebonden deel van de primaire fossiele energiegebruiken wordt meegenomen voor BENG 2." sqref="D280" xr:uid="{3CE77621-C962-4262-9ABF-0C195D299F19}"/>
    <dataValidation type="decimal" allowBlank="1" showInputMessage="1" showErrorMessage="1" errorTitle="Bereik 50%-200%" error="De ingevoerde waarde valt buiten het bereik." sqref="O44:W44 AA44:AI44 AM44:AU44 AY44:BG44" xr:uid="{F5D6098E-98F1-4D8D-84EF-29D28D97F258}">
      <formula1>0.5</formula1>
      <formula2>2</formula2>
    </dataValidation>
    <dataValidation allowBlank="1" showInputMessage="1" showErrorMessage="1" promptTitle="vermeden fossiel zonder batterij" prompt="De bijdrage van de batterij wordt verrekend bij het primaire fossiele energiegebruik." sqref="D214" xr:uid="{C3889C8E-8CB7-4C93-ABF0-FB55EB4B1216}"/>
    <dataValidation allowBlank="1" showInputMessage="1" showErrorMessage="1" promptTitle="Batterij aanwezig?" prompt="Per locatie moet worden aangegeven of er een batterij aanwezig is voor de opslag van door PV opgewekte zonnestroom. Let op: voor de batterijcapaciteit is een ondergrens van minimaal 5kWh van toepassing om meegerekend te kunnen worden in de UMGO." sqref="D50" xr:uid="{F5F8A0A1-861E-4926-9914-289D02848568}"/>
    <dataValidation showInputMessage="1" showErrorMessage="1" sqref="G328" xr:uid="{05391F99-ABE5-45C9-9FFC-B67F2E49C51A}"/>
  </dataValidations>
  <hyperlinks>
    <hyperlink ref="D323" r:id="rId1" tooltip="verwijzing naar Staatsblad 2019, 501 met BENG-eisen" xr:uid="{69AA9192-6C3E-4CD5-ABD6-813CF7683FD6}"/>
  </hyperlinks>
  <pageMargins left="0.23622047244094491" right="0.23622047244094491" top="0.74803149606299213" bottom="0.74803149606299213" header="0.31496062992125984" footer="0.31496062992125984"/>
  <pageSetup paperSize="9" scale="25" fitToHeight="0" orientation="landscape" r:id="rId2"/>
  <headerFooter alignWithMargins="0">
    <oddFooter>&amp;L_x000D_&amp;1#&amp;"Aptos"&amp;10&amp;K000000 Intern gebruik</oddFooter>
  </headerFooter>
  <ignoredErrors>
    <ignoredError sqref="AJ276:AL276 AV276:AX276 T244 AF244 AR244 BD244 T173 P118 P149 AB149 AN149 BD173:BD174 AR173:AR174 AF173:AF174" formula="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85C4-54AB-4F7A-816F-FDEFAA8178EC}">
  <sheetPr codeName="Blad9" filterMode="1">
    <tabColor theme="6" tint="0.39997558519241921"/>
    <outlinePr showOutlineSymbols="0"/>
    <pageSetUpPr fitToPage="1"/>
  </sheetPr>
  <dimension ref="A1:BH376"/>
  <sheetViews>
    <sheetView showGridLines="0" showRowColHeaders="0" zoomScaleNormal="100" workbookViewId="0">
      <pane xSplit="11" ySplit="14" topLeftCell="L36" activePane="bottomRight" state="frozen"/>
      <selection pane="topRight" activeCell="L1" sqref="L1"/>
      <selection pane="bottomLeft" activeCell="A15" sqref="A15"/>
      <selection pane="bottomRight" activeCell="E3" sqref="E3:F3"/>
    </sheetView>
  </sheetViews>
  <sheetFormatPr defaultRowHeight="17.25"/>
  <cols>
    <col min="1" max="1" width="0.5703125" style="1047" customWidth="1"/>
    <col min="2" max="3" width="2.7109375" style="1113" customWidth="1"/>
    <col min="4" max="4" width="2.7109375" style="192" customWidth="1"/>
    <col min="5" max="5" width="26.7109375" customWidth="1"/>
    <col min="6" max="7" width="17.7109375" customWidth="1"/>
    <col min="8" max="8" width="24.140625" bestFit="1" customWidth="1"/>
    <col min="9" max="9" width="0.28515625" customWidth="1"/>
    <col min="10" max="10" width="16.7109375" customWidth="1"/>
    <col min="11" max="12" width="1.42578125" customWidth="1"/>
    <col min="13" max="13" width="15.7109375" customWidth="1"/>
    <col min="14" max="14" width="0.28515625" customWidth="1"/>
    <col min="15" max="15" width="12.5703125" customWidth="1"/>
    <col min="16" max="23" width="12.7109375" customWidth="1"/>
    <col min="24" max="24" width="2.7109375" customWidth="1"/>
    <col min="25" max="25" width="15.7109375" customWidth="1"/>
    <col min="26" max="26" width="0.28515625" customWidth="1"/>
    <col min="27" max="35" width="12.7109375" customWidth="1"/>
    <col min="36" max="36" width="2.7109375" customWidth="1"/>
    <col min="37" max="37" width="15.7109375" customWidth="1"/>
    <col min="38" max="38" width="0.28515625" customWidth="1"/>
    <col min="39" max="47" width="12.7109375" customWidth="1"/>
    <col min="48" max="48" width="2.7109375" customWidth="1"/>
    <col min="49" max="49" width="15.7109375" customWidth="1"/>
    <col min="50" max="50" width="0.28515625" customWidth="1"/>
    <col min="51" max="59" width="12.7109375" customWidth="1"/>
    <col min="60" max="60" width="1.140625" customWidth="1"/>
    <col min="61" max="65" width="9.140625" customWidth="1"/>
  </cols>
  <sheetData>
    <row r="1" spans="1:60" s="699" customFormat="1" ht="21">
      <c r="A1" s="1036"/>
      <c r="B1" s="989"/>
      <c r="C1" s="989"/>
      <c r="D1" s="694"/>
      <c r="E1" s="1216" t="str">
        <f>disclaimer!$E$7&amp;" - "&amp;"versie "&amp;TEXT(disclaimer!$E$8,"d mmm jjjj")</f>
        <v>Uniforme Maatlat Gebouwde Omgeving 5.3.0 - versie 7 aug 2026</v>
      </c>
      <c r="F1" s="697"/>
      <c r="G1" s="697"/>
      <c r="H1" s="696"/>
      <c r="I1" s="697"/>
      <c r="J1" s="695"/>
      <c r="K1" s="1049"/>
      <c r="L1" s="1049"/>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1:60" s="764" customFormat="1" ht="26.25">
      <c r="A2" s="1037"/>
      <c r="B2" s="1101"/>
      <c r="C2" s="1101"/>
      <c r="D2" s="762"/>
      <c r="E2" s="1048" t="str">
        <f ca="1">IFERROR(MID(CELL("bestandsnaam",A1),SEARCH("]",CELL("bestandsnaam",A1),1)+1,99),"bestand nog niet opgeslagen")</f>
        <v>variant 2</v>
      </c>
      <c r="F2" s="763" t="str">
        <f>IF('woningen|utiliteit'!$G$2&lt;&gt;"","Controleer invoer gebouwen",IF(J52&lt;&gt;"ja","NB  Energiemaatregelen niet correct/volledig ingevuld",IF(J83&lt;&gt;"ja","NB  Vul alle installaties in","")))</f>
        <v/>
      </c>
      <c r="G2" s="763"/>
      <c r="H2" s="763"/>
      <c r="I2" s="710"/>
      <c r="J2" s="710"/>
      <c r="K2" s="1050"/>
      <c r="L2" s="1050"/>
      <c r="M2" s="767" t="s">
        <v>85</v>
      </c>
      <c r="N2" s="766"/>
      <c r="O2" s="771" t="s">
        <v>86</v>
      </c>
      <c r="P2" s="765"/>
      <c r="Q2" s="765"/>
      <c r="R2" s="765"/>
      <c r="S2" s="765"/>
      <c r="T2" s="765"/>
      <c r="U2" s="765"/>
      <c r="V2" s="765"/>
      <c r="W2" s="765"/>
      <c r="X2" s="765"/>
      <c r="Y2" s="767" t="s">
        <v>85</v>
      </c>
      <c r="Z2" s="766"/>
      <c r="AA2" s="771" t="s">
        <v>86</v>
      </c>
      <c r="AB2" s="765"/>
      <c r="AC2" s="765"/>
      <c r="AD2" s="765"/>
      <c r="AE2" s="765"/>
      <c r="AF2" s="765"/>
      <c r="AG2" s="765"/>
      <c r="AH2" s="765"/>
      <c r="AI2" s="765"/>
      <c r="AJ2" s="765"/>
      <c r="AK2" s="767" t="s">
        <v>85</v>
      </c>
      <c r="AL2" s="766"/>
      <c r="AM2" s="771" t="s">
        <v>86</v>
      </c>
      <c r="AN2" s="765"/>
      <c r="AO2" s="765"/>
      <c r="AP2" s="765"/>
      <c r="AQ2" s="765"/>
      <c r="AR2" s="765"/>
      <c r="AS2" s="765"/>
      <c r="AT2" s="765"/>
      <c r="AU2" s="765"/>
      <c r="AV2" s="765"/>
      <c r="AW2" s="767" t="s">
        <v>85</v>
      </c>
      <c r="AX2" s="766"/>
      <c r="AY2" s="771" t="s">
        <v>86</v>
      </c>
      <c r="AZ2" s="765"/>
      <c r="BA2" s="765"/>
      <c r="BB2" s="765"/>
      <c r="BC2" s="765"/>
      <c r="BD2" s="765"/>
      <c r="BE2" s="765"/>
      <c r="BF2" s="765"/>
      <c r="BG2" s="765"/>
      <c r="BH2" s="211"/>
    </row>
    <row r="3" spans="1:60">
      <c r="A3" s="1038"/>
      <c r="B3" s="990" t="s">
        <v>1118</v>
      </c>
      <c r="C3" s="990" t="s">
        <v>1118</v>
      </c>
      <c r="D3" s="638"/>
      <c r="E3" s="1261" t="str">
        <f>"project: "&amp;IF('woningen|utiliteit'!$F$3="","",'woningen|utiliteit'!$F$3)</f>
        <v xml:space="preserve">project: </v>
      </c>
      <c r="F3" s="1262"/>
      <c r="G3" s="713" t="s">
        <v>87</v>
      </c>
      <c r="H3" s="714"/>
      <c r="I3" s="79"/>
      <c r="K3" s="1050"/>
      <c r="L3" s="1050"/>
      <c r="M3" s="751" t="s">
        <v>88</v>
      </c>
      <c r="N3" s="752"/>
      <c r="O3" s="772" t="str">
        <f>IF(M22=0,"-",O104&amp;IF(O108=1,"","   |  "&amp;O140))</f>
        <v>-</v>
      </c>
      <c r="P3" s="753"/>
      <c r="Q3" s="754"/>
      <c r="R3" s="754"/>
      <c r="S3" s="754"/>
      <c r="T3" s="754"/>
      <c r="U3" s="754"/>
      <c r="V3" s="754"/>
      <c r="W3" s="754"/>
      <c r="X3" s="80"/>
      <c r="Y3" s="751" t="s">
        <v>88</v>
      </c>
      <c r="Z3" s="752"/>
      <c r="AA3" s="772" t="str">
        <f>IF(Y22=0,"-",AA104&amp;IF(AA108=1,"","   |  "&amp;AA140))</f>
        <v>-</v>
      </c>
      <c r="AB3" s="753"/>
      <c r="AC3" s="754"/>
      <c r="AD3" s="754"/>
      <c r="AE3" s="754"/>
      <c r="AF3" s="754"/>
      <c r="AG3" s="754"/>
      <c r="AH3" s="754"/>
      <c r="AI3" s="754"/>
      <c r="AJ3" s="80"/>
      <c r="AK3" s="751" t="s">
        <v>88</v>
      </c>
      <c r="AL3" s="752"/>
      <c r="AM3" s="772" t="str">
        <f>IF(AK22=0,"-",AM104&amp;IF(AM108=1,"","   |  "&amp;AM140))</f>
        <v>-</v>
      </c>
      <c r="AN3" s="753"/>
      <c r="AO3" s="754"/>
      <c r="AP3" s="754"/>
      <c r="AQ3" s="754"/>
      <c r="AR3" s="754"/>
      <c r="AS3" s="754"/>
      <c r="AT3" s="754"/>
      <c r="AU3" s="754"/>
      <c r="AV3" s="80"/>
      <c r="AW3" s="751" t="s">
        <v>88</v>
      </c>
      <c r="AX3" s="752"/>
      <c r="AY3" s="772" t="str">
        <f>IF(AW22=0,"-",AY104&amp;IF(AY108=1,"","   |  "&amp;AY140))</f>
        <v>-</v>
      </c>
      <c r="AZ3" s="753"/>
      <c r="BA3" s="754"/>
      <c r="BB3" s="754"/>
      <c r="BC3" s="754"/>
      <c r="BD3" s="754"/>
      <c r="BE3" s="754"/>
      <c r="BF3" s="754"/>
      <c r="BG3" s="754"/>
      <c r="BH3" s="211"/>
    </row>
    <row r="4" spans="1:60">
      <c r="A4" s="1038"/>
      <c r="B4" s="1102"/>
      <c r="C4" s="1102"/>
      <c r="D4" s="638"/>
      <c r="E4" s="715" t="s">
        <v>89</v>
      </c>
      <c r="F4" s="1263"/>
      <c r="G4" s="1263"/>
      <c r="H4" s="1264"/>
      <c r="I4" s="79"/>
      <c r="K4" s="1050"/>
      <c r="L4" s="1050"/>
      <c r="M4" s="755" t="s">
        <v>90</v>
      </c>
      <c r="N4" s="752"/>
      <c r="O4" s="773" t="str">
        <f>IF(M22=0,"-",P104&amp;IF(P108=1,"","   |  "&amp;P140))</f>
        <v>-</v>
      </c>
      <c r="P4" s="756"/>
      <c r="Q4" s="757"/>
      <c r="R4" s="754"/>
      <c r="S4" s="754"/>
      <c r="T4" s="754"/>
      <c r="U4" s="754"/>
      <c r="V4" s="754"/>
      <c r="W4" s="754"/>
      <c r="X4" s="80"/>
      <c r="Y4" s="755" t="s">
        <v>90</v>
      </c>
      <c r="Z4" s="752"/>
      <c r="AA4" s="773" t="str">
        <f>IF(Y22=0,"-",AB104&amp;IF(AB108=1,"","   |  "&amp;AB140))</f>
        <v>-</v>
      </c>
      <c r="AB4" s="756"/>
      <c r="AC4" s="757"/>
      <c r="AD4" s="754"/>
      <c r="AE4" s="754"/>
      <c r="AF4" s="754"/>
      <c r="AG4" s="754"/>
      <c r="AH4" s="754"/>
      <c r="AI4" s="754"/>
      <c r="AJ4" s="80"/>
      <c r="AK4" s="755" t="s">
        <v>90</v>
      </c>
      <c r="AL4" s="752"/>
      <c r="AM4" s="773" t="str">
        <f>IF(AK22=0,"-",AN104&amp;IF(AN108=1,"","   |  "&amp;AN140))</f>
        <v>-</v>
      </c>
      <c r="AN4" s="756"/>
      <c r="AO4" s="757"/>
      <c r="AP4" s="754"/>
      <c r="AQ4" s="754"/>
      <c r="AR4" s="754"/>
      <c r="AS4" s="754"/>
      <c r="AT4" s="754"/>
      <c r="AU4" s="754"/>
      <c r="AV4" s="80"/>
      <c r="AW4" s="755" t="s">
        <v>90</v>
      </c>
      <c r="AX4" s="752"/>
      <c r="AY4" s="773" t="str">
        <f>IF(AW22=0,"-",AZ104&amp;IF(AZ108=1,"","   |  "&amp;AZ140))</f>
        <v>-</v>
      </c>
      <c r="AZ4" s="756"/>
      <c r="BA4" s="757"/>
      <c r="BB4" s="754"/>
      <c r="BC4" s="754"/>
      <c r="BD4" s="754"/>
      <c r="BE4" s="754"/>
      <c r="BF4" s="754"/>
      <c r="BG4" s="754"/>
      <c r="BH4" s="211"/>
    </row>
    <row r="5" spans="1:60">
      <c r="A5" s="1038"/>
      <c r="B5" s="1265" t="s">
        <v>91</v>
      </c>
      <c r="C5" s="1265" t="s">
        <v>92</v>
      </c>
      <c r="D5" s="638"/>
      <c r="E5" s="1187" t="s">
        <v>1370</v>
      </c>
      <c r="F5" s="806" t="s">
        <v>1384</v>
      </c>
      <c r="G5" s="807">
        <f>HLOOKUP($F$5,bibliotheek!$E$304:$R$311,ROWS(bibliotheek!$E$304:$E$305),FALSE)</f>
        <v>1.45</v>
      </c>
      <c r="H5" s="808">
        <f>HLOOKUP($F$5,bibliotheek!$E$304:$R$311,ROWS(bibliotheek!$E$304:$E$311),FALSE)</f>
        <v>0.26800000000000002</v>
      </c>
      <c r="I5" s="79"/>
      <c r="J5" s="701"/>
      <c r="K5" s="80"/>
      <c r="L5" s="80"/>
      <c r="M5" s="751" t="s">
        <v>94</v>
      </c>
      <c r="N5" s="752"/>
      <c r="O5" s="772" t="str">
        <f>IF(M22=0,"-",Q104&amp;IF(Q108=1,"","   |  "&amp;Q140))</f>
        <v>-</v>
      </c>
      <c r="P5" s="754"/>
      <c r="Q5" s="754"/>
      <c r="R5" s="754"/>
      <c r="S5" s="754"/>
      <c r="T5" s="754"/>
      <c r="U5" s="754"/>
      <c r="V5" s="754"/>
      <c r="W5" s="754"/>
      <c r="X5" s="80"/>
      <c r="Y5" s="751" t="s">
        <v>94</v>
      </c>
      <c r="Z5" s="752"/>
      <c r="AA5" s="772" t="str">
        <f>IF(Y22=0,"-",AC104&amp;IF(AC108=1,"","   |  "&amp;AC140))</f>
        <v>-</v>
      </c>
      <c r="AB5" s="754"/>
      <c r="AC5" s="754"/>
      <c r="AD5" s="754"/>
      <c r="AE5" s="754"/>
      <c r="AF5" s="754"/>
      <c r="AG5" s="754"/>
      <c r="AH5" s="754"/>
      <c r="AI5" s="754"/>
      <c r="AJ5" s="80"/>
      <c r="AK5" s="751" t="s">
        <v>94</v>
      </c>
      <c r="AL5" s="752"/>
      <c r="AM5" s="772" t="str">
        <f>IF(AK22=0,"-",AO104&amp;IF(AO108=1,"","   |  "&amp;AO140))</f>
        <v>-</v>
      </c>
      <c r="AN5" s="754"/>
      <c r="AO5" s="754"/>
      <c r="AP5" s="754"/>
      <c r="AQ5" s="754"/>
      <c r="AR5" s="754"/>
      <c r="AS5" s="754"/>
      <c r="AT5" s="754"/>
      <c r="AU5" s="754"/>
      <c r="AV5" s="80"/>
      <c r="AW5" s="751" t="s">
        <v>94</v>
      </c>
      <c r="AX5" s="752"/>
      <c r="AY5" s="772" t="str">
        <f>IF(AW22=0,"-",BA104&amp;IF(BA108=1,"","   |  "&amp;BA140))</f>
        <v>-</v>
      </c>
      <c r="AZ5" s="754"/>
      <c r="BA5" s="754"/>
      <c r="BB5" s="754"/>
      <c r="BC5" s="754"/>
      <c r="BD5" s="754"/>
      <c r="BE5" s="754"/>
      <c r="BF5" s="754"/>
      <c r="BG5" s="754"/>
      <c r="BH5" s="211"/>
    </row>
    <row r="6" spans="1:60">
      <c r="A6" s="1038"/>
      <c r="B6" s="1265"/>
      <c r="C6" s="1265"/>
      <c r="D6" s="639" t="s">
        <v>45</v>
      </c>
      <c r="E6" s="716" t="s">
        <v>1162</v>
      </c>
      <c r="F6" s="806" t="s">
        <v>1119</v>
      </c>
      <c r="G6" s="957" t="str">
        <f>IF(F6=EP,"energieprestatieberekening","maatwerkadvies (geen resultaten EP)")</f>
        <v>energieprestatieberekening</v>
      </c>
      <c r="H6" s="935"/>
      <c r="I6" s="79"/>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1"/>
      <c r="AZ6" s="701"/>
      <c r="BA6" s="701"/>
      <c r="BB6" s="701"/>
      <c r="BC6" s="701"/>
      <c r="BD6" s="701"/>
      <c r="BE6" s="701"/>
      <c r="BF6" s="701"/>
      <c r="BG6" s="701"/>
      <c r="BH6" s="211"/>
    </row>
    <row r="7" spans="1:60" s="761" customFormat="1">
      <c r="A7" s="1039"/>
      <c r="B7" s="1265"/>
      <c r="C7" s="1265"/>
      <c r="D7" s="758"/>
      <c r="E7" s="759"/>
      <c r="F7" s="759"/>
      <c r="G7" s="759"/>
      <c r="H7" s="759"/>
      <c r="I7" s="759"/>
      <c r="J7" s="760"/>
      <c r="K7" s="760"/>
      <c r="L7" s="760"/>
      <c r="M7" s="759"/>
      <c r="N7" s="759"/>
      <c r="O7" s="858"/>
      <c r="P7" s="1168"/>
      <c r="Q7" s="759"/>
      <c r="R7" s="1168"/>
      <c r="S7" s="759"/>
      <c r="T7" s="758"/>
      <c r="U7" s="758"/>
      <c r="V7" s="758"/>
    </row>
    <row r="8" spans="1:60" ht="21">
      <c r="A8" s="1038"/>
      <c r="B8" s="1103"/>
      <c r="C8" s="1103"/>
      <c r="D8" s="639" t="s">
        <v>45</v>
      </c>
      <c r="E8" s="708"/>
      <c r="F8" s="1"/>
      <c r="G8" s="1"/>
      <c r="H8" s="1"/>
      <c r="I8" s="2"/>
      <c r="J8" s="709" t="s">
        <v>1167</v>
      </c>
      <c r="K8" s="710"/>
      <c r="L8" s="710"/>
      <c r="M8" s="709" t="s">
        <v>62</v>
      </c>
      <c r="N8" s="711"/>
      <c r="O8" s="711" t="str">
        <f>IF(M22=0,"[geen gebouwgegevens ingevoerd]",IF('woningen|utiliteit'!$L$17="","[geen naam locatie ingevoerd]",'woningen|utiliteit'!$L$17))</f>
        <v>[geen gebouwgegevens ingevoerd]</v>
      </c>
      <c r="P8" s="711"/>
      <c r="Q8" s="711"/>
      <c r="R8" s="711"/>
      <c r="S8" s="711"/>
      <c r="T8" s="712"/>
      <c r="U8" s="712"/>
      <c r="V8" s="711"/>
      <c r="W8" s="711"/>
      <c r="X8" s="710"/>
      <c r="Y8" s="709" t="s">
        <v>79</v>
      </c>
      <c r="Z8" s="711"/>
      <c r="AA8" s="711" t="str">
        <f>IF(Y22=0,"[geen gebouwgegevens ingevoerd]",IF('woningen|utiliteit'!$L$33="","[geen naam locatie ingevoerd]",'woningen|utiliteit'!$L$33))</f>
        <v>[geen gebouwgegevens ingevoerd]</v>
      </c>
      <c r="AB8" s="711"/>
      <c r="AC8" s="711"/>
      <c r="AD8" s="711"/>
      <c r="AE8" s="711"/>
      <c r="AF8" s="712"/>
      <c r="AG8" s="712"/>
      <c r="AH8" s="711"/>
      <c r="AI8" s="711"/>
      <c r="AJ8" s="710"/>
      <c r="AK8" s="709" t="s">
        <v>80</v>
      </c>
      <c r="AL8" s="711"/>
      <c r="AM8" s="711" t="str">
        <f>IF(AK22=0,"[geen gebouwgegevens ingevoerd]",IF('woningen|utiliteit'!$L$49="","[geen naam locatie ingevoerd]",'woningen|utiliteit'!$L$49))</f>
        <v>[geen gebouwgegevens ingevoerd]</v>
      </c>
      <c r="AN8" s="711"/>
      <c r="AO8" s="711"/>
      <c r="AP8" s="711"/>
      <c r="AQ8" s="711"/>
      <c r="AR8" s="712"/>
      <c r="AS8" s="712"/>
      <c r="AT8" s="711"/>
      <c r="AU8" s="711"/>
      <c r="AV8" s="710"/>
      <c r="AW8" s="709" t="s">
        <v>81</v>
      </c>
      <c r="AX8" s="711"/>
      <c r="AY8" s="711" t="str">
        <f>IF(AW22=0,"[geen gebouwgegevens ingevoerd]",IF('woningen|utiliteit'!$L$65="","[geen naam locatie ingevoerd]",'woningen|utiliteit'!$L$65))</f>
        <v>[geen gebouwgegevens ingevoerd]</v>
      </c>
      <c r="AZ8" s="178"/>
      <c r="BA8" s="178"/>
      <c r="BB8" s="178"/>
      <c r="BC8" s="178"/>
      <c r="BD8" s="179"/>
      <c r="BE8" s="179"/>
      <c r="BF8" s="178"/>
      <c r="BG8" s="178"/>
      <c r="BH8" s="1"/>
    </row>
    <row r="9" spans="1:60" s="591" customFormat="1" ht="5.25">
      <c r="A9" s="1104" t="s">
        <v>95</v>
      </c>
      <c r="B9" s="1104" t="s">
        <v>95</v>
      </c>
      <c r="C9" s="1105" t="s">
        <v>96</v>
      </c>
      <c r="D9" s="588"/>
      <c r="E9" s="589"/>
      <c r="F9" s="589"/>
      <c r="G9" s="589"/>
      <c r="H9" s="589"/>
      <c r="I9" s="589"/>
      <c r="J9" s="590"/>
      <c r="K9" s="590"/>
      <c r="L9" s="590"/>
      <c r="M9" s="589"/>
      <c r="N9" s="589"/>
      <c r="O9" s="589"/>
      <c r="P9" s="589"/>
      <c r="Q9" s="589"/>
      <c r="R9" s="589"/>
      <c r="S9" s="589"/>
      <c r="T9" s="588"/>
      <c r="U9" s="588"/>
      <c r="V9" s="588"/>
    </row>
    <row r="10" spans="1:60" ht="21">
      <c r="A10" s="1040"/>
      <c r="B10" s="1106" t="s">
        <v>95</v>
      </c>
      <c r="C10" s="1107" t="s">
        <v>96</v>
      </c>
      <c r="D10" s="639" t="s">
        <v>45</v>
      </c>
      <c r="E10" s="580" t="s">
        <v>1158</v>
      </c>
      <c r="F10" s="580"/>
      <c r="G10" s="580"/>
      <c r="H10" s="971" t="s">
        <v>1157</v>
      </c>
      <c r="I10" s="77"/>
      <c r="J10" s="176" t="str">
        <f>J$8</f>
        <v>alle locaties</v>
      </c>
      <c r="K10" s="126"/>
      <c r="L10" s="126"/>
      <c r="M10" s="176" t="str">
        <f>M$8</f>
        <v>locatie 1</v>
      </c>
      <c r="N10" s="182"/>
      <c r="O10" s="177" t="s">
        <v>88</v>
      </c>
      <c r="P10" s="177" t="s">
        <v>90</v>
      </c>
      <c r="Q10" s="177" t="s">
        <v>97</v>
      </c>
      <c r="R10" s="177" t="s">
        <v>98</v>
      </c>
      <c r="S10" s="177" t="s">
        <v>99</v>
      </c>
      <c r="T10" s="177" t="s">
        <v>100</v>
      </c>
      <c r="U10" s="177" t="s">
        <v>101</v>
      </c>
      <c r="V10" s="177" t="s">
        <v>102</v>
      </c>
      <c r="W10" s="177" t="s">
        <v>103</v>
      </c>
      <c r="X10" s="174"/>
      <c r="Y10" s="176" t="str">
        <f>Y8</f>
        <v>locatie 2</v>
      </c>
      <c r="Z10" s="182"/>
      <c r="AA10" s="177" t="str">
        <f>$O$10</f>
        <v>verwarming</v>
      </c>
      <c r="AB10" s="177" t="str">
        <f>$P$10</f>
        <v>koeling</v>
      </c>
      <c r="AC10" s="177" t="str">
        <f>$Q$10</f>
        <v>tapwater</v>
      </c>
      <c r="AD10" s="177" t="str">
        <f>$R$10</f>
        <v>verlichting</v>
      </c>
      <c r="AE10" s="177" t="str">
        <f>$S$10</f>
        <v>ventilatoren</v>
      </c>
      <c r="AF10" s="177" t="str">
        <f>$T$10</f>
        <v>kookgas</v>
      </c>
      <c r="AG10" s="177" t="str">
        <f>$U$10</f>
        <v>overig elektra</v>
      </c>
      <c r="AH10" s="177" t="str">
        <f>$V$10</f>
        <v>mobiliteit</v>
      </c>
      <c r="AI10" s="177" t="str">
        <f>$W$10</f>
        <v>zonnepanelen</v>
      </c>
      <c r="AJ10" s="174"/>
      <c r="AK10" s="176" t="str">
        <f>AK8</f>
        <v>locatie 3</v>
      </c>
      <c r="AL10" s="182"/>
      <c r="AM10" s="177" t="str">
        <f>$O$10</f>
        <v>verwarming</v>
      </c>
      <c r="AN10" s="177" t="str">
        <f>$P$10</f>
        <v>koeling</v>
      </c>
      <c r="AO10" s="177" t="str">
        <f>$Q$10</f>
        <v>tapwater</v>
      </c>
      <c r="AP10" s="177" t="str">
        <f>$R$10</f>
        <v>verlichting</v>
      </c>
      <c r="AQ10" s="177" t="str">
        <f>$S$10</f>
        <v>ventilatoren</v>
      </c>
      <c r="AR10" s="177" t="str">
        <f>$T$10</f>
        <v>kookgas</v>
      </c>
      <c r="AS10" s="177" t="str">
        <f>$U$10</f>
        <v>overig elektra</v>
      </c>
      <c r="AT10" s="177" t="str">
        <f>$V$10</f>
        <v>mobiliteit</v>
      </c>
      <c r="AU10" s="177" t="str">
        <f>$W$10</f>
        <v>zonnepanelen</v>
      </c>
      <c r="AV10" s="174"/>
      <c r="AW10" s="176" t="str">
        <f>AW8</f>
        <v>locatie 4</v>
      </c>
      <c r="AX10" s="182"/>
      <c r="AY10" s="177" t="str">
        <f>$O$10</f>
        <v>verwarming</v>
      </c>
      <c r="AZ10" s="177" t="str">
        <f>$P$10</f>
        <v>koeling</v>
      </c>
      <c r="BA10" s="177" t="str">
        <f>$Q$10</f>
        <v>tapwater</v>
      </c>
      <c r="BB10" s="177" t="str">
        <f>$R$10</f>
        <v>verlichting</v>
      </c>
      <c r="BC10" s="177" t="str">
        <f>$S$10</f>
        <v>ventilatoren</v>
      </c>
      <c r="BD10" s="177" t="str">
        <f>$T$10</f>
        <v>kookgas</v>
      </c>
      <c r="BE10" s="177" t="str">
        <f>$U$10</f>
        <v>overig elektra</v>
      </c>
      <c r="BF10" s="177" t="str">
        <f>$V$10</f>
        <v>mobiliteit</v>
      </c>
      <c r="BG10" s="177" t="str">
        <f>$W$10</f>
        <v>zonnepanelen</v>
      </c>
      <c r="BH10" s="1"/>
    </row>
    <row r="11" spans="1:60">
      <c r="A11" s="1040"/>
      <c r="B11" s="1106" t="s">
        <v>95</v>
      </c>
      <c r="C11" s="1107" t="s">
        <v>104</v>
      </c>
      <c r="D11" s="638"/>
      <c r="E11" s="180" t="s">
        <v>1220</v>
      </c>
      <c r="F11" s="180"/>
      <c r="G11" s="180"/>
      <c r="H11" s="181" t="s">
        <v>106</v>
      </c>
      <c r="I11" s="83"/>
      <c r="J11" s="202">
        <f>M11+Y11+AK11+AW11</f>
        <v>0</v>
      </c>
      <c r="K11" s="243"/>
      <c r="L11" s="243"/>
      <c r="M11" s="202">
        <f>SUM(N11:X11)</f>
        <v>0</v>
      </c>
      <c r="N11" s="84"/>
      <c r="O11" s="168">
        <f t="shared" ref="O11:W11" si="0">O120+O151+O174-O214</f>
        <v>0</v>
      </c>
      <c r="P11" s="168">
        <f t="shared" si="0"/>
        <v>0</v>
      </c>
      <c r="Q11" s="168">
        <f t="shared" si="0"/>
        <v>0</v>
      </c>
      <c r="R11" s="168">
        <f t="shared" si="0"/>
        <v>0</v>
      </c>
      <c r="S11" s="168">
        <f t="shared" si="0"/>
        <v>0</v>
      </c>
      <c r="T11" s="168">
        <f t="shared" si="0"/>
        <v>0</v>
      </c>
      <c r="U11" s="168">
        <f t="shared" si="0"/>
        <v>0</v>
      </c>
      <c r="V11" s="168">
        <f t="shared" si="0"/>
        <v>0</v>
      </c>
      <c r="W11" s="168">
        <f t="shared" si="0"/>
        <v>0</v>
      </c>
      <c r="X11" s="262"/>
      <c r="Y11" s="202">
        <f>SUM(Z11:AJ11)</f>
        <v>0</v>
      </c>
      <c r="Z11" s="84"/>
      <c r="AA11" s="168">
        <f t="shared" ref="AA11:AI11" si="1">AA120+AA151+AA174-AA214</f>
        <v>0</v>
      </c>
      <c r="AB11" s="168">
        <f t="shared" si="1"/>
        <v>0</v>
      </c>
      <c r="AC11" s="168">
        <f t="shared" si="1"/>
        <v>0</v>
      </c>
      <c r="AD11" s="168">
        <f t="shared" si="1"/>
        <v>0</v>
      </c>
      <c r="AE11" s="168">
        <f t="shared" si="1"/>
        <v>0</v>
      </c>
      <c r="AF11" s="168">
        <f t="shared" si="1"/>
        <v>0</v>
      </c>
      <c r="AG11" s="168">
        <f t="shared" si="1"/>
        <v>0</v>
      </c>
      <c r="AH11" s="168">
        <f t="shared" si="1"/>
        <v>0</v>
      </c>
      <c r="AI11" s="168">
        <f t="shared" si="1"/>
        <v>0</v>
      </c>
      <c r="AJ11" s="262"/>
      <c r="AK11" s="202">
        <f>SUM(AL11:AV11)</f>
        <v>0</v>
      </c>
      <c r="AL11" s="84"/>
      <c r="AM11" s="168">
        <f t="shared" ref="AM11:AU11" si="2">AM120+AM151+AM174-AM214</f>
        <v>0</v>
      </c>
      <c r="AN11" s="168">
        <f t="shared" si="2"/>
        <v>0</v>
      </c>
      <c r="AO11" s="168">
        <f t="shared" si="2"/>
        <v>0</v>
      </c>
      <c r="AP11" s="168">
        <f t="shared" si="2"/>
        <v>0</v>
      </c>
      <c r="AQ11" s="168">
        <f t="shared" si="2"/>
        <v>0</v>
      </c>
      <c r="AR11" s="168">
        <f t="shared" si="2"/>
        <v>0</v>
      </c>
      <c r="AS11" s="168">
        <f t="shared" si="2"/>
        <v>0</v>
      </c>
      <c r="AT11" s="168">
        <f t="shared" si="2"/>
        <v>0</v>
      </c>
      <c r="AU11" s="168">
        <f t="shared" si="2"/>
        <v>0</v>
      </c>
      <c r="AV11" s="262"/>
      <c r="AW11" s="202">
        <f>SUM(AX11:BH11)</f>
        <v>0</v>
      </c>
      <c r="AX11" s="84"/>
      <c r="AY11" s="168">
        <f t="shared" ref="AY11:BG11" si="3">AY120+AY151+AY174-AY214</f>
        <v>0</v>
      </c>
      <c r="AZ11" s="168">
        <f t="shared" si="3"/>
        <v>0</v>
      </c>
      <c r="BA11" s="168">
        <f t="shared" si="3"/>
        <v>0</v>
      </c>
      <c r="BB11" s="168">
        <f t="shared" si="3"/>
        <v>0</v>
      </c>
      <c r="BC11" s="168">
        <f t="shared" si="3"/>
        <v>0</v>
      </c>
      <c r="BD11" s="168">
        <f t="shared" si="3"/>
        <v>0</v>
      </c>
      <c r="BE11" s="168">
        <f t="shared" si="3"/>
        <v>0</v>
      </c>
      <c r="BF11" s="168">
        <f t="shared" si="3"/>
        <v>0</v>
      </c>
      <c r="BG11" s="168">
        <f t="shared" si="3"/>
        <v>0</v>
      </c>
      <c r="BH11" s="210"/>
    </row>
    <row r="12" spans="1:60">
      <c r="A12" s="1040"/>
      <c r="B12" s="1106" t="s">
        <v>95</v>
      </c>
      <c r="C12" s="1107" t="s">
        <v>104</v>
      </c>
      <c r="D12" s="638"/>
      <c r="E12" s="180" t="s">
        <v>107</v>
      </c>
      <c r="F12" s="180"/>
      <c r="G12" s="180"/>
      <c r="H12" s="181" t="s">
        <v>108</v>
      </c>
      <c r="I12" s="83"/>
      <c r="J12" s="202">
        <f>M12+Y12+AK12+AW12</f>
        <v>0</v>
      </c>
      <c r="K12" s="243"/>
      <c r="L12" s="243"/>
      <c r="M12" s="202">
        <f>SUM(N12:X12)</f>
        <v>0</v>
      </c>
      <c r="N12" s="84"/>
      <c r="O12" s="168">
        <f t="shared" ref="O12:V12" si="4">O130+O161+O181</f>
        <v>0</v>
      </c>
      <c r="P12" s="168">
        <f t="shared" si="4"/>
        <v>0</v>
      </c>
      <c r="Q12" s="168">
        <f t="shared" si="4"/>
        <v>0</v>
      </c>
      <c r="R12" s="168">
        <f t="shared" si="4"/>
        <v>0</v>
      </c>
      <c r="S12" s="168">
        <f t="shared" si="4"/>
        <v>0</v>
      </c>
      <c r="T12" s="168">
        <f t="shared" si="4"/>
        <v>0</v>
      </c>
      <c r="U12" s="168">
        <f t="shared" si="4"/>
        <v>0</v>
      </c>
      <c r="V12" s="168">
        <f t="shared" si="4"/>
        <v>0</v>
      </c>
      <c r="W12" s="168">
        <f>W130+W161+W181-W224</f>
        <v>0</v>
      </c>
      <c r="X12" s="262"/>
      <c r="Y12" s="202">
        <f>SUM(Z12:AJ12)</f>
        <v>0</v>
      </c>
      <c r="Z12" s="84"/>
      <c r="AA12" s="168">
        <f t="shared" ref="AA12:AH12" si="5">AA130+AA161+AA181</f>
        <v>0</v>
      </c>
      <c r="AB12" s="168">
        <f t="shared" si="5"/>
        <v>0</v>
      </c>
      <c r="AC12" s="168">
        <f t="shared" si="5"/>
        <v>0</v>
      </c>
      <c r="AD12" s="168">
        <f t="shared" si="5"/>
        <v>0</v>
      </c>
      <c r="AE12" s="168">
        <f t="shared" si="5"/>
        <v>0</v>
      </c>
      <c r="AF12" s="168">
        <f t="shared" si="5"/>
        <v>0</v>
      </c>
      <c r="AG12" s="168">
        <f t="shared" si="5"/>
        <v>0</v>
      </c>
      <c r="AH12" s="168">
        <f t="shared" si="5"/>
        <v>0</v>
      </c>
      <c r="AI12" s="168">
        <f>AI130+AI161+AI181-AI224</f>
        <v>0</v>
      </c>
      <c r="AJ12" s="262"/>
      <c r="AK12" s="202">
        <f>SUM(AL12:AV12)</f>
        <v>0</v>
      </c>
      <c r="AL12" s="84"/>
      <c r="AM12" s="168">
        <f t="shared" ref="AM12:AT12" si="6">AM130+AM161+AM181</f>
        <v>0</v>
      </c>
      <c r="AN12" s="168">
        <f t="shared" si="6"/>
        <v>0</v>
      </c>
      <c r="AO12" s="168">
        <f t="shared" si="6"/>
        <v>0</v>
      </c>
      <c r="AP12" s="168">
        <f t="shared" si="6"/>
        <v>0</v>
      </c>
      <c r="AQ12" s="168">
        <f t="shared" si="6"/>
        <v>0</v>
      </c>
      <c r="AR12" s="168">
        <f t="shared" si="6"/>
        <v>0</v>
      </c>
      <c r="AS12" s="168">
        <f t="shared" si="6"/>
        <v>0</v>
      </c>
      <c r="AT12" s="168">
        <f t="shared" si="6"/>
        <v>0</v>
      </c>
      <c r="AU12" s="168">
        <f>AU130+AU161+AU181-AU224</f>
        <v>0</v>
      </c>
      <c r="AV12" s="262"/>
      <c r="AW12" s="202">
        <f>SUM(AX12:BH12)</f>
        <v>0</v>
      </c>
      <c r="AX12" s="84"/>
      <c r="AY12" s="168">
        <f t="shared" ref="AY12:BF12" si="7">AY130+AY161+AY181</f>
        <v>0</v>
      </c>
      <c r="AZ12" s="168">
        <f t="shared" si="7"/>
        <v>0</v>
      </c>
      <c r="BA12" s="168">
        <f t="shared" si="7"/>
        <v>0</v>
      </c>
      <c r="BB12" s="168">
        <f t="shared" si="7"/>
        <v>0</v>
      </c>
      <c r="BC12" s="168">
        <f t="shared" si="7"/>
        <v>0</v>
      </c>
      <c r="BD12" s="168">
        <f t="shared" si="7"/>
        <v>0</v>
      </c>
      <c r="BE12" s="168">
        <f t="shared" si="7"/>
        <v>0</v>
      </c>
      <c r="BF12" s="168">
        <f t="shared" si="7"/>
        <v>0</v>
      </c>
      <c r="BG12" s="168">
        <f>BG130+BG161+BG181-BG224</f>
        <v>0</v>
      </c>
      <c r="BH12" s="210"/>
    </row>
    <row r="13" spans="1:60">
      <c r="A13" s="1040"/>
      <c r="B13" s="1106" t="s">
        <v>95</v>
      </c>
      <c r="C13" s="1107" t="s">
        <v>104</v>
      </c>
      <c r="D13" s="638"/>
      <c r="E13" s="180" t="s">
        <v>109</v>
      </c>
      <c r="F13" s="180"/>
      <c r="G13" s="180"/>
      <c r="H13" s="181" t="s">
        <v>110</v>
      </c>
      <c r="I13" s="83"/>
      <c r="J13" s="202">
        <f>M13+Y13+AK13+AW13</f>
        <v>0</v>
      </c>
      <c r="K13" s="243"/>
      <c r="L13" s="243"/>
      <c r="M13" s="202">
        <f>SUM(N13:X13)</f>
        <v>0</v>
      </c>
      <c r="N13" s="84"/>
      <c r="O13" s="168">
        <f t="shared" ref="O13:W13" si="8">O229*O27/1000</f>
        <v>0</v>
      </c>
      <c r="P13" s="168">
        <f t="shared" si="8"/>
        <v>0</v>
      </c>
      <c r="Q13" s="168">
        <f t="shared" si="8"/>
        <v>0</v>
      </c>
      <c r="R13" s="168">
        <f t="shared" si="8"/>
        <v>0</v>
      </c>
      <c r="S13" s="168">
        <f t="shared" si="8"/>
        <v>0</v>
      </c>
      <c r="T13" s="168">
        <f t="shared" si="8"/>
        <v>0</v>
      </c>
      <c r="U13" s="168">
        <f t="shared" si="8"/>
        <v>0</v>
      </c>
      <c r="V13" s="168">
        <f t="shared" si="8"/>
        <v>0</v>
      </c>
      <c r="W13" s="168">
        <f t="shared" si="8"/>
        <v>0</v>
      </c>
      <c r="X13" s="262"/>
      <c r="Y13" s="202">
        <f>SUM(Z13:AJ13)</f>
        <v>0</v>
      </c>
      <c r="Z13" s="84"/>
      <c r="AA13" s="168">
        <f t="shared" ref="AA13:AI13" si="9">AA229*AA27/1000</f>
        <v>0</v>
      </c>
      <c r="AB13" s="168">
        <f t="shared" si="9"/>
        <v>0</v>
      </c>
      <c r="AC13" s="168">
        <f t="shared" si="9"/>
        <v>0</v>
      </c>
      <c r="AD13" s="168">
        <f t="shared" si="9"/>
        <v>0</v>
      </c>
      <c r="AE13" s="168">
        <f t="shared" si="9"/>
        <v>0</v>
      </c>
      <c r="AF13" s="168">
        <f t="shared" si="9"/>
        <v>0</v>
      </c>
      <c r="AG13" s="168">
        <f t="shared" si="9"/>
        <v>0</v>
      </c>
      <c r="AH13" s="168">
        <f t="shared" si="9"/>
        <v>0</v>
      </c>
      <c r="AI13" s="168">
        <f t="shared" si="9"/>
        <v>0</v>
      </c>
      <c r="AJ13" s="262"/>
      <c r="AK13" s="202">
        <f>SUM(AL13:AV13)</f>
        <v>0</v>
      </c>
      <c r="AL13" s="84"/>
      <c r="AM13" s="168">
        <f t="shared" ref="AM13:AU13" si="10">AM229*AM27/1000</f>
        <v>0</v>
      </c>
      <c r="AN13" s="168">
        <f t="shared" si="10"/>
        <v>0</v>
      </c>
      <c r="AO13" s="168">
        <f t="shared" si="10"/>
        <v>0</v>
      </c>
      <c r="AP13" s="168">
        <f t="shared" si="10"/>
        <v>0</v>
      </c>
      <c r="AQ13" s="168">
        <f t="shared" si="10"/>
        <v>0</v>
      </c>
      <c r="AR13" s="168">
        <f t="shared" si="10"/>
        <v>0</v>
      </c>
      <c r="AS13" s="168">
        <f t="shared" si="10"/>
        <v>0</v>
      </c>
      <c r="AT13" s="168">
        <f t="shared" si="10"/>
        <v>0</v>
      </c>
      <c r="AU13" s="168">
        <f t="shared" si="10"/>
        <v>0</v>
      </c>
      <c r="AV13" s="262"/>
      <c r="AW13" s="202">
        <f>SUM(AX13:BH13)</f>
        <v>0</v>
      </c>
      <c r="AX13" s="84"/>
      <c r="AY13" s="168">
        <f t="shared" ref="AY13:BG13" si="11">AY229*AY27/1000</f>
        <v>0</v>
      </c>
      <c r="AZ13" s="168">
        <f t="shared" si="11"/>
        <v>0</v>
      </c>
      <c r="BA13" s="168">
        <f t="shared" si="11"/>
        <v>0</v>
      </c>
      <c r="BB13" s="168">
        <f t="shared" si="11"/>
        <v>0</v>
      </c>
      <c r="BC13" s="168">
        <f t="shared" si="11"/>
        <v>0</v>
      </c>
      <c r="BD13" s="168">
        <f t="shared" si="11"/>
        <v>0</v>
      </c>
      <c r="BE13" s="168">
        <f t="shared" si="11"/>
        <v>0</v>
      </c>
      <c r="BF13" s="168">
        <f t="shared" si="11"/>
        <v>0</v>
      </c>
      <c r="BG13" s="168">
        <f t="shared" si="11"/>
        <v>0</v>
      </c>
      <c r="BH13" s="212"/>
    </row>
    <row r="14" spans="1:60" s="707" customFormat="1" ht="5.25">
      <c r="A14" s="1012" t="s">
        <v>95</v>
      </c>
      <c r="B14" s="1108" t="s">
        <v>95</v>
      </c>
      <c r="C14" s="1104" t="s">
        <v>104</v>
      </c>
      <c r="D14" s="647"/>
      <c r="E14" s="704"/>
      <c r="F14" s="704"/>
      <c r="G14" s="704"/>
      <c r="H14" s="705"/>
      <c r="I14" s="704"/>
      <c r="J14" s="706"/>
      <c r="K14" s="704"/>
      <c r="L14" s="704"/>
      <c r="M14" s="706"/>
      <c r="N14" s="704"/>
      <c r="O14" s="706"/>
      <c r="P14" s="706"/>
      <c r="Q14" s="706"/>
      <c r="R14" s="706"/>
      <c r="S14" s="706"/>
      <c r="T14" s="706"/>
      <c r="U14" s="706"/>
      <c r="V14" s="706"/>
      <c r="W14" s="706"/>
      <c r="X14" s="706"/>
      <c r="Y14" s="706"/>
      <c r="Z14" s="704"/>
      <c r="AA14" s="706"/>
      <c r="AB14" s="706"/>
      <c r="AC14" s="706"/>
      <c r="AD14" s="706"/>
      <c r="AE14" s="706"/>
      <c r="AF14" s="706"/>
      <c r="AG14" s="706"/>
      <c r="AH14" s="706"/>
      <c r="AI14" s="706"/>
      <c r="AJ14" s="706"/>
      <c r="AK14" s="706"/>
      <c r="AL14" s="704"/>
      <c r="AM14" s="706"/>
      <c r="AN14" s="706"/>
      <c r="AO14" s="706"/>
      <c r="AP14" s="706"/>
      <c r="AQ14" s="706"/>
      <c r="AR14" s="706"/>
      <c r="AS14" s="706"/>
      <c r="AT14" s="706"/>
      <c r="AU14" s="706"/>
      <c r="AV14" s="706"/>
      <c r="AW14" s="706"/>
      <c r="AX14" s="704"/>
      <c r="AY14" s="706"/>
      <c r="AZ14" s="706"/>
      <c r="BA14" s="706"/>
      <c r="BB14" s="706"/>
      <c r="BC14" s="706"/>
      <c r="BD14" s="706"/>
      <c r="BE14" s="706"/>
      <c r="BF14" s="706"/>
      <c r="BG14" s="706"/>
      <c r="BH14" s="706"/>
    </row>
    <row r="15" spans="1:60" s="707" customFormat="1" ht="5.25">
      <c r="A15" s="1130"/>
      <c r="B15" s="1108" t="s">
        <v>111</v>
      </c>
      <c r="C15" s="1108" t="s">
        <v>96</v>
      </c>
      <c r="D15" s="647"/>
      <c r="E15" s="1131"/>
      <c r="F15" s="1131"/>
      <c r="G15" s="1131"/>
      <c r="H15" s="1132"/>
      <c r="I15" s="1131"/>
      <c r="J15" s="1133"/>
      <c r="K15" s="1131"/>
      <c r="L15" s="1131"/>
      <c r="M15" s="1133"/>
      <c r="N15" s="1131"/>
      <c r="O15" s="1133"/>
      <c r="P15" s="1133"/>
      <c r="Q15" s="1133"/>
      <c r="R15" s="1133"/>
      <c r="S15" s="1133"/>
      <c r="T15" s="1133"/>
      <c r="U15" s="1133"/>
      <c r="V15" s="1133"/>
      <c r="W15" s="1133"/>
      <c r="X15" s="1133"/>
      <c r="Y15" s="1133"/>
      <c r="Z15" s="1131"/>
      <c r="AA15" s="1133"/>
      <c r="AB15" s="1133"/>
      <c r="AC15" s="1133"/>
      <c r="AD15" s="1133"/>
      <c r="AE15" s="1133"/>
      <c r="AF15" s="1133"/>
      <c r="AG15" s="1133"/>
      <c r="AH15" s="1133"/>
      <c r="AI15" s="1133"/>
      <c r="AJ15" s="1133"/>
      <c r="AK15" s="1133"/>
      <c r="AL15" s="1131"/>
      <c r="AM15" s="1133"/>
      <c r="AN15" s="1133"/>
      <c r="AO15" s="1133"/>
      <c r="AP15" s="1133"/>
      <c r="AQ15" s="1133"/>
      <c r="AR15" s="1133"/>
      <c r="AS15" s="1133"/>
      <c r="AT15" s="1133"/>
      <c r="AU15" s="1133"/>
      <c r="AV15" s="1133"/>
      <c r="AW15" s="1133"/>
      <c r="AX15" s="1131"/>
      <c r="AY15" s="1133"/>
      <c r="AZ15" s="1133"/>
      <c r="BA15" s="1133"/>
      <c r="BB15" s="1133"/>
      <c r="BC15" s="1133"/>
      <c r="BD15" s="1133"/>
      <c r="BE15" s="1133"/>
      <c r="BF15" s="1133"/>
      <c r="BG15" s="1133"/>
      <c r="BH15" s="706"/>
    </row>
    <row r="16" spans="1:60" s="2" customFormat="1" ht="21">
      <c r="A16" s="1038"/>
      <c r="B16" s="1106" t="s">
        <v>111</v>
      </c>
      <c r="C16" s="1106" t="s">
        <v>96</v>
      </c>
      <c r="D16" s="639" t="s">
        <v>45</v>
      </c>
      <c r="E16" s="209" t="s">
        <v>112</v>
      </c>
      <c r="F16" s="209"/>
      <c r="G16" s="209"/>
      <c r="H16" s="209"/>
      <c r="I16" s="129"/>
      <c r="J16" s="256" t="str">
        <f>J$10</f>
        <v>alle locaties</v>
      </c>
      <c r="K16" s="126"/>
      <c r="L16" s="126"/>
      <c r="M16" s="257" t="str">
        <f>M$8</f>
        <v>locatie 1</v>
      </c>
      <c r="N16" s="193"/>
      <c r="O16" s="955" t="str">
        <f>$E16&amp;" per woning-/gebouwtype"</f>
        <v>woningen|utiliteitsgebouwen terugkoppeling invoer per woning-/gebouwtype</v>
      </c>
      <c r="P16" s="945"/>
      <c r="Q16" s="945"/>
      <c r="R16" s="945"/>
      <c r="S16" s="945"/>
      <c r="T16" s="945"/>
      <c r="U16" s="945"/>
      <c r="V16" s="945"/>
      <c r="W16" s="257"/>
      <c r="X16" s="174"/>
      <c r="Y16" s="257" t="str">
        <f>Y$10</f>
        <v>locatie 2</v>
      </c>
      <c r="Z16" s="193"/>
      <c r="AA16" s="955" t="str">
        <f>$E16&amp;" per woning-/gebouwtype"</f>
        <v>woningen|utiliteitsgebouwen terugkoppeling invoer per woning-/gebouwtype</v>
      </c>
      <c r="AB16" s="945"/>
      <c r="AC16" s="945"/>
      <c r="AD16" s="945"/>
      <c r="AE16" s="945"/>
      <c r="AF16" s="945"/>
      <c r="AG16" s="945"/>
      <c r="AH16" s="945"/>
      <c r="AI16" s="257"/>
      <c r="AJ16" s="174"/>
      <c r="AK16" s="257" t="str">
        <f>AK$10</f>
        <v>locatie 3</v>
      </c>
      <c r="AL16" s="193"/>
      <c r="AM16" s="955" t="str">
        <f>$E16&amp;" per woning-/gebouwtype"</f>
        <v>woningen|utiliteitsgebouwen terugkoppeling invoer per woning-/gebouwtype</v>
      </c>
      <c r="AN16" s="945"/>
      <c r="AO16" s="945"/>
      <c r="AP16" s="945"/>
      <c r="AQ16" s="945"/>
      <c r="AR16" s="945"/>
      <c r="AS16" s="945"/>
      <c r="AT16" s="945"/>
      <c r="AU16" s="257"/>
      <c r="AV16" s="174"/>
      <c r="AW16" s="257" t="str">
        <f>AW$10</f>
        <v>locatie 4</v>
      </c>
      <c r="AX16" s="193"/>
      <c r="AY16" s="955" t="str">
        <f>$E16&amp;" per woning-/gebouwtype"</f>
        <v>woningen|utiliteitsgebouwen terugkoppeling invoer per woning-/gebouwtype</v>
      </c>
      <c r="AZ16" s="945"/>
      <c r="BA16" s="945"/>
      <c r="BB16" s="945"/>
      <c r="BC16" s="945"/>
      <c r="BD16" s="945"/>
      <c r="BE16" s="945"/>
      <c r="BF16" s="945"/>
      <c r="BG16" s="257"/>
      <c r="BH16" s="1"/>
    </row>
    <row r="17" spans="1:60">
      <c r="A17" s="1040"/>
      <c r="B17" s="1106" t="s">
        <v>111</v>
      </c>
      <c r="C17" s="1106" t="s">
        <v>96</v>
      </c>
      <c r="D17" s="638"/>
      <c r="E17" s="942" t="s">
        <v>113</v>
      </c>
      <c r="F17" s="942"/>
      <c r="G17" s="942"/>
      <c r="H17" s="942" t="s">
        <v>65</v>
      </c>
      <c r="I17" s="129"/>
      <c r="J17" s="943"/>
      <c r="K17" s="126"/>
      <c r="L17" s="126"/>
      <c r="M17" s="944"/>
      <c r="N17" s="195"/>
      <c r="O17" s="258" t="str">
        <f>IF('woningen|utiliteit'!L18="","",'woningen|utiliteit'!L18)</f>
        <v/>
      </c>
      <c r="P17" s="258" t="str">
        <f>IF('woningen|utiliteit'!M18="","",'woningen|utiliteit'!M18)</f>
        <v/>
      </c>
      <c r="Q17" s="258" t="str">
        <f>IF('woningen|utiliteit'!N18="","",'woningen|utiliteit'!N18)</f>
        <v/>
      </c>
      <c r="R17" s="258" t="str">
        <f>IF('woningen|utiliteit'!O18="","",'woningen|utiliteit'!O18)</f>
        <v/>
      </c>
      <c r="S17" s="258" t="str">
        <f>IF('woningen|utiliteit'!P18="","",'woningen|utiliteit'!P18)</f>
        <v/>
      </c>
      <c r="T17" s="258" t="str">
        <f>IF('woningen|utiliteit'!Q18="","",'woningen|utiliteit'!Q18)</f>
        <v/>
      </c>
      <c r="U17" s="258" t="str">
        <f>IF('woningen|utiliteit'!R18="","",'woningen|utiliteit'!R18)</f>
        <v/>
      </c>
      <c r="V17" s="258" t="str">
        <f>IF('woningen|utiliteit'!S18="","",'woningen|utiliteit'!S18)</f>
        <v/>
      </c>
      <c r="W17" s="258" t="str">
        <f>IF('woningen|utiliteit'!T18="","",'woningen|utiliteit'!T18)</f>
        <v/>
      </c>
      <c r="X17" s="195"/>
      <c r="Y17" s="944"/>
      <c r="Z17" s="195"/>
      <c r="AA17" s="258" t="str">
        <f>IF('woningen|utiliteit'!L34="","",'woningen|utiliteit'!L34)</f>
        <v/>
      </c>
      <c r="AB17" s="258" t="str">
        <f>IF('woningen|utiliteit'!M34="","",'woningen|utiliteit'!M34)</f>
        <v/>
      </c>
      <c r="AC17" s="258" t="str">
        <f>IF('woningen|utiliteit'!N34="","",'woningen|utiliteit'!N34)</f>
        <v/>
      </c>
      <c r="AD17" s="258" t="str">
        <f>IF('woningen|utiliteit'!O34="","",'woningen|utiliteit'!O34)</f>
        <v/>
      </c>
      <c r="AE17" s="258" t="str">
        <f>IF('woningen|utiliteit'!P34="","",'woningen|utiliteit'!P34)</f>
        <v/>
      </c>
      <c r="AF17" s="258" t="str">
        <f>IF('woningen|utiliteit'!Q34="","",'woningen|utiliteit'!Q34)</f>
        <v/>
      </c>
      <c r="AG17" s="258" t="str">
        <f>IF('woningen|utiliteit'!R34="","",'woningen|utiliteit'!R34)</f>
        <v/>
      </c>
      <c r="AH17" s="258" t="str">
        <f>IF('woningen|utiliteit'!S34="","",'woningen|utiliteit'!S34)</f>
        <v/>
      </c>
      <c r="AI17" s="258" t="str">
        <f>IF('woningen|utiliteit'!T34="","",'woningen|utiliteit'!T34)</f>
        <v/>
      </c>
      <c r="AJ17" s="195"/>
      <c r="AK17" s="944"/>
      <c r="AL17" s="195"/>
      <c r="AM17" s="258" t="str">
        <f>IF('woningen|utiliteit'!L50="","",'woningen|utiliteit'!L50)</f>
        <v/>
      </c>
      <c r="AN17" s="258" t="str">
        <f>IF('woningen|utiliteit'!M50="","",'woningen|utiliteit'!M50)</f>
        <v/>
      </c>
      <c r="AO17" s="258" t="str">
        <f>IF('woningen|utiliteit'!N50="","",'woningen|utiliteit'!N50)</f>
        <v/>
      </c>
      <c r="AP17" s="258" t="str">
        <f>IF('woningen|utiliteit'!O50="","",'woningen|utiliteit'!O50)</f>
        <v/>
      </c>
      <c r="AQ17" s="258" t="str">
        <f>IF('woningen|utiliteit'!P50="","",'woningen|utiliteit'!P50)</f>
        <v/>
      </c>
      <c r="AR17" s="258" t="str">
        <f>IF('woningen|utiliteit'!Q50="","",'woningen|utiliteit'!Q50)</f>
        <v/>
      </c>
      <c r="AS17" s="258" t="str">
        <f>IF('woningen|utiliteit'!R50="","",'woningen|utiliteit'!R50)</f>
        <v/>
      </c>
      <c r="AT17" s="258" t="str">
        <f>IF('woningen|utiliteit'!S50="","",'woningen|utiliteit'!S50)</f>
        <v/>
      </c>
      <c r="AU17" s="258" t="str">
        <f>IF('woningen|utiliteit'!T50="","",'woningen|utiliteit'!T50)</f>
        <v/>
      </c>
      <c r="AV17" s="195"/>
      <c r="AW17" s="944"/>
      <c r="AX17" s="195"/>
      <c r="AY17" s="258" t="str">
        <f>IF('woningen|utiliteit'!L66="","",'woningen|utiliteit'!L66)</f>
        <v/>
      </c>
      <c r="AZ17" s="258" t="str">
        <f>IF('woningen|utiliteit'!M66="","",'woningen|utiliteit'!M66)</f>
        <v/>
      </c>
      <c r="BA17" s="258" t="str">
        <f>IF('woningen|utiliteit'!N66="","",'woningen|utiliteit'!N66)</f>
        <v/>
      </c>
      <c r="BB17" s="258" t="str">
        <f>IF('woningen|utiliteit'!O66="","",'woningen|utiliteit'!O66)</f>
        <v/>
      </c>
      <c r="BC17" s="258" t="str">
        <f>IF('woningen|utiliteit'!P66="","",'woningen|utiliteit'!P66)</f>
        <v/>
      </c>
      <c r="BD17" s="258" t="str">
        <f>IF('woningen|utiliteit'!Q66="","",'woningen|utiliteit'!Q66)</f>
        <v/>
      </c>
      <c r="BE17" s="258" t="str">
        <f>IF('woningen|utiliteit'!R66="","",'woningen|utiliteit'!R66)</f>
        <v/>
      </c>
      <c r="BF17" s="258" t="str">
        <f>IF('woningen|utiliteit'!S66="","",'woningen|utiliteit'!S66)</f>
        <v/>
      </c>
      <c r="BG17" s="258" t="str">
        <f>IF('woningen|utiliteit'!T66="","",'woningen|utiliteit'!T66)</f>
        <v/>
      </c>
      <c r="BH17" s="36"/>
    </row>
    <row r="18" spans="1:60" s="36" customFormat="1">
      <c r="A18" s="1040"/>
      <c r="B18" s="1107" t="s">
        <v>111</v>
      </c>
      <c r="C18" s="1107" t="s">
        <v>104</v>
      </c>
      <c r="D18" s="638"/>
      <c r="E18" s="236" t="s">
        <v>114</v>
      </c>
      <c r="F18" s="236"/>
      <c r="G18" s="236"/>
      <c r="H18" s="297" t="s">
        <v>65</v>
      </c>
      <c r="I18" s="621"/>
      <c r="J18" s="186"/>
      <c r="K18" s="1128"/>
      <c r="L18" s="1128"/>
      <c r="M18" s="186"/>
      <c r="N18" s="94"/>
      <c r="O18" s="1129" t="str">
        <f>IF('woningen|utiliteit'!L20="","",'woningen|utiliteit'!L20)</f>
        <v/>
      </c>
      <c r="P18" s="1129" t="str">
        <f>IF('woningen|utiliteit'!M20="","",'woningen|utiliteit'!M20)</f>
        <v/>
      </c>
      <c r="Q18" s="1129" t="str">
        <f>IF('woningen|utiliteit'!N20="","",'woningen|utiliteit'!N20)</f>
        <v/>
      </c>
      <c r="R18" s="1129" t="str">
        <f>IF('woningen|utiliteit'!O20="","",'woningen|utiliteit'!O20)</f>
        <v/>
      </c>
      <c r="S18" s="1129" t="str">
        <f>IF('woningen|utiliteit'!P20="","",'woningen|utiliteit'!P20)</f>
        <v/>
      </c>
      <c r="T18" s="1129" t="str">
        <f>IF('woningen|utiliteit'!Q20="","",'woningen|utiliteit'!Q20)</f>
        <v/>
      </c>
      <c r="U18" s="1129" t="str">
        <f>IF('woningen|utiliteit'!R20="","",'woningen|utiliteit'!R20)</f>
        <v/>
      </c>
      <c r="V18" s="1129" t="str">
        <f>IF('woningen|utiliteit'!S20="","",'woningen|utiliteit'!S20)</f>
        <v/>
      </c>
      <c r="W18" s="1129" t="str">
        <f>IF('woningen|utiliteit'!T20="","",'woningen|utiliteit'!T20)</f>
        <v/>
      </c>
      <c r="X18" s="87"/>
      <c r="Y18" s="186"/>
      <c r="Z18" s="94"/>
      <c r="AA18" s="1129" t="str">
        <f>IF('woningen|utiliteit'!L36="","",'woningen|utiliteit'!L36)</f>
        <v/>
      </c>
      <c r="AB18" s="1129" t="str">
        <f>IF('woningen|utiliteit'!M36="","",'woningen|utiliteit'!M36)</f>
        <v/>
      </c>
      <c r="AC18" s="1129" t="str">
        <f>IF('woningen|utiliteit'!N36="","",'woningen|utiliteit'!N36)</f>
        <v/>
      </c>
      <c r="AD18" s="1129" t="str">
        <f>IF('woningen|utiliteit'!O36="","",'woningen|utiliteit'!O36)</f>
        <v/>
      </c>
      <c r="AE18" s="1129" t="str">
        <f>IF('woningen|utiliteit'!P36="","",'woningen|utiliteit'!P36)</f>
        <v/>
      </c>
      <c r="AF18" s="1129" t="str">
        <f>IF('woningen|utiliteit'!Q36="","",'woningen|utiliteit'!Q36)</f>
        <v/>
      </c>
      <c r="AG18" s="1129" t="str">
        <f>IF('woningen|utiliteit'!R36="","",'woningen|utiliteit'!R36)</f>
        <v/>
      </c>
      <c r="AH18" s="1129" t="str">
        <f>IF('woningen|utiliteit'!S36="","",'woningen|utiliteit'!S36)</f>
        <v/>
      </c>
      <c r="AI18" s="1129" t="str">
        <f>IF('woningen|utiliteit'!T36="","",'woningen|utiliteit'!T36)</f>
        <v/>
      </c>
      <c r="AJ18" s="87"/>
      <c r="AK18" s="186"/>
      <c r="AL18" s="94"/>
      <c r="AM18" s="1129" t="str">
        <f>IF('woningen|utiliteit'!L52="","",'woningen|utiliteit'!L52)</f>
        <v/>
      </c>
      <c r="AN18" s="1129" t="str">
        <f>IF('woningen|utiliteit'!M52="","",'woningen|utiliteit'!M52)</f>
        <v/>
      </c>
      <c r="AO18" s="1129" t="str">
        <f>IF('woningen|utiliteit'!N52="","",'woningen|utiliteit'!N52)</f>
        <v/>
      </c>
      <c r="AP18" s="1129" t="str">
        <f>IF('woningen|utiliteit'!O52="","",'woningen|utiliteit'!O52)</f>
        <v/>
      </c>
      <c r="AQ18" s="1129" t="str">
        <f>IF('woningen|utiliteit'!P52="","",'woningen|utiliteit'!P52)</f>
        <v/>
      </c>
      <c r="AR18" s="1129" t="str">
        <f>IF('woningen|utiliteit'!Q52="","",'woningen|utiliteit'!Q52)</f>
        <v/>
      </c>
      <c r="AS18" s="1129" t="str">
        <f>IF('woningen|utiliteit'!R52="","",'woningen|utiliteit'!R52)</f>
        <v/>
      </c>
      <c r="AT18" s="1129" t="str">
        <f>IF('woningen|utiliteit'!S52="","",'woningen|utiliteit'!S52)</f>
        <v/>
      </c>
      <c r="AU18" s="1129" t="str">
        <f>IF('woningen|utiliteit'!T52="","",'woningen|utiliteit'!T52)</f>
        <v/>
      </c>
      <c r="AV18" s="87"/>
      <c r="AW18" s="186"/>
      <c r="AX18" s="94"/>
      <c r="AY18" s="1129" t="str">
        <f>IF('woningen|utiliteit'!L68="","",'woningen|utiliteit'!L68)</f>
        <v/>
      </c>
      <c r="AZ18" s="1129" t="str">
        <f>IF('woningen|utiliteit'!M68="","",'woningen|utiliteit'!M68)</f>
        <v/>
      </c>
      <c r="BA18" s="1129" t="str">
        <f>IF('woningen|utiliteit'!N68="","",'woningen|utiliteit'!N68)</f>
        <v/>
      </c>
      <c r="BB18" s="1129" t="str">
        <f>IF('woningen|utiliteit'!O68="","",'woningen|utiliteit'!O68)</f>
        <v/>
      </c>
      <c r="BC18" s="1129" t="str">
        <f>IF('woningen|utiliteit'!P68="","",'woningen|utiliteit'!P68)</f>
        <v/>
      </c>
      <c r="BD18" s="1129" t="str">
        <f>IF('woningen|utiliteit'!Q68="","",'woningen|utiliteit'!Q68)</f>
        <v/>
      </c>
      <c r="BE18" s="1129" t="str">
        <f>IF('woningen|utiliteit'!R68="","",'woningen|utiliteit'!R68)</f>
        <v/>
      </c>
      <c r="BF18" s="1129" t="str">
        <f>IF('woningen|utiliteit'!S68="","",'woningen|utiliteit'!S68)</f>
        <v/>
      </c>
      <c r="BG18" s="1129" t="str">
        <f>IF('woningen|utiliteit'!T68="","",'woningen|utiliteit'!T68)</f>
        <v/>
      </c>
      <c r="BH18" s="213"/>
    </row>
    <row r="19" spans="1:60" s="36" customFormat="1">
      <c r="A19" s="1040"/>
      <c r="B19" s="1106" t="s">
        <v>111</v>
      </c>
      <c r="C19" s="1107" t="s">
        <v>104</v>
      </c>
      <c r="D19" s="638"/>
      <c r="E19" s="254" t="s">
        <v>115</v>
      </c>
      <c r="F19" s="618"/>
      <c r="G19" s="618"/>
      <c r="H19" s="298" t="s">
        <v>65</v>
      </c>
      <c r="I19" s="86"/>
      <c r="J19" s="619"/>
      <c r="K19" s="93"/>
      <c r="L19" s="93"/>
      <c r="M19" s="619"/>
      <c r="N19" s="620"/>
      <c r="O19" s="539" t="str">
        <f>IF(O$17="","",HLOOKUP(O$17,woningen_gebouwen_gegevens,ROWS(bibliotheek!$E$20:$E$21),FALSE))</f>
        <v/>
      </c>
      <c r="P19" s="539" t="str">
        <f>IF(P$17="","",HLOOKUP(P$17,woningen_gebouwen_gegevens,ROWS(bibliotheek!$E$20:$E$21),FALSE))</f>
        <v/>
      </c>
      <c r="Q19" s="539" t="str">
        <f>IF(Q$17="","",HLOOKUP(Q$17,woningen_gebouwen_gegevens,ROWS(bibliotheek!$E$20:$E$21),FALSE))</f>
        <v/>
      </c>
      <c r="R19" s="539" t="str">
        <f>IF(R$17="","",HLOOKUP(R$17,woningen_gebouwen_gegevens,ROWS(bibliotheek!$E$20:$E$21),FALSE))</f>
        <v/>
      </c>
      <c r="S19" s="539" t="str">
        <f>IF(S$17="","",HLOOKUP(S$17,woningen_gebouwen_gegevens,ROWS(bibliotheek!$E$20:$E$21),FALSE))</f>
        <v/>
      </c>
      <c r="T19" s="539" t="str">
        <f>IF(T$17="","",HLOOKUP(T$17,woningen_gebouwen_gegevens,ROWS(bibliotheek!$E$20:$E$21),FALSE))</f>
        <v/>
      </c>
      <c r="U19" s="539" t="str">
        <f>IF(U$17="","",HLOOKUP(U$17,woningen_gebouwen_gegevens,ROWS(bibliotheek!$E$20:$E$21),FALSE))</f>
        <v/>
      </c>
      <c r="V19" s="539" t="str">
        <f>IF(V$17="","",HLOOKUP(V$17,woningen_gebouwen_gegevens,ROWS(bibliotheek!$E$20:$E$21),FALSE))</f>
        <v/>
      </c>
      <c r="W19" s="539" t="str">
        <f>IF(W$17="","",HLOOKUP(W$17,woningen_gebouwen_gegevens,ROWS(bibliotheek!$E$20:$E$21),FALSE))</f>
        <v/>
      </c>
      <c r="X19" s="322"/>
      <c r="Y19" s="148"/>
      <c r="Z19" s="323"/>
      <c r="AA19" s="385" t="str">
        <f>IF(AA$17="","",HLOOKUP(AA$17,woningen_gebouwen_gegevens,ROWS(bibliotheek!$E$20:$E$21),FALSE))</f>
        <v/>
      </c>
      <c r="AB19" s="385" t="str">
        <f>IF(AB$17="","",HLOOKUP(AB$17,woningen_gebouwen_gegevens,ROWS(bibliotheek!$E$20:$E$21),FALSE))</f>
        <v/>
      </c>
      <c r="AC19" s="385" t="str">
        <f>IF(AC$17="","",HLOOKUP(AC$17,woningen_gebouwen_gegevens,ROWS(bibliotheek!$E$20:$E$21),FALSE))</f>
        <v/>
      </c>
      <c r="AD19" s="385" t="str">
        <f>IF(AD$17="","",HLOOKUP(AD$17,woningen_gebouwen_gegevens,ROWS(bibliotheek!$E$20:$E$21),FALSE))</f>
        <v/>
      </c>
      <c r="AE19" s="385" t="str">
        <f>IF(AE$17="","",HLOOKUP(AE$17,woningen_gebouwen_gegevens,ROWS(bibliotheek!$E$20:$E$21),FALSE))</f>
        <v/>
      </c>
      <c r="AF19" s="385" t="str">
        <f>IF(AF$17="","",HLOOKUP(AF$17,woningen_gebouwen_gegevens,ROWS(bibliotheek!$E$20:$E$21),FALSE))</f>
        <v/>
      </c>
      <c r="AG19" s="385" t="str">
        <f>IF(AG$17="","",HLOOKUP(AG$17,woningen_gebouwen_gegevens,ROWS(bibliotheek!$E$20:$E$21),FALSE))</f>
        <v/>
      </c>
      <c r="AH19" s="385" t="str">
        <f>IF(AH$17="","",HLOOKUP(AH$17,woningen_gebouwen_gegevens,ROWS(bibliotheek!$E$20:$E$21),FALSE))</f>
        <v/>
      </c>
      <c r="AI19" s="385" t="str">
        <f>IF(AI$17="","",HLOOKUP(AI$17,woningen_gebouwen_gegevens,ROWS(bibliotheek!$E$20:$E$21),FALSE))</f>
        <v/>
      </c>
      <c r="AJ19" s="322"/>
      <c r="AK19" s="148"/>
      <c r="AL19" s="323"/>
      <c r="AM19" s="385" t="str">
        <f>IF(AM$17="","",HLOOKUP(AM$17,woningen_gebouwen_gegevens,ROWS(bibliotheek!$E$20:$E$21),FALSE))</f>
        <v/>
      </c>
      <c r="AN19" s="385" t="str">
        <f>IF(AN$17="","",HLOOKUP(AN$17,woningen_gebouwen_gegevens,ROWS(bibliotheek!$E$20:$E$21),FALSE))</f>
        <v/>
      </c>
      <c r="AO19" s="385" t="str">
        <f>IF(AO$17="","",HLOOKUP(AO$17,woningen_gebouwen_gegevens,ROWS(bibliotheek!$E$20:$E$21),FALSE))</f>
        <v/>
      </c>
      <c r="AP19" s="385" t="str">
        <f>IF(AP$17="","",HLOOKUP(AP$17,woningen_gebouwen_gegevens,ROWS(bibliotheek!$E$20:$E$21),FALSE))</f>
        <v/>
      </c>
      <c r="AQ19" s="385" t="str">
        <f>IF(AQ$17="","",HLOOKUP(AQ$17,woningen_gebouwen_gegevens,ROWS(bibliotheek!$E$20:$E$21),FALSE))</f>
        <v/>
      </c>
      <c r="AR19" s="385" t="str">
        <f>IF(AR$17="","",HLOOKUP(AR$17,woningen_gebouwen_gegevens,ROWS(bibliotheek!$E$20:$E$21),FALSE))</f>
        <v/>
      </c>
      <c r="AS19" s="385" t="str">
        <f>IF(AS$17="","",HLOOKUP(AS$17,woningen_gebouwen_gegevens,ROWS(bibliotheek!$E$20:$E$21),FALSE))</f>
        <v/>
      </c>
      <c r="AT19" s="385" t="str">
        <f>IF(AT$17="","",HLOOKUP(AT$17,woningen_gebouwen_gegevens,ROWS(bibliotheek!$E$20:$E$21),FALSE))</f>
        <v/>
      </c>
      <c r="AU19" s="385" t="str">
        <f>IF(AU$17="","",HLOOKUP(AU$17,woningen_gebouwen_gegevens,ROWS(bibliotheek!$E$20:$E$21),FALSE))</f>
        <v/>
      </c>
      <c r="AV19" s="322"/>
      <c r="AW19" s="148"/>
      <c r="AX19" s="323"/>
      <c r="AY19" s="385" t="str">
        <f>IF(AY$17="","",HLOOKUP(AY$17,woningen_gebouwen_gegevens,ROWS(bibliotheek!$E$20:$E$21),FALSE))</f>
        <v/>
      </c>
      <c r="AZ19" s="385" t="str">
        <f>IF(AZ$17="","",HLOOKUP(AZ$17,woningen_gebouwen_gegevens,ROWS(bibliotheek!$E$20:$E$21),FALSE))</f>
        <v/>
      </c>
      <c r="BA19" s="385" t="str">
        <f>IF(BA$17="","",HLOOKUP(BA$17,woningen_gebouwen_gegevens,ROWS(bibliotheek!$E$20:$E$21),FALSE))</f>
        <v/>
      </c>
      <c r="BB19" s="385" t="str">
        <f>IF(BB$17="","",HLOOKUP(BB$17,woningen_gebouwen_gegevens,ROWS(bibliotheek!$E$20:$E$21),FALSE))</f>
        <v/>
      </c>
      <c r="BC19" s="385" t="str">
        <f>IF(BC$17="","",HLOOKUP(BC$17,woningen_gebouwen_gegevens,ROWS(bibliotheek!$E$20:$E$21),FALSE))</f>
        <v/>
      </c>
      <c r="BD19" s="385" t="str">
        <f>IF(BD$17="","",HLOOKUP(BD$17,woningen_gebouwen_gegevens,ROWS(bibliotheek!$E$20:$E$21),FALSE))</f>
        <v/>
      </c>
      <c r="BE19" s="385" t="str">
        <f>IF(BE$17="","",HLOOKUP(BE$17,woningen_gebouwen_gegevens,ROWS(bibliotheek!$E$20:$E$21),FALSE))</f>
        <v/>
      </c>
      <c r="BF19" s="385" t="str">
        <f>IF(BF$17="","",HLOOKUP(BF$17,woningen_gebouwen_gegevens,ROWS(bibliotheek!$E$20:$E$21),FALSE))</f>
        <v/>
      </c>
      <c r="BG19" s="385" t="str">
        <f>IF(BG$17="","",HLOOKUP(BG$17,woningen_gebouwen_gegevens,ROWS(bibliotheek!$E$20:$E$21),FALSE))</f>
        <v/>
      </c>
      <c r="BH19" s="213"/>
    </row>
    <row r="20" spans="1:60">
      <c r="A20" s="1040"/>
      <c r="B20" s="1106" t="s">
        <v>111</v>
      </c>
      <c r="C20" s="1107" t="s">
        <v>104</v>
      </c>
      <c r="D20" s="638"/>
      <c r="E20" s="180" t="s">
        <v>116</v>
      </c>
      <c r="F20" s="180"/>
      <c r="G20" s="180"/>
      <c r="H20" s="181" t="s">
        <v>65</v>
      </c>
      <c r="I20" s="114"/>
      <c r="J20" s="624"/>
      <c r="K20" s="243"/>
      <c r="L20" s="243"/>
      <c r="M20" s="188"/>
      <c r="N20" s="89"/>
      <c r="O20" s="385" t="str">
        <f>IF(O$17="","",HLOOKUP(O$17,woningen_gebouwen_gegevens,ROWS(bibliotheek!$E$20:$E$22),FALSE))</f>
        <v/>
      </c>
      <c r="P20" s="385" t="str">
        <f>IF(P$17="","",HLOOKUP(P$17,woningen_gebouwen_gegevens,ROWS(bibliotheek!$E$20:$E$22),FALSE))</f>
        <v/>
      </c>
      <c r="Q20" s="385" t="str">
        <f>IF(Q$17="","",HLOOKUP(Q$17,woningen_gebouwen_gegevens,ROWS(bibliotheek!$E$20:$E$22),FALSE))</f>
        <v/>
      </c>
      <c r="R20" s="385" t="str">
        <f>IF(R$17="","",HLOOKUP(R$17,woningen_gebouwen_gegevens,ROWS(bibliotheek!$E$20:$E$22),FALSE))</f>
        <v/>
      </c>
      <c r="S20" s="385" t="str">
        <f>IF(S$17="","",HLOOKUP(S$17,woningen_gebouwen_gegevens,ROWS(bibliotheek!$E$20:$E$22),FALSE))</f>
        <v/>
      </c>
      <c r="T20" s="385" t="str">
        <f>IF(T$17="","",HLOOKUP(T$17,woningen_gebouwen_gegevens,ROWS(bibliotheek!$E$20:$E$22),FALSE))</f>
        <v/>
      </c>
      <c r="U20" s="385" t="str">
        <f>IF(U$17="","",HLOOKUP(U$17,woningen_gebouwen_gegevens,ROWS(bibliotheek!$E$20:$E$22),FALSE))</f>
        <v/>
      </c>
      <c r="V20" s="385" t="str">
        <f>IF(V$17="","",HLOOKUP(V$17,woningen_gebouwen_gegevens,ROWS(bibliotheek!$E$20:$E$22),FALSE))</f>
        <v/>
      </c>
      <c r="W20" s="385" t="str">
        <f>IF(W$17="","",HLOOKUP(W$17,woningen_gebouwen_gegevens,ROWS(bibliotheek!$E$20:$E$22),FALSE))</f>
        <v/>
      </c>
      <c r="X20" s="90"/>
      <c r="Y20" s="188"/>
      <c r="Z20" s="89"/>
      <c r="AA20" s="385" t="str">
        <f>IF(AA$17="","",HLOOKUP(AA$17,woningen_gebouwen_gegevens,ROWS(bibliotheek!$E$20:$E$22),FALSE))</f>
        <v/>
      </c>
      <c r="AB20" s="385" t="str">
        <f>IF(AB$17="","",HLOOKUP(AB$17,woningen_gebouwen_gegevens,ROWS(bibliotheek!$E$20:$E$22),FALSE))</f>
        <v/>
      </c>
      <c r="AC20" s="385" t="str">
        <f>IF(AC$17="","",HLOOKUP(AC$17,woningen_gebouwen_gegevens,ROWS(bibliotheek!$E$20:$E$22),FALSE))</f>
        <v/>
      </c>
      <c r="AD20" s="385" t="str">
        <f>IF(AD$17="","",HLOOKUP(AD$17,woningen_gebouwen_gegevens,ROWS(bibliotheek!$E$20:$E$22),FALSE))</f>
        <v/>
      </c>
      <c r="AE20" s="385" t="str">
        <f>IF(AE$17="","",HLOOKUP(AE$17,woningen_gebouwen_gegevens,ROWS(bibliotheek!$E$20:$E$22),FALSE))</f>
        <v/>
      </c>
      <c r="AF20" s="385" t="str">
        <f>IF(AF$17="","",HLOOKUP(AF$17,woningen_gebouwen_gegevens,ROWS(bibliotheek!$E$20:$E$22),FALSE))</f>
        <v/>
      </c>
      <c r="AG20" s="385" t="str">
        <f>IF(AG$17="","",HLOOKUP(AG$17,woningen_gebouwen_gegevens,ROWS(bibliotheek!$E$20:$E$22),FALSE))</f>
        <v/>
      </c>
      <c r="AH20" s="385" t="str">
        <f>IF(AH$17="","",HLOOKUP(AH$17,woningen_gebouwen_gegevens,ROWS(bibliotheek!$E$20:$E$22),FALSE))</f>
        <v/>
      </c>
      <c r="AI20" s="385" t="str">
        <f>IF(AI$17="","",HLOOKUP(AI$17,woningen_gebouwen_gegevens,ROWS(bibliotheek!$E$20:$E$22),FALSE))</f>
        <v/>
      </c>
      <c r="AJ20" s="90"/>
      <c r="AK20" s="188"/>
      <c r="AL20" s="89"/>
      <c r="AM20" s="385" t="str">
        <f>IF(AM$17="","",HLOOKUP(AM$17,woningen_gebouwen_gegevens,ROWS(bibliotheek!$E$20:$E$22),FALSE))</f>
        <v/>
      </c>
      <c r="AN20" s="385" t="str">
        <f>IF(AN$17="","",HLOOKUP(AN$17,woningen_gebouwen_gegevens,ROWS(bibliotheek!$E$20:$E$22),FALSE))</f>
        <v/>
      </c>
      <c r="AO20" s="385" t="str">
        <f>IF(AO$17="","",HLOOKUP(AO$17,woningen_gebouwen_gegevens,ROWS(bibliotheek!$E$20:$E$22),FALSE))</f>
        <v/>
      </c>
      <c r="AP20" s="385" t="str">
        <f>IF(AP$17="","",HLOOKUP(AP$17,woningen_gebouwen_gegevens,ROWS(bibliotheek!$E$20:$E$22),FALSE))</f>
        <v/>
      </c>
      <c r="AQ20" s="385" t="str">
        <f>IF(AQ$17="","",HLOOKUP(AQ$17,woningen_gebouwen_gegevens,ROWS(bibliotheek!$E$20:$E$22),FALSE))</f>
        <v/>
      </c>
      <c r="AR20" s="385" t="str">
        <f>IF(AR$17="","",HLOOKUP(AR$17,woningen_gebouwen_gegevens,ROWS(bibliotheek!$E$20:$E$22),FALSE))</f>
        <v/>
      </c>
      <c r="AS20" s="385" t="str">
        <f>IF(AS$17="","",HLOOKUP(AS$17,woningen_gebouwen_gegevens,ROWS(bibliotheek!$E$20:$E$22),FALSE))</f>
        <v/>
      </c>
      <c r="AT20" s="385" t="str">
        <f>IF(AT$17="","",HLOOKUP(AT$17,woningen_gebouwen_gegevens,ROWS(bibliotheek!$E$20:$E$22),FALSE))</f>
        <v/>
      </c>
      <c r="AU20" s="385" t="str">
        <f>IF(AU$17="","",HLOOKUP(AU$17,woningen_gebouwen_gegevens,ROWS(bibliotheek!$E$20:$E$22),FALSE))</f>
        <v/>
      </c>
      <c r="AV20" s="90"/>
      <c r="AW20" s="188"/>
      <c r="AX20" s="89"/>
      <c r="AY20" s="385" t="str">
        <f>IF(AY$17="","",HLOOKUP(AY$17,woningen_gebouwen_gegevens,ROWS(bibliotheek!$E$20:$E$22),FALSE))</f>
        <v/>
      </c>
      <c r="AZ20" s="385" t="str">
        <f>IF(AZ$17="","",HLOOKUP(AZ$17,woningen_gebouwen_gegevens,ROWS(bibliotheek!$E$20:$E$22),FALSE))</f>
        <v/>
      </c>
      <c r="BA20" s="385" t="str">
        <f>IF(BA$17="","",HLOOKUP(BA$17,woningen_gebouwen_gegevens,ROWS(bibliotheek!$E$20:$E$22),FALSE))</f>
        <v/>
      </c>
      <c r="BB20" s="385" t="str">
        <f>IF(BB$17="","",HLOOKUP(BB$17,woningen_gebouwen_gegevens,ROWS(bibliotheek!$E$20:$E$22),FALSE))</f>
        <v/>
      </c>
      <c r="BC20" s="385" t="str">
        <f>IF(BC$17="","",HLOOKUP(BC$17,woningen_gebouwen_gegevens,ROWS(bibliotheek!$E$20:$E$22),FALSE))</f>
        <v/>
      </c>
      <c r="BD20" s="385" t="str">
        <f>IF(BD$17="","",HLOOKUP(BD$17,woningen_gebouwen_gegevens,ROWS(bibliotheek!$E$20:$E$22),FALSE))</f>
        <v/>
      </c>
      <c r="BE20" s="385" t="str">
        <f>IF(BE$17="","",HLOOKUP(BE$17,woningen_gebouwen_gegevens,ROWS(bibliotheek!$E$20:$E$22),FALSE))</f>
        <v/>
      </c>
      <c r="BF20" s="385" t="str">
        <f>IF(BF$17="","",HLOOKUP(BF$17,woningen_gebouwen_gegevens,ROWS(bibliotheek!$E$20:$E$22),FALSE))</f>
        <v/>
      </c>
      <c r="BG20" s="385" t="str">
        <f>IF(BG$17="","",HLOOKUP(BG$17,woningen_gebouwen_gegevens,ROWS(bibliotheek!$E$20:$E$22),FALSE))</f>
        <v/>
      </c>
      <c r="BH20" s="214"/>
    </row>
    <row r="21" spans="1:60">
      <c r="A21" s="1040"/>
      <c r="B21" s="1106" t="s">
        <v>111</v>
      </c>
      <c r="C21" s="1106" t="s">
        <v>96</v>
      </c>
      <c r="D21" s="638"/>
      <c r="E21" s="942" t="s">
        <v>117</v>
      </c>
      <c r="F21" s="942"/>
      <c r="G21" s="942"/>
      <c r="H21" s="942"/>
      <c r="I21" s="129"/>
      <c r="J21" s="943"/>
      <c r="K21" s="126"/>
      <c r="L21" s="126"/>
      <c r="M21" s="944"/>
      <c r="N21" s="193"/>
      <c r="O21" s="258" t="str">
        <f>O$17</f>
        <v/>
      </c>
      <c r="P21" s="258" t="str">
        <f t="shared" ref="P21:W21" si="12">P$17</f>
        <v/>
      </c>
      <c r="Q21" s="258" t="str">
        <f t="shared" si="12"/>
        <v/>
      </c>
      <c r="R21" s="258" t="str">
        <f t="shared" si="12"/>
        <v/>
      </c>
      <c r="S21" s="258" t="str">
        <f t="shared" si="12"/>
        <v/>
      </c>
      <c r="T21" s="258" t="str">
        <f t="shared" si="12"/>
        <v/>
      </c>
      <c r="U21" s="258" t="str">
        <f t="shared" si="12"/>
        <v/>
      </c>
      <c r="V21" s="258" t="str">
        <f t="shared" si="12"/>
        <v/>
      </c>
      <c r="W21" s="258" t="str">
        <f t="shared" si="12"/>
        <v/>
      </c>
      <c r="X21" s="195"/>
      <c r="Y21" s="944"/>
      <c r="Z21" s="195"/>
      <c r="AA21" s="258" t="str">
        <f>IF('woningen|utiliteit'!X22="","",'woningen|utiliteit'!X22)</f>
        <v/>
      </c>
      <c r="AB21" s="258" t="str">
        <f>IF('woningen|utiliteit'!Y22="","",'woningen|utiliteit'!Y22)</f>
        <v/>
      </c>
      <c r="AC21" s="258" t="str">
        <f>IF('woningen|utiliteit'!Z22="","",'woningen|utiliteit'!Z22)</f>
        <v/>
      </c>
      <c r="AD21" s="258" t="str">
        <f>IF('woningen|utiliteit'!AA22="","",'woningen|utiliteit'!AA22)</f>
        <v/>
      </c>
      <c r="AE21" s="258" t="str">
        <f>IF('woningen|utiliteit'!AB22="","",'woningen|utiliteit'!AB22)</f>
        <v/>
      </c>
      <c r="AF21" s="258" t="str">
        <f>IF('woningen|utiliteit'!AC22="","",'woningen|utiliteit'!AC22)</f>
        <v/>
      </c>
      <c r="AG21" s="258" t="str">
        <f>IF('woningen|utiliteit'!AD22="","",'woningen|utiliteit'!AD22)</f>
        <v/>
      </c>
      <c r="AH21" s="258" t="str">
        <f>IF('woningen|utiliteit'!AE22="","",'woningen|utiliteit'!AE22)</f>
        <v/>
      </c>
      <c r="AI21" s="258" t="str">
        <f>IF('woningen|utiliteit'!AF22="","",'woningen|utiliteit'!AF22)</f>
        <v/>
      </c>
      <c r="AJ21" s="195"/>
      <c r="AK21" s="944"/>
      <c r="AL21" s="195"/>
      <c r="AM21" s="258" t="str">
        <f>IF('woningen|utiliteit'!AJ22="","",'woningen|utiliteit'!AJ22)</f>
        <v/>
      </c>
      <c r="AN21" s="258" t="str">
        <f>IF('woningen|utiliteit'!AK22="","",'woningen|utiliteit'!AK22)</f>
        <v/>
      </c>
      <c r="AO21" s="258" t="str">
        <f>IF('woningen|utiliteit'!AL22="","",'woningen|utiliteit'!AL22)</f>
        <v/>
      </c>
      <c r="AP21" s="258" t="str">
        <f>IF('woningen|utiliteit'!AM22="","",'woningen|utiliteit'!AM22)</f>
        <v/>
      </c>
      <c r="AQ21" s="258" t="str">
        <f>IF('woningen|utiliteit'!AN22="","",'woningen|utiliteit'!AN22)</f>
        <v/>
      </c>
      <c r="AR21" s="258" t="str">
        <f>IF('woningen|utiliteit'!AO22="","",'woningen|utiliteit'!AO22)</f>
        <v/>
      </c>
      <c r="AS21" s="258" t="str">
        <f>IF('woningen|utiliteit'!AP22="","",'woningen|utiliteit'!AP22)</f>
        <v/>
      </c>
      <c r="AT21" s="258" t="str">
        <f>IF('woningen|utiliteit'!AQ22="","",'woningen|utiliteit'!AQ22)</f>
        <v/>
      </c>
      <c r="AU21" s="258" t="str">
        <f>IF('woningen|utiliteit'!AR22="","",'woningen|utiliteit'!AR22)</f>
        <v/>
      </c>
      <c r="AV21" s="195"/>
      <c r="AW21" s="944"/>
      <c r="AX21" s="195"/>
      <c r="AY21" s="258" t="str">
        <f>IF('woningen|utiliteit'!AV22="","",'woningen|utiliteit'!AV22)</f>
        <v/>
      </c>
      <c r="AZ21" s="258" t="str">
        <f>IF('woningen|utiliteit'!AW22="","",'woningen|utiliteit'!AW22)</f>
        <v/>
      </c>
      <c r="BA21" s="258" t="str">
        <f>IF('woningen|utiliteit'!AX22="","",'woningen|utiliteit'!AX22)</f>
        <v/>
      </c>
      <c r="BB21" s="258" t="str">
        <f>IF('woningen|utiliteit'!AY22="","",'woningen|utiliteit'!AY22)</f>
        <v/>
      </c>
      <c r="BC21" s="258" t="str">
        <f>IF('woningen|utiliteit'!AZ22="","",'woningen|utiliteit'!AZ22)</f>
        <v/>
      </c>
      <c r="BD21" s="258" t="str">
        <f>IF('woningen|utiliteit'!BA22="","",'woningen|utiliteit'!BA22)</f>
        <v/>
      </c>
      <c r="BE21" s="258" t="str">
        <f>IF('woningen|utiliteit'!BB22="","",'woningen|utiliteit'!BB22)</f>
        <v/>
      </c>
      <c r="BF21" s="258" t="str">
        <f>IF('woningen|utiliteit'!BC22="","",'woningen|utiliteit'!BC22)</f>
        <v/>
      </c>
      <c r="BG21" s="258" t="str">
        <f>IF('woningen|utiliteit'!BD22="","",'woningen|utiliteit'!BD22)</f>
        <v/>
      </c>
      <c r="BH21" s="36"/>
    </row>
    <row r="22" spans="1:60">
      <c r="A22" s="1040"/>
      <c r="B22" s="1106" t="s">
        <v>111</v>
      </c>
      <c r="C22" s="1107" t="s">
        <v>118</v>
      </c>
      <c r="D22" s="638"/>
      <c r="E22" s="254" t="s">
        <v>119</v>
      </c>
      <c r="F22" s="254"/>
      <c r="G22" s="254"/>
      <c r="H22" s="298" t="s">
        <v>120</v>
      </c>
      <c r="I22" s="116"/>
      <c r="J22" s="185">
        <f>M22+Y22+AK22+AW22</f>
        <v>0</v>
      </c>
      <c r="K22" s="1051"/>
      <c r="L22" s="1051"/>
      <c r="M22" s="400">
        <f>SUM(N22:X22)</f>
        <v>0</v>
      </c>
      <c r="N22" s="91"/>
      <c r="O22" s="538">
        <f>IF('woningen|utiliteit'!L18="",0,IF(O23&lt;&gt;"",O23,'woningen|utiliteit'!L21))</f>
        <v>0</v>
      </c>
      <c r="P22" s="538">
        <f>IF('woningen|utiliteit'!M18="",0,IF(P23&lt;&gt;"",P23,'woningen|utiliteit'!M21))</f>
        <v>0</v>
      </c>
      <c r="Q22" s="539">
        <f>IF('woningen|utiliteit'!N18="",0,IF(Q23&lt;&gt;"",Q23,'woningen|utiliteit'!N21))</f>
        <v>0</v>
      </c>
      <c r="R22" s="539">
        <f>IF('woningen|utiliteit'!O18="",0,IF(R23&lt;&gt;"",R23,'woningen|utiliteit'!O21))</f>
        <v>0</v>
      </c>
      <c r="S22" s="539">
        <f>IF('woningen|utiliteit'!P18="",0,IF(S23&lt;&gt;"",S23,'woningen|utiliteit'!P21))</f>
        <v>0</v>
      </c>
      <c r="T22" s="539">
        <f>IF('woningen|utiliteit'!Q18="",0,IF(T23&lt;&gt;"",T23,'woningen|utiliteit'!Q21))</f>
        <v>0</v>
      </c>
      <c r="U22" s="539">
        <f>IF('woningen|utiliteit'!R18="",0,IF(U23&lt;&gt;"",U23,'woningen|utiliteit'!R21))</f>
        <v>0</v>
      </c>
      <c r="V22" s="539">
        <f>IF('woningen|utiliteit'!S18="",0,IF(V23&lt;&gt;"",V23,'woningen|utiliteit'!S21))</f>
        <v>0</v>
      </c>
      <c r="W22" s="538">
        <f>IF('woningen|utiliteit'!T18="",0,IF(W23&lt;&gt;"",W23,'woningen|utiliteit'!T21))</f>
        <v>0</v>
      </c>
      <c r="X22" s="92"/>
      <c r="Y22" s="189">
        <f>SUM(Z22:AJ22)</f>
        <v>0</v>
      </c>
      <c r="Z22" s="91"/>
      <c r="AA22" s="538">
        <f>IF('woningen|utiliteit'!L34="",0,IF(AA23&lt;&gt;"",AA23,'woningen|utiliteit'!L37))</f>
        <v>0</v>
      </c>
      <c r="AB22" s="538">
        <f>IF('woningen|utiliteit'!M34="",0,IF(AB23&lt;&gt;"",AB23,'woningen|utiliteit'!M37))</f>
        <v>0</v>
      </c>
      <c r="AC22" s="539">
        <f>IF('woningen|utiliteit'!N34="",0,IF(AC23&lt;&gt;"",AC23,'woningen|utiliteit'!N37))</f>
        <v>0</v>
      </c>
      <c r="AD22" s="539">
        <f>IF('woningen|utiliteit'!O34="",0,IF(AD23&lt;&gt;"",AD23,'woningen|utiliteit'!O37))</f>
        <v>0</v>
      </c>
      <c r="AE22" s="539">
        <f>IF('woningen|utiliteit'!P34="",0,IF(AE23&lt;&gt;"",AE23,'woningen|utiliteit'!P37))</f>
        <v>0</v>
      </c>
      <c r="AF22" s="539">
        <f>IF('woningen|utiliteit'!Q34="",0,IF(AF23&lt;&gt;"",AF23,'woningen|utiliteit'!Q37))</f>
        <v>0</v>
      </c>
      <c r="AG22" s="539">
        <f>IF('woningen|utiliteit'!R34="",0,IF(AG23&lt;&gt;"",AG23,'woningen|utiliteit'!R37))</f>
        <v>0</v>
      </c>
      <c r="AH22" s="539">
        <f>IF('woningen|utiliteit'!S34="",0,IF(AH23&lt;&gt;"",AH23,'woningen|utiliteit'!S37))</f>
        <v>0</v>
      </c>
      <c r="AI22" s="538">
        <f>IF('woningen|utiliteit'!T34="",0,IF(AI23&lt;&gt;"",AI23,'woningen|utiliteit'!T37))</f>
        <v>0</v>
      </c>
      <c r="AJ22" s="92"/>
      <c r="AK22" s="189">
        <f>SUM(AL22:AV22)</f>
        <v>0</v>
      </c>
      <c r="AL22" s="91"/>
      <c r="AM22" s="538">
        <f>IF('woningen|utiliteit'!L50="",0,IF(AM23&lt;&gt;"",AM23,'woningen|utiliteit'!L53))</f>
        <v>0</v>
      </c>
      <c r="AN22" s="538">
        <f>IF('woningen|utiliteit'!M50="",0,IF(AN23&lt;&gt;"",AN23,'woningen|utiliteit'!M53))</f>
        <v>0</v>
      </c>
      <c r="AO22" s="539">
        <f>IF('woningen|utiliteit'!N50="",0,IF(AO23&lt;&gt;"",AO23,'woningen|utiliteit'!N53))</f>
        <v>0</v>
      </c>
      <c r="AP22" s="539">
        <f>IF('woningen|utiliteit'!O50="",0,IF(AP23&lt;&gt;"",AP23,'woningen|utiliteit'!O53))</f>
        <v>0</v>
      </c>
      <c r="AQ22" s="539">
        <f>IF('woningen|utiliteit'!P50="",0,IF(AQ23&lt;&gt;"",AQ23,'woningen|utiliteit'!P53))</f>
        <v>0</v>
      </c>
      <c r="AR22" s="539">
        <f>IF('woningen|utiliteit'!Q50="",0,IF(AR23&lt;&gt;"",AR23,'woningen|utiliteit'!Q53))</f>
        <v>0</v>
      </c>
      <c r="AS22" s="539">
        <f>IF('woningen|utiliteit'!R50="",0,IF(AS23&lt;&gt;"",AS23,'woningen|utiliteit'!R53))</f>
        <v>0</v>
      </c>
      <c r="AT22" s="539">
        <f>IF('woningen|utiliteit'!S50="",0,IF(AT23&lt;&gt;"",AT23,'woningen|utiliteit'!S53))</f>
        <v>0</v>
      </c>
      <c r="AU22" s="538">
        <f>IF('woningen|utiliteit'!T50="",0,IF(AU23&lt;&gt;"",AU23,'woningen|utiliteit'!T53))</f>
        <v>0</v>
      </c>
      <c r="AV22" s="92"/>
      <c r="AW22" s="189">
        <f>SUM(AX22:BH22)</f>
        <v>0</v>
      </c>
      <c r="AX22" s="91"/>
      <c r="AY22" s="538">
        <f>IF('woningen|utiliteit'!L66="",0,IF(AY23&lt;&gt;"",AY23,'woningen|utiliteit'!L69))</f>
        <v>0</v>
      </c>
      <c r="AZ22" s="538">
        <f>IF('woningen|utiliteit'!M66="",0,IF(AZ23&lt;&gt;"",AZ23,'woningen|utiliteit'!M69))</f>
        <v>0</v>
      </c>
      <c r="BA22" s="539">
        <f>IF('woningen|utiliteit'!N66="",0,IF(BA23&lt;&gt;"",BA23,'woningen|utiliteit'!N69))</f>
        <v>0</v>
      </c>
      <c r="BB22" s="539">
        <f>IF('woningen|utiliteit'!O66="",0,IF(BB23&lt;&gt;"",BB23,'woningen|utiliteit'!O69))</f>
        <v>0</v>
      </c>
      <c r="BC22" s="539">
        <f>IF('woningen|utiliteit'!P66="",0,IF(BC23&lt;&gt;"",BC23,'woningen|utiliteit'!P69))</f>
        <v>0</v>
      </c>
      <c r="BD22" s="539">
        <f>IF('woningen|utiliteit'!Q66="",0,IF(BD23&lt;&gt;"",BD23,'woningen|utiliteit'!Q69))</f>
        <v>0</v>
      </c>
      <c r="BE22" s="539">
        <f>IF('woningen|utiliteit'!R66="",0,IF(BE23&lt;&gt;"",BE23,'woningen|utiliteit'!R69))</f>
        <v>0</v>
      </c>
      <c r="BF22" s="539">
        <f>IF('woningen|utiliteit'!S66="",0,IF(BF23&lt;&gt;"",BF23,'woningen|utiliteit'!S69))</f>
        <v>0</v>
      </c>
      <c r="BG22" s="538">
        <f>IF('woningen|utiliteit'!T66="",0,IF(BG23&lt;&gt;"",BG23,'woningen|utiliteit'!T69))</f>
        <v>0</v>
      </c>
      <c r="BH22" s="213"/>
    </row>
    <row r="23" spans="1:60">
      <c r="A23" s="1040"/>
      <c r="B23" s="1106" t="s">
        <v>111</v>
      </c>
      <c r="C23" s="1107" t="s">
        <v>118</v>
      </c>
      <c r="D23" s="638"/>
      <c r="E23" s="1218" t="s">
        <v>77</v>
      </c>
      <c r="F23" s="255"/>
      <c r="G23" s="255"/>
      <c r="H23" s="297"/>
      <c r="I23" s="86"/>
      <c r="J23" s="299"/>
      <c r="K23" s="93"/>
      <c r="L23" s="93"/>
      <c r="M23" s="398"/>
      <c r="N23" s="94"/>
      <c r="O23" s="263"/>
      <c r="P23" s="263"/>
      <c r="Q23" s="263"/>
      <c r="R23" s="263"/>
      <c r="S23" s="263"/>
      <c r="T23" s="263"/>
      <c r="U23" s="263"/>
      <c r="V23" s="263"/>
      <c r="W23" s="263"/>
      <c r="X23" s="87"/>
      <c r="Y23" s="197"/>
      <c r="Z23" s="94"/>
      <c r="AA23" s="263"/>
      <c r="AB23" s="263"/>
      <c r="AC23" s="263"/>
      <c r="AD23" s="263"/>
      <c r="AE23" s="263"/>
      <c r="AF23" s="263"/>
      <c r="AG23" s="263"/>
      <c r="AH23" s="263"/>
      <c r="AI23" s="263"/>
      <c r="AJ23" s="87"/>
      <c r="AK23" s="197"/>
      <c r="AL23" s="94"/>
      <c r="AM23" s="263"/>
      <c r="AN23" s="263"/>
      <c r="AO23" s="263"/>
      <c r="AP23" s="263"/>
      <c r="AQ23" s="263"/>
      <c r="AR23" s="263"/>
      <c r="AS23" s="263"/>
      <c r="AT23" s="263"/>
      <c r="AU23" s="263"/>
      <c r="AV23" s="87"/>
      <c r="AW23" s="197"/>
      <c r="AX23" s="94"/>
      <c r="AY23" s="263"/>
      <c r="AZ23" s="263"/>
      <c r="BA23" s="263"/>
      <c r="BB23" s="263"/>
      <c r="BC23" s="263"/>
      <c r="BD23" s="263"/>
      <c r="BE23" s="263"/>
      <c r="BF23" s="263"/>
      <c r="BG23" s="263"/>
      <c r="BH23" s="174"/>
    </row>
    <row r="24" spans="1:60">
      <c r="A24" s="1040"/>
      <c r="B24" s="1106" t="s">
        <v>111</v>
      </c>
      <c r="C24" s="1107" t="s">
        <v>104</v>
      </c>
      <c r="D24" s="638"/>
      <c r="E24" s="254" t="s">
        <v>121</v>
      </c>
      <c r="F24" s="180"/>
      <c r="G24" s="180"/>
      <c r="H24" s="150" t="s">
        <v>72</v>
      </c>
      <c r="I24" s="95"/>
      <c r="J24" s="185">
        <f>M24+Y24+AK24+AW24</f>
        <v>0</v>
      </c>
      <c r="K24" s="1051"/>
      <c r="L24" s="1051"/>
      <c r="M24" s="206">
        <f>SUM(N24:X24)</f>
        <v>0</v>
      </c>
      <c r="N24" s="96"/>
      <c r="O24" s="540">
        <f t="shared" ref="O24:W24" si="13">IF(O$19=woning,O$22,0)</f>
        <v>0</v>
      </c>
      <c r="P24" s="540">
        <f t="shared" si="13"/>
        <v>0</v>
      </c>
      <c r="Q24" s="540">
        <f t="shared" si="13"/>
        <v>0</v>
      </c>
      <c r="R24" s="540">
        <f t="shared" si="13"/>
        <v>0</v>
      </c>
      <c r="S24" s="540">
        <f t="shared" si="13"/>
        <v>0</v>
      </c>
      <c r="T24" s="540">
        <f t="shared" si="13"/>
        <v>0</v>
      </c>
      <c r="U24" s="540">
        <f t="shared" si="13"/>
        <v>0</v>
      </c>
      <c r="V24" s="540">
        <f t="shared" si="13"/>
        <v>0</v>
      </c>
      <c r="W24" s="540">
        <f t="shared" si="13"/>
        <v>0</v>
      </c>
      <c r="X24" s="97"/>
      <c r="Y24" s="400">
        <f>SUM(Z24:AJ24)</f>
        <v>0</v>
      </c>
      <c r="Z24" s="96"/>
      <c r="AA24" s="540">
        <f t="shared" ref="AA24:AI24" si="14">IF(AA$19=woning,AA$22,0)</f>
        <v>0</v>
      </c>
      <c r="AB24" s="540">
        <f t="shared" si="14"/>
        <v>0</v>
      </c>
      <c r="AC24" s="540">
        <f t="shared" si="14"/>
        <v>0</v>
      </c>
      <c r="AD24" s="540">
        <f t="shared" si="14"/>
        <v>0</v>
      </c>
      <c r="AE24" s="540">
        <f t="shared" si="14"/>
        <v>0</v>
      </c>
      <c r="AF24" s="540">
        <f t="shared" si="14"/>
        <v>0</v>
      </c>
      <c r="AG24" s="540">
        <f t="shared" si="14"/>
        <v>0</v>
      </c>
      <c r="AH24" s="540">
        <f t="shared" si="14"/>
        <v>0</v>
      </c>
      <c r="AI24" s="540">
        <f t="shared" si="14"/>
        <v>0</v>
      </c>
      <c r="AJ24" s="97"/>
      <c r="AK24" s="189">
        <f>SUM(AL24:AV24)</f>
        <v>0</v>
      </c>
      <c r="AL24" s="96"/>
      <c r="AM24" s="540">
        <f>IF(AM$19=woning,AM$22,0)</f>
        <v>0</v>
      </c>
      <c r="AN24" s="540">
        <f t="shared" ref="AN24:AU24" si="15">IF(AN$19=woning,AN$22,0)</f>
        <v>0</v>
      </c>
      <c r="AO24" s="540">
        <f t="shared" si="15"/>
        <v>0</v>
      </c>
      <c r="AP24" s="540">
        <f t="shared" si="15"/>
        <v>0</v>
      </c>
      <c r="AQ24" s="540">
        <f t="shared" si="15"/>
        <v>0</v>
      </c>
      <c r="AR24" s="540">
        <f t="shared" si="15"/>
        <v>0</v>
      </c>
      <c r="AS24" s="540">
        <f t="shared" si="15"/>
        <v>0</v>
      </c>
      <c r="AT24" s="540">
        <f t="shared" si="15"/>
        <v>0</v>
      </c>
      <c r="AU24" s="540">
        <f t="shared" si="15"/>
        <v>0</v>
      </c>
      <c r="AV24" s="97"/>
      <c r="AW24" s="400">
        <f>SUM(AX24:BH24)</f>
        <v>0</v>
      </c>
      <c r="AX24" s="96"/>
      <c r="AY24" s="540">
        <f t="shared" ref="AY24:BG24" si="16">IF(AY$19=woning,AY$22,0)</f>
        <v>0</v>
      </c>
      <c r="AZ24" s="540">
        <f t="shared" si="16"/>
        <v>0</v>
      </c>
      <c r="BA24" s="540">
        <f t="shared" si="16"/>
        <v>0</v>
      </c>
      <c r="BB24" s="540">
        <f t="shared" si="16"/>
        <v>0</v>
      </c>
      <c r="BC24" s="540">
        <f t="shared" si="16"/>
        <v>0</v>
      </c>
      <c r="BD24" s="540">
        <f t="shared" si="16"/>
        <v>0</v>
      </c>
      <c r="BE24" s="540">
        <f t="shared" si="16"/>
        <v>0</v>
      </c>
      <c r="BF24" s="540">
        <f t="shared" si="16"/>
        <v>0</v>
      </c>
      <c r="BG24" s="540">
        <f t="shared" si="16"/>
        <v>0</v>
      </c>
      <c r="BH24" s="174"/>
    </row>
    <row r="25" spans="1:60">
      <c r="A25" s="1040"/>
      <c r="B25" s="1106" t="s">
        <v>111</v>
      </c>
      <c r="C25" s="1107" t="s">
        <v>104</v>
      </c>
      <c r="D25" s="638"/>
      <c r="E25" s="254" t="s">
        <v>122</v>
      </c>
      <c r="F25" s="180"/>
      <c r="G25" s="180"/>
      <c r="H25" s="150" t="s">
        <v>72</v>
      </c>
      <c r="I25" s="95"/>
      <c r="J25" s="185">
        <f>M25+Y25+AK25+AW25</f>
        <v>0</v>
      </c>
      <c r="K25" s="1051"/>
      <c r="L25" s="1051"/>
      <c r="M25" s="206">
        <f>SUM(N25:X25)</f>
        <v>0</v>
      </c>
      <c r="N25" s="96"/>
      <c r="O25" s="540">
        <f t="shared" ref="O25:W25" si="17">IF(O$19=woongebouw,O$22,0)</f>
        <v>0</v>
      </c>
      <c r="P25" s="540">
        <f t="shared" si="17"/>
        <v>0</v>
      </c>
      <c r="Q25" s="540">
        <f t="shared" si="17"/>
        <v>0</v>
      </c>
      <c r="R25" s="540">
        <f t="shared" si="17"/>
        <v>0</v>
      </c>
      <c r="S25" s="540">
        <f t="shared" si="17"/>
        <v>0</v>
      </c>
      <c r="T25" s="540">
        <f t="shared" si="17"/>
        <v>0</v>
      </c>
      <c r="U25" s="540">
        <f t="shared" si="17"/>
        <v>0</v>
      </c>
      <c r="V25" s="540">
        <f t="shared" si="17"/>
        <v>0</v>
      </c>
      <c r="W25" s="540">
        <f t="shared" si="17"/>
        <v>0</v>
      </c>
      <c r="X25" s="97"/>
      <c r="Y25" s="400">
        <f>SUM(Z25:AJ25)</f>
        <v>0</v>
      </c>
      <c r="Z25" s="96"/>
      <c r="AA25" s="540">
        <f t="shared" ref="AA25:AI25" si="18">IF(AA$19=woongebouw,AA$22,0)</f>
        <v>0</v>
      </c>
      <c r="AB25" s="540">
        <f t="shared" si="18"/>
        <v>0</v>
      </c>
      <c r="AC25" s="540">
        <f t="shared" si="18"/>
        <v>0</v>
      </c>
      <c r="AD25" s="540">
        <f t="shared" si="18"/>
        <v>0</v>
      </c>
      <c r="AE25" s="540">
        <f t="shared" si="18"/>
        <v>0</v>
      </c>
      <c r="AF25" s="540">
        <f t="shared" si="18"/>
        <v>0</v>
      </c>
      <c r="AG25" s="540">
        <f t="shared" si="18"/>
        <v>0</v>
      </c>
      <c r="AH25" s="540">
        <f t="shared" si="18"/>
        <v>0</v>
      </c>
      <c r="AI25" s="540">
        <f t="shared" si="18"/>
        <v>0</v>
      </c>
      <c r="AJ25" s="97"/>
      <c r="AK25" s="189">
        <f>SUM(AL25:AV25)</f>
        <v>0</v>
      </c>
      <c r="AL25" s="96"/>
      <c r="AM25" s="540">
        <f>IF(AM$19=woongebouw,AM$22,0)</f>
        <v>0</v>
      </c>
      <c r="AN25" s="540">
        <f t="shared" ref="AN25:AU25" si="19">IF(AN$19=woongebouw,AN$22,0)</f>
        <v>0</v>
      </c>
      <c r="AO25" s="540">
        <f t="shared" si="19"/>
        <v>0</v>
      </c>
      <c r="AP25" s="540">
        <f t="shared" si="19"/>
        <v>0</v>
      </c>
      <c r="AQ25" s="540">
        <f t="shared" si="19"/>
        <v>0</v>
      </c>
      <c r="AR25" s="540">
        <f t="shared" si="19"/>
        <v>0</v>
      </c>
      <c r="AS25" s="540">
        <f t="shared" si="19"/>
        <v>0</v>
      </c>
      <c r="AT25" s="540">
        <f t="shared" si="19"/>
        <v>0</v>
      </c>
      <c r="AU25" s="540">
        <f t="shared" si="19"/>
        <v>0</v>
      </c>
      <c r="AV25" s="97"/>
      <c r="AW25" s="400">
        <f>SUM(AX25:BH25)</f>
        <v>0</v>
      </c>
      <c r="AX25" s="96"/>
      <c r="AY25" s="540">
        <f t="shared" ref="AY25:BG25" si="20">IF(AY$19=woongebouw,AY$22,0)</f>
        <v>0</v>
      </c>
      <c r="AZ25" s="540">
        <f t="shared" si="20"/>
        <v>0</v>
      </c>
      <c r="BA25" s="540">
        <f t="shared" si="20"/>
        <v>0</v>
      </c>
      <c r="BB25" s="540">
        <f t="shared" si="20"/>
        <v>0</v>
      </c>
      <c r="BC25" s="540">
        <f t="shared" si="20"/>
        <v>0</v>
      </c>
      <c r="BD25" s="540">
        <f t="shared" si="20"/>
        <v>0</v>
      </c>
      <c r="BE25" s="540">
        <f t="shared" si="20"/>
        <v>0</v>
      </c>
      <c r="BF25" s="540">
        <f t="shared" si="20"/>
        <v>0</v>
      </c>
      <c r="BG25" s="540">
        <f t="shared" si="20"/>
        <v>0</v>
      </c>
      <c r="BH25" s="174"/>
    </row>
    <row r="26" spans="1:60">
      <c r="A26" s="1040"/>
      <c r="B26" s="1106" t="s">
        <v>111</v>
      </c>
      <c r="C26" s="1107" t="s">
        <v>104</v>
      </c>
      <c r="D26" s="638"/>
      <c r="E26" s="254" t="s">
        <v>73</v>
      </c>
      <c r="F26" s="180"/>
      <c r="G26" s="180"/>
      <c r="H26" s="150" t="s">
        <v>74</v>
      </c>
      <c r="I26" s="95"/>
      <c r="J26" s="185">
        <f>M26+Y26+AK26+AW26</f>
        <v>0</v>
      </c>
      <c r="K26" s="1051"/>
      <c r="L26" s="1051"/>
      <c r="M26" s="399">
        <f>SUM(N26:X26)</f>
        <v>0</v>
      </c>
      <c r="N26" s="96"/>
      <c r="O26" s="540">
        <f>O22-O25-O24</f>
        <v>0</v>
      </c>
      <c r="P26" s="540">
        <f t="shared" ref="P26:W26" si="21">P22-P25-P24</f>
        <v>0</v>
      </c>
      <c r="Q26" s="540">
        <f t="shared" si="21"/>
        <v>0</v>
      </c>
      <c r="R26" s="540">
        <f t="shared" si="21"/>
        <v>0</v>
      </c>
      <c r="S26" s="540">
        <f t="shared" si="21"/>
        <v>0</v>
      </c>
      <c r="T26" s="540">
        <f t="shared" si="21"/>
        <v>0</v>
      </c>
      <c r="U26" s="540">
        <f t="shared" si="21"/>
        <v>0</v>
      </c>
      <c r="V26" s="540">
        <f t="shared" si="21"/>
        <v>0</v>
      </c>
      <c r="W26" s="540">
        <f t="shared" si="21"/>
        <v>0</v>
      </c>
      <c r="X26" s="97"/>
      <c r="Y26" s="206">
        <f>SUM(Z26:AJ26)</f>
        <v>0</v>
      </c>
      <c r="Z26" s="96"/>
      <c r="AA26" s="540">
        <f t="shared" ref="AA26:AI26" si="22">AA22-AA25-AA24</f>
        <v>0</v>
      </c>
      <c r="AB26" s="540">
        <f t="shared" si="22"/>
        <v>0</v>
      </c>
      <c r="AC26" s="540">
        <f t="shared" si="22"/>
        <v>0</v>
      </c>
      <c r="AD26" s="540">
        <f t="shared" si="22"/>
        <v>0</v>
      </c>
      <c r="AE26" s="540">
        <f t="shared" si="22"/>
        <v>0</v>
      </c>
      <c r="AF26" s="540">
        <f t="shared" si="22"/>
        <v>0</v>
      </c>
      <c r="AG26" s="540">
        <f t="shared" si="22"/>
        <v>0</v>
      </c>
      <c r="AH26" s="540">
        <f t="shared" si="22"/>
        <v>0</v>
      </c>
      <c r="AI26" s="540">
        <f t="shared" si="22"/>
        <v>0</v>
      </c>
      <c r="AJ26" s="97"/>
      <c r="AK26" s="400">
        <f>SUM(AL26:AV26)</f>
        <v>0</v>
      </c>
      <c r="AL26" s="96"/>
      <c r="AM26" s="540">
        <f t="shared" ref="AM26:AU26" si="23">AM22-AM25-AM24</f>
        <v>0</v>
      </c>
      <c r="AN26" s="540">
        <f t="shared" si="23"/>
        <v>0</v>
      </c>
      <c r="AO26" s="540">
        <f t="shared" si="23"/>
        <v>0</v>
      </c>
      <c r="AP26" s="540">
        <f t="shared" si="23"/>
        <v>0</v>
      </c>
      <c r="AQ26" s="540">
        <f t="shared" si="23"/>
        <v>0</v>
      </c>
      <c r="AR26" s="540">
        <f t="shared" si="23"/>
        <v>0</v>
      </c>
      <c r="AS26" s="540">
        <f t="shared" si="23"/>
        <v>0</v>
      </c>
      <c r="AT26" s="540">
        <f t="shared" si="23"/>
        <v>0</v>
      </c>
      <c r="AU26" s="540">
        <f t="shared" si="23"/>
        <v>0</v>
      </c>
      <c r="AV26" s="97"/>
      <c r="AW26" s="206">
        <f>SUM(AX26:BH26)</f>
        <v>0</v>
      </c>
      <c r="AX26" s="96"/>
      <c r="AY26" s="540">
        <f t="shared" ref="AY26:BG26" si="24">AY22-AY25-AY24</f>
        <v>0</v>
      </c>
      <c r="AZ26" s="540">
        <f t="shared" si="24"/>
        <v>0</v>
      </c>
      <c r="BA26" s="540">
        <f t="shared" si="24"/>
        <v>0</v>
      </c>
      <c r="BB26" s="540">
        <f t="shared" si="24"/>
        <v>0</v>
      </c>
      <c r="BC26" s="540">
        <f t="shared" si="24"/>
        <v>0</v>
      </c>
      <c r="BD26" s="540">
        <f t="shared" si="24"/>
        <v>0</v>
      </c>
      <c r="BE26" s="540">
        <f t="shared" si="24"/>
        <v>0</v>
      </c>
      <c r="BF26" s="540">
        <f t="shared" si="24"/>
        <v>0</v>
      </c>
      <c r="BG26" s="540">
        <f t="shared" si="24"/>
        <v>0</v>
      </c>
      <c r="BH26" s="174"/>
    </row>
    <row r="27" spans="1:60">
      <c r="A27" s="1040"/>
      <c r="B27" s="1106" t="s">
        <v>111</v>
      </c>
      <c r="C27" s="1107" t="s">
        <v>104</v>
      </c>
      <c r="D27" s="638"/>
      <c r="E27" s="180" t="s">
        <v>123</v>
      </c>
      <c r="F27" s="180"/>
      <c r="G27" s="180"/>
      <c r="H27" s="150" t="s">
        <v>59</v>
      </c>
      <c r="I27" s="95"/>
      <c r="J27" s="559"/>
      <c r="K27" s="1052"/>
      <c r="L27" s="1052"/>
      <c r="M27" s="559">
        <f>SUM(M24:M26)</f>
        <v>0</v>
      </c>
      <c r="N27" s="96"/>
      <c r="O27" s="540">
        <f>$M22</f>
        <v>0</v>
      </c>
      <c r="P27" s="540">
        <f t="shared" ref="P27:W27" si="25">$M22</f>
        <v>0</v>
      </c>
      <c r="Q27" s="540">
        <f t="shared" si="25"/>
        <v>0</v>
      </c>
      <c r="R27" s="540">
        <f t="shared" si="25"/>
        <v>0</v>
      </c>
      <c r="S27" s="540">
        <f t="shared" si="25"/>
        <v>0</v>
      </c>
      <c r="T27" s="540">
        <f t="shared" si="25"/>
        <v>0</v>
      </c>
      <c r="U27" s="540">
        <f t="shared" si="25"/>
        <v>0</v>
      </c>
      <c r="V27" s="540">
        <f t="shared" si="25"/>
        <v>0</v>
      </c>
      <c r="W27" s="540">
        <f t="shared" si="25"/>
        <v>0</v>
      </c>
      <c r="X27" s="97"/>
      <c r="Y27" s="559">
        <f>SUM(Y24:Y26)</f>
        <v>0</v>
      </c>
      <c r="Z27" s="96"/>
      <c r="AA27" s="540">
        <f>$Y22</f>
        <v>0</v>
      </c>
      <c r="AB27" s="540">
        <f t="shared" ref="AB27:AI27" si="26">$Y22</f>
        <v>0</v>
      </c>
      <c r="AC27" s="540">
        <f t="shared" si="26"/>
        <v>0</v>
      </c>
      <c r="AD27" s="540">
        <f t="shared" si="26"/>
        <v>0</v>
      </c>
      <c r="AE27" s="540">
        <f t="shared" si="26"/>
        <v>0</v>
      </c>
      <c r="AF27" s="540">
        <f t="shared" si="26"/>
        <v>0</v>
      </c>
      <c r="AG27" s="540">
        <f t="shared" si="26"/>
        <v>0</v>
      </c>
      <c r="AH27" s="540">
        <f t="shared" si="26"/>
        <v>0</v>
      </c>
      <c r="AI27" s="540">
        <f t="shared" si="26"/>
        <v>0</v>
      </c>
      <c r="AJ27" s="97"/>
      <c r="AK27" s="559">
        <f>SUM(AK24:AK26)</f>
        <v>0</v>
      </c>
      <c r="AL27" s="96"/>
      <c r="AM27" s="540">
        <f t="shared" ref="AM27:AU27" si="27">$AK22</f>
        <v>0</v>
      </c>
      <c r="AN27" s="540">
        <f t="shared" si="27"/>
        <v>0</v>
      </c>
      <c r="AO27" s="540">
        <f t="shared" si="27"/>
        <v>0</v>
      </c>
      <c r="AP27" s="540">
        <f t="shared" si="27"/>
        <v>0</v>
      </c>
      <c r="AQ27" s="540">
        <f t="shared" si="27"/>
        <v>0</v>
      </c>
      <c r="AR27" s="540">
        <f t="shared" si="27"/>
        <v>0</v>
      </c>
      <c r="AS27" s="540">
        <f t="shared" si="27"/>
        <v>0</v>
      </c>
      <c r="AT27" s="540">
        <f t="shared" si="27"/>
        <v>0</v>
      </c>
      <c r="AU27" s="540">
        <f t="shared" si="27"/>
        <v>0</v>
      </c>
      <c r="AV27" s="97"/>
      <c r="AW27" s="559"/>
      <c r="AX27" s="559">
        <f>SUM(AX24:AX26)</f>
        <v>0</v>
      </c>
      <c r="AY27" s="540">
        <f>$AW22</f>
        <v>0</v>
      </c>
      <c r="AZ27" s="540">
        <f t="shared" ref="AZ27:BG27" si="28">$AW22</f>
        <v>0</v>
      </c>
      <c r="BA27" s="540">
        <f t="shared" si="28"/>
        <v>0</v>
      </c>
      <c r="BB27" s="540">
        <f t="shared" si="28"/>
        <v>0</v>
      </c>
      <c r="BC27" s="540">
        <f t="shared" si="28"/>
        <v>0</v>
      </c>
      <c r="BD27" s="540">
        <f t="shared" si="28"/>
        <v>0</v>
      </c>
      <c r="BE27" s="540">
        <f t="shared" si="28"/>
        <v>0</v>
      </c>
      <c r="BF27" s="540">
        <f t="shared" si="28"/>
        <v>0</v>
      </c>
      <c r="BG27" s="540">
        <f t="shared" si="28"/>
        <v>0</v>
      </c>
      <c r="BH27" s="174"/>
    </row>
    <row r="28" spans="1:60">
      <c r="A28" s="1040"/>
      <c r="B28" s="1106" t="s">
        <v>111</v>
      </c>
      <c r="C28" s="1106" t="s">
        <v>96</v>
      </c>
      <c r="D28" s="638"/>
      <c r="E28" s="942" t="s">
        <v>124</v>
      </c>
      <c r="F28" s="942"/>
      <c r="G28" s="942"/>
      <c r="H28" s="942"/>
      <c r="I28" s="129"/>
      <c r="J28" s="943"/>
      <c r="K28" s="126"/>
      <c r="L28" s="126"/>
      <c r="M28" s="944"/>
      <c r="N28" s="195"/>
      <c r="O28" s="258" t="str">
        <f>O$17</f>
        <v/>
      </c>
      <c r="P28" s="258" t="str">
        <f t="shared" ref="P28:W28" si="29">P$17</f>
        <v/>
      </c>
      <c r="Q28" s="258" t="str">
        <f t="shared" si="29"/>
        <v/>
      </c>
      <c r="R28" s="258" t="str">
        <f t="shared" si="29"/>
        <v/>
      </c>
      <c r="S28" s="258" t="str">
        <f t="shared" si="29"/>
        <v/>
      </c>
      <c r="T28" s="258" t="str">
        <f t="shared" si="29"/>
        <v/>
      </c>
      <c r="U28" s="258" t="str">
        <f t="shared" si="29"/>
        <v/>
      </c>
      <c r="V28" s="258" t="str">
        <f t="shared" si="29"/>
        <v/>
      </c>
      <c r="W28" s="258" t="str">
        <f t="shared" si="29"/>
        <v/>
      </c>
      <c r="X28" s="195"/>
      <c r="Y28" s="944"/>
      <c r="Z28" s="195"/>
      <c r="AA28" s="258" t="str">
        <f>IF('woningen|utiliteit'!X31="","",'woningen|utiliteit'!X31)</f>
        <v/>
      </c>
      <c r="AB28" s="258" t="str">
        <f>IF('woningen|utiliteit'!Y31="","",'woningen|utiliteit'!Y31)</f>
        <v/>
      </c>
      <c r="AC28" s="258" t="str">
        <f>IF('woningen|utiliteit'!Z31="","",'woningen|utiliteit'!Z31)</f>
        <v/>
      </c>
      <c r="AD28" s="258" t="str">
        <f>IF('woningen|utiliteit'!AA31="","",'woningen|utiliteit'!AA31)</f>
        <v/>
      </c>
      <c r="AE28" s="258" t="str">
        <f>IF('woningen|utiliteit'!AB31="","",'woningen|utiliteit'!AB31)</f>
        <v/>
      </c>
      <c r="AF28" s="258" t="str">
        <f>IF('woningen|utiliteit'!AC31="","",'woningen|utiliteit'!AC31)</f>
        <v/>
      </c>
      <c r="AG28" s="258" t="str">
        <f>IF('woningen|utiliteit'!AD31="","",'woningen|utiliteit'!AD31)</f>
        <v/>
      </c>
      <c r="AH28" s="258" t="str">
        <f>IF('woningen|utiliteit'!AE31="","",'woningen|utiliteit'!AE31)</f>
        <v/>
      </c>
      <c r="AI28" s="258" t="str">
        <f>IF('woningen|utiliteit'!AF31="","",'woningen|utiliteit'!AF31)</f>
        <v/>
      </c>
      <c r="AJ28" s="195"/>
      <c r="AK28" s="944"/>
      <c r="AL28" s="195"/>
      <c r="AM28" s="258" t="str">
        <f>IF('woningen|utiliteit'!AJ31="","",'woningen|utiliteit'!AJ31)</f>
        <v/>
      </c>
      <c r="AN28" s="258" t="str">
        <f>IF('woningen|utiliteit'!AK31="","",'woningen|utiliteit'!AK31)</f>
        <v/>
      </c>
      <c r="AO28" s="258" t="str">
        <f>IF('woningen|utiliteit'!AL31="","",'woningen|utiliteit'!AL31)</f>
        <v/>
      </c>
      <c r="AP28" s="258" t="str">
        <f>IF('woningen|utiliteit'!AM31="","",'woningen|utiliteit'!AM31)</f>
        <v/>
      </c>
      <c r="AQ28" s="258" t="str">
        <f>IF('woningen|utiliteit'!AN31="","",'woningen|utiliteit'!AN31)</f>
        <v/>
      </c>
      <c r="AR28" s="258" t="str">
        <f>IF('woningen|utiliteit'!AO31="","",'woningen|utiliteit'!AO31)</f>
        <v/>
      </c>
      <c r="AS28" s="258" t="str">
        <f>IF('woningen|utiliteit'!AP31="","",'woningen|utiliteit'!AP31)</f>
        <v/>
      </c>
      <c r="AT28" s="258" t="str">
        <f>IF('woningen|utiliteit'!AQ31="","",'woningen|utiliteit'!AQ31)</f>
        <v/>
      </c>
      <c r="AU28" s="258" t="str">
        <f>IF('woningen|utiliteit'!AR31="","",'woningen|utiliteit'!AR31)</f>
        <v/>
      </c>
      <c r="AV28" s="195"/>
      <c r="AW28" s="944"/>
      <c r="AX28" s="195"/>
      <c r="AY28" s="258" t="str">
        <f>IF('woningen|utiliteit'!AV31="","",'woningen|utiliteit'!AV31)</f>
        <v/>
      </c>
      <c r="AZ28" s="258" t="str">
        <f>IF('woningen|utiliteit'!AW31="","",'woningen|utiliteit'!AW31)</f>
        <v/>
      </c>
      <c r="BA28" s="258" t="str">
        <f>IF('woningen|utiliteit'!AX31="","",'woningen|utiliteit'!AX31)</f>
        <v/>
      </c>
      <c r="BB28" s="258" t="str">
        <f>IF('woningen|utiliteit'!AY31="","",'woningen|utiliteit'!AY31)</f>
        <v/>
      </c>
      <c r="BC28" s="258" t="str">
        <f>IF('woningen|utiliteit'!AZ31="","",'woningen|utiliteit'!AZ31)</f>
        <v/>
      </c>
      <c r="BD28" s="258" t="str">
        <f>IF('woningen|utiliteit'!BA31="","",'woningen|utiliteit'!BA31)</f>
        <v/>
      </c>
      <c r="BE28" s="258" t="str">
        <f>IF('woningen|utiliteit'!BB31="","",'woningen|utiliteit'!BB31)</f>
        <v/>
      </c>
      <c r="BF28" s="258" t="str">
        <f>IF('woningen|utiliteit'!BC31="","",'woningen|utiliteit'!BC31)</f>
        <v/>
      </c>
      <c r="BG28" s="258" t="str">
        <f>IF('woningen|utiliteit'!BD31="","",'woningen|utiliteit'!BD31)</f>
        <v/>
      </c>
      <c r="BH28" s="36"/>
    </row>
    <row r="29" spans="1:60">
      <c r="A29" s="1040"/>
      <c r="B29" s="1106" t="s">
        <v>111</v>
      </c>
      <c r="C29" s="1107" t="s">
        <v>104</v>
      </c>
      <c r="D29" s="638"/>
      <c r="E29" s="254" t="s">
        <v>75</v>
      </c>
      <c r="F29" s="180" t="s">
        <v>125</v>
      </c>
      <c r="G29" s="180"/>
      <c r="H29" s="181" t="s">
        <v>76</v>
      </c>
      <c r="I29" s="79"/>
      <c r="J29" s="187">
        <f>M29+Y29+AK29+AW29</f>
        <v>0</v>
      </c>
      <c r="K29" s="243"/>
      <c r="L29" s="243"/>
      <c r="M29" s="187">
        <f>SUMPRODUCT(N$22:X$22,N29:X29)</f>
        <v>0</v>
      </c>
      <c r="N29" s="89"/>
      <c r="O29" s="385">
        <f>IF(O$17="",0,'woningen|utiliteit'!L24)</f>
        <v>0</v>
      </c>
      <c r="P29" s="385">
        <f>IF(P$17="",0,'woningen|utiliteit'!M24)</f>
        <v>0</v>
      </c>
      <c r="Q29" s="385">
        <f>IF(Q$17="",0,'woningen|utiliteit'!N24)</f>
        <v>0</v>
      </c>
      <c r="R29" s="385">
        <f>IF(R$17="",0,'woningen|utiliteit'!O24)</f>
        <v>0</v>
      </c>
      <c r="S29" s="385">
        <f>IF(S$17="",0,'woningen|utiliteit'!P24)</f>
        <v>0</v>
      </c>
      <c r="T29" s="385">
        <f>IF(T$17="",0,'woningen|utiliteit'!Q24)</f>
        <v>0</v>
      </c>
      <c r="U29" s="385">
        <f>IF(U$17="",0,'woningen|utiliteit'!R24)</f>
        <v>0</v>
      </c>
      <c r="V29" s="385">
        <f>IF(V$17="",0,'woningen|utiliteit'!S24)</f>
        <v>0</v>
      </c>
      <c r="W29" s="385">
        <f>IF(W$17="",0,'woningen|utiliteit'!T24)</f>
        <v>0</v>
      </c>
      <c r="X29" s="98"/>
      <c r="Y29" s="187">
        <f>SUMPRODUCT(Z$22:AJ$22,Z29:AJ29)</f>
        <v>0</v>
      </c>
      <c r="Z29" s="119"/>
      <c r="AA29" s="385">
        <f>IF(AA$17="",0,'woningen|utiliteit'!L40)</f>
        <v>0</v>
      </c>
      <c r="AB29" s="385">
        <f>IF(AB$17="",0,'woningen|utiliteit'!M40)</f>
        <v>0</v>
      </c>
      <c r="AC29" s="385">
        <f>IF(AC$17="",0,'woningen|utiliteit'!N40)</f>
        <v>0</v>
      </c>
      <c r="AD29" s="385">
        <f>IF(AD$17="",0,'woningen|utiliteit'!O40)</f>
        <v>0</v>
      </c>
      <c r="AE29" s="385">
        <f>IF(AE$17="",0,'woningen|utiliteit'!P40)</f>
        <v>0</v>
      </c>
      <c r="AF29" s="385">
        <f>IF(AF$17="",0,'woningen|utiliteit'!Q40)</f>
        <v>0</v>
      </c>
      <c r="AG29" s="385">
        <f>IF(AG$17="",0,'woningen|utiliteit'!R40)</f>
        <v>0</v>
      </c>
      <c r="AH29" s="385">
        <f>IF(AH$17="",0,'woningen|utiliteit'!S40)</f>
        <v>0</v>
      </c>
      <c r="AI29" s="385">
        <f>IF(AI$17="",0,'woningen|utiliteit'!T40)</f>
        <v>0</v>
      </c>
      <c r="AJ29" s="98"/>
      <c r="AK29" s="187">
        <f>SUMPRODUCT(AL$22:AV$22,AL29:AV29)</f>
        <v>0</v>
      </c>
      <c r="AL29" s="119"/>
      <c r="AM29" s="385">
        <f>IF(AM$17="",0,'woningen|utiliteit'!L56)</f>
        <v>0</v>
      </c>
      <c r="AN29" s="385">
        <f>IF(AN$17="",0,'woningen|utiliteit'!M56)</f>
        <v>0</v>
      </c>
      <c r="AO29" s="385">
        <f>IF(AO$17="",0,'woningen|utiliteit'!N56)</f>
        <v>0</v>
      </c>
      <c r="AP29" s="385">
        <f>IF(AP$17="",0,'woningen|utiliteit'!O56)</f>
        <v>0</v>
      </c>
      <c r="AQ29" s="385">
        <f>IF(AQ$17="",0,'woningen|utiliteit'!P56)</f>
        <v>0</v>
      </c>
      <c r="AR29" s="385">
        <f>IF(AR$17="",0,'woningen|utiliteit'!Q56)</f>
        <v>0</v>
      </c>
      <c r="AS29" s="385">
        <f>IF(AS$17="",0,'woningen|utiliteit'!R56)</f>
        <v>0</v>
      </c>
      <c r="AT29" s="385">
        <f>IF(AT$17="",0,'woningen|utiliteit'!S56)</f>
        <v>0</v>
      </c>
      <c r="AU29" s="385">
        <f>IF(AU$17="",0,'woningen|utiliteit'!T56)</f>
        <v>0</v>
      </c>
      <c r="AV29" s="98"/>
      <c r="AW29" s="187">
        <f>SUMPRODUCT(AX$22:BH$22,AX29:BH29)</f>
        <v>0</v>
      </c>
      <c r="AX29" s="119"/>
      <c r="AY29" s="385">
        <f>IF(AY$17="",0,'woningen|utiliteit'!L72)</f>
        <v>0</v>
      </c>
      <c r="AZ29" s="385">
        <f>IF(AZ$17="",0,'woningen|utiliteit'!M72)</f>
        <v>0</v>
      </c>
      <c r="BA29" s="385">
        <f>IF(BA$17="",0,'woningen|utiliteit'!N72)</f>
        <v>0</v>
      </c>
      <c r="BB29" s="385">
        <f>IF(BB$17="",0,'woningen|utiliteit'!O72)</f>
        <v>0</v>
      </c>
      <c r="BC29" s="385">
        <f>IF(BC$17="",0,'woningen|utiliteit'!P72)</f>
        <v>0</v>
      </c>
      <c r="BD29" s="385">
        <f>IF(BD$17="",0,'woningen|utiliteit'!Q72)</f>
        <v>0</v>
      </c>
      <c r="BE29" s="385">
        <f>IF(BE$17="",0,'woningen|utiliteit'!R72)</f>
        <v>0</v>
      </c>
      <c r="BF29" s="385">
        <f>IF(BF$17="",0,'woningen|utiliteit'!S72)</f>
        <v>0</v>
      </c>
      <c r="BG29" s="385">
        <f>IF(BG$17="",0,'woningen|utiliteit'!T72)</f>
        <v>0</v>
      </c>
      <c r="BH29" s="174"/>
    </row>
    <row r="30" spans="1:60">
      <c r="A30" s="1041"/>
      <c r="B30" s="1106" t="s">
        <v>111</v>
      </c>
      <c r="C30" s="1107" t="s">
        <v>104</v>
      </c>
      <c r="D30" s="638"/>
      <c r="E30" s="595"/>
      <c r="F30" s="180" t="s">
        <v>126</v>
      </c>
      <c r="G30" s="180"/>
      <c r="H30" s="181" t="s">
        <v>127</v>
      </c>
      <c r="I30" s="99"/>
      <c r="J30" s="187"/>
      <c r="K30" s="1053"/>
      <c r="L30" s="1053"/>
      <c r="M30" s="622"/>
      <c r="N30" s="623"/>
      <c r="O30" s="557">
        <f>O22*O29</f>
        <v>0</v>
      </c>
      <c r="P30" s="557">
        <f t="shared" ref="P30:W30" si="30">P22*P29</f>
        <v>0</v>
      </c>
      <c r="Q30" s="557">
        <f t="shared" si="30"/>
        <v>0</v>
      </c>
      <c r="R30" s="557">
        <f t="shared" si="30"/>
        <v>0</v>
      </c>
      <c r="S30" s="557">
        <f t="shared" si="30"/>
        <v>0</v>
      </c>
      <c r="T30" s="557">
        <f>T22*T29</f>
        <v>0</v>
      </c>
      <c r="U30" s="557">
        <f t="shared" si="30"/>
        <v>0</v>
      </c>
      <c r="V30" s="557">
        <f t="shared" si="30"/>
        <v>0</v>
      </c>
      <c r="W30" s="557">
        <f t="shared" si="30"/>
        <v>0</v>
      </c>
      <c r="X30" s="101"/>
      <c r="Y30" s="622"/>
      <c r="Z30" s="937"/>
      <c r="AA30" s="557">
        <f t="shared" ref="AA30:AI30" si="31">AA22*AA29</f>
        <v>0</v>
      </c>
      <c r="AB30" s="557">
        <f t="shared" si="31"/>
        <v>0</v>
      </c>
      <c r="AC30" s="557">
        <f t="shared" si="31"/>
        <v>0</v>
      </c>
      <c r="AD30" s="557">
        <f t="shared" si="31"/>
        <v>0</v>
      </c>
      <c r="AE30" s="557">
        <f t="shared" si="31"/>
        <v>0</v>
      </c>
      <c r="AF30" s="557">
        <f t="shared" si="31"/>
        <v>0</v>
      </c>
      <c r="AG30" s="557">
        <f t="shared" si="31"/>
        <v>0</v>
      </c>
      <c r="AH30" s="557">
        <f t="shared" si="31"/>
        <v>0</v>
      </c>
      <c r="AI30" s="557">
        <f t="shared" si="31"/>
        <v>0</v>
      </c>
      <c r="AJ30" s="101"/>
      <c r="AK30" s="622"/>
      <c r="AL30" s="937"/>
      <c r="AM30" s="557">
        <f t="shared" ref="AM30:AU30" si="32">AM22*AM29</f>
        <v>0</v>
      </c>
      <c r="AN30" s="557">
        <f t="shared" si="32"/>
        <v>0</v>
      </c>
      <c r="AO30" s="557">
        <f t="shared" si="32"/>
        <v>0</v>
      </c>
      <c r="AP30" s="557">
        <f t="shared" si="32"/>
        <v>0</v>
      </c>
      <c r="AQ30" s="557">
        <f t="shared" si="32"/>
        <v>0</v>
      </c>
      <c r="AR30" s="557">
        <f t="shared" si="32"/>
        <v>0</v>
      </c>
      <c r="AS30" s="557">
        <f t="shared" si="32"/>
        <v>0</v>
      </c>
      <c r="AT30" s="557">
        <f t="shared" si="32"/>
        <v>0</v>
      </c>
      <c r="AU30" s="557">
        <f t="shared" si="32"/>
        <v>0</v>
      </c>
      <c r="AV30" s="101"/>
      <c r="AW30" s="622"/>
      <c r="AX30" s="937"/>
      <c r="AY30" s="557">
        <f t="shared" ref="AY30:BG30" si="33">AY22*AY29</f>
        <v>0</v>
      </c>
      <c r="AZ30" s="557">
        <f t="shared" si="33"/>
        <v>0</v>
      </c>
      <c r="BA30" s="557">
        <f t="shared" si="33"/>
        <v>0</v>
      </c>
      <c r="BB30" s="557">
        <f t="shared" si="33"/>
        <v>0</v>
      </c>
      <c r="BC30" s="557">
        <f t="shared" si="33"/>
        <v>0</v>
      </c>
      <c r="BD30" s="557">
        <f t="shared" si="33"/>
        <v>0</v>
      </c>
      <c r="BE30" s="557">
        <f t="shared" si="33"/>
        <v>0</v>
      </c>
      <c r="BF30" s="557">
        <f t="shared" si="33"/>
        <v>0</v>
      </c>
      <c r="BG30" s="557">
        <f t="shared" si="33"/>
        <v>0</v>
      </c>
      <c r="BH30" s="174"/>
    </row>
    <row r="31" spans="1:60">
      <c r="A31" s="1041"/>
      <c r="B31" s="1106" t="s">
        <v>111</v>
      </c>
      <c r="C31" s="1107" t="s">
        <v>104</v>
      </c>
      <c r="D31" s="638"/>
      <c r="E31" s="255"/>
      <c r="F31" s="180" t="s">
        <v>128</v>
      </c>
      <c r="G31" s="180"/>
      <c r="H31" s="181" t="s">
        <v>127</v>
      </c>
      <c r="I31" s="99"/>
      <c r="J31" s="187"/>
      <c r="K31" s="1053"/>
      <c r="L31" s="1053"/>
      <c r="M31" s="187"/>
      <c r="N31" s="100"/>
      <c r="O31" s="385">
        <f>SUMPRODUCT($N22:$X22,$N29:$X29)</f>
        <v>0</v>
      </c>
      <c r="P31" s="385">
        <f t="shared" ref="P31:W31" si="34">SUMPRODUCT($N22:$X22,$N29:$X29)</f>
        <v>0</v>
      </c>
      <c r="Q31" s="385">
        <f t="shared" si="34"/>
        <v>0</v>
      </c>
      <c r="R31" s="385">
        <f t="shared" si="34"/>
        <v>0</v>
      </c>
      <c r="S31" s="385">
        <f t="shared" si="34"/>
        <v>0</v>
      </c>
      <c r="T31" s="385">
        <f t="shared" si="34"/>
        <v>0</v>
      </c>
      <c r="U31" s="385">
        <f t="shared" si="34"/>
        <v>0</v>
      </c>
      <c r="V31" s="385">
        <f t="shared" si="34"/>
        <v>0</v>
      </c>
      <c r="W31" s="385">
        <f t="shared" si="34"/>
        <v>0</v>
      </c>
      <c r="X31" s="101"/>
      <c r="Y31" s="187"/>
      <c r="Z31" s="100"/>
      <c r="AA31" s="385">
        <f t="shared" ref="AA31:AI31" si="35">SUMPRODUCT($Z$22:$AJ$22,$Z$29:$AJ$29)</f>
        <v>0</v>
      </c>
      <c r="AB31" s="385">
        <f t="shared" si="35"/>
        <v>0</v>
      </c>
      <c r="AC31" s="385">
        <f t="shared" si="35"/>
        <v>0</v>
      </c>
      <c r="AD31" s="385">
        <f t="shared" si="35"/>
        <v>0</v>
      </c>
      <c r="AE31" s="385">
        <f t="shared" si="35"/>
        <v>0</v>
      </c>
      <c r="AF31" s="385">
        <f t="shared" si="35"/>
        <v>0</v>
      </c>
      <c r="AG31" s="385">
        <f t="shared" si="35"/>
        <v>0</v>
      </c>
      <c r="AH31" s="385">
        <f t="shared" si="35"/>
        <v>0</v>
      </c>
      <c r="AI31" s="385">
        <f t="shared" si="35"/>
        <v>0</v>
      </c>
      <c r="AJ31" s="101"/>
      <c r="AK31" s="187"/>
      <c r="AL31" s="100"/>
      <c r="AM31" s="385">
        <f>SUMPRODUCT($AL$22:$AV$22,$AL$29:$AV$29)</f>
        <v>0</v>
      </c>
      <c r="AN31" s="385">
        <f t="shared" ref="AN31:AU31" si="36">SUMPRODUCT($AL$22:$AV$22,$AL$29:$AV$29)</f>
        <v>0</v>
      </c>
      <c r="AO31" s="385">
        <f t="shared" si="36"/>
        <v>0</v>
      </c>
      <c r="AP31" s="385">
        <f t="shared" si="36"/>
        <v>0</v>
      </c>
      <c r="AQ31" s="385">
        <f t="shared" si="36"/>
        <v>0</v>
      </c>
      <c r="AR31" s="385">
        <f t="shared" si="36"/>
        <v>0</v>
      </c>
      <c r="AS31" s="385">
        <f t="shared" si="36"/>
        <v>0</v>
      </c>
      <c r="AT31" s="385">
        <f t="shared" si="36"/>
        <v>0</v>
      </c>
      <c r="AU31" s="385">
        <f t="shared" si="36"/>
        <v>0</v>
      </c>
      <c r="AV31" s="101"/>
      <c r="AW31" s="187"/>
      <c r="AX31" s="100"/>
      <c r="AY31" s="385">
        <f>SUMPRODUCT($AX$22:$BH$22,$AX$29:$BH$29)</f>
        <v>0</v>
      </c>
      <c r="AZ31" s="385">
        <f t="shared" ref="AZ31:BG31" si="37">SUMPRODUCT($AX$22:$BH$22,$AX$29:$BH$29)</f>
        <v>0</v>
      </c>
      <c r="BA31" s="385">
        <f t="shared" si="37"/>
        <v>0</v>
      </c>
      <c r="BB31" s="385">
        <f t="shared" si="37"/>
        <v>0</v>
      </c>
      <c r="BC31" s="385">
        <f t="shared" si="37"/>
        <v>0</v>
      </c>
      <c r="BD31" s="385">
        <f t="shared" si="37"/>
        <v>0</v>
      </c>
      <c r="BE31" s="385">
        <f t="shared" si="37"/>
        <v>0</v>
      </c>
      <c r="BF31" s="385">
        <f t="shared" si="37"/>
        <v>0</v>
      </c>
      <c r="BG31" s="385">
        <f t="shared" si="37"/>
        <v>0</v>
      </c>
      <c r="BH31" s="174"/>
    </row>
    <row r="32" spans="1:60">
      <c r="A32" s="1041"/>
      <c r="B32" s="1106" t="s">
        <v>111</v>
      </c>
      <c r="C32" s="1107" t="s">
        <v>104</v>
      </c>
      <c r="D32" s="638"/>
      <c r="E32" s="180" t="s">
        <v>129</v>
      </c>
      <c r="F32" s="180"/>
      <c r="G32" s="180"/>
      <c r="H32" s="181" t="s">
        <v>130</v>
      </c>
      <c r="I32" s="79"/>
      <c r="J32" s="187"/>
      <c r="K32" s="243"/>
      <c r="L32" s="243"/>
      <c r="M32" s="187"/>
      <c r="N32" s="89"/>
      <c r="O32" s="151" t="str">
        <f>IF('woningen|utiliteit'!L28="","",'woningen|utiliteit'!L28)</f>
        <v/>
      </c>
      <c r="P32" s="151" t="str">
        <f>IF('woningen|utiliteit'!M28="","",'woningen|utiliteit'!M28)</f>
        <v/>
      </c>
      <c r="Q32" s="151" t="str">
        <f>IF('woningen|utiliteit'!N28="","",'woningen|utiliteit'!N28)</f>
        <v/>
      </c>
      <c r="R32" s="151" t="str">
        <f>IF('woningen|utiliteit'!O28="","",'woningen|utiliteit'!O28)</f>
        <v/>
      </c>
      <c r="S32" s="151" t="str">
        <f>IF('woningen|utiliteit'!P28="","",'woningen|utiliteit'!P28)</f>
        <v/>
      </c>
      <c r="T32" s="151" t="str">
        <f>IF('woningen|utiliteit'!Q28="","",'woningen|utiliteit'!Q28)</f>
        <v/>
      </c>
      <c r="U32" s="151" t="str">
        <f>IF('woningen|utiliteit'!R28="","",'woningen|utiliteit'!R28)</f>
        <v/>
      </c>
      <c r="V32" s="151" t="str">
        <f>IF('woningen|utiliteit'!S28="","",'woningen|utiliteit'!S28)</f>
        <v/>
      </c>
      <c r="W32" s="151" t="str">
        <f>IF('woningen|utiliteit'!T28="","",'woningen|utiliteit'!T28)</f>
        <v/>
      </c>
      <c r="X32" s="98"/>
      <c r="Y32" s="187"/>
      <c r="Z32" s="89"/>
      <c r="AA32" s="151" t="str">
        <f>IF('woningen|utiliteit'!L44="","",'woningen|utiliteit'!L44)</f>
        <v/>
      </c>
      <c r="AB32" s="151" t="str">
        <f>IF('woningen|utiliteit'!M44="","",'woningen|utiliteit'!M44)</f>
        <v/>
      </c>
      <c r="AC32" s="151" t="str">
        <f>IF('woningen|utiliteit'!N44="","",'woningen|utiliteit'!N44)</f>
        <v/>
      </c>
      <c r="AD32" s="151" t="str">
        <f>IF('woningen|utiliteit'!O44="","",'woningen|utiliteit'!O44)</f>
        <v/>
      </c>
      <c r="AE32" s="151" t="str">
        <f>IF('woningen|utiliteit'!P44="","",'woningen|utiliteit'!P44)</f>
        <v/>
      </c>
      <c r="AF32" s="151" t="str">
        <f>IF('woningen|utiliteit'!Q44="","",'woningen|utiliteit'!Q44)</f>
        <v/>
      </c>
      <c r="AG32" s="151" t="str">
        <f>IF('woningen|utiliteit'!R44="","",'woningen|utiliteit'!R44)</f>
        <v/>
      </c>
      <c r="AH32" s="151" t="str">
        <f>IF('woningen|utiliteit'!S44="","",'woningen|utiliteit'!S44)</f>
        <v/>
      </c>
      <c r="AI32" s="151" t="str">
        <f>IF('woningen|utiliteit'!T44="","",'woningen|utiliteit'!T44)</f>
        <v/>
      </c>
      <c r="AJ32" s="98"/>
      <c r="AK32" s="187"/>
      <c r="AL32" s="89"/>
      <c r="AM32" s="151" t="str">
        <f>IF('woningen|utiliteit'!L60="","",'woningen|utiliteit'!L60)</f>
        <v/>
      </c>
      <c r="AN32" s="151" t="str">
        <f>IF('woningen|utiliteit'!M60="","",'woningen|utiliteit'!M60)</f>
        <v/>
      </c>
      <c r="AO32" s="151" t="str">
        <f>IF('woningen|utiliteit'!N60="","",'woningen|utiliteit'!N60)</f>
        <v/>
      </c>
      <c r="AP32" s="151" t="str">
        <f>IF('woningen|utiliteit'!O60="","",'woningen|utiliteit'!O60)</f>
        <v/>
      </c>
      <c r="AQ32" s="151" t="str">
        <f>IF('woningen|utiliteit'!P60="","",'woningen|utiliteit'!P60)</f>
        <v/>
      </c>
      <c r="AR32" s="151" t="str">
        <f>IF('woningen|utiliteit'!Q60="","",'woningen|utiliteit'!Q60)</f>
        <v/>
      </c>
      <c r="AS32" s="151" t="str">
        <f>IF('woningen|utiliteit'!R60="","",'woningen|utiliteit'!R60)</f>
        <v/>
      </c>
      <c r="AT32" s="151" t="str">
        <f>IF('woningen|utiliteit'!S60="","",'woningen|utiliteit'!S60)</f>
        <v/>
      </c>
      <c r="AU32" s="151" t="str">
        <f>IF('woningen|utiliteit'!T60="","",'woningen|utiliteit'!T60)</f>
        <v/>
      </c>
      <c r="AV32" s="98"/>
      <c r="AW32" s="187"/>
      <c r="AX32" s="89"/>
      <c r="AY32" s="151" t="str">
        <f>IF('woningen|utiliteit'!L76="","",'woningen|utiliteit'!L76)</f>
        <v/>
      </c>
      <c r="AZ32" s="151" t="str">
        <f>IF('woningen|utiliteit'!M76="","",'woningen|utiliteit'!M76)</f>
        <v/>
      </c>
      <c r="BA32" s="151" t="str">
        <f>IF('woningen|utiliteit'!N76="","",'woningen|utiliteit'!N76)</f>
        <v/>
      </c>
      <c r="BB32" s="151" t="str">
        <f>IF('woningen|utiliteit'!O76="","",'woningen|utiliteit'!O76)</f>
        <v/>
      </c>
      <c r="BC32" s="151" t="str">
        <f>IF('woningen|utiliteit'!P76="","",'woningen|utiliteit'!P76)</f>
        <v/>
      </c>
      <c r="BD32" s="151" t="str">
        <f>IF('woningen|utiliteit'!Q76="","",'woningen|utiliteit'!Q76)</f>
        <v/>
      </c>
      <c r="BE32" s="151" t="str">
        <f>IF('woningen|utiliteit'!R76="","",'woningen|utiliteit'!R76)</f>
        <v/>
      </c>
      <c r="BF32" s="151" t="str">
        <f>IF('woningen|utiliteit'!S76="","",'woningen|utiliteit'!S76)</f>
        <v/>
      </c>
      <c r="BG32" s="151" t="str">
        <f>IF('woningen|utiliteit'!T76="","",'woningen|utiliteit'!T76)</f>
        <v/>
      </c>
      <c r="BH32" s="174"/>
    </row>
    <row r="33" spans="1:60">
      <c r="A33" s="1041"/>
      <c r="B33" s="1106" t="s">
        <v>111</v>
      </c>
      <c r="C33" s="1107" t="s">
        <v>104</v>
      </c>
      <c r="D33" s="638"/>
      <c r="E33" s="180" t="s">
        <v>131</v>
      </c>
      <c r="F33" s="180"/>
      <c r="G33" s="180"/>
      <c r="H33" s="181" t="s">
        <v>130</v>
      </c>
      <c r="I33" s="79"/>
      <c r="J33" s="187"/>
      <c r="K33" s="243"/>
      <c r="L33" s="243"/>
      <c r="M33" s="187"/>
      <c r="N33" s="89"/>
      <c r="O33" s="151" t="str">
        <f>IF(O$17="","",HLOOKUP(O$17,woningen_gebouwen_gegevens,ROWS(bibliotheek!$E$20:$E$34),FALSE))</f>
        <v/>
      </c>
      <c r="P33" s="151" t="str">
        <f>IF(P$17="","",HLOOKUP(P$17,woningen_gebouwen_gegevens,ROWS(bibliotheek!$E$20:$E$34),FALSE))</f>
        <v/>
      </c>
      <c r="Q33" s="151" t="str">
        <f>IF(Q$17="","",HLOOKUP(Q$17,woningen_gebouwen_gegevens,ROWS(bibliotheek!$E$20:$E$34),FALSE))</f>
        <v/>
      </c>
      <c r="R33" s="151" t="str">
        <f>IF(R$17="","",HLOOKUP(R$17,woningen_gebouwen_gegevens,ROWS(bibliotheek!$E$20:$E$34),FALSE))</f>
        <v/>
      </c>
      <c r="S33" s="151" t="str">
        <f>IF(S$17="","",HLOOKUP(S$17,woningen_gebouwen_gegevens,ROWS(bibliotheek!$E$20:$E$34),FALSE))</f>
        <v/>
      </c>
      <c r="T33" s="151" t="str">
        <f>IF(T$17="","",HLOOKUP(T$17,woningen_gebouwen_gegevens,ROWS(bibliotheek!$E$20:$E$34),FALSE))</f>
        <v/>
      </c>
      <c r="U33" s="151" t="str">
        <f>IF(U$17="","",HLOOKUP(U$17,woningen_gebouwen_gegevens,ROWS(bibliotheek!$E$20:$E$34),FALSE))</f>
        <v/>
      </c>
      <c r="V33" s="151" t="str">
        <f>IF(V$17="","",HLOOKUP(V$17,woningen_gebouwen_gegevens,ROWS(bibliotheek!$E$20:$E$34),FALSE))</f>
        <v/>
      </c>
      <c r="W33" s="151" t="str">
        <f>IF(W$17="","",HLOOKUP(W$17,woningen_gebouwen_gegevens,ROWS(bibliotheek!$E$20:$E$34),FALSE))</f>
        <v/>
      </c>
      <c r="X33" s="98"/>
      <c r="Y33" s="187"/>
      <c r="Z33" s="89"/>
      <c r="AA33" s="151" t="str">
        <f>IF(AA$17="","",HLOOKUP(AA$17,woningen_gebouwen_gegevens,ROWS(bibliotheek!$E$20:$E$34),FALSE))</f>
        <v/>
      </c>
      <c r="AB33" s="151" t="str">
        <f>IF(AB$17="","",HLOOKUP(AB$17,woningen_gebouwen_gegevens,ROWS(bibliotheek!$E$20:$E$34),FALSE))</f>
        <v/>
      </c>
      <c r="AC33" s="151" t="str">
        <f>IF(AC$17="","",HLOOKUP(AC$17,woningen_gebouwen_gegevens,ROWS(bibliotheek!$E$20:$E$34),FALSE))</f>
        <v/>
      </c>
      <c r="AD33" s="151" t="str">
        <f>IF(AD$17="","",HLOOKUP(AD$17,woningen_gebouwen_gegevens,ROWS(bibliotheek!$E$20:$E$34),FALSE))</f>
        <v/>
      </c>
      <c r="AE33" s="151" t="str">
        <f>IF(AE$17="","",HLOOKUP(AE$17,woningen_gebouwen_gegevens,ROWS(bibliotheek!$E$20:$E$34),FALSE))</f>
        <v/>
      </c>
      <c r="AF33" s="151" t="str">
        <f>IF(AF$17="","",HLOOKUP(AF$17,woningen_gebouwen_gegevens,ROWS(bibliotheek!$E$20:$E$34),FALSE))</f>
        <v/>
      </c>
      <c r="AG33" s="151" t="str">
        <f>IF(AG$17="","",HLOOKUP(AG$17,woningen_gebouwen_gegevens,ROWS(bibliotheek!$E$20:$E$34),FALSE))</f>
        <v/>
      </c>
      <c r="AH33" s="151" t="str">
        <f>IF(AH$17="","",HLOOKUP(AH$17,woningen_gebouwen_gegevens,ROWS(bibliotheek!$E$20:$E$34),FALSE))</f>
        <v/>
      </c>
      <c r="AI33" s="151" t="str">
        <f>IF(AI$17="","",HLOOKUP(AI$17,woningen_gebouwen_gegevens,ROWS(bibliotheek!$E$20:$E$34),FALSE))</f>
        <v/>
      </c>
      <c r="AJ33" s="98"/>
      <c r="AK33" s="187"/>
      <c r="AL33" s="89"/>
      <c r="AM33" s="151" t="str">
        <f>IF(AM$17="","",HLOOKUP(AM$17,woningen_gebouwen_gegevens,ROWS(bibliotheek!$E$20:$E$34),FALSE))</f>
        <v/>
      </c>
      <c r="AN33" s="151" t="str">
        <f>IF(AN$17="","",HLOOKUP(AN$17,woningen_gebouwen_gegevens,ROWS(bibliotheek!$E$20:$E$34),FALSE))</f>
        <v/>
      </c>
      <c r="AO33" s="151" t="str">
        <f>IF(AO$17="","",HLOOKUP(AO$17,woningen_gebouwen_gegevens,ROWS(bibliotheek!$E$20:$E$34),FALSE))</f>
        <v/>
      </c>
      <c r="AP33" s="151" t="str">
        <f>IF(AP$17="","",HLOOKUP(AP$17,woningen_gebouwen_gegevens,ROWS(bibliotheek!$E$20:$E$34),FALSE))</f>
        <v/>
      </c>
      <c r="AQ33" s="151" t="str">
        <f>IF(AQ$17="","",HLOOKUP(AQ$17,woningen_gebouwen_gegevens,ROWS(bibliotheek!$E$20:$E$34),FALSE))</f>
        <v/>
      </c>
      <c r="AR33" s="151" t="str">
        <f>IF(AR$17="","",HLOOKUP(AR$17,woningen_gebouwen_gegevens,ROWS(bibliotheek!$E$20:$E$34),FALSE))</f>
        <v/>
      </c>
      <c r="AS33" s="151" t="str">
        <f>IF(AS$17="","",HLOOKUP(AS$17,woningen_gebouwen_gegevens,ROWS(bibliotheek!$E$20:$E$34),FALSE))</f>
        <v/>
      </c>
      <c r="AT33" s="151" t="str">
        <f>IF(AT$17="","",HLOOKUP(AT$17,woningen_gebouwen_gegevens,ROWS(bibliotheek!$E$20:$E$34),FALSE))</f>
        <v/>
      </c>
      <c r="AU33" s="151" t="str">
        <f>IF(AU$17="","",HLOOKUP(AU$17,woningen_gebouwen_gegevens,ROWS(bibliotheek!$E$20:$E$34),FALSE))</f>
        <v/>
      </c>
      <c r="AV33" s="98"/>
      <c r="AW33" s="187"/>
      <c r="AX33" s="89"/>
      <c r="AY33" s="151" t="str">
        <f>IF(AY$17="","",HLOOKUP(AY$17,woningen_gebouwen_gegevens,ROWS(bibliotheek!$E$20:$E$34),FALSE))</f>
        <v/>
      </c>
      <c r="AZ33" s="151" t="str">
        <f>IF(AZ$17="","",HLOOKUP(AZ$17,woningen_gebouwen_gegevens,ROWS(bibliotheek!$E$20:$E$34),FALSE))</f>
        <v/>
      </c>
      <c r="BA33" s="151" t="str">
        <f>IF(BA$17="","",HLOOKUP(BA$17,woningen_gebouwen_gegevens,ROWS(bibliotheek!$E$20:$E$34),FALSE))</f>
        <v/>
      </c>
      <c r="BB33" s="151" t="str">
        <f>IF(BB$17="","",HLOOKUP(BB$17,woningen_gebouwen_gegevens,ROWS(bibliotheek!$E$20:$E$34),FALSE))</f>
        <v/>
      </c>
      <c r="BC33" s="151" t="str">
        <f>IF(BC$17="","",HLOOKUP(BC$17,woningen_gebouwen_gegevens,ROWS(bibliotheek!$E$20:$E$34),FALSE))</f>
        <v/>
      </c>
      <c r="BD33" s="151" t="str">
        <f>IF(BD$17="","",HLOOKUP(BD$17,woningen_gebouwen_gegevens,ROWS(bibliotheek!$E$20:$E$34),FALSE))</f>
        <v/>
      </c>
      <c r="BE33" s="151" t="str">
        <f>IF(BE$17="","",HLOOKUP(BE$17,woningen_gebouwen_gegevens,ROWS(bibliotheek!$E$20:$E$34),FALSE))</f>
        <v/>
      </c>
      <c r="BF33" s="151" t="str">
        <f>IF(BF$17="","",HLOOKUP(BF$17,woningen_gebouwen_gegevens,ROWS(bibliotheek!$E$20:$E$34),FALSE))</f>
        <v/>
      </c>
      <c r="BG33" s="151" t="str">
        <f>IF(BG$17="","",HLOOKUP(BG$17,woningen_gebouwen_gegevens,ROWS(bibliotheek!$E$20:$E$34),FALSE))</f>
        <v/>
      </c>
      <c r="BH33" s="174"/>
    </row>
    <row r="34" spans="1:60">
      <c r="A34" s="1041"/>
      <c r="B34" s="1106" t="s">
        <v>111</v>
      </c>
      <c r="C34" s="1107" t="s">
        <v>104</v>
      </c>
      <c r="D34" s="638"/>
      <c r="E34" s="79"/>
      <c r="F34" s="79"/>
      <c r="G34" s="79"/>
      <c r="H34" s="85"/>
      <c r="I34" s="79"/>
      <c r="J34" s="82"/>
      <c r="K34" s="79"/>
      <c r="L34" s="79"/>
      <c r="M34" s="82"/>
      <c r="N34" s="82"/>
      <c r="O34" s="82"/>
      <c r="P34" s="82"/>
      <c r="Q34" s="82"/>
      <c r="R34" s="82"/>
      <c r="S34" s="82"/>
      <c r="T34" s="82"/>
      <c r="U34" s="82"/>
      <c r="V34" s="82"/>
      <c r="W34" s="82"/>
      <c r="X34" s="82"/>
      <c r="Y34" s="82"/>
      <c r="Z34" s="79"/>
      <c r="AA34" s="82"/>
      <c r="AB34" s="82"/>
      <c r="AC34" s="82"/>
      <c r="AD34" s="82"/>
      <c r="AE34" s="82"/>
      <c r="AF34" s="82"/>
      <c r="AG34" s="82"/>
      <c r="AH34" s="82"/>
      <c r="AI34" s="82"/>
      <c r="AJ34" s="82"/>
      <c r="AK34" s="82"/>
      <c r="AL34" s="79"/>
      <c r="AM34" s="82"/>
      <c r="AN34" s="82"/>
      <c r="AO34" s="82"/>
      <c r="AP34" s="82"/>
      <c r="AQ34" s="82"/>
      <c r="AR34" s="82"/>
      <c r="AS34" s="82"/>
      <c r="AT34" s="82"/>
      <c r="AU34" s="82"/>
      <c r="AV34" s="82"/>
      <c r="AW34" s="82"/>
      <c r="AX34" s="79"/>
      <c r="AY34" s="82"/>
      <c r="AZ34" s="82"/>
      <c r="BA34" s="82"/>
      <c r="BB34" s="82"/>
      <c r="BC34" s="82"/>
      <c r="BD34" s="82"/>
      <c r="BE34" s="82"/>
      <c r="BF34" s="82"/>
      <c r="BG34" s="82"/>
      <c r="BH34" s="1"/>
    </row>
    <row r="35" spans="1:60">
      <c r="A35" s="1041"/>
      <c r="B35" s="1109" t="s">
        <v>132</v>
      </c>
      <c r="C35" s="1107" t="s">
        <v>96</v>
      </c>
      <c r="D35" s="638"/>
      <c r="E35" s="79"/>
      <c r="F35" s="79"/>
      <c r="G35" s="79"/>
      <c r="H35" s="85"/>
      <c r="I35" s="79"/>
      <c r="J35" s="82"/>
      <c r="K35" s="79"/>
      <c r="L35" s="79"/>
      <c r="M35" s="82"/>
      <c r="N35" s="82"/>
      <c r="O35" s="82"/>
      <c r="P35" s="82"/>
      <c r="Q35" s="82"/>
      <c r="R35" s="82"/>
      <c r="S35" s="82"/>
      <c r="T35" s="82"/>
      <c r="U35" s="82"/>
      <c r="V35" s="82"/>
      <c r="W35" s="82"/>
      <c r="X35" s="82"/>
      <c r="Y35" s="82"/>
      <c r="Z35" s="79"/>
      <c r="AA35" s="82"/>
      <c r="AB35" s="82"/>
      <c r="AC35" s="82"/>
      <c r="AD35" s="82"/>
      <c r="AE35" s="82"/>
      <c r="AF35" s="82"/>
      <c r="AG35" s="82"/>
      <c r="AH35" s="82"/>
      <c r="AI35" s="82"/>
      <c r="AJ35" s="82"/>
      <c r="AK35" s="82"/>
      <c r="AL35" s="79"/>
      <c r="AM35" s="82"/>
      <c r="AN35" s="82"/>
      <c r="AO35" s="82"/>
      <c r="AP35" s="82"/>
      <c r="AQ35" s="82"/>
      <c r="AR35" s="82"/>
      <c r="AS35" s="82"/>
      <c r="AT35" s="82"/>
      <c r="AU35" s="82"/>
      <c r="AV35" s="82"/>
      <c r="AW35" s="82"/>
      <c r="AX35" s="79"/>
      <c r="AY35" s="82"/>
      <c r="AZ35" s="82"/>
      <c r="BA35" s="82"/>
      <c r="BB35" s="82"/>
      <c r="BC35" s="82"/>
      <c r="BD35" s="82"/>
      <c r="BE35" s="82"/>
      <c r="BF35" s="82"/>
      <c r="BG35" s="82"/>
      <c r="BH35" s="1"/>
    </row>
    <row r="36" spans="1:60" s="2" customFormat="1" ht="21">
      <c r="A36" s="1042"/>
      <c r="B36" s="1109" t="s">
        <v>132</v>
      </c>
      <c r="C36" s="1106" t="s">
        <v>96</v>
      </c>
      <c r="D36" s="640"/>
      <c r="E36" s="209" t="s">
        <v>133</v>
      </c>
      <c r="F36" s="209"/>
      <c r="G36" s="209"/>
      <c r="H36" s="209"/>
      <c r="I36" s="129"/>
      <c r="J36" s="257" t="str">
        <f>J$8</f>
        <v>alle locaties</v>
      </c>
      <c r="K36" s="126"/>
      <c r="L36" s="126"/>
      <c r="M36" s="257" t="str">
        <f>M$8</f>
        <v>locatie 1</v>
      </c>
      <c r="N36" s="193"/>
      <c r="O36" s="955" t="str">
        <f>$E36&amp;" per woning-/gebouwtype"</f>
        <v>energiemaatregelen met effect op energiebehoefte per woning-/gebouwtype</v>
      </c>
      <c r="P36" s="945"/>
      <c r="Q36" s="945"/>
      <c r="R36" s="945"/>
      <c r="S36" s="945"/>
      <c r="T36" s="945"/>
      <c r="U36" s="945"/>
      <c r="V36" s="945"/>
      <c r="W36" s="257"/>
      <c r="X36" s="174"/>
      <c r="Y36" s="257" t="str">
        <f>Y$10</f>
        <v>locatie 2</v>
      </c>
      <c r="Z36" s="193"/>
      <c r="AA36" s="955" t="str">
        <f>$E36&amp;" per woning-/gebouwtype"</f>
        <v>energiemaatregelen met effect op energiebehoefte per woning-/gebouwtype</v>
      </c>
      <c r="AB36" s="945"/>
      <c r="AC36" s="945"/>
      <c r="AD36" s="945"/>
      <c r="AE36" s="945"/>
      <c r="AF36" s="945"/>
      <c r="AG36" s="945"/>
      <c r="AH36" s="945"/>
      <c r="AI36" s="257"/>
      <c r="AJ36" s="174"/>
      <c r="AK36" s="257" t="str">
        <f>AK$10</f>
        <v>locatie 3</v>
      </c>
      <c r="AL36" s="193"/>
      <c r="AM36" s="955" t="str">
        <f>$E36&amp;" per woning-/gebouwtype"</f>
        <v>energiemaatregelen met effect op energiebehoefte per woning-/gebouwtype</v>
      </c>
      <c r="AN36" s="945"/>
      <c r="AO36" s="945"/>
      <c r="AP36" s="945"/>
      <c r="AQ36" s="945"/>
      <c r="AR36" s="945"/>
      <c r="AS36" s="945"/>
      <c r="AT36" s="945"/>
      <c r="AU36" s="257"/>
      <c r="AV36" s="174"/>
      <c r="AW36" s="257" t="str">
        <f>AW$10</f>
        <v>locatie 4</v>
      </c>
      <c r="AX36" s="193"/>
      <c r="AY36" s="955" t="str">
        <f>$E36&amp;" per woning-/gebouwtype"</f>
        <v>energiemaatregelen met effect op energiebehoefte per woning-/gebouwtype</v>
      </c>
      <c r="AZ36" s="945"/>
      <c r="BA36" s="945"/>
      <c r="BB36" s="945"/>
      <c r="BC36" s="945"/>
      <c r="BD36" s="945"/>
      <c r="BE36" s="945"/>
      <c r="BF36" s="945"/>
      <c r="BG36" s="257"/>
      <c r="BH36" s="1"/>
    </row>
    <row r="37" spans="1:60">
      <c r="A37" s="1041"/>
      <c r="B37" s="1109" t="s">
        <v>132</v>
      </c>
      <c r="C37" s="1107" t="s">
        <v>118</v>
      </c>
      <c r="D37" s="638"/>
      <c r="E37" s="942" t="s">
        <v>134</v>
      </c>
      <c r="F37" s="942"/>
      <c r="G37" s="942"/>
      <c r="H37" s="942"/>
      <c r="I37" s="129"/>
      <c r="J37" s="943"/>
      <c r="K37" s="126"/>
      <c r="L37" s="126"/>
      <c r="M37" s="944"/>
      <c r="N37" s="195"/>
      <c r="O37" s="258" t="str">
        <f>O$17</f>
        <v/>
      </c>
      <c r="P37" s="258" t="str">
        <f t="shared" ref="P37:W37" si="38">P$17</f>
        <v/>
      </c>
      <c r="Q37" s="258" t="str">
        <f t="shared" si="38"/>
        <v/>
      </c>
      <c r="R37" s="258" t="str">
        <f t="shared" si="38"/>
        <v/>
      </c>
      <c r="S37" s="258" t="str">
        <f t="shared" si="38"/>
        <v/>
      </c>
      <c r="T37" s="258" t="str">
        <f t="shared" si="38"/>
        <v/>
      </c>
      <c r="U37" s="258" t="str">
        <f t="shared" si="38"/>
        <v/>
      </c>
      <c r="V37" s="258" t="str">
        <f t="shared" si="38"/>
        <v/>
      </c>
      <c r="W37" s="258" t="str">
        <f t="shared" si="38"/>
        <v/>
      </c>
      <c r="X37" s="195"/>
      <c r="Y37" s="944"/>
      <c r="Z37" s="195"/>
      <c r="AA37" s="258" t="str">
        <f>AA$17</f>
        <v/>
      </c>
      <c r="AB37" s="258" t="str">
        <f t="shared" ref="AB37:AI37" si="39">AB$17</f>
        <v/>
      </c>
      <c r="AC37" s="258" t="str">
        <f t="shared" si="39"/>
        <v/>
      </c>
      <c r="AD37" s="258" t="str">
        <f t="shared" si="39"/>
        <v/>
      </c>
      <c r="AE37" s="258" t="str">
        <f t="shared" si="39"/>
        <v/>
      </c>
      <c r="AF37" s="258" t="str">
        <f t="shared" si="39"/>
        <v/>
      </c>
      <c r="AG37" s="258" t="str">
        <f t="shared" si="39"/>
        <v/>
      </c>
      <c r="AH37" s="258" t="str">
        <f t="shared" si="39"/>
        <v/>
      </c>
      <c r="AI37" s="258" t="str">
        <f t="shared" si="39"/>
        <v/>
      </c>
      <c r="AJ37" s="195"/>
      <c r="AK37" s="944"/>
      <c r="AL37" s="195"/>
      <c r="AM37" s="258" t="str">
        <f>AM$17</f>
        <v/>
      </c>
      <c r="AN37" s="258" t="str">
        <f t="shared" ref="AN37:AU37" si="40">AN$17</f>
        <v/>
      </c>
      <c r="AO37" s="258" t="str">
        <f t="shared" si="40"/>
        <v/>
      </c>
      <c r="AP37" s="258" t="str">
        <f t="shared" si="40"/>
        <v/>
      </c>
      <c r="AQ37" s="258" t="str">
        <f t="shared" si="40"/>
        <v/>
      </c>
      <c r="AR37" s="258" t="str">
        <f t="shared" si="40"/>
        <v/>
      </c>
      <c r="AS37" s="258" t="str">
        <f t="shared" si="40"/>
        <v/>
      </c>
      <c r="AT37" s="258" t="str">
        <f t="shared" si="40"/>
        <v/>
      </c>
      <c r="AU37" s="258" t="str">
        <f t="shared" si="40"/>
        <v/>
      </c>
      <c r="AV37" s="195"/>
      <c r="AW37" s="944"/>
      <c r="AX37" s="195"/>
      <c r="AY37" s="258" t="str">
        <f>AY$17</f>
        <v/>
      </c>
      <c r="AZ37" s="258" t="str">
        <f t="shared" ref="AZ37:BG37" si="41">AZ$17</f>
        <v/>
      </c>
      <c r="BA37" s="258" t="str">
        <f t="shared" si="41"/>
        <v/>
      </c>
      <c r="BB37" s="258" t="str">
        <f t="shared" si="41"/>
        <v/>
      </c>
      <c r="BC37" s="258" t="str">
        <f t="shared" si="41"/>
        <v/>
      </c>
      <c r="BD37" s="258" t="str">
        <f t="shared" si="41"/>
        <v/>
      </c>
      <c r="BE37" s="258" t="str">
        <f t="shared" si="41"/>
        <v/>
      </c>
      <c r="BF37" s="258" t="str">
        <f t="shared" si="41"/>
        <v/>
      </c>
      <c r="BG37" s="258" t="str">
        <f t="shared" si="41"/>
        <v/>
      </c>
      <c r="BH37" s="36"/>
    </row>
    <row r="38" spans="1:60" s="2" customFormat="1">
      <c r="A38" s="1042"/>
      <c r="B38" s="1110" t="s">
        <v>132</v>
      </c>
      <c r="C38" s="1106" t="s">
        <v>118</v>
      </c>
      <c r="D38" s="645" t="s">
        <v>45</v>
      </c>
      <c r="E38" s="254" t="s">
        <v>135</v>
      </c>
      <c r="F38" s="254"/>
      <c r="G38" s="254"/>
      <c r="H38" s="181" t="s">
        <v>65</v>
      </c>
      <c r="I38" s="171"/>
      <c r="J38" s="1124"/>
      <c r="K38" s="79"/>
      <c r="L38" s="79"/>
      <c r="M38" s="554"/>
      <c r="N38" s="1120"/>
      <c r="O38" s="151" t="str">
        <f t="shared" ref="O38:W38" si="42">IF(O$17="","",IF(AND(O39&lt;&gt;"",
ISERROR(MATCH(O39,isolatiepakketten_gebouwschil_namen,0))=FALSE),O39,
INDEX(referentiepakketten_bij_gebouwen,MATCH(O$17,woningen_gebouwen_namen,0))))</f>
        <v/>
      </c>
      <c r="P38" s="151" t="str">
        <f t="shared" si="42"/>
        <v/>
      </c>
      <c r="Q38" s="151" t="str">
        <f t="shared" si="42"/>
        <v/>
      </c>
      <c r="R38" s="151" t="str">
        <f t="shared" si="42"/>
        <v/>
      </c>
      <c r="S38" s="151" t="str">
        <f t="shared" si="42"/>
        <v/>
      </c>
      <c r="T38" s="151" t="str">
        <f t="shared" si="42"/>
        <v/>
      </c>
      <c r="U38" s="151" t="str">
        <f t="shared" si="42"/>
        <v/>
      </c>
      <c r="V38" s="151" t="str">
        <f t="shared" si="42"/>
        <v/>
      </c>
      <c r="W38" s="151" t="str">
        <f t="shared" si="42"/>
        <v/>
      </c>
      <c r="X38" s="1120"/>
      <c r="Y38" s="554"/>
      <c r="Z38" s="1120"/>
      <c r="AA38" s="151" t="str">
        <f t="shared" ref="AA38:AI38" si="43">IF(AA$17="","",IF(AND(AA39&lt;&gt;"",
ISERROR(MATCH(AA39,isolatiepakketten_gebouwschil_namen,0))=FALSE),AA39,
INDEX(referentiepakketten_bij_gebouwen,MATCH(AA$17,woningen_gebouwen_namen,0))))</f>
        <v/>
      </c>
      <c r="AB38" s="151" t="str">
        <f t="shared" si="43"/>
        <v/>
      </c>
      <c r="AC38" s="151" t="str">
        <f t="shared" si="43"/>
        <v/>
      </c>
      <c r="AD38" s="151" t="str">
        <f t="shared" si="43"/>
        <v/>
      </c>
      <c r="AE38" s="151" t="str">
        <f t="shared" si="43"/>
        <v/>
      </c>
      <c r="AF38" s="151" t="str">
        <f t="shared" si="43"/>
        <v/>
      </c>
      <c r="AG38" s="151" t="str">
        <f t="shared" si="43"/>
        <v/>
      </c>
      <c r="AH38" s="151" t="str">
        <f t="shared" si="43"/>
        <v/>
      </c>
      <c r="AI38" s="151" t="str">
        <f t="shared" si="43"/>
        <v/>
      </c>
      <c r="AJ38" s="1120"/>
      <c r="AK38" s="554"/>
      <c r="AL38" s="195"/>
      <c r="AM38" s="151" t="str">
        <f t="shared" ref="AM38:AU38" si="44">IF(AM$17="","",IF(AND(AM39&lt;&gt;"",
ISERROR(MATCH(AM39,isolatiepakketten_gebouwschil_namen,0))=FALSE),AM39,
INDEX(referentiepakketten_bij_gebouwen,MATCH(AM$17,woningen_gebouwen_namen,0))))</f>
        <v/>
      </c>
      <c r="AN38" s="151" t="str">
        <f t="shared" si="44"/>
        <v/>
      </c>
      <c r="AO38" s="151" t="str">
        <f t="shared" si="44"/>
        <v/>
      </c>
      <c r="AP38" s="151" t="str">
        <f t="shared" si="44"/>
        <v/>
      </c>
      <c r="AQ38" s="151" t="str">
        <f t="shared" si="44"/>
        <v/>
      </c>
      <c r="AR38" s="151" t="str">
        <f t="shared" si="44"/>
        <v/>
      </c>
      <c r="AS38" s="151" t="str">
        <f t="shared" si="44"/>
        <v/>
      </c>
      <c r="AT38" s="151" t="str">
        <f t="shared" si="44"/>
        <v/>
      </c>
      <c r="AU38" s="151" t="str">
        <f t="shared" si="44"/>
        <v/>
      </c>
      <c r="AV38" s="195"/>
      <c r="AW38" s="554"/>
      <c r="AX38" s="195"/>
      <c r="AY38" s="151" t="str">
        <f t="shared" ref="AY38:BG38" si="45">IF(AY$17="","",IF(AND(AY39&lt;&gt;"",
ISERROR(MATCH(AY39,isolatiepakketten_gebouwschil_namen,0))=FALSE),AY39,
INDEX(referentiepakketten_bij_gebouwen,MATCH(AY$17,woningen_gebouwen_namen,0))))</f>
        <v/>
      </c>
      <c r="AZ38" s="151" t="str">
        <f t="shared" si="45"/>
        <v/>
      </c>
      <c r="BA38" s="151" t="str">
        <f t="shared" si="45"/>
        <v/>
      </c>
      <c r="BB38" s="151" t="str">
        <f t="shared" si="45"/>
        <v/>
      </c>
      <c r="BC38" s="151" t="str">
        <f t="shared" si="45"/>
        <v/>
      </c>
      <c r="BD38" s="151" t="str">
        <f t="shared" si="45"/>
        <v/>
      </c>
      <c r="BE38" s="151" t="str">
        <f t="shared" si="45"/>
        <v/>
      </c>
      <c r="BF38" s="151" t="str">
        <f t="shared" si="45"/>
        <v/>
      </c>
      <c r="BG38" s="151" t="str">
        <f t="shared" si="45"/>
        <v/>
      </c>
      <c r="BH38" s="215"/>
    </row>
    <row r="39" spans="1:60">
      <c r="A39" s="1041"/>
      <c r="B39" s="1109" t="s">
        <v>132</v>
      </c>
      <c r="C39" s="1106" t="s">
        <v>118</v>
      </c>
      <c r="D39" s="638"/>
      <c r="E39" s="1218" t="s">
        <v>951</v>
      </c>
      <c r="F39" s="236"/>
      <c r="G39" s="236"/>
      <c r="H39" s="150" t="s">
        <v>65</v>
      </c>
      <c r="I39" s="171"/>
      <c r="J39" s="616"/>
      <c r="K39" s="79"/>
      <c r="L39" s="79"/>
      <c r="M39" s="184"/>
      <c r="N39" s="195"/>
      <c r="O39" s="871"/>
      <c r="P39" s="871"/>
      <c r="Q39" s="871"/>
      <c r="R39" s="871"/>
      <c r="S39" s="871"/>
      <c r="T39" s="871"/>
      <c r="U39" s="871"/>
      <c r="V39" s="871"/>
      <c r="W39" s="871"/>
      <c r="X39" s="195"/>
      <c r="Y39" s="184"/>
      <c r="Z39" s="195"/>
      <c r="AA39" s="871"/>
      <c r="AB39" s="871"/>
      <c r="AC39" s="871"/>
      <c r="AD39" s="871"/>
      <c r="AE39" s="871"/>
      <c r="AF39" s="871"/>
      <c r="AG39" s="871"/>
      <c r="AH39" s="871"/>
      <c r="AI39" s="871"/>
      <c r="AJ39" s="195"/>
      <c r="AK39" s="184"/>
      <c r="AL39" s="195"/>
      <c r="AM39" s="871"/>
      <c r="AN39" s="871"/>
      <c r="AO39" s="871"/>
      <c r="AP39" s="871"/>
      <c r="AQ39" s="871"/>
      <c r="AR39" s="871"/>
      <c r="AS39" s="871"/>
      <c r="AT39" s="871"/>
      <c r="AU39" s="871"/>
      <c r="AV39" s="195"/>
      <c r="AW39" s="184"/>
      <c r="AX39" s="195"/>
      <c r="AY39" s="871"/>
      <c r="AZ39" s="871"/>
      <c r="BA39" s="871"/>
      <c r="BB39" s="871"/>
      <c r="BC39" s="871"/>
      <c r="BD39" s="871"/>
      <c r="BE39" s="871"/>
      <c r="BF39" s="871"/>
      <c r="BG39" s="871"/>
      <c r="BH39" s="215"/>
    </row>
    <row r="40" spans="1:60" s="36" customFormat="1" ht="17.25" customHeight="1">
      <c r="A40" s="1043"/>
      <c r="B40" s="1109" t="s">
        <v>132</v>
      </c>
      <c r="C40" s="1107" t="s">
        <v>118</v>
      </c>
      <c r="D40" s="642"/>
      <c r="E40" s="1266" t="s">
        <v>1291</v>
      </c>
      <c r="F40" s="1266"/>
      <c r="G40" s="1266"/>
      <c r="H40" s="150" t="s">
        <v>65</v>
      </c>
      <c r="I40" s="102"/>
      <c r="J40" s="616"/>
      <c r="K40" s="86"/>
      <c r="L40" s="86"/>
      <c r="M40" s="184"/>
      <c r="N40" s="88"/>
      <c r="O40" s="738" t="s">
        <v>1294</v>
      </c>
      <c r="P40" s="738" t="s">
        <v>1294</v>
      </c>
      <c r="Q40" s="738" t="s">
        <v>1294</v>
      </c>
      <c r="R40" s="738" t="s">
        <v>1294</v>
      </c>
      <c r="S40" s="738" t="s">
        <v>1294</v>
      </c>
      <c r="T40" s="738" t="s">
        <v>1294</v>
      </c>
      <c r="U40" s="738" t="s">
        <v>1294</v>
      </c>
      <c r="V40" s="738" t="s">
        <v>1294</v>
      </c>
      <c r="W40" s="738" t="s">
        <v>1294</v>
      </c>
      <c r="X40" s="659"/>
      <c r="Y40" s="184"/>
      <c r="Z40" s="660"/>
      <c r="AA40" s="738" t="s">
        <v>1294</v>
      </c>
      <c r="AB40" s="738" t="s">
        <v>1294</v>
      </c>
      <c r="AC40" s="738" t="s">
        <v>1294</v>
      </c>
      <c r="AD40" s="738" t="s">
        <v>1294</v>
      </c>
      <c r="AE40" s="738" t="s">
        <v>1294</v>
      </c>
      <c r="AF40" s="738" t="s">
        <v>1294</v>
      </c>
      <c r="AG40" s="738" t="s">
        <v>1294</v>
      </c>
      <c r="AH40" s="738" t="s">
        <v>1294</v>
      </c>
      <c r="AI40" s="738" t="s">
        <v>1294</v>
      </c>
      <c r="AJ40" s="659"/>
      <c r="AK40" s="184"/>
      <c r="AL40" s="661"/>
      <c r="AM40" s="738" t="s">
        <v>1294</v>
      </c>
      <c r="AN40" s="738" t="s">
        <v>1294</v>
      </c>
      <c r="AO40" s="738" t="s">
        <v>1294</v>
      </c>
      <c r="AP40" s="738" t="s">
        <v>1294</v>
      </c>
      <c r="AQ40" s="738" t="s">
        <v>1294</v>
      </c>
      <c r="AR40" s="738" t="s">
        <v>1294</v>
      </c>
      <c r="AS40" s="738" t="s">
        <v>1294</v>
      </c>
      <c r="AT40" s="738" t="s">
        <v>1294</v>
      </c>
      <c r="AU40" s="738" t="s">
        <v>1294</v>
      </c>
      <c r="AV40" s="659"/>
      <c r="AW40" s="184"/>
      <c r="AX40" s="661"/>
      <c r="AY40" s="738" t="s">
        <v>1294</v>
      </c>
      <c r="AZ40" s="738" t="s">
        <v>1294</v>
      </c>
      <c r="BA40" s="738" t="s">
        <v>1294</v>
      </c>
      <c r="BB40" s="738" t="s">
        <v>1294</v>
      </c>
      <c r="BC40" s="738" t="s">
        <v>1294</v>
      </c>
      <c r="BD40" s="738" t="s">
        <v>1294</v>
      </c>
      <c r="BE40" s="738" t="s">
        <v>1294</v>
      </c>
      <c r="BF40" s="738" t="s">
        <v>1294</v>
      </c>
      <c r="BG40" s="738" t="s">
        <v>1294</v>
      </c>
      <c r="BH40" s="217"/>
    </row>
    <row r="41" spans="1:60" ht="25.5">
      <c r="A41" s="1043"/>
      <c r="B41" s="1109" t="s">
        <v>132</v>
      </c>
      <c r="C41" s="1106" t="s">
        <v>118</v>
      </c>
      <c r="D41" s="642"/>
      <c r="E41" s="149" t="s">
        <v>137</v>
      </c>
      <c r="F41" s="149"/>
      <c r="G41" s="149"/>
      <c r="H41" s="150" t="s">
        <v>65</v>
      </c>
      <c r="I41" s="102"/>
      <c r="J41" s="184"/>
      <c r="K41" s="86"/>
      <c r="L41" s="86"/>
      <c r="M41" s="184"/>
      <c r="N41" s="88"/>
      <c r="O41" s="738" t="s">
        <v>138</v>
      </c>
      <c r="P41" s="738" t="s">
        <v>138</v>
      </c>
      <c r="Q41" s="738" t="s">
        <v>138</v>
      </c>
      <c r="R41" s="738" t="s">
        <v>138</v>
      </c>
      <c r="S41" s="738" t="s">
        <v>138</v>
      </c>
      <c r="T41" s="738" t="s">
        <v>138</v>
      </c>
      <c r="U41" s="738" t="s">
        <v>138</v>
      </c>
      <c r="V41" s="738" t="s">
        <v>138</v>
      </c>
      <c r="W41" s="738" t="s">
        <v>138</v>
      </c>
      <c r="X41" s="659"/>
      <c r="Y41" s="184"/>
      <c r="Z41" s="195"/>
      <c r="AA41" s="738" t="s">
        <v>138</v>
      </c>
      <c r="AB41" s="738" t="s">
        <v>138</v>
      </c>
      <c r="AC41" s="738" t="s">
        <v>138</v>
      </c>
      <c r="AD41" s="738" t="s">
        <v>138</v>
      </c>
      <c r="AE41" s="738" t="s">
        <v>138</v>
      </c>
      <c r="AF41" s="738" t="s">
        <v>138</v>
      </c>
      <c r="AG41" s="738" t="s">
        <v>138</v>
      </c>
      <c r="AH41" s="738" t="s">
        <v>138</v>
      </c>
      <c r="AI41" s="738" t="s">
        <v>138</v>
      </c>
      <c r="AJ41" s="659"/>
      <c r="AK41" s="184"/>
      <c r="AL41" s="661"/>
      <c r="AM41" s="738" t="s">
        <v>138</v>
      </c>
      <c r="AN41" s="738" t="s">
        <v>138</v>
      </c>
      <c r="AO41" s="738" t="s">
        <v>138</v>
      </c>
      <c r="AP41" s="738" t="s">
        <v>138</v>
      </c>
      <c r="AQ41" s="738" t="s">
        <v>138</v>
      </c>
      <c r="AR41" s="738" t="s">
        <v>138</v>
      </c>
      <c r="AS41" s="738" t="s">
        <v>138</v>
      </c>
      <c r="AT41" s="738" t="s">
        <v>138</v>
      </c>
      <c r="AU41" s="738" t="s">
        <v>138</v>
      </c>
      <c r="AV41" s="659"/>
      <c r="AW41" s="184"/>
      <c r="AX41" s="661"/>
      <c r="AY41" s="738" t="s">
        <v>138</v>
      </c>
      <c r="AZ41" s="738" t="s">
        <v>138</v>
      </c>
      <c r="BA41" s="738" t="s">
        <v>138</v>
      </c>
      <c r="BB41" s="738" t="s">
        <v>138</v>
      </c>
      <c r="BC41" s="738" t="s">
        <v>138</v>
      </c>
      <c r="BD41" s="738" t="s">
        <v>138</v>
      </c>
      <c r="BE41" s="738" t="s">
        <v>138</v>
      </c>
      <c r="BF41" s="738" t="s">
        <v>138</v>
      </c>
      <c r="BG41" s="738" t="s">
        <v>138</v>
      </c>
      <c r="BH41" s="217"/>
    </row>
    <row r="42" spans="1:60">
      <c r="A42" s="1043"/>
      <c r="B42" s="1109" t="s">
        <v>132</v>
      </c>
      <c r="C42" s="1106" t="s">
        <v>118</v>
      </c>
      <c r="D42" s="642"/>
      <c r="E42" s="149" t="s">
        <v>1126</v>
      </c>
      <c r="F42" s="149"/>
      <c r="G42" s="149"/>
      <c r="H42" s="150" t="s">
        <v>65</v>
      </c>
      <c r="I42" s="102"/>
      <c r="J42" s="184"/>
      <c r="K42" s="86"/>
      <c r="L42" s="86"/>
      <c r="M42" s="184"/>
      <c r="N42" s="88"/>
      <c r="O42" s="738" t="s">
        <v>166</v>
      </c>
      <c r="P42" s="738" t="s">
        <v>166</v>
      </c>
      <c r="Q42" s="738" t="s">
        <v>166</v>
      </c>
      <c r="R42" s="738" t="s">
        <v>166</v>
      </c>
      <c r="S42" s="738" t="s">
        <v>166</v>
      </c>
      <c r="T42" s="738" t="s">
        <v>166</v>
      </c>
      <c r="U42" s="738" t="s">
        <v>166</v>
      </c>
      <c r="V42" s="738" t="s">
        <v>166</v>
      </c>
      <c r="W42" s="738" t="s">
        <v>166</v>
      </c>
      <c r="X42" s="659"/>
      <c r="Y42" s="184"/>
      <c r="Z42" s="195"/>
      <c r="AA42" s="738" t="s">
        <v>166</v>
      </c>
      <c r="AB42" s="738" t="s">
        <v>166</v>
      </c>
      <c r="AC42" s="738" t="s">
        <v>166</v>
      </c>
      <c r="AD42" s="738" t="s">
        <v>166</v>
      </c>
      <c r="AE42" s="738" t="s">
        <v>166</v>
      </c>
      <c r="AF42" s="738" t="s">
        <v>166</v>
      </c>
      <c r="AG42" s="738" t="s">
        <v>166</v>
      </c>
      <c r="AH42" s="738" t="s">
        <v>166</v>
      </c>
      <c r="AI42" s="738" t="s">
        <v>166</v>
      </c>
      <c r="AJ42" s="659"/>
      <c r="AK42" s="184"/>
      <c r="AL42" s="661"/>
      <c r="AM42" s="738" t="s">
        <v>166</v>
      </c>
      <c r="AN42" s="738" t="s">
        <v>166</v>
      </c>
      <c r="AO42" s="738" t="s">
        <v>166</v>
      </c>
      <c r="AP42" s="738" t="s">
        <v>166</v>
      </c>
      <c r="AQ42" s="738" t="s">
        <v>166</v>
      </c>
      <c r="AR42" s="738" t="s">
        <v>166</v>
      </c>
      <c r="AS42" s="738" t="s">
        <v>166</v>
      </c>
      <c r="AT42" s="738" t="s">
        <v>166</v>
      </c>
      <c r="AU42" s="738" t="s">
        <v>166</v>
      </c>
      <c r="AV42" s="659"/>
      <c r="AW42" s="184"/>
      <c r="AX42" s="661"/>
      <c r="AY42" s="738" t="s">
        <v>166</v>
      </c>
      <c r="AZ42" s="738" t="s">
        <v>166</v>
      </c>
      <c r="BA42" s="738" t="s">
        <v>166</v>
      </c>
      <c r="BB42" s="738" t="s">
        <v>166</v>
      </c>
      <c r="BC42" s="738" t="s">
        <v>166</v>
      </c>
      <c r="BD42" s="738" t="s">
        <v>166</v>
      </c>
      <c r="BE42" s="738" t="s">
        <v>166</v>
      </c>
      <c r="BF42" s="738" t="s">
        <v>166</v>
      </c>
      <c r="BG42" s="738" t="s">
        <v>166</v>
      </c>
      <c r="BH42" s="217"/>
    </row>
    <row r="43" spans="1:60" s="2" customFormat="1" hidden="1">
      <c r="A43" s="1044"/>
      <c r="B43" s="1110" t="s">
        <v>132</v>
      </c>
      <c r="C43" s="1106" t="s">
        <v>181</v>
      </c>
      <c r="D43" s="639"/>
      <c r="E43" s="255" t="s">
        <v>1304</v>
      </c>
      <c r="F43" s="180"/>
      <c r="G43" s="180"/>
      <c r="H43" s="181" t="s">
        <v>65</v>
      </c>
      <c r="I43" s="171"/>
      <c r="J43" s="554"/>
      <c r="K43" s="79"/>
      <c r="L43" s="79"/>
      <c r="M43" s="554"/>
      <c r="N43" s="89"/>
      <c r="O43" s="1182"/>
      <c r="P43" s="1182"/>
      <c r="Q43" s="1182"/>
      <c r="R43" s="1182"/>
      <c r="S43" s="1182"/>
      <c r="T43" s="1182"/>
      <c r="U43" s="1182"/>
      <c r="V43" s="1182"/>
      <c r="W43" s="1182"/>
      <c r="X43" s="658"/>
      <c r="Y43" s="554"/>
      <c r="Z43" s="1120"/>
      <c r="AA43" s="1182"/>
      <c r="AB43" s="1182"/>
      <c r="AC43" s="1182"/>
      <c r="AD43" s="1182"/>
      <c r="AE43" s="1182"/>
      <c r="AF43" s="1182"/>
      <c r="AG43" s="1182"/>
      <c r="AH43" s="1182"/>
      <c r="AI43" s="1182"/>
      <c r="AJ43" s="658"/>
      <c r="AK43" s="554"/>
      <c r="AL43" s="662"/>
      <c r="AM43" s="1182"/>
      <c r="AN43" s="1182"/>
      <c r="AO43" s="1182"/>
      <c r="AP43" s="1182"/>
      <c r="AQ43" s="1182"/>
      <c r="AR43" s="1182"/>
      <c r="AS43" s="1182"/>
      <c r="AT43" s="1182"/>
      <c r="AU43" s="1182"/>
      <c r="AV43" s="658"/>
      <c r="AW43" s="554"/>
      <c r="AX43" s="662"/>
      <c r="AY43" s="1182"/>
      <c r="AZ43" s="1182"/>
      <c r="BA43" s="1182"/>
      <c r="BB43" s="1182"/>
      <c r="BC43" s="1182"/>
      <c r="BD43" s="1182"/>
      <c r="BE43" s="1182"/>
      <c r="BF43" s="1182"/>
      <c r="BG43" s="1182"/>
      <c r="BH43" s="216"/>
    </row>
    <row r="44" spans="1:60" s="2" customFormat="1">
      <c r="A44" s="1044"/>
      <c r="B44" s="1110" t="s">
        <v>132</v>
      </c>
      <c r="C44" s="1106" t="s">
        <v>118</v>
      </c>
      <c r="D44" s="645" t="s">
        <v>45</v>
      </c>
      <c r="E44" s="1220" t="s">
        <v>1378</v>
      </c>
      <c r="F44" s="180"/>
      <c r="G44" s="180"/>
      <c r="H44" s="181" t="s">
        <v>1165</v>
      </c>
      <c r="I44" s="171"/>
      <c r="J44" s="554"/>
      <c r="K44" s="79"/>
      <c r="L44" s="79"/>
      <c r="M44" s="554"/>
      <c r="N44" s="89"/>
      <c r="O44" s="739">
        <v>1</v>
      </c>
      <c r="P44" s="739">
        <v>1</v>
      </c>
      <c r="Q44" s="739">
        <v>1</v>
      </c>
      <c r="R44" s="739">
        <v>1</v>
      </c>
      <c r="S44" s="739">
        <v>1</v>
      </c>
      <c r="T44" s="739">
        <v>1</v>
      </c>
      <c r="U44" s="739">
        <v>1</v>
      </c>
      <c r="V44" s="739">
        <v>1</v>
      </c>
      <c r="W44" s="739">
        <v>1</v>
      </c>
      <c r="X44" s="658"/>
      <c r="Y44" s="554"/>
      <c r="Z44" s="1120"/>
      <c r="AA44" s="739">
        <v>1</v>
      </c>
      <c r="AB44" s="739">
        <v>1</v>
      </c>
      <c r="AC44" s="739">
        <v>1</v>
      </c>
      <c r="AD44" s="739">
        <v>1</v>
      </c>
      <c r="AE44" s="739">
        <v>1</v>
      </c>
      <c r="AF44" s="739">
        <v>1</v>
      </c>
      <c r="AG44" s="739">
        <v>1</v>
      </c>
      <c r="AH44" s="739">
        <v>1</v>
      </c>
      <c r="AI44" s="739">
        <v>1</v>
      </c>
      <c r="AJ44" s="658"/>
      <c r="AK44" s="554"/>
      <c r="AL44" s="662"/>
      <c r="AM44" s="739">
        <v>1</v>
      </c>
      <c r="AN44" s="739">
        <v>1</v>
      </c>
      <c r="AO44" s="739">
        <v>1</v>
      </c>
      <c r="AP44" s="739">
        <v>1</v>
      </c>
      <c r="AQ44" s="739">
        <v>1</v>
      </c>
      <c r="AR44" s="739">
        <v>1</v>
      </c>
      <c r="AS44" s="739">
        <v>1</v>
      </c>
      <c r="AT44" s="739">
        <v>1</v>
      </c>
      <c r="AU44" s="739">
        <v>1</v>
      </c>
      <c r="AV44" s="658"/>
      <c r="AW44" s="554"/>
      <c r="AX44" s="662"/>
      <c r="AY44" s="739">
        <v>1</v>
      </c>
      <c r="AZ44" s="739">
        <v>1</v>
      </c>
      <c r="BA44" s="739">
        <v>1</v>
      </c>
      <c r="BB44" s="739">
        <v>1</v>
      </c>
      <c r="BC44" s="739">
        <v>1</v>
      </c>
      <c r="BD44" s="739">
        <v>1</v>
      </c>
      <c r="BE44" s="739">
        <v>1</v>
      </c>
      <c r="BF44" s="739">
        <v>1</v>
      </c>
      <c r="BG44" s="739">
        <v>1</v>
      </c>
      <c r="BH44" s="216"/>
    </row>
    <row r="45" spans="1:60" s="2" customFormat="1">
      <c r="A45" s="1044"/>
      <c r="B45" s="1110" t="s">
        <v>132</v>
      </c>
      <c r="C45" s="1106" t="s">
        <v>118</v>
      </c>
      <c r="D45" s="645" t="s">
        <v>45</v>
      </c>
      <c r="E45" s="180" t="s">
        <v>140</v>
      </c>
      <c r="F45" s="180"/>
      <c r="G45" s="180"/>
      <c r="H45" s="181" t="s">
        <v>141</v>
      </c>
      <c r="I45" s="171"/>
      <c r="J45" s="202"/>
      <c r="K45" s="243"/>
      <c r="L45" s="243"/>
      <c r="M45" s="202"/>
      <c r="N45" s="89"/>
      <c r="O45" s="740"/>
      <c r="P45" s="740"/>
      <c r="Q45" s="740"/>
      <c r="R45" s="740"/>
      <c r="S45" s="740"/>
      <c r="T45" s="740"/>
      <c r="U45" s="740"/>
      <c r="V45" s="740"/>
      <c r="W45" s="740"/>
      <c r="X45" s="663"/>
      <c r="Y45" s="202"/>
      <c r="Z45" s="362"/>
      <c r="AA45" s="740"/>
      <c r="AB45" s="740"/>
      <c r="AC45" s="740"/>
      <c r="AD45" s="740"/>
      <c r="AE45" s="740"/>
      <c r="AF45" s="740"/>
      <c r="AG45" s="740"/>
      <c r="AH45" s="740"/>
      <c r="AI45" s="740"/>
      <c r="AJ45" s="663"/>
      <c r="AK45" s="202"/>
      <c r="AL45" s="664"/>
      <c r="AM45" s="740"/>
      <c r="AN45" s="740"/>
      <c r="AO45" s="740"/>
      <c r="AP45" s="740"/>
      <c r="AQ45" s="740"/>
      <c r="AR45" s="740"/>
      <c r="AS45" s="740"/>
      <c r="AT45" s="740"/>
      <c r="AU45" s="740"/>
      <c r="AV45" s="663"/>
      <c r="AW45" s="202"/>
      <c r="AX45" s="664"/>
      <c r="AY45" s="740"/>
      <c r="AZ45" s="740"/>
      <c r="BA45" s="740"/>
      <c r="BB45" s="740"/>
      <c r="BC45" s="740"/>
      <c r="BD45" s="740"/>
      <c r="BE45" s="740"/>
      <c r="BF45" s="740"/>
      <c r="BG45" s="740"/>
      <c r="BH45" s="216"/>
    </row>
    <row r="46" spans="1:60">
      <c r="A46" s="1043"/>
      <c r="B46" s="1109" t="s">
        <v>132</v>
      </c>
      <c r="C46" s="1106" t="s">
        <v>118</v>
      </c>
      <c r="D46" s="642"/>
      <c r="E46" s="149" t="s">
        <v>142</v>
      </c>
      <c r="F46" s="149"/>
      <c r="G46" s="149"/>
      <c r="H46" s="150" t="s">
        <v>65</v>
      </c>
      <c r="I46" s="102"/>
      <c r="J46" s="616"/>
      <c r="K46" s="86"/>
      <c r="L46" s="86"/>
      <c r="M46" s="184"/>
      <c r="N46" s="88"/>
      <c r="O46" s="738"/>
      <c r="P46" s="738"/>
      <c r="Q46" s="738"/>
      <c r="R46" s="738"/>
      <c r="S46" s="738"/>
      <c r="T46" s="738"/>
      <c r="U46" s="738"/>
      <c r="V46" s="738"/>
      <c r="W46" s="738"/>
      <c r="X46" s="659"/>
      <c r="Y46" s="184"/>
      <c r="Z46" s="195"/>
      <c r="AA46" s="738"/>
      <c r="AB46" s="738"/>
      <c r="AC46" s="738"/>
      <c r="AD46" s="738"/>
      <c r="AE46" s="738"/>
      <c r="AF46" s="738"/>
      <c r="AG46" s="738"/>
      <c r="AH46" s="738"/>
      <c r="AI46" s="738"/>
      <c r="AJ46" s="659"/>
      <c r="AK46" s="184"/>
      <c r="AL46" s="661"/>
      <c r="AM46" s="738"/>
      <c r="AN46" s="738"/>
      <c r="AO46" s="738"/>
      <c r="AP46" s="738"/>
      <c r="AQ46" s="738"/>
      <c r="AR46" s="738"/>
      <c r="AS46" s="738"/>
      <c r="AT46" s="738"/>
      <c r="AU46" s="738"/>
      <c r="AV46" s="659"/>
      <c r="AW46" s="184"/>
      <c r="AX46" s="661"/>
      <c r="AY46" s="738"/>
      <c r="AZ46" s="738"/>
      <c r="BA46" s="738"/>
      <c r="BB46" s="738"/>
      <c r="BC46" s="738"/>
      <c r="BD46" s="738"/>
      <c r="BE46" s="738"/>
      <c r="BF46" s="738"/>
      <c r="BG46" s="738"/>
      <c r="BH46" s="217"/>
    </row>
    <row r="47" spans="1:60" s="2" customFormat="1">
      <c r="A47" s="1044"/>
      <c r="B47" s="1110" t="s">
        <v>132</v>
      </c>
      <c r="C47" s="1106" t="s">
        <v>118</v>
      </c>
      <c r="D47" s="639"/>
      <c r="E47" s="180" t="s">
        <v>144</v>
      </c>
      <c r="F47" s="180"/>
      <c r="G47" s="180"/>
      <c r="H47" s="181" t="s">
        <v>65</v>
      </c>
      <c r="I47" s="171"/>
      <c r="J47" s="1124"/>
      <c r="K47" s="79"/>
      <c r="L47" s="79"/>
      <c r="M47" s="554"/>
      <c r="N47" s="89"/>
      <c r="O47" s="1084" t="s">
        <v>145</v>
      </c>
      <c r="P47" s="1084" t="s">
        <v>145</v>
      </c>
      <c r="Q47" s="1084" t="s">
        <v>145</v>
      </c>
      <c r="R47" s="1084" t="s">
        <v>145</v>
      </c>
      <c r="S47" s="1084" t="s">
        <v>145</v>
      </c>
      <c r="T47" s="1084" t="s">
        <v>145</v>
      </c>
      <c r="U47" s="1084" t="s">
        <v>145</v>
      </c>
      <c r="V47" s="1084" t="s">
        <v>145</v>
      </c>
      <c r="W47" s="1084" t="s">
        <v>145</v>
      </c>
      <c r="X47" s="658"/>
      <c r="Y47" s="554"/>
      <c r="Z47" s="1120"/>
      <c r="AA47" s="1084" t="s">
        <v>145</v>
      </c>
      <c r="AB47" s="1084" t="s">
        <v>145</v>
      </c>
      <c r="AC47" s="1084" t="s">
        <v>145</v>
      </c>
      <c r="AD47" s="1084" t="s">
        <v>145</v>
      </c>
      <c r="AE47" s="1084" t="s">
        <v>145</v>
      </c>
      <c r="AF47" s="1084" t="s">
        <v>145</v>
      </c>
      <c r="AG47" s="1084" t="s">
        <v>145</v>
      </c>
      <c r="AH47" s="1084" t="s">
        <v>145</v>
      </c>
      <c r="AI47" s="1084" t="s">
        <v>145</v>
      </c>
      <c r="AJ47" s="658"/>
      <c r="AK47" s="554"/>
      <c r="AL47" s="662"/>
      <c r="AM47" s="1084" t="s">
        <v>145</v>
      </c>
      <c r="AN47" s="1084" t="s">
        <v>145</v>
      </c>
      <c r="AO47" s="1084" t="s">
        <v>145</v>
      </c>
      <c r="AP47" s="1084" t="s">
        <v>145</v>
      </c>
      <c r="AQ47" s="1084" t="s">
        <v>145</v>
      </c>
      <c r="AR47" s="1084" t="s">
        <v>145</v>
      </c>
      <c r="AS47" s="1084" t="s">
        <v>145</v>
      </c>
      <c r="AT47" s="1084" t="s">
        <v>145</v>
      </c>
      <c r="AU47" s="1084" t="s">
        <v>145</v>
      </c>
      <c r="AV47" s="658"/>
      <c r="AW47" s="554"/>
      <c r="AX47" s="662"/>
      <c r="AY47" s="1084" t="s">
        <v>145</v>
      </c>
      <c r="AZ47" s="1084" t="s">
        <v>145</v>
      </c>
      <c r="BA47" s="1084" t="s">
        <v>145</v>
      </c>
      <c r="BB47" s="1084" t="s">
        <v>145</v>
      </c>
      <c r="BC47" s="1084" t="s">
        <v>145</v>
      </c>
      <c r="BD47" s="1084" t="s">
        <v>145</v>
      </c>
      <c r="BE47" s="1084" t="s">
        <v>145</v>
      </c>
      <c r="BF47" s="1084" t="s">
        <v>145</v>
      </c>
      <c r="BG47" s="1084" t="s">
        <v>145</v>
      </c>
      <c r="BH47" s="216"/>
    </row>
    <row r="48" spans="1:60" s="2" customFormat="1">
      <c r="A48" s="1044"/>
      <c r="B48" s="1110" t="s">
        <v>132</v>
      </c>
      <c r="C48" s="1106" t="s">
        <v>118</v>
      </c>
      <c r="D48" s="645" t="s">
        <v>45</v>
      </c>
      <c r="E48" s="180" t="s">
        <v>146</v>
      </c>
      <c r="F48" s="180"/>
      <c r="G48" s="180"/>
      <c r="H48" s="181" t="s">
        <v>139</v>
      </c>
      <c r="I48" s="171"/>
      <c r="J48" s="554"/>
      <c r="K48" s="79"/>
      <c r="L48" s="79"/>
      <c r="M48" s="554"/>
      <c r="N48" s="89"/>
      <c r="O48" s="739">
        <v>0</v>
      </c>
      <c r="P48" s="739">
        <v>0</v>
      </c>
      <c r="Q48" s="739">
        <v>0</v>
      </c>
      <c r="R48" s="739">
        <v>0</v>
      </c>
      <c r="S48" s="739">
        <v>0</v>
      </c>
      <c r="T48" s="739">
        <v>0</v>
      </c>
      <c r="U48" s="739">
        <v>0</v>
      </c>
      <c r="V48" s="739">
        <v>0</v>
      </c>
      <c r="W48" s="739">
        <v>0</v>
      </c>
      <c r="X48" s="658"/>
      <c r="Y48" s="554"/>
      <c r="Z48" s="1120"/>
      <c r="AA48" s="739">
        <v>0</v>
      </c>
      <c r="AB48" s="739">
        <v>0</v>
      </c>
      <c r="AC48" s="739">
        <v>0</v>
      </c>
      <c r="AD48" s="739">
        <v>0</v>
      </c>
      <c r="AE48" s="739">
        <v>0</v>
      </c>
      <c r="AF48" s="739">
        <v>0</v>
      </c>
      <c r="AG48" s="739">
        <v>0</v>
      </c>
      <c r="AH48" s="739">
        <v>0</v>
      </c>
      <c r="AI48" s="739">
        <v>0</v>
      </c>
      <c r="AJ48" s="658"/>
      <c r="AK48" s="554"/>
      <c r="AL48" s="662"/>
      <c r="AM48" s="739">
        <v>0</v>
      </c>
      <c r="AN48" s="739">
        <v>0</v>
      </c>
      <c r="AO48" s="739">
        <v>0</v>
      </c>
      <c r="AP48" s="739">
        <v>0</v>
      </c>
      <c r="AQ48" s="739">
        <v>0</v>
      </c>
      <c r="AR48" s="739">
        <v>0</v>
      </c>
      <c r="AS48" s="739">
        <v>0</v>
      </c>
      <c r="AT48" s="739">
        <v>0</v>
      </c>
      <c r="AU48" s="739">
        <v>0</v>
      </c>
      <c r="AV48" s="658"/>
      <c r="AW48" s="554"/>
      <c r="AX48" s="662"/>
      <c r="AY48" s="739">
        <v>0</v>
      </c>
      <c r="AZ48" s="739">
        <v>0</v>
      </c>
      <c r="BA48" s="739">
        <v>0</v>
      </c>
      <c r="BB48" s="739">
        <v>0</v>
      </c>
      <c r="BC48" s="739">
        <v>0</v>
      </c>
      <c r="BD48" s="739">
        <v>0</v>
      </c>
      <c r="BE48" s="739">
        <v>0</v>
      </c>
      <c r="BF48" s="739">
        <v>0</v>
      </c>
      <c r="BG48" s="739">
        <v>0</v>
      </c>
      <c r="BH48" s="216"/>
    </row>
    <row r="49" spans="1:60" s="2" customFormat="1">
      <c r="A49" s="1044"/>
      <c r="B49" s="1110" t="s">
        <v>132</v>
      </c>
      <c r="C49" s="1106" t="s">
        <v>118</v>
      </c>
      <c r="D49" s="645" t="s">
        <v>45</v>
      </c>
      <c r="E49" s="595" t="s">
        <v>1055</v>
      </c>
      <c r="F49" s="595"/>
      <c r="G49" s="595"/>
      <c r="H49" s="1013" t="s">
        <v>1056</v>
      </c>
      <c r="I49" s="171"/>
      <c r="J49" s="769"/>
      <c r="K49" s="79"/>
      <c r="L49" s="79"/>
      <c r="M49" s="769"/>
      <c r="N49" s="243"/>
      <c r="O49" s="1125">
        <v>450</v>
      </c>
      <c r="P49" s="1125">
        <v>450</v>
      </c>
      <c r="Q49" s="1125">
        <v>450</v>
      </c>
      <c r="R49" s="1125">
        <v>450</v>
      </c>
      <c r="S49" s="1125">
        <v>450</v>
      </c>
      <c r="T49" s="1125">
        <v>450</v>
      </c>
      <c r="U49" s="1125">
        <v>450</v>
      </c>
      <c r="V49" s="1125">
        <v>450</v>
      </c>
      <c r="W49" s="1125">
        <v>450</v>
      </c>
      <c r="X49" s="658"/>
      <c r="Y49" s="769"/>
      <c r="Z49" s="1120"/>
      <c r="AA49" s="1125">
        <v>450</v>
      </c>
      <c r="AB49" s="1125">
        <v>450</v>
      </c>
      <c r="AC49" s="1125">
        <v>450</v>
      </c>
      <c r="AD49" s="1125">
        <v>450</v>
      </c>
      <c r="AE49" s="1125">
        <v>450</v>
      </c>
      <c r="AF49" s="1125">
        <v>450</v>
      </c>
      <c r="AG49" s="1125">
        <v>450</v>
      </c>
      <c r="AH49" s="1125">
        <v>450</v>
      </c>
      <c r="AI49" s="1125">
        <v>450</v>
      </c>
      <c r="AJ49" s="658"/>
      <c r="AK49" s="769"/>
      <c r="AL49" s="658"/>
      <c r="AM49" s="1125">
        <v>450</v>
      </c>
      <c r="AN49" s="1125">
        <v>450</v>
      </c>
      <c r="AO49" s="1125">
        <v>450</v>
      </c>
      <c r="AP49" s="1125">
        <v>450</v>
      </c>
      <c r="AQ49" s="1125">
        <v>450</v>
      </c>
      <c r="AR49" s="1125">
        <v>450</v>
      </c>
      <c r="AS49" s="1125">
        <v>450</v>
      </c>
      <c r="AT49" s="1125">
        <v>450</v>
      </c>
      <c r="AU49" s="1125">
        <v>450</v>
      </c>
      <c r="AV49" s="658"/>
      <c r="AW49" s="769"/>
      <c r="AX49" s="658"/>
      <c r="AY49" s="1125">
        <v>450</v>
      </c>
      <c r="AZ49" s="1125">
        <v>450</v>
      </c>
      <c r="BA49" s="1125">
        <v>450</v>
      </c>
      <c r="BB49" s="1125">
        <v>450</v>
      </c>
      <c r="BC49" s="1125">
        <v>450</v>
      </c>
      <c r="BD49" s="1125"/>
      <c r="BE49" s="1125"/>
      <c r="BF49" s="1125"/>
      <c r="BG49" s="1125"/>
      <c r="BH49" s="216"/>
    </row>
    <row r="50" spans="1:60" s="2" customFormat="1">
      <c r="A50" s="1044"/>
      <c r="B50" s="1110" t="s">
        <v>132</v>
      </c>
      <c r="C50" s="1106" t="s">
        <v>118</v>
      </c>
      <c r="D50" s="645" t="s">
        <v>45</v>
      </c>
      <c r="E50" s="1162" t="s">
        <v>1280</v>
      </c>
      <c r="F50" s="180"/>
      <c r="G50" s="180"/>
      <c r="H50" s="181" t="s">
        <v>65</v>
      </c>
      <c r="I50" s="171"/>
      <c r="J50" s="1124"/>
      <c r="K50" s="79"/>
      <c r="L50" s="79"/>
      <c r="M50" s="1084" t="s">
        <v>174</v>
      </c>
      <c r="N50" s="89"/>
      <c r="O50" s="1085"/>
      <c r="P50" s="1085"/>
      <c r="Q50" s="1085"/>
      <c r="R50" s="1085"/>
      <c r="S50" s="1085"/>
      <c r="T50" s="1085"/>
      <c r="U50" s="1085"/>
      <c r="V50" s="1085"/>
      <c r="W50" s="1085"/>
      <c r="X50" s="658"/>
      <c r="Y50" s="1084" t="s">
        <v>174</v>
      </c>
      <c r="Z50" s="89"/>
      <c r="AA50" s="1085"/>
      <c r="AB50" s="1085"/>
      <c r="AC50" s="1085"/>
      <c r="AD50" s="1085"/>
      <c r="AE50" s="1085"/>
      <c r="AF50" s="1085"/>
      <c r="AG50" s="1085"/>
      <c r="AH50" s="1085"/>
      <c r="AI50" s="1085"/>
      <c r="AJ50" s="658"/>
      <c r="AK50" s="1084" t="s">
        <v>174</v>
      </c>
      <c r="AL50" s="89"/>
      <c r="AM50" s="1085"/>
      <c r="AN50" s="1085"/>
      <c r="AO50" s="1085"/>
      <c r="AP50" s="1085"/>
      <c r="AQ50" s="1085"/>
      <c r="AR50" s="1085"/>
      <c r="AS50" s="1085"/>
      <c r="AT50" s="1085"/>
      <c r="AU50" s="1085"/>
      <c r="AV50" s="658"/>
      <c r="AW50" s="1084" t="s">
        <v>174</v>
      </c>
      <c r="AX50" s="89"/>
      <c r="AY50" s="1085"/>
      <c r="AZ50" s="1085"/>
      <c r="BA50" s="1085"/>
      <c r="BB50" s="1085"/>
      <c r="BC50" s="1085"/>
      <c r="BD50" s="1085"/>
      <c r="BE50" s="1085"/>
      <c r="BF50" s="1085"/>
      <c r="BG50" s="1085"/>
      <c r="BH50" s="216"/>
    </row>
    <row r="51" spans="1:60" s="2" customFormat="1">
      <c r="A51" s="1042"/>
      <c r="B51" s="1110" t="s">
        <v>147</v>
      </c>
      <c r="C51" s="1106" t="s">
        <v>96</v>
      </c>
      <c r="D51" s="640"/>
      <c r="E51" s="942" t="s">
        <v>148</v>
      </c>
      <c r="F51" s="942"/>
      <c r="G51" s="942"/>
      <c r="H51" s="942"/>
      <c r="I51" s="129"/>
      <c r="J51" s="943"/>
      <c r="K51" s="126"/>
      <c r="L51" s="126"/>
      <c r="M51" s="944"/>
      <c r="N51" s="153"/>
      <c r="O51" s="258" t="str">
        <f>O$17</f>
        <v/>
      </c>
      <c r="P51" s="258" t="str">
        <f t="shared" ref="P51:W51" si="46">P$17</f>
        <v/>
      </c>
      <c r="Q51" s="258" t="str">
        <f t="shared" si="46"/>
        <v/>
      </c>
      <c r="R51" s="258" t="str">
        <f t="shared" si="46"/>
        <v/>
      </c>
      <c r="S51" s="258" t="str">
        <f t="shared" si="46"/>
        <v/>
      </c>
      <c r="T51" s="258" t="str">
        <f t="shared" si="46"/>
        <v/>
      </c>
      <c r="U51" s="258" t="str">
        <f t="shared" si="46"/>
        <v/>
      </c>
      <c r="V51" s="258" t="str">
        <f t="shared" si="46"/>
        <v/>
      </c>
      <c r="W51" s="258" t="str">
        <f t="shared" si="46"/>
        <v/>
      </c>
      <c r="X51" s="1126"/>
      <c r="Y51" s="944"/>
      <c r="Z51" s="1120"/>
      <c r="AA51" s="258" t="str">
        <f>AA$17</f>
        <v/>
      </c>
      <c r="AB51" s="258" t="str">
        <f t="shared" ref="AB51:AI51" si="47">AB$17</f>
        <v/>
      </c>
      <c r="AC51" s="258" t="str">
        <f t="shared" si="47"/>
        <v/>
      </c>
      <c r="AD51" s="258" t="str">
        <f t="shared" si="47"/>
        <v/>
      </c>
      <c r="AE51" s="258" t="str">
        <f t="shared" si="47"/>
        <v/>
      </c>
      <c r="AF51" s="258" t="str">
        <f t="shared" si="47"/>
        <v/>
      </c>
      <c r="AG51" s="258" t="str">
        <f t="shared" si="47"/>
        <v/>
      </c>
      <c r="AH51" s="258" t="str">
        <f t="shared" si="47"/>
        <v/>
      </c>
      <c r="AI51" s="258" t="str">
        <f t="shared" si="47"/>
        <v/>
      </c>
      <c r="AJ51" s="1126"/>
      <c r="AK51" s="944"/>
      <c r="AL51" s="1120"/>
      <c r="AM51" s="258" t="str">
        <f>AM$17</f>
        <v/>
      </c>
      <c r="AN51" s="258" t="str">
        <f t="shared" ref="AN51:AU51" si="48">AN$17</f>
        <v/>
      </c>
      <c r="AO51" s="258" t="str">
        <f t="shared" si="48"/>
        <v/>
      </c>
      <c r="AP51" s="258" t="str">
        <f t="shared" si="48"/>
        <v/>
      </c>
      <c r="AQ51" s="258" t="str">
        <f t="shared" si="48"/>
        <v/>
      </c>
      <c r="AR51" s="258" t="str">
        <f t="shared" si="48"/>
        <v/>
      </c>
      <c r="AS51" s="258" t="str">
        <f t="shared" si="48"/>
        <v/>
      </c>
      <c r="AT51" s="258" t="str">
        <f t="shared" si="48"/>
        <v/>
      </c>
      <c r="AU51" s="258" t="str">
        <f t="shared" si="48"/>
        <v/>
      </c>
      <c r="AV51" s="1126"/>
      <c r="AW51" s="944"/>
      <c r="AX51" s="1120"/>
      <c r="AY51" s="258" t="str">
        <f>AY$17</f>
        <v/>
      </c>
      <c r="AZ51" s="258" t="str">
        <f t="shared" ref="AZ51:BG51" si="49">AZ$17</f>
        <v/>
      </c>
      <c r="BA51" s="258" t="str">
        <f t="shared" si="49"/>
        <v/>
      </c>
      <c r="BB51" s="258" t="str">
        <f t="shared" si="49"/>
        <v/>
      </c>
      <c r="BC51" s="258" t="str">
        <f t="shared" si="49"/>
        <v/>
      </c>
      <c r="BD51" s="258" t="str">
        <f t="shared" si="49"/>
        <v/>
      </c>
      <c r="BE51" s="258" t="str">
        <f t="shared" si="49"/>
        <v/>
      </c>
      <c r="BF51" s="258" t="str">
        <f t="shared" si="49"/>
        <v/>
      </c>
      <c r="BG51" s="258" t="str">
        <f t="shared" si="49"/>
        <v/>
      </c>
      <c r="BH51" s="174"/>
    </row>
    <row r="52" spans="1:60" s="2" customFormat="1">
      <c r="A52" s="1044"/>
      <c r="B52" s="1110" t="s">
        <v>132</v>
      </c>
      <c r="C52" s="1106" t="s">
        <v>118</v>
      </c>
      <c r="D52" s="639"/>
      <c r="E52" s="180" t="s">
        <v>149</v>
      </c>
      <c r="F52" s="180"/>
      <c r="G52" s="180"/>
      <c r="H52" s="181" t="s">
        <v>65</v>
      </c>
      <c r="I52" s="104"/>
      <c r="J52" s="1222" t="str">
        <f>IF(COUNTIF(N52:X52,"nee")&gt;0,"nee: locatie 1",
IF(COUNTIF(Z52:AJ52,"nee")&gt;0,"nee: locatie 2",
IF(COUNTIF(AL52:AV52,"nee")&gt;0,"nee: locatie 3",
IF(COUNTIF(AX52:BH52,"nee")&gt;0,"nee: locatie 4",
"ja"))))</f>
        <v>ja</v>
      </c>
      <c r="K52" s="1054"/>
      <c r="L52" s="1054"/>
      <c r="M52" s="1222" t="str">
        <f>IF(COUNTIF(N52:X52,"nee")&gt;0,"nee","ja")</f>
        <v>ja</v>
      </c>
      <c r="N52" s="1127"/>
      <c r="O52" s="665" t="str">
        <f t="shared" ref="O52:W52" si="50">IF(OR(O$17="",O$22=0),"",IF(OR(O$38="",O$40="",AND(O$40&lt;&gt;ventilatie_A,O$41=""),AND(O49=""),O$44="",AND(O$19&lt;&gt;woning,O$19&lt;&gt;woongebouw,O$45=""),AND(O$19&lt;&gt;woning,O$19&lt;&gt;woongebouw,O$46=""),AND(OR(O$19=woning,O$19=woongebouw),O$47=""),O$48=""),"nee","ja"))</f>
        <v/>
      </c>
      <c r="P52" s="665" t="str">
        <f t="shared" si="50"/>
        <v/>
      </c>
      <c r="Q52" s="665" t="str">
        <f t="shared" si="50"/>
        <v/>
      </c>
      <c r="R52" s="665" t="str">
        <f t="shared" si="50"/>
        <v/>
      </c>
      <c r="S52" s="665" t="str">
        <f t="shared" si="50"/>
        <v/>
      </c>
      <c r="T52" s="665" t="str">
        <f t="shared" si="50"/>
        <v/>
      </c>
      <c r="U52" s="665" t="str">
        <f t="shared" si="50"/>
        <v/>
      </c>
      <c r="V52" s="665" t="str">
        <f t="shared" si="50"/>
        <v/>
      </c>
      <c r="W52" s="665" t="str">
        <f t="shared" si="50"/>
        <v/>
      </c>
      <c r="X52" s="666"/>
      <c r="Y52" s="1222" t="str">
        <f>IF(COUNTIF(Z52:AJ52,"nee")&gt;0,"nee","ja")</f>
        <v>ja</v>
      </c>
      <c r="Z52" s="1120"/>
      <c r="AA52" s="665" t="str">
        <f t="shared" ref="AA52:AI52" si="51">IF(OR(AA$17="",AA$22=0),"",IF(OR(AA$38="",AA$40="",AND(AA$40&lt;&gt;ventilatie_A,AA$41=""),AND(AA$49=""),AA$44="",AND(AA$19&lt;&gt;woning,AA$19&lt;&gt;woongebouw,AA$45=""),AND(AA$19&lt;&gt;woning,AA$19&lt;&gt;woongebouw,AA$46=""),AND(OR(AA$19=woning,AA$19=woongebouw),AA$47=""),AA$48=""),"nee","ja"))</f>
        <v/>
      </c>
      <c r="AB52" s="665" t="str">
        <f t="shared" si="51"/>
        <v/>
      </c>
      <c r="AC52" s="665" t="str">
        <f t="shared" si="51"/>
        <v/>
      </c>
      <c r="AD52" s="665" t="str">
        <f t="shared" si="51"/>
        <v/>
      </c>
      <c r="AE52" s="665" t="str">
        <f t="shared" si="51"/>
        <v/>
      </c>
      <c r="AF52" s="665" t="str">
        <f t="shared" si="51"/>
        <v/>
      </c>
      <c r="AG52" s="665" t="str">
        <f t="shared" si="51"/>
        <v/>
      </c>
      <c r="AH52" s="665" t="str">
        <f t="shared" si="51"/>
        <v/>
      </c>
      <c r="AI52" s="665" t="str">
        <f t="shared" si="51"/>
        <v/>
      </c>
      <c r="AJ52" s="666"/>
      <c r="AK52" s="1222" t="str">
        <f>IF(COUNTIF(AL52:AV52,"nee")&gt;0,"nee","ja")</f>
        <v>ja</v>
      </c>
      <c r="AL52" s="667"/>
      <c r="AM52" s="665" t="str">
        <f t="shared" ref="AM52:AU52" si="52">IF(OR(AM$17="",AM$22=0),"",IF(OR(AM$38="",AM$40="",AND(AM$40&lt;&gt;ventilatie_A,AM$41=""),AND(AM$49=""),AM$44="",AND(AM$19&lt;&gt;woning,AM$19&lt;&gt;woongebouw,AM$45=""),AND(AM$19&lt;&gt;woning,AM$19&lt;&gt;woongebouw,AM$46=""),AND(OR(AM$19=woning,AM$19=woongebouw),AM$47=""),AM$48=""),"nee","ja"))</f>
        <v/>
      </c>
      <c r="AN52" s="665" t="str">
        <f t="shared" si="52"/>
        <v/>
      </c>
      <c r="AO52" s="665" t="str">
        <f t="shared" si="52"/>
        <v/>
      </c>
      <c r="AP52" s="665" t="str">
        <f t="shared" si="52"/>
        <v/>
      </c>
      <c r="AQ52" s="665" t="str">
        <f t="shared" si="52"/>
        <v/>
      </c>
      <c r="AR52" s="665" t="str">
        <f t="shared" si="52"/>
        <v/>
      </c>
      <c r="AS52" s="665" t="str">
        <f t="shared" si="52"/>
        <v/>
      </c>
      <c r="AT52" s="665" t="str">
        <f t="shared" si="52"/>
        <v/>
      </c>
      <c r="AU52" s="665" t="str">
        <f t="shared" si="52"/>
        <v/>
      </c>
      <c r="AV52" s="666"/>
      <c r="AW52" s="1222" t="str">
        <f>IF(COUNTIF(AX52:BH52,"nee")&gt;0,"nee","ja")</f>
        <v>ja</v>
      </c>
      <c r="AX52" s="667"/>
      <c r="AY52" s="665" t="str">
        <f t="shared" ref="AY52:BG52" si="53">IF(OR(AY$17="",AY$22=0),"",IF(OR(AY$38="",AY$40="",AND(AY$40&lt;&gt;ventilatie_A,AY$41=""),AND(AY$49=""),AY$44="",AND(AY$19&lt;&gt;woning,AY$19&lt;&gt;woongebouw,AY$45=""),AND(AY$19&lt;&gt;woning,AY$19&lt;&gt;woongebouw,AY$46=""),AND(OR(AY$19=woning,AY$19=woongebouw),AY$47=""),AY$48=""),"nee","ja"))</f>
        <v/>
      </c>
      <c r="AZ52" s="665" t="str">
        <f t="shared" si="53"/>
        <v/>
      </c>
      <c r="BA52" s="665" t="str">
        <f t="shared" si="53"/>
        <v/>
      </c>
      <c r="BB52" s="665" t="str">
        <f t="shared" si="53"/>
        <v/>
      </c>
      <c r="BC52" s="665" t="str">
        <f t="shared" si="53"/>
        <v/>
      </c>
      <c r="BD52" s="665" t="str">
        <f t="shared" si="53"/>
        <v/>
      </c>
      <c r="BE52" s="665" t="str">
        <f t="shared" si="53"/>
        <v/>
      </c>
      <c r="BF52" s="665" t="str">
        <f t="shared" si="53"/>
        <v/>
      </c>
      <c r="BG52" s="665" t="str">
        <f t="shared" si="53"/>
        <v/>
      </c>
      <c r="BH52" s="216"/>
    </row>
    <row r="53" spans="1:60" s="2" customFormat="1">
      <c r="A53" s="1042"/>
      <c r="B53" s="1110" t="s">
        <v>147</v>
      </c>
      <c r="C53" s="1106" t="s">
        <v>96</v>
      </c>
      <c r="D53" s="640"/>
      <c r="E53" s="942" t="s">
        <v>150</v>
      </c>
      <c r="F53" s="942"/>
      <c r="G53" s="942"/>
      <c r="H53" s="942"/>
      <c r="I53" s="129"/>
      <c r="J53" s="943"/>
      <c r="K53" s="126"/>
      <c r="L53" s="126"/>
      <c r="M53" s="944"/>
      <c r="N53" s="153"/>
      <c r="O53" s="258" t="str">
        <f>O$17</f>
        <v/>
      </c>
      <c r="P53" s="258" t="str">
        <f t="shared" ref="P53:W53" si="54">P$17</f>
        <v/>
      </c>
      <c r="Q53" s="258" t="str">
        <f t="shared" si="54"/>
        <v/>
      </c>
      <c r="R53" s="258" t="str">
        <f t="shared" si="54"/>
        <v/>
      </c>
      <c r="S53" s="258" t="str">
        <f t="shared" si="54"/>
        <v/>
      </c>
      <c r="T53" s="258" t="str">
        <f t="shared" si="54"/>
        <v/>
      </c>
      <c r="U53" s="258" t="str">
        <f t="shared" si="54"/>
        <v/>
      </c>
      <c r="V53" s="258" t="str">
        <f t="shared" si="54"/>
        <v/>
      </c>
      <c r="W53" s="258" t="str">
        <f t="shared" si="54"/>
        <v/>
      </c>
      <c r="X53" s="153"/>
      <c r="Y53" s="944"/>
      <c r="Z53" s="1120"/>
      <c r="AA53" s="258" t="str">
        <f>AA$17</f>
        <v/>
      </c>
      <c r="AB53" s="258" t="str">
        <f t="shared" ref="AB53:AI53" si="55">AB$17</f>
        <v/>
      </c>
      <c r="AC53" s="258" t="str">
        <f t="shared" si="55"/>
        <v/>
      </c>
      <c r="AD53" s="258" t="str">
        <f t="shared" si="55"/>
        <v/>
      </c>
      <c r="AE53" s="258" t="str">
        <f t="shared" si="55"/>
        <v/>
      </c>
      <c r="AF53" s="258" t="str">
        <f t="shared" si="55"/>
        <v/>
      </c>
      <c r="AG53" s="258" t="str">
        <f t="shared" si="55"/>
        <v/>
      </c>
      <c r="AH53" s="258" t="str">
        <f t="shared" si="55"/>
        <v/>
      </c>
      <c r="AI53" s="258" t="str">
        <f t="shared" si="55"/>
        <v/>
      </c>
      <c r="AJ53" s="1126"/>
      <c r="AK53" s="944"/>
      <c r="AL53" s="1120"/>
      <c r="AM53" s="258" t="str">
        <f>AM$17</f>
        <v/>
      </c>
      <c r="AN53" s="258" t="str">
        <f t="shared" ref="AN53:AU53" si="56">AN$17</f>
        <v/>
      </c>
      <c r="AO53" s="258" t="str">
        <f t="shared" si="56"/>
        <v/>
      </c>
      <c r="AP53" s="258" t="str">
        <f t="shared" si="56"/>
        <v/>
      </c>
      <c r="AQ53" s="258" t="str">
        <f t="shared" si="56"/>
        <v/>
      </c>
      <c r="AR53" s="258" t="str">
        <f t="shared" si="56"/>
        <v/>
      </c>
      <c r="AS53" s="258" t="str">
        <f t="shared" si="56"/>
        <v/>
      </c>
      <c r="AT53" s="258" t="str">
        <f t="shared" si="56"/>
        <v/>
      </c>
      <c r="AU53" s="258" t="str">
        <f t="shared" si="56"/>
        <v/>
      </c>
      <c r="AV53" s="1126"/>
      <c r="AW53" s="944"/>
      <c r="AX53" s="1120"/>
      <c r="AY53" s="258" t="str">
        <f>AY$17</f>
        <v/>
      </c>
      <c r="AZ53" s="258" t="str">
        <f t="shared" ref="AZ53:BG53" si="57">AZ$17</f>
        <v/>
      </c>
      <c r="BA53" s="258" t="str">
        <f t="shared" si="57"/>
        <v/>
      </c>
      <c r="BB53" s="258" t="str">
        <f t="shared" si="57"/>
        <v/>
      </c>
      <c r="BC53" s="258" t="str">
        <f t="shared" si="57"/>
        <v/>
      </c>
      <c r="BD53" s="258" t="str">
        <f t="shared" si="57"/>
        <v/>
      </c>
      <c r="BE53" s="258" t="str">
        <f t="shared" si="57"/>
        <v/>
      </c>
      <c r="BF53" s="258" t="str">
        <f t="shared" si="57"/>
        <v/>
      </c>
      <c r="BG53" s="258" t="str">
        <f t="shared" si="57"/>
        <v/>
      </c>
      <c r="BH53" s="174"/>
    </row>
    <row r="54" spans="1:60" s="2" customFormat="1">
      <c r="A54" s="1044"/>
      <c r="B54" s="1110" t="s">
        <v>132</v>
      </c>
      <c r="C54" s="1106" t="s">
        <v>118</v>
      </c>
      <c r="D54" s="639"/>
      <c r="E54" s="180" t="s">
        <v>151</v>
      </c>
      <c r="F54" s="180"/>
      <c r="G54" s="180"/>
      <c r="H54" s="181" t="s">
        <v>152</v>
      </c>
      <c r="I54" s="104"/>
      <c r="J54" s="554"/>
      <c r="K54" s="1055"/>
      <c r="L54" s="1055"/>
      <c r="M54" s="554"/>
      <c r="N54" s="89"/>
      <c r="O54" s="872" t="str">
        <f ca="1">IF(OR(O$17="",O$38=""),"",
SUMPRODUCT(
OFFSET(bibliotheek!$H$26,0,MATCH(O$17,woningen_gebouwen_namen,0)-1,ROWS(bibliotheek!$I$26:$I$31),1),
OFFSET(bibliotheek!$H$47,0,MATCH(O$38,isolatiepakketten_gebouwschil_namen,0)-1,ROWS(bibliotheek!$I$26:$I$31),1)) /
HLOOKUP(O$17,woningen_gebouwen_gegevens,ROWS(bibliotheek!$E$20:$E$32),FALSE))</f>
        <v/>
      </c>
      <c r="P54" s="872" t="str">
        <f ca="1">IF(OR(P$17="",P$38=""),"",
SUMPRODUCT(
OFFSET(bibliotheek!$H$26,0,MATCH(P$17,woningen_gebouwen_namen,0)-1,ROWS(bibliotheek!$I$26:$I$31),1),
OFFSET(bibliotheek!$H$47,0,MATCH(P$38,isolatiepakketten_gebouwschil_namen,0)-1,ROWS(bibliotheek!$I$26:$I$31),1)) /
HLOOKUP(P$17,woningen_gebouwen_gegevens,ROWS(bibliotheek!$E$20:$E$32),FALSE))</f>
        <v/>
      </c>
      <c r="Q54" s="872" t="str">
        <f ca="1">IF(OR(Q$17="",Q$38=""),"",
SUMPRODUCT(
OFFSET(bibliotheek!$H$26,0,MATCH(Q$17,woningen_gebouwen_namen,0)-1,ROWS(bibliotheek!$I$26:$I$31),1),
OFFSET(bibliotheek!$H$47,0,MATCH(Q$38,isolatiepakketten_gebouwschil_namen,0)-1,ROWS(bibliotheek!$I$26:$I$31),1)) /
HLOOKUP(Q$17,woningen_gebouwen_gegevens,ROWS(bibliotheek!$E$20:$E$32),FALSE))</f>
        <v/>
      </c>
      <c r="R54" s="872" t="str">
        <f ca="1">IF(OR(R$17="",R$38=""),"",
SUMPRODUCT(
OFFSET(bibliotheek!$H$26,0,MATCH(R$17,woningen_gebouwen_namen,0)-1,ROWS(bibliotheek!$I$26:$I$31),1),
OFFSET(bibliotheek!$H$47,0,MATCH(R$38,isolatiepakketten_gebouwschil_namen,0)-1,ROWS(bibliotheek!$I$26:$I$31),1)) /
HLOOKUP(R$17,woningen_gebouwen_gegevens,ROWS(bibliotheek!$E$20:$E$32),FALSE))</f>
        <v/>
      </c>
      <c r="S54" s="872" t="str">
        <f ca="1">IF(OR(S$17="",S$38=""),"",
SUMPRODUCT(
OFFSET(bibliotheek!$H$26,0,MATCH(S$17,woningen_gebouwen_namen,0)-1,ROWS(bibliotheek!$I$26:$I$31),1),
OFFSET(bibliotheek!$H$47,0,MATCH(S$38,isolatiepakketten_gebouwschil_namen,0)-1,ROWS(bibliotheek!$I$26:$I$31),1)) /
HLOOKUP(S$17,woningen_gebouwen_gegevens,ROWS(bibliotheek!$E$20:$E$32),FALSE))</f>
        <v/>
      </c>
      <c r="T54" s="872" t="str">
        <f ca="1">IF(OR(T$17="",T$38=""),"",
SUMPRODUCT(
OFFSET(bibliotheek!$H$26,0,MATCH(T$17,woningen_gebouwen_namen,0)-1,ROWS(bibliotheek!$I$26:$I$31),1),
OFFSET(bibliotheek!$H$47,0,MATCH(T$38,isolatiepakketten_gebouwschil_namen,0)-1,ROWS(bibliotheek!$I$26:$I$31),1)) /
HLOOKUP(T$17,woningen_gebouwen_gegevens,ROWS(bibliotheek!$E$20:$E$32),FALSE))</f>
        <v/>
      </c>
      <c r="U54" s="872" t="str">
        <f ca="1">IF(OR(U$17="",U$38=""),"",
SUMPRODUCT(
OFFSET(bibliotheek!$H$26,0,MATCH(U$17,woningen_gebouwen_namen,0)-1,ROWS(bibliotheek!$I$26:$I$31),1),
OFFSET(bibliotheek!$H$47,0,MATCH(U$38,isolatiepakketten_gebouwschil_namen,0)-1,ROWS(bibliotheek!$I$26:$I$31),1)) /
HLOOKUP(U$17,woningen_gebouwen_gegevens,ROWS(bibliotheek!$E$20:$E$32),FALSE))</f>
        <v/>
      </c>
      <c r="V54" s="872" t="str">
        <f ca="1">IF(OR(V$17="",V$38=""),"",
SUMPRODUCT(
OFFSET(bibliotheek!$H$26,0,MATCH(V$17,woningen_gebouwen_namen,0)-1,ROWS(bibliotheek!$I$26:$I$31),1),
OFFSET(bibliotheek!$H$47,0,MATCH(V$38,isolatiepakketten_gebouwschil_namen,0)-1,ROWS(bibliotheek!$I$26:$I$31),1)) /
HLOOKUP(V$17,woningen_gebouwen_gegevens,ROWS(bibliotheek!$E$20:$E$32),FALSE))</f>
        <v/>
      </c>
      <c r="W54" s="872" t="str">
        <f ca="1">IF(OR(W$17="",W$38=""),"",
SUMPRODUCT(
OFFSET(bibliotheek!$H$26,0,MATCH(W$17,woningen_gebouwen_namen,0)-1,ROWS(bibliotheek!$I$26:$I$31),1),
OFFSET(bibliotheek!$H$47,0,MATCH(W$38,isolatiepakketten_gebouwschil_namen,0)-1,ROWS(bibliotheek!$I$26:$I$31),1)) /
HLOOKUP(W$17,woningen_gebouwen_gegevens,ROWS(bibliotheek!$E$20:$E$32),FALSE))</f>
        <v/>
      </c>
      <c r="X54" s="172"/>
      <c r="Y54" s="554"/>
      <c r="Z54" s="1120"/>
      <c r="AA54" s="196" t="str">
        <f ca="1">IF(OR(AA$17="",AA$38=""),"",
SUMPRODUCT(
OFFSET(bibliotheek!$H$26,0,MATCH(AA$17,woningen_gebouwen_namen,0)-1,ROWS(bibliotheek!$I$26:$I$31),1),
OFFSET(bibliotheek!$H$47,0,MATCH(AA$38,isolatiepakketten_gebouwschil_namen,0)-1,ROWS(bibliotheek!$I$26:$I$31),1)) /
HLOOKUP(AA$17,woningen_gebouwen_gegevens,ROWS(bibliotheek!$E$20:$E$32),FALSE))</f>
        <v/>
      </c>
      <c r="AB54" s="196" t="str">
        <f ca="1">IF(OR(AB$17="",AB$38=""),"",
SUMPRODUCT(
OFFSET(bibliotheek!$H$26,0,MATCH(AB$17,woningen_gebouwen_namen,0)-1,ROWS(bibliotheek!$I$26:$I$31),1),
OFFSET(bibliotheek!$H$47,0,MATCH(AB$38,isolatiepakketten_gebouwschil_namen,0)-1,ROWS(bibliotheek!$I$26:$I$31),1)) /
HLOOKUP(AB$17,woningen_gebouwen_gegevens,ROWS(bibliotheek!$E$20:$E$32),FALSE))</f>
        <v/>
      </c>
      <c r="AC54" s="196" t="str">
        <f ca="1">IF(OR(AC$17="",AC$38=""),"",
SUMPRODUCT(
OFFSET(bibliotheek!$H$26,0,MATCH(AC$17,woningen_gebouwen_namen,0)-1,ROWS(bibliotheek!$I$26:$I$31),1),
OFFSET(bibliotheek!$H$47,0,MATCH(AC$38,isolatiepakketten_gebouwschil_namen,0)-1,ROWS(bibliotheek!$I$26:$I$31),1)) /
HLOOKUP(AC$17,woningen_gebouwen_gegevens,ROWS(bibliotheek!$E$20:$E$32),FALSE))</f>
        <v/>
      </c>
      <c r="AD54" s="196" t="str">
        <f ca="1">IF(OR(AD$17="",AD$38=""),"",
SUMPRODUCT(
OFFSET(bibliotheek!$H$26,0,MATCH(AD$17,woningen_gebouwen_namen,0)-1,ROWS(bibliotheek!$I$26:$I$31),1),
OFFSET(bibliotheek!$H$47,0,MATCH(AD$38,isolatiepakketten_gebouwschil_namen,0)-1,ROWS(bibliotheek!$I$26:$I$31),1)) /
HLOOKUP(AD$17,woningen_gebouwen_gegevens,ROWS(bibliotheek!$E$20:$E$32),FALSE))</f>
        <v/>
      </c>
      <c r="AE54" s="196" t="str">
        <f ca="1">IF(OR(AE$17="",AE$38=""),"",
SUMPRODUCT(
OFFSET(bibliotheek!$H$26,0,MATCH(AE$17,woningen_gebouwen_namen,0)-1,ROWS(bibliotheek!$I$26:$I$31),1),
OFFSET(bibliotheek!$H$47,0,MATCH(AE$38,isolatiepakketten_gebouwschil_namen,0)-1,ROWS(bibliotheek!$I$26:$I$31),1)) /
HLOOKUP(AE$17,woningen_gebouwen_gegevens,ROWS(bibliotheek!$E$20:$E$32),FALSE))</f>
        <v/>
      </c>
      <c r="AF54" s="196" t="str">
        <f ca="1">IF(OR(AF$17="",AF$38=""),"",
SUMPRODUCT(
OFFSET(bibliotheek!$H$26,0,MATCH(AF$17,woningen_gebouwen_namen,0)-1,ROWS(bibliotheek!$I$26:$I$31),1),
OFFSET(bibliotheek!$H$47,0,MATCH(AF$38,isolatiepakketten_gebouwschil_namen,0)-1,ROWS(bibliotheek!$I$26:$I$31),1)) /
HLOOKUP(AF$17,woningen_gebouwen_gegevens,ROWS(bibliotheek!$E$20:$E$32),FALSE))</f>
        <v/>
      </c>
      <c r="AG54" s="196" t="str">
        <f ca="1">IF(OR(AG$17="",AG$38=""),"",
SUMPRODUCT(
OFFSET(bibliotheek!$H$26,0,MATCH(AG$17,woningen_gebouwen_namen,0)-1,ROWS(bibliotheek!$I$26:$I$31),1),
OFFSET(bibliotheek!$H$47,0,MATCH(AG$38,isolatiepakketten_gebouwschil_namen,0)-1,ROWS(bibliotheek!$I$26:$I$31),1)) /
HLOOKUP(AG$17,woningen_gebouwen_gegevens,ROWS(bibliotheek!$E$20:$E$32),FALSE))</f>
        <v/>
      </c>
      <c r="AH54" s="196" t="str">
        <f ca="1">IF(OR(AH$17="",AH$38=""),"",
SUMPRODUCT(
OFFSET(bibliotheek!$H$26,0,MATCH(AH$17,woningen_gebouwen_namen,0)-1,ROWS(bibliotheek!$I$26:$I$31),1),
OFFSET(bibliotheek!$H$47,0,MATCH(AH$38,isolatiepakketten_gebouwschil_namen,0)-1,ROWS(bibliotheek!$I$26:$I$31),1)) /
HLOOKUP(AH$17,woningen_gebouwen_gegevens,ROWS(bibliotheek!$E$20:$E$32),FALSE))</f>
        <v/>
      </c>
      <c r="AI54" s="196" t="str">
        <f ca="1">IF(OR(AI$17="",AI$38=""),"",
SUMPRODUCT(
OFFSET(bibliotheek!$H$26,0,MATCH(AI$17,woningen_gebouwen_namen,0)-1,ROWS(bibliotheek!$I$26:$I$31),1),
OFFSET(bibliotheek!$H$47,0,MATCH(AI$38,isolatiepakketten_gebouwschil_namen,0)-1,ROWS(bibliotheek!$I$26:$I$31),1)) /
HLOOKUP(AI$17,woningen_gebouwen_gegevens,ROWS(bibliotheek!$E$20:$E$32),FALSE))</f>
        <v/>
      </c>
      <c r="AJ54" s="172"/>
      <c r="AK54" s="554"/>
      <c r="AL54" s="173"/>
      <c r="AM54" s="196" t="str">
        <f ca="1">IF(OR(AM$17="",AM$38=""),"",
SUMPRODUCT(
OFFSET(bibliotheek!$H$26,0,MATCH(AM$17,woningen_gebouwen_namen,0)-1,ROWS(bibliotheek!$I$26:$I$31),1),
OFFSET(bibliotheek!$H$47,0,MATCH(AM$38,isolatiepakketten_gebouwschil_namen,0)-1,ROWS(bibliotheek!$I$26:$I$31),1)) /
HLOOKUP(AM$17,woningen_gebouwen_gegevens,ROWS(bibliotheek!$E$20:$E$32),FALSE))</f>
        <v/>
      </c>
      <c r="AN54" s="196" t="str">
        <f ca="1">IF(OR(AN$17="",AN$38=""),"",
SUMPRODUCT(
OFFSET(bibliotheek!$H$26,0,MATCH(AN$17,woningen_gebouwen_namen,0)-1,ROWS(bibliotheek!$I$26:$I$31),1),
OFFSET(bibliotheek!$H$47,0,MATCH(AN$38,isolatiepakketten_gebouwschil_namen,0)-1,ROWS(bibliotheek!$I$26:$I$31),1)) /
HLOOKUP(AN$17,woningen_gebouwen_gegevens,ROWS(bibliotheek!$E$20:$E$32),FALSE))</f>
        <v/>
      </c>
      <c r="AO54" s="196" t="str">
        <f ca="1">IF(OR(AO$17="",AO$38=""),"",
SUMPRODUCT(
OFFSET(bibliotheek!$H$26,0,MATCH(AO$17,woningen_gebouwen_namen,0)-1,ROWS(bibliotheek!$I$26:$I$31),1),
OFFSET(bibliotheek!$H$47,0,MATCH(AO$38,isolatiepakketten_gebouwschil_namen,0)-1,ROWS(bibliotheek!$I$26:$I$31),1)) /
HLOOKUP(AO$17,woningen_gebouwen_gegevens,ROWS(bibliotheek!$E$20:$E$32),FALSE))</f>
        <v/>
      </c>
      <c r="AP54" s="196" t="str">
        <f ca="1">IF(OR(AP$17="",AP$38=""),"",
SUMPRODUCT(
OFFSET(bibliotheek!$H$26,0,MATCH(AP$17,woningen_gebouwen_namen,0)-1,ROWS(bibliotheek!$I$26:$I$31),1),
OFFSET(bibliotheek!$H$47,0,MATCH(AP$38,isolatiepakketten_gebouwschil_namen,0)-1,ROWS(bibliotheek!$I$26:$I$31),1)) /
HLOOKUP(AP$17,woningen_gebouwen_gegevens,ROWS(bibliotheek!$E$20:$E$32),FALSE))</f>
        <v/>
      </c>
      <c r="AQ54" s="196" t="str">
        <f ca="1">IF(OR(AQ$17="",AQ$38=""),"",
SUMPRODUCT(
OFFSET(bibliotheek!$H$26,0,MATCH(AQ$17,woningen_gebouwen_namen,0)-1,ROWS(bibliotheek!$I$26:$I$31),1),
OFFSET(bibliotheek!$H$47,0,MATCH(AQ$38,isolatiepakketten_gebouwschil_namen,0)-1,ROWS(bibliotheek!$I$26:$I$31),1)) /
HLOOKUP(AQ$17,woningen_gebouwen_gegevens,ROWS(bibliotheek!$E$20:$E$32),FALSE))</f>
        <v/>
      </c>
      <c r="AR54" s="196" t="str">
        <f ca="1">IF(OR(AR$17="",AR$38=""),"",
SUMPRODUCT(
OFFSET(bibliotheek!$H$26,0,MATCH(AR$17,woningen_gebouwen_namen,0)-1,ROWS(bibliotheek!$I$26:$I$31),1),
OFFSET(bibliotheek!$H$47,0,MATCH(AR$38,isolatiepakketten_gebouwschil_namen,0)-1,ROWS(bibliotheek!$I$26:$I$31),1)) /
HLOOKUP(AR$17,woningen_gebouwen_gegevens,ROWS(bibliotheek!$E$20:$E$32),FALSE))</f>
        <v/>
      </c>
      <c r="AS54" s="196" t="str">
        <f ca="1">IF(OR(AS$17="",AS$38=""),"",
SUMPRODUCT(
OFFSET(bibliotheek!$H$26,0,MATCH(AS$17,woningen_gebouwen_namen,0)-1,ROWS(bibliotheek!$I$26:$I$31),1),
OFFSET(bibliotheek!$H$47,0,MATCH(AS$38,isolatiepakketten_gebouwschil_namen,0)-1,ROWS(bibliotheek!$I$26:$I$31),1)) /
HLOOKUP(AS$17,woningen_gebouwen_gegevens,ROWS(bibliotheek!$E$20:$E$32),FALSE))</f>
        <v/>
      </c>
      <c r="AT54" s="196" t="str">
        <f ca="1">IF(OR(AT$17="",AT$38=""),"",
SUMPRODUCT(
OFFSET(bibliotheek!$H$26,0,MATCH(AT$17,woningen_gebouwen_namen,0)-1,ROWS(bibliotheek!$I$26:$I$31),1),
OFFSET(bibliotheek!$H$47,0,MATCH(AT$38,isolatiepakketten_gebouwschil_namen,0)-1,ROWS(bibliotheek!$I$26:$I$31),1)) /
HLOOKUP(AT$17,woningen_gebouwen_gegevens,ROWS(bibliotheek!$E$20:$E$32),FALSE))</f>
        <v/>
      </c>
      <c r="AU54" s="196" t="str">
        <f ca="1">IF(OR(AU$17="",AU$38=""),"",
SUMPRODUCT(
OFFSET(bibliotheek!$H$26,0,MATCH(AU$17,woningen_gebouwen_namen,0)-1,ROWS(bibliotheek!$I$26:$I$31),1),
OFFSET(bibliotheek!$H$47,0,MATCH(AU$38,isolatiepakketten_gebouwschil_namen,0)-1,ROWS(bibliotheek!$I$26:$I$31),1)) /
HLOOKUP(AU$17,woningen_gebouwen_gegevens,ROWS(bibliotheek!$E$20:$E$32),FALSE))</f>
        <v/>
      </c>
      <c r="AV54" s="172"/>
      <c r="AW54" s="554"/>
      <c r="AX54" s="173"/>
      <c r="AY54" s="196" t="str">
        <f ca="1">IF(OR(AY$17="",AY$38=""),"",
SUMPRODUCT(
OFFSET(bibliotheek!$H$26,0,MATCH(AY$17,woningen_gebouwen_namen,0)-1,ROWS(bibliotheek!$I$26:$I$31),1),
OFFSET(bibliotheek!$H$47,0,MATCH(AY$38,isolatiepakketten_gebouwschil_namen,0)-1,ROWS(bibliotheek!$I$26:$I$31),1)) /
HLOOKUP(AY$17,woningen_gebouwen_gegevens,ROWS(bibliotheek!$E$20:$E$32),FALSE))</f>
        <v/>
      </c>
      <c r="AZ54" s="196" t="str">
        <f ca="1">IF(OR(AZ$17="",AZ$38=""),"",
SUMPRODUCT(
OFFSET(bibliotheek!$H$26,0,MATCH(AZ$17,woningen_gebouwen_namen,0)-1,ROWS(bibliotheek!$I$26:$I$31),1),
OFFSET(bibliotheek!$H$47,0,MATCH(AZ$38,isolatiepakketten_gebouwschil_namen,0)-1,ROWS(bibliotheek!$I$26:$I$31),1)) /
HLOOKUP(AZ$17,woningen_gebouwen_gegevens,ROWS(bibliotheek!$E$20:$E$32),FALSE))</f>
        <v/>
      </c>
      <c r="BA54" s="196" t="str">
        <f ca="1">IF(OR(BA$17="",BA$38=""),"",
SUMPRODUCT(
OFFSET(bibliotheek!$H$26,0,MATCH(BA$17,woningen_gebouwen_namen,0)-1,ROWS(bibliotheek!$I$26:$I$31),1),
OFFSET(bibliotheek!$H$47,0,MATCH(BA$38,isolatiepakketten_gebouwschil_namen,0)-1,ROWS(bibliotheek!$I$26:$I$31),1)) /
HLOOKUP(BA$17,woningen_gebouwen_gegevens,ROWS(bibliotheek!$E$20:$E$32),FALSE))</f>
        <v/>
      </c>
      <c r="BB54" s="196" t="str">
        <f ca="1">IF(OR(BB$17="",BB$38=""),"",
SUMPRODUCT(
OFFSET(bibliotheek!$H$26,0,MATCH(BB$17,woningen_gebouwen_namen,0)-1,ROWS(bibliotheek!$I$26:$I$31),1),
OFFSET(bibliotheek!$H$47,0,MATCH(BB$38,isolatiepakketten_gebouwschil_namen,0)-1,ROWS(bibliotheek!$I$26:$I$31),1)) /
HLOOKUP(BB$17,woningen_gebouwen_gegevens,ROWS(bibliotheek!$E$20:$E$32),FALSE))</f>
        <v/>
      </c>
      <c r="BC54" s="196" t="str">
        <f ca="1">IF(OR(BC$17="",BC$38=""),"",
SUMPRODUCT(
OFFSET(bibliotheek!$H$26,0,MATCH(BC$17,woningen_gebouwen_namen,0)-1,ROWS(bibliotheek!$I$26:$I$31),1),
OFFSET(bibliotheek!$H$47,0,MATCH(BC$38,isolatiepakketten_gebouwschil_namen,0)-1,ROWS(bibliotheek!$I$26:$I$31),1)) /
HLOOKUP(BC$17,woningen_gebouwen_gegevens,ROWS(bibliotheek!$E$20:$E$32),FALSE))</f>
        <v/>
      </c>
      <c r="BD54" s="196" t="str">
        <f ca="1">IF(OR(BD$17="",BD$38=""),"",
SUMPRODUCT(
OFFSET(bibliotheek!$H$26,0,MATCH(BD$17,woningen_gebouwen_namen,0)-1,ROWS(bibliotheek!$I$26:$I$31),1),
OFFSET(bibliotheek!$H$47,0,MATCH(BD$38,isolatiepakketten_gebouwschil_namen,0)-1,ROWS(bibliotheek!$I$26:$I$31),1)) /
HLOOKUP(BD$17,woningen_gebouwen_gegevens,ROWS(bibliotheek!$E$20:$E$32),FALSE))</f>
        <v/>
      </c>
      <c r="BE54" s="196" t="str">
        <f ca="1">IF(OR(BE$17="",BE$38=""),"",
SUMPRODUCT(
OFFSET(bibliotheek!$H$26,0,MATCH(BE$17,woningen_gebouwen_namen,0)-1,ROWS(bibliotheek!$I$26:$I$31),1),
OFFSET(bibliotheek!$H$47,0,MATCH(BE$38,isolatiepakketten_gebouwschil_namen,0)-1,ROWS(bibliotheek!$I$26:$I$31),1)) /
HLOOKUP(BE$17,woningen_gebouwen_gegevens,ROWS(bibliotheek!$E$20:$E$32),FALSE))</f>
        <v/>
      </c>
      <c r="BF54" s="196" t="str">
        <f ca="1">IF(OR(BF$17="",BF$38=""),"",
SUMPRODUCT(
OFFSET(bibliotheek!$H$26,0,MATCH(BF$17,woningen_gebouwen_namen,0)-1,ROWS(bibliotheek!$I$26:$I$31),1),
OFFSET(bibliotheek!$H$47,0,MATCH(BF$38,isolatiepakketten_gebouwschil_namen,0)-1,ROWS(bibliotheek!$I$26:$I$31),1)) /
HLOOKUP(BF$17,woningen_gebouwen_gegevens,ROWS(bibliotheek!$E$20:$E$32),FALSE))</f>
        <v/>
      </c>
      <c r="BG54" s="196" t="str">
        <f ca="1">IF(OR(BG$17="",BG$38=""),"",
SUMPRODUCT(
OFFSET(bibliotheek!$H$26,0,MATCH(BG$17,woningen_gebouwen_namen,0)-1,ROWS(bibliotheek!$I$26:$I$31),1),
OFFSET(bibliotheek!$H$47,0,MATCH(BG$38,isolatiepakketten_gebouwschil_namen,0)-1,ROWS(bibliotheek!$I$26:$I$31),1)) /
HLOOKUP(BG$17,woningen_gebouwen_gegevens,ROWS(bibliotheek!$E$20:$E$32),FALSE))</f>
        <v/>
      </c>
      <c r="BH54" s="216"/>
    </row>
    <row r="55" spans="1:60" s="2" customFormat="1">
      <c r="A55" s="1044"/>
      <c r="B55" s="1110" t="s">
        <v>132</v>
      </c>
      <c r="C55" s="1106" t="s">
        <v>118</v>
      </c>
      <c r="D55" s="639" t="s">
        <v>45</v>
      </c>
      <c r="E55" s="254" t="s">
        <v>1149</v>
      </c>
      <c r="F55" s="254"/>
      <c r="G55" s="180"/>
      <c r="H55" s="291" t="s">
        <v>154</v>
      </c>
      <c r="I55" s="104"/>
      <c r="J55" s="768"/>
      <c r="K55" s="1055"/>
      <c r="L55" s="1055"/>
      <c r="M55" s="873"/>
      <c r="N55" s="91"/>
      <c r="O55" s="929">
        <f t="shared" ref="O55:W55" si="58">IFERROR(IF(AND($F$6=MWA,O56&lt;&gt;""),O56,
IF(OR(O$17="",O$38="",O$40=""),0,MAX(warmtebehoefte_verwarming_ondergrens,
HLOOKUP(O$61,fitcurves_NTA8800,MATCH(fit_a0,parameters_fitformule,0),FALSE)
+HLOOKUP(O$61,fitcurves_NTA8800,MATCH(fit_a1,parameters_fitformule,0),FALSE)
*O$54*O$32^HLOOKUP(O$61,fitcurves_NTA8800,MATCH(fit_n1,parameters_fitformule,0),FALSE)
))),0)</f>
        <v>0</v>
      </c>
      <c r="P55" s="929">
        <f t="shared" si="58"/>
        <v>0</v>
      </c>
      <c r="Q55" s="929">
        <f t="shared" si="58"/>
        <v>0</v>
      </c>
      <c r="R55" s="929">
        <f t="shared" si="58"/>
        <v>0</v>
      </c>
      <c r="S55" s="929">
        <f t="shared" si="58"/>
        <v>0</v>
      </c>
      <c r="T55" s="929">
        <f t="shared" si="58"/>
        <v>0</v>
      </c>
      <c r="U55" s="929">
        <f t="shared" si="58"/>
        <v>0</v>
      </c>
      <c r="V55" s="929">
        <f t="shared" si="58"/>
        <v>0</v>
      </c>
      <c r="W55" s="929">
        <f t="shared" si="58"/>
        <v>0</v>
      </c>
      <c r="X55" s="930"/>
      <c r="Y55" s="931"/>
      <c r="Z55" s="932"/>
      <c r="AA55" s="933">
        <f t="shared" ref="AA55:AI55" si="59">IFERROR(IF(AND($F$6=MWA,AA56&lt;&gt;""),AA56,
IF(OR(AA$17="",AA$38="",AA$40=""),0,MAX(warmtebehoefte_verwarming_ondergrens,
HLOOKUP(AA$61,fitcurves_NTA8800,MATCH(fit_a0,parameters_fitformule,0),FALSE)
+HLOOKUP(AA$61,fitcurves_NTA8800,MATCH(fit_a1,parameters_fitformule,0),FALSE)
*AA$54*AA$32^HLOOKUP(AA$61,fitcurves_NTA8800,MATCH(fit_n1,parameters_fitformule,0),FALSE)
))),0)</f>
        <v>0</v>
      </c>
      <c r="AB55" s="933">
        <f t="shared" si="59"/>
        <v>0</v>
      </c>
      <c r="AC55" s="933">
        <f t="shared" si="59"/>
        <v>0</v>
      </c>
      <c r="AD55" s="933">
        <f t="shared" si="59"/>
        <v>0</v>
      </c>
      <c r="AE55" s="933">
        <f t="shared" si="59"/>
        <v>0</v>
      </c>
      <c r="AF55" s="933">
        <f t="shared" si="59"/>
        <v>0</v>
      </c>
      <c r="AG55" s="933">
        <f t="shared" si="59"/>
        <v>0</v>
      </c>
      <c r="AH55" s="933">
        <f t="shared" si="59"/>
        <v>0</v>
      </c>
      <c r="AI55" s="933">
        <f t="shared" si="59"/>
        <v>0</v>
      </c>
      <c r="AJ55" s="930"/>
      <c r="AK55" s="931"/>
      <c r="AL55" s="932"/>
      <c r="AM55" s="933">
        <f t="shared" ref="AM55:AU55" si="60">IFERROR(IF(AND($F$6=MWA,AM56&lt;&gt;""),AM56,
IF(OR(AM$17="",AM$38="",AM$40=""),0,MAX(warmtebehoefte_verwarming_ondergrens,
HLOOKUP(AM$61,fitcurves_NTA8800,MATCH(fit_a0,parameters_fitformule,0),FALSE)
+HLOOKUP(AM$61,fitcurves_NTA8800,MATCH(fit_a1,parameters_fitformule,0),FALSE)
*AM$54*AM$32^HLOOKUP(AM$61,fitcurves_NTA8800,MATCH(fit_n1,parameters_fitformule,0),FALSE)
))),0)</f>
        <v>0</v>
      </c>
      <c r="AN55" s="933">
        <f t="shared" si="60"/>
        <v>0</v>
      </c>
      <c r="AO55" s="933">
        <f t="shared" si="60"/>
        <v>0</v>
      </c>
      <c r="AP55" s="933">
        <f t="shared" si="60"/>
        <v>0</v>
      </c>
      <c r="AQ55" s="933">
        <f t="shared" si="60"/>
        <v>0</v>
      </c>
      <c r="AR55" s="933">
        <f t="shared" si="60"/>
        <v>0</v>
      </c>
      <c r="AS55" s="933">
        <f t="shared" si="60"/>
        <v>0</v>
      </c>
      <c r="AT55" s="933">
        <f t="shared" si="60"/>
        <v>0</v>
      </c>
      <c r="AU55" s="933">
        <f t="shared" si="60"/>
        <v>0</v>
      </c>
      <c r="AV55" s="930"/>
      <c r="AW55" s="931"/>
      <c r="AX55" s="932"/>
      <c r="AY55" s="933">
        <f t="shared" ref="AY55:BG55" si="61">IFERROR(IF(AND($F$6=MWA,AY56&lt;&gt;""),AY56,
IF(OR(AY$17="",AY$38="",AY$40=""),0,MAX(warmtebehoefte_verwarming_ondergrens,
HLOOKUP(AY$61,fitcurves_NTA8800,MATCH(fit_a0,parameters_fitformule,0),FALSE)
+HLOOKUP(AY$61,fitcurves_NTA8800,MATCH(fit_a1,parameters_fitformule,0),FALSE)
*AY$54*AY$32^HLOOKUP(AY$61,fitcurves_NTA8800,MATCH(fit_n1,parameters_fitformule,0),FALSE)
))),0)</f>
        <v>0</v>
      </c>
      <c r="AZ55" s="933">
        <f t="shared" si="61"/>
        <v>0</v>
      </c>
      <c r="BA55" s="933">
        <f t="shared" si="61"/>
        <v>0</v>
      </c>
      <c r="BB55" s="933">
        <f t="shared" si="61"/>
        <v>0</v>
      </c>
      <c r="BC55" s="933">
        <f t="shared" si="61"/>
        <v>0</v>
      </c>
      <c r="BD55" s="933">
        <f t="shared" si="61"/>
        <v>0</v>
      </c>
      <c r="BE55" s="933">
        <f t="shared" si="61"/>
        <v>0</v>
      </c>
      <c r="BF55" s="933">
        <f t="shared" si="61"/>
        <v>0</v>
      </c>
      <c r="BG55" s="933">
        <f t="shared" si="61"/>
        <v>0</v>
      </c>
      <c r="BH55" s="216"/>
    </row>
    <row r="56" spans="1:60" s="2" customFormat="1">
      <c r="A56" s="1044"/>
      <c r="B56" s="1110" t="s">
        <v>132</v>
      </c>
      <c r="C56" s="1106" t="s">
        <v>118</v>
      </c>
      <c r="D56" s="639"/>
      <c r="E56" s="1221" t="s">
        <v>1185</v>
      </c>
      <c r="F56" s="595"/>
      <c r="G56" s="595"/>
      <c r="H56" s="291" t="s">
        <v>154</v>
      </c>
      <c r="I56" s="104"/>
      <c r="J56" s="769"/>
      <c r="K56" s="1055"/>
      <c r="L56" s="1055"/>
      <c r="M56" s="770"/>
      <c r="N56" s="243"/>
      <c r="O56" s="958"/>
      <c r="P56" s="958"/>
      <c r="Q56" s="958"/>
      <c r="R56" s="958"/>
      <c r="S56" s="958"/>
      <c r="T56" s="958"/>
      <c r="U56" s="958"/>
      <c r="V56" s="958"/>
      <c r="W56" s="958"/>
      <c r="X56" s="172"/>
      <c r="Y56" s="770"/>
      <c r="Z56" s="243"/>
      <c r="AA56" s="958"/>
      <c r="AB56" s="958"/>
      <c r="AC56" s="958"/>
      <c r="AD56" s="958"/>
      <c r="AE56" s="958"/>
      <c r="AF56" s="958"/>
      <c r="AG56" s="958"/>
      <c r="AH56" s="958"/>
      <c r="AI56" s="958"/>
      <c r="AJ56" s="172"/>
      <c r="AK56" s="770"/>
      <c r="AL56" s="243"/>
      <c r="AM56" s="958"/>
      <c r="AN56" s="958"/>
      <c r="AO56" s="958"/>
      <c r="AP56" s="958"/>
      <c r="AQ56" s="958"/>
      <c r="AR56" s="958"/>
      <c r="AS56" s="958"/>
      <c r="AT56" s="958"/>
      <c r="AU56" s="958"/>
      <c r="AV56" s="172"/>
      <c r="AW56" s="770"/>
      <c r="AX56" s="243"/>
      <c r="AY56" s="958"/>
      <c r="AZ56" s="958"/>
      <c r="BA56" s="958"/>
      <c r="BB56" s="958"/>
      <c r="BC56" s="958"/>
      <c r="BD56" s="958"/>
      <c r="BE56" s="958"/>
      <c r="BF56" s="958"/>
      <c r="BG56" s="958"/>
      <c r="BH56" s="216"/>
    </row>
    <row r="57" spans="1:60">
      <c r="A57" s="1041"/>
      <c r="B57" s="1109" t="s">
        <v>147</v>
      </c>
      <c r="C57" s="1107" t="s">
        <v>96</v>
      </c>
      <c r="D57" s="638"/>
      <c r="E57" s="79"/>
      <c r="F57" s="79"/>
      <c r="G57" s="79"/>
      <c r="H57" s="85"/>
      <c r="I57" s="104"/>
      <c r="J57" s="82"/>
      <c r="K57" s="1055"/>
      <c r="L57" s="1055"/>
      <c r="M57" s="82"/>
      <c r="N57" s="82"/>
      <c r="O57" s="82"/>
      <c r="P57" s="82"/>
      <c r="Q57" s="82"/>
      <c r="R57" s="82"/>
      <c r="S57" s="82"/>
      <c r="T57" s="82"/>
      <c r="U57" s="82"/>
      <c r="V57" s="82"/>
      <c r="W57" s="82"/>
      <c r="X57" s="82"/>
      <c r="Y57" s="82"/>
      <c r="Z57" s="79"/>
      <c r="AA57" s="82"/>
      <c r="AB57" s="82"/>
      <c r="AC57" s="82"/>
      <c r="AD57" s="82"/>
      <c r="AE57" s="82"/>
      <c r="AF57" s="82"/>
      <c r="AG57" s="82"/>
      <c r="AH57" s="82"/>
      <c r="AI57" s="82"/>
      <c r="AJ57" s="82"/>
      <c r="AK57" s="82"/>
      <c r="AL57" s="79"/>
      <c r="AM57" s="82"/>
      <c r="AN57" s="82"/>
      <c r="AO57" s="82"/>
      <c r="AP57" s="82"/>
      <c r="AQ57" s="82"/>
      <c r="AR57" s="82"/>
      <c r="AS57" s="82"/>
      <c r="AT57" s="82"/>
      <c r="AU57" s="82"/>
      <c r="AV57" s="82"/>
      <c r="AW57" s="82"/>
      <c r="AX57" s="79"/>
      <c r="AY57" s="82"/>
      <c r="AZ57" s="82"/>
      <c r="BA57" s="82"/>
      <c r="BB57" s="82"/>
      <c r="BC57" s="82"/>
      <c r="BD57" s="82"/>
      <c r="BE57" s="82"/>
      <c r="BF57" s="82"/>
      <c r="BG57" s="82"/>
      <c r="BH57" s="1"/>
    </row>
    <row r="58" spans="1:60">
      <c r="A58" s="1041"/>
      <c r="B58" s="1109" t="s">
        <v>147</v>
      </c>
      <c r="C58" s="1106" t="s">
        <v>96</v>
      </c>
      <c r="D58" s="638"/>
      <c r="E58" s="230"/>
      <c r="F58" s="79"/>
      <c r="G58" s="79"/>
      <c r="H58" s="85"/>
      <c r="I58" s="79"/>
      <c r="J58" s="82"/>
      <c r="K58" s="79"/>
      <c r="L58" s="79"/>
      <c r="M58" s="82"/>
      <c r="N58" s="82"/>
      <c r="O58" s="82"/>
      <c r="P58" s="82"/>
      <c r="Q58" s="82"/>
      <c r="R58" s="82"/>
      <c r="S58" s="82"/>
      <c r="T58" s="82"/>
      <c r="U58" s="82"/>
      <c r="V58" s="82"/>
      <c r="W58" s="82"/>
      <c r="X58" s="82"/>
      <c r="Y58" s="82"/>
      <c r="Z58" s="79"/>
      <c r="AA58" s="82"/>
      <c r="AB58" s="82"/>
      <c r="AC58" s="82"/>
      <c r="AD58" s="82"/>
      <c r="AE58" s="82"/>
      <c r="AF58" s="82"/>
      <c r="AG58" s="82"/>
      <c r="AH58" s="82"/>
      <c r="AI58" s="82"/>
      <c r="AJ58" s="82"/>
      <c r="AK58" s="82"/>
      <c r="AL58" s="79"/>
      <c r="AM58" s="82"/>
      <c r="AN58" s="82"/>
      <c r="AO58" s="82"/>
      <c r="AP58" s="82"/>
      <c r="AQ58" s="82"/>
      <c r="AR58" s="82"/>
      <c r="AS58" s="82"/>
      <c r="AT58" s="82"/>
      <c r="AU58" s="82"/>
      <c r="AV58" s="82"/>
      <c r="AW58" s="82"/>
      <c r="AX58" s="79"/>
      <c r="AY58" s="82"/>
      <c r="AZ58" s="82"/>
      <c r="BA58" s="82"/>
      <c r="BB58" s="82"/>
      <c r="BC58" s="82"/>
      <c r="BD58" s="82"/>
      <c r="BE58" s="82"/>
      <c r="BF58" s="82"/>
      <c r="BG58" s="82"/>
      <c r="BH58" s="1"/>
    </row>
    <row r="59" spans="1:60" s="2" customFormat="1" ht="21">
      <c r="A59" s="1042"/>
      <c r="B59" s="1109" t="s">
        <v>147</v>
      </c>
      <c r="C59" s="1106" t="s">
        <v>96</v>
      </c>
      <c r="D59" s="640"/>
      <c r="E59" s="209" t="s">
        <v>1150</v>
      </c>
      <c r="F59" s="209"/>
      <c r="G59" s="209"/>
      <c r="H59" s="209"/>
      <c r="I59" s="129"/>
      <c r="J59" s="256" t="str">
        <f>"MWh "&amp;J$8</f>
        <v>MWh alle locaties</v>
      </c>
      <c r="K59" s="126"/>
      <c r="L59" s="126"/>
      <c r="M59" s="256" t="str">
        <f>"MWh "&amp;M$8</f>
        <v>MWh locatie 1</v>
      </c>
      <c r="N59" s="193"/>
      <c r="O59" s="955" t="str">
        <f>$E59&amp;" per woning-/gebouwtype"</f>
        <v>indicatie energiebehoefte per woning | utiliteitsgebouw per woning-/gebouwtype</v>
      </c>
      <c r="P59" s="945"/>
      <c r="Q59" s="945"/>
      <c r="R59" s="945"/>
      <c r="S59" s="945"/>
      <c r="T59" s="945"/>
      <c r="U59" s="945"/>
      <c r="V59" s="945"/>
      <c r="W59" s="257"/>
      <c r="X59" s="174"/>
      <c r="Y59" s="257" t="str">
        <f>Y$10&amp;" MWh"</f>
        <v>locatie 2 MWh</v>
      </c>
      <c r="Z59" s="193"/>
      <c r="AA59" s="955" t="str">
        <f>$E59&amp;" per woning-/gebouwtype"</f>
        <v>indicatie energiebehoefte per woning | utiliteitsgebouw per woning-/gebouwtype</v>
      </c>
      <c r="AB59" s="945"/>
      <c r="AC59" s="945"/>
      <c r="AD59" s="945"/>
      <c r="AE59" s="945"/>
      <c r="AF59" s="945"/>
      <c r="AG59" s="945"/>
      <c r="AH59" s="945"/>
      <c r="AI59" s="257"/>
      <c r="AJ59" s="174"/>
      <c r="AK59" s="257" t="str">
        <f>AK$10&amp;" MWh"</f>
        <v>locatie 3 MWh</v>
      </c>
      <c r="AL59" s="193"/>
      <c r="AM59" s="955" t="str">
        <f>$E59&amp;" per woning-/gebouwtype"</f>
        <v>indicatie energiebehoefte per woning | utiliteitsgebouw per woning-/gebouwtype</v>
      </c>
      <c r="AN59" s="945"/>
      <c r="AO59" s="945"/>
      <c r="AP59" s="945"/>
      <c r="AQ59" s="945"/>
      <c r="AR59" s="945"/>
      <c r="AS59" s="945"/>
      <c r="AT59" s="945"/>
      <c r="AU59" s="257"/>
      <c r="AV59" s="174"/>
      <c r="AW59" s="257" t="str">
        <f>AW$10&amp;" MWh"</f>
        <v>locatie 4 MWh</v>
      </c>
      <c r="AX59" s="193"/>
      <c r="AY59" s="955" t="str">
        <f>$E59&amp;" per woning-/gebouwtype"</f>
        <v>indicatie energiebehoefte per woning | utiliteitsgebouw per woning-/gebouwtype</v>
      </c>
      <c r="AZ59" s="945"/>
      <c r="BA59" s="945"/>
      <c r="BB59" s="945"/>
      <c r="BC59" s="945"/>
      <c r="BD59" s="945"/>
      <c r="BE59" s="945"/>
      <c r="BF59" s="945"/>
      <c r="BG59" s="257"/>
      <c r="BH59" s="1"/>
    </row>
    <row r="60" spans="1:60">
      <c r="A60" s="1041"/>
      <c r="B60" s="1109" t="s">
        <v>147</v>
      </c>
      <c r="C60" s="1106" t="s">
        <v>96</v>
      </c>
      <c r="D60" s="640"/>
      <c r="E60" s="942" t="s">
        <v>153</v>
      </c>
      <c r="F60" s="942"/>
      <c r="G60" s="942"/>
      <c r="H60" s="942"/>
      <c r="I60" s="129"/>
      <c r="J60" s="943"/>
      <c r="K60" s="126"/>
      <c r="L60" s="126"/>
      <c r="M60" s="944"/>
      <c r="N60" s="153"/>
      <c r="O60" s="258" t="str">
        <f>O$17</f>
        <v/>
      </c>
      <c r="P60" s="258" t="str">
        <f t="shared" ref="P60:W60" si="62">P$17</f>
        <v/>
      </c>
      <c r="Q60" s="258" t="str">
        <f t="shared" si="62"/>
        <v/>
      </c>
      <c r="R60" s="258" t="str">
        <f t="shared" si="62"/>
        <v/>
      </c>
      <c r="S60" s="258" t="str">
        <f t="shared" si="62"/>
        <v/>
      </c>
      <c r="T60" s="258" t="str">
        <f t="shared" si="62"/>
        <v/>
      </c>
      <c r="U60" s="258" t="str">
        <f t="shared" si="62"/>
        <v/>
      </c>
      <c r="V60" s="258" t="str">
        <f t="shared" si="62"/>
        <v/>
      </c>
      <c r="W60" s="258" t="str">
        <f t="shared" si="62"/>
        <v/>
      </c>
      <c r="X60" s="146"/>
      <c r="Y60" s="944"/>
      <c r="Z60" s="145"/>
      <c r="AA60" s="258" t="str">
        <f>AA$17</f>
        <v/>
      </c>
      <c r="AB60" s="258" t="str">
        <f t="shared" ref="AB60:AI60" si="63">AB$17</f>
        <v/>
      </c>
      <c r="AC60" s="258" t="str">
        <f t="shared" si="63"/>
        <v/>
      </c>
      <c r="AD60" s="258" t="str">
        <f t="shared" si="63"/>
        <v/>
      </c>
      <c r="AE60" s="258" t="str">
        <f t="shared" si="63"/>
        <v/>
      </c>
      <c r="AF60" s="258" t="str">
        <f t="shared" si="63"/>
        <v/>
      </c>
      <c r="AG60" s="258" t="str">
        <f t="shared" si="63"/>
        <v/>
      </c>
      <c r="AH60" s="258" t="str">
        <f t="shared" si="63"/>
        <v/>
      </c>
      <c r="AI60" s="258" t="str">
        <f t="shared" si="63"/>
        <v/>
      </c>
      <c r="AJ60" s="146"/>
      <c r="AK60" s="944"/>
      <c r="AL60" s="145"/>
      <c r="AM60" s="258" t="str">
        <f>AM$17</f>
        <v/>
      </c>
      <c r="AN60" s="258" t="str">
        <f t="shared" ref="AN60:AU60" si="64">AN$17</f>
        <v/>
      </c>
      <c r="AO60" s="258" t="str">
        <f t="shared" si="64"/>
        <v/>
      </c>
      <c r="AP60" s="258" t="str">
        <f t="shared" si="64"/>
        <v/>
      </c>
      <c r="AQ60" s="258" t="str">
        <f t="shared" si="64"/>
        <v/>
      </c>
      <c r="AR60" s="258" t="str">
        <f t="shared" si="64"/>
        <v/>
      </c>
      <c r="AS60" s="258" t="str">
        <f t="shared" si="64"/>
        <v/>
      </c>
      <c r="AT60" s="258" t="str">
        <f t="shared" si="64"/>
        <v/>
      </c>
      <c r="AU60" s="258" t="str">
        <f t="shared" si="64"/>
        <v/>
      </c>
      <c r="AV60" s="146"/>
      <c r="AW60" s="944"/>
      <c r="AX60" s="145"/>
      <c r="AY60" s="258" t="str">
        <f>AY$17</f>
        <v/>
      </c>
      <c r="AZ60" s="258" t="str">
        <f t="shared" ref="AZ60:BG60" si="65">AZ$17</f>
        <v/>
      </c>
      <c r="BA60" s="258" t="str">
        <f t="shared" si="65"/>
        <v/>
      </c>
      <c r="BB60" s="258" t="str">
        <f t="shared" si="65"/>
        <v/>
      </c>
      <c r="BC60" s="258" t="str">
        <f t="shared" si="65"/>
        <v/>
      </c>
      <c r="BD60" s="258" t="str">
        <f t="shared" si="65"/>
        <v/>
      </c>
      <c r="BE60" s="258" t="str">
        <f t="shared" si="65"/>
        <v/>
      </c>
      <c r="BF60" s="258" t="str">
        <f t="shared" si="65"/>
        <v/>
      </c>
      <c r="BG60" s="258" t="str">
        <f t="shared" si="65"/>
        <v/>
      </c>
      <c r="BH60" s="218"/>
    </row>
    <row r="61" spans="1:60" s="671" customFormat="1" ht="25.5" hidden="1">
      <c r="A61" s="1045"/>
      <c r="B61" s="1109" t="s">
        <v>147</v>
      </c>
      <c r="C61" s="1106" t="s">
        <v>262</v>
      </c>
      <c r="D61" s="946"/>
      <c r="E61" s="947" t="s">
        <v>1151</v>
      </c>
      <c r="F61" s="948"/>
      <c r="G61" s="949" t="s">
        <v>803</v>
      </c>
      <c r="H61" s="950" t="s">
        <v>65</v>
      </c>
      <c r="I61" s="951"/>
      <c r="J61" s="952"/>
      <c r="K61" s="953"/>
      <c r="L61" s="953"/>
      <c r="M61" s="952"/>
      <c r="N61" s="954" t="s">
        <v>84</v>
      </c>
      <c r="O61" s="934" t="e">
        <f t="shared" ref="O61:W61" si="66">$F$6
&amp;INDEX(gebruiksfuncties_fitcurve_NTA8800,MATCH(O$19,gebruiksfuncties_namen,0))
&amp;INDEX(ventilatiesystemen_code,MATCH(O$40,ventilatiesystemen_namen,0))
&amp;O$49
&amp;$G61</f>
        <v>#N/A</v>
      </c>
      <c r="P61" s="934" t="e">
        <f t="shared" si="66"/>
        <v>#N/A</v>
      </c>
      <c r="Q61" s="934" t="e">
        <f t="shared" si="66"/>
        <v>#N/A</v>
      </c>
      <c r="R61" s="934" t="e">
        <f t="shared" si="66"/>
        <v>#N/A</v>
      </c>
      <c r="S61" s="934" t="e">
        <f t="shared" si="66"/>
        <v>#N/A</v>
      </c>
      <c r="T61" s="934" t="e">
        <f t="shared" si="66"/>
        <v>#N/A</v>
      </c>
      <c r="U61" s="934" t="e">
        <f t="shared" si="66"/>
        <v>#N/A</v>
      </c>
      <c r="V61" s="934" t="e">
        <f t="shared" si="66"/>
        <v>#N/A</v>
      </c>
      <c r="W61" s="934" t="e">
        <f t="shared" si="66"/>
        <v>#N/A</v>
      </c>
      <c r="X61" s="953"/>
      <c r="Y61" s="952"/>
      <c r="Z61" s="954" t="s">
        <v>84</v>
      </c>
      <c r="AA61" s="934" t="e">
        <f>$F$6
&amp;INDEX(gebruiksfuncties_fitcurve_NTA8800,MATCH(AA$19,gebruiksfuncties_namen,0))
&amp;INDEX(ventilatiesystemen_code,MATCH(AA$40,ventilatiesystemen_namen,0))
&amp;AA$49
&amp;$G61</f>
        <v>#N/A</v>
      </c>
      <c r="AB61" s="934" t="e">
        <f t="shared" ref="AB61:AI61" si="67">$F$6
&amp;INDEX(gebruiksfuncties_fitcurve_NTA8800,MATCH(AB$19,gebruiksfuncties_namen,0))
&amp;INDEX(ventilatiesystemen_code,MATCH(AB$40,ventilatiesystemen_namen,0))
&amp;AB$49
&amp;$G61</f>
        <v>#N/A</v>
      </c>
      <c r="AC61" s="934" t="e">
        <f t="shared" si="67"/>
        <v>#N/A</v>
      </c>
      <c r="AD61" s="934" t="e">
        <f t="shared" si="67"/>
        <v>#N/A</v>
      </c>
      <c r="AE61" s="934" t="e">
        <f t="shared" si="67"/>
        <v>#N/A</v>
      </c>
      <c r="AF61" s="934" t="e">
        <f t="shared" si="67"/>
        <v>#N/A</v>
      </c>
      <c r="AG61" s="934" t="e">
        <f t="shared" si="67"/>
        <v>#N/A</v>
      </c>
      <c r="AH61" s="934" t="e">
        <f t="shared" si="67"/>
        <v>#N/A</v>
      </c>
      <c r="AI61" s="934" t="e">
        <f t="shared" si="67"/>
        <v>#N/A</v>
      </c>
      <c r="AJ61" s="953"/>
      <c r="AK61" s="952"/>
      <c r="AL61" s="954" t="s">
        <v>84</v>
      </c>
      <c r="AM61" s="934" t="e">
        <f t="shared" ref="AM61:AU61" si="68">$F$6
&amp;INDEX(gebruiksfuncties_fitcurve_NTA8800,MATCH(AM$19,gebruiksfuncties_namen,0))
&amp;INDEX(ventilatiesystemen_code,MATCH(AM$40,ventilatiesystemen_namen,0))
&amp;AM$49
&amp;$G61</f>
        <v>#N/A</v>
      </c>
      <c r="AN61" s="934" t="e">
        <f t="shared" si="68"/>
        <v>#N/A</v>
      </c>
      <c r="AO61" s="934" t="e">
        <f t="shared" si="68"/>
        <v>#N/A</v>
      </c>
      <c r="AP61" s="934" t="e">
        <f t="shared" si="68"/>
        <v>#N/A</v>
      </c>
      <c r="AQ61" s="934" t="e">
        <f t="shared" si="68"/>
        <v>#N/A</v>
      </c>
      <c r="AR61" s="934" t="e">
        <f t="shared" si="68"/>
        <v>#N/A</v>
      </c>
      <c r="AS61" s="934" t="e">
        <f t="shared" si="68"/>
        <v>#N/A</v>
      </c>
      <c r="AT61" s="934" t="e">
        <f t="shared" si="68"/>
        <v>#N/A</v>
      </c>
      <c r="AU61" s="934" t="e">
        <f t="shared" si="68"/>
        <v>#N/A</v>
      </c>
      <c r="AV61" s="953"/>
      <c r="AW61" s="952"/>
      <c r="AX61" s="954" t="s">
        <v>84</v>
      </c>
      <c r="AY61" s="934" t="e">
        <f t="shared" ref="AY61:BG61" si="69">$F$6
&amp;INDEX(gebruiksfuncties_fitcurve_NTA8800,MATCH(AY$19,gebruiksfuncties_namen,0))
&amp;INDEX(ventilatiesystemen_code,MATCH(AY$40,ventilatiesystemen_namen,0))
&amp;AY$49
&amp;$G61</f>
        <v>#N/A</v>
      </c>
      <c r="AZ61" s="934" t="e">
        <f t="shared" si="69"/>
        <v>#N/A</v>
      </c>
      <c r="BA61" s="934" t="e">
        <f t="shared" si="69"/>
        <v>#N/A</v>
      </c>
      <c r="BB61" s="934" t="e">
        <f t="shared" si="69"/>
        <v>#N/A</v>
      </c>
      <c r="BC61" s="934" t="e">
        <f t="shared" si="69"/>
        <v>#N/A</v>
      </c>
      <c r="BD61" s="934" t="e">
        <f t="shared" si="69"/>
        <v>#N/A</v>
      </c>
      <c r="BE61" s="934" t="e">
        <f t="shared" si="69"/>
        <v>#N/A</v>
      </c>
      <c r="BF61" s="934" t="e">
        <f t="shared" si="69"/>
        <v>#N/A</v>
      </c>
      <c r="BG61" s="934" t="e">
        <f t="shared" si="69"/>
        <v>#N/A</v>
      </c>
      <c r="BH61" s="223"/>
    </row>
    <row r="62" spans="1:60">
      <c r="A62" s="1041"/>
      <c r="B62" s="1109" t="s">
        <v>147</v>
      </c>
      <c r="C62" s="1107" t="s">
        <v>104</v>
      </c>
      <c r="D62" s="641" t="s">
        <v>45</v>
      </c>
      <c r="E62" s="413" t="str">
        <f>$O$10</f>
        <v>verwarming</v>
      </c>
      <c r="F62" s="296"/>
      <c r="G62" s="296"/>
      <c r="H62" s="295" t="s">
        <v>154</v>
      </c>
      <c r="I62" s="259"/>
      <c r="J62" s="261">
        <f t="shared" ref="J62:J69" si="70">M62+Y62+AK62+AW62</f>
        <v>0</v>
      </c>
      <c r="K62" s="126"/>
      <c r="L62" s="126"/>
      <c r="M62" s="261">
        <f t="shared" ref="M62:M69" si="71">SUMPRODUCT(N$22:X$22,N$29:X$29,N62:X62)/1000</f>
        <v>0</v>
      </c>
      <c r="N62" s="259"/>
      <c r="O62" s="260">
        <f t="shared" ref="O62:W62" si="72">IFERROR(IF(OR(O$17="",O$38="",O$40=""),0,MAX(warmtebehoefte_verwarming_ondergrens,O55)),0)</f>
        <v>0</v>
      </c>
      <c r="P62" s="260">
        <f t="shared" si="72"/>
        <v>0</v>
      </c>
      <c r="Q62" s="260">
        <f t="shared" si="72"/>
        <v>0</v>
      </c>
      <c r="R62" s="260">
        <f t="shared" si="72"/>
        <v>0</v>
      </c>
      <c r="S62" s="260">
        <f t="shared" si="72"/>
        <v>0</v>
      </c>
      <c r="T62" s="260">
        <f t="shared" si="72"/>
        <v>0</v>
      </c>
      <c r="U62" s="260">
        <f t="shared" si="72"/>
        <v>0</v>
      </c>
      <c r="V62" s="260">
        <f t="shared" si="72"/>
        <v>0</v>
      </c>
      <c r="W62" s="260">
        <f t="shared" si="72"/>
        <v>0</v>
      </c>
      <c r="X62" s="126"/>
      <c r="Y62" s="261">
        <f>SUMPRODUCT(Z$22:AJ$22,Z$29:AJ$29,Z62:AJ62)/1000</f>
        <v>0</v>
      </c>
      <c r="Z62" s="259"/>
      <c r="AA62" s="260">
        <f>IFERROR(IF(OR(AA$17="",AA$38="",AA$40=""),0,MAX(warmtebehoefte_verwarming_ondergrens,AA55)),0)</f>
        <v>0</v>
      </c>
      <c r="AB62" s="260">
        <f t="shared" ref="AB62:AI62" si="73">IFERROR(IF(OR(AB$17="",AB$38="",AB$40=""),0,MAX(warmtebehoefte_verwarming_ondergrens,AB55)),0)</f>
        <v>0</v>
      </c>
      <c r="AC62" s="260">
        <f t="shared" si="73"/>
        <v>0</v>
      </c>
      <c r="AD62" s="260">
        <f t="shared" si="73"/>
        <v>0</v>
      </c>
      <c r="AE62" s="260">
        <f t="shared" si="73"/>
        <v>0</v>
      </c>
      <c r="AF62" s="260">
        <f t="shared" si="73"/>
        <v>0</v>
      </c>
      <c r="AG62" s="260">
        <f t="shared" si="73"/>
        <v>0</v>
      </c>
      <c r="AH62" s="260">
        <f t="shared" si="73"/>
        <v>0</v>
      </c>
      <c r="AI62" s="260">
        <f t="shared" si="73"/>
        <v>0</v>
      </c>
      <c r="AJ62" s="126"/>
      <c r="AK62" s="261">
        <f>SUMPRODUCT(AL$22:AV$22,AL$29:AV$29,AL62:AV62)/1000</f>
        <v>0</v>
      </c>
      <c r="AL62" s="259"/>
      <c r="AM62" s="260">
        <f t="shared" ref="AM62:AU62" si="74">IFERROR(IF(OR(AM$17="",AM$38="",AM$40=""),0,MAX(warmtebehoefte_verwarming_ondergrens,AM55)),0)</f>
        <v>0</v>
      </c>
      <c r="AN62" s="260">
        <f t="shared" si="74"/>
        <v>0</v>
      </c>
      <c r="AO62" s="260">
        <f t="shared" si="74"/>
        <v>0</v>
      </c>
      <c r="AP62" s="260">
        <f t="shared" si="74"/>
        <v>0</v>
      </c>
      <c r="AQ62" s="260">
        <f t="shared" si="74"/>
        <v>0</v>
      </c>
      <c r="AR62" s="260">
        <f t="shared" si="74"/>
        <v>0</v>
      </c>
      <c r="AS62" s="260">
        <f t="shared" si="74"/>
        <v>0</v>
      </c>
      <c r="AT62" s="260">
        <f t="shared" si="74"/>
        <v>0</v>
      </c>
      <c r="AU62" s="260">
        <f t="shared" si="74"/>
        <v>0</v>
      </c>
      <c r="AV62" s="126"/>
      <c r="AW62" s="261">
        <f>SUMPRODUCT(AX$22:BH$22,AX$29:BH$29,AX62:BH62)/1000</f>
        <v>0</v>
      </c>
      <c r="AX62" s="259"/>
      <c r="AY62" s="260">
        <f t="shared" ref="AY62:BG62" si="75">IFERROR(IF(OR(AY$17="",AY$38="",AY$40=""),0,MAX(warmtebehoefte_verwarming_ondergrens,AY55)),0)</f>
        <v>0</v>
      </c>
      <c r="AZ62" s="260">
        <f t="shared" si="75"/>
        <v>0</v>
      </c>
      <c r="BA62" s="260">
        <f t="shared" si="75"/>
        <v>0</v>
      </c>
      <c r="BB62" s="260">
        <f t="shared" si="75"/>
        <v>0</v>
      </c>
      <c r="BC62" s="260">
        <f t="shared" si="75"/>
        <v>0</v>
      </c>
      <c r="BD62" s="260">
        <f t="shared" si="75"/>
        <v>0</v>
      </c>
      <c r="BE62" s="260">
        <f t="shared" si="75"/>
        <v>0</v>
      </c>
      <c r="BF62" s="260">
        <f t="shared" si="75"/>
        <v>0</v>
      </c>
      <c r="BG62" s="260">
        <f t="shared" si="75"/>
        <v>0</v>
      </c>
      <c r="BH62" s="210"/>
    </row>
    <row r="63" spans="1:60" s="671" customFormat="1" ht="25.5" hidden="1">
      <c r="A63" s="1045"/>
      <c r="B63" s="1109" t="s">
        <v>147</v>
      </c>
      <c r="C63" s="1106" t="s">
        <v>262</v>
      </c>
      <c r="D63" s="946"/>
      <c r="E63" s="947" t="s">
        <v>1152</v>
      </c>
      <c r="F63" s="948"/>
      <c r="G63" s="949" t="s">
        <v>804</v>
      </c>
      <c r="H63" s="950" t="s">
        <v>65</v>
      </c>
      <c r="I63" s="951"/>
      <c r="J63" s="952"/>
      <c r="K63" s="953"/>
      <c r="L63" s="953"/>
      <c r="M63" s="952"/>
      <c r="N63" s="954" t="s">
        <v>84</v>
      </c>
      <c r="O63" s="934" t="e">
        <f t="shared" ref="O63:W63" si="76">$F$6
&amp;INDEX(gebruiksfuncties_fitcurve_NTA8800,MATCH(O$19,gebruiksfuncties_namen,0))
&amp;INDEX(ventilatiesystemen_code,MATCH(O$40,ventilatiesystemen_namen,0))
&amp;O$49
&amp;$G63</f>
        <v>#N/A</v>
      </c>
      <c r="P63" s="934" t="e">
        <f t="shared" si="76"/>
        <v>#N/A</v>
      </c>
      <c r="Q63" s="934" t="e">
        <f t="shared" si="76"/>
        <v>#N/A</v>
      </c>
      <c r="R63" s="934" t="e">
        <f t="shared" si="76"/>
        <v>#N/A</v>
      </c>
      <c r="S63" s="934" t="e">
        <f t="shared" si="76"/>
        <v>#N/A</v>
      </c>
      <c r="T63" s="934" t="e">
        <f t="shared" si="76"/>
        <v>#N/A</v>
      </c>
      <c r="U63" s="934" t="e">
        <f t="shared" si="76"/>
        <v>#N/A</v>
      </c>
      <c r="V63" s="934" t="e">
        <f t="shared" si="76"/>
        <v>#N/A</v>
      </c>
      <c r="W63" s="934" t="e">
        <f t="shared" si="76"/>
        <v>#N/A</v>
      </c>
      <c r="X63" s="953"/>
      <c r="Y63" s="952"/>
      <c r="Z63" s="954" t="s">
        <v>84</v>
      </c>
      <c r="AA63" s="934" t="e">
        <f t="shared" ref="AA63:AI63" si="77">$F$6
&amp;INDEX(gebruiksfuncties_fitcurve_NTA8800,MATCH(AA$19,gebruiksfuncties_namen,0))
&amp;INDEX(ventilatiesystemen_code,MATCH(AA$40,ventilatiesystemen_namen,0))
&amp;AA$49
&amp;$G63</f>
        <v>#N/A</v>
      </c>
      <c r="AB63" s="934" t="e">
        <f t="shared" si="77"/>
        <v>#N/A</v>
      </c>
      <c r="AC63" s="934" t="e">
        <f t="shared" si="77"/>
        <v>#N/A</v>
      </c>
      <c r="AD63" s="934" t="e">
        <f t="shared" si="77"/>
        <v>#N/A</v>
      </c>
      <c r="AE63" s="934" t="e">
        <f t="shared" si="77"/>
        <v>#N/A</v>
      </c>
      <c r="AF63" s="934" t="e">
        <f t="shared" si="77"/>
        <v>#N/A</v>
      </c>
      <c r="AG63" s="934" t="e">
        <f t="shared" si="77"/>
        <v>#N/A</v>
      </c>
      <c r="AH63" s="934" t="e">
        <f t="shared" si="77"/>
        <v>#N/A</v>
      </c>
      <c r="AI63" s="934" t="e">
        <f t="shared" si="77"/>
        <v>#N/A</v>
      </c>
      <c r="AJ63" s="953"/>
      <c r="AK63" s="952"/>
      <c r="AL63" s="954" t="s">
        <v>84</v>
      </c>
      <c r="AM63" s="934" t="e">
        <f t="shared" ref="AM63:AU63" si="78">$F$6
&amp;INDEX(gebruiksfuncties_fitcurve_NTA8800,MATCH(AM$19,gebruiksfuncties_namen,0))
&amp;INDEX(ventilatiesystemen_code,MATCH(AM$40,ventilatiesystemen_namen,0))
&amp;AM$49
&amp;$G63</f>
        <v>#N/A</v>
      </c>
      <c r="AN63" s="934" t="e">
        <f t="shared" si="78"/>
        <v>#N/A</v>
      </c>
      <c r="AO63" s="934" t="e">
        <f t="shared" si="78"/>
        <v>#N/A</v>
      </c>
      <c r="AP63" s="934" t="e">
        <f t="shared" si="78"/>
        <v>#N/A</v>
      </c>
      <c r="AQ63" s="934" t="e">
        <f t="shared" si="78"/>
        <v>#N/A</v>
      </c>
      <c r="AR63" s="934" t="e">
        <f t="shared" si="78"/>
        <v>#N/A</v>
      </c>
      <c r="AS63" s="934" t="e">
        <f t="shared" si="78"/>
        <v>#N/A</v>
      </c>
      <c r="AT63" s="934" t="e">
        <f t="shared" si="78"/>
        <v>#N/A</v>
      </c>
      <c r="AU63" s="934" t="e">
        <f t="shared" si="78"/>
        <v>#N/A</v>
      </c>
      <c r="AV63" s="953"/>
      <c r="AW63" s="952"/>
      <c r="AX63" s="954" t="s">
        <v>84</v>
      </c>
      <c r="AY63" s="934" t="e">
        <f t="shared" ref="AY63:BG63" si="79">$F$6
&amp;INDEX(gebruiksfuncties_fitcurve_NTA8800,MATCH(AY$19,gebruiksfuncties_namen,0))
&amp;INDEX(ventilatiesystemen_code,MATCH(AY$40,ventilatiesystemen_namen,0))
&amp;AY$49
&amp;$G63</f>
        <v>#N/A</v>
      </c>
      <c r="AZ63" s="934" t="e">
        <f t="shared" si="79"/>
        <v>#N/A</v>
      </c>
      <c r="BA63" s="934" t="e">
        <f t="shared" si="79"/>
        <v>#N/A</v>
      </c>
      <c r="BB63" s="934" t="e">
        <f t="shared" si="79"/>
        <v>#N/A</v>
      </c>
      <c r="BC63" s="934" t="e">
        <f t="shared" si="79"/>
        <v>#N/A</v>
      </c>
      <c r="BD63" s="934" t="e">
        <f t="shared" si="79"/>
        <v>#N/A</v>
      </c>
      <c r="BE63" s="934" t="e">
        <f t="shared" si="79"/>
        <v>#N/A</v>
      </c>
      <c r="BF63" s="934" t="e">
        <f t="shared" si="79"/>
        <v>#N/A</v>
      </c>
      <c r="BG63" s="934" t="e">
        <f t="shared" si="79"/>
        <v>#N/A</v>
      </c>
      <c r="BH63" s="223"/>
    </row>
    <row r="64" spans="1:60">
      <c r="A64" s="1041"/>
      <c r="B64" s="1109" t="s">
        <v>147</v>
      </c>
      <c r="C64" s="1107" t="s">
        <v>104</v>
      </c>
      <c r="D64" s="641" t="s">
        <v>45</v>
      </c>
      <c r="E64" s="295" t="str">
        <f>$P$10</f>
        <v>koeling</v>
      </c>
      <c r="F64" s="296"/>
      <c r="G64" s="296"/>
      <c r="H64" s="295" t="s">
        <v>154</v>
      </c>
      <c r="I64" s="259"/>
      <c r="J64" s="261">
        <f t="shared" si="70"/>
        <v>0</v>
      </c>
      <c r="K64" s="126"/>
      <c r="L64" s="126"/>
      <c r="M64" s="261">
        <f t="shared" si="71"/>
        <v>0</v>
      </c>
      <c r="N64" s="259"/>
      <c r="O64" s="260">
        <f>IFERROR(IF(OR(O$17="",O$38="",O$40=""),0,MAX(koudebehoefte_koeling_ondergrens,
HLOOKUP(O$63,fitcurves_NTA8800,MATCH(fit_a0,parameters_fitformule,0),FALSE)
+HLOOKUP(O$63,fitcurves_NTA8800,MATCH(fit_a1,parameters_fitformule,0),FALSE)
*(O$33*O$29)^HLOOKUP(O$63,fitcurves_NTA8800,MATCH(fit_n1,parameters_fitformule,0),FALSE)
+HLOOKUP(O$63,fitcurves_NTA8800,MATCH(fit_a2,parameters_fitformule,0),FALSE)
*O$32^HLOOKUP(O$63,fitcurves_NTA8800,MATCH(fit_n2,parameters_fitformule,0),FALSE)
+HLOOKUP(O$63,fitcurves_NTA8800,MATCH(fit_a3,parameters_fitformule,0),FALSE)
*O$54^HLOOKUP(O$63,fitcurves_NTA8800,MATCH(fit_n3,parameters_fitformule,0),FALSE)
+HLOOKUP(O$63,fitcurves_NTA8800,MATCH(fit_a4,parameters_fitformule,0),FALSE)
*O$33^HLOOKUP(O$63,fitcurves_NTA8800,MATCH(fit_n4,parameters_fitformule,0),FALSE)
)),0)</f>
        <v>0</v>
      </c>
      <c r="P64" s="260">
        <f t="shared" ref="P64:W64" si="80">IFERROR(IF(OR(P$17="",P$38="",P$40=""),0,MAX(koudebehoefte_koeling_ondergrens,
HLOOKUP(P$63,fitcurves_NTA8800,MATCH(fit_a0,parameters_fitformule,0),FALSE)
+HLOOKUP(P$63,fitcurves_NTA8800,MATCH(fit_a1,parameters_fitformule,0),FALSE)
*(P$33*P$29)^HLOOKUP(P$63,fitcurves_NTA8800,MATCH(fit_n1,parameters_fitformule,0),FALSE)
+HLOOKUP(P$63,fitcurves_NTA8800,MATCH(fit_a2,parameters_fitformule,0),FALSE)
*P$32^HLOOKUP(P$63,fitcurves_NTA8800,MATCH(fit_n2,parameters_fitformule,0),FALSE)
+HLOOKUP(P$63,fitcurves_NTA8800,MATCH(fit_a3,parameters_fitformule,0),FALSE)
*P$54^HLOOKUP(P$63,fitcurves_NTA8800,MATCH(fit_n3,parameters_fitformule,0),FALSE)
+HLOOKUP(P$63,fitcurves_NTA8800,MATCH(fit_a4,parameters_fitformule,0),FALSE)
*P$33^HLOOKUP(P$63,fitcurves_NTA8800,MATCH(fit_n4,parameters_fitformule,0),FALSE)
)),0)</f>
        <v>0</v>
      </c>
      <c r="Q64" s="260">
        <f t="shared" si="80"/>
        <v>0</v>
      </c>
      <c r="R64" s="260">
        <f t="shared" si="80"/>
        <v>0</v>
      </c>
      <c r="S64" s="260">
        <f t="shared" si="80"/>
        <v>0</v>
      </c>
      <c r="T64" s="260">
        <f t="shared" si="80"/>
        <v>0</v>
      </c>
      <c r="U64" s="260">
        <f t="shared" si="80"/>
        <v>0</v>
      </c>
      <c r="V64" s="260">
        <f t="shared" si="80"/>
        <v>0</v>
      </c>
      <c r="W64" s="260">
        <f t="shared" si="80"/>
        <v>0</v>
      </c>
      <c r="X64" s="126"/>
      <c r="Y64" s="261">
        <f t="shared" ref="Y64:Y69" si="81">SUMPRODUCT(Z$22:AJ$22,Z$29:AJ$29,Z64:AJ64)/1000</f>
        <v>0</v>
      </c>
      <c r="Z64" s="259"/>
      <c r="AA64" s="260">
        <f t="shared" ref="AA64:AI64" si="82">IFERROR(IF(OR(AA$17="",AA$38="",AA$40=""),0,MAX(koudebehoefte_koeling_ondergrens,
HLOOKUP(AA$63,fitcurves_NTA8800,MATCH(fit_a0,parameters_fitformule,0),FALSE)
+HLOOKUP(AA$63,fitcurves_NTA8800,MATCH(fit_a1,parameters_fitformule,0),FALSE)
*(AA$33*AA$29)^HLOOKUP(AA$63,fitcurves_NTA8800,MATCH(fit_n1,parameters_fitformule,0),FALSE)
+HLOOKUP(AA$63,fitcurves_NTA8800,MATCH(fit_a2,parameters_fitformule,0),FALSE)
*AA$32^HLOOKUP(AA$63,fitcurves_NTA8800,MATCH(fit_n2,parameters_fitformule,0),FALSE)
+HLOOKUP(AA$63,fitcurves_NTA8800,MATCH(fit_a3,parameters_fitformule,0),FALSE)
*AA$54^HLOOKUP(AA$63,fitcurves_NTA8800,MATCH(fit_n3,parameters_fitformule,0),FALSE)
+HLOOKUP(AA$63,fitcurves_NTA8800,MATCH(fit_a4,parameters_fitformule,0),FALSE)
*AA$33^HLOOKUP(AA$63,fitcurves_NTA8800,MATCH(fit_n4,parameters_fitformule,0),FALSE)
)),0)</f>
        <v>0</v>
      </c>
      <c r="AB64" s="260">
        <f t="shared" si="82"/>
        <v>0</v>
      </c>
      <c r="AC64" s="260">
        <f t="shared" si="82"/>
        <v>0</v>
      </c>
      <c r="AD64" s="260">
        <f t="shared" si="82"/>
        <v>0</v>
      </c>
      <c r="AE64" s="260">
        <f t="shared" si="82"/>
        <v>0</v>
      </c>
      <c r="AF64" s="260">
        <f t="shared" si="82"/>
        <v>0</v>
      </c>
      <c r="AG64" s="260">
        <f t="shared" si="82"/>
        <v>0</v>
      </c>
      <c r="AH64" s="260">
        <f t="shared" si="82"/>
        <v>0</v>
      </c>
      <c r="AI64" s="260">
        <f t="shared" si="82"/>
        <v>0</v>
      </c>
      <c r="AJ64" s="126"/>
      <c r="AK64" s="261">
        <f t="shared" ref="AK64:AK69" si="83">SUMPRODUCT(AL$22:AV$22,AL$29:AV$29,AL64:AV64)/1000</f>
        <v>0</v>
      </c>
      <c r="AL64" s="259"/>
      <c r="AM64" s="260">
        <f t="shared" ref="AM64:AU64" si="84">IFERROR(IF(OR(AM$17="",AM$38="",AM$40=""),0,MAX(koudebehoefte_koeling_ondergrens,
HLOOKUP(AM$63,fitcurves_NTA8800,MATCH(fit_a0,parameters_fitformule,0),FALSE)
+HLOOKUP(AM$63,fitcurves_NTA8800,MATCH(fit_a1,parameters_fitformule,0),FALSE)
*(AM$33*AM$29)^HLOOKUP(AM$63,fitcurves_NTA8800,MATCH(fit_n1,parameters_fitformule,0),FALSE)
+HLOOKUP(AM$63,fitcurves_NTA8800,MATCH(fit_a2,parameters_fitformule,0),FALSE)
*AM$32^HLOOKUP(AM$63,fitcurves_NTA8800,MATCH(fit_n2,parameters_fitformule,0),FALSE)
+HLOOKUP(AM$63,fitcurves_NTA8800,MATCH(fit_a3,parameters_fitformule,0),FALSE)
*AM$54^HLOOKUP(AM$63,fitcurves_NTA8800,MATCH(fit_n3,parameters_fitformule,0),FALSE)
+HLOOKUP(AM$63,fitcurves_NTA8800,MATCH(fit_a4,parameters_fitformule,0),FALSE)
*AM$33^HLOOKUP(AM$63,fitcurves_NTA8800,MATCH(fit_n4,parameters_fitformule,0),FALSE)
)),0)</f>
        <v>0</v>
      </c>
      <c r="AN64" s="260">
        <f t="shared" si="84"/>
        <v>0</v>
      </c>
      <c r="AO64" s="260">
        <f t="shared" si="84"/>
        <v>0</v>
      </c>
      <c r="AP64" s="260">
        <f t="shared" si="84"/>
        <v>0</v>
      </c>
      <c r="AQ64" s="260">
        <f t="shared" si="84"/>
        <v>0</v>
      </c>
      <c r="AR64" s="260">
        <f t="shared" si="84"/>
        <v>0</v>
      </c>
      <c r="AS64" s="260">
        <f t="shared" si="84"/>
        <v>0</v>
      </c>
      <c r="AT64" s="260">
        <f t="shared" si="84"/>
        <v>0</v>
      </c>
      <c r="AU64" s="260">
        <f t="shared" si="84"/>
        <v>0</v>
      </c>
      <c r="AV64" s="126"/>
      <c r="AW64" s="261">
        <f t="shared" ref="AW64:AW69" si="85">SUMPRODUCT(AX$22:BH$22,AX$29:BH$29,AX64:BH64)/1000</f>
        <v>0</v>
      </c>
      <c r="AX64" s="259"/>
      <c r="AY64" s="260">
        <f t="shared" ref="AY64:BG64" si="86">IFERROR(IF(OR(AY$17="",AY$38="",AY$40=""),0,MAX(koudebehoefte_koeling_ondergrens,
HLOOKUP(AY$63,fitcurves_NTA8800,MATCH(fit_a0,parameters_fitformule,0),FALSE)
+HLOOKUP(AY$63,fitcurves_NTA8800,MATCH(fit_a1,parameters_fitformule,0),FALSE)
*(AY$33*AY$29)^HLOOKUP(AY$63,fitcurves_NTA8800,MATCH(fit_n1,parameters_fitformule,0),FALSE)
+HLOOKUP(AY$63,fitcurves_NTA8800,MATCH(fit_a2,parameters_fitformule,0),FALSE)
*AY$32^HLOOKUP(AY$63,fitcurves_NTA8800,MATCH(fit_n2,parameters_fitformule,0),FALSE)
+HLOOKUP(AY$63,fitcurves_NTA8800,MATCH(fit_a3,parameters_fitformule,0),FALSE)
*AY$54^HLOOKUP(AY$63,fitcurves_NTA8800,MATCH(fit_n3,parameters_fitformule,0),FALSE)
+HLOOKUP(AY$63,fitcurves_NTA8800,MATCH(fit_a4,parameters_fitformule,0),FALSE)
*AY$33^HLOOKUP(AY$63,fitcurves_NTA8800,MATCH(fit_n4,parameters_fitformule,0),FALSE)
)),0)</f>
        <v>0</v>
      </c>
      <c r="AZ64" s="260">
        <f t="shared" si="86"/>
        <v>0</v>
      </c>
      <c r="BA64" s="260">
        <f t="shared" si="86"/>
        <v>0</v>
      </c>
      <c r="BB64" s="260">
        <f t="shared" si="86"/>
        <v>0</v>
      </c>
      <c r="BC64" s="260">
        <f t="shared" si="86"/>
        <v>0</v>
      </c>
      <c r="BD64" s="260">
        <f t="shared" si="86"/>
        <v>0</v>
      </c>
      <c r="BE64" s="260">
        <f t="shared" si="86"/>
        <v>0</v>
      </c>
      <c r="BF64" s="260">
        <f t="shared" si="86"/>
        <v>0</v>
      </c>
      <c r="BG64" s="260">
        <f t="shared" si="86"/>
        <v>0</v>
      </c>
      <c r="BH64" s="210"/>
    </row>
    <row r="65" spans="1:60">
      <c r="A65" s="1041"/>
      <c r="B65" s="1109" t="s">
        <v>147</v>
      </c>
      <c r="C65" s="1107" t="s">
        <v>104</v>
      </c>
      <c r="D65" s="641" t="s">
        <v>45</v>
      </c>
      <c r="E65" s="295" t="str">
        <f>$Q$10</f>
        <v>tapwater</v>
      </c>
      <c r="F65" s="296"/>
      <c r="G65" s="296"/>
      <c r="H65" s="295" t="s">
        <v>154</v>
      </c>
      <c r="I65" s="259"/>
      <c r="J65" s="261">
        <f t="shared" si="70"/>
        <v>0</v>
      </c>
      <c r="K65" s="126"/>
      <c r="L65" s="126"/>
      <c r="M65" s="261">
        <f t="shared" si="71"/>
        <v>0</v>
      </c>
      <c r="N65" s="259"/>
      <c r="O65" s="260">
        <f t="shared" ref="O65:W65" si="87">(1-O$43)*IF(OR(O$17="",O$29=0),0,IF($F$6=EP,1,INDEX(factor_warmtapwaterbehoefte_MWA,MATCH(O$19,gebruiksfuncties_namen_MWA_warmtapwater,0)))*
IF(OR(O$19=woning,O$19=woongebouw),IF(O$29&gt;100,1.28+0.01*O$29,MAX(1,2.28-1.28/70*(100-O$29)))*856/O$29,
INDEX(warmtapwater_specifieke_warmtebehoefte_waarden,MATCH(O$19,warmtapwater_specifieke_warmtebehoefte_gebruiksfuncties,0)))*IF($F$6=EP,1,O$44))</f>
        <v>0</v>
      </c>
      <c r="P65" s="260">
        <f t="shared" si="87"/>
        <v>0</v>
      </c>
      <c r="Q65" s="260">
        <f t="shared" si="87"/>
        <v>0</v>
      </c>
      <c r="R65" s="260">
        <f t="shared" si="87"/>
        <v>0</v>
      </c>
      <c r="S65" s="260">
        <f t="shared" si="87"/>
        <v>0</v>
      </c>
      <c r="T65" s="260">
        <f t="shared" si="87"/>
        <v>0</v>
      </c>
      <c r="U65" s="260">
        <f t="shared" si="87"/>
        <v>0</v>
      </c>
      <c r="V65" s="260">
        <f t="shared" si="87"/>
        <v>0</v>
      </c>
      <c r="W65" s="260">
        <f t="shared" si="87"/>
        <v>0</v>
      </c>
      <c r="X65" s="126"/>
      <c r="Y65" s="261">
        <f t="shared" si="81"/>
        <v>0</v>
      </c>
      <c r="Z65" s="259"/>
      <c r="AA65" s="260">
        <f t="shared" ref="AA65:AI65" si="88">(1-AA$43)*IF(OR(AA$17="",AA$29=0),0,IF($F$6=EP,1,INDEX(factor_warmtapwaterbehoefte_MWA,MATCH(AA$19,gebruiksfuncties_namen_MWA_warmtapwater,0)))*
IF(OR(AA$19=woning,AA$19=woongebouw),IF(AA$29&gt;100,1.28+0.01*AA$29,MAX(1,2.28-1.28/70*(100-AA$29)))*856/AA$29,
INDEX(warmtapwater_specifieke_warmtebehoefte_waarden,MATCH(AA$19,warmtapwater_specifieke_warmtebehoefte_gebruiksfuncties,0)))*IF($F$6=EP,1,AA$44))</f>
        <v>0</v>
      </c>
      <c r="AB65" s="260">
        <f t="shared" si="88"/>
        <v>0</v>
      </c>
      <c r="AC65" s="260">
        <f t="shared" si="88"/>
        <v>0</v>
      </c>
      <c r="AD65" s="260">
        <f t="shared" si="88"/>
        <v>0</v>
      </c>
      <c r="AE65" s="260">
        <f t="shared" si="88"/>
        <v>0</v>
      </c>
      <c r="AF65" s="260">
        <f t="shared" si="88"/>
        <v>0</v>
      </c>
      <c r="AG65" s="260">
        <f t="shared" si="88"/>
        <v>0</v>
      </c>
      <c r="AH65" s="260">
        <f t="shared" si="88"/>
        <v>0</v>
      </c>
      <c r="AI65" s="260">
        <f t="shared" si="88"/>
        <v>0</v>
      </c>
      <c r="AJ65" s="126"/>
      <c r="AK65" s="261">
        <f t="shared" si="83"/>
        <v>0</v>
      </c>
      <c r="AL65" s="259"/>
      <c r="AM65" s="260">
        <f t="shared" ref="AM65:AU65" si="89">(1-AM$43)*IF(OR(AM$17="",AM$29=0),0,IF($F$6=EP,1,INDEX(factor_warmtapwaterbehoefte_MWA,MATCH(AM$19,gebruiksfuncties_namen_MWA_warmtapwater,0)))*
IF(OR(AM$19=woning,AM$19=woongebouw),IF(AM$29&gt;100,1.28+0.01*AM$29,MAX(1,2.28-1.28/70*(100-AM$29)))*856/AM$29,
INDEX(warmtapwater_specifieke_warmtebehoefte_waarden,MATCH(AM$19,warmtapwater_specifieke_warmtebehoefte_gebruiksfuncties,0)))*IF($F$6=EP,1,AM$44))</f>
        <v>0</v>
      </c>
      <c r="AN65" s="260">
        <f t="shared" si="89"/>
        <v>0</v>
      </c>
      <c r="AO65" s="260">
        <f t="shared" si="89"/>
        <v>0</v>
      </c>
      <c r="AP65" s="260">
        <f t="shared" si="89"/>
        <v>0</v>
      </c>
      <c r="AQ65" s="260">
        <f t="shared" si="89"/>
        <v>0</v>
      </c>
      <c r="AR65" s="260">
        <f t="shared" si="89"/>
        <v>0</v>
      </c>
      <c r="AS65" s="260">
        <f t="shared" si="89"/>
        <v>0</v>
      </c>
      <c r="AT65" s="260">
        <f t="shared" si="89"/>
        <v>0</v>
      </c>
      <c r="AU65" s="260">
        <f t="shared" si="89"/>
        <v>0</v>
      </c>
      <c r="AV65" s="126"/>
      <c r="AW65" s="261">
        <f t="shared" si="85"/>
        <v>0</v>
      </c>
      <c r="AX65" s="259"/>
      <c r="AY65" s="260">
        <f t="shared" ref="AY65:BG65" si="90">(1-AY$43)*IF(OR(AY$17="",AY$29=0),0,IF($F$6=EP,1,INDEX(factor_warmtapwaterbehoefte_MWA,MATCH(AY$19,gebruiksfuncties_namen_MWA_warmtapwater,0)))*
IF(OR(AY$19=woning,AY$19=woongebouw),IF(AY$29&gt;100,1.28+0.01*AY$29,MAX(1,2.28-1.28/70*(100-AY$29)))*856/AY$29,
INDEX(warmtapwater_specifieke_warmtebehoefte_waarden,MATCH(AY$19,warmtapwater_specifieke_warmtebehoefte_gebruiksfuncties,0)))*IF($F$6=EP,1,AY$44))</f>
        <v>0</v>
      </c>
      <c r="AZ65" s="260">
        <f t="shared" si="90"/>
        <v>0</v>
      </c>
      <c r="BA65" s="260">
        <f t="shared" si="90"/>
        <v>0</v>
      </c>
      <c r="BB65" s="260">
        <f t="shared" si="90"/>
        <v>0</v>
      </c>
      <c r="BC65" s="260">
        <f t="shared" si="90"/>
        <v>0</v>
      </c>
      <c r="BD65" s="260">
        <f t="shared" si="90"/>
        <v>0</v>
      </c>
      <c r="BE65" s="260">
        <f t="shared" si="90"/>
        <v>0</v>
      </c>
      <c r="BF65" s="260">
        <f t="shared" si="90"/>
        <v>0</v>
      </c>
      <c r="BG65" s="260">
        <f t="shared" si="90"/>
        <v>0</v>
      </c>
      <c r="BH65" s="210"/>
    </row>
    <row r="66" spans="1:60">
      <c r="A66" s="1041"/>
      <c r="B66" s="1109" t="s">
        <v>147</v>
      </c>
      <c r="C66" s="1107" t="s">
        <v>104</v>
      </c>
      <c r="D66" s="641" t="s">
        <v>45</v>
      </c>
      <c r="E66" s="295" t="str">
        <f>$R$10</f>
        <v>verlichting</v>
      </c>
      <c r="F66" s="296"/>
      <c r="G66" s="296"/>
      <c r="H66" s="295" t="s">
        <v>154</v>
      </c>
      <c r="I66" s="259"/>
      <c r="J66" s="261">
        <f t="shared" si="70"/>
        <v>0</v>
      </c>
      <c r="K66" s="126"/>
      <c r="L66" s="126"/>
      <c r="M66" s="261">
        <f t="shared" si="71"/>
        <v>0</v>
      </c>
      <c r="N66" s="259"/>
      <c r="O66" s="260">
        <f t="shared" ref="O66:W66" si="91">IF(OR(O$17="",AND(O$19&lt;&gt;woning,O$19&lt;&gt;woongebouw,O$46="")),0,
(INDEX(verlichting_parameters_a,MATCH(O$19,verlichting_parameters_gebruiksfuncties,0))+
INDEX(verlichting_parameters_b,MATCH(O$19,verlichting_parameters_gebruiksfuncties,0))*IF(O$45="",INDEX(verlichting_vermogen_forfaitair,MATCH(O$19,verlichting_parameters_gebruiksfuncties,0)),O$45))*
IF(OR(O$19=woning,O$19=woongebouw),1,INDEX(verlichtingsregeling_waarden,MATCH(O$46,verlichtingsregeling_kopregel,0))))</f>
        <v>0</v>
      </c>
      <c r="P66" s="260">
        <f t="shared" si="91"/>
        <v>0</v>
      </c>
      <c r="Q66" s="260">
        <f t="shared" si="91"/>
        <v>0</v>
      </c>
      <c r="R66" s="260">
        <f t="shared" si="91"/>
        <v>0</v>
      </c>
      <c r="S66" s="260">
        <f t="shared" si="91"/>
        <v>0</v>
      </c>
      <c r="T66" s="260">
        <f t="shared" si="91"/>
        <v>0</v>
      </c>
      <c r="U66" s="260">
        <f t="shared" si="91"/>
        <v>0</v>
      </c>
      <c r="V66" s="260">
        <f t="shared" si="91"/>
        <v>0</v>
      </c>
      <c r="W66" s="260">
        <f t="shared" si="91"/>
        <v>0</v>
      </c>
      <c r="X66" s="126"/>
      <c r="Y66" s="261">
        <f t="shared" si="81"/>
        <v>0</v>
      </c>
      <c r="Z66" s="259"/>
      <c r="AA66" s="260">
        <f t="shared" ref="AA66:AI66" si="92">IF(OR(AA$17="",AND(AA$19&lt;&gt;woning,AA$19&lt;&gt;woongebouw,AA$46="")),0,
(INDEX(verlichting_parameters_a,MATCH(AA$19,verlichting_parameters_gebruiksfuncties,0))+
INDEX(verlichting_parameters_b,MATCH(AA$19,verlichting_parameters_gebruiksfuncties,0))*IF(AA$45="",INDEX(verlichting_vermogen_forfaitair,MATCH(AA$19,verlichting_parameters_gebruiksfuncties,0)),AA$45))*
IF(OR(AA$19=woning,AA$19=woongebouw),1,INDEX(verlichtingsregeling_waarden,MATCH(AA$46,verlichtingsregeling_kopregel,0))))</f>
        <v>0</v>
      </c>
      <c r="AB66" s="260">
        <f t="shared" si="92"/>
        <v>0</v>
      </c>
      <c r="AC66" s="260">
        <f t="shared" si="92"/>
        <v>0</v>
      </c>
      <c r="AD66" s="260">
        <f t="shared" si="92"/>
        <v>0</v>
      </c>
      <c r="AE66" s="260">
        <f t="shared" si="92"/>
        <v>0</v>
      </c>
      <c r="AF66" s="260">
        <f t="shared" si="92"/>
        <v>0</v>
      </c>
      <c r="AG66" s="260">
        <f t="shared" si="92"/>
        <v>0</v>
      </c>
      <c r="AH66" s="260">
        <f t="shared" si="92"/>
        <v>0</v>
      </c>
      <c r="AI66" s="260">
        <f t="shared" si="92"/>
        <v>0</v>
      </c>
      <c r="AJ66" s="126"/>
      <c r="AK66" s="261">
        <f t="shared" si="83"/>
        <v>0</v>
      </c>
      <c r="AL66" s="259"/>
      <c r="AM66" s="260">
        <f t="shared" ref="AM66:AU66" si="93">IF(OR(AM$17="",AND(AM$19&lt;&gt;woning,AM$19&lt;&gt;woongebouw,AM$46="")),0,
(INDEX(verlichting_parameters_a,MATCH(AM$19,verlichting_parameters_gebruiksfuncties,0))+
INDEX(verlichting_parameters_b,MATCH(AM$19,verlichting_parameters_gebruiksfuncties,0))*IF(AM$45="",INDEX(verlichting_vermogen_forfaitair,MATCH(AM$19,verlichting_parameters_gebruiksfuncties,0)),AM$45))*
IF(OR(AM$19=woning,AM$19=woongebouw),1,INDEX(verlichtingsregeling_waarden,MATCH(AM$46,verlichtingsregeling_kopregel,0))))</f>
        <v>0</v>
      </c>
      <c r="AN66" s="260">
        <f t="shared" si="93"/>
        <v>0</v>
      </c>
      <c r="AO66" s="260">
        <f t="shared" si="93"/>
        <v>0</v>
      </c>
      <c r="AP66" s="260">
        <f t="shared" si="93"/>
        <v>0</v>
      </c>
      <c r="AQ66" s="260">
        <f t="shared" si="93"/>
        <v>0</v>
      </c>
      <c r="AR66" s="260">
        <f t="shared" si="93"/>
        <v>0</v>
      </c>
      <c r="AS66" s="260">
        <f t="shared" si="93"/>
        <v>0</v>
      </c>
      <c r="AT66" s="260">
        <f t="shared" si="93"/>
        <v>0</v>
      </c>
      <c r="AU66" s="260">
        <f t="shared" si="93"/>
        <v>0</v>
      </c>
      <c r="AV66" s="126"/>
      <c r="AW66" s="261">
        <f t="shared" si="85"/>
        <v>0</v>
      </c>
      <c r="AX66" s="259"/>
      <c r="AY66" s="260">
        <f t="shared" ref="AY66:BG66" si="94">IF(OR(AY$17="",AND(AY$19&lt;&gt;woning,AY$19&lt;&gt;woongebouw,AY$46="")),0,
(INDEX(verlichting_parameters_a,MATCH(AY$19,verlichting_parameters_gebruiksfuncties,0))+
INDEX(verlichting_parameters_b,MATCH(AY$19,verlichting_parameters_gebruiksfuncties,0))*IF(AY$45="",INDEX(verlichting_vermogen_forfaitair,MATCH(AY$19,verlichting_parameters_gebruiksfuncties,0)),AY$45))*
IF(OR(AY$19=woning,AY$19=woongebouw),1,INDEX(verlichtingsregeling_waarden,MATCH(AY$46,verlichtingsregeling_kopregel,0))))</f>
        <v>0</v>
      </c>
      <c r="AZ66" s="260">
        <f t="shared" si="94"/>
        <v>0</v>
      </c>
      <c r="BA66" s="260">
        <f t="shared" si="94"/>
        <v>0</v>
      </c>
      <c r="BB66" s="260">
        <f t="shared" si="94"/>
        <v>0</v>
      </c>
      <c r="BC66" s="260">
        <f t="shared" si="94"/>
        <v>0</v>
      </c>
      <c r="BD66" s="260">
        <f t="shared" si="94"/>
        <v>0</v>
      </c>
      <c r="BE66" s="260">
        <f t="shared" si="94"/>
        <v>0</v>
      </c>
      <c r="BF66" s="260">
        <f t="shared" si="94"/>
        <v>0</v>
      </c>
      <c r="BG66" s="260">
        <f t="shared" si="94"/>
        <v>0</v>
      </c>
      <c r="BH66" s="210"/>
    </row>
    <row r="67" spans="1:60">
      <c r="A67" s="1041"/>
      <c r="B67" s="1109" t="s">
        <v>147</v>
      </c>
      <c r="C67" s="1107" t="s">
        <v>104</v>
      </c>
      <c r="D67" s="641" t="s">
        <v>45</v>
      </c>
      <c r="E67" s="295" t="str">
        <f>$S$10</f>
        <v>ventilatoren</v>
      </c>
      <c r="F67" s="296"/>
      <c r="G67" s="296"/>
      <c r="H67" s="295" t="s">
        <v>154</v>
      </c>
      <c r="I67" s="259"/>
      <c r="J67" s="261">
        <f t="shared" si="70"/>
        <v>0</v>
      </c>
      <c r="K67" s="126"/>
      <c r="L67" s="126"/>
      <c r="M67" s="261">
        <f t="shared" si="71"/>
        <v>0</v>
      </c>
      <c r="N67" s="259"/>
      <c r="O67" s="260">
        <f t="shared" ref="O67:W67" si="95">IFERROR(IF(OR(O$17="",O$40=""),0,
IF(LEFT(INDEX(ventilatiesystemen_code,MATCH(O$40,ventilatiesystemen_namen,0)),1)="A",0,
IF(LEFT(INDEX(ventilatiesystemen_code,MATCH(O$40,ventilatiesystemen_namen,0)),1)="C",VLOOKUP(O$41,ventilatorenergie_ventilatiesysteem_B_C,MATCH(O$19,ventilatorenergie_ventilatiesysteem_B_C_kopregel,0),FALSE),
VLOOKUP(O$41,ventilatorenergie_ventilatiesysteem_D,MATCH(O$19,ventilatorenergie_ventilatiesysteem_D_kopregel,0),FALSE)  ))),0)</f>
        <v>0</v>
      </c>
      <c r="P67" s="260">
        <f t="shared" si="95"/>
        <v>0</v>
      </c>
      <c r="Q67" s="260">
        <f t="shared" si="95"/>
        <v>0</v>
      </c>
      <c r="R67" s="260">
        <f t="shared" si="95"/>
        <v>0</v>
      </c>
      <c r="S67" s="260">
        <f t="shared" si="95"/>
        <v>0</v>
      </c>
      <c r="T67" s="260">
        <f t="shared" si="95"/>
        <v>0</v>
      </c>
      <c r="U67" s="260">
        <f t="shared" si="95"/>
        <v>0</v>
      </c>
      <c r="V67" s="260">
        <f t="shared" si="95"/>
        <v>0</v>
      </c>
      <c r="W67" s="260">
        <f t="shared" si="95"/>
        <v>0</v>
      </c>
      <c r="X67" s="126"/>
      <c r="Y67" s="261">
        <f t="shared" si="81"/>
        <v>0</v>
      </c>
      <c r="Z67" s="259"/>
      <c r="AA67" s="260">
        <f t="shared" ref="AA67:AI67" si="96">IFERROR(IF(OR(AA$17="",AA$40=""),0,
IF(LEFT(INDEX(ventilatiesystemen_code,MATCH(AA$40,ventilatiesystemen_namen,0)),1)="A",0,
IF(LEFT(INDEX(ventilatiesystemen_code,MATCH(AA$40,ventilatiesystemen_namen,0)),1)="C",VLOOKUP(AA$41,ventilatorenergie_ventilatiesysteem_B_C,MATCH(AA$19,ventilatorenergie_ventilatiesysteem_B_C_kopregel,0),FALSE),
VLOOKUP(AA$41,ventilatorenergie_ventilatiesysteem_D,MATCH(AA$19,ventilatorenergie_ventilatiesysteem_D_kopregel,0),FALSE)  ))),0)</f>
        <v>0</v>
      </c>
      <c r="AB67" s="260">
        <f t="shared" si="96"/>
        <v>0</v>
      </c>
      <c r="AC67" s="260">
        <f t="shared" si="96"/>
        <v>0</v>
      </c>
      <c r="AD67" s="260">
        <f t="shared" si="96"/>
        <v>0</v>
      </c>
      <c r="AE67" s="260">
        <f t="shared" si="96"/>
        <v>0</v>
      </c>
      <c r="AF67" s="260">
        <f t="shared" si="96"/>
        <v>0</v>
      </c>
      <c r="AG67" s="260">
        <f t="shared" si="96"/>
        <v>0</v>
      </c>
      <c r="AH67" s="260">
        <f t="shared" si="96"/>
        <v>0</v>
      </c>
      <c r="AI67" s="260">
        <f t="shared" si="96"/>
        <v>0</v>
      </c>
      <c r="AJ67" s="126"/>
      <c r="AK67" s="261">
        <f t="shared" si="83"/>
        <v>0</v>
      </c>
      <c r="AL67" s="259"/>
      <c r="AM67" s="260">
        <f t="shared" ref="AM67:AU67" si="97">IFERROR(IF(OR(AM$17="",AM$40=""),0,
IF(LEFT(INDEX(ventilatiesystemen_code,MATCH(AM$40,ventilatiesystemen_namen,0)),1)="A",0,
IF(LEFT(INDEX(ventilatiesystemen_code,MATCH(AM$40,ventilatiesystemen_namen,0)),1)="C",VLOOKUP(AM$41,ventilatorenergie_ventilatiesysteem_B_C,MATCH(AM$19,ventilatorenergie_ventilatiesysteem_B_C_kopregel,0),FALSE),
VLOOKUP(AM$41,ventilatorenergie_ventilatiesysteem_D,MATCH(AM$19,ventilatorenergie_ventilatiesysteem_D_kopregel,0),FALSE)  ))),0)</f>
        <v>0</v>
      </c>
      <c r="AN67" s="260">
        <f t="shared" si="97"/>
        <v>0</v>
      </c>
      <c r="AO67" s="260">
        <f t="shared" si="97"/>
        <v>0</v>
      </c>
      <c r="AP67" s="260">
        <f t="shared" si="97"/>
        <v>0</v>
      </c>
      <c r="AQ67" s="260">
        <f t="shared" si="97"/>
        <v>0</v>
      </c>
      <c r="AR67" s="260">
        <f t="shared" si="97"/>
        <v>0</v>
      </c>
      <c r="AS67" s="260">
        <f t="shared" si="97"/>
        <v>0</v>
      </c>
      <c r="AT67" s="260">
        <f t="shared" si="97"/>
        <v>0</v>
      </c>
      <c r="AU67" s="260">
        <f t="shared" si="97"/>
        <v>0</v>
      </c>
      <c r="AV67" s="126"/>
      <c r="AW67" s="261">
        <f t="shared" si="85"/>
        <v>0</v>
      </c>
      <c r="AX67" s="259"/>
      <c r="AY67" s="260">
        <f t="shared" ref="AY67:BG67" si="98">IFERROR(IF(OR(AY$17="",AY$40=""),0,
IF(LEFT(INDEX(ventilatiesystemen_code,MATCH(AY$40,ventilatiesystemen_namen,0)),1)="A",0,
IF(LEFT(INDEX(ventilatiesystemen_code,MATCH(AY$40,ventilatiesystemen_namen,0)),1)="C",VLOOKUP(AY$41,ventilatorenergie_ventilatiesysteem_B_C,MATCH(AY$19,ventilatorenergie_ventilatiesysteem_B_C_kopregel,0),FALSE),
VLOOKUP(AY$41,ventilatorenergie_ventilatiesysteem_D,MATCH(AY$19,ventilatorenergie_ventilatiesysteem_D_kopregel,0),FALSE)  ))),0)</f>
        <v>0</v>
      </c>
      <c r="AZ67" s="260">
        <f t="shared" si="98"/>
        <v>0</v>
      </c>
      <c r="BA67" s="260">
        <f t="shared" si="98"/>
        <v>0</v>
      </c>
      <c r="BB67" s="260">
        <f t="shared" si="98"/>
        <v>0</v>
      </c>
      <c r="BC67" s="260">
        <f t="shared" si="98"/>
        <v>0</v>
      </c>
      <c r="BD67" s="260">
        <f t="shared" si="98"/>
        <v>0</v>
      </c>
      <c r="BE67" s="260">
        <f t="shared" si="98"/>
        <v>0</v>
      </c>
      <c r="BF67" s="260">
        <f t="shared" si="98"/>
        <v>0</v>
      </c>
      <c r="BG67" s="260">
        <f t="shared" si="98"/>
        <v>0</v>
      </c>
      <c r="BH67" s="210"/>
    </row>
    <row r="68" spans="1:60">
      <c r="A68" s="1041"/>
      <c r="B68" s="1109" t="s">
        <v>147</v>
      </c>
      <c r="C68" s="1107" t="s">
        <v>104</v>
      </c>
      <c r="D68" s="641" t="s">
        <v>45</v>
      </c>
      <c r="E68" s="413" t="str">
        <f>$T$10</f>
        <v>kookgas</v>
      </c>
      <c r="F68" s="296"/>
      <c r="G68" s="296"/>
      <c r="H68" s="295" t="s">
        <v>154</v>
      </c>
      <c r="I68" s="259"/>
      <c r="J68" s="261">
        <f t="shared" si="70"/>
        <v>0</v>
      </c>
      <c r="K68" s="126"/>
      <c r="L68" s="126"/>
      <c r="M68" s="261">
        <f t="shared" si="71"/>
        <v>0</v>
      </c>
      <c r="N68" s="259"/>
      <c r="O68" s="260">
        <f t="shared" ref="O68:W68" si="99">IF(OR(O$17="",O$29=0,O$47=elektriciteit,AND(O$19&lt;&gt;woning,O$19&lt;&gt;woongebouw)),0,koken_gas/O$29)</f>
        <v>0</v>
      </c>
      <c r="P68" s="260">
        <f t="shared" si="99"/>
        <v>0</v>
      </c>
      <c r="Q68" s="260">
        <f t="shared" si="99"/>
        <v>0</v>
      </c>
      <c r="R68" s="260">
        <f t="shared" si="99"/>
        <v>0</v>
      </c>
      <c r="S68" s="260">
        <f t="shared" si="99"/>
        <v>0</v>
      </c>
      <c r="T68" s="260">
        <f t="shared" si="99"/>
        <v>0</v>
      </c>
      <c r="U68" s="260">
        <f t="shared" si="99"/>
        <v>0</v>
      </c>
      <c r="V68" s="260">
        <f t="shared" si="99"/>
        <v>0</v>
      </c>
      <c r="W68" s="260">
        <f t="shared" si="99"/>
        <v>0</v>
      </c>
      <c r="X68" s="126"/>
      <c r="Y68" s="261">
        <f t="shared" si="81"/>
        <v>0</v>
      </c>
      <c r="Z68" s="259"/>
      <c r="AA68" s="260">
        <f t="shared" ref="AA68:AI68" si="100">IF(OR(AA$17="",AA$29=0,AA$47=elektriciteit,AND(AA$19&lt;&gt;woning,AA$19&lt;&gt;woongebouw)),0,koken_gas/AA$29)</f>
        <v>0</v>
      </c>
      <c r="AB68" s="260">
        <f t="shared" si="100"/>
        <v>0</v>
      </c>
      <c r="AC68" s="260">
        <f t="shared" si="100"/>
        <v>0</v>
      </c>
      <c r="AD68" s="260">
        <f t="shared" si="100"/>
        <v>0</v>
      </c>
      <c r="AE68" s="260">
        <f t="shared" si="100"/>
        <v>0</v>
      </c>
      <c r="AF68" s="260">
        <f t="shared" si="100"/>
        <v>0</v>
      </c>
      <c r="AG68" s="260">
        <f t="shared" si="100"/>
        <v>0</v>
      </c>
      <c r="AH68" s="260">
        <f t="shared" si="100"/>
        <v>0</v>
      </c>
      <c r="AI68" s="260">
        <f t="shared" si="100"/>
        <v>0</v>
      </c>
      <c r="AJ68" s="126"/>
      <c r="AK68" s="261">
        <f t="shared" si="83"/>
        <v>0</v>
      </c>
      <c r="AL68" s="259"/>
      <c r="AM68" s="260">
        <f t="shared" ref="AM68:AU68" si="101">IF(OR(AM$17="",AM$29=0,AM$47=elektriciteit,AND(AM$19&lt;&gt;woning,AM$19&lt;&gt;woongebouw)),0,koken_gas/AM$29)</f>
        <v>0</v>
      </c>
      <c r="AN68" s="260">
        <f t="shared" si="101"/>
        <v>0</v>
      </c>
      <c r="AO68" s="260">
        <f t="shared" si="101"/>
        <v>0</v>
      </c>
      <c r="AP68" s="260">
        <f t="shared" si="101"/>
        <v>0</v>
      </c>
      <c r="AQ68" s="260">
        <f t="shared" si="101"/>
        <v>0</v>
      </c>
      <c r="AR68" s="260">
        <f t="shared" si="101"/>
        <v>0</v>
      </c>
      <c r="AS68" s="260">
        <f t="shared" si="101"/>
        <v>0</v>
      </c>
      <c r="AT68" s="260">
        <f t="shared" si="101"/>
        <v>0</v>
      </c>
      <c r="AU68" s="260">
        <f t="shared" si="101"/>
        <v>0</v>
      </c>
      <c r="AV68" s="126"/>
      <c r="AW68" s="261">
        <f t="shared" si="85"/>
        <v>0</v>
      </c>
      <c r="AX68" s="259"/>
      <c r="AY68" s="260">
        <f t="shared" ref="AY68:BG68" si="102">IF(OR(AY$17="",AY$29=0,AY$47=elektriciteit,AND(AY$19&lt;&gt;woning,AY$19&lt;&gt;woongebouw)),0,koken_gas/AY$29)</f>
        <v>0</v>
      </c>
      <c r="AZ68" s="260">
        <f t="shared" si="102"/>
        <v>0</v>
      </c>
      <c r="BA68" s="260">
        <f t="shared" si="102"/>
        <v>0</v>
      </c>
      <c r="BB68" s="260">
        <f t="shared" si="102"/>
        <v>0</v>
      </c>
      <c r="BC68" s="260">
        <f t="shared" si="102"/>
        <v>0</v>
      </c>
      <c r="BD68" s="260">
        <f t="shared" si="102"/>
        <v>0</v>
      </c>
      <c r="BE68" s="260">
        <f t="shared" si="102"/>
        <v>0</v>
      </c>
      <c r="BF68" s="260">
        <f t="shared" si="102"/>
        <v>0</v>
      </c>
      <c r="BG68" s="260">
        <f t="shared" si="102"/>
        <v>0</v>
      </c>
      <c r="BH68" s="210"/>
    </row>
    <row r="69" spans="1:60">
      <c r="A69" s="1041"/>
      <c r="B69" s="1109" t="s">
        <v>147</v>
      </c>
      <c r="C69" s="1107" t="s">
        <v>104</v>
      </c>
      <c r="D69" s="641" t="s">
        <v>45</v>
      </c>
      <c r="E69" s="295" t="str">
        <f>$U$10</f>
        <v>overig elektra</v>
      </c>
      <c r="F69" s="296"/>
      <c r="G69" s="296"/>
      <c r="H69" s="295" t="s">
        <v>154</v>
      </c>
      <c r="I69" s="259"/>
      <c r="J69" s="261">
        <f t="shared" si="70"/>
        <v>0</v>
      </c>
      <c r="K69" s="126"/>
      <c r="L69" s="126"/>
      <c r="M69" s="261">
        <f t="shared" si="71"/>
        <v>0</v>
      </c>
      <c r="N69" s="259"/>
      <c r="O69" s="260">
        <f t="shared" ref="O69:W69" si="103">IF(O$17="",0,
IF(OR(O$19=woning,O$19=woongebouw),(1-O$48)*niet_gebouwgebonden_elektriciteitgebruik_woningen_per_m2+IF(O$47=elektriciteit,koken_elektriciteit/O$29,0),
(1-O$48)*INDEX(specifiek_niet_gebouwgebonden_elektriciteitsgebruik_waarden,MATCH(O$19,specifiek_niet_gebouwgebonden_elektriciteitsgebruik_gebruiksfuncties,0))))</f>
        <v>0</v>
      </c>
      <c r="P69" s="260">
        <f t="shared" si="103"/>
        <v>0</v>
      </c>
      <c r="Q69" s="260">
        <f t="shared" si="103"/>
        <v>0</v>
      </c>
      <c r="R69" s="260">
        <f t="shared" si="103"/>
        <v>0</v>
      </c>
      <c r="S69" s="260">
        <f t="shared" si="103"/>
        <v>0</v>
      </c>
      <c r="T69" s="260">
        <f t="shared" si="103"/>
        <v>0</v>
      </c>
      <c r="U69" s="260">
        <f t="shared" si="103"/>
        <v>0</v>
      </c>
      <c r="V69" s="260">
        <f t="shared" si="103"/>
        <v>0</v>
      </c>
      <c r="W69" s="260">
        <f t="shared" si="103"/>
        <v>0</v>
      </c>
      <c r="X69" s="126"/>
      <c r="Y69" s="261">
        <f t="shared" si="81"/>
        <v>0</v>
      </c>
      <c r="Z69" s="259"/>
      <c r="AA69" s="260">
        <f t="shared" ref="AA69:AI69" si="104">IF(AA$17="",0,
IF(OR(AA$19=woning,AA$19=woongebouw),(1-AA$48)*niet_gebouwgebonden_elektriciteitgebruik_woningen_per_m2+IF(AA$47=elektriciteit,koken_elektriciteit/AA$29,0),
(1-AA$48)*INDEX(specifiek_niet_gebouwgebonden_elektriciteitsgebruik_waarden,MATCH(AA$19,specifiek_niet_gebouwgebonden_elektriciteitsgebruik_gebruiksfuncties,0))))</f>
        <v>0</v>
      </c>
      <c r="AB69" s="260">
        <f t="shared" si="104"/>
        <v>0</v>
      </c>
      <c r="AC69" s="260">
        <f t="shared" si="104"/>
        <v>0</v>
      </c>
      <c r="AD69" s="260">
        <f t="shared" si="104"/>
        <v>0</v>
      </c>
      <c r="AE69" s="260">
        <f t="shared" si="104"/>
        <v>0</v>
      </c>
      <c r="AF69" s="260">
        <f t="shared" si="104"/>
        <v>0</v>
      </c>
      <c r="AG69" s="260">
        <f t="shared" si="104"/>
        <v>0</v>
      </c>
      <c r="AH69" s="260">
        <f t="shared" si="104"/>
        <v>0</v>
      </c>
      <c r="AI69" s="260">
        <f t="shared" si="104"/>
        <v>0</v>
      </c>
      <c r="AJ69" s="126"/>
      <c r="AK69" s="261">
        <f t="shared" si="83"/>
        <v>0</v>
      </c>
      <c r="AL69" s="259"/>
      <c r="AM69" s="260">
        <f t="shared" ref="AM69:AU69" si="105">IF(AM$17="",0,
IF(OR(AM$19=woning,AM$19=woongebouw),(1-AM$48)*niet_gebouwgebonden_elektriciteitgebruik_woningen_per_m2+IF(AM$47=elektriciteit,koken_elektriciteit/AM$29,0),
(1-AM$48)*INDEX(specifiek_niet_gebouwgebonden_elektriciteitsgebruik_waarden,MATCH(AM$19,specifiek_niet_gebouwgebonden_elektriciteitsgebruik_gebruiksfuncties,0))))</f>
        <v>0</v>
      </c>
      <c r="AN69" s="260">
        <f t="shared" si="105"/>
        <v>0</v>
      </c>
      <c r="AO69" s="260">
        <f t="shared" si="105"/>
        <v>0</v>
      </c>
      <c r="AP69" s="260">
        <f t="shared" si="105"/>
        <v>0</v>
      </c>
      <c r="AQ69" s="260">
        <f t="shared" si="105"/>
        <v>0</v>
      </c>
      <c r="AR69" s="260">
        <f t="shared" si="105"/>
        <v>0</v>
      </c>
      <c r="AS69" s="260">
        <f t="shared" si="105"/>
        <v>0</v>
      </c>
      <c r="AT69" s="260">
        <f t="shared" si="105"/>
        <v>0</v>
      </c>
      <c r="AU69" s="260">
        <f t="shared" si="105"/>
        <v>0</v>
      </c>
      <c r="AV69" s="126"/>
      <c r="AW69" s="261">
        <f t="shared" si="85"/>
        <v>0</v>
      </c>
      <c r="AX69" s="259"/>
      <c r="AY69" s="260">
        <f t="shared" ref="AY69:BG69" si="106">IF(AY$17="",0,
IF(OR(AY$19=woning,AY$19=woongebouw),(1-AY$48)*niet_gebouwgebonden_elektriciteitgebruik_woningen_per_m2+IF(AY$47=elektriciteit,koken_elektriciteit/AY$29,0),
(1-AY$48)*INDEX(specifiek_niet_gebouwgebonden_elektriciteitsgebruik_waarden,MATCH(AY$19,specifiek_niet_gebouwgebonden_elektriciteitsgebruik_gebruiksfuncties,0))))</f>
        <v>0</v>
      </c>
      <c r="AZ69" s="260">
        <f t="shared" si="106"/>
        <v>0</v>
      </c>
      <c r="BA69" s="260">
        <f t="shared" si="106"/>
        <v>0</v>
      </c>
      <c r="BB69" s="260">
        <f t="shared" si="106"/>
        <v>0</v>
      </c>
      <c r="BC69" s="260">
        <f t="shared" si="106"/>
        <v>0</v>
      </c>
      <c r="BD69" s="260">
        <f t="shared" si="106"/>
        <v>0</v>
      </c>
      <c r="BE69" s="260">
        <f t="shared" si="106"/>
        <v>0</v>
      </c>
      <c r="BF69" s="260">
        <f t="shared" si="106"/>
        <v>0</v>
      </c>
      <c r="BG69" s="260">
        <f t="shared" si="106"/>
        <v>0</v>
      </c>
      <c r="BH69" s="210"/>
    </row>
    <row r="70" spans="1:60">
      <c r="A70" s="1041"/>
      <c r="B70" s="1109" t="s">
        <v>147</v>
      </c>
      <c r="C70" s="1106" t="s">
        <v>96</v>
      </c>
      <c r="D70" s="641"/>
      <c r="E70" s="942" t="s">
        <v>155</v>
      </c>
      <c r="F70" s="942"/>
      <c r="G70" s="942"/>
      <c r="H70" s="942"/>
      <c r="I70" s="129"/>
      <c r="J70" s="943"/>
      <c r="K70" s="126"/>
      <c r="L70" s="126"/>
      <c r="M70" s="944"/>
      <c r="N70" s="145"/>
      <c r="O70" s="258" t="str">
        <f>O$17</f>
        <v/>
      </c>
      <c r="P70" s="258" t="str">
        <f t="shared" ref="P70:W70" si="107">P$17</f>
        <v/>
      </c>
      <c r="Q70" s="258" t="str">
        <f t="shared" si="107"/>
        <v/>
      </c>
      <c r="R70" s="258" t="str">
        <f t="shared" si="107"/>
        <v/>
      </c>
      <c r="S70" s="258" t="str">
        <f t="shared" si="107"/>
        <v/>
      </c>
      <c r="T70" s="258" t="str">
        <f t="shared" si="107"/>
        <v/>
      </c>
      <c r="U70" s="258" t="str">
        <f t="shared" si="107"/>
        <v/>
      </c>
      <c r="V70" s="258" t="str">
        <f t="shared" si="107"/>
        <v/>
      </c>
      <c r="W70" s="258" t="str">
        <f t="shared" si="107"/>
        <v/>
      </c>
      <c r="X70" s="146"/>
      <c r="Y70" s="944"/>
      <c r="Z70" s="145"/>
      <c r="AA70" s="258" t="str">
        <f>AA$17</f>
        <v/>
      </c>
      <c r="AB70" s="258" t="str">
        <f t="shared" ref="AB70:AI70" si="108">AB$17</f>
        <v/>
      </c>
      <c r="AC70" s="258" t="str">
        <f t="shared" si="108"/>
        <v/>
      </c>
      <c r="AD70" s="258" t="str">
        <f t="shared" si="108"/>
        <v/>
      </c>
      <c r="AE70" s="258" t="str">
        <f t="shared" si="108"/>
        <v/>
      </c>
      <c r="AF70" s="258" t="str">
        <f t="shared" si="108"/>
        <v/>
      </c>
      <c r="AG70" s="258" t="str">
        <f t="shared" si="108"/>
        <v/>
      </c>
      <c r="AH70" s="258" t="str">
        <f t="shared" si="108"/>
        <v/>
      </c>
      <c r="AI70" s="258" t="str">
        <f t="shared" si="108"/>
        <v/>
      </c>
      <c r="AJ70" s="146"/>
      <c r="AK70" s="944"/>
      <c r="AL70" s="145"/>
      <c r="AM70" s="258" t="str">
        <f>AM$17</f>
        <v/>
      </c>
      <c r="AN70" s="258" t="str">
        <f t="shared" ref="AN70:AU70" si="109">AN$17</f>
        <v/>
      </c>
      <c r="AO70" s="258" t="str">
        <f t="shared" si="109"/>
        <v/>
      </c>
      <c r="AP70" s="258" t="str">
        <f t="shared" si="109"/>
        <v/>
      </c>
      <c r="AQ70" s="258" t="str">
        <f t="shared" si="109"/>
        <v/>
      </c>
      <c r="AR70" s="258" t="str">
        <f t="shared" si="109"/>
        <v/>
      </c>
      <c r="AS70" s="258" t="str">
        <f t="shared" si="109"/>
        <v/>
      </c>
      <c r="AT70" s="258" t="str">
        <f t="shared" si="109"/>
        <v/>
      </c>
      <c r="AU70" s="258" t="str">
        <f t="shared" si="109"/>
        <v/>
      </c>
      <c r="AV70" s="146"/>
      <c r="AW70" s="944"/>
      <c r="AX70" s="145"/>
      <c r="AY70" s="258" t="str">
        <f>AY$17</f>
        <v/>
      </c>
      <c r="AZ70" s="258" t="str">
        <f t="shared" ref="AZ70:BG70" si="110">AZ$17</f>
        <v/>
      </c>
      <c r="BA70" s="258" t="str">
        <f t="shared" si="110"/>
        <v/>
      </c>
      <c r="BB70" s="258" t="str">
        <f t="shared" si="110"/>
        <v/>
      </c>
      <c r="BC70" s="258" t="str">
        <f t="shared" si="110"/>
        <v/>
      </c>
      <c r="BD70" s="258" t="str">
        <f t="shared" si="110"/>
        <v/>
      </c>
      <c r="BE70" s="258" t="str">
        <f t="shared" si="110"/>
        <v/>
      </c>
      <c r="BF70" s="258" t="str">
        <f t="shared" si="110"/>
        <v/>
      </c>
      <c r="BG70" s="258" t="str">
        <f t="shared" si="110"/>
        <v/>
      </c>
      <c r="BH70" s="218"/>
    </row>
    <row r="71" spans="1:60">
      <c r="A71" s="1041"/>
      <c r="B71" s="1109" t="s">
        <v>147</v>
      </c>
      <c r="C71" s="1107" t="s">
        <v>118</v>
      </c>
      <c r="D71" s="641" t="s">
        <v>45</v>
      </c>
      <c r="E71" s="295" t="str">
        <f>$V$10</f>
        <v>mobiliteit</v>
      </c>
      <c r="F71" s="296"/>
      <c r="G71" s="296"/>
      <c r="H71" s="295" t="s">
        <v>156</v>
      </c>
      <c r="I71" s="259"/>
      <c r="J71" s="261">
        <f>M71+Y71+AK71+AW71</f>
        <v>0</v>
      </c>
      <c r="K71" s="126"/>
      <c r="L71" s="126"/>
      <c r="M71" s="261">
        <f>SUMPRODUCT(N$22:X$22,N71:X71)/1000</f>
        <v>0</v>
      </c>
      <c r="N71" s="259"/>
      <c r="O71" s="381"/>
      <c r="P71" s="381"/>
      <c r="Q71" s="381"/>
      <c r="R71" s="381"/>
      <c r="S71" s="381"/>
      <c r="T71" s="381"/>
      <c r="U71" s="381"/>
      <c r="V71" s="381"/>
      <c r="W71" s="381"/>
      <c r="X71" s="126"/>
      <c r="Y71" s="261">
        <f>SUMPRODUCT(Z$22:AJ$22,Z71:AJ71)/1000</f>
        <v>0</v>
      </c>
      <c r="Z71" s="259"/>
      <c r="AA71" s="381"/>
      <c r="AB71" s="381"/>
      <c r="AC71" s="381"/>
      <c r="AD71" s="381"/>
      <c r="AE71" s="381"/>
      <c r="AF71" s="381"/>
      <c r="AG71" s="381"/>
      <c r="AH71" s="381"/>
      <c r="AI71" s="381"/>
      <c r="AJ71" s="126"/>
      <c r="AK71" s="261">
        <f>SUMPRODUCT(AL$22:AV$22,AL71:AV71)/1000</f>
        <v>0</v>
      </c>
      <c r="AL71" s="259"/>
      <c r="AM71" s="381"/>
      <c r="AN71" s="381"/>
      <c r="AO71" s="381"/>
      <c r="AP71" s="381"/>
      <c r="AQ71" s="381"/>
      <c r="AR71" s="381"/>
      <c r="AS71" s="381"/>
      <c r="AT71" s="381"/>
      <c r="AU71" s="381"/>
      <c r="AV71" s="126"/>
      <c r="AW71" s="261">
        <f>SUMPRODUCT(AX$22:BH$22,AX71:BH71)/1000</f>
        <v>0</v>
      </c>
      <c r="AX71" s="259"/>
      <c r="AY71" s="381"/>
      <c r="AZ71" s="381"/>
      <c r="BA71" s="381"/>
      <c r="BB71" s="381"/>
      <c r="BC71" s="381"/>
      <c r="BD71" s="381"/>
      <c r="BE71" s="381"/>
      <c r="BF71" s="381"/>
      <c r="BG71" s="381"/>
      <c r="BH71" s="210"/>
    </row>
    <row r="72" spans="1:60">
      <c r="A72" s="1040"/>
      <c r="B72" s="1109" t="s">
        <v>147</v>
      </c>
      <c r="C72" s="1106" t="s">
        <v>96</v>
      </c>
      <c r="D72" s="641"/>
      <c r="E72" s="942" t="s">
        <v>157</v>
      </c>
      <c r="F72" s="942"/>
      <c r="G72" s="942"/>
      <c r="H72" s="942"/>
      <c r="I72" s="129"/>
      <c r="J72" s="943"/>
      <c r="K72" s="126"/>
      <c r="L72" s="126"/>
      <c r="M72" s="944"/>
      <c r="N72" s="145"/>
      <c r="O72" s="258" t="str">
        <f>O$17</f>
        <v/>
      </c>
      <c r="P72" s="258" t="str">
        <f t="shared" ref="P72:W72" si="111">P$17</f>
        <v/>
      </c>
      <c r="Q72" s="258" t="str">
        <f t="shared" si="111"/>
        <v/>
      </c>
      <c r="R72" s="258" t="str">
        <f t="shared" si="111"/>
        <v/>
      </c>
      <c r="S72" s="258" t="str">
        <f t="shared" si="111"/>
        <v/>
      </c>
      <c r="T72" s="258" t="str">
        <f t="shared" si="111"/>
        <v/>
      </c>
      <c r="U72" s="258" t="str">
        <f t="shared" si="111"/>
        <v/>
      </c>
      <c r="V72" s="258" t="str">
        <f t="shared" si="111"/>
        <v/>
      </c>
      <c r="W72" s="258" t="str">
        <f t="shared" si="111"/>
        <v/>
      </c>
      <c r="X72" s="146"/>
      <c r="Y72" s="944"/>
      <c r="Z72" s="145"/>
      <c r="AA72" s="258" t="str">
        <f>AA$17</f>
        <v/>
      </c>
      <c r="AB72" s="258" t="str">
        <f t="shared" ref="AB72:AI72" si="112">AB$17</f>
        <v/>
      </c>
      <c r="AC72" s="258" t="str">
        <f t="shared" si="112"/>
        <v/>
      </c>
      <c r="AD72" s="258" t="str">
        <f t="shared" si="112"/>
        <v/>
      </c>
      <c r="AE72" s="258" t="str">
        <f t="shared" si="112"/>
        <v/>
      </c>
      <c r="AF72" s="258" t="str">
        <f t="shared" si="112"/>
        <v/>
      </c>
      <c r="AG72" s="258" t="str">
        <f t="shared" si="112"/>
        <v/>
      </c>
      <c r="AH72" s="258" t="str">
        <f t="shared" si="112"/>
        <v/>
      </c>
      <c r="AI72" s="258" t="str">
        <f t="shared" si="112"/>
        <v/>
      </c>
      <c r="AJ72" s="146"/>
      <c r="AK72" s="944"/>
      <c r="AL72" s="145"/>
      <c r="AM72" s="258" t="str">
        <f>AM$17</f>
        <v/>
      </c>
      <c r="AN72" s="258" t="str">
        <f t="shared" ref="AN72:AU72" si="113">AN$17</f>
        <v/>
      </c>
      <c r="AO72" s="258" t="str">
        <f t="shared" si="113"/>
        <v/>
      </c>
      <c r="AP72" s="258" t="str">
        <f t="shared" si="113"/>
        <v/>
      </c>
      <c r="AQ72" s="258" t="str">
        <f t="shared" si="113"/>
        <v/>
      </c>
      <c r="AR72" s="258" t="str">
        <f t="shared" si="113"/>
        <v/>
      </c>
      <c r="AS72" s="258" t="str">
        <f t="shared" si="113"/>
        <v/>
      </c>
      <c r="AT72" s="258" t="str">
        <f t="shared" si="113"/>
        <v/>
      </c>
      <c r="AU72" s="258" t="str">
        <f t="shared" si="113"/>
        <v/>
      </c>
      <c r="AV72" s="146"/>
      <c r="AW72" s="944"/>
      <c r="AX72" s="145"/>
      <c r="AY72" s="258" t="str">
        <f>AY$17</f>
        <v/>
      </c>
      <c r="AZ72" s="258" t="str">
        <f t="shared" ref="AZ72:BG72" si="114">AZ$17</f>
        <v/>
      </c>
      <c r="BA72" s="258" t="str">
        <f t="shared" si="114"/>
        <v/>
      </c>
      <c r="BB72" s="258" t="str">
        <f t="shared" si="114"/>
        <v/>
      </c>
      <c r="BC72" s="258" t="str">
        <f t="shared" si="114"/>
        <v/>
      </c>
      <c r="BD72" s="258" t="str">
        <f t="shared" si="114"/>
        <v/>
      </c>
      <c r="BE72" s="258" t="str">
        <f t="shared" si="114"/>
        <v/>
      </c>
      <c r="BF72" s="258" t="str">
        <f t="shared" si="114"/>
        <v/>
      </c>
      <c r="BG72" s="258" t="str">
        <f t="shared" si="114"/>
        <v/>
      </c>
      <c r="BH72" s="218"/>
    </row>
    <row r="73" spans="1:60">
      <c r="A73" s="1040"/>
      <c r="B73" s="1109" t="s">
        <v>147</v>
      </c>
      <c r="C73" s="1107" t="s">
        <v>118</v>
      </c>
      <c r="D73" s="641" t="s">
        <v>45</v>
      </c>
      <c r="E73" s="295" t="s">
        <v>1367</v>
      </c>
      <c r="F73" s="296"/>
      <c r="G73" s="296"/>
      <c r="H73" s="295" t="s">
        <v>156</v>
      </c>
      <c r="I73" s="259"/>
      <c r="J73" s="261">
        <f>M73+Y73+AK73+AW73</f>
        <v>0</v>
      </c>
      <c r="K73" s="126"/>
      <c r="L73" s="126"/>
      <c r="M73" s="261">
        <f>SUMPRODUCT(N$22:X$22,N73:X73)/1000</f>
        <v>0</v>
      </c>
      <c r="N73" s="259"/>
      <c r="O73" s="381"/>
      <c r="P73" s="381"/>
      <c r="Q73" s="381"/>
      <c r="R73" s="381"/>
      <c r="S73" s="381"/>
      <c r="T73" s="381"/>
      <c r="U73" s="381"/>
      <c r="V73" s="381"/>
      <c r="W73" s="381"/>
      <c r="X73" s="126"/>
      <c r="Y73" s="261">
        <f>SUMPRODUCT(Z$22:AJ$22,Z73:AJ73)/1000</f>
        <v>0</v>
      </c>
      <c r="Z73" s="259"/>
      <c r="AA73" s="381"/>
      <c r="AB73" s="381"/>
      <c r="AC73" s="381"/>
      <c r="AD73" s="381"/>
      <c r="AE73" s="381"/>
      <c r="AF73" s="381"/>
      <c r="AG73" s="381"/>
      <c r="AH73" s="381"/>
      <c r="AI73" s="381"/>
      <c r="AJ73" s="126"/>
      <c r="AK73" s="261">
        <f>SUMPRODUCT(AL$22:AV$22,AL73:AV73)/1000</f>
        <v>0</v>
      </c>
      <c r="AL73" s="259"/>
      <c r="AM73" s="381"/>
      <c r="AN73" s="381"/>
      <c r="AO73" s="381"/>
      <c r="AP73" s="381"/>
      <c r="AQ73" s="381"/>
      <c r="AR73" s="381"/>
      <c r="AS73" s="381"/>
      <c r="AT73" s="381"/>
      <c r="AU73" s="381"/>
      <c r="AV73" s="126"/>
      <c r="AW73" s="261">
        <f>SUMPRODUCT(AX$22:BH$22,AX73:BH73)/1000</f>
        <v>0</v>
      </c>
      <c r="AX73" s="259"/>
      <c r="AY73" s="381"/>
      <c r="AZ73" s="381"/>
      <c r="BA73" s="381"/>
      <c r="BB73" s="381"/>
      <c r="BC73" s="381"/>
      <c r="BD73" s="381"/>
      <c r="BE73" s="381"/>
      <c r="BF73" s="381"/>
      <c r="BG73" s="381"/>
      <c r="BH73" s="210"/>
    </row>
    <row r="74" spans="1:60">
      <c r="A74" s="1040"/>
      <c r="B74" s="1109" t="s">
        <v>147</v>
      </c>
      <c r="C74" s="1107" t="s">
        <v>118</v>
      </c>
      <c r="D74" s="638"/>
      <c r="E74" s="79"/>
      <c r="F74" s="79"/>
      <c r="G74" s="79"/>
      <c r="H74" s="85"/>
      <c r="I74" s="79"/>
      <c r="J74" s="82"/>
      <c r="K74" s="79"/>
      <c r="L74" s="79"/>
      <c r="M74" s="82"/>
      <c r="N74" s="79"/>
      <c r="O74" s="82"/>
      <c r="P74" s="82"/>
      <c r="Q74" s="105"/>
      <c r="R74" s="105"/>
      <c r="S74" s="105"/>
      <c r="T74" s="105"/>
      <c r="U74" s="105"/>
      <c r="V74" s="105"/>
      <c r="W74" s="105"/>
      <c r="X74" s="82"/>
      <c r="Y74" s="82"/>
      <c r="Z74" s="79"/>
      <c r="AA74" s="105"/>
      <c r="AB74" s="82"/>
      <c r="AC74" s="105"/>
      <c r="AD74" s="105"/>
      <c r="AE74" s="105"/>
      <c r="AF74" s="105"/>
      <c r="AG74" s="105"/>
      <c r="AH74" s="105"/>
      <c r="AI74" s="105"/>
      <c r="AJ74" s="82"/>
      <c r="AK74" s="82"/>
      <c r="AL74" s="79"/>
      <c r="AM74" s="105"/>
      <c r="AN74" s="82"/>
      <c r="AO74" s="105"/>
      <c r="AP74" s="105"/>
      <c r="AQ74" s="105"/>
      <c r="AR74" s="105"/>
      <c r="AS74" s="105"/>
      <c r="AT74" s="105"/>
      <c r="AU74" s="105"/>
      <c r="AV74" s="82"/>
      <c r="AW74" s="82"/>
      <c r="AX74" s="79"/>
      <c r="AY74" s="82"/>
      <c r="AZ74" s="82"/>
      <c r="BA74" s="82"/>
      <c r="BB74" s="82"/>
      <c r="BC74" s="82"/>
      <c r="BD74" s="82"/>
      <c r="BE74" s="82"/>
      <c r="BF74" s="82"/>
      <c r="BG74" s="82"/>
      <c r="BH74" s="1"/>
    </row>
    <row r="75" spans="1:60">
      <c r="A75" s="1040"/>
      <c r="B75" s="1109" t="s">
        <v>147</v>
      </c>
      <c r="C75" s="1107" t="s">
        <v>96</v>
      </c>
      <c r="D75" s="638"/>
      <c r="E75" s="79"/>
      <c r="F75" s="79"/>
      <c r="G75" s="79"/>
      <c r="H75" s="85"/>
      <c r="I75" s="79"/>
      <c r="J75" s="82"/>
      <c r="K75" s="79"/>
      <c r="L75" s="79"/>
      <c r="M75" s="82"/>
      <c r="N75" s="79"/>
      <c r="O75" s="105"/>
      <c r="P75" s="82"/>
      <c r="Q75" s="105"/>
      <c r="R75" s="105"/>
      <c r="S75" s="105"/>
      <c r="T75" s="105"/>
      <c r="U75" s="105"/>
      <c r="V75" s="105"/>
      <c r="W75" s="105"/>
      <c r="X75" s="82"/>
      <c r="Y75" s="82"/>
      <c r="Z75" s="79"/>
      <c r="AA75" s="105"/>
      <c r="AB75" s="82"/>
      <c r="AC75" s="105"/>
      <c r="AD75" s="105"/>
      <c r="AE75" s="105"/>
      <c r="AF75" s="105"/>
      <c r="AG75" s="105"/>
      <c r="AH75" s="105"/>
      <c r="AI75" s="105"/>
      <c r="AJ75" s="82"/>
      <c r="AK75" s="82"/>
      <c r="AL75" s="79"/>
      <c r="AM75" s="105"/>
      <c r="AN75" s="82"/>
      <c r="AO75" s="105"/>
      <c r="AP75" s="105"/>
      <c r="AQ75" s="105"/>
      <c r="AR75" s="105"/>
      <c r="AS75" s="105"/>
      <c r="AT75" s="105"/>
      <c r="AU75" s="105"/>
      <c r="AV75" s="82"/>
      <c r="AW75" s="82"/>
      <c r="AX75" s="79"/>
      <c r="AY75" s="82"/>
      <c r="AZ75" s="82"/>
      <c r="BA75" s="82"/>
      <c r="BB75" s="82"/>
      <c r="BC75" s="82"/>
      <c r="BD75" s="82"/>
      <c r="BE75" s="82"/>
      <c r="BF75" s="82"/>
      <c r="BG75" s="82"/>
      <c r="BH75" s="1"/>
    </row>
    <row r="76" spans="1:60" ht="21">
      <c r="A76" s="1040"/>
      <c r="B76" s="1109" t="s">
        <v>147</v>
      </c>
      <c r="C76" s="1106" t="s">
        <v>96</v>
      </c>
      <c r="D76" s="643"/>
      <c r="E76" s="199" t="s">
        <v>1168</v>
      </c>
      <c r="F76" s="199"/>
      <c r="G76" s="199"/>
      <c r="H76" s="199"/>
      <c r="I76" s="77"/>
      <c r="J76" s="200" t="str">
        <f>J$10</f>
        <v>alle locaties</v>
      </c>
      <c r="K76" s="126"/>
      <c r="L76" s="126"/>
      <c r="M76" s="200" t="str">
        <f>M$10</f>
        <v>locatie 1</v>
      </c>
      <c r="N76" s="182"/>
      <c r="O76" s="966" t="str">
        <f>$E76&amp;" per energiepost"</f>
        <v>energiebehoefte per energiepost</v>
      </c>
      <c r="P76" s="941"/>
      <c r="Q76" s="941"/>
      <c r="R76" s="941"/>
      <c r="S76" s="941"/>
      <c r="T76" s="941"/>
      <c r="U76" s="941"/>
      <c r="V76" s="941"/>
      <c r="W76" s="956"/>
      <c r="X76" s="174"/>
      <c r="Y76" s="176" t="str">
        <f>Y$10&amp;" MWh"</f>
        <v>locatie 2 MWh</v>
      </c>
      <c r="Z76" s="182"/>
      <c r="AA76" s="177" t="str">
        <f t="shared" ref="AA76:AI76" si="115">AA$10</f>
        <v>verwarming</v>
      </c>
      <c r="AB76" s="177" t="str">
        <f t="shared" si="115"/>
        <v>koeling</v>
      </c>
      <c r="AC76" s="177" t="str">
        <f t="shared" si="115"/>
        <v>tapwater</v>
      </c>
      <c r="AD76" s="177" t="str">
        <f t="shared" si="115"/>
        <v>verlichting</v>
      </c>
      <c r="AE76" s="177" t="str">
        <f t="shared" si="115"/>
        <v>ventilatoren</v>
      </c>
      <c r="AF76" s="177" t="str">
        <f t="shared" si="115"/>
        <v>kookgas</v>
      </c>
      <c r="AG76" s="177" t="str">
        <f t="shared" si="115"/>
        <v>overig elektra</v>
      </c>
      <c r="AH76" s="177" t="str">
        <f t="shared" si="115"/>
        <v>mobiliteit</v>
      </c>
      <c r="AI76" s="177" t="str">
        <f t="shared" si="115"/>
        <v>zonnepanelen</v>
      </c>
      <c r="AJ76" s="174"/>
      <c r="AK76" s="176" t="str">
        <f>AK$10&amp;" MWh"</f>
        <v>locatie 3 MWh</v>
      </c>
      <c r="AL76" s="182"/>
      <c r="AM76" s="177" t="str">
        <f>AM$10</f>
        <v>verwarming</v>
      </c>
      <c r="AN76" s="177" t="str">
        <f t="shared" ref="AN76:AU76" si="116">AN$10</f>
        <v>koeling</v>
      </c>
      <c r="AO76" s="177" t="str">
        <f t="shared" si="116"/>
        <v>tapwater</v>
      </c>
      <c r="AP76" s="177" t="str">
        <f t="shared" si="116"/>
        <v>verlichting</v>
      </c>
      <c r="AQ76" s="177" t="str">
        <f t="shared" si="116"/>
        <v>ventilatoren</v>
      </c>
      <c r="AR76" s="177" t="str">
        <f t="shared" si="116"/>
        <v>kookgas</v>
      </c>
      <c r="AS76" s="177" t="str">
        <f t="shared" si="116"/>
        <v>overig elektra</v>
      </c>
      <c r="AT76" s="177" t="str">
        <f t="shared" si="116"/>
        <v>mobiliteit</v>
      </c>
      <c r="AU76" s="177" t="str">
        <f t="shared" si="116"/>
        <v>zonnepanelen</v>
      </c>
      <c r="AV76" s="174"/>
      <c r="AW76" s="176" t="str">
        <f>AW$10&amp;" MWh"</f>
        <v>locatie 4 MWh</v>
      </c>
      <c r="AX76" s="182"/>
      <c r="AY76" s="177" t="str">
        <f>AY$10</f>
        <v>verwarming</v>
      </c>
      <c r="AZ76" s="177" t="str">
        <f t="shared" ref="AZ76:BG76" si="117">AZ$10</f>
        <v>koeling</v>
      </c>
      <c r="BA76" s="177" t="str">
        <f t="shared" si="117"/>
        <v>tapwater</v>
      </c>
      <c r="BB76" s="177" t="str">
        <f t="shared" si="117"/>
        <v>verlichting</v>
      </c>
      <c r="BC76" s="177" t="str">
        <f t="shared" si="117"/>
        <v>ventilatoren</v>
      </c>
      <c r="BD76" s="177" t="str">
        <f t="shared" si="117"/>
        <v>kookgas</v>
      </c>
      <c r="BE76" s="177" t="str">
        <f t="shared" si="117"/>
        <v>overig elektra</v>
      </c>
      <c r="BF76" s="177" t="str">
        <f t="shared" si="117"/>
        <v>mobiliteit</v>
      </c>
      <c r="BG76" s="177" t="str">
        <f t="shared" si="117"/>
        <v>zonnepanelen</v>
      </c>
      <c r="BH76" s="1"/>
    </row>
    <row r="77" spans="1:60">
      <c r="A77" s="1040"/>
      <c r="B77" s="1109" t="s">
        <v>147</v>
      </c>
      <c r="C77" s="1106" t="s">
        <v>96</v>
      </c>
      <c r="D77" s="641"/>
      <c r="E77" s="940" t="s">
        <v>158</v>
      </c>
      <c r="F77" s="940"/>
      <c r="G77" s="940"/>
      <c r="H77" s="940"/>
      <c r="I77" s="77"/>
      <c r="J77" s="939"/>
      <c r="K77" s="126"/>
      <c r="L77" s="126"/>
      <c r="M77" s="938"/>
      <c r="N77" s="182"/>
      <c r="O77" s="177" t="str">
        <f t="shared" ref="O77:W77" si="118">O$10</f>
        <v>verwarming</v>
      </c>
      <c r="P77" s="177" t="str">
        <f t="shared" si="118"/>
        <v>koeling</v>
      </c>
      <c r="Q77" s="177" t="str">
        <f t="shared" si="118"/>
        <v>tapwater</v>
      </c>
      <c r="R77" s="177" t="str">
        <f t="shared" si="118"/>
        <v>verlichting</v>
      </c>
      <c r="S77" s="177" t="str">
        <f t="shared" si="118"/>
        <v>ventilatoren</v>
      </c>
      <c r="T77" s="177" t="str">
        <f t="shared" si="118"/>
        <v>kookgas</v>
      </c>
      <c r="U77" s="177" t="str">
        <f t="shared" si="118"/>
        <v>overig elektra</v>
      </c>
      <c r="V77" s="177" t="str">
        <f t="shared" si="118"/>
        <v>mobiliteit</v>
      </c>
      <c r="W77" s="177" t="str">
        <f t="shared" si="118"/>
        <v>zonnepanelen</v>
      </c>
      <c r="X77" s="147"/>
      <c r="Y77" s="125"/>
      <c r="Z77" s="125"/>
      <c r="AA77" s="125"/>
      <c r="AB77" s="125"/>
      <c r="AC77" s="125"/>
      <c r="AD77" s="125"/>
      <c r="AE77" s="125"/>
      <c r="AF77" s="125"/>
      <c r="AG77" s="125"/>
      <c r="AH77" s="125"/>
      <c r="AI77" s="125"/>
      <c r="AJ77" s="147"/>
      <c r="AK77" s="125"/>
      <c r="AL77" s="125"/>
      <c r="AM77" s="125"/>
      <c r="AN77" s="125"/>
      <c r="AO77" s="125"/>
      <c r="AP77" s="125"/>
      <c r="AQ77" s="125"/>
      <c r="AR77" s="125"/>
      <c r="AS77" s="125"/>
      <c r="AT77" s="125"/>
      <c r="AU77" s="125"/>
      <c r="AV77" s="147"/>
      <c r="AW77" s="125"/>
      <c r="AX77" s="125"/>
      <c r="AY77" s="125"/>
      <c r="AZ77" s="125"/>
      <c r="BA77" s="125"/>
      <c r="BB77" s="125"/>
      <c r="BC77" s="125"/>
      <c r="BD77" s="125"/>
      <c r="BE77" s="125"/>
      <c r="BF77" s="125"/>
      <c r="BG77" s="125"/>
      <c r="BH77" s="218"/>
    </row>
    <row r="78" spans="1:60">
      <c r="A78" s="1040"/>
      <c r="B78" s="1109" t="s">
        <v>147</v>
      </c>
      <c r="C78" s="1107" t="s">
        <v>104</v>
      </c>
      <c r="D78" s="641" t="s">
        <v>45</v>
      </c>
      <c r="E78" s="295" t="s">
        <v>159</v>
      </c>
      <c r="F78" s="296"/>
      <c r="G78" s="296"/>
      <c r="H78" s="295" t="s">
        <v>160</v>
      </c>
      <c r="I78" s="259"/>
      <c r="J78" s="261">
        <f>M78+Y78+AK78+AW78</f>
        <v>0</v>
      </c>
      <c r="K78" s="126"/>
      <c r="L78" s="126"/>
      <c r="M78" s="261">
        <f>SUM(N78:X78)</f>
        <v>0</v>
      </c>
      <c r="N78" s="259"/>
      <c r="O78" s="260">
        <f>SUMPRODUCT(N22:X22,N29:X29,N62:X62)/1000</f>
        <v>0</v>
      </c>
      <c r="P78" s="260">
        <f>SUMPRODUCT(N22:X22,N29:X29,N64:X64)/1000</f>
        <v>0</v>
      </c>
      <c r="Q78" s="260">
        <f>SUMPRODUCT(N22:X22,N29:X29,N65:X65)/1000</f>
        <v>0</v>
      </c>
      <c r="R78" s="260">
        <f>SUMPRODUCT(N22:X22,N29:X29,N66:X66)/1000</f>
        <v>0</v>
      </c>
      <c r="S78" s="260">
        <f>SUMPRODUCT(N22:X22,N29:X29,N67:X67)/1000</f>
        <v>0</v>
      </c>
      <c r="T78" s="260">
        <f>SUMPRODUCT(N22:X22,N29:X29,N68:X68)/1000</f>
        <v>0</v>
      </c>
      <c r="U78" s="260">
        <f>SUMPRODUCT(N22:X22,N29:X29,N69:X69)/1000</f>
        <v>0</v>
      </c>
      <c r="V78" s="260">
        <f>SUMPRODUCT(N22:X22,N71:X71)/1000</f>
        <v>0</v>
      </c>
      <c r="W78" s="260">
        <f>-SUMPRODUCT(N22:X22,N73:X73)/1000</f>
        <v>0</v>
      </c>
      <c r="X78" s="126"/>
      <c r="Y78" s="261">
        <f>SUM(Z78:AJ78)</f>
        <v>0</v>
      </c>
      <c r="Z78" s="259"/>
      <c r="AA78" s="260">
        <f>SUMPRODUCT(Z22:AJ22,Z29:AJ29,Z62:AJ62)/1000</f>
        <v>0</v>
      </c>
      <c r="AB78" s="260">
        <f>SUMPRODUCT(Z22:AJ22,Z29:AJ29,Z64:AJ64)/1000</f>
        <v>0</v>
      </c>
      <c r="AC78" s="260">
        <f>SUMPRODUCT(Z22:AJ22,Z29:AJ29,Z65:AJ65)/1000</f>
        <v>0</v>
      </c>
      <c r="AD78" s="260">
        <f>SUMPRODUCT(Z22:AJ22,Z29:AJ29,Z66:AJ66)/1000</f>
        <v>0</v>
      </c>
      <c r="AE78" s="260">
        <f>SUMPRODUCT(Z22:AJ22,Z29:AJ29,Z67:AJ67)/1000</f>
        <v>0</v>
      </c>
      <c r="AF78" s="260">
        <f>SUMPRODUCT(Z22:AJ22,Z29:AJ29,Z68:AJ68)/1000</f>
        <v>0</v>
      </c>
      <c r="AG78" s="260">
        <f>SUMPRODUCT(Z22:AJ22,Z29:AJ29,Z69:AJ69)/1000</f>
        <v>0</v>
      </c>
      <c r="AH78" s="260">
        <f>SUMPRODUCT(Z22:AJ22,Z71:AJ71)/1000</f>
        <v>0</v>
      </c>
      <c r="AI78" s="260">
        <f>-SUMPRODUCT(Z22:AJ22,Z73:AJ73)/1000</f>
        <v>0</v>
      </c>
      <c r="AJ78" s="126"/>
      <c r="AK78" s="261">
        <f>SUM(AL78:AV78)</f>
        <v>0</v>
      </c>
      <c r="AL78" s="259"/>
      <c r="AM78" s="260">
        <f>SUMPRODUCT(AL22:AV22,AL29:AV29,AL62:AV62)/1000</f>
        <v>0</v>
      </c>
      <c r="AN78" s="260">
        <f>SUMPRODUCT(AL22:AV22,AL29:AV29,AL64:AV64)/1000</f>
        <v>0</v>
      </c>
      <c r="AO78" s="260">
        <f>SUMPRODUCT(AL22:AV22,AL29:AV29,AL65:AV65)/1000</f>
        <v>0</v>
      </c>
      <c r="AP78" s="260">
        <f>SUMPRODUCT(AL22:AV22,AL29:AV29,AL66:AV66)/1000</f>
        <v>0</v>
      </c>
      <c r="AQ78" s="260">
        <f>SUMPRODUCT(AL22:AV22,AL29:AV29,AL67:AV67)/1000</f>
        <v>0</v>
      </c>
      <c r="AR78" s="260">
        <f>SUMPRODUCT(AL22:AV22,AL29:AV29,AL68:AV68)/1000</f>
        <v>0</v>
      </c>
      <c r="AS78" s="260">
        <f>SUMPRODUCT(AL22:AV22,AL29:AV29,AL69:AV69)/1000</f>
        <v>0</v>
      </c>
      <c r="AT78" s="260">
        <f>SUMPRODUCT(AL22:AV22,AL71:AV71)/1000</f>
        <v>0</v>
      </c>
      <c r="AU78" s="260">
        <f>-SUMPRODUCT(AL22:AV22,AL73:AV73)/1000</f>
        <v>0</v>
      </c>
      <c r="AV78" s="126"/>
      <c r="AW78" s="261">
        <f>SUM(AX78:BH78)</f>
        <v>0</v>
      </c>
      <c r="AX78" s="259"/>
      <c r="AY78" s="260">
        <f>SUMPRODUCT(AX22:BH22,AX29:BH29,AX62:BH62)/1000</f>
        <v>0</v>
      </c>
      <c r="AZ78" s="260">
        <f>SUMPRODUCT(AX22:BH22,AX29:BH29,AX64:BH64)/1000</f>
        <v>0</v>
      </c>
      <c r="BA78" s="260">
        <f>SUMPRODUCT(AX22:BH22,AX29:BH29,AX65:BH65)/1000</f>
        <v>0</v>
      </c>
      <c r="BB78" s="260">
        <f>SUMPRODUCT(AX22:BH22,AX29:BH29,AX66:BH66)/1000</f>
        <v>0</v>
      </c>
      <c r="BC78" s="260">
        <f>SUMPRODUCT(AX22:BH22,AX29:BH29,AX67:BH67)/1000</f>
        <v>0</v>
      </c>
      <c r="BD78" s="260">
        <f>SUMPRODUCT(AX22:BH22,AX29:BH29,AX68:BH68)/1000</f>
        <v>0</v>
      </c>
      <c r="BE78" s="260">
        <f>SUMPRODUCT(AX22:BH22,AX29:BH29,AX69:BH69)/1000</f>
        <v>0</v>
      </c>
      <c r="BF78" s="260">
        <f>SUMPRODUCT(AX22:BH22,AX71:BH71)/1000</f>
        <v>0</v>
      </c>
      <c r="BG78" s="260">
        <f>-SUMPRODUCT(AX22:BH22,AX73:BH73)/1000</f>
        <v>0</v>
      </c>
      <c r="BH78" s="210"/>
    </row>
    <row r="79" spans="1:60">
      <c r="A79" s="1040"/>
      <c r="B79" s="1109" t="s">
        <v>147</v>
      </c>
      <c r="C79" s="1106" t="s">
        <v>96</v>
      </c>
      <c r="D79" s="638"/>
      <c r="E79" s="79"/>
      <c r="F79" s="79"/>
      <c r="G79" s="79"/>
      <c r="H79" s="85"/>
      <c r="I79" s="79"/>
      <c r="J79" s="82"/>
      <c r="K79" s="79"/>
      <c r="L79" s="79"/>
      <c r="M79" s="82"/>
      <c r="N79" s="79"/>
      <c r="O79" s="82"/>
      <c r="P79" s="82"/>
      <c r="Q79" s="82"/>
      <c r="R79" s="82"/>
      <c r="S79" s="82"/>
      <c r="T79" s="82"/>
      <c r="U79" s="82"/>
      <c r="V79" s="82"/>
      <c r="W79" s="82"/>
      <c r="X79" s="82"/>
      <c r="Y79" s="82"/>
      <c r="Z79" s="79"/>
      <c r="AA79" s="108"/>
      <c r="AB79" s="82"/>
      <c r="AC79" s="108"/>
      <c r="AD79" s="82"/>
      <c r="AE79" s="82"/>
      <c r="AF79" s="82"/>
      <c r="AG79" s="82"/>
      <c r="AH79" s="82"/>
      <c r="AI79" s="82"/>
      <c r="AJ79" s="82"/>
      <c r="AK79" s="82"/>
      <c r="AL79" s="79"/>
      <c r="AM79" s="82"/>
      <c r="AN79" s="82"/>
      <c r="AO79" s="82"/>
      <c r="AP79" s="82"/>
      <c r="AQ79" s="82"/>
      <c r="AR79" s="82"/>
      <c r="AS79" s="82"/>
      <c r="AT79" s="82"/>
      <c r="AU79" s="82"/>
      <c r="AV79" s="82"/>
      <c r="AW79" s="82"/>
      <c r="AX79" s="79"/>
      <c r="AY79" s="82"/>
      <c r="AZ79" s="82"/>
      <c r="BA79" s="82"/>
      <c r="BB79" s="82"/>
      <c r="BC79" s="82"/>
      <c r="BD79" s="82"/>
      <c r="BE79" s="82"/>
      <c r="BF79" s="82"/>
      <c r="BG79" s="82"/>
      <c r="BH79" s="1"/>
    </row>
    <row r="80" spans="1:60">
      <c r="A80" s="1040"/>
      <c r="B80" s="1109" t="s">
        <v>161</v>
      </c>
      <c r="C80" s="1107" t="s">
        <v>96</v>
      </c>
      <c r="D80" s="638"/>
      <c r="E80" s="79"/>
      <c r="F80" s="79"/>
      <c r="G80" s="79"/>
      <c r="H80" s="85"/>
      <c r="I80" s="79"/>
      <c r="J80" s="82"/>
      <c r="K80" s="79"/>
      <c r="L80" s="79"/>
      <c r="M80" s="82"/>
      <c r="N80" s="79"/>
      <c r="O80" s="82"/>
      <c r="P80" s="82"/>
      <c r="Q80" s="82"/>
      <c r="R80" s="82"/>
      <c r="S80" s="82"/>
      <c r="T80" s="82"/>
      <c r="U80" s="82"/>
      <c r="V80" s="82"/>
      <c r="W80" s="82"/>
      <c r="X80" s="82"/>
      <c r="Y80" s="82"/>
      <c r="Z80" s="79"/>
      <c r="AA80" s="108"/>
      <c r="AB80" s="108"/>
      <c r="AC80" s="82"/>
      <c r="AD80" s="82"/>
      <c r="AE80" s="82"/>
      <c r="AF80" s="82"/>
      <c r="AG80" s="82"/>
      <c r="AH80" s="82"/>
      <c r="AI80" s="82"/>
      <c r="AJ80" s="82"/>
      <c r="AK80" s="82"/>
      <c r="AL80" s="79"/>
      <c r="AM80" s="82"/>
      <c r="AN80" s="82"/>
      <c r="AO80" s="82"/>
      <c r="AP80" s="82"/>
      <c r="AQ80" s="82"/>
      <c r="AR80" s="82"/>
      <c r="AS80" s="82"/>
      <c r="AT80" s="82"/>
      <c r="AU80" s="82"/>
      <c r="AV80" s="82"/>
      <c r="AW80" s="82"/>
      <c r="AX80" s="79"/>
      <c r="AY80" s="82"/>
      <c r="AZ80" s="82"/>
      <c r="BA80" s="82"/>
      <c r="BB80" s="82"/>
      <c r="BC80" s="82"/>
      <c r="BD80" s="82"/>
      <c r="BE80" s="82"/>
      <c r="BF80" s="82"/>
      <c r="BG80" s="82"/>
      <c r="BH80" s="1"/>
    </row>
    <row r="81" spans="1:60" ht="21">
      <c r="A81" s="1040"/>
      <c r="B81" s="1109" t="s">
        <v>161</v>
      </c>
      <c r="C81" s="1106" t="s">
        <v>96</v>
      </c>
      <c r="D81" s="641" t="s">
        <v>45</v>
      </c>
      <c r="E81" s="199" t="s">
        <v>162</v>
      </c>
      <c r="F81" s="199"/>
      <c r="G81" s="199"/>
      <c r="H81" s="199"/>
      <c r="I81" s="77"/>
      <c r="J81" s="200" t="str">
        <f>J$10</f>
        <v>alle locaties</v>
      </c>
      <c r="K81" s="126"/>
      <c r="L81" s="126"/>
      <c r="M81" s="200" t="str">
        <f>M$10</f>
        <v>locatie 1</v>
      </c>
      <c r="N81" s="182"/>
      <c r="O81" s="966" t="str">
        <f>$E81&amp;" per energiepost"</f>
        <v>installatie systeem per energiepost</v>
      </c>
      <c r="P81" s="941"/>
      <c r="Q81" s="941"/>
      <c r="R81" s="941"/>
      <c r="S81" s="941"/>
      <c r="T81" s="941"/>
      <c r="U81" s="941"/>
      <c r="V81" s="941"/>
      <c r="W81" s="956"/>
      <c r="X81" s="174"/>
      <c r="Y81" s="176"/>
      <c r="Z81" s="182"/>
      <c r="AA81" s="966" t="str">
        <f>$E81&amp;" per energiepost"</f>
        <v>installatie systeem per energiepost</v>
      </c>
      <c r="AB81" s="941"/>
      <c r="AC81" s="941"/>
      <c r="AD81" s="941"/>
      <c r="AE81" s="941"/>
      <c r="AF81" s="941"/>
      <c r="AG81" s="941"/>
      <c r="AH81" s="941"/>
      <c r="AI81" s="956"/>
      <c r="AJ81" s="174"/>
      <c r="AK81" s="176"/>
      <c r="AL81" s="182"/>
      <c r="AM81" s="966" t="str">
        <f>$E81&amp;" per energiepost"</f>
        <v>installatie systeem per energiepost</v>
      </c>
      <c r="AN81" s="941"/>
      <c r="AO81" s="941"/>
      <c r="AP81" s="941"/>
      <c r="AQ81" s="941"/>
      <c r="AR81" s="941"/>
      <c r="AS81" s="941"/>
      <c r="AT81" s="941"/>
      <c r="AU81" s="956"/>
      <c r="AV81" s="174"/>
      <c r="AW81" s="176"/>
      <c r="AX81" s="182"/>
      <c r="AY81" s="966" t="str">
        <f>$E81&amp;" per energiepost"</f>
        <v>installatie systeem per energiepost</v>
      </c>
      <c r="AZ81" s="941"/>
      <c r="BA81" s="941"/>
      <c r="BB81" s="941"/>
      <c r="BC81" s="941"/>
      <c r="BD81" s="941"/>
      <c r="BE81" s="941"/>
      <c r="BF81" s="941"/>
      <c r="BG81" s="956"/>
      <c r="BH81" s="1"/>
    </row>
    <row r="82" spans="1:60">
      <c r="A82" s="1040"/>
      <c r="B82" s="1109" t="s">
        <v>161</v>
      </c>
      <c r="C82" s="1106" t="s">
        <v>96</v>
      </c>
      <c r="D82" s="641" t="s">
        <v>45</v>
      </c>
      <c r="E82" s="940" t="s">
        <v>163</v>
      </c>
      <c r="F82" s="940"/>
      <c r="G82" s="940"/>
      <c r="H82" s="940"/>
      <c r="I82" s="77"/>
      <c r="J82" s="939"/>
      <c r="K82" s="126"/>
      <c r="L82" s="126"/>
      <c r="M82" s="938"/>
      <c r="N82" s="125"/>
      <c r="O82" s="177" t="str">
        <f>O$10</f>
        <v>verwarming</v>
      </c>
      <c r="P82" s="177" t="str">
        <f>P$10</f>
        <v>koeling</v>
      </c>
      <c r="Q82" s="177" t="str">
        <f>Q$10</f>
        <v>tapwater</v>
      </c>
      <c r="R82" s="177"/>
      <c r="S82" s="177"/>
      <c r="T82" s="177"/>
      <c r="U82" s="177"/>
      <c r="V82" s="177"/>
      <c r="W82" s="177"/>
      <c r="X82" s="147"/>
      <c r="Y82" s="938"/>
      <c r="Z82" s="125"/>
      <c r="AA82" s="177" t="str">
        <f>AA$10</f>
        <v>verwarming</v>
      </c>
      <c r="AB82" s="177" t="str">
        <f>AB$10</f>
        <v>koeling</v>
      </c>
      <c r="AC82" s="177" t="str">
        <f>AC$10</f>
        <v>tapwater</v>
      </c>
      <c r="AD82" s="177"/>
      <c r="AE82" s="177"/>
      <c r="AF82" s="177"/>
      <c r="AG82" s="177"/>
      <c r="AH82" s="177"/>
      <c r="AI82" s="177"/>
      <c r="AJ82" s="147"/>
      <c r="AK82" s="938"/>
      <c r="AL82" s="125"/>
      <c r="AM82" s="177" t="str">
        <f>AM$10</f>
        <v>verwarming</v>
      </c>
      <c r="AN82" s="177" t="str">
        <f>AN$10</f>
        <v>koeling</v>
      </c>
      <c r="AO82" s="177" t="str">
        <f>AO$10</f>
        <v>tapwater</v>
      </c>
      <c r="AP82" s="177"/>
      <c r="AQ82" s="177"/>
      <c r="AR82" s="177"/>
      <c r="AS82" s="177"/>
      <c r="AT82" s="177"/>
      <c r="AU82" s="177"/>
      <c r="AV82" s="147"/>
      <c r="AW82" s="938"/>
      <c r="AX82" s="125"/>
      <c r="AY82" s="177" t="str">
        <f>AY$10</f>
        <v>verwarming</v>
      </c>
      <c r="AZ82" s="177" t="str">
        <f>AZ$10</f>
        <v>koeling</v>
      </c>
      <c r="BA82" s="177" t="str">
        <f>BA$10</f>
        <v>tapwater</v>
      </c>
      <c r="BB82" s="177"/>
      <c r="BC82" s="177"/>
      <c r="BD82" s="177"/>
      <c r="BE82" s="177"/>
      <c r="BF82" s="177"/>
      <c r="BG82" s="177"/>
      <c r="BH82" s="218"/>
    </row>
    <row r="83" spans="1:60" ht="38.25">
      <c r="A83" s="1040"/>
      <c r="B83" s="1109" t="s">
        <v>161</v>
      </c>
      <c r="C83" s="1107" t="s">
        <v>118</v>
      </c>
      <c r="D83" s="638"/>
      <c r="E83" s="150" t="s">
        <v>164</v>
      </c>
      <c r="F83" s="294"/>
      <c r="G83" s="294"/>
      <c r="H83" s="150" t="s">
        <v>65</v>
      </c>
      <c r="I83" s="155"/>
      <c r="J83" s="268" t="str">
        <f>IF(AND(M$29&gt;0,COUNTBLANK(O83:Q83)&gt;0),"kies installatie locatie 1",
IF(AND(Y$29&gt;0,COUNTBLANK(AA83:AC83)&gt;0),"kies installatie locatie 2",
IF(AND(AK$29&gt;0,COUNTBLANK(AM83:AO83)&gt;0),"kies installatie locatie 3",
IF(AND(AW$29&gt;0,COUNTBLANK(AY83:BA83)&gt;0),"kies installatie locatie 4",
"ja"))))</f>
        <v>ja</v>
      </c>
      <c r="K83" s="1056"/>
      <c r="L83" s="1056"/>
      <c r="M83" s="268" t="str" cm="1">
        <f t="array" ref="M83">IF(M78=0,"",IF(SUMPRODUCT((O78:Q78&gt;0)*1,(O83:Q83="")*1)&gt;0,"nee","ja"))</f>
        <v/>
      </c>
      <c r="N83" s="120"/>
      <c r="O83" s="859" t="s">
        <v>473</v>
      </c>
      <c r="P83" s="859" t="s">
        <v>166</v>
      </c>
      <c r="Q83" s="859" t="s">
        <v>473</v>
      </c>
      <c r="R83" s="156"/>
      <c r="S83" s="156"/>
      <c r="T83" s="156"/>
      <c r="U83" s="156"/>
      <c r="V83" s="156"/>
      <c r="W83" s="156"/>
      <c r="X83" s="147"/>
      <c r="Y83" s="268" t="str" cm="1">
        <f t="array" ref="Y83">IF(Y78=0,"",IF(SUMPRODUCT((AA78:AC78&gt;0)*1,(AA83:AC83="")*1)&gt;0,"nee","ja"))</f>
        <v/>
      </c>
      <c r="Z83" s="120"/>
      <c r="AA83" s="859" t="s">
        <v>473</v>
      </c>
      <c r="AB83" s="859" t="s">
        <v>166</v>
      </c>
      <c r="AC83" s="859" t="s">
        <v>473</v>
      </c>
      <c r="AD83" s="156"/>
      <c r="AE83" s="156"/>
      <c r="AF83" s="156"/>
      <c r="AG83" s="156"/>
      <c r="AH83" s="156"/>
      <c r="AI83" s="156"/>
      <c r="AJ83" s="147"/>
      <c r="AK83" s="268" t="str" cm="1">
        <f t="array" ref="AK83">IF(AK78=0,"",IF(SUMPRODUCT((AM78:AO78&gt;0)*1,(AM83:AO83="")*1)&gt;0,"nee","ja"))</f>
        <v/>
      </c>
      <c r="AL83" s="120"/>
      <c r="AM83" s="859" t="s">
        <v>473</v>
      </c>
      <c r="AN83" s="859" t="s">
        <v>166</v>
      </c>
      <c r="AO83" s="859" t="s">
        <v>473</v>
      </c>
      <c r="AP83" s="156"/>
      <c r="AQ83" s="156"/>
      <c r="AR83" s="156"/>
      <c r="AS83" s="156"/>
      <c r="AT83" s="156"/>
      <c r="AU83" s="156"/>
      <c r="AV83" s="147"/>
      <c r="AW83" s="268" t="str" cm="1">
        <f t="array" ref="AW83">IF(AW78=0,"",IF(SUMPRODUCT((AY78:BA78&gt;0)*1,(AY83:BA83="")*1)&gt;0,"nee","ja"))</f>
        <v/>
      </c>
      <c r="AX83" s="125"/>
      <c r="AY83" s="859" t="s">
        <v>473</v>
      </c>
      <c r="AZ83" s="859" t="s">
        <v>166</v>
      </c>
      <c r="BA83" s="859" t="s">
        <v>473</v>
      </c>
      <c r="BB83" s="156"/>
      <c r="BC83" s="156"/>
      <c r="BD83" s="156"/>
      <c r="BE83" s="156"/>
      <c r="BF83" s="156"/>
      <c r="BG83" s="156"/>
      <c r="BH83" s="218"/>
    </row>
    <row r="84" spans="1:60">
      <c r="A84" s="1040"/>
      <c r="B84" s="1109" t="s">
        <v>161</v>
      </c>
      <c r="C84" s="1107" t="s">
        <v>118</v>
      </c>
      <c r="D84" s="638"/>
      <c r="E84" s="181" t="str">
        <f>bibliotheek!$E$85</f>
        <v>geografisch niveau installatie [keuzelijst]</v>
      </c>
      <c r="F84" s="180"/>
      <c r="G84" s="180"/>
      <c r="H84" s="181" t="s">
        <v>65</v>
      </c>
      <c r="I84" s="129"/>
      <c r="J84" s="190"/>
      <c r="K84" s="107"/>
      <c r="L84" s="107"/>
      <c r="M84" s="190"/>
      <c r="N84" s="114"/>
      <c r="O84" s="285" t="str">
        <f>HLOOKUP(IF(O$83="",referentie_verwarming,O$83),toestellen_RV,ROWS(bibliotheek!$E$83:$E$85),FALSE)</f>
        <v>gebouw</v>
      </c>
      <c r="P84" s="285" t="str">
        <f>HLOOKUP(IF(P$83="",referentie_koeling,P$83),toestellen_KOEL,ROWS(bibliotheek!$E$190:$E$192),FALSE)</f>
        <v>gebouw</v>
      </c>
      <c r="Q84" s="285" t="str">
        <f>HLOOKUP(IF(Q$83="",referentie_warmtapwater,Q$83),toestellen_TAP,ROWS(bibliotheek!$E$139:$E$141),FALSE)</f>
        <v>gebouw</v>
      </c>
      <c r="R84" s="159"/>
      <c r="S84" s="159"/>
      <c r="T84" s="159"/>
      <c r="U84" s="159"/>
      <c r="V84" s="159"/>
      <c r="W84" s="159"/>
      <c r="X84" s="147"/>
      <c r="Y84" s="128"/>
      <c r="Z84" s="114"/>
      <c r="AA84" s="285" t="str">
        <f>HLOOKUP(IF(AA$83="",referentie_verwarming,AA$83),toestellen_RV,ROWS(bibliotheek!$E$83:$E$85),FALSE)</f>
        <v>gebouw</v>
      </c>
      <c r="AB84" s="285" t="str">
        <f>HLOOKUP(IF(AB$83="",referentie_koeling,AB$83),toestellen_KOEL,ROWS(bibliotheek!$E$190:$E$192),FALSE)</f>
        <v>gebouw</v>
      </c>
      <c r="AC84" s="285" t="str">
        <f>HLOOKUP(IF(AC$83="",referentie_warmtapwater,AC$83),toestellen_TAP,ROWS(bibliotheek!$E$139:$E$141),FALSE)</f>
        <v>gebouw</v>
      </c>
      <c r="AD84" s="159"/>
      <c r="AE84" s="159"/>
      <c r="AF84" s="159"/>
      <c r="AG84" s="159"/>
      <c r="AH84" s="159"/>
      <c r="AI84" s="159"/>
      <c r="AJ84" s="147"/>
      <c r="AK84" s="128"/>
      <c r="AL84" s="120"/>
      <c r="AM84" s="285" t="str">
        <f>HLOOKUP(IF(AM$83="",referentie_verwarming,AM$83),toestellen_RV,ROWS(bibliotheek!$E$83:$E$85),FALSE)</f>
        <v>gebouw</v>
      </c>
      <c r="AN84" s="285" t="str">
        <f>HLOOKUP(IF(AN$83="",referentie_koeling,AN$83),toestellen_KOEL,ROWS(bibliotheek!$E$190:$E$192),FALSE)</f>
        <v>gebouw</v>
      </c>
      <c r="AO84" s="285" t="str">
        <f>HLOOKUP(IF(AO$83="",referentie_warmtapwater,AO$83),toestellen_TAP,ROWS(bibliotheek!$E$139:$E$141),FALSE)</f>
        <v>gebouw</v>
      </c>
      <c r="AP84" s="159"/>
      <c r="AQ84" s="159"/>
      <c r="AR84" s="159"/>
      <c r="AS84" s="159"/>
      <c r="AT84" s="159"/>
      <c r="AU84" s="159"/>
      <c r="AV84" s="147"/>
      <c r="AW84" s="128"/>
      <c r="AX84" s="125"/>
      <c r="AY84" s="285" t="str">
        <f>HLOOKUP(IF(AY$83="",referentie_verwarming,AY$83),toestellen_RV,ROWS(bibliotheek!$E$83:$E$85),FALSE)</f>
        <v>gebouw</v>
      </c>
      <c r="AZ84" s="285" t="str">
        <f>HLOOKUP(IF(AZ$83="",referentie_koeling,AZ$83),toestellen_KOEL,ROWS(bibliotheek!$E$190:$E$192),FALSE)</f>
        <v>gebouw</v>
      </c>
      <c r="BA84" s="285" t="str">
        <f>HLOOKUP(IF(BA$83="",referentie_warmtapwater,BA$83),toestellen_TAP,ROWS(bibliotheek!$E$139:$E$141),FALSE)</f>
        <v>gebouw</v>
      </c>
      <c r="BB84" s="159"/>
      <c r="BC84" s="159"/>
      <c r="BD84" s="159"/>
      <c r="BE84" s="159"/>
      <c r="BF84" s="159"/>
      <c r="BG84" s="159"/>
      <c r="BH84" s="174"/>
    </row>
    <row r="85" spans="1:60">
      <c r="A85" s="1040"/>
      <c r="B85" s="1109" t="s">
        <v>161</v>
      </c>
      <c r="C85" s="1106" t="s">
        <v>96</v>
      </c>
      <c r="D85" s="641" t="s">
        <v>45</v>
      </c>
      <c r="E85" s="940" t="s">
        <v>169</v>
      </c>
      <c r="F85" s="940"/>
      <c r="G85" s="940"/>
      <c r="H85" s="940"/>
      <c r="I85" s="77"/>
      <c r="J85" s="939"/>
      <c r="K85" s="126"/>
      <c r="L85" s="126"/>
      <c r="M85" s="938"/>
      <c r="N85" s="125"/>
      <c r="O85" s="177" t="str">
        <f>O$10</f>
        <v>verwarming</v>
      </c>
      <c r="P85" s="177" t="str">
        <f>P$10</f>
        <v>koeling</v>
      </c>
      <c r="Q85" s="177" t="str">
        <f>Q$10</f>
        <v>tapwater</v>
      </c>
      <c r="R85" s="177"/>
      <c r="S85" s="177"/>
      <c r="T85" s="177"/>
      <c r="U85" s="177"/>
      <c r="V85" s="177"/>
      <c r="W85" s="177"/>
      <c r="X85" s="147"/>
      <c r="Y85" s="938"/>
      <c r="Z85" s="125"/>
      <c r="AA85" s="177" t="str">
        <f>AA$10</f>
        <v>verwarming</v>
      </c>
      <c r="AB85" s="177" t="str">
        <f>AB$10</f>
        <v>koeling</v>
      </c>
      <c r="AC85" s="177" t="str">
        <f>AC$10</f>
        <v>tapwater</v>
      </c>
      <c r="AD85" s="177"/>
      <c r="AE85" s="177"/>
      <c r="AF85" s="177"/>
      <c r="AG85" s="177"/>
      <c r="AH85" s="177"/>
      <c r="AI85" s="177"/>
      <c r="AJ85" s="147"/>
      <c r="AK85" s="938"/>
      <c r="AL85" s="125"/>
      <c r="AM85" s="177" t="str">
        <f>AM$10</f>
        <v>verwarming</v>
      </c>
      <c r="AN85" s="177" t="str">
        <f>AN$10</f>
        <v>koeling</v>
      </c>
      <c r="AO85" s="177" t="str">
        <f>AO$10</f>
        <v>tapwater</v>
      </c>
      <c r="AP85" s="177"/>
      <c r="AQ85" s="177"/>
      <c r="AR85" s="177"/>
      <c r="AS85" s="177"/>
      <c r="AT85" s="177"/>
      <c r="AU85" s="177"/>
      <c r="AV85" s="147"/>
      <c r="AW85" s="938"/>
      <c r="AX85" s="125"/>
      <c r="AY85" s="177" t="str">
        <f>AY$10</f>
        <v>verwarming</v>
      </c>
      <c r="AZ85" s="177" t="str">
        <f>AZ$10</f>
        <v>koeling</v>
      </c>
      <c r="BA85" s="177" t="str">
        <f>BA$10</f>
        <v>tapwater</v>
      </c>
      <c r="BB85" s="177"/>
      <c r="BC85" s="177"/>
      <c r="BD85" s="177"/>
      <c r="BE85" s="177"/>
      <c r="BF85" s="177"/>
      <c r="BG85" s="177"/>
      <c r="BH85" s="174"/>
    </row>
    <row r="86" spans="1:60">
      <c r="A86" s="1040"/>
      <c r="B86" s="1109" t="s">
        <v>161</v>
      </c>
      <c r="C86" s="1106" t="s">
        <v>118</v>
      </c>
      <c r="D86" s="638"/>
      <c r="E86" s="291" t="s">
        <v>170</v>
      </c>
      <c r="F86" s="254"/>
      <c r="G86" s="254"/>
      <c r="H86" s="291" t="s">
        <v>65</v>
      </c>
      <c r="I86" s="134"/>
      <c r="J86" s="189"/>
      <c r="K86" s="107"/>
      <c r="L86" s="107"/>
      <c r="M86" s="189"/>
      <c r="N86" s="116"/>
      <c r="O86" s="384">
        <f>IF(O87&lt;&gt;"",O87,HLOOKUP(IF(O$83="",referentie_verwarming,O$83),toestellen_RV,ROWS(bibliotheek!$E$83:$E$90),FALSE))</f>
        <v>1</v>
      </c>
      <c r="P86" s="138">
        <v>1</v>
      </c>
      <c r="Q86" s="384">
        <f>IF(Q87&lt;&gt;"",Q87,HLOOKUP(IF(Q$83="",referentie_warmtapwater,Q$83),toestellen_TAP,ROWS(bibliotheek!$E$139:$E$146),FALSE))</f>
        <v>0.85</v>
      </c>
      <c r="R86" s="139"/>
      <c r="S86" s="139"/>
      <c r="T86" s="139"/>
      <c r="U86" s="139"/>
      <c r="V86" s="139"/>
      <c r="W86" s="139"/>
      <c r="X86" s="76"/>
      <c r="Y86" s="133"/>
      <c r="Z86" s="134"/>
      <c r="AA86" s="384">
        <f>IF(AA87&lt;&gt;"",AA87,HLOOKUP(IF(AA$83="",referentie_verwarming,AA$83),toestellen_RV,ROWS(bibliotheek!$E$83:$E$90),FALSE))</f>
        <v>1</v>
      </c>
      <c r="AB86" s="138">
        <f>1</f>
        <v>1</v>
      </c>
      <c r="AC86" s="384">
        <f>IF(AC87&lt;&gt;"",AC87,HLOOKUP(IF(AC$83="",referentie_warmtapwater,AC$83),toestellen_TAP,ROWS(bibliotheek!$E$139:$E$146),FALSE))</f>
        <v>0.85</v>
      </c>
      <c r="AD86" s="139"/>
      <c r="AE86" s="139"/>
      <c r="AF86" s="139"/>
      <c r="AG86" s="139"/>
      <c r="AH86" s="139"/>
      <c r="AI86" s="139"/>
      <c r="AJ86" s="76"/>
      <c r="AK86" s="133"/>
      <c r="AL86" s="134"/>
      <c r="AM86" s="384">
        <f>IF(AM87&lt;&gt;"",AM87,HLOOKUP(IF(AM$83="",referentie_verwarming,AM$83),toestellen_RV,ROWS(bibliotheek!$E$83:$E$90),FALSE))</f>
        <v>1</v>
      </c>
      <c r="AN86" s="138">
        <f>1</f>
        <v>1</v>
      </c>
      <c r="AO86" s="384">
        <f>IF(AO87&lt;&gt;"",AO87,HLOOKUP(IF(AO$83="",referentie_warmtapwater,AO$83),toestellen_TAP,ROWS(bibliotheek!$E$139:$E$146),FALSE))</f>
        <v>0.85</v>
      </c>
      <c r="AP86" s="139"/>
      <c r="AQ86" s="139"/>
      <c r="AR86" s="139"/>
      <c r="AS86" s="139"/>
      <c r="AT86" s="139"/>
      <c r="AU86" s="139"/>
      <c r="AV86" s="76"/>
      <c r="AW86" s="133"/>
      <c r="AX86" s="134"/>
      <c r="AY86" s="384">
        <f>IF(AY87&lt;&gt;"",AY87,HLOOKUP(IF(AY$83="",referentie_verwarming,AY$83),toestellen_RV,ROWS(bibliotheek!$E$83:$E$90),FALSE))</f>
        <v>1</v>
      </c>
      <c r="AZ86" s="138">
        <f>1</f>
        <v>1</v>
      </c>
      <c r="BA86" s="384">
        <f>IF(BA87&lt;&gt;"",BA87,HLOOKUP(IF(BA$83="",referentie_warmtapwater,BA$83),toestellen_TAP,ROWS(bibliotheek!$E$139:$E$146),FALSE))</f>
        <v>0.85</v>
      </c>
      <c r="BB86" s="160"/>
      <c r="BC86" s="160"/>
      <c r="BD86" s="160"/>
      <c r="BE86" s="160"/>
      <c r="BF86" s="160"/>
      <c r="BG86" s="160"/>
      <c r="BH86" s="210"/>
    </row>
    <row r="87" spans="1:60">
      <c r="A87" s="1040"/>
      <c r="B87" s="1109" t="s">
        <v>161</v>
      </c>
      <c r="C87" s="1106" t="s">
        <v>118</v>
      </c>
      <c r="D87" s="638"/>
      <c r="E87" s="1218" t="s">
        <v>171</v>
      </c>
      <c r="F87" s="255"/>
      <c r="G87" s="255"/>
      <c r="H87" s="292" t="s">
        <v>65</v>
      </c>
      <c r="I87" s="136"/>
      <c r="J87" s="299"/>
      <c r="K87" s="107"/>
      <c r="L87" s="107"/>
      <c r="M87" s="198"/>
      <c r="N87" s="161"/>
      <c r="O87" s="275"/>
      <c r="P87" s="280"/>
      <c r="Q87" s="275"/>
      <c r="R87" s="162"/>
      <c r="S87" s="162"/>
      <c r="T87" s="162"/>
      <c r="U87" s="162"/>
      <c r="V87" s="162"/>
      <c r="W87" s="162"/>
      <c r="X87" s="110"/>
      <c r="Y87" s="286"/>
      <c r="Z87" s="161"/>
      <c r="AA87" s="275"/>
      <c r="AB87" s="280"/>
      <c r="AC87" s="275"/>
      <c r="AD87" s="162"/>
      <c r="AE87" s="162"/>
      <c r="AF87" s="162"/>
      <c r="AG87" s="162"/>
      <c r="AH87" s="162"/>
      <c r="AI87" s="162"/>
      <c r="AJ87" s="110"/>
      <c r="AK87" s="286"/>
      <c r="AL87" s="161"/>
      <c r="AM87" s="275"/>
      <c r="AN87" s="280"/>
      <c r="AO87" s="275"/>
      <c r="AP87" s="162"/>
      <c r="AQ87" s="162"/>
      <c r="AR87" s="162"/>
      <c r="AS87" s="162"/>
      <c r="AT87" s="162"/>
      <c r="AU87" s="162"/>
      <c r="AV87" s="110"/>
      <c r="AW87" s="286"/>
      <c r="AX87" s="161"/>
      <c r="AY87" s="275"/>
      <c r="AZ87" s="280"/>
      <c r="BA87" s="275"/>
      <c r="BB87" s="162"/>
      <c r="BC87" s="162"/>
      <c r="BD87" s="162"/>
      <c r="BE87" s="162"/>
      <c r="BF87" s="162"/>
      <c r="BG87" s="162"/>
      <c r="BH87" s="210"/>
    </row>
    <row r="88" spans="1:60">
      <c r="A88" s="1040"/>
      <c r="B88" s="1109" t="s">
        <v>161</v>
      </c>
      <c r="C88" s="1106" t="s">
        <v>118</v>
      </c>
      <c r="D88" s="641"/>
      <c r="E88" s="181" t="s">
        <v>172</v>
      </c>
      <c r="F88" s="180"/>
      <c r="G88" s="180"/>
      <c r="H88" s="181" t="s">
        <v>160</v>
      </c>
      <c r="I88" s="129"/>
      <c r="J88" s="190"/>
      <c r="K88" s="107"/>
      <c r="L88" s="107"/>
      <c r="M88" s="190"/>
      <c r="N88" s="114"/>
      <c r="O88" s="208">
        <f>IF(O$78=0,0,O$78/O$86-O$78)</f>
        <v>0</v>
      </c>
      <c r="P88" s="208">
        <f>IF(P$78=0,0,P$78/P$86-P$78)</f>
        <v>0</v>
      </c>
      <c r="Q88" s="208">
        <f>IF(Q$78=0,0,Q$78/Q$86-Q$78)</f>
        <v>0</v>
      </c>
      <c r="R88" s="130"/>
      <c r="S88" s="130"/>
      <c r="T88" s="130"/>
      <c r="U88" s="130"/>
      <c r="V88" s="130"/>
      <c r="W88" s="130"/>
      <c r="X88" s="110"/>
      <c r="Y88" s="132"/>
      <c r="Z88" s="114"/>
      <c r="AA88" s="208">
        <f>IF(AA$78=0,0,AA$78/AA$86-AA$78)</f>
        <v>0</v>
      </c>
      <c r="AB88" s="208">
        <f>IF(AB$78=0,0,AB$78/AB$86-AB$78)</f>
        <v>0</v>
      </c>
      <c r="AC88" s="208">
        <f>IF(AC$78=0,0,AC$78/AC$86-AC$78)</f>
        <v>0</v>
      </c>
      <c r="AD88" s="130"/>
      <c r="AE88" s="130"/>
      <c r="AF88" s="130"/>
      <c r="AG88" s="130"/>
      <c r="AH88" s="130"/>
      <c r="AI88" s="130"/>
      <c r="AJ88" s="110"/>
      <c r="AK88" s="132"/>
      <c r="AL88" s="114"/>
      <c r="AM88" s="208">
        <f>IF(AM$78=0,0,AM$78/AM$86-AM$78)</f>
        <v>0</v>
      </c>
      <c r="AN88" s="208">
        <f>IF(AN$78=0,0,AN$78/AN$86-AN$78)</f>
        <v>0</v>
      </c>
      <c r="AO88" s="208">
        <f>IF(AO$78=0,0,AO$78/AO$86-AO$78)</f>
        <v>0</v>
      </c>
      <c r="AP88" s="130"/>
      <c r="AQ88" s="130"/>
      <c r="AR88" s="130"/>
      <c r="AS88" s="130"/>
      <c r="AT88" s="130"/>
      <c r="AU88" s="130"/>
      <c r="AV88" s="110"/>
      <c r="AW88" s="132"/>
      <c r="AX88" s="114"/>
      <c r="AY88" s="208">
        <f>IF(AY$78=0,0,AY$78/AY$86-AY$78)</f>
        <v>0</v>
      </c>
      <c r="AZ88" s="208">
        <f>IF(AZ$78=0,0,AZ$78/AZ$86-AZ$78)</f>
        <v>0</v>
      </c>
      <c r="BA88" s="208">
        <f>IF(BA$78=0,0,BA$78/BA$86-BA$78)</f>
        <v>0</v>
      </c>
      <c r="BB88" s="130"/>
      <c r="BC88" s="130"/>
      <c r="BD88" s="130"/>
      <c r="BE88" s="130"/>
      <c r="BF88" s="130"/>
      <c r="BG88" s="130"/>
      <c r="BH88" s="210"/>
    </row>
    <row r="89" spans="1:60">
      <c r="A89" s="1040"/>
      <c r="B89" s="1109" t="s">
        <v>161</v>
      </c>
      <c r="C89" s="1106" t="s">
        <v>96</v>
      </c>
      <c r="D89" s="641" t="s">
        <v>45</v>
      </c>
      <c r="E89" s="940" t="s">
        <v>173</v>
      </c>
      <c r="F89" s="940"/>
      <c r="G89" s="940"/>
      <c r="H89" s="940"/>
      <c r="I89" s="77"/>
      <c r="J89" s="939"/>
      <c r="K89" s="126"/>
      <c r="L89" s="126"/>
      <c r="M89" s="938"/>
      <c r="N89" s="125"/>
      <c r="O89" s="177" t="str">
        <f>O$10</f>
        <v>verwarming</v>
      </c>
      <c r="P89" s="177" t="str">
        <f>P$10</f>
        <v>koeling</v>
      </c>
      <c r="Q89" s="177" t="str">
        <f>Q$10</f>
        <v>tapwater</v>
      </c>
      <c r="R89" s="177"/>
      <c r="S89" s="177"/>
      <c r="T89" s="177"/>
      <c r="U89" s="177"/>
      <c r="V89" s="177"/>
      <c r="W89" s="177"/>
      <c r="X89" s="143"/>
      <c r="Y89" s="938"/>
      <c r="Z89" s="125"/>
      <c r="AA89" s="177" t="str">
        <f>AA$10</f>
        <v>verwarming</v>
      </c>
      <c r="AB89" s="177" t="str">
        <f>AB$10</f>
        <v>koeling</v>
      </c>
      <c r="AC89" s="177" t="str">
        <f>AC$10</f>
        <v>tapwater</v>
      </c>
      <c r="AD89" s="177"/>
      <c r="AE89" s="177"/>
      <c r="AF89" s="177"/>
      <c r="AG89" s="177"/>
      <c r="AH89" s="177"/>
      <c r="AI89" s="177"/>
      <c r="AJ89" s="143"/>
      <c r="AK89" s="938"/>
      <c r="AL89" s="125"/>
      <c r="AM89" s="177" t="str">
        <f>AM$10</f>
        <v>verwarming</v>
      </c>
      <c r="AN89" s="177" t="str">
        <f>AN$10</f>
        <v>koeling</v>
      </c>
      <c r="AO89" s="177" t="str">
        <f>AO$10</f>
        <v>tapwater</v>
      </c>
      <c r="AP89" s="177"/>
      <c r="AQ89" s="177"/>
      <c r="AR89" s="177"/>
      <c r="AS89" s="177"/>
      <c r="AT89" s="177"/>
      <c r="AU89" s="177"/>
      <c r="AV89" s="143"/>
      <c r="AW89" s="938"/>
      <c r="AX89" s="125"/>
      <c r="AY89" s="177" t="str">
        <f>AY$10</f>
        <v>verwarming</v>
      </c>
      <c r="AZ89" s="177" t="str">
        <f>AZ$10</f>
        <v>koeling</v>
      </c>
      <c r="BA89" s="177" t="str">
        <f>BA$10</f>
        <v>tapwater</v>
      </c>
      <c r="BB89" s="177"/>
      <c r="BC89" s="177"/>
      <c r="BD89" s="177"/>
      <c r="BE89" s="177"/>
      <c r="BF89" s="177"/>
      <c r="BG89" s="177"/>
      <c r="BH89" s="174"/>
    </row>
    <row r="90" spans="1:60">
      <c r="A90" s="1040"/>
      <c r="B90" s="1109" t="s">
        <v>161</v>
      </c>
      <c r="C90" s="1106" t="s">
        <v>118</v>
      </c>
      <c r="D90" s="638"/>
      <c r="E90" s="181" t="s">
        <v>173</v>
      </c>
      <c r="F90" s="180"/>
      <c r="G90" s="180"/>
      <c r="H90" s="181" t="s">
        <v>65</v>
      </c>
      <c r="I90" s="129"/>
      <c r="J90" s="190"/>
      <c r="K90" s="107"/>
      <c r="L90" s="107"/>
      <c r="M90" s="190"/>
      <c r="N90" s="114"/>
      <c r="O90" s="860" t="s">
        <v>174</v>
      </c>
      <c r="P90" s="158"/>
      <c r="Q90" s="860" t="s">
        <v>174</v>
      </c>
      <c r="R90" s="159"/>
      <c r="S90" s="159"/>
      <c r="T90" s="159"/>
      <c r="U90" s="159"/>
      <c r="V90" s="159"/>
      <c r="W90" s="159"/>
      <c r="X90" s="76"/>
      <c r="Y90" s="128"/>
      <c r="Z90" s="114"/>
      <c r="AA90" s="860" t="s">
        <v>174</v>
      </c>
      <c r="AB90" s="158"/>
      <c r="AC90" s="860" t="s">
        <v>174</v>
      </c>
      <c r="AD90" s="159"/>
      <c r="AE90" s="159"/>
      <c r="AF90" s="159"/>
      <c r="AG90" s="159"/>
      <c r="AH90" s="159"/>
      <c r="AI90" s="159"/>
      <c r="AJ90" s="76"/>
      <c r="AK90" s="128"/>
      <c r="AL90" s="114"/>
      <c r="AM90" s="860" t="s">
        <v>174</v>
      </c>
      <c r="AN90" s="158"/>
      <c r="AO90" s="860" t="s">
        <v>174</v>
      </c>
      <c r="AP90" s="159"/>
      <c r="AQ90" s="159"/>
      <c r="AR90" s="159"/>
      <c r="AS90" s="159"/>
      <c r="AT90" s="159"/>
      <c r="AU90" s="159"/>
      <c r="AV90" s="76"/>
      <c r="AW90" s="128"/>
      <c r="AX90" s="114"/>
      <c r="AY90" s="860" t="s">
        <v>174</v>
      </c>
      <c r="AZ90" s="158"/>
      <c r="BA90" s="860" t="s">
        <v>174</v>
      </c>
      <c r="BB90" s="159"/>
      <c r="BC90" s="159"/>
      <c r="BD90" s="159"/>
      <c r="BE90" s="159"/>
      <c r="BF90" s="159"/>
      <c r="BG90" s="159"/>
      <c r="BH90" s="174"/>
    </row>
    <row r="91" spans="1:60">
      <c r="A91" s="1040"/>
      <c r="B91" s="1109" t="s">
        <v>161</v>
      </c>
      <c r="C91" s="1106" t="s">
        <v>118</v>
      </c>
      <c r="D91" s="641" t="s">
        <v>45</v>
      </c>
      <c r="E91" s="181" t="s">
        <v>175</v>
      </c>
      <c r="F91" s="180"/>
      <c r="G91" s="180"/>
      <c r="H91" s="181" t="s">
        <v>160</v>
      </c>
      <c r="I91" s="129"/>
      <c r="J91" s="190"/>
      <c r="K91" s="107"/>
      <c r="L91" s="107"/>
      <c r="M91" s="190"/>
      <c r="N91" s="114"/>
      <c r="O91" s="168">
        <f>IF(O90="nee",0,(O78+O88)*bijdrage_thermische_zonne_energie_RV)</f>
        <v>0</v>
      </c>
      <c r="P91" s="168"/>
      <c r="Q91" s="168">
        <f>IF(Q90="nee",0,(Q78+Q88)*bijdrage_thermische_zonne_energie_TAP)</f>
        <v>0</v>
      </c>
      <c r="R91" s="130"/>
      <c r="S91" s="130"/>
      <c r="T91" s="130"/>
      <c r="U91" s="130"/>
      <c r="V91" s="130"/>
      <c r="W91" s="130"/>
      <c r="X91" s="592"/>
      <c r="Y91" s="130"/>
      <c r="Z91" s="89"/>
      <c r="AA91" s="168">
        <f>IF(AA90="nee",0,(AA78+AA88)*bijdrage_thermische_zonne_energie_RV)</f>
        <v>0</v>
      </c>
      <c r="AB91" s="168"/>
      <c r="AC91" s="168">
        <f>IF(AC90="nee",0,(AC78+AC88)*bijdrage_thermische_zonne_energie_TAP)</f>
        <v>0</v>
      </c>
      <c r="AD91" s="130"/>
      <c r="AE91" s="130"/>
      <c r="AF91" s="130"/>
      <c r="AG91" s="130"/>
      <c r="AH91" s="130"/>
      <c r="AI91" s="130"/>
      <c r="AJ91" s="592"/>
      <c r="AK91" s="130"/>
      <c r="AL91" s="593"/>
      <c r="AM91" s="168">
        <f>IF(AM90="nee",0,(AM78+AM88)*bijdrage_thermische_zonne_energie_RV)</f>
        <v>0</v>
      </c>
      <c r="AN91" s="168"/>
      <c r="AO91" s="168">
        <f>IF(AO90="nee",0,(AO78+AO88)*bijdrage_thermische_zonne_energie_TAP)</f>
        <v>0</v>
      </c>
      <c r="AP91" s="130"/>
      <c r="AQ91" s="130"/>
      <c r="AR91" s="130"/>
      <c r="AS91" s="130"/>
      <c r="AT91" s="130"/>
      <c r="AU91" s="130"/>
      <c r="AV91" s="592"/>
      <c r="AW91" s="130"/>
      <c r="AX91" s="594"/>
      <c r="AY91" s="168">
        <f>IF(AY90="nee",0,(AY78+AY88)*bijdrage_thermische_zonne_energie_RV)</f>
        <v>0</v>
      </c>
      <c r="AZ91" s="168"/>
      <c r="BA91" s="168">
        <f>IF(BA90="nee",0,(BA78+BA88)*bijdrage_thermische_zonne_energie_TAP)</f>
        <v>0</v>
      </c>
      <c r="BB91" s="159"/>
      <c r="BC91" s="159"/>
      <c r="BD91" s="159"/>
      <c r="BE91" s="159"/>
      <c r="BF91" s="159"/>
      <c r="BG91" s="159"/>
      <c r="BH91" s="174"/>
    </row>
    <row r="92" spans="1:60">
      <c r="A92" s="1040"/>
      <c r="B92" s="1109" t="s">
        <v>161</v>
      </c>
      <c r="C92" s="1106" t="s">
        <v>96</v>
      </c>
      <c r="D92" s="641" t="s">
        <v>45</v>
      </c>
      <c r="E92" s="940" t="s">
        <v>176</v>
      </c>
      <c r="F92" s="940"/>
      <c r="G92" s="940"/>
      <c r="H92" s="940"/>
      <c r="I92" s="77"/>
      <c r="J92" s="939"/>
      <c r="K92" s="126"/>
      <c r="L92" s="126"/>
      <c r="M92" s="938"/>
      <c r="N92" s="125"/>
      <c r="O92" s="177" t="str">
        <f>O$10</f>
        <v>verwarming</v>
      </c>
      <c r="P92" s="177" t="str">
        <f>P$10</f>
        <v>koeling</v>
      </c>
      <c r="Q92" s="177" t="str">
        <f>Q$10</f>
        <v>tapwater</v>
      </c>
      <c r="R92" s="177"/>
      <c r="S92" s="177"/>
      <c r="T92" s="177"/>
      <c r="U92" s="177"/>
      <c r="V92" s="177"/>
      <c r="W92" s="177"/>
      <c r="X92" s="167"/>
      <c r="Y92" s="938"/>
      <c r="Z92" s="125"/>
      <c r="AA92" s="177" t="str">
        <f>AA$10</f>
        <v>verwarming</v>
      </c>
      <c r="AB92" s="177" t="str">
        <f>AB$10</f>
        <v>koeling</v>
      </c>
      <c r="AC92" s="177" t="str">
        <f>AC$10</f>
        <v>tapwater</v>
      </c>
      <c r="AD92" s="177"/>
      <c r="AE92" s="177"/>
      <c r="AF92" s="177"/>
      <c r="AG92" s="177"/>
      <c r="AH92" s="177"/>
      <c r="AI92" s="177"/>
      <c r="AJ92" s="167"/>
      <c r="AK92" s="938"/>
      <c r="AL92" s="125"/>
      <c r="AM92" s="177" t="str">
        <f>AM$10</f>
        <v>verwarming</v>
      </c>
      <c r="AN92" s="177" t="str">
        <f>AN$10</f>
        <v>koeling</v>
      </c>
      <c r="AO92" s="177" t="str">
        <f>AO$10</f>
        <v>tapwater</v>
      </c>
      <c r="AP92" s="177"/>
      <c r="AQ92" s="177"/>
      <c r="AR92" s="177"/>
      <c r="AS92" s="177"/>
      <c r="AT92" s="177"/>
      <c r="AU92" s="177"/>
      <c r="AV92" s="167"/>
      <c r="AW92" s="938"/>
      <c r="AX92" s="125"/>
      <c r="AY92" s="177" t="str">
        <f>AY$10</f>
        <v>verwarming</v>
      </c>
      <c r="AZ92" s="177" t="str">
        <f>AZ$10</f>
        <v>koeling</v>
      </c>
      <c r="BA92" s="177" t="str">
        <f>BA$10</f>
        <v>tapwater</v>
      </c>
      <c r="BB92" s="177"/>
      <c r="BC92" s="177"/>
      <c r="BD92" s="177"/>
      <c r="BE92" s="177"/>
      <c r="BF92" s="177"/>
      <c r="BG92" s="177"/>
      <c r="BH92" s="174"/>
    </row>
    <row r="93" spans="1:60">
      <c r="A93" s="1040"/>
      <c r="B93" s="1109" t="s">
        <v>161</v>
      </c>
      <c r="C93" s="1106" t="s">
        <v>118</v>
      </c>
      <c r="D93" s="638"/>
      <c r="E93" s="291" t="s">
        <v>177</v>
      </c>
      <c r="F93" s="254"/>
      <c r="G93" s="254"/>
      <c r="H93" s="291" t="s">
        <v>178</v>
      </c>
      <c r="I93" s="134"/>
      <c r="J93" s="189"/>
      <c r="K93" s="107"/>
      <c r="L93" s="107"/>
      <c r="M93" s="189"/>
      <c r="N93" s="116"/>
      <c r="O93" s="541">
        <f>IF(M22=0,0,IF(O94&lt;&gt;"",O94,
(HLOOKUP(O83,toestellen_RV,ROWS(bibliotheek!$E$83:$E$92),FALSE)*M24+
HLOOKUP(O83,toestellen_RV,ROWS(bibliotheek!$E$83:$E$93),FALSE)*M25+
HLOOKUP(O83,toestellen_RV,ROWS(bibliotheek!$E$83:$E$94),FALSE)*M26)/M22))</f>
        <v>0</v>
      </c>
      <c r="P93" s="415"/>
      <c r="Q93" s="541">
        <f>IF(M22=0,0,IF(Q94&lt;&gt;"",Q94,
(HLOOKUP(Q83,toestellen_TAP,ROWS(bibliotheek!$E$139:$E$148),FALSE)*M24+
HLOOKUP(Q83,toestellen_TAP,ROWS(bibliotheek!$E$139:$E$149),FALSE)*M25+
HLOOKUP(Q83,toestellen_TAP,ROWS(bibliotheek!$E$139:$E$150),FALSE)*M26)/M22))</f>
        <v>0</v>
      </c>
      <c r="R93" s="160"/>
      <c r="S93" s="160"/>
      <c r="T93" s="160"/>
      <c r="U93" s="160"/>
      <c r="V93" s="160"/>
      <c r="W93" s="160"/>
      <c r="X93" s="112"/>
      <c r="Y93" s="160"/>
      <c r="Z93" s="416"/>
      <c r="AA93" s="541">
        <f>IF(Y22=0,0,IF(AA94&lt;&gt;"",AA94,
(HLOOKUP(AA83,toestellen_RV,ROWS(bibliotheek!$E$83:$E$92),FALSE)*Y24+
HLOOKUP(AA83,toestellen_RV,ROWS(bibliotheek!$E$83:$E$93),FALSE)*Y25+
HLOOKUP(AA83,toestellen_RV,ROWS(bibliotheek!$E$83:$E$94),FALSE)*Y26)/Y22))</f>
        <v>0</v>
      </c>
      <c r="AB93" s="415"/>
      <c r="AC93" s="541">
        <f>IF(Y22=0,0,IF(AC94&lt;&gt;"",AC94,
(HLOOKUP(AC83,toestellen_TAP,ROWS(bibliotheek!$E$139:$E$148),FALSE)*Y24+
HLOOKUP(AC83,toestellen_TAP,ROWS(bibliotheek!$E$139:$E$149),FALSE)*Y25+
HLOOKUP(AC83,toestellen_TAP,ROWS(bibliotheek!$E$139:$E$150),FALSE)*Y26)/Y22))</f>
        <v>0</v>
      </c>
      <c r="AD93" s="160"/>
      <c r="AE93" s="160"/>
      <c r="AF93" s="160"/>
      <c r="AG93" s="160"/>
      <c r="AH93" s="160"/>
      <c r="AI93" s="160"/>
      <c r="AJ93" s="112"/>
      <c r="AK93" s="160"/>
      <c r="AL93" s="416"/>
      <c r="AM93" s="541">
        <f>IF(AK22=0,0,IF(AM94&lt;&gt;"",AM94,
(HLOOKUP(AM83,toestellen_RV,ROWS(bibliotheek!$E$83:$E$92),FALSE)*AK24+
HLOOKUP(AM83,toestellen_RV,ROWS(bibliotheek!$E$83:$E$93),FALSE)*AK25+
HLOOKUP(AM83,toestellen_RV,ROWS(bibliotheek!$E$83:$E$94),FALSE)*AK26)/AK22))</f>
        <v>0</v>
      </c>
      <c r="AN93" s="415"/>
      <c r="AO93" s="541">
        <f>IF(AK22=0,0,IF(AO94&lt;&gt;"",AO94,
(HLOOKUP(AO83,toestellen_TAP,ROWS(bibliotheek!$E$139:$E$148),FALSE)*AK24+
HLOOKUP(AO83,toestellen_TAP,ROWS(bibliotheek!$E$139:$E$149),FALSE)*AK25+
HLOOKUP(AO83,toestellen_TAP,ROWS(bibliotheek!$E$139:$E$150),FALSE)*AK26)/AK22))</f>
        <v>0</v>
      </c>
      <c r="AP93" s="160"/>
      <c r="AQ93" s="160"/>
      <c r="AR93" s="160"/>
      <c r="AS93" s="160"/>
      <c r="AT93" s="160"/>
      <c r="AU93" s="160"/>
      <c r="AV93" s="112"/>
      <c r="AW93" s="160"/>
      <c r="AX93" s="416"/>
      <c r="AY93" s="541">
        <f>IF(AW22=0,0,IF(AY94&lt;&gt;"",AY94,
(HLOOKUP(AY83,toestellen_RV,ROWS(bibliotheek!$E$83:$E$92),FALSE)*AW24+
HLOOKUP(AY83,toestellen_RV,ROWS(bibliotheek!$E$83:$E$93),FALSE)*AW25+
HLOOKUP(AY83,toestellen_RV,ROWS(bibliotheek!$E$83:$E$94),FALSE)*AW26)/AW22))</f>
        <v>0</v>
      </c>
      <c r="AZ93" s="415"/>
      <c r="BA93" s="541">
        <f>IF(AW22=0,0,IF(BA94&lt;&gt;"",BA94,
(HLOOKUP(BA83,toestellen_TAP,ROWS(bibliotheek!$E$139:$E$148),FALSE)*AW24+
HLOOKUP(BA83,toestellen_TAP,ROWS(bibliotheek!$E$139:$E$149),FALSE)*AW25+
HLOOKUP(BA83,toestellen_TAP,ROWS(bibliotheek!$E$139:$E$150),FALSE)*AW26)/AW22))</f>
        <v>0</v>
      </c>
      <c r="BB93" s="160"/>
      <c r="BC93" s="160"/>
      <c r="BD93" s="160"/>
      <c r="BE93" s="160"/>
      <c r="BF93" s="160"/>
      <c r="BG93" s="160"/>
      <c r="BH93" s="210"/>
    </row>
    <row r="94" spans="1:60">
      <c r="A94" s="1040"/>
      <c r="B94" s="1109" t="s">
        <v>161</v>
      </c>
      <c r="C94" s="1106" t="s">
        <v>118</v>
      </c>
      <c r="D94" s="638"/>
      <c r="E94" s="1218" t="s">
        <v>1388</v>
      </c>
      <c r="F94" s="255"/>
      <c r="G94" s="255"/>
      <c r="H94" s="292" t="s">
        <v>178</v>
      </c>
      <c r="I94" s="136"/>
      <c r="J94" s="299"/>
      <c r="K94" s="107"/>
      <c r="L94" s="107"/>
      <c r="M94" s="198"/>
      <c r="N94" s="161"/>
      <c r="O94" s="276"/>
      <c r="P94" s="281"/>
      <c r="Q94" s="276"/>
      <c r="R94" s="163"/>
      <c r="S94" s="163"/>
      <c r="T94" s="163"/>
      <c r="U94" s="163"/>
      <c r="V94" s="163"/>
      <c r="W94" s="163"/>
      <c r="X94" s="110"/>
      <c r="Y94" s="386"/>
      <c r="Z94" s="308"/>
      <c r="AA94" s="276"/>
      <c r="AB94" s="281"/>
      <c r="AC94" s="276"/>
      <c r="AD94" s="163"/>
      <c r="AE94" s="163"/>
      <c r="AF94" s="163"/>
      <c r="AG94" s="163"/>
      <c r="AH94" s="163"/>
      <c r="AI94" s="163"/>
      <c r="AJ94" s="110"/>
      <c r="AK94" s="386"/>
      <c r="AL94" s="308"/>
      <c r="AM94" s="276"/>
      <c r="AN94" s="281"/>
      <c r="AO94" s="276"/>
      <c r="AP94" s="163"/>
      <c r="AQ94" s="163"/>
      <c r="AR94" s="163"/>
      <c r="AS94" s="163"/>
      <c r="AT94" s="163"/>
      <c r="AU94" s="163"/>
      <c r="AV94" s="110"/>
      <c r="AW94" s="386"/>
      <c r="AX94" s="308"/>
      <c r="AY94" s="276"/>
      <c r="AZ94" s="281"/>
      <c r="BA94" s="276"/>
      <c r="BB94" s="164"/>
      <c r="BC94" s="164"/>
      <c r="BD94" s="164"/>
      <c r="BE94" s="164"/>
      <c r="BF94" s="164"/>
      <c r="BG94" s="164"/>
      <c r="BH94" s="210"/>
    </row>
    <row r="95" spans="1:60">
      <c r="A95" s="1040"/>
      <c r="B95" s="1109" t="s">
        <v>161</v>
      </c>
      <c r="C95" s="1106" t="s">
        <v>118</v>
      </c>
      <c r="D95" s="638"/>
      <c r="E95" s="181" t="s">
        <v>179</v>
      </c>
      <c r="F95" s="180"/>
      <c r="G95" s="180"/>
      <c r="H95" s="181" t="s">
        <v>160</v>
      </c>
      <c r="I95" s="129"/>
      <c r="J95" s="190"/>
      <c r="K95" s="107"/>
      <c r="L95" s="107"/>
      <c r="M95" s="190"/>
      <c r="N95" s="89"/>
      <c r="O95" s="208">
        <f>O$93*M$22</f>
        <v>0</v>
      </c>
      <c r="P95" s="130"/>
      <c r="Q95" s="208">
        <f>Q$93*M$22</f>
        <v>0</v>
      </c>
      <c r="R95" s="130"/>
      <c r="S95" s="130"/>
      <c r="T95" s="130"/>
      <c r="U95" s="130"/>
      <c r="V95" s="130"/>
      <c r="W95" s="130"/>
      <c r="X95" s="110"/>
      <c r="Y95" s="132"/>
      <c r="Z95" s="114"/>
      <c r="AA95" s="208">
        <f>AA$93*Y$22</f>
        <v>0</v>
      </c>
      <c r="AB95" s="130"/>
      <c r="AC95" s="208">
        <f>AC$93*Y$22</f>
        <v>0</v>
      </c>
      <c r="AD95" s="130"/>
      <c r="AE95" s="130"/>
      <c r="AF95" s="130"/>
      <c r="AG95" s="130"/>
      <c r="AH95" s="130"/>
      <c r="AI95" s="130"/>
      <c r="AJ95" s="110"/>
      <c r="AK95" s="132"/>
      <c r="AL95" s="114"/>
      <c r="AM95" s="208">
        <f>AM$93*AK$22</f>
        <v>0</v>
      </c>
      <c r="AN95" s="130"/>
      <c r="AO95" s="208">
        <f>AO$93*AK$22</f>
        <v>0</v>
      </c>
      <c r="AP95" s="130"/>
      <c r="AQ95" s="130"/>
      <c r="AR95" s="130"/>
      <c r="AS95" s="130"/>
      <c r="AT95" s="130"/>
      <c r="AU95" s="130"/>
      <c r="AV95" s="110"/>
      <c r="AW95" s="132"/>
      <c r="AX95" s="114"/>
      <c r="AY95" s="208">
        <f>AY$93*AW$22</f>
        <v>0</v>
      </c>
      <c r="AZ95" s="130"/>
      <c r="BA95" s="208">
        <f>BA$93*AW$22</f>
        <v>0</v>
      </c>
      <c r="BB95" s="130"/>
      <c r="BC95" s="130"/>
      <c r="BD95" s="130"/>
      <c r="BE95" s="130"/>
      <c r="BF95" s="130"/>
      <c r="BG95" s="130"/>
      <c r="BH95" s="210"/>
    </row>
    <row r="96" spans="1:60">
      <c r="A96" s="1040"/>
      <c r="B96" s="1109" t="s">
        <v>161</v>
      </c>
      <c r="C96" s="1106" t="s">
        <v>96</v>
      </c>
      <c r="D96" s="641" t="s">
        <v>45</v>
      </c>
      <c r="E96" s="940" t="s">
        <v>180</v>
      </c>
      <c r="F96" s="940"/>
      <c r="G96" s="940"/>
      <c r="H96" s="940"/>
      <c r="I96" s="77"/>
      <c r="J96" s="939"/>
      <c r="K96" s="126"/>
      <c r="L96" s="126"/>
      <c r="M96" s="938"/>
      <c r="N96" s="125"/>
      <c r="O96" s="177" t="str">
        <f>O$10</f>
        <v>verwarming</v>
      </c>
      <c r="P96" s="177" t="str">
        <f>P$10</f>
        <v>koeling</v>
      </c>
      <c r="Q96" s="177" t="str">
        <f>Q$10</f>
        <v>tapwater</v>
      </c>
      <c r="R96" s="177"/>
      <c r="S96" s="177"/>
      <c r="T96" s="177"/>
      <c r="U96" s="177"/>
      <c r="V96" s="177"/>
      <c r="W96" s="177"/>
      <c r="X96" s="167"/>
      <c r="Y96" s="938"/>
      <c r="Z96" s="125"/>
      <c r="AA96" s="177" t="str">
        <f>AA$10</f>
        <v>verwarming</v>
      </c>
      <c r="AB96" s="177" t="str">
        <f>AB$10</f>
        <v>koeling</v>
      </c>
      <c r="AC96" s="177" t="str">
        <f>AC$10</f>
        <v>tapwater</v>
      </c>
      <c r="AD96" s="177"/>
      <c r="AE96" s="177"/>
      <c r="AF96" s="177"/>
      <c r="AG96" s="177"/>
      <c r="AH96" s="177"/>
      <c r="AI96" s="177"/>
      <c r="AJ96" s="167"/>
      <c r="AK96" s="938"/>
      <c r="AL96" s="125"/>
      <c r="AM96" s="177" t="str">
        <f>AM$10</f>
        <v>verwarming</v>
      </c>
      <c r="AN96" s="177" t="str">
        <f>AN$10</f>
        <v>koeling</v>
      </c>
      <c r="AO96" s="177" t="str">
        <f>AO$10</f>
        <v>tapwater</v>
      </c>
      <c r="AP96" s="177"/>
      <c r="AQ96" s="177"/>
      <c r="AR96" s="177"/>
      <c r="AS96" s="177"/>
      <c r="AT96" s="177"/>
      <c r="AU96" s="177"/>
      <c r="AV96" s="167"/>
      <c r="AW96" s="938"/>
      <c r="AX96" s="125"/>
      <c r="AY96" s="177" t="str">
        <f>AY$10</f>
        <v>verwarming</v>
      </c>
      <c r="AZ96" s="177" t="str">
        <f>AZ$10</f>
        <v>koeling</v>
      </c>
      <c r="BA96" s="177" t="str">
        <f>BA$10</f>
        <v>tapwater</v>
      </c>
      <c r="BB96" s="177"/>
      <c r="BC96" s="177"/>
      <c r="BD96" s="177"/>
      <c r="BE96" s="177"/>
      <c r="BF96" s="177"/>
      <c r="BG96" s="177"/>
      <c r="BH96" s="174"/>
    </row>
    <row r="97" spans="1:60" hidden="1">
      <c r="A97" s="1040"/>
      <c r="B97" s="1109" t="s">
        <v>161</v>
      </c>
      <c r="C97" s="1106" t="s">
        <v>181</v>
      </c>
      <c r="D97" s="638"/>
      <c r="E97" s="181" t="s">
        <v>182</v>
      </c>
      <c r="F97" s="180"/>
      <c r="G97" s="180"/>
      <c r="H97" s="181" t="s">
        <v>160</v>
      </c>
      <c r="I97" s="129"/>
      <c r="J97" s="190"/>
      <c r="K97" s="107"/>
      <c r="L97" s="107"/>
      <c r="M97" s="190"/>
      <c r="N97" s="114"/>
      <c r="O97" s="208">
        <f>IF(O$83="geen",0,O78+O88-O91+O95)</f>
        <v>0</v>
      </c>
      <c r="P97" s="208">
        <f>IF(P$83="geen",0,P78+P88-P91+P95)</f>
        <v>0</v>
      </c>
      <c r="Q97" s="208">
        <f>IF(Q$83="geen",0,Q78+Q88-Q91+Q95)</f>
        <v>0</v>
      </c>
      <c r="R97" s="130"/>
      <c r="S97" s="130"/>
      <c r="T97" s="130"/>
      <c r="U97" s="130"/>
      <c r="V97" s="130"/>
      <c r="W97" s="130"/>
      <c r="X97" s="110"/>
      <c r="Y97" s="132"/>
      <c r="Z97" s="114"/>
      <c r="AA97" s="208">
        <f>IF(AA$83="geen",0,AA78+AA88-AA91+AA95)</f>
        <v>0</v>
      </c>
      <c r="AB97" s="208">
        <f>IF(AB$83="geen",0,AB78+AB88-AB91+AB95)</f>
        <v>0</v>
      </c>
      <c r="AC97" s="208">
        <f>IF(AC$83="geen",0,AC78+AC88-AC91+AC95)</f>
        <v>0</v>
      </c>
      <c r="AD97" s="130"/>
      <c r="AE97" s="130"/>
      <c r="AF97" s="130"/>
      <c r="AG97" s="130"/>
      <c r="AH97" s="130"/>
      <c r="AI97" s="130"/>
      <c r="AJ97" s="110"/>
      <c r="AK97" s="132"/>
      <c r="AL97" s="114"/>
      <c r="AM97" s="208">
        <f>IF(AM$83="geen",0,AM78+AM88-AM91+AM95)</f>
        <v>0</v>
      </c>
      <c r="AN97" s="208">
        <f>IF(AN$83="geen",0,AN78+AN88-AN91+AN95)</f>
        <v>0</v>
      </c>
      <c r="AO97" s="208">
        <f>IF(AO$83="geen",0,AO78+AO88-AO91+AO95)</f>
        <v>0</v>
      </c>
      <c r="AP97" s="130"/>
      <c r="AQ97" s="130"/>
      <c r="AR97" s="130"/>
      <c r="AS97" s="130"/>
      <c r="AT97" s="130"/>
      <c r="AU97" s="130"/>
      <c r="AV97" s="110"/>
      <c r="AW97" s="132"/>
      <c r="AX97" s="114"/>
      <c r="AY97" s="208">
        <f>IF(AY$83="geen",0,AY78+AY88-AY91+AY95)</f>
        <v>0</v>
      </c>
      <c r="AZ97" s="208">
        <f>IF(AZ$83="geen",0,AZ78+AZ88-AZ91+AZ95)</f>
        <v>0</v>
      </c>
      <c r="BA97" s="208">
        <f>IF(BA$83="geen",0,BA78+BA88-BA91+BA95)</f>
        <v>0</v>
      </c>
      <c r="BB97" s="130"/>
      <c r="BC97" s="130"/>
      <c r="BD97" s="130"/>
      <c r="BE97" s="130"/>
      <c r="BF97" s="130"/>
      <c r="BG97" s="130"/>
      <c r="BH97" s="210"/>
    </row>
    <row r="98" spans="1:60" hidden="1">
      <c r="A98" s="1040"/>
      <c r="B98" s="1109" t="s">
        <v>161</v>
      </c>
      <c r="C98" s="1106" t="s">
        <v>181</v>
      </c>
      <c r="D98" s="641" t="s">
        <v>45</v>
      </c>
      <c r="E98" s="181" t="s">
        <v>183</v>
      </c>
      <c r="F98" s="180"/>
      <c r="G98" s="180"/>
      <c r="H98" s="181" t="s">
        <v>184</v>
      </c>
      <c r="I98" s="129"/>
      <c r="J98" s="190"/>
      <c r="K98" s="107"/>
      <c r="L98" s="107"/>
      <c r="M98" s="190"/>
      <c r="N98" s="114"/>
      <c r="O98" s="542">
        <f>IF(OR(O83="geen",O97=0),0,IF(O84=gebouw,O$27,1))</f>
        <v>0</v>
      </c>
      <c r="P98" s="542">
        <f>IF(OR(P83="geen",P97=0),0,IF(P84=gebouw,P$27,1))</f>
        <v>0</v>
      </c>
      <c r="Q98" s="542" t="s">
        <v>65</v>
      </c>
      <c r="R98" s="128"/>
      <c r="S98" s="128"/>
      <c r="T98" s="128"/>
      <c r="U98" s="128"/>
      <c r="V98" s="128"/>
      <c r="W98" s="128"/>
      <c r="X98" s="417"/>
      <c r="Y98" s="132"/>
      <c r="Z98" s="119"/>
      <c r="AA98" s="542">
        <f>IF(OR(AA83="geen",AA97=0),0,IF(AA84=gebouw,AA$27,1))</f>
        <v>0</v>
      </c>
      <c r="AB98" s="542">
        <f>IF(OR(AB83="geen",AB97=0),0,IF(AB84=gebouw,AB$27,1))</f>
        <v>0</v>
      </c>
      <c r="AC98" s="542" t="s">
        <v>65</v>
      </c>
      <c r="AD98" s="128"/>
      <c r="AE98" s="128"/>
      <c r="AF98" s="128"/>
      <c r="AG98" s="128"/>
      <c r="AH98" s="128"/>
      <c r="AI98" s="128"/>
      <c r="AJ98" s="417"/>
      <c r="AK98" s="132"/>
      <c r="AL98" s="119"/>
      <c r="AM98" s="542">
        <f>IF(OR(AM83="geen",AM97=0),0,IF(AM84=gebouw,AM$27,1))</f>
        <v>0</v>
      </c>
      <c r="AN98" s="542">
        <f>IF(OR(AN83="geen",AN97=0),0,IF(AN84=gebouw,AN$27,1))</f>
        <v>0</v>
      </c>
      <c r="AO98" s="542" t="s">
        <v>65</v>
      </c>
      <c r="AP98" s="128"/>
      <c r="AQ98" s="128"/>
      <c r="AR98" s="128"/>
      <c r="AS98" s="128"/>
      <c r="AT98" s="128"/>
      <c r="AU98" s="128"/>
      <c r="AV98" s="417"/>
      <c r="AW98" s="132"/>
      <c r="AX98" s="119"/>
      <c r="AY98" s="542">
        <f>IF(OR(AY83="geen",AY97=0),0,IF(AY84=gebouw,AY$27,1))</f>
        <v>0</v>
      </c>
      <c r="AZ98" s="542">
        <f>IF(OR(AZ83="geen",AZ97=0),0,IF(AZ84=gebouw,AZ$27,1))</f>
        <v>0</v>
      </c>
      <c r="BA98" s="542" t="s">
        <v>65</v>
      </c>
      <c r="BB98" s="130"/>
      <c r="BC98" s="130"/>
      <c r="BD98" s="130"/>
      <c r="BE98" s="130"/>
      <c r="BF98" s="130"/>
      <c r="BG98" s="130"/>
      <c r="BH98" s="210"/>
    </row>
    <row r="99" spans="1:60" hidden="1">
      <c r="A99" s="1040"/>
      <c r="B99" s="1109" t="s">
        <v>161</v>
      </c>
      <c r="C99" s="1106" t="s">
        <v>181</v>
      </c>
      <c r="D99" s="641" t="s">
        <v>45</v>
      </c>
      <c r="E99" s="181" t="s">
        <v>185</v>
      </c>
      <c r="F99" s="180"/>
      <c r="G99" s="180"/>
      <c r="H99" s="181" t="s">
        <v>186</v>
      </c>
      <c r="I99" s="129"/>
      <c r="J99" s="190"/>
      <c r="K99" s="107"/>
      <c r="L99" s="107"/>
      <c r="M99" s="190"/>
      <c r="N99" s="114"/>
      <c r="O99" s="542">
        <f>MROUND(((bibliotheek!$I$124*(O97*1000))/(0.001*bibliotheek!$I$125)*((bibliotheek!$I$126-bibliotheek!$I$128)/(bibliotheek!$I$126-bibliotheek!$I$127))+(O29^0.5*4*3+O29)*bibliotheek!$I$129)/1000,50)</f>
        <v>0</v>
      </c>
      <c r="P99" s="542">
        <f>IF(P83="geen",0,MROUND((P97*1000)*bibliotheek!$I$216,1))</f>
        <v>0</v>
      </c>
      <c r="Q99" s="542" t="s">
        <v>65</v>
      </c>
      <c r="R99" s="128"/>
      <c r="S99" s="128"/>
      <c r="T99" s="128"/>
      <c r="U99" s="128"/>
      <c r="V99" s="128"/>
      <c r="W99" s="128"/>
      <c r="X99" s="417"/>
      <c r="Y99" s="132"/>
      <c r="Z99" s="119"/>
      <c r="AA99" s="542">
        <f>MROUND(((bibliotheek!$I$124*(AA97*1000))/(0.001*bibliotheek!$I$125)*((bibliotheek!$I$126-bibliotheek!$I$128)/(bibliotheek!$I$126-bibliotheek!$I$127))+(AA29^0.5*4*3+AA29)*bibliotheek!$I$129)/1000,50)</f>
        <v>0</v>
      </c>
      <c r="AB99" s="542">
        <f>IF(AB83="geen",0,MROUND((AB97*1000)*bibliotheek!$I$216,1))</f>
        <v>0</v>
      </c>
      <c r="AC99" s="542" t="s">
        <v>65</v>
      </c>
      <c r="AD99" s="128"/>
      <c r="AE99" s="128"/>
      <c r="AF99" s="128"/>
      <c r="AG99" s="128"/>
      <c r="AH99" s="128"/>
      <c r="AI99" s="128"/>
      <c r="AJ99" s="417"/>
      <c r="AK99" s="132"/>
      <c r="AL99" s="119"/>
      <c r="AM99" s="542">
        <f>MROUND(((bibliotheek!$I$124*(AM97*1000))/(0.001*bibliotheek!$I$125)*((bibliotheek!$I$126-bibliotheek!$I$128)/(bibliotheek!$I$126-bibliotheek!$I$127))+(AM29^0.5*4*3+AM29)*bibliotheek!$I$129)/1000,50)</f>
        <v>0</v>
      </c>
      <c r="AN99" s="542">
        <f>IF(AN83="geen",0,MROUND((AN97*1000)*bibliotheek!$I$216,1))</f>
        <v>0</v>
      </c>
      <c r="AO99" s="542" t="s">
        <v>65</v>
      </c>
      <c r="AP99" s="128"/>
      <c r="AQ99" s="128"/>
      <c r="AR99" s="128"/>
      <c r="AS99" s="128"/>
      <c r="AT99" s="128"/>
      <c r="AU99" s="128"/>
      <c r="AV99" s="417"/>
      <c r="AW99" s="132"/>
      <c r="AX99" s="119"/>
      <c r="AY99" s="542">
        <f>MROUND(((bibliotheek!$I$124*(AY97*1000))/(0.001*bibliotheek!$I$125)*((bibliotheek!$I$126-bibliotheek!$I$128)/(bibliotheek!$I$126-bibliotheek!$I$127))+(AY29^0.5*4*3+AY29)*bibliotheek!$I$129)/1000,50)</f>
        <v>0</v>
      </c>
      <c r="AZ99" s="542">
        <f>IF(AZ83="geen",0,MROUND((AZ97*1000)*bibliotheek!$I$216,1))</f>
        <v>0</v>
      </c>
      <c r="BA99" s="542" t="s">
        <v>65</v>
      </c>
      <c r="BB99" s="130"/>
      <c r="BC99" s="130"/>
      <c r="BD99" s="130"/>
      <c r="BE99" s="130"/>
      <c r="BF99" s="130"/>
      <c r="BG99" s="130"/>
      <c r="BH99" s="210"/>
    </row>
    <row r="100" spans="1:60" hidden="1">
      <c r="A100" s="1040"/>
      <c r="B100" s="1109" t="s">
        <v>161</v>
      </c>
      <c r="C100" s="1107" t="s">
        <v>181</v>
      </c>
      <c r="D100" s="638"/>
      <c r="E100" s="79"/>
      <c r="F100" s="79"/>
      <c r="G100" s="79"/>
      <c r="H100" s="85"/>
      <c r="I100" s="79"/>
      <c r="J100" s="82"/>
      <c r="K100" s="79"/>
      <c r="L100" s="79"/>
      <c r="M100" s="82"/>
      <c r="N100" s="79"/>
      <c r="O100" s="82"/>
      <c r="P100" s="82"/>
      <c r="Q100" s="82"/>
      <c r="R100" s="82"/>
      <c r="S100" s="82"/>
      <c r="T100" s="82"/>
      <c r="U100" s="82"/>
      <c r="V100" s="82"/>
      <c r="W100" s="82"/>
      <c r="X100" s="82"/>
      <c r="Y100" s="82"/>
      <c r="Z100" s="79"/>
      <c r="AA100" s="108"/>
      <c r="AB100" s="105"/>
      <c r="AC100" s="108"/>
      <c r="AD100" s="82"/>
      <c r="AE100" s="82"/>
      <c r="AF100" s="82"/>
      <c r="AG100" s="82"/>
      <c r="AH100" s="82"/>
      <c r="AI100" s="82"/>
      <c r="AJ100" s="82"/>
      <c r="AK100" s="82"/>
      <c r="AL100" s="79"/>
      <c r="AM100" s="82"/>
      <c r="AN100" s="105"/>
      <c r="AO100" s="82"/>
      <c r="AP100" s="82"/>
      <c r="AQ100" s="82"/>
      <c r="AR100" s="82"/>
      <c r="AS100" s="82"/>
      <c r="AT100" s="82"/>
      <c r="AU100" s="82"/>
      <c r="AV100" s="82"/>
      <c r="AW100" s="82"/>
      <c r="AX100" s="79"/>
      <c r="AY100" s="82"/>
      <c r="AZ100" s="105"/>
      <c r="BA100" s="82"/>
      <c r="BB100" s="82"/>
      <c r="BC100" s="82"/>
      <c r="BD100" s="82"/>
      <c r="BE100" s="82"/>
      <c r="BF100" s="82"/>
      <c r="BG100" s="82"/>
      <c r="BH100" s="1"/>
    </row>
    <row r="101" spans="1:60">
      <c r="A101" s="1040"/>
      <c r="B101" s="1109" t="s">
        <v>187</v>
      </c>
      <c r="C101" s="1107" t="s">
        <v>96</v>
      </c>
      <c r="D101" s="638"/>
      <c r="E101" s="79"/>
      <c r="F101" s="79"/>
      <c r="G101" s="79"/>
      <c r="H101" s="85"/>
      <c r="I101" s="79"/>
      <c r="J101" s="82"/>
      <c r="K101" s="79"/>
      <c r="L101" s="79"/>
      <c r="M101" s="82"/>
      <c r="N101" s="79"/>
      <c r="O101" s="1018"/>
      <c r="P101" s="1019"/>
      <c r="Q101" s="1019"/>
      <c r="R101" s="82"/>
      <c r="S101" s="82"/>
      <c r="T101" s="82"/>
      <c r="U101" s="82"/>
      <c r="V101" s="82"/>
      <c r="W101" s="82"/>
      <c r="X101" s="82"/>
      <c r="Y101" s="82"/>
      <c r="Z101" s="79"/>
      <c r="AA101" s="82"/>
      <c r="AB101" s="82"/>
      <c r="AC101" s="82"/>
      <c r="AD101" s="82"/>
      <c r="AE101" s="82"/>
      <c r="AF101" s="82"/>
      <c r="AG101" s="82"/>
      <c r="AH101" s="82"/>
      <c r="AI101" s="82"/>
      <c r="AJ101" s="82"/>
      <c r="AK101" s="82"/>
      <c r="AL101" s="79"/>
      <c r="AM101" s="82"/>
      <c r="AN101" s="82"/>
      <c r="AO101" s="82"/>
      <c r="AP101" s="82"/>
      <c r="AQ101" s="82"/>
      <c r="AR101" s="82"/>
      <c r="AS101" s="82"/>
      <c r="AT101" s="82"/>
      <c r="AU101" s="82"/>
      <c r="AV101" s="82"/>
      <c r="AW101" s="82"/>
      <c r="AX101" s="79"/>
      <c r="AY101" s="82"/>
      <c r="AZ101" s="82"/>
      <c r="BA101" s="82"/>
      <c r="BB101" s="82"/>
      <c r="BC101" s="82"/>
      <c r="BD101" s="82"/>
      <c r="BE101" s="82"/>
      <c r="BF101" s="82"/>
      <c r="BG101" s="82"/>
      <c r="BH101" s="1"/>
    </row>
    <row r="102" spans="1:60" ht="21">
      <c r="A102" s="1040"/>
      <c r="B102" s="1109" t="s">
        <v>187</v>
      </c>
      <c r="C102" s="1106" t="s">
        <v>96</v>
      </c>
      <c r="D102" s="641" t="s">
        <v>45</v>
      </c>
      <c r="E102" s="199" t="s">
        <v>188</v>
      </c>
      <c r="F102" s="199"/>
      <c r="G102" s="199"/>
      <c r="H102" s="199"/>
      <c r="I102" s="77"/>
      <c r="J102" s="200" t="str">
        <f>J$10</f>
        <v>alle locaties</v>
      </c>
      <c r="K102" s="126"/>
      <c r="L102" s="126"/>
      <c r="M102" s="200" t="str">
        <f>M$10</f>
        <v>locatie 1</v>
      </c>
      <c r="N102" s="182"/>
      <c r="O102" s="966" t="str">
        <f>$E102&amp;" per energiepost"</f>
        <v>installatie preferent toestel per energiepost</v>
      </c>
      <c r="P102" s="941"/>
      <c r="Q102" s="941"/>
      <c r="R102" s="941"/>
      <c r="S102" s="941"/>
      <c r="T102" s="941"/>
      <c r="U102" s="941"/>
      <c r="V102" s="941"/>
      <c r="W102" s="956"/>
      <c r="X102" s="174"/>
      <c r="Y102" s="176" t="str">
        <f>Y$10</f>
        <v>locatie 2</v>
      </c>
      <c r="Z102" s="182"/>
      <c r="AA102" s="966" t="str">
        <f>$E102&amp;" per energiepost"</f>
        <v>installatie preferent toestel per energiepost</v>
      </c>
      <c r="AB102" s="941"/>
      <c r="AC102" s="941"/>
      <c r="AD102" s="941"/>
      <c r="AE102" s="941"/>
      <c r="AF102" s="941"/>
      <c r="AG102" s="941"/>
      <c r="AH102" s="941"/>
      <c r="AI102" s="956"/>
      <c r="AJ102" s="174"/>
      <c r="AK102" s="176" t="str">
        <f>AK$10</f>
        <v>locatie 3</v>
      </c>
      <c r="AL102" s="182"/>
      <c r="AM102" s="966" t="str">
        <f>$E102&amp;" per energiepost"</f>
        <v>installatie preferent toestel per energiepost</v>
      </c>
      <c r="AN102" s="941"/>
      <c r="AO102" s="941"/>
      <c r="AP102" s="941"/>
      <c r="AQ102" s="941"/>
      <c r="AR102" s="941"/>
      <c r="AS102" s="941"/>
      <c r="AT102" s="941"/>
      <c r="AU102" s="956"/>
      <c r="AV102" s="174"/>
      <c r="AW102" s="176" t="str">
        <f>AW$10</f>
        <v>locatie 4</v>
      </c>
      <c r="AX102" s="182"/>
      <c r="AY102" s="966" t="str">
        <f>$E102&amp;" per energiepost"</f>
        <v>installatie preferent toestel per energiepost</v>
      </c>
      <c r="AZ102" s="941"/>
      <c r="BA102" s="941"/>
      <c r="BB102" s="941"/>
      <c r="BC102" s="941"/>
      <c r="BD102" s="941"/>
      <c r="BE102" s="941"/>
      <c r="BF102" s="941"/>
      <c r="BG102" s="956"/>
      <c r="BH102" s="1"/>
    </row>
    <row r="103" spans="1:60">
      <c r="A103" s="1040"/>
      <c r="B103" s="1109" t="s">
        <v>187</v>
      </c>
      <c r="C103" s="1106" t="s">
        <v>96</v>
      </c>
      <c r="D103" s="641"/>
      <c r="E103" s="940" t="s">
        <v>189</v>
      </c>
      <c r="F103" s="940"/>
      <c r="G103" s="940"/>
      <c r="H103" s="940"/>
      <c r="I103" s="77"/>
      <c r="J103" s="939"/>
      <c r="K103" s="126"/>
      <c r="L103" s="126"/>
      <c r="M103" s="938"/>
      <c r="N103" s="125"/>
      <c r="O103" s="177" t="str">
        <f>O$10</f>
        <v>verwarming</v>
      </c>
      <c r="P103" s="177" t="str">
        <f>P$10</f>
        <v>koeling</v>
      </c>
      <c r="Q103" s="177" t="str">
        <f>Q$10</f>
        <v>tapwater</v>
      </c>
      <c r="R103" s="177"/>
      <c r="S103" s="177"/>
      <c r="T103" s="177"/>
      <c r="U103" s="177"/>
      <c r="V103" s="177"/>
      <c r="W103" s="177"/>
      <c r="X103" s="147"/>
      <c r="Y103" s="938"/>
      <c r="Z103" s="125"/>
      <c r="AA103" s="177" t="str">
        <f>AA$10</f>
        <v>verwarming</v>
      </c>
      <c r="AB103" s="177" t="str">
        <f>AB$10</f>
        <v>koeling</v>
      </c>
      <c r="AC103" s="177" t="str">
        <f>AC$10</f>
        <v>tapwater</v>
      </c>
      <c r="AD103" s="177"/>
      <c r="AE103" s="177"/>
      <c r="AF103" s="177"/>
      <c r="AG103" s="177"/>
      <c r="AH103" s="177"/>
      <c r="AI103" s="177"/>
      <c r="AJ103" s="147"/>
      <c r="AK103" s="938"/>
      <c r="AL103" s="125"/>
      <c r="AM103" s="177" t="str">
        <f>AM$10</f>
        <v>verwarming</v>
      </c>
      <c r="AN103" s="177" t="str">
        <f>AN$10</f>
        <v>koeling</v>
      </c>
      <c r="AO103" s="177" t="str">
        <f>AO$10</f>
        <v>tapwater</v>
      </c>
      <c r="AP103" s="177"/>
      <c r="AQ103" s="177"/>
      <c r="AR103" s="177"/>
      <c r="AS103" s="177"/>
      <c r="AT103" s="177"/>
      <c r="AU103" s="177"/>
      <c r="AV103" s="147"/>
      <c r="AW103" s="938"/>
      <c r="AX103" s="125"/>
      <c r="AY103" s="177" t="str">
        <f>AY$10</f>
        <v>verwarming</v>
      </c>
      <c r="AZ103" s="177" t="str">
        <f>AZ$10</f>
        <v>koeling</v>
      </c>
      <c r="BA103" s="177" t="str">
        <f>BA$10</f>
        <v>tapwater</v>
      </c>
      <c r="BB103" s="177"/>
      <c r="BC103" s="177"/>
      <c r="BD103" s="177"/>
      <c r="BE103" s="177"/>
      <c r="BF103" s="177"/>
      <c r="BG103" s="177"/>
      <c r="BH103" s="218"/>
    </row>
    <row r="104" spans="1:60" ht="38.25">
      <c r="A104" s="1040"/>
      <c r="B104" s="1109" t="s">
        <v>187</v>
      </c>
      <c r="C104" s="1107" t="s">
        <v>118</v>
      </c>
      <c r="D104" s="638"/>
      <c r="E104" s="150" t="s">
        <v>164</v>
      </c>
      <c r="F104" s="294"/>
      <c r="G104" s="294"/>
      <c r="H104" s="150" t="s">
        <v>65</v>
      </c>
      <c r="I104" s="155"/>
      <c r="J104" s="268"/>
      <c r="K104" s="1056"/>
      <c r="L104" s="1056"/>
      <c r="M104" s="268"/>
      <c r="N104" s="120"/>
      <c r="O104" s="324" t="str">
        <f>O83</f>
        <v>ind WP, ind bodem, elek bijstook</v>
      </c>
      <c r="P104" s="324" t="str">
        <f>P83</f>
        <v>geen</v>
      </c>
      <c r="Q104" s="324" t="str">
        <f>Q83</f>
        <v>ind WP, ind bodem, elek bijstook</v>
      </c>
      <c r="R104" s="156"/>
      <c r="S104" s="156"/>
      <c r="T104" s="156"/>
      <c r="U104" s="156"/>
      <c r="V104" s="156"/>
      <c r="W104" s="156"/>
      <c r="X104" s="157"/>
      <c r="Y104" s="268"/>
      <c r="Z104" s="120"/>
      <c r="AA104" s="324" t="str">
        <f>AA83</f>
        <v>ind WP, ind bodem, elek bijstook</v>
      </c>
      <c r="AB104" s="324" t="str">
        <f>AB83</f>
        <v>geen</v>
      </c>
      <c r="AC104" s="324" t="str">
        <f>AC83</f>
        <v>ind WP, ind bodem, elek bijstook</v>
      </c>
      <c r="AD104" s="156"/>
      <c r="AE104" s="156"/>
      <c r="AF104" s="156"/>
      <c r="AG104" s="156"/>
      <c r="AH104" s="156"/>
      <c r="AI104" s="156"/>
      <c r="AJ104" s="157"/>
      <c r="AK104" s="268"/>
      <c r="AL104" s="120"/>
      <c r="AM104" s="324" t="str">
        <f>AM83</f>
        <v>ind WP, ind bodem, elek bijstook</v>
      </c>
      <c r="AN104" s="324" t="str">
        <f>AN83</f>
        <v>geen</v>
      </c>
      <c r="AO104" s="324" t="str">
        <f>AO83</f>
        <v>ind WP, ind bodem, elek bijstook</v>
      </c>
      <c r="AP104" s="156"/>
      <c r="AQ104" s="156"/>
      <c r="AR104" s="156"/>
      <c r="AS104" s="156"/>
      <c r="AT104" s="156"/>
      <c r="AU104" s="156"/>
      <c r="AV104" s="157"/>
      <c r="AW104" s="268"/>
      <c r="AX104" s="120"/>
      <c r="AY104" s="324" t="str">
        <f>AY83</f>
        <v>ind WP, ind bodem, elek bijstook</v>
      </c>
      <c r="AZ104" s="324" t="str">
        <f>AZ83</f>
        <v>geen</v>
      </c>
      <c r="BA104" s="324" t="str">
        <f>BA83</f>
        <v>ind WP, ind bodem, elek bijstook</v>
      </c>
      <c r="BB104" s="156"/>
      <c r="BC104" s="156"/>
      <c r="BD104" s="156"/>
      <c r="BE104" s="156"/>
      <c r="BF104" s="156"/>
      <c r="BG104" s="156"/>
      <c r="BH104" s="218"/>
    </row>
    <row r="105" spans="1:60" s="36" customFormat="1" ht="80.25" hidden="1" customHeight="1">
      <c r="A105" s="1040"/>
      <c r="B105" s="1109" t="s">
        <v>187</v>
      </c>
      <c r="C105" s="1107" t="s">
        <v>181</v>
      </c>
      <c r="D105" s="638"/>
      <c r="E105" s="150" t="s">
        <v>190</v>
      </c>
      <c r="F105" s="149"/>
      <c r="G105" s="149"/>
      <c r="H105" s="150" t="s">
        <v>65</v>
      </c>
      <c r="I105" s="277"/>
      <c r="J105" s="287"/>
      <c r="K105" s="1057"/>
      <c r="L105" s="1057"/>
      <c r="M105" s="287"/>
      <c r="N105" s="194"/>
      <c r="O105" s="324" t="str">
        <f>HLOOKUP(IF(O$83="",referentie_verwarming,O$83),toestellen_RV,ROWS(bibliotheek!$E$83:$E$96),FALSE)</f>
        <v>elektriciteit</v>
      </c>
      <c r="P105" s="324" t="str">
        <f>HLOOKUP(IF(P$83="",referentie_koeling,P$83),toestellen_KOEL,ROWS(bibliotheek!$E$190:$E$197),FALSE)</f>
        <v>nvt</v>
      </c>
      <c r="Q105" s="324" t="str">
        <f>HLOOKUP(IF(Q$83="",referentie_warmtapwater,Q$83),toestellen_TAP,ROWS(bibliotheek!$E$139:$E$152),FALSE)</f>
        <v>elektriciteit</v>
      </c>
      <c r="R105" s="278"/>
      <c r="S105" s="278"/>
      <c r="T105" s="278"/>
      <c r="U105" s="278"/>
      <c r="V105" s="278"/>
      <c r="W105" s="278"/>
      <c r="X105" s="279"/>
      <c r="Y105" s="287"/>
      <c r="Z105" s="194"/>
      <c r="AA105" s="324" t="str">
        <f>HLOOKUP(IF(AA$83="",referentie_verwarming,AA$83),toestellen_RV,ROWS(bibliotheek!$E$83:$E$96),FALSE)</f>
        <v>elektriciteit</v>
      </c>
      <c r="AB105" s="324" t="str">
        <f>HLOOKUP(IF(AB$83="",referentie_koeling,AB$83),toestellen_KOEL,ROWS(bibliotheek!$E$190:$E$197),FALSE)</f>
        <v>nvt</v>
      </c>
      <c r="AC105" s="324" t="str">
        <f>HLOOKUP(IF(AC$83="",referentie_warmtapwater,AC$83),toestellen_TAP,ROWS(bibliotheek!$E$139:$E$152),FALSE)</f>
        <v>elektriciteit</v>
      </c>
      <c r="AD105" s="278"/>
      <c r="AE105" s="278"/>
      <c r="AF105" s="278"/>
      <c r="AG105" s="278"/>
      <c r="AH105" s="278"/>
      <c r="AI105" s="278"/>
      <c r="AJ105" s="279"/>
      <c r="AK105" s="287"/>
      <c r="AL105" s="194"/>
      <c r="AM105" s="324" t="str">
        <f>HLOOKUP(IF(AM$83="",referentie_verwarming,AM$83),toestellen_RV,ROWS(bibliotheek!$E$83:$E$96),FALSE)</f>
        <v>elektriciteit</v>
      </c>
      <c r="AN105" s="324" t="str">
        <f>HLOOKUP(IF(AN$83="",referentie_koeling,AN$83),toestellen_KOEL,ROWS(bibliotheek!$E$190:$E$197),FALSE)</f>
        <v>nvt</v>
      </c>
      <c r="AO105" s="324" t="str">
        <f>HLOOKUP(IF(AO$83="",referentie_warmtapwater,AO$83),toestellen_TAP,ROWS(bibliotheek!$E$139:$E$152),FALSE)</f>
        <v>elektriciteit</v>
      </c>
      <c r="AP105" s="278"/>
      <c r="AQ105" s="278"/>
      <c r="AR105" s="278"/>
      <c r="AS105" s="278"/>
      <c r="AT105" s="278"/>
      <c r="AU105" s="278"/>
      <c r="AV105" s="279"/>
      <c r="AW105" s="287"/>
      <c r="AX105" s="194"/>
      <c r="AY105" s="324" t="str">
        <f>HLOOKUP(IF(AY$83="",referentie_verwarming,AY$83),toestellen_RV,ROWS(bibliotheek!$E$83:$E$96),FALSE)</f>
        <v>elektriciteit</v>
      </c>
      <c r="AZ105" s="324" t="str">
        <f>HLOOKUP(IF(AZ$83="",referentie_koeling,AZ$83),toestellen_KOEL,ROWS(bibliotheek!$E$190:$E$197),FALSE)</f>
        <v>nvt</v>
      </c>
      <c r="BA105" s="324" t="str">
        <f>HLOOKUP(IF(BA$83="",referentie_warmtapwater,BA$83),toestellen_TAP,ROWS(bibliotheek!$E$139:$E$152),FALSE)</f>
        <v>elektriciteit</v>
      </c>
      <c r="BB105" s="278"/>
      <c r="BC105" s="278"/>
      <c r="BD105" s="278"/>
      <c r="BE105" s="278"/>
      <c r="BF105" s="278"/>
      <c r="BG105" s="278"/>
      <c r="BH105" s="223"/>
    </row>
    <row r="106" spans="1:60" hidden="1">
      <c r="A106" s="1040"/>
      <c r="B106" s="1109" t="s">
        <v>187</v>
      </c>
      <c r="C106" s="1106" t="s">
        <v>181</v>
      </c>
      <c r="D106" s="638"/>
      <c r="E106" s="181" t="s">
        <v>191</v>
      </c>
      <c r="F106" s="180"/>
      <c r="G106" s="180"/>
      <c r="H106" s="181" t="s">
        <v>65</v>
      </c>
      <c r="I106" s="129"/>
      <c r="J106" s="190"/>
      <c r="K106" s="1058"/>
      <c r="L106" s="1058"/>
      <c r="M106" s="190"/>
      <c r="N106" s="114"/>
      <c r="O106" s="543" t="str">
        <f>INDEX(energiedragers_index_fPren,MATCH(O105,energiedragers_namen,0))</f>
        <v>nren</v>
      </c>
      <c r="P106" s="543" t="str">
        <f>INDEX(energiedragers_index_fPren,MATCH(P105,energiedragers_namen,0))</f>
        <v>nren</v>
      </c>
      <c r="Q106" s="543" t="str">
        <f>INDEX(energiedragers_index_fPren,MATCH(Q105,energiedragers_namen,0))</f>
        <v>nren</v>
      </c>
      <c r="R106" s="165"/>
      <c r="S106" s="165"/>
      <c r="T106" s="165"/>
      <c r="U106" s="165"/>
      <c r="V106" s="165"/>
      <c r="W106" s="165"/>
      <c r="X106" s="166"/>
      <c r="Y106" s="190"/>
      <c r="Z106" s="114"/>
      <c r="AA106" s="543" t="str">
        <f>INDEX(energiedragers_index_fPren,MATCH(AA105,energiedragers_namen,0))</f>
        <v>nren</v>
      </c>
      <c r="AB106" s="543" t="str">
        <f>INDEX(energiedragers_index_fPren,MATCH(AB105,energiedragers_namen,0))</f>
        <v>nren</v>
      </c>
      <c r="AC106" s="543" t="str">
        <f>INDEX(energiedragers_index_fPren,MATCH(AC105,energiedragers_namen,0))</f>
        <v>nren</v>
      </c>
      <c r="AD106" s="165"/>
      <c r="AE106" s="165"/>
      <c r="AF106" s="165"/>
      <c r="AG106" s="165"/>
      <c r="AH106" s="165"/>
      <c r="AI106" s="165"/>
      <c r="AJ106" s="166"/>
      <c r="AK106" s="190"/>
      <c r="AL106" s="114"/>
      <c r="AM106" s="543" t="str">
        <f>INDEX(energiedragers_index_fPren,MATCH(AM105,energiedragers_namen,0))</f>
        <v>nren</v>
      </c>
      <c r="AN106" s="543" t="str">
        <f>INDEX(energiedragers_index_fPren,MATCH(AN105,energiedragers_namen,0))</f>
        <v>nren</v>
      </c>
      <c r="AO106" s="543" t="str">
        <f>INDEX(energiedragers_index_fPren,MATCH(AO105,energiedragers_namen,0))</f>
        <v>nren</v>
      </c>
      <c r="AP106" s="165"/>
      <c r="AQ106" s="165"/>
      <c r="AR106" s="165"/>
      <c r="AS106" s="165"/>
      <c r="AT106" s="165"/>
      <c r="AU106" s="165"/>
      <c r="AV106" s="166"/>
      <c r="AW106" s="190"/>
      <c r="AX106" s="114"/>
      <c r="AY106" s="543" t="str">
        <f>INDEX(energiedragers_index_fPren,MATCH(AY105,energiedragers_namen,0))</f>
        <v>nren</v>
      </c>
      <c r="AZ106" s="543" t="str">
        <f>INDEX(energiedragers_index_fPren,MATCH(AZ105,energiedragers_namen,0))</f>
        <v>nren</v>
      </c>
      <c r="BA106" s="543" t="str">
        <f>INDEX(energiedragers_index_fPren,MATCH(BA105,energiedragers_namen,0))</f>
        <v>nren</v>
      </c>
      <c r="BB106" s="165"/>
      <c r="BC106" s="165"/>
      <c r="BD106" s="165"/>
      <c r="BE106" s="165"/>
      <c r="BF106" s="165"/>
      <c r="BG106" s="165"/>
      <c r="BH106" s="219"/>
    </row>
    <row r="107" spans="1:60">
      <c r="A107" s="1040"/>
      <c r="B107" s="1109" t="s">
        <v>187</v>
      </c>
      <c r="C107" s="1106" t="s">
        <v>96</v>
      </c>
      <c r="D107" s="638"/>
      <c r="E107" s="940" t="s">
        <v>192</v>
      </c>
      <c r="F107" s="940"/>
      <c r="G107" s="940"/>
      <c r="H107" s="940"/>
      <c r="I107" s="77"/>
      <c r="J107" s="939"/>
      <c r="K107" s="126"/>
      <c r="L107" s="126"/>
      <c r="M107" s="938"/>
      <c r="N107" s="125"/>
      <c r="O107" s="177" t="str">
        <f>O$10</f>
        <v>verwarming</v>
      </c>
      <c r="P107" s="177" t="str">
        <f>P$10</f>
        <v>koeling</v>
      </c>
      <c r="Q107" s="177" t="str">
        <f>Q$10</f>
        <v>tapwater</v>
      </c>
      <c r="R107" s="177"/>
      <c r="S107" s="177"/>
      <c r="T107" s="177"/>
      <c r="U107" s="177"/>
      <c r="V107" s="177"/>
      <c r="W107" s="177"/>
      <c r="X107" s="127"/>
      <c r="Y107" s="938"/>
      <c r="Z107" s="125"/>
      <c r="AA107" s="177" t="str">
        <f>AA$10</f>
        <v>verwarming</v>
      </c>
      <c r="AB107" s="177" t="str">
        <f>AB$10</f>
        <v>koeling</v>
      </c>
      <c r="AC107" s="177" t="str">
        <f>AC$10</f>
        <v>tapwater</v>
      </c>
      <c r="AD107" s="177"/>
      <c r="AE107" s="177"/>
      <c r="AF107" s="177"/>
      <c r="AG107" s="177"/>
      <c r="AH107" s="177"/>
      <c r="AI107" s="177"/>
      <c r="AJ107" s="127"/>
      <c r="AK107" s="938"/>
      <c r="AL107" s="125"/>
      <c r="AM107" s="177" t="str">
        <f>AM$10</f>
        <v>verwarming</v>
      </c>
      <c r="AN107" s="177" t="str">
        <f>AN$10</f>
        <v>koeling</v>
      </c>
      <c r="AO107" s="177" t="str">
        <f>AO$10</f>
        <v>tapwater</v>
      </c>
      <c r="AP107" s="177"/>
      <c r="AQ107" s="177"/>
      <c r="AR107" s="177"/>
      <c r="AS107" s="177"/>
      <c r="AT107" s="177"/>
      <c r="AU107" s="177"/>
      <c r="AV107" s="127"/>
      <c r="AW107" s="938"/>
      <c r="AX107" s="125"/>
      <c r="AY107" s="177" t="str">
        <f>AY$10</f>
        <v>verwarming</v>
      </c>
      <c r="AZ107" s="177" t="str">
        <f>AZ$10</f>
        <v>koeling</v>
      </c>
      <c r="BA107" s="177" t="str">
        <f>BA$10</f>
        <v>tapwater</v>
      </c>
      <c r="BB107" s="177"/>
      <c r="BC107" s="177"/>
      <c r="BD107" s="177"/>
      <c r="BE107" s="177"/>
      <c r="BF107" s="177"/>
      <c r="BG107" s="177"/>
      <c r="BH107" s="218"/>
    </row>
    <row r="108" spans="1:60">
      <c r="A108" s="1040"/>
      <c r="B108" s="1109" t="s">
        <v>187</v>
      </c>
      <c r="C108" s="1107" t="s">
        <v>118</v>
      </c>
      <c r="D108" s="638"/>
      <c r="E108" s="291" t="s">
        <v>193</v>
      </c>
      <c r="F108" s="254"/>
      <c r="G108" s="254"/>
      <c r="H108" s="291" t="s">
        <v>139</v>
      </c>
      <c r="I108" s="77"/>
      <c r="J108" s="189"/>
      <c r="K108" s="107"/>
      <c r="L108" s="107"/>
      <c r="M108" s="189"/>
      <c r="N108" s="79"/>
      <c r="O108" s="544">
        <f>IF(HLOOKUP(IF(O$83="",referentie_verwarming,O$83),toestellen_RV,ROWS(bibliotheek!$E$83:$E$98),FALSE)=1,1,IF(O109&lt;&gt;"",O109,HLOOKUP(IF(O$83="",referentie_verwarming,O$83),toestellen_RV,ROWS(bibliotheek!$E$83:$E$98),FALSE)))</f>
        <v>0.9</v>
      </c>
      <c r="P108" s="544">
        <f>IF(HLOOKUP(IF(P$83="",referentie_koeling,P$83),toestellen_KOEL,ROWS(bibliotheek!$E$190:$E$199),FALSE)=1,1,IF(P109&lt;&gt;"",P109,HLOOKUP(IF(P$83="",referentie_koeling,P$83),toestellen_KOEL,ROWS(bibliotheek!$E$190:$E$199),FALSE)))</f>
        <v>1</v>
      </c>
      <c r="Q108" s="544">
        <f>IF(HLOOKUP(IF(Q$83="",referentie_warmtapwater,Q$83),toestellen_TAP,ROWS(bibliotheek!$E$139:$E$154),FALSE)=1,1,IF(Q109&lt;&gt;"",Q109,HLOOKUP(IF(Q$83="",referentie_warmtapwater,Q$83),toestellen_TAP,ROWS(bibliotheek!$E$139:$E$154),FALSE)))</f>
        <v>0.9</v>
      </c>
      <c r="R108" s="135"/>
      <c r="S108" s="135"/>
      <c r="T108" s="135"/>
      <c r="U108" s="135"/>
      <c r="V108" s="135"/>
      <c r="W108" s="135"/>
      <c r="X108" s="76"/>
      <c r="Y108" s="189"/>
      <c r="Z108" s="79"/>
      <c r="AA108" s="544">
        <f>IF(HLOOKUP(IF(AA$83="",referentie_verwarming,AA$83),toestellen_RV,ROWS(bibliotheek!$E$83:$E$98),FALSE)=1,1,IF(AA109&lt;&gt;"",AA109,HLOOKUP(IF(AA$83="",referentie_verwarming,AA$83),toestellen_RV,ROWS(bibliotheek!$E$83:$E$98),FALSE)))</f>
        <v>0.9</v>
      </c>
      <c r="AB108" s="544">
        <f>IF(HLOOKUP(IF(AB$83="",referentie_koeling,AB$83),toestellen_KOEL,ROWS(bibliotheek!$E$190:$E$199),FALSE)=1,1,IF(AB109&lt;&gt;"",AB109,HLOOKUP(IF(AB$83="",referentie_koeling,AB$83),toestellen_KOEL,ROWS(bibliotheek!$E$190:$E$199),FALSE)))</f>
        <v>1</v>
      </c>
      <c r="AC108" s="544">
        <f>IF(HLOOKUP(IF(AC$83="",referentie_warmtapwater,AC$83),toestellen_TAP,ROWS(bibliotheek!$E$139:$E$154),FALSE)=1,1,IF(AC109&lt;&gt;"",AC109,HLOOKUP(IF(AC$83="",referentie_warmtapwater,AC$83),toestellen_TAP,ROWS(bibliotheek!$E$139:$E$154),FALSE)))</f>
        <v>0.9</v>
      </c>
      <c r="AD108" s="135"/>
      <c r="AE108" s="135"/>
      <c r="AF108" s="135"/>
      <c r="AG108" s="135"/>
      <c r="AH108" s="135"/>
      <c r="AI108" s="135"/>
      <c r="AJ108" s="76"/>
      <c r="AK108" s="189"/>
      <c r="AL108" s="79"/>
      <c r="AM108" s="544">
        <f>IF(HLOOKUP(IF(AM$83="",referentie_verwarming,AM$83),toestellen_RV,ROWS(bibliotheek!$E$83:$E$98),FALSE)=1,1,IF(AM109&lt;&gt;"",AM109,HLOOKUP(IF(AM$83="",referentie_verwarming,AM$83),toestellen_RV,ROWS(bibliotheek!$E$83:$E$98),FALSE)))</f>
        <v>0.9</v>
      </c>
      <c r="AN108" s="544">
        <f>IF(HLOOKUP(IF(AN$83="",referentie_koeling,AN$83),toestellen_KOEL,ROWS(bibliotheek!$E$190:$E$199),FALSE)=1,1,IF(AN109&lt;&gt;"",AN109,HLOOKUP(IF(AN$83="",referentie_koeling,AN$83),toestellen_KOEL,ROWS(bibliotheek!$E$190:$E$199),FALSE)))</f>
        <v>1</v>
      </c>
      <c r="AO108" s="544">
        <f>IF(HLOOKUP(IF(AO$83="",referentie_warmtapwater,AO$83),toestellen_TAP,ROWS(bibliotheek!$E$139:$E$154),FALSE)=1,1,IF(AO109&lt;&gt;"",AO109,HLOOKUP(IF(AO$83="",referentie_warmtapwater,AO$83),toestellen_TAP,ROWS(bibliotheek!$E$139:$E$154),FALSE)))</f>
        <v>0.9</v>
      </c>
      <c r="AP108" s="135"/>
      <c r="AQ108" s="135"/>
      <c r="AR108" s="135"/>
      <c r="AS108" s="135"/>
      <c r="AT108" s="135"/>
      <c r="AU108" s="135"/>
      <c r="AV108" s="76"/>
      <c r="AW108" s="189"/>
      <c r="AX108" s="79"/>
      <c r="AY108" s="544">
        <f>IF(HLOOKUP(IF(AY$83="",referentie_verwarming,AY$83),toestellen_RV,ROWS(bibliotheek!$E$83:$E$98),FALSE)=1,1,IF(AY109&lt;&gt;"",AY109,HLOOKUP(IF(AY$83="",referentie_verwarming,AY$83),toestellen_RV,ROWS(bibliotheek!$E$83:$E$98),FALSE)))</f>
        <v>0.9</v>
      </c>
      <c r="AZ108" s="544">
        <f>IF(HLOOKUP(IF(AZ$83="",referentie_koeling,AZ$83),toestellen_KOEL,ROWS(bibliotheek!$E$190:$E$199),FALSE)=1,1,IF(AZ109&lt;&gt;"",AZ109,HLOOKUP(IF(AZ$83="",referentie_koeling,AZ$83),toestellen_KOEL,ROWS(bibliotheek!$E$190:$E$199),FALSE)))</f>
        <v>1</v>
      </c>
      <c r="BA108" s="544">
        <f>IF(HLOOKUP(IF(BA$83="",referentie_warmtapwater,BA$83),toestellen_TAP,ROWS(bibliotheek!$E$139:$E$154),FALSE)=1,1,IF(BA109&lt;&gt;"",BA109,HLOOKUP(IF(BA$83="",referentie_warmtapwater,BA$83),toestellen_TAP,ROWS(bibliotheek!$E$139:$E$154),FALSE)))</f>
        <v>0.9</v>
      </c>
      <c r="BB108" s="135"/>
      <c r="BC108" s="135"/>
      <c r="BD108" s="135"/>
      <c r="BE108" s="135"/>
      <c r="BF108" s="135"/>
      <c r="BG108" s="135"/>
      <c r="BH108" s="174"/>
    </row>
    <row r="109" spans="1:60">
      <c r="A109" s="1040"/>
      <c r="B109" s="1109" t="s">
        <v>187</v>
      </c>
      <c r="C109" s="1107" t="s">
        <v>118</v>
      </c>
      <c r="D109" s="638"/>
      <c r="E109" s="1218" t="s">
        <v>194</v>
      </c>
      <c r="F109" s="255"/>
      <c r="G109" s="255"/>
      <c r="H109" s="292"/>
      <c r="I109" s="77"/>
      <c r="J109" s="299"/>
      <c r="K109" s="107"/>
      <c r="L109" s="107"/>
      <c r="M109" s="198"/>
      <c r="N109" s="79"/>
      <c r="O109" s="282"/>
      <c r="P109" s="282"/>
      <c r="Q109" s="282"/>
      <c r="R109" s="137"/>
      <c r="S109" s="137"/>
      <c r="T109" s="137"/>
      <c r="U109" s="137"/>
      <c r="V109" s="137"/>
      <c r="W109" s="137"/>
      <c r="X109" s="76"/>
      <c r="Y109" s="198"/>
      <c r="Z109" s="79"/>
      <c r="AA109" s="282"/>
      <c r="AB109" s="282"/>
      <c r="AC109" s="282"/>
      <c r="AD109" s="137"/>
      <c r="AE109" s="137"/>
      <c r="AF109" s="137"/>
      <c r="AG109" s="137"/>
      <c r="AH109" s="137"/>
      <c r="AI109" s="137"/>
      <c r="AJ109" s="76"/>
      <c r="AK109" s="198"/>
      <c r="AL109" s="79"/>
      <c r="AM109" s="282"/>
      <c r="AN109" s="282"/>
      <c r="AO109" s="282"/>
      <c r="AP109" s="137"/>
      <c r="AQ109" s="137"/>
      <c r="AR109" s="137"/>
      <c r="AS109" s="137"/>
      <c r="AT109" s="137"/>
      <c r="AU109" s="137"/>
      <c r="AV109" s="76"/>
      <c r="AW109" s="198"/>
      <c r="AX109" s="79"/>
      <c r="AY109" s="282"/>
      <c r="AZ109" s="282"/>
      <c r="BA109" s="282"/>
      <c r="BB109" s="137"/>
      <c r="BC109" s="137"/>
      <c r="BD109" s="137"/>
      <c r="BE109" s="137"/>
      <c r="BF109" s="137"/>
      <c r="BG109" s="137"/>
      <c r="BH109" s="220"/>
    </row>
    <row r="110" spans="1:60" hidden="1">
      <c r="A110" s="1046"/>
      <c r="B110" s="1109" t="s">
        <v>187</v>
      </c>
      <c r="C110" s="1111" t="s">
        <v>181</v>
      </c>
      <c r="D110" s="643"/>
      <c r="E110" s="201" t="s">
        <v>195</v>
      </c>
      <c r="F110" s="245"/>
      <c r="G110" s="245"/>
      <c r="H110" s="201" t="s">
        <v>160</v>
      </c>
      <c r="I110" s="107"/>
      <c r="J110" s="202">
        <f>M110+Y110+AK110+AW110</f>
        <v>0</v>
      </c>
      <c r="K110" s="1059"/>
      <c r="L110" s="1059"/>
      <c r="M110" s="202">
        <f>SUM(O110:X110)</f>
        <v>0</v>
      </c>
      <c r="N110" s="243"/>
      <c r="O110" s="168">
        <f>O$97*O108</f>
        <v>0</v>
      </c>
      <c r="P110" s="168">
        <f>P$97*P108</f>
        <v>0</v>
      </c>
      <c r="Q110" s="168">
        <f>Q$97*Q108</f>
        <v>0</v>
      </c>
      <c r="R110" s="130"/>
      <c r="S110" s="130"/>
      <c r="T110" s="130"/>
      <c r="U110" s="130"/>
      <c r="V110" s="130"/>
      <c r="W110" s="130"/>
      <c r="X110" s="110"/>
      <c r="Y110" s="202">
        <f>SUM(AA110:AJ110)</f>
        <v>0</v>
      </c>
      <c r="Z110" s="243"/>
      <c r="AA110" s="168">
        <f>AA$97*AA108</f>
        <v>0</v>
      </c>
      <c r="AB110" s="168">
        <f>AB$97*AB108</f>
        <v>0</v>
      </c>
      <c r="AC110" s="168">
        <f>AC$97*AC108</f>
        <v>0</v>
      </c>
      <c r="AD110" s="130"/>
      <c r="AE110" s="130"/>
      <c r="AF110" s="130"/>
      <c r="AG110" s="130"/>
      <c r="AH110" s="130"/>
      <c r="AI110" s="130"/>
      <c r="AJ110" s="110"/>
      <c r="AK110" s="202">
        <f>SUM(AM110:AV110)</f>
        <v>0</v>
      </c>
      <c r="AL110" s="243"/>
      <c r="AM110" s="168">
        <f>AM$97*AM108</f>
        <v>0</v>
      </c>
      <c r="AN110" s="168">
        <f>AN$97*AN108</f>
        <v>0</v>
      </c>
      <c r="AO110" s="168">
        <f>AO$97*AO108</f>
        <v>0</v>
      </c>
      <c r="AP110" s="130"/>
      <c r="AQ110" s="130"/>
      <c r="AR110" s="130"/>
      <c r="AS110" s="130"/>
      <c r="AT110" s="130"/>
      <c r="AU110" s="130"/>
      <c r="AV110" s="110"/>
      <c r="AW110" s="202">
        <f>SUM(AY110:BH110)</f>
        <v>0</v>
      </c>
      <c r="AX110" s="243"/>
      <c r="AY110" s="168">
        <f>AY$97*AY108</f>
        <v>0</v>
      </c>
      <c r="AZ110" s="168">
        <f>AZ$97*AZ108</f>
        <v>0</v>
      </c>
      <c r="BA110" s="168">
        <f>BA$97*BA108</f>
        <v>0</v>
      </c>
      <c r="BB110" s="130"/>
      <c r="BC110" s="130"/>
      <c r="BD110" s="130"/>
      <c r="BE110" s="130"/>
      <c r="BF110" s="130"/>
      <c r="BG110" s="130"/>
      <c r="BH110" s="174"/>
    </row>
    <row r="111" spans="1:60">
      <c r="A111" s="1040"/>
      <c r="B111" s="1109" t="s">
        <v>187</v>
      </c>
      <c r="C111" s="1107" t="s">
        <v>118</v>
      </c>
      <c r="D111" s="641" t="s">
        <v>45</v>
      </c>
      <c r="E111" s="291" t="s">
        <v>196</v>
      </c>
      <c r="F111" s="254"/>
      <c r="G111" s="254"/>
      <c r="H111" s="291" t="s">
        <v>65</v>
      </c>
      <c r="I111" s="77"/>
      <c r="J111" s="288"/>
      <c r="K111" s="1060"/>
      <c r="L111" s="1060"/>
      <c r="M111" s="288"/>
      <c r="N111" s="244"/>
      <c r="O111" s="377">
        <f>IF(O112&lt;&gt;"",O112,HLOOKUP(IF(O$83="",referentie_verwarming,O$83),toestellen_RV,ROWS(bibliotheek!$E$83:$E$99),FALSE))</f>
        <v>4.55</v>
      </c>
      <c r="P111" s="377">
        <f>IF(P112&lt;&gt;"",P112,HLOOKUP(IF(P$83="",referentie_koeling,P$83),toestellen_KOEL,ROWS(bibliotheek!$E$190:$E$200),FALSE))</f>
        <v>0</v>
      </c>
      <c r="Q111" s="377">
        <f>IF(Q112&lt;&gt;"",Q112,HLOOKUP(IF(Q$83="",referentie_warmtapwater,Q$83),toestellen_TAP,ROWS(bibliotheek!$E$139:$E$155),FALSE))</f>
        <v>2.4</v>
      </c>
      <c r="R111" s="141"/>
      <c r="S111" s="141"/>
      <c r="T111" s="141"/>
      <c r="U111" s="141"/>
      <c r="V111" s="141"/>
      <c r="W111" s="141"/>
      <c r="X111" s="348"/>
      <c r="Y111" s="288"/>
      <c r="Z111" s="244"/>
      <c r="AA111" s="377">
        <f>IF(AA112&lt;&gt;"",AA112,HLOOKUP(IF(AA$83="",referentie_verwarming,AA$83),toestellen_RV,ROWS(bibliotheek!$E$83:$E$99),FALSE))</f>
        <v>4.55</v>
      </c>
      <c r="AB111" s="377">
        <f>IF(AB112&lt;&gt;"",AB112,HLOOKUP(IF(AB$83="",referentie_koeling,AB$83),toestellen_KOEL,ROWS(bibliotheek!$E$190:$E$200),FALSE))</f>
        <v>0</v>
      </c>
      <c r="AC111" s="377">
        <f>IF(AC112&lt;&gt;"",AC112,HLOOKUP(IF(AC$83="",referentie_warmtapwater,AC$83),toestellen_TAP,ROWS(bibliotheek!$E$139:$E$155),FALSE))</f>
        <v>2.4</v>
      </c>
      <c r="AD111" s="141"/>
      <c r="AE111" s="141"/>
      <c r="AF111" s="141"/>
      <c r="AG111" s="141"/>
      <c r="AH111" s="141"/>
      <c r="AI111" s="141"/>
      <c r="AJ111" s="348"/>
      <c r="AK111" s="288"/>
      <c r="AL111" s="244"/>
      <c r="AM111" s="377">
        <f>IF(AM112&lt;&gt;"",AM112,HLOOKUP(IF(AM$83="",referentie_verwarming,AM$83),toestellen_RV,ROWS(bibliotheek!$E$83:$E$99),FALSE))</f>
        <v>4.55</v>
      </c>
      <c r="AN111" s="377">
        <f>IF(AN112&lt;&gt;"",AN112,HLOOKUP(IF(AN$83="",referentie_koeling,AN$83),toestellen_KOEL,ROWS(bibliotheek!$E$190:$E$200),FALSE))</f>
        <v>0</v>
      </c>
      <c r="AO111" s="377">
        <f>IF(AO112&lt;&gt;"",AO112,HLOOKUP(IF(AO$83="",referentie_warmtapwater,AO$83),toestellen_TAP,ROWS(bibliotheek!$E$139:$E$155),FALSE))</f>
        <v>2.4</v>
      </c>
      <c r="AP111" s="141"/>
      <c r="AQ111" s="141"/>
      <c r="AR111" s="141"/>
      <c r="AS111" s="141"/>
      <c r="AT111" s="141"/>
      <c r="AU111" s="141"/>
      <c r="AV111" s="348"/>
      <c r="AW111" s="288"/>
      <c r="AX111" s="244"/>
      <c r="AY111" s="377">
        <f>IF(AY112&lt;&gt;"",AY112,HLOOKUP(IF(AY$83="",referentie_verwarming,AY$83),toestellen_RV,ROWS(bibliotheek!$E$83:$E$99),FALSE))</f>
        <v>4.55</v>
      </c>
      <c r="AZ111" s="377">
        <f>IF(AZ112&lt;&gt;"",AZ112,HLOOKUP(IF(AZ$83="",referentie_koeling,AZ$83),toestellen_KOEL,ROWS(bibliotheek!$E$190:$E$200),FALSE))</f>
        <v>0</v>
      </c>
      <c r="BA111" s="377">
        <f>IF(BA112&lt;&gt;"",BA112,HLOOKUP(IF(BA$83="",referentie_warmtapwater,BA$83),toestellen_TAP,ROWS(bibliotheek!$E$139:$E$155),FALSE))</f>
        <v>2.4</v>
      </c>
      <c r="BB111" s="141"/>
      <c r="BC111" s="141"/>
      <c r="BD111" s="141"/>
      <c r="BE111" s="141"/>
      <c r="BF111" s="141"/>
      <c r="BG111" s="141"/>
      <c r="BH111" s="174"/>
    </row>
    <row r="112" spans="1:60">
      <c r="A112" s="1040"/>
      <c r="B112" s="1109" t="s">
        <v>187</v>
      </c>
      <c r="C112" s="1107" t="s">
        <v>118</v>
      </c>
      <c r="D112" s="638"/>
      <c r="E112" s="1218" t="s">
        <v>197</v>
      </c>
      <c r="F112" s="292"/>
      <c r="G112" s="292"/>
      <c r="H112" s="292"/>
      <c r="I112" s="77"/>
      <c r="J112" s="299"/>
      <c r="K112" s="1060"/>
      <c r="L112" s="1060"/>
      <c r="M112" s="198"/>
      <c r="N112" s="244"/>
      <c r="O112" s="354"/>
      <c r="P112" s="354"/>
      <c r="Q112" s="354"/>
      <c r="R112" s="414"/>
      <c r="S112" s="414"/>
      <c r="T112" s="414"/>
      <c r="U112" s="414"/>
      <c r="V112" s="414"/>
      <c r="W112" s="414"/>
      <c r="X112" s="380"/>
      <c r="Y112" s="198"/>
      <c r="Z112" s="244"/>
      <c r="AA112" s="354"/>
      <c r="AB112" s="354"/>
      <c r="AC112" s="354"/>
      <c r="AD112" s="414"/>
      <c r="AE112" s="414"/>
      <c r="AF112" s="414"/>
      <c r="AG112" s="414"/>
      <c r="AH112" s="414"/>
      <c r="AI112" s="414"/>
      <c r="AJ112" s="380"/>
      <c r="AK112" s="198"/>
      <c r="AL112" s="244"/>
      <c r="AM112" s="354"/>
      <c r="AN112" s="354"/>
      <c r="AO112" s="354"/>
      <c r="AP112" s="414"/>
      <c r="AQ112" s="414"/>
      <c r="AR112" s="414"/>
      <c r="AS112" s="414"/>
      <c r="AT112" s="414"/>
      <c r="AU112" s="414"/>
      <c r="AV112" s="380"/>
      <c r="AW112" s="198"/>
      <c r="AX112" s="244"/>
      <c r="AY112" s="354"/>
      <c r="AZ112" s="354"/>
      <c r="BA112" s="354"/>
      <c r="BB112" s="414"/>
      <c r="BC112" s="414"/>
      <c r="BD112" s="414"/>
      <c r="BE112" s="414"/>
      <c r="BF112" s="414"/>
      <c r="BG112" s="414"/>
      <c r="BH112" s="220"/>
    </row>
    <row r="113" spans="1:60" hidden="1">
      <c r="A113" s="1040"/>
      <c r="B113" s="1109" t="s">
        <v>187</v>
      </c>
      <c r="C113" s="1107" t="s">
        <v>181</v>
      </c>
      <c r="D113" s="641" t="s">
        <v>45</v>
      </c>
      <c r="E113" s="181" t="s">
        <v>198</v>
      </c>
      <c r="F113" s="180"/>
      <c r="G113" s="180"/>
      <c r="H113" s="181" t="s">
        <v>65</v>
      </c>
      <c r="I113" s="77"/>
      <c r="J113" s="190"/>
      <c r="K113" s="107"/>
      <c r="L113" s="107"/>
      <c r="M113" s="190"/>
      <c r="N113" s="79"/>
      <c r="O113" s="228">
        <f>INDEX(installaties_RV_verlies_elek_prod_aftapwarmte,MATCH(IF(O104="",referentie_verwarming,O104),toestellen_RV_kopregel,0))</f>
        <v>0</v>
      </c>
      <c r="P113" s="625"/>
      <c r="Q113" s="228">
        <f>INDEX(installaties_TAP_verlies_elek_prod_aftapwarmte,MATCH(IF(Q104="",referentie_verwarming,Q104),toestellen_TAP_kopregel,0))</f>
        <v>0</v>
      </c>
      <c r="R113" s="625"/>
      <c r="S113" s="625"/>
      <c r="T113" s="625"/>
      <c r="U113" s="625"/>
      <c r="V113" s="625"/>
      <c r="W113" s="625"/>
      <c r="X113" s="626"/>
      <c r="Y113" s="357"/>
      <c r="Z113" s="627"/>
      <c r="AA113" s="228">
        <f>INDEX(installaties_RV_verlies_elek_prod_aftapwarmte,MATCH(IF(AA104="",referentie_verwarming,AA104),toestellen_RV_kopregel,0))</f>
        <v>0</v>
      </c>
      <c r="AB113" s="625"/>
      <c r="AC113" s="228">
        <f>INDEX(installaties_TAP_verlies_elek_prod_aftapwarmte,MATCH(IF(AC104="",referentie_verwarming,AC104),toestellen_TAP_kopregel,0))</f>
        <v>0</v>
      </c>
      <c r="AD113" s="625"/>
      <c r="AE113" s="625"/>
      <c r="AF113" s="625"/>
      <c r="AG113" s="625"/>
      <c r="AH113" s="625"/>
      <c r="AI113" s="625"/>
      <c r="AJ113" s="626"/>
      <c r="AK113" s="357"/>
      <c r="AL113" s="627"/>
      <c r="AM113" s="228">
        <f>INDEX(installaties_RV_verlies_elek_prod_aftapwarmte,MATCH(IF(AM104="",referentie_verwarming,AM104),toestellen_RV_kopregel,0))</f>
        <v>0</v>
      </c>
      <c r="AN113" s="625"/>
      <c r="AO113" s="228">
        <f>INDEX(installaties_TAP_verlies_elek_prod_aftapwarmte,MATCH(IF(AO104="",referentie_verwarming,AO104),toestellen_TAP_kopregel,0))</f>
        <v>0</v>
      </c>
      <c r="AP113" s="625"/>
      <c r="AQ113" s="625"/>
      <c r="AR113" s="625"/>
      <c r="AS113" s="625"/>
      <c r="AT113" s="625"/>
      <c r="AU113" s="625"/>
      <c r="AV113" s="626"/>
      <c r="AW113" s="357"/>
      <c r="AX113" s="627"/>
      <c r="AY113" s="228">
        <f>INDEX(installaties_RV_verlies_elek_prod_aftapwarmte,MATCH(IF(AY104="",referentie_verwarming,AY104),toestellen_RV_kopregel,0))</f>
        <v>0</v>
      </c>
      <c r="AZ113" s="625"/>
      <c r="BA113" s="228">
        <f>INDEX(installaties_TAP_verlies_elek_prod_aftapwarmte,MATCH(IF(BA104="",referentie_verwarming,BA104),toestellen_TAP_kopregel,0))</f>
        <v>0</v>
      </c>
      <c r="BB113" s="131"/>
      <c r="BC113" s="131"/>
      <c r="BD113" s="131"/>
      <c r="BE113" s="131"/>
      <c r="BF113" s="131"/>
      <c r="BG113" s="131"/>
      <c r="BH113" s="210"/>
    </row>
    <row r="114" spans="1:60" hidden="1">
      <c r="A114" s="1040"/>
      <c r="B114" s="1109" t="s">
        <v>187</v>
      </c>
      <c r="C114" s="1107" t="s">
        <v>181</v>
      </c>
      <c r="D114" s="638"/>
      <c r="E114" s="181" t="s">
        <v>199</v>
      </c>
      <c r="F114" s="180"/>
      <c r="G114" s="180"/>
      <c r="H114" s="181" t="s">
        <v>65</v>
      </c>
      <c r="I114" s="77"/>
      <c r="J114" s="190"/>
      <c r="K114" s="107"/>
      <c r="L114" s="107"/>
      <c r="M114" s="190"/>
      <c r="N114" s="79"/>
      <c r="O114" s="228">
        <f>HLOOKUP(IF(O$83="",referentie_verwarming,O$83),toestellen_RV,ROWS(bibliotheek!$E$83:$E$100),FALSE)</f>
        <v>0</v>
      </c>
      <c r="P114" s="625"/>
      <c r="Q114" s="228">
        <f>HLOOKUP(IF(Q$83="",referentie_warmtapwater,Q$83),toestellen_TAP,ROWS(bibliotheek!$E$139:$E$156),FALSE)</f>
        <v>0</v>
      </c>
      <c r="R114" s="625"/>
      <c r="S114" s="625"/>
      <c r="T114" s="625"/>
      <c r="U114" s="625"/>
      <c r="V114" s="625"/>
      <c r="W114" s="625"/>
      <c r="X114" s="626"/>
      <c r="Y114" s="357"/>
      <c r="Z114" s="627"/>
      <c r="AA114" s="228">
        <f>HLOOKUP(IF(AA$83="",referentie_verwarming,AA$83),toestellen_RV,ROWS(bibliotheek!$E$83:$E$100),FALSE)</f>
        <v>0</v>
      </c>
      <c r="AB114" s="625"/>
      <c r="AC114" s="228">
        <f>HLOOKUP(IF(AC$83="",referentie_warmtapwater,AC$83),toestellen_TAP,ROWS(bibliotheek!$E$139:$E$156),FALSE)</f>
        <v>0</v>
      </c>
      <c r="AD114" s="625"/>
      <c r="AE114" s="625"/>
      <c r="AF114" s="625"/>
      <c r="AG114" s="625"/>
      <c r="AH114" s="625"/>
      <c r="AI114" s="625"/>
      <c r="AJ114" s="626"/>
      <c r="AK114" s="357"/>
      <c r="AL114" s="627"/>
      <c r="AM114" s="228">
        <f>HLOOKUP(IF(AM$83="",referentie_verwarming,AM$83),toestellen_RV,ROWS(bibliotheek!$E$83:$E$100),FALSE)</f>
        <v>0</v>
      </c>
      <c r="AN114" s="625"/>
      <c r="AO114" s="228">
        <f>HLOOKUP(IF(AO$83="",referentie_warmtapwater,AO$83),toestellen_TAP,ROWS(bibliotheek!$E$139:$E$156),FALSE)</f>
        <v>0</v>
      </c>
      <c r="AP114" s="625"/>
      <c r="AQ114" s="625"/>
      <c r="AR114" s="625"/>
      <c r="AS114" s="625"/>
      <c r="AT114" s="625"/>
      <c r="AU114" s="625"/>
      <c r="AV114" s="626"/>
      <c r="AW114" s="357"/>
      <c r="AX114" s="627"/>
      <c r="AY114" s="228">
        <f>HLOOKUP(IF(AY$83="",referentie_verwarming,AY$83),toestellen_RV,ROWS(bibliotheek!$E$83:$E$100),FALSE)</f>
        <v>0</v>
      </c>
      <c r="AZ114" s="625"/>
      <c r="BA114" s="228">
        <f>HLOOKUP(IF(BA$83="",referentie_warmtapwater,BA$83),toestellen_TAP,ROWS(bibliotheek!$E$139:$E$156),FALSE)</f>
        <v>0</v>
      </c>
      <c r="BB114" s="131"/>
      <c r="BC114" s="131"/>
      <c r="BD114" s="131"/>
      <c r="BE114" s="131"/>
      <c r="BF114" s="131"/>
      <c r="BG114" s="131"/>
      <c r="BH114" s="210"/>
    </row>
    <row r="115" spans="1:60" hidden="1">
      <c r="A115" s="1040"/>
      <c r="B115" s="1109" t="s">
        <v>187</v>
      </c>
      <c r="C115" s="1107" t="s">
        <v>181</v>
      </c>
      <c r="D115" s="638"/>
      <c r="E115" s="181" t="s">
        <v>200</v>
      </c>
      <c r="F115" s="180"/>
      <c r="G115" s="180"/>
      <c r="H115" s="181" t="s">
        <v>160</v>
      </c>
      <c r="I115" s="77"/>
      <c r="J115" s="202">
        <f>M115+Y115+AK115+AW115</f>
        <v>0</v>
      </c>
      <c r="K115" s="1059"/>
      <c r="L115" s="1059"/>
      <c r="M115" s="202">
        <f>SUM(O115:X115)</f>
        <v>0</v>
      </c>
      <c r="N115" s="243"/>
      <c r="O115" s="168">
        <f>IF(HLOOKUP(IF(O$83="",referentie_verwarming,O$83),toestellen_RV,ROWS(bibliotheek!$E$83:$E$88),FALSE)=1,O$97*O$108*((O$111-1)/O$111),0)</f>
        <v>0</v>
      </c>
      <c r="P115" s="168">
        <f>IF(HLOOKUP(IF(P$83="",referentie_koeling,P$83),toestellen_KOEL,ROWS(bibliotheek!$E$190:$E$194),FALSE)=1,P$97*P$108*((P$111-1)/P$111),0)</f>
        <v>0</v>
      </c>
      <c r="Q115" s="168">
        <f>IF(HLOOKUP(IF(Q$83="",referentie_warmtapwater,Q$83),toestellen_TAP,ROWS(bibliotheek!$E$139:$E$144),FALSE)=1,Q$97*Q$108*((Q$111-1)/Q$111),0)</f>
        <v>0</v>
      </c>
      <c r="R115" s="130"/>
      <c r="S115" s="130"/>
      <c r="T115" s="130"/>
      <c r="U115" s="130"/>
      <c r="V115" s="130"/>
      <c r="W115" s="130"/>
      <c r="X115" s="110"/>
      <c r="Y115" s="202">
        <f>SUM(AA115:AJ115)</f>
        <v>0</v>
      </c>
      <c r="Z115" s="243"/>
      <c r="AA115" s="168">
        <f>IF(HLOOKUP(IF(AA$83="",referentie_verwarming,AA$83),toestellen_RV,ROWS(bibliotheek!$E$83:$E$88),FALSE)=1,AA$97*AA$108*((AA$111-1)/AA$111),0)</f>
        <v>0</v>
      </c>
      <c r="AB115" s="168">
        <f>IF(HLOOKUP(IF(AB$83="",referentie_koeling,AB$83),toestellen_KOEL,ROWS(bibliotheek!$E$190:$E$194),FALSE)=1,AB$97*AB$108*((AB$111-1)/AB$111),0)</f>
        <v>0</v>
      </c>
      <c r="AC115" s="168">
        <f>IF(HLOOKUP(IF(AC$83="",referentie_warmtapwater,AC$83),toestellen_TAP,ROWS(bibliotheek!$E$139:$E$144),FALSE)=1,AC$97*AC$108*((AC$111-1)/AC$111),0)</f>
        <v>0</v>
      </c>
      <c r="AD115" s="130"/>
      <c r="AE115" s="130"/>
      <c r="AF115" s="130"/>
      <c r="AG115" s="130"/>
      <c r="AH115" s="130"/>
      <c r="AI115" s="130"/>
      <c r="AJ115" s="110"/>
      <c r="AK115" s="202">
        <f>SUM(AM115:AV115)</f>
        <v>0</v>
      </c>
      <c r="AL115" s="243"/>
      <c r="AM115" s="168">
        <f>IF(HLOOKUP(IF(AM$83="",referentie_verwarming,AM$83),toestellen_RV,ROWS(bibliotheek!$E$83:$E$88),FALSE)=1,AM$97*AM$108*((AM$111-1)/AM$111),0)</f>
        <v>0</v>
      </c>
      <c r="AN115" s="168">
        <f>IF(HLOOKUP(IF(AN$83="",referentie_koeling,AN$83),toestellen_KOEL,ROWS(bibliotheek!$E$190:$E$194),FALSE)=1,AN$97*AN$108*((AN$111-1)/AN$111),0)</f>
        <v>0</v>
      </c>
      <c r="AO115" s="168">
        <f>IF(HLOOKUP(IF(AO$83="",referentie_warmtapwater,AO$83),toestellen_TAP,ROWS(bibliotheek!$E$139:$E$144),FALSE)=1,AO$97*AO$108*((AO$111-1)/AO$111),0)</f>
        <v>0</v>
      </c>
      <c r="AP115" s="130"/>
      <c r="AQ115" s="130"/>
      <c r="AR115" s="130"/>
      <c r="AS115" s="130"/>
      <c r="AT115" s="130"/>
      <c r="AU115" s="130"/>
      <c r="AV115" s="110"/>
      <c r="AW115" s="202">
        <f>SUM(AY115:BH115)</f>
        <v>0</v>
      </c>
      <c r="AX115" s="243"/>
      <c r="AY115" s="168">
        <f>IF(HLOOKUP(IF(AY$83="",referentie_verwarming,AY$83),toestellen_RV,ROWS(bibliotheek!$E$83:$E$88),FALSE)=1,AY$97*AY$108*((AY$111-1)/AY$111),0)</f>
        <v>0</v>
      </c>
      <c r="AZ115" s="168">
        <f>IF(HLOOKUP(IF(AZ$83="",referentie_koeling,AZ$83),toestellen_KOEL,ROWS(bibliotheek!$E$190:$E$194),FALSE)=1,AZ$97*AZ$108*((AZ$111-1)/AZ$111),0)</f>
        <v>0</v>
      </c>
      <c r="BA115" s="168">
        <f>IF(HLOOKUP(IF(BA$83="",referentie_warmtapwater,BA$83),toestellen_TAP,ROWS(bibliotheek!$E$139:$E$144),FALSE)=1,BA$97*BA$108*((BA$111-1)/BA$111),0)</f>
        <v>0</v>
      </c>
      <c r="BB115" s="130"/>
      <c r="BC115" s="130"/>
      <c r="BD115" s="130"/>
      <c r="BE115" s="130"/>
      <c r="BF115" s="130"/>
      <c r="BG115" s="130"/>
      <c r="BH115" s="210"/>
    </row>
    <row r="116" spans="1:60" hidden="1">
      <c r="A116" s="1040"/>
      <c r="B116" s="1109" t="s">
        <v>187</v>
      </c>
      <c r="C116" s="1107" t="s">
        <v>181</v>
      </c>
      <c r="D116" s="638"/>
      <c r="E116" s="181" t="s">
        <v>201</v>
      </c>
      <c r="F116" s="180"/>
      <c r="G116" s="180"/>
      <c r="H116" s="181" t="s">
        <v>202</v>
      </c>
      <c r="I116" s="77"/>
      <c r="J116" s="202">
        <f>M116+Y116+AK116+AW116</f>
        <v>0</v>
      </c>
      <c r="K116" s="1059"/>
      <c r="L116" s="1059"/>
      <c r="M116" s="202">
        <f>SUM(O116:X116)</f>
        <v>0</v>
      </c>
      <c r="N116" s="243"/>
      <c r="O116" s="168">
        <f>IF(O$111=0,0,O$110/O$111)</f>
        <v>0</v>
      </c>
      <c r="P116" s="168">
        <f>IF(P$111=0,0,P$110/P$111)</f>
        <v>0</v>
      </c>
      <c r="Q116" s="168">
        <f>IF(Q$111=0,0,Q$110/Q$111)</f>
        <v>0</v>
      </c>
      <c r="R116" s="130"/>
      <c r="S116" s="130"/>
      <c r="T116" s="130"/>
      <c r="U116" s="130"/>
      <c r="V116" s="130"/>
      <c r="W116" s="130"/>
      <c r="X116" s="110"/>
      <c r="Y116" s="202">
        <f>SUM(AA116:AJ116)</f>
        <v>0</v>
      </c>
      <c r="Z116" s="243"/>
      <c r="AA116" s="168">
        <f>IF(AA$111=0,0,AA$110/AA$111)</f>
        <v>0</v>
      </c>
      <c r="AB116" s="168">
        <f>IF(AB$111=0,0,AB$110/AB$111)</f>
        <v>0</v>
      </c>
      <c r="AC116" s="168">
        <f>IF(AC$111=0,0,AC$110/AC$111)</f>
        <v>0</v>
      </c>
      <c r="AD116" s="130"/>
      <c r="AE116" s="130"/>
      <c r="AF116" s="130"/>
      <c r="AG116" s="130"/>
      <c r="AH116" s="130"/>
      <c r="AI116" s="130"/>
      <c r="AJ116" s="110"/>
      <c r="AK116" s="202">
        <f>SUM(AM116:AV116)</f>
        <v>0</v>
      </c>
      <c r="AL116" s="243"/>
      <c r="AM116" s="168">
        <f>IF(AM$111=0,0,AM$110/AM$111)</f>
        <v>0</v>
      </c>
      <c r="AN116" s="168">
        <f>IF(AN$111=0,0,AN$110/AN$111)</f>
        <v>0</v>
      </c>
      <c r="AO116" s="168">
        <f>IF(AO$111=0,0,AO$110/AO$111)</f>
        <v>0</v>
      </c>
      <c r="AP116" s="130"/>
      <c r="AQ116" s="130"/>
      <c r="AR116" s="130"/>
      <c r="AS116" s="130"/>
      <c r="AT116" s="130"/>
      <c r="AU116" s="130"/>
      <c r="AV116" s="110"/>
      <c r="AW116" s="202">
        <f>SUM(AY116:BH116)</f>
        <v>0</v>
      </c>
      <c r="AX116" s="243"/>
      <c r="AY116" s="168">
        <f>IF(AY$111=0,0,AY$110/AY$111)</f>
        <v>0</v>
      </c>
      <c r="AZ116" s="168">
        <f>IF(AZ$111=0,0,AZ$110/AZ$111)</f>
        <v>0</v>
      </c>
      <c r="BA116" s="168">
        <f>IF(BA$111=0,0,BA$110/BA$111)</f>
        <v>0</v>
      </c>
      <c r="BB116" s="130"/>
      <c r="BC116" s="130"/>
      <c r="BD116" s="130"/>
      <c r="BE116" s="130"/>
      <c r="BF116" s="130"/>
      <c r="BG116" s="130"/>
      <c r="BH116" s="210"/>
    </row>
    <row r="117" spans="1:60">
      <c r="A117" s="1040"/>
      <c r="B117" s="1109" t="s">
        <v>187</v>
      </c>
      <c r="C117" s="1106" t="s">
        <v>96</v>
      </c>
      <c r="D117" s="641"/>
      <c r="E117" s="940" t="s">
        <v>1220</v>
      </c>
      <c r="F117" s="940"/>
      <c r="G117" s="940"/>
      <c r="H117" s="993"/>
      <c r="I117" s="77"/>
      <c r="J117" s="939"/>
      <c r="K117" s="126"/>
      <c r="L117" s="126"/>
      <c r="M117" s="938"/>
      <c r="N117" s="143"/>
      <c r="O117" s="177" t="str">
        <f>O$10</f>
        <v>verwarming</v>
      </c>
      <c r="P117" s="177" t="str">
        <f>P$10</f>
        <v>koeling</v>
      </c>
      <c r="Q117" s="177" t="str">
        <f>Q$10</f>
        <v>tapwater</v>
      </c>
      <c r="R117" s="177"/>
      <c r="S117" s="177"/>
      <c r="T117" s="177"/>
      <c r="U117" s="177"/>
      <c r="V117" s="177"/>
      <c r="W117" s="177"/>
      <c r="X117" s="144"/>
      <c r="Y117" s="938"/>
      <c r="Z117" s="143"/>
      <c r="AA117" s="177" t="str">
        <f>AA$10</f>
        <v>verwarming</v>
      </c>
      <c r="AB117" s="177" t="str">
        <f>AB$10</f>
        <v>koeling</v>
      </c>
      <c r="AC117" s="177" t="str">
        <f>AC$10</f>
        <v>tapwater</v>
      </c>
      <c r="AD117" s="177"/>
      <c r="AE117" s="177"/>
      <c r="AF117" s="177"/>
      <c r="AG117" s="177"/>
      <c r="AH117" s="177"/>
      <c r="AI117" s="177"/>
      <c r="AJ117" s="144"/>
      <c r="AK117" s="938"/>
      <c r="AL117" s="143"/>
      <c r="AM117" s="177" t="str">
        <f>AM$10</f>
        <v>verwarming</v>
      </c>
      <c r="AN117" s="177" t="str">
        <f>AN$10</f>
        <v>koeling</v>
      </c>
      <c r="AO117" s="177" t="str">
        <f>AO$10</f>
        <v>tapwater</v>
      </c>
      <c r="AP117" s="177"/>
      <c r="AQ117" s="177"/>
      <c r="AR117" s="177"/>
      <c r="AS117" s="177"/>
      <c r="AT117" s="177"/>
      <c r="AU117" s="177"/>
      <c r="AV117" s="144"/>
      <c r="AW117" s="938"/>
      <c r="AX117" s="143"/>
      <c r="AY117" s="177" t="str">
        <f>AY$10</f>
        <v>verwarming</v>
      </c>
      <c r="AZ117" s="177" t="str">
        <f>AZ$10</f>
        <v>koeling</v>
      </c>
      <c r="BA117" s="177" t="str">
        <f>BA$10</f>
        <v>tapwater</v>
      </c>
      <c r="BB117" s="177"/>
      <c r="BC117" s="177"/>
      <c r="BD117" s="177"/>
      <c r="BE117" s="177"/>
      <c r="BF117" s="177"/>
      <c r="BG117" s="177"/>
      <c r="BH117" s="218"/>
    </row>
    <row r="118" spans="1:60" hidden="1">
      <c r="A118" s="1040"/>
      <c r="B118" s="1109" t="s">
        <v>187</v>
      </c>
      <c r="C118" s="1107" t="s">
        <v>203</v>
      </c>
      <c r="D118" s="641" t="s">
        <v>45</v>
      </c>
      <c r="E118" s="1171" t="s">
        <v>1348</v>
      </c>
      <c r="F118" s="254"/>
      <c r="G118" s="254"/>
      <c r="H118" s="291" t="s">
        <v>204</v>
      </c>
      <c r="I118" s="77"/>
      <c r="J118" s="189"/>
      <c r="K118" s="107"/>
      <c r="L118" s="107"/>
      <c r="M118" s="189"/>
      <c r="N118" s="79"/>
      <c r="O118" s="377">
        <f>IF(O119&lt;&gt;"",O119,
IF(O$105=elektriciteit,$G$5,
INDEX(energiedragers_primaire_energiefactor,MATCH(O105,energiedragers_kopregel,0))
*IF(O113=0,1,
$G$5*INDEX(installaties_RV_verlies_elek_prod_aftapwarmte,MATCH(O104,toestellen_RV_kopregel,0)))))</f>
        <v>1.45</v>
      </c>
      <c r="P118" s="377">
        <f>IF(P119&lt;&gt;"",P119,IF(HLOOKUP(P105,ENERGIEDRAGERS,ROWS(bibliotheek!$E$259:$E$260),FALSE)=0,$G$5,HLOOKUP(P105,ENERGIEDRAGERS,ROWS(bibliotheek!$E$259:$E$261),FALSE)))</f>
        <v>1.45</v>
      </c>
      <c r="Q118" s="377">
        <f>IF(Q119&lt;&gt;"",Q119,
IF(Q$105=elektriciteit,$G$5,
INDEX(energiedragers_primaire_energiefactor,MATCH(Q105,energiedragers_kopregel,0))
*IF(Q113=0,1,
$G$5*INDEX(installaties_TAP_verlies_elek_prod_aftapwarmte,MATCH(Q104,toestellen_TAP_kopregel,0)))))</f>
        <v>1.45</v>
      </c>
      <c r="R118" s="141"/>
      <c r="S118" s="141"/>
      <c r="T118" s="141"/>
      <c r="U118" s="141"/>
      <c r="V118" s="141"/>
      <c r="W118" s="141"/>
      <c r="X118" s="348"/>
      <c r="Y118" s="289"/>
      <c r="Z118" s="627"/>
      <c r="AA118" s="377">
        <f>IF(AA119&lt;&gt;"",AA119,
IF(AA$105=elektriciteit,$G$5,
INDEX(energiedragers_primaire_energiefactor,MATCH(AA105,energiedragers_kopregel,0))
*IF(AA113=0,1,
$G$5*INDEX(installaties_RV_verlies_elek_prod_aftapwarmte,MATCH(AA104,toestellen_RV_kopregel,0)))))</f>
        <v>1.45</v>
      </c>
      <c r="AB118" s="377">
        <f>IF(AB119&lt;&gt;"",AB119,IF(HLOOKUP(AB105,ENERGIEDRAGERS,ROWS(bibliotheek!$E$259:$E$260),FALSE)=0,$G$5,HLOOKUP(AB105,ENERGIEDRAGERS,ROWS(bibliotheek!$E$259:$E$261),FALSE)))</f>
        <v>1.45</v>
      </c>
      <c r="AC118" s="377">
        <f>IF(AC119&lt;&gt;"",AC119,
IF(AC$105=elektriciteit,$G$5,
INDEX(energiedragers_primaire_energiefactor,MATCH(AC105,energiedragers_kopregel,0))
*IF(AC113=0,1,
$G$5*INDEX(installaties_TAP_verlies_elek_prod_aftapwarmte,MATCH(AC104,toestellen_TAP_kopregel,0)))))</f>
        <v>1.45</v>
      </c>
      <c r="AD118" s="141"/>
      <c r="AE118" s="141"/>
      <c r="AF118" s="141"/>
      <c r="AG118" s="141"/>
      <c r="AH118" s="141"/>
      <c r="AI118" s="141"/>
      <c r="AJ118" s="348"/>
      <c r="AK118" s="289"/>
      <c r="AL118" s="627"/>
      <c r="AM118" s="377">
        <f>IF(AM119&lt;&gt;"",AM119,
IF(AM$105=elektriciteit,$G$5,
INDEX(energiedragers_primaire_energiefactor,MATCH(AM105,energiedragers_kopregel,0))
*IF(AM113=0,1,
$G$5*INDEX(installaties_RV_verlies_elek_prod_aftapwarmte,MATCH(AM104,toestellen_RV_kopregel,0)))))</f>
        <v>1.45</v>
      </c>
      <c r="AN118" s="377">
        <f>IF(AN119&lt;&gt;"",AN119,IF(HLOOKUP(AN105,ENERGIEDRAGERS,ROWS(bibliotheek!$E$259:$E$260),FALSE)=0,$G$5,HLOOKUP(AN105,ENERGIEDRAGERS,ROWS(bibliotheek!$E$259:$E$261),FALSE)))</f>
        <v>1.45</v>
      </c>
      <c r="AO118" s="377">
        <f>IF(AO119&lt;&gt;"",AO119,
IF(AO$105=elektriciteit,$G$5,
INDEX(energiedragers_primaire_energiefactor,MATCH(AO105,energiedragers_kopregel,0))
*IF(AO113=0,1,
$G$5*INDEX(installaties_TAP_verlies_elek_prod_aftapwarmte,MATCH(AO104,toestellen_TAP_kopregel,0)))))</f>
        <v>1.45</v>
      </c>
      <c r="AP118" s="141"/>
      <c r="AQ118" s="141"/>
      <c r="AR118" s="141"/>
      <c r="AS118" s="141"/>
      <c r="AT118" s="141"/>
      <c r="AU118" s="141"/>
      <c r="AV118" s="348"/>
      <c r="AW118" s="289"/>
      <c r="AX118" s="627"/>
      <c r="AY118" s="377">
        <f>IF(AY119&lt;&gt;"",AY119,
IF(AY$105=elektriciteit,$G$5,
INDEX(energiedragers_primaire_energiefactor,MATCH(AY105,energiedragers_kopregel,0))
*IF(AY113=0,1,
$G$5*INDEX(installaties_RV_verlies_elek_prod_aftapwarmte,MATCH(AY104,toestellen_RV_kopregel,0)))))</f>
        <v>1.45</v>
      </c>
      <c r="AZ118" s="377">
        <f>IF(AZ119&lt;&gt;"",AZ119,IF(HLOOKUP(AZ105,ENERGIEDRAGERS,ROWS(bibliotheek!$E$259:$E$260),FALSE)=0,$G$5,HLOOKUP(AZ105,ENERGIEDRAGERS,ROWS(bibliotheek!$E$259:$E$261),FALSE)))</f>
        <v>1.45</v>
      </c>
      <c r="BA118" s="377">
        <f>IF(BA119&lt;&gt;"",BA119,
IF(BA$105=elektriciteit,$G$5,
INDEX(energiedragers_primaire_energiefactor,MATCH(BA105,energiedragers_kopregel,0))
*IF(BA113=0,1,
$G$5*INDEX(installaties_TAP_verlies_elek_prod_aftapwarmte,MATCH(BA104,toestellen_TAP_kopregel,0)))))</f>
        <v>1.45</v>
      </c>
      <c r="BB118" s="139"/>
      <c r="BC118" s="139"/>
      <c r="BD118" s="139"/>
      <c r="BE118" s="139"/>
      <c r="BF118" s="139"/>
      <c r="BG118" s="139"/>
      <c r="BH118" s="174"/>
    </row>
    <row r="119" spans="1:60" hidden="1">
      <c r="A119" s="1040"/>
      <c r="B119" s="1109" t="s">
        <v>187</v>
      </c>
      <c r="C119" s="1107" t="s">
        <v>203</v>
      </c>
      <c r="D119" s="641"/>
      <c r="E119" s="346" t="s">
        <v>205</v>
      </c>
      <c r="F119" s="255"/>
      <c r="G119" s="255"/>
      <c r="H119" s="292"/>
      <c r="I119" s="77"/>
      <c r="J119" s="299"/>
      <c r="K119" s="107"/>
      <c r="L119" s="107"/>
      <c r="M119" s="198"/>
      <c r="N119" s="79"/>
      <c r="O119" s="275"/>
      <c r="P119" s="617"/>
      <c r="Q119" s="275"/>
      <c r="R119" s="140"/>
      <c r="S119" s="140"/>
      <c r="T119" s="140"/>
      <c r="U119" s="140"/>
      <c r="V119" s="140"/>
      <c r="W119" s="140"/>
      <c r="X119" s="76"/>
      <c r="Y119" s="198"/>
      <c r="Z119" s="79"/>
      <c r="AA119" s="275"/>
      <c r="AB119" s="617"/>
      <c r="AC119" s="275"/>
      <c r="AD119" s="140"/>
      <c r="AE119" s="140"/>
      <c r="AF119" s="140"/>
      <c r="AG119" s="140"/>
      <c r="AH119" s="140"/>
      <c r="AI119" s="140"/>
      <c r="AJ119" s="76"/>
      <c r="AK119" s="198"/>
      <c r="AL119" s="79"/>
      <c r="AM119" s="275"/>
      <c r="AN119" s="617"/>
      <c r="AO119" s="275"/>
      <c r="AP119" s="140"/>
      <c r="AQ119" s="140"/>
      <c r="AR119" s="140"/>
      <c r="AS119" s="140"/>
      <c r="AT119" s="140"/>
      <c r="AU119" s="140"/>
      <c r="AV119" s="76"/>
      <c r="AW119" s="198"/>
      <c r="AX119" s="79"/>
      <c r="AY119" s="275"/>
      <c r="AZ119" s="617"/>
      <c r="BA119" s="275"/>
      <c r="BB119" s="140"/>
      <c r="BC119" s="140"/>
      <c r="BD119" s="140"/>
      <c r="BE119" s="140"/>
      <c r="BF119" s="140"/>
      <c r="BG119" s="140"/>
      <c r="BH119" s="174"/>
    </row>
    <row r="120" spans="1:60">
      <c r="A120" s="1040"/>
      <c r="B120" s="1109" t="s">
        <v>187</v>
      </c>
      <c r="C120" s="1107" t="s">
        <v>104</v>
      </c>
      <c r="D120" s="641"/>
      <c r="E120" s="291" t="s">
        <v>232</v>
      </c>
      <c r="F120" s="181"/>
      <c r="G120" s="181"/>
      <c r="H120" s="181" t="s">
        <v>106</v>
      </c>
      <c r="I120" s="77"/>
      <c r="J120" s="202">
        <f>M120+Y120+AK120+AW120</f>
        <v>0</v>
      </c>
      <c r="K120" s="1061"/>
      <c r="L120" s="1061"/>
      <c r="M120" s="202">
        <f>SUM(O120:X120)</f>
        <v>0</v>
      </c>
      <c r="N120" s="243"/>
      <c r="O120" s="168">
        <f>O$116*O$118</f>
        <v>0</v>
      </c>
      <c r="P120" s="168">
        <f>P$116*P$118</f>
        <v>0</v>
      </c>
      <c r="Q120" s="168">
        <f>Q$116*Q$118</f>
        <v>0</v>
      </c>
      <c r="R120" s="130"/>
      <c r="S120" s="130"/>
      <c r="T120" s="130"/>
      <c r="U120" s="130"/>
      <c r="V120" s="130"/>
      <c r="W120" s="130"/>
      <c r="X120" s="110"/>
      <c r="Y120" s="202">
        <f>SUM(AA120:AJ120)</f>
        <v>0</v>
      </c>
      <c r="Z120" s="243"/>
      <c r="AA120" s="168">
        <f>AA$116*AA$118</f>
        <v>0</v>
      </c>
      <c r="AB120" s="168">
        <f>AB$116*AB$118</f>
        <v>0</v>
      </c>
      <c r="AC120" s="168">
        <f>AC$116*AC$118</f>
        <v>0</v>
      </c>
      <c r="AD120" s="130"/>
      <c r="AE120" s="130"/>
      <c r="AF120" s="130"/>
      <c r="AG120" s="130"/>
      <c r="AH120" s="130"/>
      <c r="AI120" s="130"/>
      <c r="AJ120" s="110"/>
      <c r="AK120" s="202">
        <f>SUM(AM120:AV120)</f>
        <v>0</v>
      </c>
      <c r="AL120" s="243"/>
      <c r="AM120" s="168">
        <f>AM$116*AM$118</f>
        <v>0</v>
      </c>
      <c r="AN120" s="168">
        <f>AN$116*AN$118</f>
        <v>0</v>
      </c>
      <c r="AO120" s="168">
        <f>AO$116*AO$118</f>
        <v>0</v>
      </c>
      <c r="AP120" s="130"/>
      <c r="AQ120" s="130"/>
      <c r="AR120" s="130"/>
      <c r="AS120" s="130"/>
      <c r="AT120" s="130"/>
      <c r="AU120" s="130"/>
      <c r="AV120" s="110"/>
      <c r="AW120" s="202">
        <f>SUM(AY120:BH120)</f>
        <v>0</v>
      </c>
      <c r="AX120" s="243"/>
      <c r="AY120" s="168">
        <f>AY$116*AY$118</f>
        <v>0</v>
      </c>
      <c r="AZ120" s="168">
        <f>AZ$116*AZ$118</f>
        <v>0</v>
      </c>
      <c r="BA120" s="168">
        <f>BA$116*BA$118</f>
        <v>0</v>
      </c>
      <c r="BB120" s="130"/>
      <c r="BC120" s="130"/>
      <c r="BD120" s="130"/>
      <c r="BE120" s="130"/>
      <c r="BF120" s="130"/>
      <c r="BG120" s="130"/>
      <c r="BH120" s="210"/>
    </row>
    <row r="121" spans="1:60">
      <c r="A121" s="1040"/>
      <c r="B121" s="1109" t="s">
        <v>187</v>
      </c>
      <c r="C121" s="1106" t="s">
        <v>96</v>
      </c>
      <c r="D121" s="641"/>
      <c r="E121" s="940" t="s">
        <v>1200</v>
      </c>
      <c r="F121" s="940"/>
      <c r="G121" s="940"/>
      <c r="H121" s="993"/>
      <c r="I121" s="77"/>
      <c r="J121" s="939"/>
      <c r="K121" s="126"/>
      <c r="L121" s="126"/>
      <c r="M121" s="1025"/>
      <c r="N121" s="143"/>
      <c r="O121" s="1026" t="str">
        <f>O$10</f>
        <v>verwarming</v>
      </c>
      <c r="P121" s="1026" t="str">
        <f>P$10</f>
        <v>koeling</v>
      </c>
      <c r="Q121" s="1026" t="str">
        <f>Q$10</f>
        <v>tapwater</v>
      </c>
      <c r="R121" s="1026"/>
      <c r="S121" s="1026"/>
      <c r="T121" s="1026"/>
      <c r="U121" s="1026"/>
      <c r="V121" s="1026"/>
      <c r="W121" s="1026"/>
      <c r="X121" s="110"/>
      <c r="Y121" s="1025"/>
      <c r="Z121" s="143"/>
      <c r="AA121" s="1026" t="str">
        <f>AA$10</f>
        <v>verwarming</v>
      </c>
      <c r="AB121" s="1026" t="str">
        <f>AB$10</f>
        <v>koeling</v>
      </c>
      <c r="AC121" s="1026" t="str">
        <f>AC$10</f>
        <v>tapwater</v>
      </c>
      <c r="AD121" s="1026"/>
      <c r="AE121" s="1026"/>
      <c r="AF121" s="1026"/>
      <c r="AG121" s="1026"/>
      <c r="AH121" s="1026"/>
      <c r="AI121" s="1026"/>
      <c r="AJ121" s="110"/>
      <c r="AK121" s="1025"/>
      <c r="AL121" s="143"/>
      <c r="AM121" s="1026" t="str">
        <f>AM$10</f>
        <v>verwarming</v>
      </c>
      <c r="AN121" s="1026" t="str">
        <f>AN$10</f>
        <v>koeling</v>
      </c>
      <c r="AO121" s="1026" t="str">
        <f>AO$10</f>
        <v>tapwater</v>
      </c>
      <c r="AP121" s="1026"/>
      <c r="AQ121" s="1026"/>
      <c r="AR121" s="1026"/>
      <c r="AS121" s="1026"/>
      <c r="AT121" s="1026"/>
      <c r="AU121" s="1026"/>
      <c r="AV121" s="110"/>
      <c r="AW121" s="1025"/>
      <c r="AX121" s="143"/>
      <c r="AY121" s="1026" t="str">
        <f>AY$10</f>
        <v>verwarming</v>
      </c>
      <c r="AZ121" s="1026" t="str">
        <f>AZ$10</f>
        <v>koeling</v>
      </c>
      <c r="BA121" s="1026" t="str">
        <f>BA$10</f>
        <v>tapwater</v>
      </c>
      <c r="BB121" s="1026"/>
      <c r="BC121" s="1026"/>
      <c r="BD121" s="1026"/>
      <c r="BE121" s="1026"/>
      <c r="BF121" s="1026"/>
      <c r="BG121" s="1026"/>
      <c r="BH121" s="210"/>
    </row>
    <row r="122" spans="1:60" hidden="1">
      <c r="A122" s="1040"/>
      <c r="B122" s="1109" t="s">
        <v>187</v>
      </c>
      <c r="C122" s="1107" t="s">
        <v>203</v>
      </c>
      <c r="D122" s="641"/>
      <c r="E122" s="1171" t="s">
        <v>1349</v>
      </c>
      <c r="F122" s="254"/>
      <c r="G122" s="254"/>
      <c r="H122" s="1034" t="s">
        <v>1206</v>
      </c>
      <c r="I122" s="77"/>
      <c r="J122" s="189"/>
      <c r="K122" s="107"/>
      <c r="L122" s="107"/>
      <c r="M122" s="190"/>
      <c r="N122" s="114"/>
      <c r="O122" s="228">
        <f>IF(O123&lt;&gt;"",O123,
INDEX(primaire_totale_energiefactor,MATCH(O105,energiedragers_kopregel,0))
*IF(O113=0,1,
$G$5*INDEX(installaties_RV_verlies_elek_prod_aftapwarmte,MATCH(O104,toestellen_RV_kopregel,0))))</f>
        <v>1.35</v>
      </c>
      <c r="P122" s="228">
        <f>IF(P123&lt;&gt;"",P123,
IF(HLOOKUP(P105,ENERGIEDRAGERS,ROWS(bibliotheek!$E$259:$E$262),FALSE)=0,$G$5,
HLOOKUP(P105,ENERGIEDRAGERS,ROWS(bibliotheek!$E$259:$E$262),FALSE)))</f>
        <v>1.45</v>
      </c>
      <c r="Q122" s="228">
        <f>IF(Q123&lt;&gt;"",Q123,
INDEX(primaire_totale_energiefactor,MATCH(Q105,energiedragers_kopregel,0))
*IF(Q113=0,1,
$G$5*INDEX(installaties_RV_verlies_elek_prod_aftapwarmte,MATCH(Q104,toestellen_RV_kopregel,0))))</f>
        <v>1.35</v>
      </c>
      <c r="R122" s="625"/>
      <c r="S122" s="625"/>
      <c r="T122" s="625"/>
      <c r="U122" s="625"/>
      <c r="V122" s="625"/>
      <c r="W122" s="625"/>
      <c r="X122" s="110"/>
      <c r="Y122" s="202"/>
      <c r="Z122" s="89"/>
      <c r="AA122" s="228">
        <f>IF(AA123&lt;&gt;"",AA123,
INDEX(primaire_totale_energiefactor,MATCH(AA105,energiedragers_kopregel,0))
*IF(AA113=0,1,
$G$5*INDEX(installaties_RV_verlies_elek_prod_aftapwarmte,MATCH(AA104,toestellen_RV_kopregel,0))))</f>
        <v>1.35</v>
      </c>
      <c r="AB122" s="228">
        <f>IF(AB123&lt;&gt;"",AB123,
IF(HLOOKUP(AB105,ENERGIEDRAGERS,ROWS(bibliotheek!$E$259:$E$262),FALSE)=0,$G$5,
HLOOKUP(AB105,ENERGIEDRAGERS,ROWS(bibliotheek!$E$259:$E$262),FALSE)))</f>
        <v>1.45</v>
      </c>
      <c r="AC122" s="228">
        <f>IF(AC123&lt;&gt;"",AC123,
INDEX(primaire_totale_energiefactor,MATCH(AC105,energiedragers_kopregel,0))
*IF(AC113=0,1,
$G$5*INDEX(installaties_RV_verlies_elek_prod_aftapwarmte,MATCH(AC104,toestellen_RV_kopregel,0))))</f>
        <v>1.35</v>
      </c>
      <c r="AD122" s="130"/>
      <c r="AE122" s="130"/>
      <c r="AF122" s="130"/>
      <c r="AG122" s="130"/>
      <c r="AH122" s="130"/>
      <c r="AI122" s="130"/>
      <c r="AJ122" s="110"/>
      <c r="AK122" s="202"/>
      <c r="AL122" s="89"/>
      <c r="AM122" s="228">
        <f>IF(AM123&lt;&gt;"",AM123,
INDEX(primaire_totale_energiefactor,MATCH(AM105,energiedragers_kopregel,0))
*IF(AM113=0,1,
$G$5*INDEX(installaties_RV_verlies_elek_prod_aftapwarmte,MATCH(AM104,toestellen_RV_kopregel,0))))</f>
        <v>1.35</v>
      </c>
      <c r="AN122" s="228">
        <f>IF(AN123&lt;&gt;"",AN123,
IF(HLOOKUP(AN105,ENERGIEDRAGERS,ROWS(bibliotheek!$E$259:$E$262),FALSE)=0,$G$5,
HLOOKUP(AN105,ENERGIEDRAGERS,ROWS(bibliotheek!$E$259:$E$262),FALSE)))</f>
        <v>1.45</v>
      </c>
      <c r="AO122" s="228">
        <f>IF(AO123&lt;&gt;"",AO123,
INDEX(primaire_totale_energiefactor,MATCH(AO105,energiedragers_kopregel,0))
*IF(AO113=0,1,
$G$5*INDEX(installaties_RV_verlies_elek_prod_aftapwarmte,MATCH(AO104,toestellen_RV_kopregel,0))))</f>
        <v>1.35</v>
      </c>
      <c r="AP122" s="130"/>
      <c r="AQ122" s="130"/>
      <c r="AR122" s="130"/>
      <c r="AS122" s="130"/>
      <c r="AT122" s="130"/>
      <c r="AU122" s="130"/>
      <c r="AV122" s="110"/>
      <c r="AW122" s="202"/>
      <c r="AX122" s="89"/>
      <c r="AY122" s="228">
        <f>IF(AY123&lt;&gt;"",AY123,
INDEX(primaire_totale_energiefactor,MATCH(AY105,energiedragers_kopregel,0))
*IF(AY113=0,1,
$G$5*INDEX(installaties_RV_verlies_elek_prod_aftapwarmte,MATCH(AY104,toestellen_RV_kopregel,0))))</f>
        <v>1.35</v>
      </c>
      <c r="AZ122" s="228">
        <f>IF(AZ123&lt;&gt;"",AZ123,
IF(HLOOKUP(AZ105,ENERGIEDRAGERS,ROWS(bibliotheek!$E$259:$E$262),FALSE)=0,$G$5,
HLOOKUP(AZ105,ENERGIEDRAGERS,ROWS(bibliotheek!$E$259:$E$262),FALSE)))</f>
        <v>1.45</v>
      </c>
      <c r="BA122" s="228">
        <f>IF(BA123&lt;&gt;"",BA123,
INDEX(primaire_totale_energiefactor,MATCH(BA105,energiedragers_kopregel,0))
*IF(BA113=0,1,
$G$5*INDEX(installaties_RV_verlies_elek_prod_aftapwarmte,MATCH(BA104,toestellen_RV_kopregel,0))))</f>
        <v>1.35</v>
      </c>
      <c r="BB122" s="130"/>
      <c r="BC122" s="130"/>
      <c r="BD122" s="130"/>
      <c r="BE122" s="130"/>
      <c r="BF122" s="130"/>
      <c r="BG122" s="130"/>
      <c r="BH122" s="210"/>
    </row>
    <row r="123" spans="1:60" hidden="1">
      <c r="A123" s="1040"/>
      <c r="B123" s="1109" t="s">
        <v>187</v>
      </c>
      <c r="C123" s="1107" t="s">
        <v>203</v>
      </c>
      <c r="D123" s="641"/>
      <c r="E123" s="346" t="s">
        <v>205</v>
      </c>
      <c r="F123" s="255"/>
      <c r="G123" s="255"/>
      <c r="H123" s="292"/>
      <c r="I123" s="77"/>
      <c r="J123" s="299"/>
      <c r="K123" s="107"/>
      <c r="L123" s="107"/>
      <c r="M123" s="190"/>
      <c r="N123" s="114"/>
      <c r="O123" s="1029"/>
      <c r="P123" s="1030"/>
      <c r="Q123" s="1029"/>
      <c r="R123" s="131"/>
      <c r="S123" s="131"/>
      <c r="T123" s="131"/>
      <c r="U123" s="131"/>
      <c r="V123" s="131"/>
      <c r="W123" s="131"/>
      <c r="X123" s="110"/>
      <c r="Y123" s="202"/>
      <c r="Z123" s="89"/>
      <c r="AA123" s="1029"/>
      <c r="AB123" s="1030"/>
      <c r="AC123" s="1029"/>
      <c r="AD123" s="130"/>
      <c r="AE123" s="130"/>
      <c r="AF123" s="130"/>
      <c r="AG123" s="130"/>
      <c r="AH123" s="130"/>
      <c r="AI123" s="130"/>
      <c r="AJ123" s="110"/>
      <c r="AK123" s="202"/>
      <c r="AL123" s="89"/>
      <c r="AM123" s="1029"/>
      <c r="AN123" s="1030"/>
      <c r="AO123" s="1029"/>
      <c r="AP123" s="130"/>
      <c r="AQ123" s="130"/>
      <c r="AR123" s="130"/>
      <c r="AS123" s="130"/>
      <c r="AT123" s="130"/>
      <c r="AU123" s="130"/>
      <c r="AV123" s="110"/>
      <c r="AW123" s="202"/>
      <c r="AX123" s="89"/>
      <c r="AY123" s="1029"/>
      <c r="AZ123" s="1030"/>
      <c r="BA123" s="1029"/>
      <c r="BB123" s="130"/>
      <c r="BC123" s="130"/>
      <c r="BD123" s="130"/>
      <c r="BE123" s="130"/>
      <c r="BF123" s="130"/>
      <c r="BG123" s="130"/>
      <c r="BH123" s="210"/>
    </row>
    <row r="124" spans="1:60" hidden="1">
      <c r="A124" s="1040"/>
      <c r="B124" s="1109" t="s">
        <v>187</v>
      </c>
      <c r="C124" s="1107" t="s">
        <v>203</v>
      </c>
      <c r="D124" s="641"/>
      <c r="E124" s="291" t="s">
        <v>1314</v>
      </c>
      <c r="F124" s="595"/>
      <c r="G124" s="595"/>
      <c r="H124" s="1013" t="s">
        <v>65</v>
      </c>
      <c r="I124" s="77"/>
      <c r="J124" s="1015"/>
      <c r="K124" s="107"/>
      <c r="L124" s="107"/>
      <c r="M124" s="190"/>
      <c r="N124" s="114"/>
      <c r="O124" s="228">
        <f>IF(O125&lt;&gt;"",O125,
INDEX(weegfactor_primaire_totale_energiefactor,MATCH(O105,energiedragers_kopregel,0))
*IF(O113=0,1,
$G$5*INDEX(installaties_RV_verlies_elek_prod_aftapwarmte,MATCH(O104,toestellen_RV_kopregel,0))))</f>
        <v>1</v>
      </c>
      <c r="P124" s="228">
        <f>IF(P125&lt;&gt;"",P125,
IF(HLOOKUP(P105,ENERGIEDRAGERS,ROWS(bibliotheek!$E$259:$E$263),FALSE)=0,$G$5,
HLOOKUP(P105,ENERGIEDRAGERS,ROWS(bibliotheek!$E$259:$E$263),FALSE)))</f>
        <v>1.45</v>
      </c>
      <c r="Q124" s="228">
        <f>IF(Q125&lt;&gt;"",Q125,
INDEX(weegfactor_primaire_totale_energiefactor,MATCH(Q105,energiedragers_kopregel,0))
*IF(Q113=0,1,
$G$5*INDEX(installaties_RV_verlies_elek_prod_aftapwarmte,MATCH(Q104,toestellen_RV_kopregel,0))))</f>
        <v>1</v>
      </c>
      <c r="R124" s="625"/>
      <c r="S124" s="625"/>
      <c r="T124" s="625"/>
      <c r="U124" s="625"/>
      <c r="V124" s="625"/>
      <c r="W124" s="625"/>
      <c r="X124" s="110"/>
      <c r="Y124" s="202"/>
      <c r="Z124" s="89"/>
      <c r="AA124" s="228">
        <f>IF(AA125&lt;&gt;"",AA125,
INDEX(weegfactor_primaire_totale_energiefactor,MATCH(AA105,energiedragers_kopregel,0))
*IF(AA113=0,1,
$G$5*INDEX(installaties_RV_verlies_elek_prod_aftapwarmte,MATCH(AA104,toestellen_RV_kopregel,0))))</f>
        <v>1</v>
      </c>
      <c r="AB124" s="228">
        <f>IF(AB125&lt;&gt;"",AB125,
IF(HLOOKUP(AB105,ENERGIEDRAGERS,ROWS(bibliotheek!$E$259:$E$263),FALSE)=0,$G$5,
HLOOKUP(AB105,ENERGIEDRAGERS,ROWS(bibliotheek!$E$259:$E$263),FALSE)))</f>
        <v>1.45</v>
      </c>
      <c r="AC124" s="228">
        <f>IF(AC125&lt;&gt;"",AC125,
INDEX(weegfactor_primaire_totale_energiefactor,MATCH(AC105,energiedragers_kopregel,0))
*IF(AC113=0,1,
$G$5*INDEX(installaties_RV_verlies_elek_prod_aftapwarmte,MATCH(AC104,toestellen_RV_kopregel,0))))</f>
        <v>1</v>
      </c>
      <c r="AD124" s="130"/>
      <c r="AE124" s="130"/>
      <c r="AF124" s="130"/>
      <c r="AG124" s="130"/>
      <c r="AH124" s="130"/>
      <c r="AI124" s="130"/>
      <c r="AJ124" s="110"/>
      <c r="AK124" s="202"/>
      <c r="AL124" s="89"/>
      <c r="AM124" s="228">
        <f>IF(AM125&lt;&gt;"",AM125,
INDEX(weegfactor_primaire_totale_energiefactor,MATCH(AM105,energiedragers_kopregel,0))
*IF(AM113=0,1,
$G$5*INDEX(installaties_RV_verlies_elek_prod_aftapwarmte,MATCH(AM104,toestellen_RV_kopregel,0))))</f>
        <v>1</v>
      </c>
      <c r="AN124" s="228">
        <f>IF(AN125&lt;&gt;"",AN125,
IF(HLOOKUP(AN105,ENERGIEDRAGERS,ROWS(bibliotheek!$E$259:$E$263),FALSE)=0,$G$5,
HLOOKUP(AN105,ENERGIEDRAGERS,ROWS(bibliotheek!$E$259:$E$263),FALSE)))</f>
        <v>1.45</v>
      </c>
      <c r="AO124" s="228">
        <f>IF(AO125&lt;&gt;"",AO125,
INDEX(weegfactor_primaire_totale_energiefactor,MATCH(AO105,energiedragers_kopregel,0))
*IF(AO113=0,1,
$G$5*INDEX(installaties_RV_verlies_elek_prod_aftapwarmte,MATCH(AO104,toestellen_RV_kopregel,0))))</f>
        <v>1</v>
      </c>
      <c r="AP124" s="130"/>
      <c r="AQ124" s="130"/>
      <c r="AR124" s="130"/>
      <c r="AS124" s="130"/>
      <c r="AT124" s="130"/>
      <c r="AU124" s="130"/>
      <c r="AV124" s="110"/>
      <c r="AW124" s="202"/>
      <c r="AX124" s="89"/>
      <c r="AY124" s="228">
        <f>IF(AY125&lt;&gt;"",AY125,
INDEX(weegfactor_primaire_totale_energiefactor,MATCH(AY105,energiedragers_kopregel,0))
*IF(AY113=0,1,
$G$5*INDEX(installaties_RV_verlies_elek_prod_aftapwarmte,MATCH(AY104,toestellen_RV_kopregel,0))))</f>
        <v>1</v>
      </c>
      <c r="AZ124" s="228">
        <f>IF(AZ125&lt;&gt;"",AZ125,
IF(HLOOKUP(AZ105,ENERGIEDRAGERS,ROWS(bibliotheek!$E$259:$E$263),FALSE)=0,$G$5,
HLOOKUP(AZ105,ENERGIEDRAGERS,ROWS(bibliotheek!$E$259:$E$263),FALSE)))</f>
        <v>1.45</v>
      </c>
      <c r="BA124" s="228">
        <f>IF(BA125&lt;&gt;"",BA125,
INDEX(weegfactor_primaire_totale_energiefactor,MATCH(BA105,energiedragers_kopregel,0))
*IF(BA113=0,1,
$G$5*INDEX(installaties_RV_verlies_elek_prod_aftapwarmte,MATCH(BA104,toestellen_RV_kopregel,0))))</f>
        <v>1</v>
      </c>
      <c r="BB124" s="130"/>
      <c r="BC124" s="130"/>
      <c r="BD124" s="130"/>
      <c r="BE124" s="130"/>
      <c r="BF124" s="130"/>
      <c r="BG124" s="130"/>
      <c r="BH124" s="210"/>
    </row>
    <row r="125" spans="1:60" hidden="1">
      <c r="A125" s="1040"/>
      <c r="B125" s="1109" t="s">
        <v>187</v>
      </c>
      <c r="C125" s="1107" t="s">
        <v>203</v>
      </c>
      <c r="D125" s="641"/>
      <c r="E125" s="346" t="s">
        <v>205</v>
      </c>
      <c r="F125" s="255"/>
      <c r="G125" s="255"/>
      <c r="H125" s="292"/>
      <c r="I125" s="77"/>
      <c r="J125" s="299"/>
      <c r="K125" s="107"/>
      <c r="L125" s="107"/>
      <c r="M125" s="190"/>
      <c r="N125" s="114"/>
      <c r="O125" s="1029"/>
      <c r="P125" s="1030"/>
      <c r="Q125" s="1029"/>
      <c r="R125" s="131"/>
      <c r="S125" s="131"/>
      <c r="T125" s="131"/>
      <c r="U125" s="131"/>
      <c r="V125" s="131"/>
      <c r="W125" s="131"/>
      <c r="X125" s="110"/>
      <c r="Y125" s="202"/>
      <c r="Z125" s="89"/>
      <c r="AA125" s="1029"/>
      <c r="AB125" s="1030"/>
      <c r="AC125" s="1029"/>
      <c r="AD125" s="130"/>
      <c r="AE125" s="130"/>
      <c r="AF125" s="130"/>
      <c r="AG125" s="130"/>
      <c r="AH125" s="130"/>
      <c r="AI125" s="130"/>
      <c r="AJ125" s="110"/>
      <c r="AK125" s="202"/>
      <c r="AL125" s="89"/>
      <c r="AM125" s="1029"/>
      <c r="AN125" s="1030"/>
      <c r="AO125" s="1029"/>
      <c r="AP125" s="130"/>
      <c r="AQ125" s="130"/>
      <c r="AR125" s="130"/>
      <c r="AS125" s="130"/>
      <c r="AT125" s="130"/>
      <c r="AU125" s="130"/>
      <c r="AV125" s="110"/>
      <c r="AW125" s="202"/>
      <c r="AX125" s="89"/>
      <c r="AY125" s="1029"/>
      <c r="AZ125" s="1030"/>
      <c r="BA125" s="1029"/>
      <c r="BB125" s="130"/>
      <c r="BC125" s="130"/>
      <c r="BD125" s="130"/>
      <c r="BE125" s="130"/>
      <c r="BF125" s="130"/>
      <c r="BG125" s="130"/>
      <c r="BH125" s="210"/>
    </row>
    <row r="126" spans="1:60">
      <c r="A126" s="1040"/>
      <c r="B126" s="1109" t="s">
        <v>187</v>
      </c>
      <c r="C126" s="1107" t="s">
        <v>104</v>
      </c>
      <c r="D126" s="641"/>
      <c r="E126" s="291" t="s">
        <v>232</v>
      </c>
      <c r="F126" s="181"/>
      <c r="G126" s="181"/>
      <c r="H126" s="181" t="s">
        <v>106</v>
      </c>
      <c r="I126" s="77"/>
      <c r="J126" s="202">
        <f>M126+Y126+AK126+AW126</f>
        <v>0</v>
      </c>
      <c r="K126" s="1061"/>
      <c r="L126" s="1061"/>
      <c r="M126" s="202">
        <f>SUM(O126:X126)</f>
        <v>0</v>
      </c>
      <c r="N126" s="89"/>
      <c r="O126" s="168">
        <f>O$116*O$122*O124</f>
        <v>0</v>
      </c>
      <c r="P126" s="168">
        <f>P$116*P$122*P124</f>
        <v>0</v>
      </c>
      <c r="Q126" s="168">
        <f>Q$116*Q$122*Q124</f>
        <v>0</v>
      </c>
      <c r="R126" s="130"/>
      <c r="S126" s="130"/>
      <c r="T126" s="130"/>
      <c r="U126" s="130"/>
      <c r="V126" s="130"/>
      <c r="W126" s="130"/>
      <c r="X126" s="110"/>
      <c r="Y126" s="202">
        <f>SUM(AA126:AJ126)</f>
        <v>0</v>
      </c>
      <c r="Z126" s="89"/>
      <c r="AA126" s="168">
        <f>AA$116*AA$122*AA124</f>
        <v>0</v>
      </c>
      <c r="AB126" s="168">
        <f>AB$116*AB$122*AB124</f>
        <v>0</v>
      </c>
      <c r="AC126" s="168">
        <f>AC$116*AC$122*AC124</f>
        <v>0</v>
      </c>
      <c r="AD126" s="130"/>
      <c r="AE126" s="130"/>
      <c r="AF126" s="130"/>
      <c r="AG126" s="130"/>
      <c r="AH126" s="130"/>
      <c r="AI126" s="130"/>
      <c r="AJ126" s="110"/>
      <c r="AK126" s="202">
        <f>SUM(AM126:AV126)</f>
        <v>0</v>
      </c>
      <c r="AL126" s="89"/>
      <c r="AM126" s="168">
        <f>AM$116*AM$122*AM124</f>
        <v>0</v>
      </c>
      <c r="AN126" s="168">
        <f>AN$116*AN$122*AN124</f>
        <v>0</v>
      </c>
      <c r="AO126" s="168">
        <f>AO$116*AO$122*AO124</f>
        <v>0</v>
      </c>
      <c r="AP126" s="130"/>
      <c r="AQ126" s="130"/>
      <c r="AR126" s="130"/>
      <c r="AS126" s="130"/>
      <c r="AT126" s="130"/>
      <c r="AU126" s="130"/>
      <c r="AV126" s="110"/>
      <c r="AW126" s="202">
        <f>SUM(AY126:BH126)</f>
        <v>0</v>
      </c>
      <c r="AX126" s="89"/>
      <c r="AY126" s="168">
        <f>AY$116*AY$122*AY124</f>
        <v>0</v>
      </c>
      <c r="AZ126" s="168">
        <f>AZ$116*AZ$122*AZ124</f>
        <v>0</v>
      </c>
      <c r="BA126" s="168">
        <f>BA$116*BA$122*BA124</f>
        <v>0</v>
      </c>
      <c r="BB126" s="130"/>
      <c r="BC126" s="130"/>
      <c r="BD126" s="130"/>
      <c r="BE126" s="130"/>
      <c r="BF126" s="130"/>
      <c r="BG126" s="130"/>
      <c r="BH126" s="210"/>
    </row>
    <row r="127" spans="1:60">
      <c r="A127" s="1040"/>
      <c r="B127" s="1109" t="s">
        <v>187</v>
      </c>
      <c r="C127" s="1106" t="s">
        <v>96</v>
      </c>
      <c r="D127" s="641"/>
      <c r="E127" s="940" t="s">
        <v>107</v>
      </c>
      <c r="F127" s="940"/>
      <c r="G127" s="940"/>
      <c r="H127" s="940"/>
      <c r="I127" s="77"/>
      <c r="J127" s="939"/>
      <c r="K127" s="126"/>
      <c r="L127" s="126"/>
      <c r="M127" s="1027"/>
      <c r="N127" s="143"/>
      <c r="O127" s="1028" t="str">
        <f>O$10</f>
        <v>verwarming</v>
      </c>
      <c r="P127" s="1028" t="str">
        <f>P$10</f>
        <v>koeling</v>
      </c>
      <c r="Q127" s="1028" t="str">
        <f>Q$10</f>
        <v>tapwater</v>
      </c>
      <c r="R127" s="1028"/>
      <c r="S127" s="1028"/>
      <c r="T127" s="1028"/>
      <c r="U127" s="1028"/>
      <c r="V127" s="1028"/>
      <c r="W127" s="1028"/>
      <c r="X127" s="144"/>
      <c r="Y127" s="1027"/>
      <c r="Z127" s="143"/>
      <c r="AA127" s="1028" t="str">
        <f>AA$10</f>
        <v>verwarming</v>
      </c>
      <c r="AB127" s="1028" t="str">
        <f>AB$10</f>
        <v>koeling</v>
      </c>
      <c r="AC127" s="1028" t="str">
        <f>AC$10</f>
        <v>tapwater</v>
      </c>
      <c r="AD127" s="1028"/>
      <c r="AE127" s="1028"/>
      <c r="AF127" s="1028"/>
      <c r="AG127" s="1028"/>
      <c r="AH127" s="1028"/>
      <c r="AI127" s="1028"/>
      <c r="AJ127" s="144"/>
      <c r="AK127" s="1027"/>
      <c r="AL127" s="143"/>
      <c r="AM127" s="1028" t="str">
        <f>AM$10</f>
        <v>verwarming</v>
      </c>
      <c r="AN127" s="1028" t="str">
        <f>AN$10</f>
        <v>koeling</v>
      </c>
      <c r="AO127" s="1028" t="str">
        <f>AO$10</f>
        <v>tapwater</v>
      </c>
      <c r="AP127" s="1028"/>
      <c r="AQ127" s="1028"/>
      <c r="AR127" s="1028"/>
      <c r="AS127" s="1028"/>
      <c r="AT127" s="1028"/>
      <c r="AU127" s="1028"/>
      <c r="AV127" s="144"/>
      <c r="AW127" s="1027"/>
      <c r="AX127" s="143"/>
      <c r="AY127" s="1028" t="str">
        <f>AY$10</f>
        <v>verwarming</v>
      </c>
      <c r="AZ127" s="1028" t="str">
        <f>AZ$10</f>
        <v>koeling</v>
      </c>
      <c r="BA127" s="1028" t="str">
        <f>BA$10</f>
        <v>tapwater</v>
      </c>
      <c r="BB127" s="1028"/>
      <c r="BC127" s="1028"/>
      <c r="BD127" s="1028"/>
      <c r="BE127" s="1028"/>
      <c r="BF127" s="1028"/>
      <c r="BG127" s="1028"/>
      <c r="BH127" s="218"/>
    </row>
    <row r="128" spans="1:60" hidden="1">
      <c r="A128" s="1040"/>
      <c r="B128" s="1109" t="s">
        <v>187</v>
      </c>
      <c r="C128" s="1107" t="s">
        <v>203</v>
      </c>
      <c r="D128" s="641" t="s">
        <v>45</v>
      </c>
      <c r="E128" s="293" t="s">
        <v>206</v>
      </c>
      <c r="F128" s="254"/>
      <c r="G128" s="254"/>
      <c r="H128" s="291" t="s">
        <v>207</v>
      </c>
      <c r="I128" s="77"/>
      <c r="J128" s="189"/>
      <c r="K128" s="107"/>
      <c r="L128" s="107"/>
      <c r="M128" s="189"/>
      <c r="N128" s="79"/>
      <c r="O128" s="377">
        <f>IF(O129&lt;&gt;"",O129,
IF(O$105=elektriciteit,$H$5,
INDEX(energiedragers_CO2_emissiefactor,MATCH(O105,energiedragers_kopregel,0))
*IF(O113=0,1,
$G$5*INDEX(installaties_RV_verlies_elek_prod_aftapwarmte,MATCH(O104,toestellen_RV_kopregel,0)))))</f>
        <v>0.26800000000000002</v>
      </c>
      <c r="P128" s="377">
        <f>IF(P129&lt;&gt;"",P129,
IF(P105=elektriciteit,$H$5,
HLOOKUP(P105,ENERGIEDRAGERS,ROWS(bibliotheek!$E$259:$E$264),FALSE)))</f>
        <v>0</v>
      </c>
      <c r="Q128" s="377">
        <f>IF(Q119&lt;&gt;"",Q119,
IF(Q$105=elektriciteit,$H$5,
INDEX(energiedragers_CO2_emissiefactor,MATCH(Q105,energiedragers_kopregel,0))
*IF(Q113=0,1,
$G$5*INDEX(installaties_TAP_verlies_elek_prod_aftapwarmte,MATCH(Q104,toestellen_TAP_kopregel,0)))))</f>
        <v>0.26800000000000002</v>
      </c>
      <c r="R128" s="141"/>
      <c r="S128" s="141"/>
      <c r="T128" s="141"/>
      <c r="U128" s="141"/>
      <c r="V128" s="141"/>
      <c r="W128" s="141"/>
      <c r="X128" s="348"/>
      <c r="Y128" s="189"/>
      <c r="Z128" s="79"/>
      <c r="AA128" s="377">
        <f>IF(AA129&lt;&gt;"",AA129,
IF(AA$105=elektriciteit,$H$5,
INDEX(energiedragers_CO2_emissiefactor,MATCH(AA105,energiedragers_kopregel,0))
*IF(AA113=0,1,
$G$5*INDEX(installaties_RV_verlies_elek_prod_aftapwarmte,MATCH(AA104,toestellen_RV_kopregel,0)))))</f>
        <v>0.26800000000000002</v>
      </c>
      <c r="AB128" s="377">
        <f>IF(AB129&lt;&gt;"",AB129,
IF(AB105=elektriciteit,$H$5,
HLOOKUP(AB105,ENERGIEDRAGERS,ROWS(bibliotheek!$E$259:$E$264),FALSE)))</f>
        <v>0</v>
      </c>
      <c r="AC128" s="377">
        <f>IF(AC119&lt;&gt;"",AC119,
IF(AC$105=elektriciteit,$H$5,
INDEX(energiedragers_CO2_emissiefactor,MATCH(AC105,energiedragers_kopregel,0))
*IF(AC113=0,1,
$G$5*INDEX(installaties_TAP_verlies_elek_prod_aftapwarmte,MATCH(AC104,toestellen_TAP_kopregel,0)))))</f>
        <v>0.26800000000000002</v>
      </c>
      <c r="AD128" s="141"/>
      <c r="AE128" s="141"/>
      <c r="AF128" s="141"/>
      <c r="AG128" s="141"/>
      <c r="AH128" s="141"/>
      <c r="AI128" s="141"/>
      <c r="AJ128" s="348"/>
      <c r="AK128" s="189"/>
      <c r="AL128" s="79"/>
      <c r="AM128" s="377">
        <f>IF(AM129&lt;&gt;"",AM129,
IF(AM$105=elektriciteit,$H$5,
INDEX(energiedragers_CO2_emissiefactor,MATCH(AM105,energiedragers_kopregel,0))
*IF(AM113=0,1,
$G$5*INDEX(installaties_RV_verlies_elek_prod_aftapwarmte,MATCH(AM104,toestellen_RV_kopregel,0)))))</f>
        <v>0.26800000000000002</v>
      </c>
      <c r="AN128" s="377">
        <f>IF(AN129&lt;&gt;"",AN129,
IF(AN105=elektriciteit,$H$5,
HLOOKUP(AN105,ENERGIEDRAGERS,ROWS(bibliotheek!$E$259:$E$264),FALSE)))</f>
        <v>0</v>
      </c>
      <c r="AO128" s="377">
        <f>IF(AO119&lt;&gt;"",AO119,
IF(AO$105=elektriciteit,$H$5,
INDEX(energiedragers_CO2_emissiefactor,MATCH(AO105,energiedragers_kopregel,0))
*IF(AO113=0,1,
$G$5*INDEX(installaties_TAP_verlies_elek_prod_aftapwarmte,MATCH(AO104,toestellen_TAP_kopregel,0)))))</f>
        <v>0.26800000000000002</v>
      </c>
      <c r="AP128" s="141"/>
      <c r="AQ128" s="141"/>
      <c r="AR128" s="141"/>
      <c r="AS128" s="141"/>
      <c r="AT128" s="141"/>
      <c r="AU128" s="141"/>
      <c r="AV128" s="348"/>
      <c r="AW128" s="189"/>
      <c r="AX128" s="79"/>
      <c r="AY128" s="377">
        <f>IF(AY129&lt;&gt;"",AY129,
IF(AY$105=elektriciteit,$H$5,
INDEX(energiedragers_CO2_emissiefactor,MATCH(AY105,energiedragers_kopregel,0))
*IF(AY113=0,1,
$G$5*INDEX(installaties_RV_verlies_elek_prod_aftapwarmte,MATCH(AY104,toestellen_RV_kopregel,0)))))</f>
        <v>0.26800000000000002</v>
      </c>
      <c r="AZ128" s="377">
        <f>IF(AZ129&lt;&gt;"",AZ129,
IF(AZ105=elektriciteit,$H$5,
HLOOKUP(AZ105,ENERGIEDRAGERS,ROWS(bibliotheek!$E$259:$E$264),FALSE)))</f>
        <v>0</v>
      </c>
      <c r="BA128" s="377">
        <f>IF(BA119&lt;&gt;"",BA119,
IF(BA$105=elektriciteit,$H$5,
INDEX(energiedragers_CO2_emissiefactor,MATCH(BA105,energiedragers_kopregel,0))
*IF(BA113=0,1,
$G$5*INDEX(installaties_TAP_verlies_elek_prod_aftapwarmte,MATCH(BA104,toestellen_TAP_kopregel,0)))))</f>
        <v>0.26800000000000002</v>
      </c>
      <c r="BB128" s="141"/>
      <c r="BC128" s="141"/>
      <c r="BD128" s="141"/>
      <c r="BE128" s="141"/>
      <c r="BF128" s="141"/>
      <c r="BG128" s="141"/>
      <c r="BH128" s="174"/>
    </row>
    <row r="129" spans="1:60" hidden="1">
      <c r="A129" s="1040"/>
      <c r="B129" s="1109" t="s">
        <v>187</v>
      </c>
      <c r="C129" s="1107" t="s">
        <v>203</v>
      </c>
      <c r="D129" s="638"/>
      <c r="E129" s="346" t="s">
        <v>208</v>
      </c>
      <c r="F129" s="292"/>
      <c r="G129" s="292"/>
      <c r="H129" s="292"/>
      <c r="I129" s="77"/>
      <c r="J129" s="299"/>
      <c r="K129" s="107"/>
      <c r="L129" s="107"/>
      <c r="M129" s="198"/>
      <c r="N129" s="79"/>
      <c r="O129" s="275"/>
      <c r="P129" s="354"/>
      <c r="Q129" s="354"/>
      <c r="R129" s="414"/>
      <c r="S129" s="414"/>
      <c r="T129" s="414"/>
      <c r="U129" s="414"/>
      <c r="V129" s="414"/>
      <c r="W129" s="414"/>
      <c r="X129" s="380"/>
      <c r="Y129" s="198"/>
      <c r="Z129" s="79"/>
      <c r="AA129" s="354"/>
      <c r="AB129" s="354"/>
      <c r="AC129" s="354"/>
      <c r="AD129" s="414"/>
      <c r="AE129" s="414"/>
      <c r="AF129" s="414"/>
      <c r="AG129" s="414"/>
      <c r="AH129" s="414"/>
      <c r="AI129" s="414"/>
      <c r="AJ129" s="380"/>
      <c r="AK129" s="198"/>
      <c r="AL129" s="79"/>
      <c r="AM129" s="354"/>
      <c r="AN129" s="354"/>
      <c r="AO129" s="354"/>
      <c r="AP129" s="414"/>
      <c r="AQ129" s="414"/>
      <c r="AR129" s="414"/>
      <c r="AS129" s="414"/>
      <c r="AT129" s="414"/>
      <c r="AU129" s="414"/>
      <c r="AV129" s="380"/>
      <c r="AW129" s="198"/>
      <c r="AX129" s="79"/>
      <c r="AY129" s="354"/>
      <c r="AZ129" s="354"/>
      <c r="BA129" s="354"/>
      <c r="BB129" s="414"/>
      <c r="BC129" s="414"/>
      <c r="BD129" s="414"/>
      <c r="BE129" s="414"/>
      <c r="BF129" s="414"/>
      <c r="BG129" s="414"/>
      <c r="BH129" s="174"/>
    </row>
    <row r="130" spans="1:60">
      <c r="A130" s="1040"/>
      <c r="B130" s="1109" t="s">
        <v>187</v>
      </c>
      <c r="C130" s="1107" t="s">
        <v>104</v>
      </c>
      <c r="D130" s="638"/>
      <c r="E130" s="181" t="s">
        <v>107</v>
      </c>
      <c r="F130" s="181"/>
      <c r="G130" s="181"/>
      <c r="H130" s="181" t="s">
        <v>209</v>
      </c>
      <c r="I130" s="77"/>
      <c r="J130" s="202">
        <f>M130+Y130+AK130+AW130</f>
        <v>0</v>
      </c>
      <c r="K130" s="1061"/>
      <c r="L130" s="1061"/>
      <c r="M130" s="202">
        <f>SUM(O130:X130)</f>
        <v>0</v>
      </c>
      <c r="N130" s="243"/>
      <c r="O130" s="168">
        <f>O$116*O$128</f>
        <v>0</v>
      </c>
      <c r="P130" s="168">
        <f>P$116*P$128</f>
        <v>0</v>
      </c>
      <c r="Q130" s="168">
        <f>Q$116*Q$128</f>
        <v>0</v>
      </c>
      <c r="R130" s="130"/>
      <c r="S130" s="130"/>
      <c r="T130" s="130"/>
      <c r="U130" s="130"/>
      <c r="V130" s="130"/>
      <c r="W130" s="130"/>
      <c r="X130" s="110"/>
      <c r="Y130" s="202">
        <f>SUM(AA130:AJ130)</f>
        <v>0</v>
      </c>
      <c r="Z130" s="243"/>
      <c r="AA130" s="168">
        <f>AA$116*AA$128</f>
        <v>0</v>
      </c>
      <c r="AB130" s="168">
        <f>AB$116*AB$128</f>
        <v>0</v>
      </c>
      <c r="AC130" s="168">
        <f>AC$116*AC$128</f>
        <v>0</v>
      </c>
      <c r="AD130" s="130"/>
      <c r="AE130" s="130"/>
      <c r="AF130" s="130"/>
      <c r="AG130" s="130"/>
      <c r="AH130" s="130"/>
      <c r="AI130" s="130"/>
      <c r="AJ130" s="110"/>
      <c r="AK130" s="202">
        <f>SUM(AM130:AV130)</f>
        <v>0</v>
      </c>
      <c r="AL130" s="243"/>
      <c r="AM130" s="168">
        <f>AM$116*AM$128</f>
        <v>0</v>
      </c>
      <c r="AN130" s="168">
        <f>AN$116*AN$128</f>
        <v>0</v>
      </c>
      <c r="AO130" s="168">
        <f>AO$116*AO$128</f>
        <v>0</v>
      </c>
      <c r="AP130" s="130"/>
      <c r="AQ130" s="130"/>
      <c r="AR130" s="130"/>
      <c r="AS130" s="130"/>
      <c r="AT130" s="130"/>
      <c r="AU130" s="130"/>
      <c r="AV130" s="110"/>
      <c r="AW130" s="202">
        <f>SUM(AY130:BH130)</f>
        <v>0</v>
      </c>
      <c r="AX130" s="243"/>
      <c r="AY130" s="168">
        <f>AY$116*AY$128</f>
        <v>0</v>
      </c>
      <c r="AZ130" s="168">
        <f>AZ$116*AZ$128</f>
        <v>0</v>
      </c>
      <c r="BA130" s="168">
        <f>BA$116*BA$128</f>
        <v>0</v>
      </c>
      <c r="BB130" s="130"/>
      <c r="BC130" s="130"/>
      <c r="BD130" s="130"/>
      <c r="BE130" s="130"/>
      <c r="BF130" s="130"/>
      <c r="BG130" s="130"/>
      <c r="BH130" s="210"/>
    </row>
    <row r="131" spans="1:60">
      <c r="A131" s="1040"/>
      <c r="B131" s="1109" t="s">
        <v>187</v>
      </c>
      <c r="C131" s="1106" t="s">
        <v>96</v>
      </c>
      <c r="D131" s="638"/>
      <c r="E131" s="940" t="s">
        <v>210</v>
      </c>
      <c r="F131" s="940"/>
      <c r="G131" s="940"/>
      <c r="H131" s="940"/>
      <c r="I131" s="77"/>
      <c r="J131" s="939"/>
      <c r="K131" s="126"/>
      <c r="L131" s="126"/>
      <c r="M131" s="938"/>
      <c r="N131" s="143"/>
      <c r="O131" s="177" t="str">
        <f>O$10</f>
        <v>verwarming</v>
      </c>
      <c r="P131" s="177" t="str">
        <f>P$10</f>
        <v>koeling</v>
      </c>
      <c r="Q131" s="177" t="str">
        <f>Q$10</f>
        <v>tapwater</v>
      </c>
      <c r="R131" s="177"/>
      <c r="S131" s="177"/>
      <c r="T131" s="177"/>
      <c r="U131" s="177"/>
      <c r="V131" s="177"/>
      <c r="W131" s="177"/>
      <c r="X131" s="144"/>
      <c r="Y131" s="938"/>
      <c r="Z131" s="143"/>
      <c r="AA131" s="177" t="str">
        <f>AA$10</f>
        <v>verwarming</v>
      </c>
      <c r="AB131" s="177" t="str">
        <f>AB$10</f>
        <v>koeling</v>
      </c>
      <c r="AC131" s="177" t="str">
        <f>AC$10</f>
        <v>tapwater</v>
      </c>
      <c r="AD131" s="177"/>
      <c r="AE131" s="177"/>
      <c r="AF131" s="177"/>
      <c r="AG131" s="177"/>
      <c r="AH131" s="177"/>
      <c r="AI131" s="177"/>
      <c r="AJ131" s="144"/>
      <c r="AK131" s="938"/>
      <c r="AL131" s="143"/>
      <c r="AM131" s="177" t="str">
        <f>AM$10</f>
        <v>verwarming</v>
      </c>
      <c r="AN131" s="177" t="str">
        <f>AN$10</f>
        <v>koeling</v>
      </c>
      <c r="AO131" s="177" t="str">
        <f>AO$10</f>
        <v>tapwater</v>
      </c>
      <c r="AP131" s="177"/>
      <c r="AQ131" s="177"/>
      <c r="AR131" s="177"/>
      <c r="AS131" s="177"/>
      <c r="AT131" s="177"/>
      <c r="AU131" s="177"/>
      <c r="AV131" s="144"/>
      <c r="AW131" s="938"/>
      <c r="AX131" s="143"/>
      <c r="AY131" s="177" t="str">
        <f>AY$10</f>
        <v>verwarming</v>
      </c>
      <c r="AZ131" s="177" t="str">
        <f>AZ$10</f>
        <v>koeling</v>
      </c>
      <c r="BA131" s="177" t="str">
        <f>BA$10</f>
        <v>tapwater</v>
      </c>
      <c r="BB131" s="177"/>
      <c r="BC131" s="177"/>
      <c r="BD131" s="177"/>
      <c r="BE131" s="177"/>
      <c r="BF131" s="177"/>
      <c r="BG131" s="177"/>
      <c r="BH131" s="218"/>
    </row>
    <row r="132" spans="1:60">
      <c r="A132" s="1040"/>
      <c r="B132" s="1109" t="s">
        <v>187</v>
      </c>
      <c r="C132" s="1107" t="s">
        <v>118</v>
      </c>
      <c r="D132" s="638" t="s">
        <v>45</v>
      </c>
      <c r="E132" s="181" t="s">
        <v>211</v>
      </c>
      <c r="F132" s="181"/>
      <c r="G132" s="181"/>
      <c r="H132" s="181" t="s">
        <v>160</v>
      </c>
      <c r="I132" s="129"/>
      <c r="J132" s="202">
        <f>M132+Y132+AK132+AW132</f>
        <v>0</v>
      </c>
      <c r="K132" s="1059"/>
      <c r="L132" s="1059"/>
      <c r="M132" s="202">
        <f>SUM(O132:X132)</f>
        <v>0</v>
      </c>
      <c r="N132" s="243"/>
      <c r="O132" s="168">
        <f>IF(   AND(   HLOOKUP(IF(O$83="",referentie_verwarming,O$83),toestellen_RV,ROWS(bibliotheek!$E$83:$E$88),FALSE)=1,   O115+Q115&gt;P115   ),
ABS(O115+Q115-P115)*O$115/(O115+Q115),
0)</f>
        <v>0</v>
      </c>
      <c r="P132" s="168">
        <f>IF(AND(HLOOKUP(IF(P$83="",referentie_koeling,P$83),toestellen_KOEL,ROWS(bibliotheek!$E$190:$E$194),FALSE)=1,O115+Q115&lt;P115),ABS(O115+Q115-P115),0)</f>
        <v>0</v>
      </c>
      <c r="Q132" s="168">
        <f>IF(AND(HLOOKUP(IF(Q$83="",referentie_warmtapwater,Q$83),toestellen_TAP,ROWS(bibliotheek!$E$139:$E$144),FALSE)=1,O115+Q115&gt;P115),ABS(O115+Q115-P115)*Q$115/(O115+Q115),0)</f>
        <v>0</v>
      </c>
      <c r="R132" s="130"/>
      <c r="S132" s="130"/>
      <c r="T132" s="130"/>
      <c r="U132" s="130"/>
      <c r="V132" s="130"/>
      <c r="W132" s="130"/>
      <c r="X132" s="110"/>
      <c r="Y132" s="202">
        <f>SUM(AA132:AJ132)</f>
        <v>0</v>
      </c>
      <c r="Z132" s="243"/>
      <c r="AA132" s="168">
        <f>IF(   AND(   HLOOKUP(IF(AA$83="",referentie_verwarming,AA$83),toestellen_RV,ROWS(bibliotheek!$E$83:$E$88),FALSE)=1,   AA115+AC115&gt;AB115   ),
ABS(AA115+AC115-AB115)*AA$115/(AA115+AC115),
0)</f>
        <v>0</v>
      </c>
      <c r="AB132" s="168">
        <f>IF(AND(HLOOKUP(IF(AB$83="",referentie_koeling,AB$83),toestellen_KOEL,ROWS(bibliotheek!$E$190:$E$194),FALSE)=1,AA115+AC115&lt;AB115),ABS(AA115+AC115-AB115),0)</f>
        <v>0</v>
      </c>
      <c r="AC132" s="168">
        <f>IF(AND(HLOOKUP(IF(AC$83="",referentie_warmtapwater,AC$83),toestellen_TAP,ROWS(bibliotheek!$E$139:$E$144),FALSE)=1,AA115+AC115&gt;AB115),ABS(AA115+AC115-AB115)*AC$115/(AA115+AC115),0)</f>
        <v>0</v>
      </c>
      <c r="AD132" s="130"/>
      <c r="AE132" s="130"/>
      <c r="AF132" s="130"/>
      <c r="AG132" s="130"/>
      <c r="AH132" s="130"/>
      <c r="AI132" s="130"/>
      <c r="AJ132" s="110"/>
      <c r="AK132" s="202">
        <f>SUM(AM132:AV132)</f>
        <v>0</v>
      </c>
      <c r="AL132" s="243"/>
      <c r="AM132" s="168">
        <f>IF(   AND(   HLOOKUP(IF(AM$83="",referentie_verwarming,AM$83),toestellen_RV,ROWS(bibliotheek!$E$83:$E$88),FALSE)=1,   AM115+AO115&gt;AN115   ),
ABS(AM115+AO115-AN115)*AM$115/(AM115+AO115),
0)</f>
        <v>0</v>
      </c>
      <c r="AN132" s="168">
        <f>IF(AND(HLOOKUP(IF(AN$83="",referentie_koeling,AN$83),toestellen_KOEL,ROWS(bibliotheek!$E$190:$E$194),FALSE)=1,AM115+AO115&lt;AN115),ABS(AM115+AO115-AN115),0)</f>
        <v>0</v>
      </c>
      <c r="AO132" s="168">
        <f>IF(AND(HLOOKUP(IF(AO$83="",referentie_warmtapwater,AO$83),toestellen_TAP,ROWS(bibliotheek!$E$139:$E$144),FALSE)=1,AM115+AO115&gt;AN115),ABS(AM115+AO115-AN115)*AO$115/(AM115+AO115),0)</f>
        <v>0</v>
      </c>
      <c r="AP132" s="130"/>
      <c r="AQ132" s="130"/>
      <c r="AR132" s="130"/>
      <c r="AS132" s="130"/>
      <c r="AT132" s="130"/>
      <c r="AU132" s="130"/>
      <c r="AV132" s="110"/>
      <c r="AW132" s="202">
        <f>SUM(AY132:BH132)</f>
        <v>0</v>
      </c>
      <c r="AX132" s="243"/>
      <c r="AY132" s="168">
        <f>IF(   AND(   HLOOKUP(IF(AY$83="",referentie_verwarming,AY$83),toestellen_RV,ROWS(bibliotheek!$E$83:$E$88),FALSE)=1,   AY115+BA115&gt;AZ115   ),
ABS(AY115+BA115-AZ115)*AY$115/(AY115+BA115),
0)</f>
        <v>0</v>
      </c>
      <c r="AZ132" s="168">
        <f>IF(AND(HLOOKUP(IF(AZ$83="",referentie_koeling,AZ$83),toestellen_KOEL,ROWS(bibliotheek!$E$190:$E$194),FALSE)=1,AY115+BA115&lt;AZ115),ABS(AY115+BA115-AZ115),0)</f>
        <v>0</v>
      </c>
      <c r="BA132" s="168">
        <f>IF(AND(HLOOKUP(IF(BA$83="",referentie_warmtapwater,BA$83),toestellen_TAP,ROWS(bibliotheek!$E$139:$E$144),FALSE)=1,AY115+BA115&gt;AZ115),ABS(AY115+BA115-AZ115)*BA$115/(AY115+BA115),0)</f>
        <v>0</v>
      </c>
      <c r="BB132" s="130"/>
      <c r="BC132" s="130"/>
      <c r="BD132" s="130"/>
      <c r="BE132" s="130"/>
      <c r="BF132" s="130"/>
      <c r="BG132" s="130"/>
      <c r="BH132" s="210"/>
    </row>
    <row r="133" spans="1:60" hidden="1">
      <c r="A133" s="1040"/>
      <c r="B133" s="1109" t="s">
        <v>187</v>
      </c>
      <c r="C133" s="1107" t="s">
        <v>181</v>
      </c>
      <c r="D133" s="638"/>
      <c r="E133" s="181" t="s">
        <v>212</v>
      </c>
      <c r="F133" s="180"/>
      <c r="G133" s="180"/>
      <c r="H133" s="181" t="s">
        <v>213</v>
      </c>
      <c r="I133" s="129"/>
      <c r="J133" s="190"/>
      <c r="K133" s="107"/>
      <c r="L133" s="107"/>
      <c r="M133" s="190"/>
      <c r="N133" s="79"/>
      <c r="O133" s="545">
        <f>HLOOKUP(IF(O$83="",referentie_verwarming,O$83),toestellen_RV,ROWS(bibliotheek!$E$83:$E$117),FALSE)</f>
        <v>0</v>
      </c>
      <c r="P133" s="545">
        <f>HLOOKUP(IF(P$83="",referentie_koeling,P$83),toestellen_KOEL,ROWS(bibliotheek!$E$190:$E$208),FALSE)</f>
        <v>0</v>
      </c>
      <c r="Q133" s="545">
        <f>HLOOKUP(IF(Q$83="",referentie_warmtapwater,Q$83),toestellen_TAP,ROWS(bibliotheek!$E$139:$E$165),FALSE)</f>
        <v>0</v>
      </c>
      <c r="R133" s="379"/>
      <c r="S133" s="379"/>
      <c r="T133" s="379"/>
      <c r="U133" s="379"/>
      <c r="V133" s="379"/>
      <c r="W133" s="379"/>
      <c r="X133" s="418"/>
      <c r="Y133" s="190"/>
      <c r="Z133" s="79"/>
      <c r="AA133" s="545">
        <f>HLOOKUP(IF(AA$83="",referentie_verwarming,AA$83),toestellen_RV,ROWS(bibliotheek!$E$83:$E$117),FALSE)</f>
        <v>0</v>
      </c>
      <c r="AB133" s="545">
        <f>HLOOKUP(IF(AB$83="",referentie_koeling,AB$83),toestellen_KOEL,ROWS(bibliotheek!$E$190:$E$208),FALSE)</f>
        <v>0</v>
      </c>
      <c r="AC133" s="545">
        <f>HLOOKUP(IF(AC$83="",referentie_warmtapwater,AC$83),toestellen_TAP,ROWS(bibliotheek!$E$139:$E$165),FALSE)</f>
        <v>0</v>
      </c>
      <c r="AD133" s="379"/>
      <c r="AE133" s="379"/>
      <c r="AF133" s="379"/>
      <c r="AG133" s="379"/>
      <c r="AH133" s="379"/>
      <c r="AI133" s="379"/>
      <c r="AJ133" s="418"/>
      <c r="AK133" s="190"/>
      <c r="AL133" s="79"/>
      <c r="AM133" s="545">
        <f>HLOOKUP(IF(AM$83="",referentie_verwarming,AM$83),toestellen_RV,ROWS(bibliotheek!$E$83:$E$117),FALSE)</f>
        <v>0</v>
      </c>
      <c r="AN133" s="545">
        <f>HLOOKUP(IF(AN$83="",referentie_koeling,AN$83),toestellen_KOEL,ROWS(bibliotheek!$E$190:$E$208),FALSE)</f>
        <v>0</v>
      </c>
      <c r="AO133" s="545">
        <f>HLOOKUP(IF(AO$83="",referentie_warmtapwater,AO$83),toestellen_TAP,ROWS(bibliotheek!$E$139:$E$165),FALSE)</f>
        <v>0</v>
      </c>
      <c r="AP133" s="379"/>
      <c r="AQ133" s="379"/>
      <c r="AR133" s="379"/>
      <c r="AS133" s="379"/>
      <c r="AT133" s="379"/>
      <c r="AU133" s="379"/>
      <c r="AV133" s="418"/>
      <c r="AW133" s="190"/>
      <c r="AX133" s="79"/>
      <c r="AY133" s="545">
        <f>HLOOKUP(IF(AY$83="",referentie_verwarming,AY$83),toestellen_RV,ROWS(bibliotheek!$E$83:$E$117),FALSE)</f>
        <v>0</v>
      </c>
      <c r="AZ133" s="545">
        <f>HLOOKUP(IF(AZ$83="",referentie_koeling,AZ$83),toestellen_KOEL,ROWS(bibliotheek!$E$190:$E$208),FALSE)</f>
        <v>0</v>
      </c>
      <c r="BA133" s="545">
        <f>HLOOKUP(IF(BA$83="",referentie_warmtapwater,BA$83),toestellen_TAP,ROWS(bibliotheek!$E$139:$E$165),FALSE)</f>
        <v>0</v>
      </c>
      <c r="BB133" s="379"/>
      <c r="BC133" s="379"/>
      <c r="BD133" s="379"/>
      <c r="BE133" s="379"/>
      <c r="BF133" s="379"/>
      <c r="BG133" s="379"/>
      <c r="BH133" s="210"/>
    </row>
    <row r="134" spans="1:60">
      <c r="A134" s="1040"/>
      <c r="B134" s="1109" t="s">
        <v>187</v>
      </c>
      <c r="C134" s="1107" t="s">
        <v>118</v>
      </c>
      <c r="D134" s="638"/>
      <c r="E134" s="291" t="s">
        <v>214</v>
      </c>
      <c r="F134" s="254"/>
      <c r="G134" s="254"/>
      <c r="H134" s="291" t="s">
        <v>65</v>
      </c>
      <c r="I134" s="77"/>
      <c r="J134" s="289"/>
      <c r="K134" s="77"/>
      <c r="L134" s="77"/>
      <c r="M134" s="289"/>
      <c r="N134" s="79"/>
      <c r="O134" s="384">
        <f>IF(HLOOKUP(IF(O$83="",referentie_verwarming,O$83),toestellen_RV,ROWS(bibliotheek!$E$83:$E$101),FALSE)=0,0,IF(O135&lt;&gt;"",O135,HLOOKUP(IF(O$83="",referentie_verwarming,O$83),toestellen_RV,ROWS(bibliotheek!$E$83:$E$101),FALSE)))</f>
        <v>0</v>
      </c>
      <c r="P134" s="384">
        <f>IF(HLOOKUP(IF(P$83="",referentie_koeling,P$83),toestellen_KOEL,ROWS(bibliotheek!$E$190:$E$201),FALSE)=0,0,IF(P135&lt;&gt;"",P135,HLOOKUP(IF(P$83="",referentie_koeling,P$83),toestellen_KOEL,ROWS(bibliotheek!$E$190:$E$201),FALSE)))</f>
        <v>0</v>
      </c>
      <c r="Q134" s="384">
        <f>IF(HLOOKUP(IF(Q$83="",referentie_warmtapwater,Q$83),toestellen_TAP,ROWS(bibliotheek!$E$139:$E$157),FALSE)=0,0,IF(Q135&lt;&gt;"",Q135,HLOOKUP(IF(Q$83="",referentie_warmtapwater,Q$83),toestellen_TAP,ROWS(bibliotheek!$E$139:$E$157),FALSE)))</f>
        <v>0</v>
      </c>
      <c r="R134" s="139"/>
      <c r="S134" s="139"/>
      <c r="T134" s="139"/>
      <c r="U134" s="139"/>
      <c r="V134" s="139"/>
      <c r="W134" s="139"/>
      <c r="X134" s="111"/>
      <c r="Y134" s="289"/>
      <c r="Z134" s="79"/>
      <c r="AA134" s="384">
        <f>IF(HLOOKUP(IF(AA$83="",referentie_verwarming,AA$83),toestellen_RV,ROWS(bibliotheek!$E$83:$E$101),FALSE)=0,0,IF(AA135&lt;&gt;"",AA135,HLOOKUP(IF(AA$83="",referentie_verwarming,AA$83),toestellen_RV,ROWS(bibliotheek!$E$83:$E$101),FALSE)))</f>
        <v>0</v>
      </c>
      <c r="AB134" s="384">
        <f>IF(HLOOKUP(IF(AB$83="",referentie_koeling,AB$83),toestellen_KOEL,ROWS(bibliotheek!$E$190:$E$201),FALSE)=0,0,IF(AB135&lt;&gt;"",AB135,HLOOKUP(IF(AB$83="",referentie_koeling,AB$83),toestellen_KOEL,ROWS(bibliotheek!$E$190:$E$201),FALSE)))</f>
        <v>0</v>
      </c>
      <c r="AC134" s="384">
        <f>IF(HLOOKUP(IF(AC$83="",referentie_warmtapwater,AC$83),toestellen_TAP,ROWS(bibliotheek!$E$139:$E$157),FALSE)=0,0,IF(AC135&lt;&gt;"",AC135,HLOOKUP(IF(AC$83="",referentie_warmtapwater,AC$83),toestellen_TAP,ROWS(bibliotheek!$E$139:$E$157),FALSE)))</f>
        <v>0</v>
      </c>
      <c r="AD134" s="139"/>
      <c r="AE134" s="139"/>
      <c r="AF134" s="139"/>
      <c r="AG134" s="139"/>
      <c r="AH134" s="139"/>
      <c r="AI134" s="139"/>
      <c r="AJ134" s="111"/>
      <c r="AK134" s="289"/>
      <c r="AL134" s="79"/>
      <c r="AM134" s="384">
        <f>IF(HLOOKUP(IF(AM$83="",referentie_verwarming,AM$83),toestellen_RV,ROWS(bibliotheek!$E$83:$E$101),FALSE)=0,0,IF(AM135&lt;&gt;"",AM135,HLOOKUP(IF(AM$83="",referentie_verwarming,AM$83),toestellen_RV,ROWS(bibliotheek!$E$83:$E$101),FALSE)))</f>
        <v>0</v>
      </c>
      <c r="AN134" s="384">
        <f>IF(HLOOKUP(IF(AN$83="",referentie_koeling,AN$83),toestellen_KOEL,ROWS(bibliotheek!$E$190:$E$201),FALSE)=0,0,IF(AN135&lt;&gt;"",AN135,HLOOKUP(IF(AN$83="",referentie_koeling,AN$83),toestellen_KOEL,ROWS(bibliotheek!$E$190:$E$201),FALSE)))</f>
        <v>0</v>
      </c>
      <c r="AO134" s="384">
        <f>IF(HLOOKUP(IF(AO$83="",referentie_warmtapwater,AO$83),toestellen_TAP,ROWS(bibliotheek!$E$139:$E$157),FALSE)=0,0,IF(AO135&lt;&gt;"",AO135,HLOOKUP(IF(AO$83="",referentie_warmtapwater,AO$83),toestellen_TAP,ROWS(bibliotheek!$E$139:$E$157),FALSE)))</f>
        <v>0</v>
      </c>
      <c r="AP134" s="139"/>
      <c r="AQ134" s="139"/>
      <c r="AR134" s="139"/>
      <c r="AS134" s="139"/>
      <c r="AT134" s="139"/>
      <c r="AU134" s="139"/>
      <c r="AV134" s="111"/>
      <c r="AW134" s="289"/>
      <c r="AX134" s="79"/>
      <c r="AY134" s="384">
        <f>IF(HLOOKUP(IF(AY$83="",referentie_verwarming,AY$83),toestellen_RV,ROWS(bibliotheek!$E$83:$E$101),FALSE)=0,0,IF(AY135&lt;&gt;"",AY135,HLOOKUP(IF(AY$83="",referentie_verwarming,AY$83),toestellen_RV,ROWS(bibliotheek!$E$83:$E$101),FALSE)))</f>
        <v>0</v>
      </c>
      <c r="AZ134" s="384">
        <f>IF(HLOOKUP(IF(AZ$83="",referentie_koeling,AZ$83),toestellen_KOEL,ROWS(bibliotheek!$E$190:$E$201),FALSE)=0,0,IF(AZ135&lt;&gt;"",AZ135,HLOOKUP(IF(AZ$83="",referentie_koeling,AZ$83),toestellen_KOEL,ROWS(bibliotheek!$E$190:$E$201),FALSE)))</f>
        <v>0</v>
      </c>
      <c r="BA134" s="384">
        <f>IF(HLOOKUP(IF(BA$83="",referentie_warmtapwater,BA$83),toestellen_TAP,ROWS(bibliotheek!$E$139:$E$157),FALSE)=0,0,IF(BA135&lt;&gt;"",BA135,HLOOKUP(IF(BA$83="",referentie_warmtapwater,BA$83),toestellen_TAP,ROWS(bibliotheek!$E$139:$E$157),FALSE)))</f>
        <v>0</v>
      </c>
      <c r="BB134" s="139"/>
      <c r="BC134" s="139"/>
      <c r="BD134" s="139"/>
      <c r="BE134" s="139"/>
      <c r="BF134" s="139"/>
      <c r="BG134" s="139"/>
      <c r="BH134" s="174"/>
    </row>
    <row r="135" spans="1:60">
      <c r="A135" s="1040"/>
      <c r="B135" s="1109" t="s">
        <v>187</v>
      </c>
      <c r="C135" s="1107" t="s">
        <v>118</v>
      </c>
      <c r="D135" s="638"/>
      <c r="E135" s="1218" t="s">
        <v>215</v>
      </c>
      <c r="F135" s="255"/>
      <c r="G135" s="255"/>
      <c r="H135" s="292"/>
      <c r="I135" s="77"/>
      <c r="J135" s="299"/>
      <c r="K135" s="77"/>
      <c r="L135" s="77"/>
      <c r="M135" s="198"/>
      <c r="N135" s="79"/>
      <c r="O135" s="275"/>
      <c r="P135" s="617"/>
      <c r="Q135" s="275"/>
      <c r="R135" s="140"/>
      <c r="S135" s="140"/>
      <c r="T135" s="140"/>
      <c r="U135" s="140"/>
      <c r="V135" s="140"/>
      <c r="W135" s="140"/>
      <c r="X135" s="76"/>
      <c r="Y135" s="198"/>
      <c r="Z135" s="79"/>
      <c r="AA135" s="275"/>
      <c r="AB135" s="617"/>
      <c r="AC135" s="275"/>
      <c r="AD135" s="140"/>
      <c r="AE135" s="140"/>
      <c r="AF135" s="140"/>
      <c r="AG135" s="140"/>
      <c r="AH135" s="140"/>
      <c r="AI135" s="140"/>
      <c r="AJ135" s="76"/>
      <c r="AK135" s="198"/>
      <c r="AL135" s="79"/>
      <c r="AM135" s="275"/>
      <c r="AN135" s="617"/>
      <c r="AO135" s="275"/>
      <c r="AP135" s="140"/>
      <c r="AQ135" s="140"/>
      <c r="AR135" s="140"/>
      <c r="AS135" s="140"/>
      <c r="AT135" s="140"/>
      <c r="AU135" s="140"/>
      <c r="AV135" s="76"/>
      <c r="AW135" s="198"/>
      <c r="AX135" s="79"/>
      <c r="AY135" s="275"/>
      <c r="AZ135" s="617"/>
      <c r="BA135" s="275"/>
      <c r="BB135" s="140"/>
      <c r="BC135" s="140"/>
      <c r="BD135" s="140"/>
      <c r="BE135" s="140"/>
      <c r="BF135" s="140"/>
      <c r="BG135" s="140"/>
      <c r="BH135" s="174"/>
    </row>
    <row r="136" spans="1:60">
      <c r="A136" s="1040"/>
      <c r="B136" s="1109" t="s">
        <v>187</v>
      </c>
      <c r="C136" s="1107" t="s">
        <v>96</v>
      </c>
      <c r="D136" s="638"/>
      <c r="E136" s="79"/>
      <c r="F136" s="79"/>
      <c r="G136" s="79"/>
      <c r="H136" s="85"/>
      <c r="I136" s="79"/>
      <c r="J136" s="82"/>
      <c r="K136" s="79"/>
      <c r="L136" s="79"/>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1"/>
    </row>
    <row r="137" spans="1:60">
      <c r="A137" s="1040"/>
      <c r="B137" s="1109" t="s">
        <v>216</v>
      </c>
      <c r="C137" s="1107" t="s">
        <v>96</v>
      </c>
      <c r="D137" s="638"/>
      <c r="E137" s="79"/>
      <c r="F137" s="79"/>
      <c r="G137" s="79"/>
      <c r="H137" s="85"/>
      <c r="I137" s="79"/>
      <c r="J137" s="82"/>
      <c r="K137" s="79"/>
      <c r="L137" s="79"/>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1"/>
    </row>
    <row r="138" spans="1:60" ht="21">
      <c r="A138" s="1040"/>
      <c r="B138" s="1109" t="s">
        <v>216</v>
      </c>
      <c r="C138" s="1106" t="s">
        <v>96</v>
      </c>
      <c r="D138" s="641" t="s">
        <v>45</v>
      </c>
      <c r="E138" s="199" t="s">
        <v>217</v>
      </c>
      <c r="F138" s="199"/>
      <c r="G138" s="199"/>
      <c r="H138" s="199"/>
      <c r="I138" s="77"/>
      <c r="J138" s="200" t="str">
        <f>J$10</f>
        <v>alle locaties</v>
      </c>
      <c r="K138" s="126"/>
      <c r="L138" s="126"/>
      <c r="M138" s="200" t="str">
        <f>M$10</f>
        <v>locatie 1</v>
      </c>
      <c r="N138" s="182"/>
      <c r="O138" s="966" t="str">
        <f>$E138&amp;" per energiepost"</f>
        <v>installatie niet-preferent toestel per energiepost</v>
      </c>
      <c r="P138" s="941"/>
      <c r="Q138" s="941"/>
      <c r="R138" s="941"/>
      <c r="S138" s="941"/>
      <c r="T138" s="941"/>
      <c r="U138" s="941"/>
      <c r="V138" s="941"/>
      <c r="W138" s="956"/>
      <c r="X138" s="174"/>
      <c r="Y138" s="200" t="str">
        <f>Y$10</f>
        <v>locatie 2</v>
      </c>
      <c r="Z138" s="182"/>
      <c r="AA138" s="966" t="str">
        <f>$E138&amp;" per energiepost"</f>
        <v>installatie niet-preferent toestel per energiepost</v>
      </c>
      <c r="AB138" s="941"/>
      <c r="AC138" s="941"/>
      <c r="AD138" s="941"/>
      <c r="AE138" s="941"/>
      <c r="AF138" s="941"/>
      <c r="AG138" s="941"/>
      <c r="AH138" s="941"/>
      <c r="AI138" s="956"/>
      <c r="AJ138" s="174"/>
      <c r="AK138" s="200" t="str">
        <f>AK$10</f>
        <v>locatie 3</v>
      </c>
      <c r="AL138" s="182"/>
      <c r="AM138" s="966" t="str">
        <f>$E138&amp;" per energiepost"</f>
        <v>installatie niet-preferent toestel per energiepost</v>
      </c>
      <c r="AN138" s="941"/>
      <c r="AO138" s="941"/>
      <c r="AP138" s="941"/>
      <c r="AQ138" s="941"/>
      <c r="AR138" s="941"/>
      <c r="AS138" s="941"/>
      <c r="AT138" s="941"/>
      <c r="AU138" s="956"/>
      <c r="AV138" s="174"/>
      <c r="AW138" s="200" t="str">
        <f>AW$10</f>
        <v>locatie 4</v>
      </c>
      <c r="AX138" s="182"/>
      <c r="AY138" s="966" t="str">
        <f>$E138&amp;" per energiepost"</f>
        <v>installatie niet-preferent toestel per energiepost</v>
      </c>
      <c r="AZ138" s="941"/>
      <c r="BA138" s="941"/>
      <c r="BB138" s="941"/>
      <c r="BC138" s="941"/>
      <c r="BD138" s="941"/>
      <c r="BE138" s="941"/>
      <c r="BF138" s="941"/>
      <c r="BG138" s="956"/>
      <c r="BH138" s="1"/>
    </row>
    <row r="139" spans="1:60">
      <c r="A139" s="1040"/>
      <c r="B139" s="1109" t="s">
        <v>216</v>
      </c>
      <c r="C139" s="1106" t="s">
        <v>96</v>
      </c>
      <c r="D139" s="638"/>
      <c r="E139" s="940" t="s">
        <v>192</v>
      </c>
      <c r="F139" s="940"/>
      <c r="G139" s="940"/>
      <c r="H139" s="940"/>
      <c r="I139" s="77"/>
      <c r="J139" s="939"/>
      <c r="K139" s="126"/>
      <c r="L139" s="126"/>
      <c r="M139" s="938"/>
      <c r="N139" s="191"/>
      <c r="O139" s="177" t="str">
        <f>O$10</f>
        <v>verwarming</v>
      </c>
      <c r="P139" s="177" t="str">
        <f>P$10</f>
        <v>koeling</v>
      </c>
      <c r="Q139" s="177" t="str">
        <f>Q$10</f>
        <v>tapwater</v>
      </c>
      <c r="R139" s="177"/>
      <c r="S139" s="177"/>
      <c r="T139" s="177"/>
      <c r="U139" s="177"/>
      <c r="V139" s="177"/>
      <c r="W139" s="177"/>
      <c r="X139" s="191"/>
      <c r="Y139" s="938"/>
      <c r="Z139" s="191"/>
      <c r="AA139" s="177" t="str">
        <f>AA$10</f>
        <v>verwarming</v>
      </c>
      <c r="AB139" s="177" t="str">
        <f>AB$10</f>
        <v>koeling</v>
      </c>
      <c r="AC139" s="177" t="str">
        <f>AC$10</f>
        <v>tapwater</v>
      </c>
      <c r="AD139" s="177"/>
      <c r="AE139" s="177"/>
      <c r="AF139" s="177"/>
      <c r="AG139" s="177"/>
      <c r="AH139" s="177"/>
      <c r="AI139" s="177"/>
      <c r="AJ139" s="191"/>
      <c r="AK139" s="938"/>
      <c r="AL139" s="191"/>
      <c r="AM139" s="177" t="str">
        <f>AM$10</f>
        <v>verwarming</v>
      </c>
      <c r="AN139" s="177" t="str">
        <f>AN$10</f>
        <v>koeling</v>
      </c>
      <c r="AO139" s="177" t="str">
        <f>AO$10</f>
        <v>tapwater</v>
      </c>
      <c r="AP139" s="177"/>
      <c r="AQ139" s="177"/>
      <c r="AR139" s="177"/>
      <c r="AS139" s="177"/>
      <c r="AT139" s="177"/>
      <c r="AU139" s="177"/>
      <c r="AV139" s="191"/>
      <c r="AW139" s="938"/>
      <c r="AX139" s="191"/>
      <c r="AY139" s="177" t="str">
        <f>AY$10</f>
        <v>verwarming</v>
      </c>
      <c r="AZ139" s="177" t="str">
        <f>AZ$10</f>
        <v>koeling</v>
      </c>
      <c r="BA139" s="177" t="str">
        <f>BA$10</f>
        <v>tapwater</v>
      </c>
      <c r="BB139" s="177"/>
      <c r="BC139" s="177"/>
      <c r="BD139" s="177"/>
      <c r="BE139" s="177"/>
      <c r="BF139" s="177"/>
      <c r="BG139" s="177"/>
      <c r="BH139" s="36"/>
    </row>
    <row r="140" spans="1:60" ht="25.5">
      <c r="A140" s="1040"/>
      <c r="B140" s="1109" t="s">
        <v>216</v>
      </c>
      <c r="C140" s="1107" t="s">
        <v>118</v>
      </c>
      <c r="D140" s="638"/>
      <c r="E140" s="264" t="s">
        <v>218</v>
      </c>
      <c r="F140" s="264"/>
      <c r="G140" s="264"/>
      <c r="H140" s="265" t="s">
        <v>65</v>
      </c>
      <c r="I140" s="103"/>
      <c r="J140" s="268"/>
      <c r="K140" s="103"/>
      <c r="L140" s="103"/>
      <c r="M140" s="268" t="str">
        <f>IF(OR(M$11=0,O143=0),"-","RV: "&amp;O140)</f>
        <v>-</v>
      </c>
      <c r="N140" s="120"/>
      <c r="O140" s="283" t="str">
        <f>IF(O$108=1,geen,HLOOKUP(IF(O$83="",referentie_verwarming,O$83),toestellen_RV,ROWS(bibliotheek!$E$83:$E$104),FALSE))</f>
        <v>elektrisch element</v>
      </c>
      <c r="P140" s="283" t="str">
        <f>IF(OR(P$104=geen,P$108=1),geen,HLOOKUP(IF(P$83="",referentie_koeling,P$83),toestellen_KOEL,ROWS(bibliotheek!$E$190:$E$203),FALSE))</f>
        <v>geen</v>
      </c>
      <c r="Q140" s="283" t="str">
        <f>IF(Q108=1,geen,HLOOKUP(IF(Q$83="",referentie_warmtapwater,Q$83),toestellen_TAP,ROWS(bibliotheek!$E$139:$E$160),FALSE))</f>
        <v>elektrisch element</v>
      </c>
      <c r="R140" s="269"/>
      <c r="S140" s="269"/>
      <c r="T140" s="269"/>
      <c r="U140" s="269"/>
      <c r="V140" s="269"/>
      <c r="W140" s="269"/>
      <c r="X140" s="115"/>
      <c r="Y140" s="268" t="str">
        <f>IF(OR(Y$11=0,AA143=0),"-","RV: "&amp;AA140)</f>
        <v>-</v>
      </c>
      <c r="Z140" s="120"/>
      <c r="AA140" s="283" t="str">
        <f>IF(AA$108=1,geen,HLOOKUP(IF(AA$83="",referentie_verwarming,AA$83),toestellen_RV,ROWS(bibliotheek!$E$83:$E$104),FALSE))</f>
        <v>elektrisch element</v>
      </c>
      <c r="AB140" s="283" t="str">
        <f>IF(OR(AB$104=geen,AB$108=1),geen,HLOOKUP(IF(AB$83="",referentie_koeling,AB$83),toestellen_KOEL,ROWS(bibliotheek!$E$190:$E$203),FALSE))</f>
        <v>geen</v>
      </c>
      <c r="AC140" s="283" t="str">
        <f>IF(AC108=1,geen,HLOOKUP(IF(AC$83="",referentie_warmtapwater,AC$83),toestellen_TAP,ROWS(bibliotheek!$E$139:$E$160),FALSE))</f>
        <v>elektrisch element</v>
      </c>
      <c r="AD140" s="269"/>
      <c r="AE140" s="269"/>
      <c r="AF140" s="269"/>
      <c r="AG140" s="269"/>
      <c r="AH140" s="269"/>
      <c r="AI140" s="269"/>
      <c r="AJ140" s="115"/>
      <c r="AK140" s="268" t="str">
        <f>IF(OR(AK$11=0,AM143=0),"-","RV: "&amp;AM140)</f>
        <v>-</v>
      </c>
      <c r="AL140" s="120"/>
      <c r="AM140" s="283" t="str">
        <f>IF(AM$108=1,geen,HLOOKUP(IF(AM$83="",referentie_verwarming,AM$83),toestellen_RV,ROWS(bibliotheek!$E$83:$E$104),FALSE))</f>
        <v>elektrisch element</v>
      </c>
      <c r="AN140" s="283" t="str">
        <f>IF(OR(AN$104=geen,AN$108=1),geen,HLOOKUP(IF(AN$83="",referentie_koeling,AN$83),toestellen_KOEL,ROWS(bibliotheek!$E$190:$E$203),FALSE))</f>
        <v>geen</v>
      </c>
      <c r="AO140" s="283" t="str">
        <f>IF(AO108=1,geen,HLOOKUP(IF(AO$83="",referentie_warmtapwater,AO$83),toestellen_TAP,ROWS(bibliotheek!$E$139:$E$160),FALSE))</f>
        <v>elektrisch element</v>
      </c>
      <c r="AP140" s="269"/>
      <c r="AQ140" s="269"/>
      <c r="AR140" s="269"/>
      <c r="AS140" s="269"/>
      <c r="AT140" s="269"/>
      <c r="AU140" s="269"/>
      <c r="AV140" s="115"/>
      <c r="AW140" s="268" t="str">
        <f>IF(OR(AW$11=0,AY143=0),"-","RV: "&amp;AY140)</f>
        <v>-</v>
      </c>
      <c r="AX140" s="120"/>
      <c r="AY140" s="283" t="str">
        <f>IF(AY$108=1,geen,HLOOKUP(IF(AY$83="",referentie_verwarming,AY$83),toestellen_RV,ROWS(bibliotheek!$E$83:$E$104),FALSE))</f>
        <v>elektrisch element</v>
      </c>
      <c r="AZ140" s="283" t="str">
        <f>IF(OR(AZ$104=geen,AZ$108=1),geen,HLOOKUP(IF(AZ$83="",referentie_koeling,AZ$83),toestellen_KOEL,ROWS(bibliotheek!$E$190:$E$203),FALSE))</f>
        <v>geen</v>
      </c>
      <c r="BA140" s="283" t="str">
        <f>IF(BA108=1,geen,HLOOKUP(IF(BA$83="",referentie_warmtapwater,BA$83),toestellen_TAP,ROWS(bibliotheek!$E$139:$E$160),FALSE))</f>
        <v>elektrisch element</v>
      </c>
      <c r="BB140" s="269"/>
      <c r="BC140" s="269"/>
      <c r="BD140" s="269"/>
      <c r="BE140" s="269"/>
      <c r="BF140" s="269"/>
      <c r="BG140" s="269"/>
      <c r="BH140" s="221"/>
    </row>
    <row r="141" spans="1:60" hidden="1">
      <c r="A141" s="1040"/>
      <c r="B141" s="1109" t="s">
        <v>216</v>
      </c>
      <c r="C141" s="1107" t="s">
        <v>181</v>
      </c>
      <c r="D141" s="638"/>
      <c r="E141" s="180" t="s">
        <v>190</v>
      </c>
      <c r="F141" s="180"/>
      <c r="G141" s="180"/>
      <c r="H141" s="181" t="s">
        <v>65</v>
      </c>
      <c r="I141" s="79"/>
      <c r="J141" s="190"/>
      <c r="K141" s="79"/>
      <c r="L141" s="79"/>
      <c r="M141" s="190"/>
      <c r="N141" s="114"/>
      <c r="O141" s="284" t="str">
        <f>IF(O140=geen,nvt,HLOOKUP(IF(O$83="",referentie_verwarming,O$83),toestellen_RV,ROWS(bibliotheek!$E$83:$E$105),FALSE))</f>
        <v>elektriciteit</v>
      </c>
      <c r="P141" s="169" t="str">
        <f>IF(P140=geen,nvt,HLOOKUP(IF(P$83="",referentie_koeling,P$83),toestellen_KOEL,ROWS(bibliotheek!$E$190:$E$204),FALSE))</f>
        <v>nvt</v>
      </c>
      <c r="Q141" s="227" t="str">
        <f>IF(Q140=geen,nvt,HLOOKUP(IF(Q$83="",referentie_warmtapwater,Q$83),toestellen_TAP,ROWS(bibliotheek!$E$139:$E$161),FALSE))</f>
        <v>elektriciteit</v>
      </c>
      <c r="R141" s="270"/>
      <c r="S141" s="270"/>
      <c r="T141" s="270"/>
      <c r="U141" s="270"/>
      <c r="V141" s="270"/>
      <c r="W141" s="270"/>
      <c r="X141" s="108"/>
      <c r="Y141" s="190"/>
      <c r="Z141" s="114"/>
      <c r="AA141" s="284" t="str">
        <f>IF(AA140=geen,nvt,HLOOKUP(IF(AA$83="",referentie_verwarming,AA$83),toestellen_RV,ROWS(bibliotheek!$E$83:$E$105),FALSE))</f>
        <v>elektriciteit</v>
      </c>
      <c r="AB141" s="169" t="str">
        <f>IF(AB140=geen,nvt,HLOOKUP(IF(AB$83="",referentie_koeling,AB$83),toestellen_KOEL,ROWS(bibliotheek!$E$190:$E$204),FALSE))</f>
        <v>nvt</v>
      </c>
      <c r="AC141" s="227" t="str">
        <f>IF(AC140=geen,nvt,HLOOKUP(IF(AC$83="",referentie_warmtapwater,AC$83),toestellen_TAP,ROWS(bibliotheek!$E$139:$E$161),FALSE))</f>
        <v>elektriciteit</v>
      </c>
      <c r="AD141" s="270"/>
      <c r="AE141" s="270"/>
      <c r="AF141" s="270"/>
      <c r="AG141" s="270"/>
      <c r="AH141" s="270"/>
      <c r="AI141" s="270"/>
      <c r="AJ141" s="108"/>
      <c r="AK141" s="190"/>
      <c r="AL141" s="114"/>
      <c r="AM141" s="284" t="str">
        <f>IF(AM140=geen,nvt,HLOOKUP(IF(AM$83="",referentie_verwarming,AM$83),toestellen_RV,ROWS(bibliotheek!$E$83:$E$105),FALSE))</f>
        <v>elektriciteit</v>
      </c>
      <c r="AN141" s="169" t="str">
        <f>IF(AN140=geen,nvt,HLOOKUP(IF(AN$83="",referentie_koeling,AN$83),toestellen_KOEL,ROWS(bibliotheek!$E$190:$E$204),FALSE))</f>
        <v>nvt</v>
      </c>
      <c r="AO141" s="227" t="str">
        <f>IF(AO140=geen,nvt,HLOOKUP(IF(AO$83="",referentie_warmtapwater,AO$83),toestellen_TAP,ROWS(bibliotheek!$E$139:$E$161),FALSE))</f>
        <v>elektriciteit</v>
      </c>
      <c r="AP141" s="270"/>
      <c r="AQ141" s="270"/>
      <c r="AR141" s="270"/>
      <c r="AS141" s="270"/>
      <c r="AT141" s="270"/>
      <c r="AU141" s="270"/>
      <c r="AV141" s="108"/>
      <c r="AW141" s="190"/>
      <c r="AX141" s="114"/>
      <c r="AY141" s="284" t="str">
        <f>IF(AY140=geen,nvt,HLOOKUP(IF(AY$83="",referentie_verwarming,AY$83),toestellen_RV,ROWS(bibliotheek!$E$83:$E$105),FALSE))</f>
        <v>elektriciteit</v>
      </c>
      <c r="AZ141" s="169" t="str">
        <f>IF(AZ140=geen,nvt,HLOOKUP(IF(AZ$83="",referentie_koeling,AZ$83),toestellen_KOEL,ROWS(bibliotheek!$E$190:$E$204),FALSE))</f>
        <v>nvt</v>
      </c>
      <c r="BA141" s="227" t="str">
        <f>IF(BA140=geen,nvt,HLOOKUP(IF(BA$83="",referentie_warmtapwater,BA$83),toestellen_TAP,ROWS(bibliotheek!$E$139:$E$161),FALSE))</f>
        <v>elektriciteit</v>
      </c>
      <c r="BB141" s="270"/>
      <c r="BC141" s="270"/>
      <c r="BD141" s="270"/>
      <c r="BE141" s="270"/>
      <c r="BF141" s="270"/>
      <c r="BG141" s="270"/>
      <c r="BH141" s="174"/>
    </row>
    <row r="142" spans="1:60" hidden="1">
      <c r="A142" s="1040"/>
      <c r="B142" s="1109" t="s">
        <v>216</v>
      </c>
      <c r="C142" s="1106" t="s">
        <v>181</v>
      </c>
      <c r="D142" s="638"/>
      <c r="E142" s="181" t="s">
        <v>191</v>
      </c>
      <c r="F142" s="180"/>
      <c r="G142" s="180"/>
      <c r="H142" s="181" t="s">
        <v>65</v>
      </c>
      <c r="I142" s="129"/>
      <c r="J142" s="190"/>
      <c r="K142" s="1058"/>
      <c r="L142" s="1058"/>
      <c r="M142" s="190"/>
      <c r="N142" s="114"/>
      <c r="O142" s="284" t="str">
        <f>INDEX(energiedragers_index_fPren,MATCH(O141,energiedragers_namen,0))</f>
        <v>nren</v>
      </c>
      <c r="P142" s="169" t="str">
        <f>INDEX(energiedragers_index_fPren,MATCH(P141,energiedragers_namen,0))</f>
        <v>nren</v>
      </c>
      <c r="Q142" s="227" t="str">
        <f>INDEX(energiedragers_index_fPren,MATCH(Q141,energiedragers_namen,0))</f>
        <v>nren</v>
      </c>
      <c r="R142" s="271"/>
      <c r="S142" s="271"/>
      <c r="T142" s="271"/>
      <c r="U142" s="271"/>
      <c r="V142" s="271"/>
      <c r="W142" s="271"/>
      <c r="X142" s="741"/>
      <c r="Y142" s="190"/>
      <c r="Z142" s="114"/>
      <c r="AA142" s="284" t="str">
        <f>INDEX(energiedragers_index_fPren,MATCH(AA141,energiedragers_namen,0))</f>
        <v>nren</v>
      </c>
      <c r="AB142" s="169" t="str">
        <f>INDEX(energiedragers_index_fPren,MATCH(AB141,energiedragers_namen,0))</f>
        <v>nren</v>
      </c>
      <c r="AC142" s="227" t="str">
        <f>INDEX(energiedragers_index_fPren,MATCH(AC141,energiedragers_namen,0))</f>
        <v>nren</v>
      </c>
      <c r="AD142" s="271"/>
      <c r="AE142" s="271"/>
      <c r="AF142" s="271"/>
      <c r="AG142" s="271"/>
      <c r="AH142" s="271"/>
      <c r="AI142" s="271"/>
      <c r="AJ142" s="741"/>
      <c r="AK142" s="190"/>
      <c r="AL142" s="114"/>
      <c r="AM142" s="284" t="str">
        <f>INDEX(energiedragers_index_fPren,MATCH(AM141,energiedragers_namen,0))</f>
        <v>nren</v>
      </c>
      <c r="AN142" s="169" t="str">
        <f>INDEX(energiedragers_index_fPren,MATCH(AN141,energiedragers_namen,0))</f>
        <v>nren</v>
      </c>
      <c r="AO142" s="227" t="str">
        <f>INDEX(energiedragers_index_fPren,MATCH(AO141,energiedragers_namen,0))</f>
        <v>nren</v>
      </c>
      <c r="AP142" s="271"/>
      <c r="AQ142" s="271"/>
      <c r="AR142" s="271"/>
      <c r="AS142" s="271"/>
      <c r="AT142" s="271"/>
      <c r="AU142" s="271"/>
      <c r="AV142" s="741"/>
      <c r="AW142" s="190"/>
      <c r="AX142" s="114"/>
      <c r="AY142" s="284" t="str">
        <f>INDEX(energiedragers_index_fPren,MATCH(AY141,energiedragers_namen,0))</f>
        <v>nren</v>
      </c>
      <c r="AZ142" s="169" t="str">
        <f>INDEX(energiedragers_index_fPren,MATCH(AZ141,energiedragers_namen,0))</f>
        <v>nren</v>
      </c>
      <c r="BA142" s="227" t="str">
        <f>INDEX(energiedragers_index_fPren,MATCH(BA141,energiedragers_namen,0))</f>
        <v>nren</v>
      </c>
      <c r="BB142" s="271"/>
      <c r="BC142" s="271"/>
      <c r="BD142" s="271"/>
      <c r="BE142" s="271"/>
      <c r="BF142" s="271"/>
      <c r="BG142" s="271"/>
      <c r="BH142" s="219"/>
    </row>
    <row r="143" spans="1:60" hidden="1">
      <c r="A143" s="1040"/>
      <c r="B143" s="1109" t="s">
        <v>216</v>
      </c>
      <c r="C143" s="1107" t="s">
        <v>181</v>
      </c>
      <c r="D143" s="638"/>
      <c r="E143" s="180" t="s">
        <v>193</v>
      </c>
      <c r="F143" s="180"/>
      <c r="G143" s="180"/>
      <c r="H143" s="181" t="s">
        <v>65</v>
      </c>
      <c r="I143" s="79"/>
      <c r="J143" s="190"/>
      <c r="K143" s="103"/>
      <c r="L143" s="103"/>
      <c r="M143" s="190"/>
      <c r="N143" s="114"/>
      <c r="O143" s="285">
        <f>1-O108</f>
        <v>9.9999999999999978E-2</v>
      </c>
      <c r="P143" s="285">
        <f>1-P108</f>
        <v>0</v>
      </c>
      <c r="Q143" s="285">
        <f>1-Q108</f>
        <v>9.9999999999999978E-2</v>
      </c>
      <c r="R143" s="272"/>
      <c r="S143" s="272"/>
      <c r="T143" s="272"/>
      <c r="U143" s="272"/>
      <c r="V143" s="272"/>
      <c r="W143" s="272"/>
      <c r="X143" s="108"/>
      <c r="Y143" s="190"/>
      <c r="Z143" s="114"/>
      <c r="AA143" s="285">
        <f>1-AA108</f>
        <v>9.9999999999999978E-2</v>
      </c>
      <c r="AB143" s="285">
        <f>1-AB108</f>
        <v>0</v>
      </c>
      <c r="AC143" s="285">
        <f>1-AC108</f>
        <v>9.9999999999999978E-2</v>
      </c>
      <c r="AD143" s="272"/>
      <c r="AE143" s="272"/>
      <c r="AF143" s="272"/>
      <c r="AG143" s="272"/>
      <c r="AH143" s="272"/>
      <c r="AI143" s="272"/>
      <c r="AJ143" s="108"/>
      <c r="AK143" s="190"/>
      <c r="AL143" s="114"/>
      <c r="AM143" s="285">
        <f>1-AM108</f>
        <v>9.9999999999999978E-2</v>
      </c>
      <c r="AN143" s="285">
        <f>1-AN108</f>
        <v>0</v>
      </c>
      <c r="AO143" s="285">
        <f>1-AO108</f>
        <v>9.9999999999999978E-2</v>
      </c>
      <c r="AP143" s="272"/>
      <c r="AQ143" s="272"/>
      <c r="AR143" s="272"/>
      <c r="AS143" s="272"/>
      <c r="AT143" s="272"/>
      <c r="AU143" s="272"/>
      <c r="AV143" s="108"/>
      <c r="AW143" s="190"/>
      <c r="AX143" s="114"/>
      <c r="AY143" s="285">
        <f>1-AY108</f>
        <v>9.9999999999999978E-2</v>
      </c>
      <c r="AZ143" s="285">
        <f>1-AZ108</f>
        <v>0</v>
      </c>
      <c r="BA143" s="285">
        <f>1-BA108</f>
        <v>9.9999999999999978E-2</v>
      </c>
      <c r="BB143" s="272"/>
      <c r="BC143" s="272"/>
      <c r="BD143" s="272"/>
      <c r="BE143" s="272"/>
      <c r="BF143" s="272"/>
      <c r="BG143" s="272"/>
      <c r="BH143" s="174"/>
    </row>
    <row r="144" spans="1:60" hidden="1">
      <c r="A144" s="1040"/>
      <c r="B144" s="1109" t="s">
        <v>216</v>
      </c>
      <c r="C144" s="1107" t="s">
        <v>181</v>
      </c>
      <c r="D144" s="638"/>
      <c r="E144" s="180" t="s">
        <v>219</v>
      </c>
      <c r="F144" s="180"/>
      <c r="G144" s="180"/>
      <c r="H144" s="181" t="s">
        <v>160</v>
      </c>
      <c r="I144" s="79"/>
      <c r="J144" s="202">
        <f>M144+Y144+AK144+AW144</f>
        <v>0</v>
      </c>
      <c r="K144" s="243"/>
      <c r="L144" s="243"/>
      <c r="M144" s="202">
        <f>SUM(O144:X144)</f>
        <v>0</v>
      </c>
      <c r="N144" s="114"/>
      <c r="O144" s="168">
        <f>O$97*O143</f>
        <v>0</v>
      </c>
      <c r="P144" s="168">
        <f>P$97*P143</f>
        <v>0</v>
      </c>
      <c r="Q144" s="168">
        <f>Q$97*Q143</f>
        <v>0</v>
      </c>
      <c r="R144" s="273"/>
      <c r="S144" s="273"/>
      <c r="T144" s="273"/>
      <c r="U144" s="273"/>
      <c r="V144" s="273"/>
      <c r="W144" s="273"/>
      <c r="X144" s="106"/>
      <c r="Y144" s="202">
        <f>SUM(AA144:AJ144)</f>
        <v>0</v>
      </c>
      <c r="Z144" s="114"/>
      <c r="AA144" s="168">
        <f>AA$97*AA143</f>
        <v>0</v>
      </c>
      <c r="AB144" s="168">
        <f>AB$97*AB143</f>
        <v>0</v>
      </c>
      <c r="AC144" s="168">
        <f>AC$97*AC143</f>
        <v>0</v>
      </c>
      <c r="AD144" s="273"/>
      <c r="AE144" s="273"/>
      <c r="AF144" s="273"/>
      <c r="AG144" s="273"/>
      <c r="AH144" s="273"/>
      <c r="AI144" s="273"/>
      <c r="AJ144" s="106"/>
      <c r="AK144" s="202">
        <f>SUM(AM144:AV144)</f>
        <v>0</v>
      </c>
      <c r="AL144" s="114"/>
      <c r="AM144" s="168">
        <f>AM$97*AM143</f>
        <v>0</v>
      </c>
      <c r="AN144" s="168">
        <f>AN$97*AN143</f>
        <v>0</v>
      </c>
      <c r="AO144" s="168">
        <f>AO$97*AO143</f>
        <v>0</v>
      </c>
      <c r="AP144" s="273"/>
      <c r="AQ144" s="273"/>
      <c r="AR144" s="273"/>
      <c r="AS144" s="273"/>
      <c r="AT144" s="273"/>
      <c r="AU144" s="273"/>
      <c r="AV144" s="106"/>
      <c r="AW144" s="202">
        <f>SUM(AY144:BH144)</f>
        <v>0</v>
      </c>
      <c r="AX144" s="114"/>
      <c r="AY144" s="168">
        <f>AY$97*AY143</f>
        <v>0</v>
      </c>
      <c r="AZ144" s="168">
        <f>AZ$97*AZ143</f>
        <v>0</v>
      </c>
      <c r="BA144" s="168">
        <f>BA$97*BA143</f>
        <v>0</v>
      </c>
      <c r="BB144" s="273"/>
      <c r="BC144" s="273"/>
      <c r="BD144" s="273"/>
      <c r="BE144" s="273"/>
      <c r="BF144" s="273"/>
      <c r="BG144" s="273"/>
      <c r="BH144" s="210"/>
    </row>
    <row r="145" spans="1:60">
      <c r="A145" s="1040"/>
      <c r="B145" s="1109" t="s">
        <v>216</v>
      </c>
      <c r="C145" s="1106" t="s">
        <v>118</v>
      </c>
      <c r="D145" s="638"/>
      <c r="E145" s="254" t="s">
        <v>220</v>
      </c>
      <c r="F145" s="254"/>
      <c r="G145" s="254"/>
      <c r="H145" s="291" t="s">
        <v>65</v>
      </c>
      <c r="I145" s="79"/>
      <c r="J145" s="189"/>
      <c r="K145" s="79"/>
      <c r="L145" s="79"/>
      <c r="M145" s="189"/>
      <c r="N145" s="116"/>
      <c r="O145" s="349">
        <f>IF(O146&lt;&gt;"",O146,HLOOKUP(IF(O$83="",referentie_verwarming,O$83),toestellen_RV,ROWS(bibliotheek!$E$83:$E$107),FALSE))</f>
        <v>1</v>
      </c>
      <c r="P145" s="349">
        <f>IF(P146&lt;&gt;"",P146,HLOOKUP(IF(P$83="",referentie_koeling,P$83),toestellen_KOEL,ROWS(bibliotheek!$E$190:$E$206),FALSE))</f>
        <v>0</v>
      </c>
      <c r="Q145" s="349">
        <f>IF(Q146&lt;&gt;"",Q146,HLOOKUP(IF(Q$83="",referentie_warmtapwater,Q$83),toestellen_TAP,ROWS(bibliotheek!$E$139:$E$163),FALSE))</f>
        <v>1</v>
      </c>
      <c r="R145" s="350"/>
      <c r="S145" s="350"/>
      <c r="T145" s="350"/>
      <c r="U145" s="350"/>
      <c r="V145" s="350"/>
      <c r="W145" s="350"/>
      <c r="X145" s="351"/>
      <c r="Y145" s="352"/>
      <c r="Z145" s="114"/>
      <c r="AA145" s="349">
        <f>IF(AA146&lt;&gt;"",AA146,HLOOKUP(IF(AA$83="",referentie_verwarming,AA$83),toestellen_RV,ROWS(bibliotheek!$E$83:$E$107),FALSE))</f>
        <v>1</v>
      </c>
      <c r="AB145" s="349">
        <f>IF(AB146&lt;&gt;"",AB146,HLOOKUP(IF(AB$83="",referentie_koeling,AB$83),toestellen_KOEL,ROWS(bibliotheek!$E$190:$E$206),FALSE))</f>
        <v>0</v>
      </c>
      <c r="AC145" s="349">
        <f>IF(AC146&lt;&gt;"",AC146,HLOOKUP(IF(AC$83="",referentie_warmtapwater,AC$83),toestellen_TAP,ROWS(bibliotheek!$E$139:$E$163),FALSE))</f>
        <v>1</v>
      </c>
      <c r="AD145" s="350"/>
      <c r="AE145" s="350"/>
      <c r="AF145" s="350"/>
      <c r="AG145" s="350"/>
      <c r="AH145" s="350"/>
      <c r="AI145" s="350"/>
      <c r="AJ145" s="351"/>
      <c r="AK145" s="352"/>
      <c r="AL145" s="114"/>
      <c r="AM145" s="349">
        <f>IF(AM146&lt;&gt;"",AM146,HLOOKUP(IF(AM$83="",referentie_verwarming,AM$83),toestellen_RV,ROWS(bibliotheek!$E$83:$E$107),FALSE))</f>
        <v>1</v>
      </c>
      <c r="AN145" s="349">
        <f>IF(AN146&lt;&gt;"",AN146,HLOOKUP(IF(AN$83="",referentie_koeling,AN$83),toestellen_KOEL,ROWS(bibliotheek!$E$190:$E$206),FALSE))</f>
        <v>0</v>
      </c>
      <c r="AO145" s="349">
        <f>IF(AO146&lt;&gt;"",AO146,HLOOKUP(IF(AO$83="",referentie_warmtapwater,AO$83),toestellen_TAP,ROWS(bibliotheek!$E$139:$E$163),FALSE))</f>
        <v>1</v>
      </c>
      <c r="AP145" s="350"/>
      <c r="AQ145" s="350"/>
      <c r="AR145" s="350"/>
      <c r="AS145" s="350"/>
      <c r="AT145" s="350"/>
      <c r="AU145" s="350"/>
      <c r="AV145" s="351"/>
      <c r="AW145" s="352"/>
      <c r="AX145" s="114"/>
      <c r="AY145" s="349">
        <f>IF(AY146&lt;&gt;"",AY146,HLOOKUP(IF(AY$83="",referentie_verwarming,AY$83),toestellen_RV,ROWS(bibliotheek!$E$83:$E$107),FALSE))</f>
        <v>1</v>
      </c>
      <c r="AZ145" s="349">
        <f>IF(AZ146&lt;&gt;"",AZ146,HLOOKUP(IF(AZ$83="",referentie_koeling,AZ$83),toestellen_KOEL,ROWS(bibliotheek!$E$190:$E$206),FALSE))</f>
        <v>0</v>
      </c>
      <c r="BA145" s="349">
        <f>IF(BA146&lt;&gt;"",BA146,HLOOKUP(IF(BA$83="",referentie_warmtapwater,BA$83),toestellen_TAP,ROWS(bibliotheek!$E$139:$E$163),FALSE))</f>
        <v>1</v>
      </c>
      <c r="BB145" s="300"/>
      <c r="BC145" s="300"/>
      <c r="BD145" s="300"/>
      <c r="BE145" s="300"/>
      <c r="BF145" s="300"/>
      <c r="BG145" s="300"/>
      <c r="BH145" s="174"/>
    </row>
    <row r="146" spans="1:60">
      <c r="A146" s="1040"/>
      <c r="B146" s="1109" t="s">
        <v>216</v>
      </c>
      <c r="C146" s="1106" t="s">
        <v>118</v>
      </c>
      <c r="D146" s="638"/>
      <c r="E146" s="1218" t="s">
        <v>197</v>
      </c>
      <c r="F146" s="255"/>
      <c r="G146" s="255"/>
      <c r="H146" s="292"/>
      <c r="I146" s="79"/>
      <c r="J146" s="299"/>
      <c r="K146" s="79"/>
      <c r="L146" s="79"/>
      <c r="M146" s="198"/>
      <c r="N146" s="161"/>
      <c r="O146" s="628"/>
      <c r="P146" s="629"/>
      <c r="Q146" s="628"/>
      <c r="R146" s="630"/>
      <c r="S146" s="630"/>
      <c r="T146" s="630"/>
      <c r="U146" s="630"/>
      <c r="V146" s="630"/>
      <c r="W146" s="630"/>
      <c r="X146" s="348"/>
      <c r="Y146" s="631"/>
      <c r="Z146" s="114"/>
      <c r="AA146" s="628"/>
      <c r="AB146" s="629"/>
      <c r="AC146" s="628"/>
      <c r="AD146" s="630"/>
      <c r="AE146" s="630"/>
      <c r="AF146" s="630"/>
      <c r="AG146" s="630"/>
      <c r="AH146" s="630"/>
      <c r="AI146" s="630"/>
      <c r="AJ146" s="348"/>
      <c r="AK146" s="631"/>
      <c r="AL146" s="114"/>
      <c r="AM146" s="628"/>
      <c r="AN146" s="629"/>
      <c r="AO146" s="628"/>
      <c r="AP146" s="630"/>
      <c r="AQ146" s="630"/>
      <c r="AR146" s="630"/>
      <c r="AS146" s="630"/>
      <c r="AT146" s="630"/>
      <c r="AU146" s="630"/>
      <c r="AV146" s="348"/>
      <c r="AW146" s="631"/>
      <c r="AX146" s="114"/>
      <c r="AY146" s="628"/>
      <c r="AZ146" s="629"/>
      <c r="BA146" s="628"/>
      <c r="BB146" s="301"/>
      <c r="BC146" s="301"/>
      <c r="BD146" s="301"/>
      <c r="BE146" s="301"/>
      <c r="BF146" s="301"/>
      <c r="BG146" s="301"/>
      <c r="BH146" s="174"/>
    </row>
    <row r="147" spans="1:60" hidden="1">
      <c r="A147" s="1040"/>
      <c r="B147" s="1109" t="s">
        <v>216</v>
      </c>
      <c r="C147" s="1106" t="s">
        <v>181</v>
      </c>
      <c r="D147" s="638"/>
      <c r="E147" s="180" t="s">
        <v>221</v>
      </c>
      <c r="F147" s="180"/>
      <c r="G147" s="180"/>
      <c r="H147" s="181" t="s">
        <v>202</v>
      </c>
      <c r="I147" s="79"/>
      <c r="J147" s="202">
        <f>M147+Y147+AK147+AW147</f>
        <v>0</v>
      </c>
      <c r="K147" s="243"/>
      <c r="L147" s="243"/>
      <c r="M147" s="202">
        <f>SUM(O147:X147)</f>
        <v>0</v>
      </c>
      <c r="N147" s="114"/>
      <c r="O147" s="168">
        <f>IF(O$145=0,0,O$144/O$145)</f>
        <v>0</v>
      </c>
      <c r="P147" s="168">
        <f>IF(P$145=0,0,P$144/P$145)</f>
        <v>0</v>
      </c>
      <c r="Q147" s="168">
        <f>IF(Q$145=0,0,Q$144/Q$145)</f>
        <v>0</v>
      </c>
      <c r="R147" s="273"/>
      <c r="S147" s="273"/>
      <c r="T147" s="273"/>
      <c r="U147" s="273"/>
      <c r="V147" s="273"/>
      <c r="W147" s="273"/>
      <c r="X147" s="106"/>
      <c r="Y147" s="202">
        <f>SUM(AA147:AJ147)</f>
        <v>0</v>
      </c>
      <c r="Z147" s="114"/>
      <c r="AA147" s="168">
        <f>IF(AA$145=0,0,AA$144/AA$145)</f>
        <v>0</v>
      </c>
      <c r="AB147" s="168">
        <f>IF(AB$145=0,0,AB$144/AB$145)</f>
        <v>0</v>
      </c>
      <c r="AC147" s="168">
        <f>IF(AC$145=0,0,AC$144/AC$145)</f>
        <v>0</v>
      </c>
      <c r="AD147" s="273"/>
      <c r="AE147" s="273"/>
      <c r="AF147" s="273"/>
      <c r="AG147" s="273"/>
      <c r="AH147" s="273"/>
      <c r="AI147" s="273"/>
      <c r="AJ147" s="106"/>
      <c r="AK147" s="202">
        <f>SUM(AM147:AV147)</f>
        <v>0</v>
      </c>
      <c r="AL147" s="114"/>
      <c r="AM147" s="168">
        <f>IF(AM$145=0,0,AM$144/AM$145)</f>
        <v>0</v>
      </c>
      <c r="AN147" s="168">
        <f>IF(AN$145=0,0,AN$144/AN$145)</f>
        <v>0</v>
      </c>
      <c r="AO147" s="168">
        <f>IF(AO$145=0,0,AO$144/AO$145)</f>
        <v>0</v>
      </c>
      <c r="AP147" s="273"/>
      <c r="AQ147" s="273"/>
      <c r="AR147" s="273"/>
      <c r="AS147" s="273"/>
      <c r="AT147" s="273"/>
      <c r="AU147" s="273"/>
      <c r="AV147" s="106"/>
      <c r="AW147" s="202">
        <f>SUM(AY147:BH147)</f>
        <v>0</v>
      </c>
      <c r="AX147" s="114"/>
      <c r="AY147" s="168">
        <f>IF(AY$145=0,0,AY$144/AY$145)</f>
        <v>0</v>
      </c>
      <c r="AZ147" s="168">
        <f>IF(AZ$145=0,0,AZ$144/AZ$145)</f>
        <v>0</v>
      </c>
      <c r="BA147" s="168">
        <f>IF(BA$145=0,0,BA$144/BA$145)</f>
        <v>0</v>
      </c>
      <c r="BB147" s="273"/>
      <c r="BC147" s="273"/>
      <c r="BD147" s="273"/>
      <c r="BE147" s="273"/>
      <c r="BF147" s="273"/>
      <c r="BG147" s="273"/>
      <c r="BH147" s="210"/>
    </row>
    <row r="148" spans="1:60">
      <c r="A148" s="1040"/>
      <c r="B148" s="1109" t="s">
        <v>216</v>
      </c>
      <c r="C148" s="1106" t="s">
        <v>96</v>
      </c>
      <c r="D148" s="638"/>
      <c r="E148" s="940" t="s">
        <v>1220</v>
      </c>
      <c r="F148" s="940"/>
      <c r="G148" s="940"/>
      <c r="H148" s="940"/>
      <c r="I148" s="77"/>
      <c r="J148" s="939"/>
      <c r="K148" s="126"/>
      <c r="L148" s="126"/>
      <c r="M148" s="938"/>
      <c r="N148" s="191"/>
      <c r="O148" s="177" t="str">
        <f>O$10</f>
        <v>verwarming</v>
      </c>
      <c r="P148" s="177" t="str">
        <f>P$10</f>
        <v>koeling</v>
      </c>
      <c r="Q148" s="177" t="str">
        <f>Q$10</f>
        <v>tapwater</v>
      </c>
      <c r="R148" s="938"/>
      <c r="S148" s="938"/>
      <c r="T148" s="938"/>
      <c r="U148" s="938"/>
      <c r="V148" s="938"/>
      <c r="W148" s="938"/>
      <c r="X148" s="191"/>
      <c r="Y148" s="938"/>
      <c r="Z148" s="191"/>
      <c r="AA148" s="177" t="str">
        <f>AA$10</f>
        <v>verwarming</v>
      </c>
      <c r="AB148" s="177" t="str">
        <f>AB$10</f>
        <v>koeling</v>
      </c>
      <c r="AC148" s="177" t="str">
        <f>AC$10</f>
        <v>tapwater</v>
      </c>
      <c r="AD148" s="938"/>
      <c r="AE148" s="938"/>
      <c r="AF148" s="938"/>
      <c r="AG148" s="938"/>
      <c r="AH148" s="938"/>
      <c r="AI148" s="938"/>
      <c r="AJ148" s="191"/>
      <c r="AK148" s="938"/>
      <c r="AL148" s="191"/>
      <c r="AM148" s="177" t="str">
        <f>AM$10</f>
        <v>verwarming</v>
      </c>
      <c r="AN148" s="177" t="str">
        <f>AN$10</f>
        <v>koeling</v>
      </c>
      <c r="AO148" s="177" t="str">
        <f>AO$10</f>
        <v>tapwater</v>
      </c>
      <c r="AP148" s="938"/>
      <c r="AQ148" s="938"/>
      <c r="AR148" s="938"/>
      <c r="AS148" s="938"/>
      <c r="AT148" s="938"/>
      <c r="AU148" s="938"/>
      <c r="AV148" s="191"/>
      <c r="AW148" s="938"/>
      <c r="AX148" s="191"/>
      <c r="AY148" s="177" t="str">
        <f>AY$10</f>
        <v>verwarming</v>
      </c>
      <c r="AZ148" s="177" t="str">
        <f>AZ$10</f>
        <v>koeling</v>
      </c>
      <c r="BA148" s="177" t="str">
        <f>BA$10</f>
        <v>tapwater</v>
      </c>
      <c r="BB148" s="938"/>
      <c r="BC148" s="938"/>
      <c r="BD148" s="938"/>
      <c r="BE148" s="938"/>
      <c r="BF148" s="938"/>
      <c r="BG148" s="938"/>
      <c r="BH148" s="36"/>
    </row>
    <row r="149" spans="1:60">
      <c r="A149" s="1040"/>
      <c r="B149" s="1109" t="s">
        <v>216</v>
      </c>
      <c r="C149" s="1106" t="s">
        <v>118</v>
      </c>
      <c r="D149" s="641" t="s">
        <v>45</v>
      </c>
      <c r="E149" s="1170" t="s">
        <v>1348</v>
      </c>
      <c r="F149" s="181"/>
      <c r="G149" s="254"/>
      <c r="H149" s="291" t="s">
        <v>204</v>
      </c>
      <c r="I149" s="79"/>
      <c r="J149" s="189"/>
      <c r="K149" s="79"/>
      <c r="L149" s="79"/>
      <c r="M149" s="189"/>
      <c r="N149" s="116"/>
      <c r="O149" s="290">
        <f>IF(O144=0,0,IF(O150&lt;&gt;"",O150,IF(O141=elektriciteit,$G$5,HLOOKUP(O141,ENERGIEDRAGERS,ROWS(bibliotheek!$E$259:$E$261),FALSE))))</f>
        <v>0</v>
      </c>
      <c r="P149" s="290">
        <f>IF(P144=0,0,IF(P150&lt;&gt;"",P150,IF(HLOOKUP(P141,ENERGIEDRAGERS,ROWS(bibliotheek!$E$259:$E$260),FALSE)=0,$G$5,HLOOKUP(P141,ENERGIEDRAGERS,ROWS(bibliotheek!$E$259:$E$261),FALSE))))</f>
        <v>0</v>
      </c>
      <c r="Q149" s="290">
        <f>IF(Q144=0,0,IF(Q150&lt;&gt;"",Q150,IF(Q141=elektriciteit,$G$5,HLOOKUP(Q141,ENERGIEDRAGERS,ROWS(bibliotheek!$E$259:$E$261),FALSE))))</f>
        <v>0</v>
      </c>
      <c r="R149" s="302"/>
      <c r="S149" s="302"/>
      <c r="T149" s="302"/>
      <c r="U149" s="302"/>
      <c r="V149" s="302"/>
      <c r="W149" s="302"/>
      <c r="X149" s="108"/>
      <c r="Y149" s="189"/>
      <c r="Z149" s="116"/>
      <c r="AA149" s="290">
        <f>IF(AA144=0,0,IF(AA150&lt;&gt;"",AA150,IF(AA141=elektriciteit,$G$5,HLOOKUP(AA141,ENERGIEDRAGERS,ROWS(bibliotheek!$E$259:$E$261),FALSE))))</f>
        <v>0</v>
      </c>
      <c r="AB149" s="290">
        <f>IF(AB144=0,0,IF(AB150&lt;&gt;"",AB150,IF(HLOOKUP(AB141,ENERGIEDRAGERS,ROWS(bibliotheek!$E$259:$E$260),FALSE)=0,$G$5,HLOOKUP(AB141,ENERGIEDRAGERS,ROWS(bibliotheek!$E$259:$E$261),FALSE))))</f>
        <v>0</v>
      </c>
      <c r="AC149" s="290">
        <f>IF(AC144=0,0,IF(AC150&lt;&gt;"",AC150,IF(AC141=elektriciteit,$G$5,HLOOKUP(AC141,ENERGIEDRAGERS,ROWS(bibliotheek!$E$259:$E$261),FALSE))))</f>
        <v>0</v>
      </c>
      <c r="AD149" s="302"/>
      <c r="AE149" s="302"/>
      <c r="AF149" s="302"/>
      <c r="AG149" s="302"/>
      <c r="AH149" s="302"/>
      <c r="AI149" s="302"/>
      <c r="AJ149" s="108"/>
      <c r="AK149" s="189"/>
      <c r="AL149" s="116"/>
      <c r="AM149" s="290">
        <f>IF(AM144=0,0,IF(AM150&lt;&gt;"",AM150,IF(AM141=elektriciteit,$G$5,HLOOKUP(AM141,ENERGIEDRAGERS,ROWS(bibliotheek!$E$259:$E$261),FALSE))))</f>
        <v>0</v>
      </c>
      <c r="AN149" s="290">
        <f>IF(AN144=0,0,IF(AN150&lt;&gt;"",AN150,IF(HLOOKUP(AN141,ENERGIEDRAGERS,ROWS(bibliotheek!$E$259:$E$260),FALSE)=0,$G$5,HLOOKUP(AN141,ENERGIEDRAGERS,ROWS(bibliotheek!$E$259:$E$261),FALSE))))</f>
        <v>0</v>
      </c>
      <c r="AO149" s="290">
        <f>IF(AO144=0,0,IF(AO150&lt;&gt;"",AO150,IF(AO141=elektriciteit,$G$5,HLOOKUP(AO141,ENERGIEDRAGERS,ROWS(bibliotheek!$E$259:$E$261),FALSE))))</f>
        <v>0</v>
      </c>
      <c r="AP149" s="302"/>
      <c r="AQ149" s="302"/>
      <c r="AR149" s="302"/>
      <c r="AS149" s="302"/>
      <c r="AT149" s="302"/>
      <c r="AU149" s="302"/>
      <c r="AV149" s="108"/>
      <c r="AW149" s="189"/>
      <c r="AX149" s="116"/>
      <c r="AY149" s="290">
        <f>IF(AY144=0,0,IF(AY150&lt;&gt;"",AY150,IF(AY141=elektriciteit,$G$5,HLOOKUP(AY141,ENERGIEDRAGERS,ROWS(bibliotheek!$E$259:$E$261),FALSE))))</f>
        <v>0</v>
      </c>
      <c r="AZ149" s="290">
        <f>IF(AZ144=0,0,IF(AZ150&lt;&gt;"",AZ150,IF(HLOOKUP(AZ141,ENERGIEDRAGERS,ROWS(bibliotheek!$E$259:$E$260),FALSE)=0,$G$5,HLOOKUP(AZ141,ENERGIEDRAGERS,ROWS(bibliotheek!$E$259:$E$261),FALSE))))</f>
        <v>0</v>
      </c>
      <c r="BA149" s="290">
        <f>IF(BA144=0,0,IF(BA150&lt;&gt;"",BA150,IF(BA141=elektriciteit,$G$5,HLOOKUP(BA141,ENERGIEDRAGERS,ROWS(bibliotheek!$E$259:$E$261),FALSE))))</f>
        <v>0</v>
      </c>
      <c r="BB149" s="302"/>
      <c r="BC149" s="302"/>
      <c r="BD149" s="302"/>
      <c r="BE149" s="302"/>
      <c r="BF149" s="302"/>
      <c r="BG149" s="302"/>
      <c r="BH149" s="174"/>
    </row>
    <row r="150" spans="1:60">
      <c r="A150" s="1040"/>
      <c r="B150" s="1109" t="s">
        <v>216</v>
      </c>
      <c r="C150" s="1106" t="s">
        <v>118</v>
      </c>
      <c r="D150" s="638"/>
      <c r="E150" s="1218" t="s">
        <v>205</v>
      </c>
      <c r="F150" s="255"/>
      <c r="G150" s="255"/>
      <c r="H150" s="292"/>
      <c r="I150" s="79"/>
      <c r="J150" s="299"/>
      <c r="K150" s="79"/>
      <c r="L150" s="79"/>
      <c r="M150" s="198"/>
      <c r="N150" s="161"/>
      <c r="O150" s="628"/>
      <c r="P150" s="629"/>
      <c r="Q150" s="628"/>
      <c r="R150" s="630"/>
      <c r="S150" s="630"/>
      <c r="T150" s="630"/>
      <c r="U150" s="630"/>
      <c r="V150" s="630"/>
      <c r="W150" s="630"/>
      <c r="X150" s="348"/>
      <c r="Y150" s="631"/>
      <c r="Z150" s="114"/>
      <c r="AA150" s="628"/>
      <c r="AB150" s="629"/>
      <c r="AC150" s="628"/>
      <c r="AD150" s="630"/>
      <c r="AE150" s="630"/>
      <c r="AF150" s="630"/>
      <c r="AG150" s="630"/>
      <c r="AH150" s="630"/>
      <c r="AI150" s="630"/>
      <c r="AJ150" s="348"/>
      <c r="AK150" s="631"/>
      <c r="AL150" s="114"/>
      <c r="AM150" s="628"/>
      <c r="AN150" s="629"/>
      <c r="AO150" s="628"/>
      <c r="AP150" s="630"/>
      <c r="AQ150" s="630"/>
      <c r="AR150" s="630"/>
      <c r="AS150" s="630"/>
      <c r="AT150" s="630"/>
      <c r="AU150" s="630"/>
      <c r="AV150" s="348"/>
      <c r="AW150" s="631"/>
      <c r="AX150" s="114"/>
      <c r="AY150" s="628"/>
      <c r="AZ150" s="629"/>
      <c r="BA150" s="628"/>
      <c r="BB150" s="301"/>
      <c r="BC150" s="301"/>
      <c r="BD150" s="301"/>
      <c r="BE150" s="301"/>
      <c r="BF150" s="301"/>
      <c r="BG150" s="301"/>
      <c r="BH150" s="174"/>
    </row>
    <row r="151" spans="1:60">
      <c r="A151" s="1040"/>
      <c r="B151" s="1109" t="s">
        <v>216</v>
      </c>
      <c r="C151" s="1106" t="s">
        <v>104</v>
      </c>
      <c r="D151" s="638"/>
      <c r="E151" s="1162" t="s">
        <v>232</v>
      </c>
      <c r="F151" s="181"/>
      <c r="G151" s="181"/>
      <c r="H151" s="181" t="s">
        <v>106</v>
      </c>
      <c r="I151" s="79"/>
      <c r="J151" s="202">
        <f>M151+Y151+AK151+AW151</f>
        <v>0</v>
      </c>
      <c r="K151" s="1062"/>
      <c r="L151" s="1062"/>
      <c r="M151" s="202">
        <f>SUM(O151:X151)</f>
        <v>0</v>
      </c>
      <c r="N151" s="114"/>
      <c r="O151" s="168">
        <f>O$147*O$149</f>
        <v>0</v>
      </c>
      <c r="P151" s="168">
        <f>P$147*P$149</f>
        <v>0</v>
      </c>
      <c r="Q151" s="168">
        <f>Q$147*Q$149</f>
        <v>0</v>
      </c>
      <c r="R151" s="273"/>
      <c r="S151" s="273"/>
      <c r="T151" s="273"/>
      <c r="U151" s="273"/>
      <c r="V151" s="273"/>
      <c r="W151" s="273"/>
      <c r="X151" s="113"/>
      <c r="Y151" s="202">
        <f>SUM(AA151:AJ151)</f>
        <v>0</v>
      </c>
      <c r="Z151" s="114"/>
      <c r="AA151" s="168">
        <f>AA$147*AA$149</f>
        <v>0</v>
      </c>
      <c r="AB151" s="168">
        <f>AB$147*AB$149</f>
        <v>0</v>
      </c>
      <c r="AC151" s="168">
        <f>AC$147*AC$149</f>
        <v>0</v>
      </c>
      <c r="AD151" s="273"/>
      <c r="AE151" s="273"/>
      <c r="AF151" s="273"/>
      <c r="AG151" s="273"/>
      <c r="AH151" s="273"/>
      <c r="AI151" s="273"/>
      <c r="AJ151" s="113"/>
      <c r="AK151" s="202">
        <f>SUM(AM151:AV151)</f>
        <v>0</v>
      </c>
      <c r="AL151" s="114"/>
      <c r="AM151" s="168">
        <f>AM$147*AM$149</f>
        <v>0</v>
      </c>
      <c r="AN151" s="168">
        <f>AN$147*AN$149</f>
        <v>0</v>
      </c>
      <c r="AO151" s="168">
        <f>AO$147*AO$149</f>
        <v>0</v>
      </c>
      <c r="AP151" s="273"/>
      <c r="AQ151" s="273"/>
      <c r="AR151" s="273"/>
      <c r="AS151" s="273"/>
      <c r="AT151" s="273"/>
      <c r="AU151" s="273"/>
      <c r="AV151" s="113"/>
      <c r="AW151" s="202">
        <f>SUM(AY151:BH151)</f>
        <v>0</v>
      </c>
      <c r="AX151" s="114"/>
      <c r="AY151" s="168">
        <f>AY$147*AY$149</f>
        <v>0</v>
      </c>
      <c r="AZ151" s="168">
        <f>AZ$147*AZ$149</f>
        <v>0</v>
      </c>
      <c r="BA151" s="168">
        <f>BA$147*BA$149</f>
        <v>0</v>
      </c>
      <c r="BB151" s="273"/>
      <c r="BC151" s="273"/>
      <c r="BD151" s="273"/>
      <c r="BE151" s="273"/>
      <c r="BF151" s="273"/>
      <c r="BG151" s="273"/>
      <c r="BH151" s="210"/>
    </row>
    <row r="152" spans="1:60">
      <c r="A152" s="1040"/>
      <c r="B152" s="1109" t="s">
        <v>216</v>
      </c>
      <c r="C152" s="1106" t="s">
        <v>96</v>
      </c>
      <c r="D152" s="638"/>
      <c r="E152" s="940" t="s">
        <v>1200</v>
      </c>
      <c r="F152" s="940"/>
      <c r="G152" s="940"/>
      <c r="H152" s="993"/>
      <c r="I152" s="79"/>
      <c r="J152" s="1016"/>
      <c r="K152" s="1062"/>
      <c r="L152" s="1062"/>
      <c r="M152" s="1017"/>
      <c r="N152" s="79"/>
      <c r="O152" s="1026" t="str">
        <f>O$10</f>
        <v>verwarming</v>
      </c>
      <c r="P152" s="1026" t="str">
        <f>P$10</f>
        <v>koeling</v>
      </c>
      <c r="Q152" s="1026" t="str">
        <f>Q$10</f>
        <v>tapwater</v>
      </c>
      <c r="R152" s="1025"/>
      <c r="S152" s="1025"/>
      <c r="T152" s="1025"/>
      <c r="U152" s="1025"/>
      <c r="V152" s="1025"/>
      <c r="W152" s="1025"/>
      <c r="X152" s="113"/>
      <c r="Y152" s="1031"/>
      <c r="Z152" s="79"/>
      <c r="AA152" s="1026" t="str">
        <f>AA$10</f>
        <v>verwarming</v>
      </c>
      <c r="AB152" s="1026" t="str">
        <f>AB$10</f>
        <v>koeling</v>
      </c>
      <c r="AC152" s="1026" t="str">
        <f>AC$10</f>
        <v>tapwater</v>
      </c>
      <c r="AD152" s="1025"/>
      <c r="AE152" s="1025"/>
      <c r="AF152" s="1025"/>
      <c r="AG152" s="1025"/>
      <c r="AH152" s="1025"/>
      <c r="AI152" s="1025"/>
      <c r="AJ152" s="113"/>
      <c r="AK152" s="1031"/>
      <c r="AL152" s="79"/>
      <c r="AM152" s="1026" t="str">
        <f>AM$10</f>
        <v>verwarming</v>
      </c>
      <c r="AN152" s="1026" t="str">
        <f>AN$10</f>
        <v>koeling</v>
      </c>
      <c r="AO152" s="1026" t="str">
        <f>AO$10</f>
        <v>tapwater</v>
      </c>
      <c r="AP152" s="1025"/>
      <c r="AQ152" s="1025"/>
      <c r="AR152" s="1025"/>
      <c r="AS152" s="1025"/>
      <c r="AT152" s="1025"/>
      <c r="AU152" s="1025"/>
      <c r="AV152" s="113"/>
      <c r="AW152" s="1031"/>
      <c r="AX152" s="79"/>
      <c r="AY152" s="1026" t="str">
        <f>AY$10</f>
        <v>verwarming</v>
      </c>
      <c r="AZ152" s="1026" t="str">
        <f>AZ$10</f>
        <v>koeling</v>
      </c>
      <c r="BA152" s="1026" t="str">
        <f>BA$10</f>
        <v>tapwater</v>
      </c>
      <c r="BB152" s="1025"/>
      <c r="BC152" s="1025"/>
      <c r="BD152" s="1025"/>
      <c r="BE152" s="1025"/>
      <c r="BF152" s="1025"/>
      <c r="BG152" s="1025"/>
      <c r="BH152" s="210"/>
    </row>
    <row r="153" spans="1:60">
      <c r="A153" s="1040"/>
      <c r="B153" s="1109" t="s">
        <v>216</v>
      </c>
      <c r="C153" s="1106" t="s">
        <v>118</v>
      </c>
      <c r="D153" s="638"/>
      <c r="E153" s="1170" t="s">
        <v>1349</v>
      </c>
      <c r="F153" s="181"/>
      <c r="G153" s="254"/>
      <c r="H153" s="1034" t="s">
        <v>1208</v>
      </c>
      <c r="I153" s="79"/>
      <c r="J153" s="1014"/>
      <c r="K153" s="1062"/>
      <c r="L153" s="1062"/>
      <c r="M153" s="202"/>
      <c r="N153" s="79"/>
      <c r="O153" s="228">
        <f>IF(O144=0,0,IF(O154&lt;&gt;"",O154,HLOOKUP(O141,ENERGIEDRAGERS,ROWS(bibliotheek!$E$259:$E$262),FALSE)))</f>
        <v>0</v>
      </c>
      <c r="P153" s="228">
        <f>IF(P144=0,0,IF(P154&lt;&gt;"",P154,HLOOKUP(P141,ENERGIEDRAGERS,ROWS(bibliotheek!$E$259:$E$262),FALSE)))</f>
        <v>0</v>
      </c>
      <c r="Q153" s="228">
        <f>IF(Q144=0,0,IF(Q154&lt;&gt;"",Q154,HLOOKUP(Q141,ENERGIEDRAGERS,ROWS(bibliotheek!$E$259:$E$262),FALSE)))</f>
        <v>0</v>
      </c>
      <c r="R153" s="273"/>
      <c r="S153" s="273"/>
      <c r="T153" s="273"/>
      <c r="U153" s="273"/>
      <c r="V153" s="273"/>
      <c r="W153" s="273"/>
      <c r="X153" s="113"/>
      <c r="Y153" s="202"/>
      <c r="Z153" s="114"/>
      <c r="AA153" s="228">
        <f>IF(AA144=0,0,IF(AA154&lt;&gt;"",AA154,HLOOKUP(AA141,ENERGIEDRAGERS,ROWS(bibliotheek!$E$259:$E$262),FALSE)))</f>
        <v>0</v>
      </c>
      <c r="AB153" s="228">
        <f>IF(AB144=0,0,IF(AB154&lt;&gt;"",AB154,HLOOKUP(AB141,ENERGIEDRAGERS,ROWS(bibliotheek!$E$259:$E$262),FALSE)))</f>
        <v>0</v>
      </c>
      <c r="AC153" s="228">
        <f>IF(AC144=0,0,IF(AC154&lt;&gt;"",AC154,HLOOKUP(AC141,ENERGIEDRAGERS,ROWS(bibliotheek!$E$259:$E$262),FALSE)))</f>
        <v>0</v>
      </c>
      <c r="AD153" s="273"/>
      <c r="AE153" s="273"/>
      <c r="AF153" s="273"/>
      <c r="AG153" s="273"/>
      <c r="AH153" s="273"/>
      <c r="AI153" s="273"/>
      <c r="AJ153" s="113"/>
      <c r="AK153" s="202"/>
      <c r="AL153" s="114"/>
      <c r="AM153" s="228">
        <f>IF(AM144=0,0,IF(AM154&lt;&gt;"",AM154,HLOOKUP(AM141,ENERGIEDRAGERS,ROWS(bibliotheek!$E$259:$E$262),FALSE)))</f>
        <v>0</v>
      </c>
      <c r="AN153" s="228">
        <f>IF(AN144=0,0,IF(AN154&lt;&gt;"",AN154,HLOOKUP(AN141,ENERGIEDRAGERS,ROWS(bibliotheek!$E$259:$E$262),FALSE)))</f>
        <v>0</v>
      </c>
      <c r="AO153" s="228">
        <f>IF(AO144=0,0,IF(AO154&lt;&gt;"",AO154,HLOOKUP(AO141,ENERGIEDRAGERS,ROWS(bibliotheek!$E$259:$E$262),FALSE)))</f>
        <v>0</v>
      </c>
      <c r="AP153" s="273"/>
      <c r="AQ153" s="273"/>
      <c r="AR153" s="273"/>
      <c r="AS153" s="273"/>
      <c r="AT153" s="273"/>
      <c r="AU153" s="273"/>
      <c r="AV153" s="113"/>
      <c r="AW153" s="202"/>
      <c r="AX153" s="114"/>
      <c r="AY153" s="228">
        <f>IF(AY144=0,0,IF(AY154&lt;&gt;"",AY154,HLOOKUP(AY141,ENERGIEDRAGERS,ROWS(bibliotheek!$E$259:$E$262),FALSE)))</f>
        <v>0</v>
      </c>
      <c r="AZ153" s="228">
        <f>IF(AZ144=0,0,IF(AZ154&lt;&gt;"",AZ154,HLOOKUP(AZ141,ENERGIEDRAGERS,ROWS(bibliotheek!$E$259:$E$262),FALSE)))</f>
        <v>0</v>
      </c>
      <c r="BA153" s="228">
        <f>IF(BA144=0,0,IF(BA154&lt;&gt;"",BA154,HLOOKUP(BA141,ENERGIEDRAGERS,ROWS(bibliotheek!$E$259:$E$262),FALSE)))</f>
        <v>0</v>
      </c>
      <c r="BB153" s="273"/>
      <c r="BC153" s="273"/>
      <c r="BD153" s="273"/>
      <c r="BE153" s="273"/>
      <c r="BF153" s="273"/>
      <c r="BG153" s="273"/>
      <c r="BH153" s="210"/>
    </row>
    <row r="154" spans="1:60">
      <c r="A154" s="1040"/>
      <c r="B154" s="1109" t="s">
        <v>216</v>
      </c>
      <c r="C154" s="1106" t="s">
        <v>118</v>
      </c>
      <c r="D154" s="638"/>
      <c r="E154" s="1218" t="s">
        <v>205</v>
      </c>
      <c r="F154" s="255"/>
      <c r="G154" s="255"/>
      <c r="H154" s="292"/>
      <c r="I154" s="79"/>
      <c r="J154" s="299"/>
      <c r="K154" s="79"/>
      <c r="L154" s="79"/>
      <c r="M154" s="198"/>
      <c r="N154" s="161"/>
      <c r="O154" s="1032"/>
      <c r="P154" s="1032"/>
      <c r="Q154" s="1032"/>
      <c r="R154" s="625"/>
      <c r="S154" s="625"/>
      <c r="T154" s="625"/>
      <c r="U154" s="625"/>
      <c r="V154" s="625"/>
      <c r="W154" s="625"/>
      <c r="X154" s="113"/>
      <c r="Y154" s="190"/>
      <c r="Z154" s="114"/>
      <c r="AA154" s="1032"/>
      <c r="AB154" s="1032"/>
      <c r="AC154" s="1032"/>
      <c r="AD154" s="625"/>
      <c r="AE154" s="625"/>
      <c r="AF154" s="625"/>
      <c r="AG154" s="625"/>
      <c r="AH154" s="625"/>
      <c r="AI154" s="625"/>
      <c r="AJ154" s="113"/>
      <c r="AK154" s="190"/>
      <c r="AL154" s="114"/>
      <c r="AM154" s="1032"/>
      <c r="AN154" s="1032"/>
      <c r="AO154" s="1032"/>
      <c r="AP154" s="625"/>
      <c r="AQ154" s="625"/>
      <c r="AR154" s="625"/>
      <c r="AS154" s="625"/>
      <c r="AT154" s="625"/>
      <c r="AU154" s="625"/>
      <c r="AV154" s="113"/>
      <c r="AW154" s="190"/>
      <c r="AX154" s="114"/>
      <c r="AY154" s="1032"/>
      <c r="AZ154" s="1032"/>
      <c r="BA154" s="1032"/>
      <c r="BB154" s="625"/>
      <c r="BC154" s="625"/>
      <c r="BD154" s="625"/>
      <c r="BE154" s="625"/>
      <c r="BF154" s="625"/>
      <c r="BG154" s="625"/>
      <c r="BH154" s="210"/>
    </row>
    <row r="155" spans="1:60">
      <c r="A155" s="1040"/>
      <c r="B155" s="1109" t="s">
        <v>216</v>
      </c>
      <c r="C155" s="1106" t="s">
        <v>118</v>
      </c>
      <c r="D155" s="638"/>
      <c r="E155" s="1175" t="s">
        <v>1201</v>
      </c>
      <c r="F155" s="595"/>
      <c r="G155" s="595"/>
      <c r="H155" s="1013" t="s">
        <v>65</v>
      </c>
      <c r="I155" s="79"/>
      <c r="J155" s="1014"/>
      <c r="K155" s="1062"/>
      <c r="L155" s="1062"/>
      <c r="M155" s="202"/>
      <c r="N155" s="79"/>
      <c r="O155" s="228">
        <f>IF(O144=0,0,IF(O156&lt;&gt;"",O150,HLOOKUP(O141,ENERGIEDRAGERS,ROWS(bibliotheek!$E$259:$E$263),FALSE)))</f>
        <v>0</v>
      </c>
      <c r="P155" s="228">
        <f>IF(P144=0,0,IF(P156&lt;&gt;"",P150,HLOOKUP(P141,ENERGIEDRAGERS,ROWS(bibliotheek!$E$259:$E$263),FALSE)))</f>
        <v>0</v>
      </c>
      <c r="Q155" s="228">
        <f>IF(Q144=0,0,IF(Q156&lt;&gt;"",Q150,HLOOKUP(Q141,ENERGIEDRAGERS,ROWS(bibliotheek!$E$259:$E$263),FALSE)))</f>
        <v>0</v>
      </c>
      <c r="R155" s="273"/>
      <c r="S155" s="273"/>
      <c r="T155" s="273"/>
      <c r="U155" s="273"/>
      <c r="V155" s="273"/>
      <c r="W155" s="273"/>
      <c r="X155" s="113"/>
      <c r="Y155" s="202"/>
      <c r="Z155" s="114"/>
      <c r="AA155" s="228">
        <f>IF(AA144=0,0,IF(AA156&lt;&gt;"",AA150,HLOOKUP(AA141,ENERGIEDRAGERS,ROWS(bibliotheek!$E$259:$E$263),FALSE)))</f>
        <v>0</v>
      </c>
      <c r="AB155" s="228">
        <f>IF(AB144=0,0,IF(AB156&lt;&gt;"",AB150,HLOOKUP(AB141,ENERGIEDRAGERS,ROWS(bibliotheek!$E$259:$E$263),FALSE)))</f>
        <v>0</v>
      </c>
      <c r="AC155" s="228">
        <f>IF(AC144=0,0,IF(AC156&lt;&gt;"",AC150,HLOOKUP(AC141,ENERGIEDRAGERS,ROWS(bibliotheek!$E$259:$E$263),FALSE)))</f>
        <v>0</v>
      </c>
      <c r="AD155" s="273"/>
      <c r="AE155" s="273"/>
      <c r="AF155" s="273"/>
      <c r="AG155" s="273"/>
      <c r="AH155" s="273"/>
      <c r="AI155" s="273"/>
      <c r="AJ155" s="113"/>
      <c r="AK155" s="202"/>
      <c r="AL155" s="114"/>
      <c r="AM155" s="228">
        <f>IF(AM144=0,0,IF(AM156&lt;&gt;"",AM150,HLOOKUP(AM141,ENERGIEDRAGERS,ROWS(bibliotheek!$E$259:$E$263),FALSE)))</f>
        <v>0</v>
      </c>
      <c r="AN155" s="228">
        <f>IF(AN144=0,0,IF(AN156&lt;&gt;"",AN150,HLOOKUP(AN141,ENERGIEDRAGERS,ROWS(bibliotheek!$E$259:$E$263),FALSE)))</f>
        <v>0</v>
      </c>
      <c r="AO155" s="228">
        <f>IF(AO144=0,0,IF(AO156&lt;&gt;"",AO150,HLOOKUP(AO141,ENERGIEDRAGERS,ROWS(bibliotheek!$E$259:$E$263),FALSE)))</f>
        <v>0</v>
      </c>
      <c r="AP155" s="273"/>
      <c r="AQ155" s="273"/>
      <c r="AR155" s="273"/>
      <c r="AS155" s="273"/>
      <c r="AT155" s="273"/>
      <c r="AU155" s="273"/>
      <c r="AV155" s="113"/>
      <c r="AW155" s="202"/>
      <c r="AX155" s="114"/>
      <c r="AY155" s="228">
        <f>IF(AY144=0,0,IF(AY156&lt;&gt;"",AY150,HLOOKUP(AY141,ENERGIEDRAGERS,ROWS(bibliotheek!$E$259:$E$263),FALSE)))</f>
        <v>0</v>
      </c>
      <c r="AZ155" s="228">
        <f>IF(AZ144=0,0,IF(AZ156&lt;&gt;"",AZ150,HLOOKUP(AZ141,ENERGIEDRAGERS,ROWS(bibliotheek!$E$259:$E$263),FALSE)))</f>
        <v>0</v>
      </c>
      <c r="BA155" s="228">
        <f>IF(BA144=0,0,IF(BA156&lt;&gt;"",BA150,HLOOKUP(BA141,ENERGIEDRAGERS,ROWS(bibliotheek!$E$259:$E$263),FALSE)))</f>
        <v>0</v>
      </c>
      <c r="BB155" s="273"/>
      <c r="BC155" s="273"/>
      <c r="BD155" s="273"/>
      <c r="BE155" s="273"/>
      <c r="BF155" s="273"/>
      <c r="BG155" s="273"/>
      <c r="BH155" s="210"/>
    </row>
    <row r="156" spans="1:60">
      <c r="A156" s="1040"/>
      <c r="B156" s="1109" t="s">
        <v>216</v>
      </c>
      <c r="C156" s="1106" t="s">
        <v>118</v>
      </c>
      <c r="D156" s="638"/>
      <c r="E156" s="1218" t="s">
        <v>205</v>
      </c>
      <c r="F156" s="255"/>
      <c r="G156" s="255"/>
      <c r="H156" s="292"/>
      <c r="I156" s="79"/>
      <c r="J156" s="299"/>
      <c r="K156" s="79"/>
      <c r="L156" s="79"/>
      <c r="M156" s="198"/>
      <c r="N156" s="161"/>
      <c r="O156" s="1032"/>
      <c r="P156" s="1033"/>
      <c r="Q156" s="1032"/>
      <c r="R156" s="625"/>
      <c r="S156" s="625"/>
      <c r="T156" s="625"/>
      <c r="U156" s="625"/>
      <c r="V156" s="625"/>
      <c r="W156" s="625"/>
      <c r="X156" s="113"/>
      <c r="Y156" s="190"/>
      <c r="Z156" s="114"/>
      <c r="AA156" s="1032"/>
      <c r="AB156" s="1033"/>
      <c r="AC156" s="1032"/>
      <c r="AD156" s="625"/>
      <c r="AE156" s="625"/>
      <c r="AF156" s="625"/>
      <c r="AG156" s="625"/>
      <c r="AH156" s="625"/>
      <c r="AI156" s="625"/>
      <c r="AJ156" s="113"/>
      <c r="AK156" s="190"/>
      <c r="AL156" s="114"/>
      <c r="AM156" s="1032"/>
      <c r="AN156" s="1033"/>
      <c r="AO156" s="1032"/>
      <c r="AP156" s="625"/>
      <c r="AQ156" s="625"/>
      <c r="AR156" s="625"/>
      <c r="AS156" s="625"/>
      <c r="AT156" s="625"/>
      <c r="AU156" s="625"/>
      <c r="AV156" s="113"/>
      <c r="AW156" s="190"/>
      <c r="AX156" s="114"/>
      <c r="AY156" s="1032"/>
      <c r="AZ156" s="1033"/>
      <c r="BA156" s="1032"/>
      <c r="BB156" s="625"/>
      <c r="BC156" s="625"/>
      <c r="BD156" s="625"/>
      <c r="BE156" s="625"/>
      <c r="BF156" s="625"/>
      <c r="BG156" s="625"/>
      <c r="BH156" s="210"/>
    </row>
    <row r="157" spans="1:60" hidden="1">
      <c r="A157" s="1040"/>
      <c r="B157" s="1109" t="s">
        <v>216</v>
      </c>
      <c r="C157" s="1106" t="s">
        <v>181</v>
      </c>
      <c r="D157" s="638"/>
      <c r="E157" s="1170" t="s">
        <v>232</v>
      </c>
      <c r="F157" s="181"/>
      <c r="G157" s="181"/>
      <c r="H157" s="181" t="s">
        <v>1206</v>
      </c>
      <c r="I157" s="79"/>
      <c r="J157" s="202">
        <f>M157+Y157+AK157+AW157</f>
        <v>0</v>
      </c>
      <c r="K157" s="1062"/>
      <c r="L157" s="1062"/>
      <c r="M157" s="202">
        <f>SUM(O157:X157)</f>
        <v>0</v>
      </c>
      <c r="N157" s="79"/>
      <c r="O157" s="168">
        <f>O$147*O$153*O155</f>
        <v>0</v>
      </c>
      <c r="P157" s="168">
        <f>P$147*P$153*P155</f>
        <v>0</v>
      </c>
      <c r="Q157" s="168">
        <f>Q$147*Q$153*Q155</f>
        <v>0</v>
      </c>
      <c r="R157" s="273"/>
      <c r="S157" s="273"/>
      <c r="T157" s="273"/>
      <c r="U157" s="273"/>
      <c r="V157" s="273"/>
      <c r="W157" s="273"/>
      <c r="X157" s="113"/>
      <c r="Y157" s="202">
        <f>SUM(AA157:AJ157)</f>
        <v>0</v>
      </c>
      <c r="Z157" s="114"/>
      <c r="AA157" s="168">
        <f>AA$147*AA$153*AA155</f>
        <v>0</v>
      </c>
      <c r="AB157" s="168">
        <f>AB$147*AB$153*AB155</f>
        <v>0</v>
      </c>
      <c r="AC157" s="168">
        <f>AC$147*AC$153*AC155</f>
        <v>0</v>
      </c>
      <c r="AD157" s="273"/>
      <c r="AE157" s="273"/>
      <c r="AF157" s="273"/>
      <c r="AG157" s="273"/>
      <c r="AH157" s="273"/>
      <c r="AI157" s="273"/>
      <c r="AJ157" s="113"/>
      <c r="AK157" s="202">
        <f>SUM(AM157:AV157)</f>
        <v>0</v>
      </c>
      <c r="AL157" s="114"/>
      <c r="AM157" s="168">
        <f>AM$147*AM$153*AM155</f>
        <v>0</v>
      </c>
      <c r="AN157" s="168">
        <f>AN$147*AN$153*AN155</f>
        <v>0</v>
      </c>
      <c r="AO157" s="168">
        <f>AO$147*AO$153*AO155</f>
        <v>0</v>
      </c>
      <c r="AP157" s="273"/>
      <c r="AQ157" s="273"/>
      <c r="AR157" s="273"/>
      <c r="AS157" s="273"/>
      <c r="AT157" s="273"/>
      <c r="AU157" s="273"/>
      <c r="AV157" s="113"/>
      <c r="AW157" s="202">
        <f>SUM(AY157:BH157)</f>
        <v>0</v>
      </c>
      <c r="AX157" s="114"/>
      <c r="AY157" s="168">
        <f>AY$147*AY$153*AY155</f>
        <v>0</v>
      </c>
      <c r="AZ157" s="168">
        <f>AZ$147*AZ$153*AZ155</f>
        <v>0</v>
      </c>
      <c r="BA157" s="168">
        <f>BA$147*BA$153*BA155</f>
        <v>0</v>
      </c>
      <c r="BB157" s="273"/>
      <c r="BC157" s="273"/>
      <c r="BD157" s="273"/>
      <c r="BE157" s="273"/>
      <c r="BF157" s="273"/>
      <c r="BG157" s="273"/>
      <c r="BH157" s="210"/>
    </row>
    <row r="158" spans="1:60">
      <c r="A158" s="1040"/>
      <c r="B158" s="1109" t="s">
        <v>216</v>
      </c>
      <c r="C158" s="1106" t="s">
        <v>96</v>
      </c>
      <c r="D158" s="638"/>
      <c r="E158" s="940" t="s">
        <v>107</v>
      </c>
      <c r="F158" s="940"/>
      <c r="G158" s="940"/>
      <c r="H158" s="940"/>
      <c r="I158" s="77"/>
      <c r="J158" s="939"/>
      <c r="K158" s="126"/>
      <c r="L158" s="126"/>
      <c r="M158" s="938"/>
      <c r="N158" s="191"/>
      <c r="O158" s="1028" t="str">
        <f>O$10</f>
        <v>verwarming</v>
      </c>
      <c r="P158" s="1028" t="str">
        <f>P$10</f>
        <v>koeling</v>
      </c>
      <c r="Q158" s="1028" t="str">
        <f>Q$10</f>
        <v>tapwater</v>
      </c>
      <c r="R158" s="1027"/>
      <c r="S158" s="1027"/>
      <c r="T158" s="1027"/>
      <c r="U158" s="1027"/>
      <c r="V158" s="1027"/>
      <c r="W158" s="1027"/>
      <c r="X158" s="191"/>
      <c r="Y158" s="1027"/>
      <c r="Z158" s="191"/>
      <c r="AA158" s="1028" t="str">
        <f>AA$10</f>
        <v>verwarming</v>
      </c>
      <c r="AB158" s="1028" t="str">
        <f>AB$10</f>
        <v>koeling</v>
      </c>
      <c r="AC158" s="1028" t="str">
        <f>AC$10</f>
        <v>tapwater</v>
      </c>
      <c r="AD158" s="1027"/>
      <c r="AE158" s="1027"/>
      <c r="AF158" s="1027"/>
      <c r="AG158" s="1027"/>
      <c r="AH158" s="1027"/>
      <c r="AI158" s="1027"/>
      <c r="AJ158" s="191"/>
      <c r="AK158" s="1027"/>
      <c r="AL158" s="191"/>
      <c r="AM158" s="1028" t="str">
        <f>AM$10</f>
        <v>verwarming</v>
      </c>
      <c r="AN158" s="1028" t="str">
        <f>AN$10</f>
        <v>koeling</v>
      </c>
      <c r="AO158" s="1028" t="str">
        <f>AO$10</f>
        <v>tapwater</v>
      </c>
      <c r="AP158" s="1027"/>
      <c r="AQ158" s="1027"/>
      <c r="AR158" s="1027"/>
      <c r="AS158" s="1027"/>
      <c r="AT158" s="1027"/>
      <c r="AU158" s="1027"/>
      <c r="AV158" s="191"/>
      <c r="AW158" s="1027"/>
      <c r="AX158" s="191"/>
      <c r="AY158" s="1028" t="str">
        <f>AY$10</f>
        <v>verwarming</v>
      </c>
      <c r="AZ158" s="1028" t="str">
        <f>AZ$10</f>
        <v>koeling</v>
      </c>
      <c r="BA158" s="1028" t="str">
        <f>BA$10</f>
        <v>tapwater</v>
      </c>
      <c r="BB158" s="1027"/>
      <c r="BC158" s="1027"/>
      <c r="BD158" s="1027"/>
      <c r="BE158" s="1027"/>
      <c r="BF158" s="1027"/>
      <c r="BG158" s="1027"/>
      <c r="BH158" s="36"/>
    </row>
    <row r="159" spans="1:60">
      <c r="A159" s="1040"/>
      <c r="B159" s="1109" t="s">
        <v>216</v>
      </c>
      <c r="C159" s="1107" t="s">
        <v>118</v>
      </c>
      <c r="D159" s="638"/>
      <c r="E159" s="254" t="s">
        <v>206</v>
      </c>
      <c r="F159" s="254"/>
      <c r="G159" s="254"/>
      <c r="H159" s="291" t="s">
        <v>207</v>
      </c>
      <c r="I159" s="79"/>
      <c r="J159" s="189"/>
      <c r="K159" s="79"/>
      <c r="L159" s="79"/>
      <c r="M159" s="189"/>
      <c r="N159" s="116"/>
      <c r="O159" s="349">
        <f>IF(O144=0,0,IF(O160&lt;&gt;"",O160,IF(O141=elektriciteit,$H$5,
HLOOKUP(O141,ENERGIEDRAGERS,ROWS(bibliotheek!$E$259:$E$264),FALSE))))</f>
        <v>0</v>
      </c>
      <c r="P159" s="349">
        <f>IF(P144=0,0,IF(P160&lt;&gt;"",P160,IF(P141=elektriciteit,$H$5,
HLOOKUP(P141,ENERGIEDRAGERS,ROWS(bibliotheek!$E$259:$E$264),FALSE))))</f>
        <v>0</v>
      </c>
      <c r="Q159" s="349">
        <f>IF(Q144=0,0,IF(Q160&lt;&gt;"",Q160,IF(Q141=elektriciteit,$H$5,
HLOOKUP(Q141,ENERGIEDRAGERS,ROWS(bibliotheek!$E$259:$E$264),FALSE))))</f>
        <v>0</v>
      </c>
      <c r="R159" s="350"/>
      <c r="S159" s="350"/>
      <c r="T159" s="350"/>
      <c r="U159" s="350"/>
      <c r="V159" s="350"/>
      <c r="W159" s="350"/>
      <c r="X159" s="351"/>
      <c r="Y159" s="189"/>
      <c r="Z159" s="353"/>
      <c r="AA159" s="349">
        <f>IF(AA144=0,0,IF(AA160&lt;&gt;"",AA160,IF(AA141=elektriciteit,$H$5,
HLOOKUP(AA141,ENERGIEDRAGERS,ROWS(bibliotheek!$E$259:$E$264),FALSE))))</f>
        <v>0</v>
      </c>
      <c r="AB159" s="349">
        <f>IF(AB144=0,0,IF(AB160&lt;&gt;"",AB160,IF(AB141=elektriciteit,$H$5,
HLOOKUP(AB141,ENERGIEDRAGERS,ROWS(bibliotheek!$E$259:$E$264),FALSE))))</f>
        <v>0</v>
      </c>
      <c r="AC159" s="349">
        <f>IF(AC144=0,0,IF(AC160&lt;&gt;"",AC160,IF(AC141=elektriciteit,$H$5,
HLOOKUP(AC141,ENERGIEDRAGERS,ROWS(bibliotheek!$E$259:$E$264),FALSE))))</f>
        <v>0</v>
      </c>
      <c r="AD159" s="350"/>
      <c r="AE159" s="350"/>
      <c r="AF159" s="350"/>
      <c r="AG159" s="350"/>
      <c r="AH159" s="350"/>
      <c r="AI159" s="350"/>
      <c r="AJ159" s="351"/>
      <c r="AK159" s="189"/>
      <c r="AL159" s="353"/>
      <c r="AM159" s="349">
        <f>IF(AM144=0,0,IF(AM160&lt;&gt;"",AM160,IF(AM141=elektriciteit,$H$5,
HLOOKUP(AM141,ENERGIEDRAGERS,ROWS(bibliotheek!$E$259:$E$264),FALSE))))</f>
        <v>0</v>
      </c>
      <c r="AN159" s="349">
        <f>IF(AN144=0,0,IF(AN160&lt;&gt;"",AN160,IF(AN141=elektriciteit,$H$5,
HLOOKUP(AN141,ENERGIEDRAGERS,ROWS(bibliotheek!$E$259:$E$264),FALSE))))</f>
        <v>0</v>
      </c>
      <c r="AO159" s="349">
        <f>IF(AO144=0,0,IF(AO160&lt;&gt;"",AO160,IF(AO141=elektriciteit,$H$5,
HLOOKUP(AO141,ENERGIEDRAGERS,ROWS(bibliotheek!$E$259:$E$264),FALSE))))</f>
        <v>0</v>
      </c>
      <c r="AP159" s="350"/>
      <c r="AQ159" s="350"/>
      <c r="AR159" s="350"/>
      <c r="AS159" s="350"/>
      <c r="AT159" s="350"/>
      <c r="AU159" s="350"/>
      <c r="AV159" s="351"/>
      <c r="AW159" s="189"/>
      <c r="AX159" s="353"/>
      <c r="AY159" s="349">
        <f>IF(AY144=0,0,IF(AY160&lt;&gt;"",AY160,IF(AY141=elektriciteit,$H$5,
HLOOKUP(AY141,ENERGIEDRAGERS,ROWS(bibliotheek!$E$259:$E$264),FALSE))))</f>
        <v>0</v>
      </c>
      <c r="AZ159" s="349">
        <f>IF(AZ144=0,0,IF(AZ160&lt;&gt;"",AZ160,IF(AZ141=elektriciteit,$H$5,
HLOOKUP(AZ141,ENERGIEDRAGERS,ROWS(bibliotheek!$E$259:$E$264),FALSE))))</f>
        <v>0</v>
      </c>
      <c r="BA159" s="349">
        <f>IF(BA144=0,0,IF(BA160&lt;&gt;"",BA160,IF(BA141=elektriciteit,$H$5,
HLOOKUP(BA141,ENERGIEDRAGERS,ROWS(bibliotheek!$E$259:$E$264),FALSE))))</f>
        <v>0</v>
      </c>
      <c r="BB159" s="302"/>
      <c r="BC159" s="302"/>
      <c r="BD159" s="302"/>
      <c r="BE159" s="302"/>
      <c r="BF159" s="302"/>
      <c r="BG159" s="302"/>
      <c r="BH159" s="174"/>
    </row>
    <row r="160" spans="1:60">
      <c r="A160" s="1040"/>
      <c r="B160" s="1109" t="s">
        <v>216</v>
      </c>
      <c r="C160" s="1107" t="s">
        <v>118</v>
      </c>
      <c r="D160" s="638"/>
      <c r="E160" s="1218" t="s">
        <v>208</v>
      </c>
      <c r="F160" s="255"/>
      <c r="G160" s="255"/>
      <c r="H160" s="292"/>
      <c r="I160" s="79"/>
      <c r="J160" s="299"/>
      <c r="K160" s="79"/>
      <c r="L160" s="79"/>
      <c r="M160" s="198"/>
      <c r="N160" s="161"/>
      <c r="O160" s="628"/>
      <c r="P160" s="629"/>
      <c r="Q160" s="628"/>
      <c r="R160" s="630"/>
      <c r="S160" s="630"/>
      <c r="T160" s="630"/>
      <c r="U160" s="630"/>
      <c r="V160" s="630"/>
      <c r="W160" s="630"/>
      <c r="X160" s="348"/>
      <c r="Y160" s="631"/>
      <c r="Z160" s="114"/>
      <c r="AA160" s="628"/>
      <c r="AB160" s="629"/>
      <c r="AC160" s="628"/>
      <c r="AD160" s="630"/>
      <c r="AE160" s="630"/>
      <c r="AF160" s="630"/>
      <c r="AG160" s="630"/>
      <c r="AH160" s="630"/>
      <c r="AI160" s="630"/>
      <c r="AJ160" s="348"/>
      <c r="AK160" s="631"/>
      <c r="AL160" s="114"/>
      <c r="AM160" s="628"/>
      <c r="AN160" s="629"/>
      <c r="AO160" s="628"/>
      <c r="AP160" s="630"/>
      <c r="AQ160" s="630"/>
      <c r="AR160" s="630"/>
      <c r="AS160" s="630"/>
      <c r="AT160" s="630"/>
      <c r="AU160" s="630"/>
      <c r="AV160" s="348"/>
      <c r="AW160" s="631"/>
      <c r="AX160" s="114"/>
      <c r="AY160" s="628"/>
      <c r="AZ160" s="629"/>
      <c r="BA160" s="628"/>
      <c r="BB160" s="301"/>
      <c r="BC160" s="301"/>
      <c r="BD160" s="301"/>
      <c r="BE160" s="301"/>
      <c r="BF160" s="301"/>
      <c r="BG160" s="301"/>
      <c r="BH160" s="174"/>
    </row>
    <row r="161" spans="1:60">
      <c r="A161" s="1040"/>
      <c r="B161" s="1109" t="s">
        <v>216</v>
      </c>
      <c r="C161" s="1107" t="s">
        <v>104</v>
      </c>
      <c r="D161" s="638"/>
      <c r="E161" s="180" t="s">
        <v>232</v>
      </c>
      <c r="F161" s="181"/>
      <c r="G161" s="181"/>
      <c r="H161" s="181" t="s">
        <v>108</v>
      </c>
      <c r="I161" s="79"/>
      <c r="J161" s="202">
        <f>M161+Y161+AK161+AW161</f>
        <v>0</v>
      </c>
      <c r="K161" s="1062"/>
      <c r="L161" s="1062"/>
      <c r="M161" s="202">
        <f>SUM(O161:X161)</f>
        <v>0</v>
      </c>
      <c r="N161" s="114"/>
      <c r="O161" s="168">
        <f>O$147*O$159</f>
        <v>0</v>
      </c>
      <c r="P161" s="168">
        <f>P$147*P$159</f>
        <v>0</v>
      </c>
      <c r="Q161" s="168">
        <f>Q$147*Q$159</f>
        <v>0</v>
      </c>
      <c r="R161" s="273"/>
      <c r="S161" s="273"/>
      <c r="T161" s="273"/>
      <c r="U161" s="273"/>
      <c r="V161" s="273"/>
      <c r="W161" s="273"/>
      <c r="X161" s="113"/>
      <c r="Y161" s="202">
        <f>SUM(AA161:AJ161)</f>
        <v>0</v>
      </c>
      <c r="Z161" s="114"/>
      <c r="AA161" s="168">
        <f>AA$147*AA$159</f>
        <v>0</v>
      </c>
      <c r="AB161" s="168">
        <f>AB$147*AB$159</f>
        <v>0</v>
      </c>
      <c r="AC161" s="168">
        <f>AC$147*AC$159</f>
        <v>0</v>
      </c>
      <c r="AD161" s="273"/>
      <c r="AE161" s="273"/>
      <c r="AF161" s="273"/>
      <c r="AG161" s="273"/>
      <c r="AH161" s="273"/>
      <c r="AI161" s="273"/>
      <c r="AJ161" s="113"/>
      <c r="AK161" s="202">
        <f>SUM(AM161:AV161)</f>
        <v>0</v>
      </c>
      <c r="AL161" s="114"/>
      <c r="AM161" s="168">
        <f>AM$147*AM$159</f>
        <v>0</v>
      </c>
      <c r="AN161" s="168">
        <f>AN$147*AN$159</f>
        <v>0</v>
      </c>
      <c r="AO161" s="168">
        <f>AO$147*AO$159</f>
        <v>0</v>
      </c>
      <c r="AP161" s="273"/>
      <c r="AQ161" s="273"/>
      <c r="AR161" s="273"/>
      <c r="AS161" s="273"/>
      <c r="AT161" s="273"/>
      <c r="AU161" s="273"/>
      <c r="AV161" s="113"/>
      <c r="AW161" s="202">
        <f>SUM(AY161:BH161)</f>
        <v>0</v>
      </c>
      <c r="AX161" s="114"/>
      <c r="AY161" s="168">
        <f>AY$147*AY$159</f>
        <v>0</v>
      </c>
      <c r="AZ161" s="168">
        <f>AZ$147*AZ$159</f>
        <v>0</v>
      </c>
      <c r="BA161" s="168">
        <f>BA$147*BA$159</f>
        <v>0</v>
      </c>
      <c r="BB161" s="273"/>
      <c r="BC161" s="273"/>
      <c r="BD161" s="273"/>
      <c r="BE161" s="273"/>
      <c r="BF161" s="273"/>
      <c r="BG161" s="273"/>
      <c r="BH161" s="210"/>
    </row>
    <row r="162" spans="1:60">
      <c r="A162" s="1040"/>
      <c r="B162" s="1110" t="s">
        <v>222</v>
      </c>
      <c r="C162" s="1107" t="s">
        <v>104</v>
      </c>
      <c r="D162" s="638"/>
      <c r="E162" s="79"/>
      <c r="F162" s="79"/>
      <c r="G162" s="79"/>
      <c r="H162" s="85"/>
      <c r="I162" s="79"/>
      <c r="J162" s="82"/>
      <c r="K162" s="79"/>
      <c r="L162" s="79"/>
      <c r="M162" s="82"/>
      <c r="N162" s="79"/>
      <c r="O162" s="79"/>
      <c r="P162" s="79"/>
      <c r="Q162" s="79"/>
      <c r="R162" s="82"/>
      <c r="S162" s="82"/>
      <c r="T162" s="82"/>
      <c r="U162" s="82"/>
      <c r="V162" s="82"/>
      <c r="W162" s="82"/>
      <c r="X162" s="82"/>
      <c r="Y162" s="82"/>
      <c r="Z162" s="79"/>
      <c r="AA162" s="154"/>
      <c r="AB162" s="154"/>
      <c r="AC162" s="154"/>
      <c r="AD162" s="82"/>
      <c r="AE162" s="82"/>
      <c r="AF162" s="82"/>
      <c r="AG162" s="82"/>
      <c r="AH162" s="82"/>
      <c r="AI162" s="82"/>
      <c r="AJ162" s="82"/>
      <c r="AK162" s="82"/>
      <c r="AL162" s="79"/>
      <c r="AM162" s="154"/>
      <c r="AN162" s="154"/>
      <c r="AO162" s="154"/>
      <c r="AP162" s="82"/>
      <c r="AQ162" s="82"/>
      <c r="AR162" s="82"/>
      <c r="AS162" s="82"/>
      <c r="AT162" s="82"/>
      <c r="AU162" s="82"/>
      <c r="AV162" s="82"/>
      <c r="AW162" s="82"/>
      <c r="AX162" s="79"/>
      <c r="AY162" s="154"/>
      <c r="AZ162" s="154"/>
      <c r="BA162" s="154"/>
      <c r="BB162" s="82"/>
      <c r="BC162" s="82"/>
      <c r="BD162" s="82"/>
      <c r="BE162" s="82"/>
      <c r="BF162" s="82"/>
      <c r="BG162" s="82"/>
      <c r="BH162" s="1"/>
    </row>
    <row r="163" spans="1:60">
      <c r="A163" s="1040"/>
      <c r="B163" s="1109" t="s">
        <v>223</v>
      </c>
      <c r="C163" s="1107" t="s">
        <v>96</v>
      </c>
      <c r="D163" s="638"/>
      <c r="E163" s="79"/>
      <c r="F163" s="79"/>
      <c r="G163" s="79"/>
      <c r="H163" s="85"/>
      <c r="I163" s="79"/>
      <c r="J163" s="82"/>
      <c r="K163" s="79"/>
      <c r="L163" s="79"/>
      <c r="M163" s="82"/>
      <c r="N163" s="79"/>
      <c r="O163" s="113"/>
      <c r="P163" s="82"/>
      <c r="Q163" s="82"/>
      <c r="R163" s="82"/>
      <c r="S163" s="82"/>
      <c r="T163" s="82"/>
      <c r="U163" s="82"/>
      <c r="V163" s="82"/>
      <c r="W163" s="82"/>
      <c r="X163" s="82"/>
      <c r="Y163" s="82"/>
      <c r="Z163" s="79"/>
      <c r="AA163" s="113"/>
      <c r="AB163" s="82"/>
      <c r="AC163" s="82"/>
      <c r="AD163" s="82"/>
      <c r="AE163" s="82"/>
      <c r="AF163" s="82"/>
      <c r="AG163" s="82"/>
      <c r="AH163" s="82"/>
      <c r="AI163" s="82"/>
      <c r="AJ163" s="82"/>
      <c r="AK163" s="82"/>
      <c r="AL163" s="79"/>
      <c r="AM163" s="113"/>
      <c r="AN163" s="82"/>
      <c r="AO163" s="82"/>
      <c r="AP163" s="82"/>
      <c r="AQ163" s="82"/>
      <c r="AR163" s="82"/>
      <c r="AS163" s="82"/>
      <c r="AT163" s="82"/>
      <c r="AU163" s="82"/>
      <c r="AV163" s="82"/>
      <c r="AW163" s="82"/>
      <c r="AX163" s="79"/>
      <c r="AY163" s="113"/>
      <c r="AZ163" s="82"/>
      <c r="BA163" s="82"/>
      <c r="BB163" s="82"/>
      <c r="BC163" s="82"/>
      <c r="BD163" s="82"/>
      <c r="BE163" s="82"/>
      <c r="BF163" s="82"/>
      <c r="BG163" s="82"/>
      <c r="BH163" s="1"/>
    </row>
    <row r="164" spans="1:60" ht="21">
      <c r="A164" s="1040"/>
      <c r="B164" s="1109" t="s">
        <v>223</v>
      </c>
      <c r="C164" s="1106" t="s">
        <v>96</v>
      </c>
      <c r="D164" s="641" t="s">
        <v>45</v>
      </c>
      <c r="E164" s="199" t="s">
        <v>224</v>
      </c>
      <c r="F164" s="199"/>
      <c r="G164" s="692"/>
      <c r="H164" s="176"/>
      <c r="I164" s="77"/>
      <c r="J164" s="200" t="str">
        <f>J$10</f>
        <v>alle locaties</v>
      </c>
      <c r="K164" s="126"/>
      <c r="L164" s="126"/>
      <c r="M164" s="200" t="str">
        <f>M$10</f>
        <v>locatie 1</v>
      </c>
      <c r="N164" s="182"/>
      <c r="O164" s="966" t="str">
        <f>$E164&amp;" per energiepost"</f>
        <v>energiegebruik niet voor verwarmen/koelen per energiepost</v>
      </c>
      <c r="P164" s="941"/>
      <c r="Q164" s="941"/>
      <c r="R164" s="941"/>
      <c r="S164" s="941"/>
      <c r="T164" s="941"/>
      <c r="U164" s="941"/>
      <c r="V164" s="941"/>
      <c r="W164" s="956"/>
      <c r="X164" s="174"/>
      <c r="Y164" s="200" t="str">
        <f>Y$10</f>
        <v>locatie 2</v>
      </c>
      <c r="Z164" s="182"/>
      <c r="AA164" s="966" t="str">
        <f>$E164&amp;" per energiepost"</f>
        <v>energiegebruik niet voor verwarmen/koelen per energiepost</v>
      </c>
      <c r="AB164" s="941"/>
      <c r="AC164" s="941"/>
      <c r="AD164" s="941"/>
      <c r="AE164" s="941"/>
      <c r="AF164" s="941"/>
      <c r="AG164" s="941"/>
      <c r="AH164" s="941"/>
      <c r="AI164" s="956"/>
      <c r="AJ164" s="174"/>
      <c r="AK164" s="200" t="str">
        <f>AK$10</f>
        <v>locatie 3</v>
      </c>
      <c r="AL164" s="182"/>
      <c r="AM164" s="966" t="str">
        <f>$E164&amp;" per energiepost"</f>
        <v>energiegebruik niet voor verwarmen/koelen per energiepost</v>
      </c>
      <c r="AN164" s="941"/>
      <c r="AO164" s="941"/>
      <c r="AP164" s="941"/>
      <c r="AQ164" s="941"/>
      <c r="AR164" s="941"/>
      <c r="AS164" s="941"/>
      <c r="AT164" s="941"/>
      <c r="AU164" s="956"/>
      <c r="AV164" s="174"/>
      <c r="AW164" s="200" t="str">
        <f>AW$10</f>
        <v>locatie 4</v>
      </c>
      <c r="AX164" s="182"/>
      <c r="AY164" s="966" t="str">
        <f>$E164&amp;" per energiepost"</f>
        <v>energiegebruik niet voor verwarmen/koelen per energiepost</v>
      </c>
      <c r="AZ164" s="941"/>
      <c r="BA164" s="941"/>
      <c r="BB164" s="941"/>
      <c r="BC164" s="941"/>
      <c r="BD164" s="941"/>
      <c r="BE164" s="941"/>
      <c r="BF164" s="941"/>
      <c r="BG164" s="956"/>
      <c r="BH164" s="1"/>
    </row>
    <row r="165" spans="1:60">
      <c r="A165" s="1040"/>
      <c r="B165" s="1109" t="s">
        <v>223</v>
      </c>
      <c r="C165" s="1106" t="s">
        <v>96</v>
      </c>
      <c r="D165" s="638"/>
      <c r="E165" s="940" t="s">
        <v>225</v>
      </c>
      <c r="F165" s="940"/>
      <c r="G165" s="940"/>
      <c r="H165" s="940"/>
      <c r="I165" s="77"/>
      <c r="J165" s="939"/>
      <c r="K165" s="126"/>
      <c r="L165" s="126"/>
      <c r="M165" s="938"/>
      <c r="N165" s="191"/>
      <c r="O165" s="177" t="str">
        <f t="shared" ref="O165:V165" si="119">O$10</f>
        <v>verwarming</v>
      </c>
      <c r="P165" s="177" t="str">
        <f t="shared" si="119"/>
        <v>koeling</v>
      </c>
      <c r="Q165" s="177" t="str">
        <f t="shared" si="119"/>
        <v>tapwater</v>
      </c>
      <c r="R165" s="177" t="str">
        <f t="shared" si="119"/>
        <v>verlichting</v>
      </c>
      <c r="S165" s="177" t="str">
        <f t="shared" si="119"/>
        <v>ventilatoren</v>
      </c>
      <c r="T165" s="177" t="str">
        <f t="shared" si="119"/>
        <v>kookgas</v>
      </c>
      <c r="U165" s="177" t="str">
        <f t="shared" si="119"/>
        <v>overig elektra</v>
      </c>
      <c r="V165" s="177" t="str">
        <f t="shared" si="119"/>
        <v>mobiliteit</v>
      </c>
      <c r="W165" s="177"/>
      <c r="X165" s="191"/>
      <c r="Y165" s="938"/>
      <c r="Z165" s="191"/>
      <c r="AA165" s="177" t="str">
        <f t="shared" ref="AA165:AH165" si="120">AA$10</f>
        <v>verwarming</v>
      </c>
      <c r="AB165" s="177" t="str">
        <f t="shared" si="120"/>
        <v>koeling</v>
      </c>
      <c r="AC165" s="177" t="str">
        <f t="shared" si="120"/>
        <v>tapwater</v>
      </c>
      <c r="AD165" s="177" t="str">
        <f t="shared" si="120"/>
        <v>verlichting</v>
      </c>
      <c r="AE165" s="177" t="str">
        <f t="shared" si="120"/>
        <v>ventilatoren</v>
      </c>
      <c r="AF165" s="177" t="str">
        <f t="shared" si="120"/>
        <v>kookgas</v>
      </c>
      <c r="AG165" s="177" t="str">
        <f t="shared" si="120"/>
        <v>overig elektra</v>
      </c>
      <c r="AH165" s="177" t="str">
        <f t="shared" si="120"/>
        <v>mobiliteit</v>
      </c>
      <c r="AI165" s="177"/>
      <c r="AJ165" s="191"/>
      <c r="AK165" s="938"/>
      <c r="AL165" s="191"/>
      <c r="AM165" s="177" t="str">
        <f t="shared" ref="AM165:AT165" si="121">AM$10</f>
        <v>verwarming</v>
      </c>
      <c r="AN165" s="177" t="str">
        <f t="shared" si="121"/>
        <v>koeling</v>
      </c>
      <c r="AO165" s="177" t="str">
        <f t="shared" si="121"/>
        <v>tapwater</v>
      </c>
      <c r="AP165" s="177" t="str">
        <f t="shared" si="121"/>
        <v>verlichting</v>
      </c>
      <c r="AQ165" s="177" t="str">
        <f t="shared" si="121"/>
        <v>ventilatoren</v>
      </c>
      <c r="AR165" s="177" t="str">
        <f t="shared" si="121"/>
        <v>kookgas</v>
      </c>
      <c r="AS165" s="177" t="str">
        <f t="shared" si="121"/>
        <v>overig elektra</v>
      </c>
      <c r="AT165" s="177" t="str">
        <f t="shared" si="121"/>
        <v>mobiliteit</v>
      </c>
      <c r="AU165" s="177"/>
      <c r="AV165" s="191"/>
      <c r="AW165" s="938"/>
      <c r="AX165" s="191"/>
      <c r="AY165" s="177" t="str">
        <f t="shared" ref="AY165:BF165" si="122">AY$10</f>
        <v>verwarming</v>
      </c>
      <c r="AZ165" s="177" t="str">
        <f t="shared" si="122"/>
        <v>koeling</v>
      </c>
      <c r="BA165" s="177" t="str">
        <f t="shared" si="122"/>
        <v>tapwater</v>
      </c>
      <c r="BB165" s="177" t="str">
        <f t="shared" si="122"/>
        <v>verlichting</v>
      </c>
      <c r="BC165" s="177" t="str">
        <f t="shared" si="122"/>
        <v>ventilatoren</v>
      </c>
      <c r="BD165" s="177" t="str">
        <f t="shared" si="122"/>
        <v>kookgas</v>
      </c>
      <c r="BE165" s="177" t="str">
        <f t="shared" si="122"/>
        <v>overig elektra</v>
      </c>
      <c r="BF165" s="177" t="str">
        <f t="shared" si="122"/>
        <v>mobiliteit</v>
      </c>
      <c r="BG165" s="177"/>
      <c r="BH165" s="36"/>
    </row>
    <row r="166" spans="1:60">
      <c r="A166" s="1040"/>
      <c r="B166" s="1109" t="s">
        <v>223</v>
      </c>
      <c r="C166" s="1107" t="s">
        <v>118</v>
      </c>
      <c r="D166" s="638"/>
      <c r="E166" s="254" t="s">
        <v>226</v>
      </c>
      <c r="F166" s="254"/>
      <c r="G166" s="254"/>
      <c r="H166" s="291" t="s">
        <v>213</v>
      </c>
      <c r="I166" s="191"/>
      <c r="J166" s="305"/>
      <c r="K166" s="243"/>
      <c r="L166" s="243"/>
      <c r="M166" s="299"/>
      <c r="N166" s="376"/>
      <c r="O166" s="377">
        <f>IF(O167&lt;&gt;"",O167,HLOOKUP(IF(O$83="",referentie_verwarming,O$83),toestellen_RV,ROWS(bibliotheek!$E$83:$E$118),FALSE))</f>
        <v>0</v>
      </c>
      <c r="P166" s="377">
        <f>IF(P167&lt;&gt;"",P167,HLOOKUP(IF(P$83="",referentie_koeling,P$83),toestellen_KOEL,ROWS(bibliotheek!$E$190:$E$209),FALSE))</f>
        <v>0</v>
      </c>
      <c r="Q166" s="377">
        <f>IF(Q167&lt;&gt;"",Q167,HLOOKUP(IF(Q$83="",referentie_warmtapwater,Q$83),toestellen_TAP,ROWS(bibliotheek!$E$139:$E$166),FALSE))</f>
        <v>4.4999999999999998E-2</v>
      </c>
      <c r="R166" s="378"/>
      <c r="S166" s="378"/>
      <c r="T166" s="378"/>
      <c r="U166" s="378"/>
      <c r="V166" s="378"/>
      <c r="W166" s="378"/>
      <c r="X166" s="356"/>
      <c r="Y166" s="289"/>
      <c r="Z166" s="376"/>
      <c r="AA166" s="377">
        <f>IF(AA167&lt;&gt;"",AA167,HLOOKUP(IF(AA$83="",referentie_verwarming,AA$83),toestellen_RV,ROWS(bibliotheek!$E$83:$E$118),FALSE))</f>
        <v>0</v>
      </c>
      <c r="AB166" s="377">
        <f>IF(AB167&lt;&gt;"",AB167,HLOOKUP(IF(AB$83="",referentie_koeling,AB$83),toestellen_KOEL,ROWS(bibliotheek!$E$190:$E$209),FALSE))</f>
        <v>0</v>
      </c>
      <c r="AC166" s="377">
        <f>IF(AC167&lt;&gt;"",AC167,HLOOKUP(IF(AC$83="",referentie_warmtapwater,AC$83),toestellen_TAP,ROWS(bibliotheek!$E$139:$E$166),FALSE))</f>
        <v>4.4999999999999998E-2</v>
      </c>
      <c r="AD166" s="378"/>
      <c r="AE166" s="378"/>
      <c r="AF166" s="378"/>
      <c r="AG166" s="378"/>
      <c r="AH166" s="378"/>
      <c r="AI166" s="378"/>
      <c r="AJ166" s="356"/>
      <c r="AK166" s="289"/>
      <c r="AL166" s="376"/>
      <c r="AM166" s="377">
        <f>IF(AM167&lt;&gt;"",AM167,HLOOKUP(IF(AM$83="",referentie_verwarming,AM$83),toestellen_RV,ROWS(bibliotheek!$E$83:$E$118),FALSE))</f>
        <v>0</v>
      </c>
      <c r="AN166" s="377">
        <f>IF(AN167&lt;&gt;"",AN167,HLOOKUP(IF(AN$83="",referentie_koeling,AN$83),toestellen_KOEL,ROWS(bibliotheek!$E$190:$E$209),FALSE))</f>
        <v>0</v>
      </c>
      <c r="AO166" s="377">
        <f>IF(AO167&lt;&gt;"",AO167,HLOOKUP(IF(AO$83="",referentie_warmtapwater,AO$83),toestellen_TAP,ROWS(bibliotheek!$E$139:$E$166),FALSE))</f>
        <v>4.4999999999999998E-2</v>
      </c>
      <c r="AP166" s="378"/>
      <c r="AQ166" s="378"/>
      <c r="AR166" s="378"/>
      <c r="AS166" s="378"/>
      <c r="AT166" s="378"/>
      <c r="AU166" s="378"/>
      <c r="AV166" s="356"/>
      <c r="AW166" s="289"/>
      <c r="AX166" s="376"/>
      <c r="AY166" s="377">
        <f>IF(AY167&lt;&gt;"",AY167,HLOOKUP(IF(AY$83="",referentie_verwarming,AY$83),toestellen_RV,ROWS(bibliotheek!$E$83:$E$118),FALSE))</f>
        <v>0</v>
      </c>
      <c r="AZ166" s="377">
        <f>IF(AZ167&lt;&gt;"",AZ167,HLOOKUP(IF(AZ$83="",referentie_koeling,AZ$83),toestellen_KOEL,ROWS(bibliotheek!$E$190:$E$209),FALSE))</f>
        <v>0</v>
      </c>
      <c r="BA166" s="377">
        <f>IF(BA167&lt;&gt;"",BA167,HLOOKUP(IF(BA$83="",referentie_warmtapwater,BA$83),toestellen_TAP,ROWS(bibliotheek!$E$139:$E$166),FALSE))</f>
        <v>4.4999999999999998E-2</v>
      </c>
      <c r="BB166" s="306"/>
      <c r="BC166" s="306"/>
      <c r="BD166" s="306"/>
      <c r="BE166" s="306"/>
      <c r="BF166" s="306"/>
      <c r="BG166" s="306"/>
      <c r="BH166" s="174"/>
    </row>
    <row r="167" spans="1:60">
      <c r="A167" s="1040"/>
      <c r="B167" s="1109" t="s">
        <v>223</v>
      </c>
      <c r="C167" s="1107" t="s">
        <v>118</v>
      </c>
      <c r="D167" s="638"/>
      <c r="E167" s="1218" t="s">
        <v>208</v>
      </c>
      <c r="F167" s="255"/>
      <c r="G167" s="255"/>
      <c r="H167" s="292"/>
      <c r="I167" s="191"/>
      <c r="J167" s="299"/>
      <c r="K167" s="243"/>
      <c r="L167" s="243"/>
      <c r="M167" s="299"/>
      <c r="N167" s="308"/>
      <c r="O167" s="276"/>
      <c r="P167" s="281"/>
      <c r="Q167" s="276"/>
      <c r="R167" s="309"/>
      <c r="S167" s="309"/>
      <c r="T167" s="309"/>
      <c r="U167" s="309"/>
      <c r="V167" s="309"/>
      <c r="W167" s="309"/>
      <c r="X167" s="113"/>
      <c r="Y167" s="307"/>
      <c r="Z167" s="308"/>
      <c r="AA167" s="276"/>
      <c r="AB167" s="281"/>
      <c r="AC167" s="276"/>
      <c r="AD167" s="309"/>
      <c r="AE167" s="309"/>
      <c r="AF167" s="309"/>
      <c r="AG167" s="309"/>
      <c r="AH167" s="309"/>
      <c r="AI167" s="309"/>
      <c r="AJ167" s="113"/>
      <c r="AK167" s="307"/>
      <c r="AL167" s="308"/>
      <c r="AM167" s="276"/>
      <c r="AN167" s="281"/>
      <c r="AO167" s="276"/>
      <c r="AP167" s="309"/>
      <c r="AQ167" s="309"/>
      <c r="AR167" s="309"/>
      <c r="AS167" s="309"/>
      <c r="AT167" s="309"/>
      <c r="AU167" s="309"/>
      <c r="AV167" s="113"/>
      <c r="AW167" s="307"/>
      <c r="AX167" s="308"/>
      <c r="AY167" s="276"/>
      <c r="AZ167" s="281"/>
      <c r="BA167" s="276"/>
      <c r="BB167" s="309"/>
      <c r="BC167" s="309"/>
      <c r="BD167" s="309"/>
      <c r="BE167" s="309"/>
      <c r="BF167" s="309"/>
      <c r="BG167" s="309"/>
      <c r="BH167" s="174"/>
    </row>
    <row r="168" spans="1:60">
      <c r="A168" s="1046"/>
      <c r="B168" s="1109" t="s">
        <v>223</v>
      </c>
      <c r="C168" s="1107" t="s">
        <v>118</v>
      </c>
      <c r="D168" s="643"/>
      <c r="E168" s="245" t="s">
        <v>227</v>
      </c>
      <c r="F168" s="245"/>
      <c r="G168" s="245"/>
      <c r="H168" s="201" t="s">
        <v>202</v>
      </c>
      <c r="I168" s="191"/>
      <c r="J168" s="202">
        <f>M168+Y168+AK168+AW168</f>
        <v>0</v>
      </c>
      <c r="K168" s="243"/>
      <c r="L168" s="243"/>
      <c r="M168" s="202">
        <f>SUM(O168:X168)</f>
        <v>0</v>
      </c>
      <c r="N168" s="89"/>
      <c r="O168" s="168">
        <f>O$132*O$166</f>
        <v>0</v>
      </c>
      <c r="P168" s="168">
        <f>P$132*P$166</f>
        <v>0</v>
      </c>
      <c r="Q168" s="168">
        <f>Q$132*Q$166</f>
        <v>0</v>
      </c>
      <c r="R168" s="273"/>
      <c r="S168" s="273"/>
      <c r="T168" s="273"/>
      <c r="U168" s="273"/>
      <c r="V168" s="273"/>
      <c r="W168" s="273"/>
      <c r="X168" s="106"/>
      <c r="Y168" s="202">
        <f>SUM(AA168:AJ168)</f>
        <v>0</v>
      </c>
      <c r="Z168" s="89"/>
      <c r="AA168" s="168">
        <f>AA$132*AA$166</f>
        <v>0</v>
      </c>
      <c r="AB168" s="168">
        <f>AB$132*AB$166</f>
        <v>0</v>
      </c>
      <c r="AC168" s="168">
        <f>AC$132*AC$166</f>
        <v>0</v>
      </c>
      <c r="AD168" s="273"/>
      <c r="AE168" s="273"/>
      <c r="AF168" s="273"/>
      <c r="AG168" s="273"/>
      <c r="AH168" s="273"/>
      <c r="AI168" s="273"/>
      <c r="AJ168" s="106"/>
      <c r="AK168" s="202">
        <f>SUM(AM168:AV168)</f>
        <v>0</v>
      </c>
      <c r="AL168" s="89"/>
      <c r="AM168" s="168">
        <f>AM$132*AM$166</f>
        <v>0</v>
      </c>
      <c r="AN168" s="168">
        <f>AN$132*AN$166</f>
        <v>0</v>
      </c>
      <c r="AO168" s="168">
        <f>AO$132*AO$166</f>
        <v>0</v>
      </c>
      <c r="AP168" s="273"/>
      <c r="AQ168" s="273"/>
      <c r="AR168" s="273"/>
      <c r="AS168" s="273"/>
      <c r="AT168" s="273"/>
      <c r="AU168" s="273"/>
      <c r="AV168" s="106"/>
      <c r="AW168" s="202">
        <f>SUM(AY168:BH168)</f>
        <v>0</v>
      </c>
      <c r="AX168" s="89"/>
      <c r="AY168" s="168">
        <f>AY$132*AY$166</f>
        <v>0</v>
      </c>
      <c r="AZ168" s="168">
        <f>AZ$132*AZ$166</f>
        <v>0</v>
      </c>
      <c r="BA168" s="168">
        <f>BA$132*BA$166</f>
        <v>0</v>
      </c>
      <c r="BB168" s="273"/>
      <c r="BC168" s="273"/>
      <c r="BD168" s="273"/>
      <c r="BE168" s="273"/>
      <c r="BF168" s="273"/>
      <c r="BG168" s="273"/>
      <c r="BH168" s="174"/>
    </row>
    <row r="169" spans="1:60" hidden="1">
      <c r="A169" s="1046"/>
      <c r="B169" s="1109" t="s">
        <v>223</v>
      </c>
      <c r="C169" s="1111" t="s">
        <v>181</v>
      </c>
      <c r="D169" s="643" t="s">
        <v>45</v>
      </c>
      <c r="E169" s="245" t="s">
        <v>228</v>
      </c>
      <c r="F169" s="245"/>
      <c r="G169" s="245"/>
      <c r="H169" s="201" t="s">
        <v>202</v>
      </c>
      <c r="I169" s="191"/>
      <c r="J169" s="202">
        <f>M169+Y169+AK169+AW169</f>
        <v>0</v>
      </c>
      <c r="K169" s="243"/>
      <c r="L169" s="243"/>
      <c r="M169" s="202">
        <f>SUM(O169:X169)</f>
        <v>0</v>
      </c>
      <c r="N169" s="89"/>
      <c r="O169" s="168">
        <f>IF(O31=0,0,
(O$98*IFERROR((  INDEX(bibliotheek!$E$109:$BE$109,MATCH(O$83,toestellen_RV_kopregel,0)) +
INDEX(bibliotheek!$E$110:$BE$110,MATCH(O$83,toestellen_RV_kopregel,0))  *(O$97*1000/O$98)/
(  INDEX(bibliotheek!$E$111:$BE$111,MATCH(O$83,toestellen_RV_kopregel,0)) *
INDEX(bibliotheek!$E$112:$BE$112,MATCH(O$83,toestellen_RV_kopregel,0)) ) ),0)+
O$98*INDEX(bibliotheek!$E$113:$BE$113,MATCH(O$83,toestellen_RV_kopregel,0))+
O$99*INDEX(bibliotheek!$E$114:$BE$114,MATCH(O$83,toestellen_RV_kopregel,0)))/1000)</f>
        <v>0</v>
      </c>
      <c r="P169" s="273"/>
      <c r="Q169" s="273"/>
      <c r="R169" s="168">
        <f>R$78</f>
        <v>0</v>
      </c>
      <c r="S169" s="168">
        <f>S$78</f>
        <v>0</v>
      </c>
      <c r="T169" s="273"/>
      <c r="U169" s="168">
        <f>U$78</f>
        <v>0</v>
      </c>
      <c r="V169" s="168">
        <f>V$78</f>
        <v>0</v>
      </c>
      <c r="W169" s="273"/>
      <c r="X169" s="106"/>
      <c r="Y169" s="202">
        <f>SUM(AA169:AJ169)</f>
        <v>0</v>
      </c>
      <c r="Z169" s="89"/>
      <c r="AA169" s="168">
        <f>IF(AA31=0,0,
(AA$98*IFERROR((  INDEX(bibliotheek!$E$109:$BE$109,MATCH(AA$83,toestellen_RV_kopregel,0)) +
INDEX(bibliotheek!$E$110:$BE$110,MATCH(AA$83,toestellen_RV_kopregel,0))  *(AA$97*1000/AA$98)/
(  INDEX(bibliotheek!$E$111:$BE$111,MATCH(AA$83,toestellen_RV_kopregel,0)) *
INDEX(bibliotheek!$E$112:$BE$112,MATCH(AA$83,toestellen_RV_kopregel,0)) ) ),0)+
AA$98*INDEX(bibliotheek!$E$113:$BE$113,MATCH(AA$83,toestellen_RV_kopregel,0))+
AA$99*INDEX(bibliotheek!$E$114:$BE$114,MATCH(AA$83,toestellen_RV_kopregel,0)))/1000)</f>
        <v>0</v>
      </c>
      <c r="AB169" s="273"/>
      <c r="AC169" s="273"/>
      <c r="AD169" s="168">
        <f>AD$78</f>
        <v>0</v>
      </c>
      <c r="AE169" s="168">
        <f>AE$78</f>
        <v>0</v>
      </c>
      <c r="AF169" s="273"/>
      <c r="AG169" s="168">
        <f>AG$78</f>
        <v>0</v>
      </c>
      <c r="AH169" s="168">
        <f>AH$78</f>
        <v>0</v>
      </c>
      <c r="AI169" s="273"/>
      <c r="AJ169" s="106"/>
      <c r="AK169" s="202">
        <f>SUM(AM169:AV169)</f>
        <v>0</v>
      </c>
      <c r="AL169" s="89"/>
      <c r="AM169" s="168">
        <f>IF(AM31=0,0,
(AM$98*IFERROR((  INDEX(bibliotheek!$E$109:$BE$109,MATCH(AM$83,toestellen_RV_kopregel,0)) +
INDEX(bibliotheek!$E$110:$BE$110,MATCH(AM$83,toestellen_RV_kopregel,0))  *(AM$97*1000/AM$98)/
(  INDEX(bibliotheek!$E$111:$BE$111,MATCH(AM$83,toestellen_RV_kopregel,0)) *
INDEX(bibliotheek!$E$112:$BE$112,MATCH(AM$83,toestellen_RV_kopregel,0)) ) ),0)+
AM$98*INDEX(bibliotheek!$E$113:$BE$113,MATCH(AM$83,toestellen_RV_kopregel,0))+
AM$99*INDEX(bibliotheek!$E$114:$BE$114,MATCH(AM$83,toestellen_RV_kopregel,0)))/1000)</f>
        <v>0</v>
      </c>
      <c r="AN169" s="273"/>
      <c r="AO169" s="273"/>
      <c r="AP169" s="168">
        <f>AP$78</f>
        <v>0</v>
      </c>
      <c r="AQ169" s="168">
        <f>AQ$78</f>
        <v>0</v>
      </c>
      <c r="AR169" s="273"/>
      <c r="AS169" s="168">
        <f>AS$78</f>
        <v>0</v>
      </c>
      <c r="AT169" s="168">
        <f>AT$78</f>
        <v>0</v>
      </c>
      <c r="AU169" s="273"/>
      <c r="AV169" s="106"/>
      <c r="AW169" s="202">
        <f>SUM(AY169:BH169)</f>
        <v>0</v>
      </c>
      <c r="AX169" s="89"/>
      <c r="AY169" s="168">
        <f>IF(AY31=0,0,
(AY$98*IFERROR((  INDEX(bibliotheek!$E$109:$BE$109,MATCH(AY$83,toestellen_RV_kopregel,0)) +
INDEX(bibliotheek!$E$110:$BE$110,MATCH(AY$83,toestellen_RV_kopregel,0))  *(AY$97*1000/AY$98)/
(  INDEX(bibliotheek!$E$111:$BE$111,MATCH(AY$83,toestellen_RV_kopregel,0)) *
INDEX(bibliotheek!$E$112:$BE$112,MATCH(AY$83,toestellen_RV_kopregel,0)) ) ),0)+
AY$98*INDEX(bibliotheek!$E$113:$BE$113,MATCH(AY$83,toestellen_RV_kopregel,0))+
AY$99*INDEX(bibliotheek!$E$114:$BE$114,MATCH(AY$83,toestellen_RV_kopregel,0)))/1000)</f>
        <v>0</v>
      </c>
      <c r="AZ169" s="273"/>
      <c r="BA169" s="273"/>
      <c r="BB169" s="168">
        <f>BB$78</f>
        <v>0</v>
      </c>
      <c r="BC169" s="168">
        <f>BC$78</f>
        <v>0</v>
      </c>
      <c r="BD169" s="273"/>
      <c r="BE169" s="168">
        <f>BE$78</f>
        <v>0</v>
      </c>
      <c r="BF169" s="168">
        <f>BF$78</f>
        <v>0</v>
      </c>
      <c r="BG169" s="273"/>
      <c r="BH169" s="174"/>
    </row>
    <row r="170" spans="1:60" hidden="1">
      <c r="A170" s="1046"/>
      <c r="B170" s="1109" t="s">
        <v>223</v>
      </c>
      <c r="C170" s="1111" t="s">
        <v>181</v>
      </c>
      <c r="D170" s="643"/>
      <c r="E170" s="245" t="s">
        <v>229</v>
      </c>
      <c r="F170" s="245"/>
      <c r="G170" s="245"/>
      <c r="H170" s="201" t="s">
        <v>202</v>
      </c>
      <c r="I170" s="191"/>
      <c r="J170" s="202">
        <f>M170+Y170+AK170+AW170</f>
        <v>0</v>
      </c>
      <c r="K170" s="243"/>
      <c r="L170" s="243"/>
      <c r="M170" s="202">
        <f>SUM(O170:X170)</f>
        <v>0</v>
      </c>
      <c r="N170" s="89"/>
      <c r="O170" s="168">
        <f>O$97*O$133+IF(O$114=0,0,O115/O$114)</f>
        <v>0</v>
      </c>
      <c r="P170" s="168">
        <f>P$97*P$133+IF(P$114=0,0,P115/P$114)</f>
        <v>0</v>
      </c>
      <c r="Q170" s="168">
        <f>Q$97*Q$133+IF(Q$114=0,0,Q115/Q$114)</f>
        <v>0</v>
      </c>
      <c r="R170" s="273"/>
      <c r="S170" s="273"/>
      <c r="T170" s="273"/>
      <c r="U170" s="273"/>
      <c r="V170" s="273"/>
      <c r="W170" s="273"/>
      <c r="X170" s="106"/>
      <c r="Y170" s="202">
        <f>SUM(AA170:AJ170)</f>
        <v>0</v>
      </c>
      <c r="Z170" s="89"/>
      <c r="AA170" s="168">
        <f>AA$97*AA$133+IF(AA$114=0,0,AA115/AA$114)</f>
        <v>0</v>
      </c>
      <c r="AB170" s="168">
        <f>AB$97*AB$133+IF(AB$114=0,0,AB115/AB$114)</f>
        <v>0</v>
      </c>
      <c r="AC170" s="168">
        <f>AC$97*AC$133+IF(AC$114=0,0,AC115/AC$114)</f>
        <v>0</v>
      </c>
      <c r="AD170" s="273"/>
      <c r="AE170" s="273"/>
      <c r="AF170" s="273"/>
      <c r="AG170" s="273"/>
      <c r="AH170" s="273"/>
      <c r="AI170" s="273"/>
      <c r="AJ170" s="106"/>
      <c r="AK170" s="202">
        <f>SUM(AM170:AV170)</f>
        <v>0</v>
      </c>
      <c r="AL170" s="89"/>
      <c r="AM170" s="168">
        <f>AM$97*AM$133+IF(AM$114=0,0,AM115/AM$114)</f>
        <v>0</v>
      </c>
      <c r="AN170" s="168">
        <f>AN$97*AN$133+IF(AN$114=0,0,AN115/AN$114)</f>
        <v>0</v>
      </c>
      <c r="AO170" s="168">
        <f>AO$97*AO$133+IF(AO$114=0,0,AO115/AO$114)</f>
        <v>0</v>
      </c>
      <c r="AP170" s="273"/>
      <c r="AQ170" s="273"/>
      <c r="AR170" s="273"/>
      <c r="AS170" s="273"/>
      <c r="AT170" s="273"/>
      <c r="AU170" s="273"/>
      <c r="AV170" s="106"/>
      <c r="AW170" s="202">
        <f>SUM(AY170:BH170)</f>
        <v>0</v>
      </c>
      <c r="AX170" s="89"/>
      <c r="AY170" s="168">
        <f>AY$97*AY$133+IF(AY$114=0,0,AY115/AY$114)</f>
        <v>0</v>
      </c>
      <c r="AZ170" s="168">
        <f>AZ$97*AZ$133+IF(AZ$114=0,0,AZ115/AZ$114)</f>
        <v>0</v>
      </c>
      <c r="BA170" s="168">
        <f>BA$97*BA$133+IF(BA$114=0,0,BA115/BA$114)</f>
        <v>0</v>
      </c>
      <c r="BB170" s="273"/>
      <c r="BC170" s="273"/>
      <c r="BD170" s="273"/>
      <c r="BE170" s="273"/>
      <c r="BF170" s="273"/>
      <c r="BG170" s="273"/>
      <c r="BH170" s="174"/>
    </row>
    <row r="171" spans="1:60" hidden="1">
      <c r="A171" s="1046"/>
      <c r="B171" s="1109" t="s">
        <v>223</v>
      </c>
      <c r="C171" s="1111" t="s">
        <v>181</v>
      </c>
      <c r="D171" s="643"/>
      <c r="E171" s="245" t="s">
        <v>100</v>
      </c>
      <c r="F171" s="245"/>
      <c r="G171" s="245"/>
      <c r="H171" s="201" t="s">
        <v>202</v>
      </c>
      <c r="I171" s="191"/>
      <c r="J171" s="202">
        <f>M171+Y171+AK171+AW171</f>
        <v>0</v>
      </c>
      <c r="K171" s="243"/>
      <c r="L171" s="243"/>
      <c r="M171" s="202">
        <f>SUM(O171:X171)</f>
        <v>0</v>
      </c>
      <c r="N171" s="89"/>
      <c r="O171" s="273"/>
      <c r="P171" s="273"/>
      <c r="Q171" s="273"/>
      <c r="R171" s="273"/>
      <c r="S171" s="273"/>
      <c r="T171" s="168">
        <f>T78</f>
        <v>0</v>
      </c>
      <c r="U171" s="273"/>
      <c r="V171" s="273"/>
      <c r="W171" s="273"/>
      <c r="X171" s="106"/>
      <c r="Y171" s="202">
        <f>SUM(AA171:AJ171)</f>
        <v>0</v>
      </c>
      <c r="Z171" s="89"/>
      <c r="AA171" s="168"/>
      <c r="AB171" s="168"/>
      <c r="AC171" s="168"/>
      <c r="AD171" s="273"/>
      <c r="AE171" s="273"/>
      <c r="AF171" s="168">
        <f>AF78</f>
        <v>0</v>
      </c>
      <c r="AG171" s="273"/>
      <c r="AH171" s="273"/>
      <c r="AI171" s="273"/>
      <c r="AJ171" s="106"/>
      <c r="AK171" s="202">
        <f>SUM(AM171:AV171)</f>
        <v>0</v>
      </c>
      <c r="AL171" s="89"/>
      <c r="AM171" s="168"/>
      <c r="AN171" s="168"/>
      <c r="AO171" s="168"/>
      <c r="AP171" s="273"/>
      <c r="AQ171" s="273"/>
      <c r="AR171" s="168">
        <f>AR78</f>
        <v>0</v>
      </c>
      <c r="AS171" s="273"/>
      <c r="AT171" s="273"/>
      <c r="AU171" s="273"/>
      <c r="AV171" s="106"/>
      <c r="AW171" s="202">
        <f>SUM(AY171:BH171)</f>
        <v>0</v>
      </c>
      <c r="AX171" s="89"/>
      <c r="AY171" s="168"/>
      <c r="AZ171" s="168"/>
      <c r="BA171" s="168"/>
      <c r="BB171" s="273"/>
      <c r="BC171" s="273"/>
      <c r="BD171" s="168">
        <f>BD78</f>
        <v>0</v>
      </c>
      <c r="BE171" s="273"/>
      <c r="BF171" s="273"/>
      <c r="BG171" s="273"/>
      <c r="BH171" s="174"/>
    </row>
    <row r="172" spans="1:60">
      <c r="A172" s="1040"/>
      <c r="B172" s="1109" t="s">
        <v>223</v>
      </c>
      <c r="C172" s="1106" t="s">
        <v>96</v>
      </c>
      <c r="D172" s="638"/>
      <c r="E172" s="940" t="s">
        <v>1313</v>
      </c>
      <c r="F172" s="940"/>
      <c r="G172" s="940"/>
      <c r="H172" s="940"/>
      <c r="I172" s="77"/>
      <c r="J172" s="939"/>
      <c r="K172" s="126"/>
      <c r="L172" s="126"/>
      <c r="M172" s="938"/>
      <c r="N172" s="191"/>
      <c r="O172" s="177" t="str">
        <f t="shared" ref="O172:V172" si="123">O$10</f>
        <v>verwarming</v>
      </c>
      <c r="P172" s="177" t="str">
        <f t="shared" si="123"/>
        <v>koeling</v>
      </c>
      <c r="Q172" s="177" t="str">
        <f t="shared" si="123"/>
        <v>tapwater</v>
      </c>
      <c r="R172" s="177" t="str">
        <f t="shared" si="123"/>
        <v>verlichting</v>
      </c>
      <c r="S172" s="177" t="str">
        <f t="shared" si="123"/>
        <v>ventilatoren</v>
      </c>
      <c r="T172" s="177" t="str">
        <f t="shared" si="123"/>
        <v>kookgas</v>
      </c>
      <c r="U172" s="177" t="str">
        <f t="shared" si="123"/>
        <v>overig elektra</v>
      </c>
      <c r="V172" s="177" t="str">
        <f t="shared" si="123"/>
        <v>mobiliteit</v>
      </c>
      <c r="W172" s="177"/>
      <c r="X172" s="191"/>
      <c r="Y172" s="938"/>
      <c r="Z172" s="191"/>
      <c r="AA172" s="177" t="str">
        <f t="shared" ref="AA172:AH172" si="124">AA$10</f>
        <v>verwarming</v>
      </c>
      <c r="AB172" s="177" t="str">
        <f t="shared" si="124"/>
        <v>koeling</v>
      </c>
      <c r="AC172" s="177" t="str">
        <f t="shared" si="124"/>
        <v>tapwater</v>
      </c>
      <c r="AD172" s="177" t="str">
        <f t="shared" si="124"/>
        <v>verlichting</v>
      </c>
      <c r="AE172" s="177" t="str">
        <f t="shared" si="124"/>
        <v>ventilatoren</v>
      </c>
      <c r="AF172" s="177" t="str">
        <f t="shared" si="124"/>
        <v>kookgas</v>
      </c>
      <c r="AG172" s="177" t="str">
        <f t="shared" si="124"/>
        <v>overig elektra</v>
      </c>
      <c r="AH172" s="177" t="str">
        <f t="shared" si="124"/>
        <v>mobiliteit</v>
      </c>
      <c r="AI172" s="177"/>
      <c r="AJ172" s="191"/>
      <c r="AK172" s="938"/>
      <c r="AL172" s="191"/>
      <c r="AM172" s="177" t="str">
        <f t="shared" ref="AM172:AT172" si="125">AM$10</f>
        <v>verwarming</v>
      </c>
      <c r="AN172" s="177" t="str">
        <f t="shared" si="125"/>
        <v>koeling</v>
      </c>
      <c r="AO172" s="177" t="str">
        <f t="shared" si="125"/>
        <v>tapwater</v>
      </c>
      <c r="AP172" s="177" t="str">
        <f t="shared" si="125"/>
        <v>verlichting</v>
      </c>
      <c r="AQ172" s="177" t="str">
        <f t="shared" si="125"/>
        <v>ventilatoren</v>
      </c>
      <c r="AR172" s="177" t="str">
        <f t="shared" si="125"/>
        <v>kookgas</v>
      </c>
      <c r="AS172" s="177" t="str">
        <f t="shared" si="125"/>
        <v>overig elektra</v>
      </c>
      <c r="AT172" s="177" t="str">
        <f t="shared" si="125"/>
        <v>mobiliteit</v>
      </c>
      <c r="AU172" s="177"/>
      <c r="AV172" s="191"/>
      <c r="AW172" s="938"/>
      <c r="AX172" s="191"/>
      <c r="AY172" s="177" t="str">
        <f t="shared" ref="AY172:BF172" si="126">AY$10</f>
        <v>verwarming</v>
      </c>
      <c r="AZ172" s="177" t="str">
        <f t="shared" si="126"/>
        <v>koeling</v>
      </c>
      <c r="BA172" s="177" t="str">
        <f t="shared" si="126"/>
        <v>tapwater</v>
      </c>
      <c r="BB172" s="177" t="str">
        <f t="shared" si="126"/>
        <v>verlichting</v>
      </c>
      <c r="BC172" s="177" t="str">
        <f t="shared" si="126"/>
        <v>ventilatoren</v>
      </c>
      <c r="BD172" s="177" t="str">
        <f t="shared" si="126"/>
        <v>kookgas</v>
      </c>
      <c r="BE172" s="177" t="str">
        <f t="shared" si="126"/>
        <v>overig elektra</v>
      </c>
      <c r="BF172" s="177" t="str">
        <f t="shared" si="126"/>
        <v>mobiliteit</v>
      </c>
      <c r="BG172" s="177"/>
      <c r="BH172" s="36"/>
    </row>
    <row r="173" spans="1:60" hidden="1">
      <c r="A173" s="1040"/>
      <c r="B173" s="1109" t="s">
        <v>223</v>
      </c>
      <c r="C173" s="1107" t="s">
        <v>181</v>
      </c>
      <c r="D173" s="638"/>
      <c r="E173" s="1172" t="s">
        <v>1350</v>
      </c>
      <c r="F173" s="1172"/>
      <c r="G173" s="254"/>
      <c r="H173" s="291" t="s">
        <v>204</v>
      </c>
      <c r="I173" s="191"/>
      <c r="J173" s="189"/>
      <c r="K173" s="79"/>
      <c r="L173" s="79"/>
      <c r="M173" s="189"/>
      <c r="N173" s="116"/>
      <c r="O173" s="151">
        <f>$G$5</f>
        <v>1.45</v>
      </c>
      <c r="P173" s="151">
        <f>$G$5</f>
        <v>1.45</v>
      </c>
      <c r="Q173" s="151">
        <f>$G$5</f>
        <v>1.45</v>
      </c>
      <c r="R173" s="151">
        <f>$G$5</f>
        <v>1.45</v>
      </c>
      <c r="S173" s="151">
        <f>$G$5</f>
        <v>1.45</v>
      </c>
      <c r="T173" s="151">
        <f>bibliotheek!$K$261</f>
        <v>1</v>
      </c>
      <c r="U173" s="151">
        <f>$G$5</f>
        <v>1.45</v>
      </c>
      <c r="V173" s="151">
        <f>$G$5</f>
        <v>1.45</v>
      </c>
      <c r="W173" s="384"/>
      <c r="X173" s="123"/>
      <c r="Y173" s="613"/>
      <c r="Z173" s="614"/>
      <c r="AA173" s="151">
        <f>$G$5</f>
        <v>1.45</v>
      </c>
      <c r="AB173" s="151">
        <f>$G$5</f>
        <v>1.45</v>
      </c>
      <c r="AC173" s="151">
        <f>$G$5</f>
        <v>1.45</v>
      </c>
      <c r="AD173" s="151">
        <f>$G$5</f>
        <v>1.45</v>
      </c>
      <c r="AE173" s="151">
        <f>$G$5</f>
        <v>1.45</v>
      </c>
      <c r="AF173" s="227">
        <f>bibliotheek!$K$261</f>
        <v>1</v>
      </c>
      <c r="AG173" s="151">
        <f>$G$5</f>
        <v>1.45</v>
      </c>
      <c r="AH173" s="151">
        <f>$G$5</f>
        <v>1.45</v>
      </c>
      <c r="AI173" s="384"/>
      <c r="AJ173" s="123"/>
      <c r="AK173" s="613"/>
      <c r="AL173" s="614"/>
      <c r="AM173" s="151">
        <f>$G$5</f>
        <v>1.45</v>
      </c>
      <c r="AN173" s="151">
        <f>$G$5</f>
        <v>1.45</v>
      </c>
      <c r="AO173" s="151">
        <f>$G$5</f>
        <v>1.45</v>
      </c>
      <c r="AP173" s="151">
        <f>$G$5</f>
        <v>1.45</v>
      </c>
      <c r="AQ173" s="151">
        <f>$G$5</f>
        <v>1.45</v>
      </c>
      <c r="AR173" s="227">
        <f>bibliotheek!$K$261</f>
        <v>1</v>
      </c>
      <c r="AS173" s="151">
        <f>$G$5</f>
        <v>1.45</v>
      </c>
      <c r="AT173" s="151">
        <f>$G$5</f>
        <v>1.45</v>
      </c>
      <c r="AU173" s="384"/>
      <c r="AV173" s="123"/>
      <c r="AW173" s="613"/>
      <c r="AX173" s="614"/>
      <c r="AY173" s="151">
        <f>$G$5</f>
        <v>1.45</v>
      </c>
      <c r="AZ173" s="151">
        <f>$G$5</f>
        <v>1.45</v>
      </c>
      <c r="BA173" s="151">
        <f>$G$5</f>
        <v>1.45</v>
      </c>
      <c r="BB173" s="151">
        <f>$G$5</f>
        <v>1.45</v>
      </c>
      <c r="BC173" s="151">
        <f>$G$5</f>
        <v>1.45</v>
      </c>
      <c r="BD173" s="227">
        <f>bibliotheek!$K$261</f>
        <v>1</v>
      </c>
      <c r="BE173" s="151">
        <f>$G$5</f>
        <v>1.45</v>
      </c>
      <c r="BF173" s="151">
        <f>$G$5</f>
        <v>1.45</v>
      </c>
      <c r="BG173" s="384"/>
      <c r="BH173" s="174"/>
    </row>
    <row r="174" spans="1:60">
      <c r="A174" s="1046"/>
      <c r="B174" s="1109" t="s">
        <v>223</v>
      </c>
      <c r="C174" s="1111" t="s">
        <v>104</v>
      </c>
      <c r="D174" s="643" t="s">
        <v>45</v>
      </c>
      <c r="E174" s="1173" t="s">
        <v>232</v>
      </c>
      <c r="F174" s="1174"/>
      <c r="G174" s="201"/>
      <c r="H174" s="201" t="s">
        <v>106</v>
      </c>
      <c r="I174" s="191"/>
      <c r="J174" s="202">
        <f>M174+Y174+AK174+AW174</f>
        <v>0</v>
      </c>
      <c r="K174" s="1062"/>
      <c r="L174" s="1062"/>
      <c r="M174" s="202">
        <f>SUM(O174:X174)</f>
        <v>0</v>
      </c>
      <c r="N174" s="89"/>
      <c r="O174" s="168">
        <f t="shared" ref="O174:V174" si="127">SUM(O$168:O$171)*O$173</f>
        <v>0</v>
      </c>
      <c r="P174" s="168">
        <f t="shared" si="127"/>
        <v>0</v>
      </c>
      <c r="Q174" s="168">
        <f t="shared" si="127"/>
        <v>0</v>
      </c>
      <c r="R174" s="168">
        <f t="shared" si="127"/>
        <v>0</v>
      </c>
      <c r="S174" s="168">
        <f t="shared" si="127"/>
        <v>0</v>
      </c>
      <c r="T174" s="168">
        <f t="shared" si="127"/>
        <v>0</v>
      </c>
      <c r="U174" s="168">
        <f>SUM(U$168:U$171)*U$173</f>
        <v>0</v>
      </c>
      <c r="V174" s="168">
        <f t="shared" si="127"/>
        <v>0</v>
      </c>
      <c r="W174" s="273"/>
      <c r="X174" s="113"/>
      <c r="Y174" s="202">
        <f>SUM(AA174:AJ174)</f>
        <v>0</v>
      </c>
      <c r="Z174" s="89"/>
      <c r="AA174" s="168">
        <f t="shared" ref="AA174:AH174" si="128">SUM(AA$168:AA$171)*AA$173</f>
        <v>0</v>
      </c>
      <c r="AB174" s="168">
        <f t="shared" si="128"/>
        <v>0</v>
      </c>
      <c r="AC174" s="168">
        <f t="shared" si="128"/>
        <v>0</v>
      </c>
      <c r="AD174" s="168">
        <f t="shared" si="128"/>
        <v>0</v>
      </c>
      <c r="AE174" s="168">
        <f t="shared" si="128"/>
        <v>0</v>
      </c>
      <c r="AF174" s="168">
        <f t="shared" si="128"/>
        <v>0</v>
      </c>
      <c r="AG174" s="168">
        <f t="shared" si="128"/>
        <v>0</v>
      </c>
      <c r="AH174" s="168">
        <f t="shared" si="128"/>
        <v>0</v>
      </c>
      <c r="AI174" s="273"/>
      <c r="AJ174" s="113"/>
      <c r="AK174" s="202">
        <f>SUM(AM174:AV174)</f>
        <v>0</v>
      </c>
      <c r="AL174" s="89"/>
      <c r="AM174" s="168">
        <f>SUM(AM$168:AM$171)*AM$173</f>
        <v>0</v>
      </c>
      <c r="AN174" s="168">
        <f t="shared" ref="AN174:AT174" si="129">SUM(AN$168:AN$171)*AN$173</f>
        <v>0</v>
      </c>
      <c r="AO174" s="168">
        <f t="shared" si="129"/>
        <v>0</v>
      </c>
      <c r="AP174" s="168">
        <f t="shared" si="129"/>
        <v>0</v>
      </c>
      <c r="AQ174" s="168">
        <f t="shared" si="129"/>
        <v>0</v>
      </c>
      <c r="AR174" s="168">
        <f t="shared" si="129"/>
        <v>0</v>
      </c>
      <c r="AS174" s="168">
        <f t="shared" si="129"/>
        <v>0</v>
      </c>
      <c r="AT174" s="168">
        <f t="shared" si="129"/>
        <v>0</v>
      </c>
      <c r="AU174" s="273"/>
      <c r="AV174" s="113"/>
      <c r="AW174" s="202">
        <f>SUM(AY174:BH174)</f>
        <v>0</v>
      </c>
      <c r="AX174" s="89"/>
      <c r="AY174" s="168">
        <f>SUM(AY$168:AY$171)*AY$173</f>
        <v>0</v>
      </c>
      <c r="AZ174" s="168">
        <f t="shared" ref="AZ174:BF174" si="130">SUM(AZ$168:AZ$171)*AZ$173</f>
        <v>0</v>
      </c>
      <c r="BA174" s="168">
        <f t="shared" si="130"/>
        <v>0</v>
      </c>
      <c r="BB174" s="168">
        <f t="shared" si="130"/>
        <v>0</v>
      </c>
      <c r="BC174" s="168">
        <f t="shared" si="130"/>
        <v>0</v>
      </c>
      <c r="BD174" s="168">
        <f t="shared" si="130"/>
        <v>0</v>
      </c>
      <c r="BE174" s="168">
        <f t="shared" si="130"/>
        <v>0</v>
      </c>
      <c r="BF174" s="168">
        <f t="shared" si="130"/>
        <v>0</v>
      </c>
      <c r="BG174" s="273"/>
      <c r="BH174" s="174"/>
    </row>
    <row r="175" spans="1:60">
      <c r="A175" s="1046"/>
      <c r="B175" s="1109" t="s">
        <v>223</v>
      </c>
      <c r="C175" s="1106" t="s">
        <v>96</v>
      </c>
      <c r="D175" s="638"/>
      <c r="E175" s="940" t="s">
        <v>1202</v>
      </c>
      <c r="F175" s="940"/>
      <c r="G175" s="940"/>
      <c r="H175" s="940"/>
      <c r="I175" s="77"/>
      <c r="J175" s="939"/>
      <c r="K175" s="126"/>
      <c r="L175" s="126"/>
      <c r="M175" s="938"/>
      <c r="N175" s="191"/>
      <c r="O175" s="177" t="str">
        <f t="shared" ref="O175:V175" si="131">O$10</f>
        <v>verwarming</v>
      </c>
      <c r="P175" s="177" t="str">
        <f t="shared" si="131"/>
        <v>koeling</v>
      </c>
      <c r="Q175" s="177" t="str">
        <f t="shared" si="131"/>
        <v>tapwater</v>
      </c>
      <c r="R175" s="177" t="str">
        <f t="shared" si="131"/>
        <v>verlichting</v>
      </c>
      <c r="S175" s="177" t="str">
        <f t="shared" si="131"/>
        <v>ventilatoren</v>
      </c>
      <c r="T175" s="177" t="str">
        <f t="shared" si="131"/>
        <v>kookgas</v>
      </c>
      <c r="U175" s="177" t="str">
        <f t="shared" si="131"/>
        <v>overig elektra</v>
      </c>
      <c r="V175" s="177" t="str">
        <f t="shared" si="131"/>
        <v>mobiliteit</v>
      </c>
      <c r="W175" s="177"/>
      <c r="X175" s="113"/>
      <c r="Y175" s="938"/>
      <c r="Z175" s="191"/>
      <c r="AA175" s="177" t="str">
        <f t="shared" ref="AA175:AH175" si="132">AA$10</f>
        <v>verwarming</v>
      </c>
      <c r="AB175" s="177" t="str">
        <f t="shared" si="132"/>
        <v>koeling</v>
      </c>
      <c r="AC175" s="177" t="str">
        <f t="shared" si="132"/>
        <v>tapwater</v>
      </c>
      <c r="AD175" s="177" t="str">
        <f t="shared" si="132"/>
        <v>verlichting</v>
      </c>
      <c r="AE175" s="177" t="str">
        <f t="shared" si="132"/>
        <v>ventilatoren</v>
      </c>
      <c r="AF175" s="177" t="str">
        <f t="shared" si="132"/>
        <v>kookgas</v>
      </c>
      <c r="AG175" s="177" t="str">
        <f t="shared" si="132"/>
        <v>overig elektra</v>
      </c>
      <c r="AH175" s="177" t="str">
        <f t="shared" si="132"/>
        <v>mobiliteit</v>
      </c>
      <c r="AI175" s="177"/>
      <c r="AJ175" s="113"/>
      <c r="AK175" s="938"/>
      <c r="AL175" s="191"/>
      <c r="AM175" s="177" t="str">
        <f t="shared" ref="AM175:AT175" si="133">AM$10</f>
        <v>verwarming</v>
      </c>
      <c r="AN175" s="177" t="str">
        <f t="shared" si="133"/>
        <v>koeling</v>
      </c>
      <c r="AO175" s="177" t="str">
        <f t="shared" si="133"/>
        <v>tapwater</v>
      </c>
      <c r="AP175" s="177" t="str">
        <f t="shared" si="133"/>
        <v>verlichting</v>
      </c>
      <c r="AQ175" s="177" t="str">
        <f t="shared" si="133"/>
        <v>ventilatoren</v>
      </c>
      <c r="AR175" s="177" t="str">
        <f t="shared" si="133"/>
        <v>kookgas</v>
      </c>
      <c r="AS175" s="177" t="str">
        <f t="shared" si="133"/>
        <v>overig elektra</v>
      </c>
      <c r="AT175" s="177" t="str">
        <f t="shared" si="133"/>
        <v>mobiliteit</v>
      </c>
      <c r="AU175" s="177"/>
      <c r="AV175" s="113"/>
      <c r="AW175" s="938"/>
      <c r="AX175" s="191"/>
      <c r="AY175" s="177" t="str">
        <f t="shared" ref="AY175:BF175" si="134">AY$10</f>
        <v>verwarming</v>
      </c>
      <c r="AZ175" s="177" t="str">
        <f t="shared" si="134"/>
        <v>koeling</v>
      </c>
      <c r="BA175" s="177" t="str">
        <f t="shared" si="134"/>
        <v>tapwater</v>
      </c>
      <c r="BB175" s="177" t="str">
        <f t="shared" si="134"/>
        <v>verlichting</v>
      </c>
      <c r="BC175" s="177" t="str">
        <f t="shared" si="134"/>
        <v>ventilatoren</v>
      </c>
      <c r="BD175" s="177" t="str">
        <f t="shared" si="134"/>
        <v>kookgas</v>
      </c>
      <c r="BE175" s="177" t="str">
        <f t="shared" si="134"/>
        <v>overig elektra</v>
      </c>
      <c r="BF175" s="177" t="str">
        <f t="shared" si="134"/>
        <v>mobiliteit</v>
      </c>
      <c r="BG175" s="177"/>
      <c r="BH175" s="174"/>
    </row>
    <row r="176" spans="1:60" hidden="1">
      <c r="A176" s="1046"/>
      <c r="B176" s="1109" t="s">
        <v>223</v>
      </c>
      <c r="C176" s="1107" t="s">
        <v>181</v>
      </c>
      <c r="D176" s="638"/>
      <c r="E176" s="1171" t="s">
        <v>1351</v>
      </c>
      <c r="F176" s="1172"/>
      <c r="G176" s="254"/>
      <c r="H176" s="181" t="s">
        <v>1208</v>
      </c>
      <c r="I176" s="191"/>
      <c r="J176" s="1014"/>
      <c r="K176" s="1062"/>
      <c r="L176" s="1062"/>
      <c r="M176" s="202"/>
      <c r="N176" s="89"/>
      <c r="O176" s="227">
        <f>bibliotheek!$I$307</f>
        <v>1.35</v>
      </c>
      <c r="P176" s="227">
        <f>bibliotheek!$I$307</f>
        <v>1.35</v>
      </c>
      <c r="Q176" s="227">
        <f>bibliotheek!$I$307</f>
        <v>1.35</v>
      </c>
      <c r="R176" s="227">
        <f>bibliotheek!$I$307</f>
        <v>1.35</v>
      </c>
      <c r="S176" s="227">
        <f>bibliotheek!$I$307</f>
        <v>1.35</v>
      </c>
      <c r="T176" s="227">
        <f>bibliotheek!$I$307</f>
        <v>1.35</v>
      </c>
      <c r="U176" s="227">
        <f>bibliotheek!$I$307</f>
        <v>1.35</v>
      </c>
      <c r="V176" s="227">
        <f>bibliotheek!$I$307</f>
        <v>1.35</v>
      </c>
      <c r="W176" s="273"/>
      <c r="X176" s="113"/>
      <c r="Y176" s="202"/>
      <c r="Z176" s="89"/>
      <c r="AA176" s="227">
        <f>bibliotheek!$I$307</f>
        <v>1.35</v>
      </c>
      <c r="AB176" s="227">
        <f>bibliotheek!$I$307</f>
        <v>1.35</v>
      </c>
      <c r="AC176" s="227">
        <f>bibliotheek!$I$307</f>
        <v>1.35</v>
      </c>
      <c r="AD176" s="227">
        <f>bibliotheek!$I$307</f>
        <v>1.35</v>
      </c>
      <c r="AE176" s="227">
        <f>bibliotheek!$I$307</f>
        <v>1.35</v>
      </c>
      <c r="AF176" s="227">
        <f>bibliotheek!$I$307</f>
        <v>1.35</v>
      </c>
      <c r="AG176" s="227">
        <f>bibliotheek!$I$307</f>
        <v>1.35</v>
      </c>
      <c r="AH176" s="227">
        <f>bibliotheek!$I$307</f>
        <v>1.35</v>
      </c>
      <c r="AI176" s="273"/>
      <c r="AJ176" s="113"/>
      <c r="AK176" s="202"/>
      <c r="AL176" s="89"/>
      <c r="AM176" s="227">
        <f>bibliotheek!$I$307</f>
        <v>1.35</v>
      </c>
      <c r="AN176" s="227">
        <f>bibliotheek!$I$307</f>
        <v>1.35</v>
      </c>
      <c r="AO176" s="227">
        <f>bibliotheek!$I$307</f>
        <v>1.35</v>
      </c>
      <c r="AP176" s="227">
        <f>bibliotheek!$I$307</f>
        <v>1.35</v>
      </c>
      <c r="AQ176" s="227">
        <f>bibliotheek!$I$307</f>
        <v>1.35</v>
      </c>
      <c r="AR176" s="227">
        <f>bibliotheek!$I$307</f>
        <v>1.35</v>
      </c>
      <c r="AS176" s="227">
        <f>bibliotheek!$I$307</f>
        <v>1.35</v>
      </c>
      <c r="AT176" s="227">
        <f>bibliotheek!$I$307</f>
        <v>1.35</v>
      </c>
      <c r="AU176" s="273"/>
      <c r="AV176" s="113"/>
      <c r="AW176" s="202"/>
      <c r="AX176" s="89"/>
      <c r="AY176" s="227">
        <f>bibliotheek!$I$307</f>
        <v>1.35</v>
      </c>
      <c r="AZ176" s="227">
        <f>bibliotheek!$I$307</f>
        <v>1.35</v>
      </c>
      <c r="BA176" s="227">
        <f>bibliotheek!$I$307</f>
        <v>1.35</v>
      </c>
      <c r="BB176" s="227">
        <f>bibliotheek!$I$307</f>
        <v>1.35</v>
      </c>
      <c r="BC176" s="227">
        <f>bibliotheek!$I$307</f>
        <v>1.35</v>
      </c>
      <c r="BD176" s="227">
        <f>bibliotheek!$I$307</f>
        <v>1.35</v>
      </c>
      <c r="BE176" s="227">
        <f>bibliotheek!$I$307</f>
        <v>1.35</v>
      </c>
      <c r="BF176" s="227">
        <f>bibliotheek!$I$307</f>
        <v>1.35</v>
      </c>
      <c r="BG176" s="273"/>
      <c r="BH176" s="174"/>
    </row>
    <row r="177" spans="1:60" hidden="1">
      <c r="A177" s="1046"/>
      <c r="B177" s="1109" t="s">
        <v>223</v>
      </c>
      <c r="C177" s="1107" t="s">
        <v>181</v>
      </c>
      <c r="D177" s="638"/>
      <c r="E177" s="1175" t="s">
        <v>1201</v>
      </c>
      <c r="F177" s="1176"/>
      <c r="G177" s="595"/>
      <c r="H177" s="1013" t="s">
        <v>65</v>
      </c>
      <c r="I177" s="191"/>
      <c r="J177" s="1014"/>
      <c r="K177" s="1062"/>
      <c r="L177" s="1062"/>
      <c r="M177" s="202"/>
      <c r="N177" s="89"/>
      <c r="O177" s="227">
        <f>bibliotheek!$J$263</f>
        <v>1</v>
      </c>
      <c r="P177" s="227">
        <f>bibliotheek!$J$263</f>
        <v>1</v>
      </c>
      <c r="Q177" s="227">
        <f>bibliotheek!$J$263</f>
        <v>1</v>
      </c>
      <c r="R177" s="227">
        <f>bibliotheek!$J$263</f>
        <v>1</v>
      </c>
      <c r="S177" s="227">
        <f>bibliotheek!$J$263</f>
        <v>1</v>
      </c>
      <c r="T177" s="227">
        <f>bibliotheek!$J$263</f>
        <v>1</v>
      </c>
      <c r="U177" s="227">
        <f>bibliotheek!$J$263</f>
        <v>1</v>
      </c>
      <c r="V177" s="227">
        <f>bibliotheek!$J$263</f>
        <v>1</v>
      </c>
      <c r="W177" s="273"/>
      <c r="X177" s="113"/>
      <c r="Y177" s="202"/>
      <c r="Z177" s="89"/>
      <c r="AA177" s="227">
        <f>bibliotheek!$J$263</f>
        <v>1</v>
      </c>
      <c r="AB177" s="227">
        <f>bibliotheek!$J$263</f>
        <v>1</v>
      </c>
      <c r="AC177" s="227">
        <f>bibliotheek!$J$263</f>
        <v>1</v>
      </c>
      <c r="AD177" s="227">
        <f>bibliotheek!$J$263</f>
        <v>1</v>
      </c>
      <c r="AE177" s="227">
        <f>bibliotheek!$J$263</f>
        <v>1</v>
      </c>
      <c r="AF177" s="227">
        <f>bibliotheek!$J$263</f>
        <v>1</v>
      </c>
      <c r="AG177" s="227">
        <f>bibliotheek!$J$263</f>
        <v>1</v>
      </c>
      <c r="AH177" s="227">
        <f>bibliotheek!$J$263</f>
        <v>1</v>
      </c>
      <c r="AI177" s="273"/>
      <c r="AJ177" s="113"/>
      <c r="AK177" s="202"/>
      <c r="AL177" s="89"/>
      <c r="AM177" s="227">
        <f>bibliotheek!$J$263</f>
        <v>1</v>
      </c>
      <c r="AN177" s="227">
        <f>bibliotheek!$J$263</f>
        <v>1</v>
      </c>
      <c r="AO177" s="227">
        <f>bibliotheek!$J$263</f>
        <v>1</v>
      </c>
      <c r="AP177" s="227">
        <f>bibliotheek!$J$263</f>
        <v>1</v>
      </c>
      <c r="AQ177" s="227">
        <f>bibliotheek!$J$263</f>
        <v>1</v>
      </c>
      <c r="AR177" s="227">
        <f>bibliotheek!$J$263</f>
        <v>1</v>
      </c>
      <c r="AS177" s="227">
        <f>bibliotheek!$J$263</f>
        <v>1</v>
      </c>
      <c r="AT177" s="227">
        <f>bibliotheek!$J$263</f>
        <v>1</v>
      </c>
      <c r="AU177" s="273"/>
      <c r="AV177" s="113"/>
      <c r="AW177" s="202"/>
      <c r="AX177" s="89"/>
      <c r="AY177" s="227">
        <f>bibliotheek!$J$263</f>
        <v>1</v>
      </c>
      <c r="AZ177" s="227">
        <f>bibliotheek!$J$263</f>
        <v>1</v>
      </c>
      <c r="BA177" s="227">
        <f>bibliotheek!$J$263</f>
        <v>1</v>
      </c>
      <c r="BB177" s="227">
        <f>bibliotheek!$J$263</f>
        <v>1</v>
      </c>
      <c r="BC177" s="227">
        <f>bibliotheek!$J$263</f>
        <v>1</v>
      </c>
      <c r="BD177" s="227">
        <f>bibliotheek!$J$263</f>
        <v>1</v>
      </c>
      <c r="BE177" s="227">
        <f>bibliotheek!$J$263</f>
        <v>1</v>
      </c>
      <c r="BF177" s="227">
        <f>bibliotheek!$J$263</f>
        <v>1</v>
      </c>
      <c r="BG177" s="273"/>
      <c r="BH177" s="174"/>
    </row>
    <row r="178" spans="1:60">
      <c r="A178" s="1046"/>
      <c r="B178" s="1109" t="s">
        <v>223</v>
      </c>
      <c r="C178" s="1111" t="s">
        <v>104</v>
      </c>
      <c r="D178" s="638"/>
      <c r="E178" s="1170" t="s">
        <v>232</v>
      </c>
      <c r="F178" s="1170"/>
      <c r="G178" s="181"/>
      <c r="H178" s="181" t="s">
        <v>1206</v>
      </c>
      <c r="I178" s="191"/>
      <c r="J178" s="202">
        <f>M178+Y178+AK178+AW178</f>
        <v>0</v>
      </c>
      <c r="K178" s="1062"/>
      <c r="L178" s="1062"/>
      <c r="M178" s="202">
        <f>SUM(O178:X178)</f>
        <v>0</v>
      </c>
      <c r="N178" s="89"/>
      <c r="O178" s="168">
        <f>SUM(O$168:O$171)*O$176*O177</f>
        <v>0</v>
      </c>
      <c r="P178" s="168">
        <f t="shared" ref="P178:V178" si="135">SUM(P$168:P$171)*P$176*P177</f>
        <v>0</v>
      </c>
      <c r="Q178" s="168">
        <f t="shared" si="135"/>
        <v>0</v>
      </c>
      <c r="R178" s="168">
        <f t="shared" si="135"/>
        <v>0</v>
      </c>
      <c r="S178" s="168">
        <f t="shared" si="135"/>
        <v>0</v>
      </c>
      <c r="T178" s="168">
        <f t="shared" si="135"/>
        <v>0</v>
      </c>
      <c r="U178" s="168">
        <f t="shared" si="135"/>
        <v>0</v>
      </c>
      <c r="V178" s="168">
        <f t="shared" si="135"/>
        <v>0</v>
      </c>
      <c r="W178" s="273"/>
      <c r="X178" s="113"/>
      <c r="Y178" s="202">
        <f>SUM(AA178:AJ178)</f>
        <v>0</v>
      </c>
      <c r="Z178" s="89"/>
      <c r="AA178" s="168">
        <f>SUM(AA$168:AA$171)*AA$176*AA177</f>
        <v>0</v>
      </c>
      <c r="AB178" s="168">
        <f t="shared" ref="AB178:AH178" si="136">SUM(AB$168:AB$171)*AB$176*AB177</f>
        <v>0</v>
      </c>
      <c r="AC178" s="168">
        <f t="shared" si="136"/>
        <v>0</v>
      </c>
      <c r="AD178" s="168">
        <f t="shared" si="136"/>
        <v>0</v>
      </c>
      <c r="AE178" s="168">
        <f t="shared" si="136"/>
        <v>0</v>
      </c>
      <c r="AF178" s="168">
        <f t="shared" si="136"/>
        <v>0</v>
      </c>
      <c r="AG178" s="168">
        <f t="shared" si="136"/>
        <v>0</v>
      </c>
      <c r="AH178" s="168">
        <f t="shared" si="136"/>
        <v>0</v>
      </c>
      <c r="AI178" s="273"/>
      <c r="AJ178" s="113"/>
      <c r="AK178" s="202">
        <f>SUM(AM178:AV178)</f>
        <v>0</v>
      </c>
      <c r="AL178" s="89"/>
      <c r="AM178" s="168">
        <f>SUM(AM$168:AM$171)*AM$176*AM177</f>
        <v>0</v>
      </c>
      <c r="AN178" s="168">
        <f t="shared" ref="AN178:AT178" si="137">SUM(AN$168:AN$171)*AN$176*AN177</f>
        <v>0</v>
      </c>
      <c r="AO178" s="168">
        <f t="shared" si="137"/>
        <v>0</v>
      </c>
      <c r="AP178" s="168">
        <f t="shared" si="137"/>
        <v>0</v>
      </c>
      <c r="AQ178" s="168">
        <f t="shared" si="137"/>
        <v>0</v>
      </c>
      <c r="AR178" s="168">
        <f t="shared" si="137"/>
        <v>0</v>
      </c>
      <c r="AS178" s="168">
        <f t="shared" si="137"/>
        <v>0</v>
      </c>
      <c r="AT178" s="168">
        <f t="shared" si="137"/>
        <v>0</v>
      </c>
      <c r="AU178" s="273"/>
      <c r="AV178" s="113"/>
      <c r="AW178" s="202">
        <f>SUM(AY178:BH178)</f>
        <v>0</v>
      </c>
      <c r="AX178" s="89"/>
      <c r="AY178" s="168">
        <f>SUM(AY$168:AY$171)*AY$176*AY177</f>
        <v>0</v>
      </c>
      <c r="AZ178" s="168">
        <f t="shared" ref="AZ178:BF178" si="138">SUM(AZ$168:AZ$171)*AZ$176*AZ177</f>
        <v>0</v>
      </c>
      <c r="BA178" s="168">
        <f t="shared" si="138"/>
        <v>0</v>
      </c>
      <c r="BB178" s="168">
        <f t="shared" si="138"/>
        <v>0</v>
      </c>
      <c r="BC178" s="168">
        <f t="shared" si="138"/>
        <v>0</v>
      </c>
      <c r="BD178" s="168">
        <f t="shared" si="138"/>
        <v>0</v>
      </c>
      <c r="BE178" s="168">
        <f t="shared" si="138"/>
        <v>0</v>
      </c>
      <c r="BF178" s="168">
        <f t="shared" si="138"/>
        <v>0</v>
      </c>
      <c r="BG178" s="273"/>
      <c r="BH178" s="174"/>
    </row>
    <row r="179" spans="1:60">
      <c r="A179" s="1040"/>
      <c r="B179" s="1109" t="s">
        <v>223</v>
      </c>
      <c r="C179" s="1106" t="s">
        <v>96</v>
      </c>
      <c r="D179" s="638"/>
      <c r="E179" s="940" t="s">
        <v>230</v>
      </c>
      <c r="F179" s="940"/>
      <c r="G179" s="940"/>
      <c r="H179" s="940"/>
      <c r="I179" s="77"/>
      <c r="J179" s="939"/>
      <c r="K179" s="126"/>
      <c r="L179" s="126"/>
      <c r="M179" s="938"/>
      <c r="N179" s="191"/>
      <c r="O179" s="177" t="str">
        <f t="shared" ref="O179:V179" si="139">O$10</f>
        <v>verwarming</v>
      </c>
      <c r="P179" s="177" t="str">
        <f t="shared" si="139"/>
        <v>koeling</v>
      </c>
      <c r="Q179" s="177" t="str">
        <f t="shared" si="139"/>
        <v>tapwater</v>
      </c>
      <c r="R179" s="177" t="str">
        <f t="shared" si="139"/>
        <v>verlichting</v>
      </c>
      <c r="S179" s="177" t="str">
        <f t="shared" si="139"/>
        <v>ventilatoren</v>
      </c>
      <c r="T179" s="177" t="str">
        <f t="shared" si="139"/>
        <v>kookgas</v>
      </c>
      <c r="U179" s="177" t="str">
        <f t="shared" si="139"/>
        <v>overig elektra</v>
      </c>
      <c r="V179" s="177" t="str">
        <f t="shared" si="139"/>
        <v>mobiliteit</v>
      </c>
      <c r="W179" s="177"/>
      <c r="X179" s="191"/>
      <c r="Y179" s="938"/>
      <c r="Z179" s="191"/>
      <c r="AA179" s="177" t="str">
        <f t="shared" ref="AA179:AH179" si="140">AA$10</f>
        <v>verwarming</v>
      </c>
      <c r="AB179" s="177" t="str">
        <f t="shared" si="140"/>
        <v>koeling</v>
      </c>
      <c r="AC179" s="177" t="str">
        <f t="shared" si="140"/>
        <v>tapwater</v>
      </c>
      <c r="AD179" s="177" t="str">
        <f t="shared" si="140"/>
        <v>verlichting</v>
      </c>
      <c r="AE179" s="177" t="str">
        <f t="shared" si="140"/>
        <v>ventilatoren</v>
      </c>
      <c r="AF179" s="177" t="str">
        <f t="shared" si="140"/>
        <v>kookgas</v>
      </c>
      <c r="AG179" s="177" t="str">
        <f t="shared" si="140"/>
        <v>overig elektra</v>
      </c>
      <c r="AH179" s="177" t="str">
        <f t="shared" si="140"/>
        <v>mobiliteit</v>
      </c>
      <c r="AI179" s="177"/>
      <c r="AJ179" s="191"/>
      <c r="AK179" s="938"/>
      <c r="AL179" s="191"/>
      <c r="AM179" s="177" t="str">
        <f t="shared" ref="AM179:AT179" si="141">AM$10</f>
        <v>verwarming</v>
      </c>
      <c r="AN179" s="177" t="str">
        <f t="shared" si="141"/>
        <v>koeling</v>
      </c>
      <c r="AO179" s="177" t="str">
        <f t="shared" si="141"/>
        <v>tapwater</v>
      </c>
      <c r="AP179" s="177" t="str">
        <f t="shared" si="141"/>
        <v>verlichting</v>
      </c>
      <c r="AQ179" s="177" t="str">
        <f t="shared" si="141"/>
        <v>ventilatoren</v>
      </c>
      <c r="AR179" s="177" t="str">
        <f t="shared" si="141"/>
        <v>kookgas</v>
      </c>
      <c r="AS179" s="177" t="str">
        <f t="shared" si="141"/>
        <v>overig elektra</v>
      </c>
      <c r="AT179" s="177" t="str">
        <f t="shared" si="141"/>
        <v>mobiliteit</v>
      </c>
      <c r="AU179" s="177"/>
      <c r="AV179" s="191"/>
      <c r="AW179" s="938"/>
      <c r="AX179" s="191"/>
      <c r="AY179" s="177" t="str">
        <f t="shared" ref="AY179:BF179" si="142">AY$10</f>
        <v>verwarming</v>
      </c>
      <c r="AZ179" s="177" t="str">
        <f t="shared" si="142"/>
        <v>koeling</v>
      </c>
      <c r="BA179" s="177" t="str">
        <f t="shared" si="142"/>
        <v>tapwater</v>
      </c>
      <c r="BB179" s="177" t="str">
        <f t="shared" si="142"/>
        <v>verlichting</v>
      </c>
      <c r="BC179" s="177" t="str">
        <f t="shared" si="142"/>
        <v>ventilatoren</v>
      </c>
      <c r="BD179" s="177" t="str">
        <f t="shared" si="142"/>
        <v>kookgas</v>
      </c>
      <c r="BE179" s="177" t="str">
        <f t="shared" si="142"/>
        <v>overig elektra</v>
      </c>
      <c r="BF179" s="177" t="str">
        <f t="shared" si="142"/>
        <v>mobiliteit</v>
      </c>
      <c r="BG179" s="177"/>
      <c r="BH179" s="36"/>
    </row>
    <row r="180" spans="1:60" hidden="1">
      <c r="A180" s="1040"/>
      <c r="B180" s="1109" t="s">
        <v>223</v>
      </c>
      <c r="C180" s="1107" t="s">
        <v>181</v>
      </c>
      <c r="D180" s="638"/>
      <c r="E180" s="180" t="s">
        <v>206</v>
      </c>
      <c r="F180" s="180"/>
      <c r="G180" s="180"/>
      <c r="H180" s="181" t="s">
        <v>207</v>
      </c>
      <c r="I180" s="191"/>
      <c r="J180" s="190"/>
      <c r="K180" s="79"/>
      <c r="L180" s="79"/>
      <c r="M180" s="190"/>
      <c r="N180" s="114"/>
      <c r="O180" s="228">
        <f>$H$5</f>
        <v>0.26800000000000002</v>
      </c>
      <c r="P180" s="228">
        <f t="shared" ref="P180:V180" si="143">$H$5</f>
        <v>0.26800000000000002</v>
      </c>
      <c r="Q180" s="228">
        <f t="shared" si="143"/>
        <v>0.26800000000000002</v>
      </c>
      <c r="R180" s="228">
        <f t="shared" si="143"/>
        <v>0.26800000000000002</v>
      </c>
      <c r="S180" s="228">
        <f t="shared" si="143"/>
        <v>0.26800000000000002</v>
      </c>
      <c r="T180" s="228">
        <f t="shared" si="143"/>
        <v>0.26800000000000002</v>
      </c>
      <c r="U180" s="228">
        <f t="shared" si="143"/>
        <v>0.26800000000000002</v>
      </c>
      <c r="V180" s="228">
        <f t="shared" si="143"/>
        <v>0.26800000000000002</v>
      </c>
      <c r="W180" s="355"/>
      <c r="X180" s="356"/>
      <c r="Y180" s="190"/>
      <c r="Z180" s="358"/>
      <c r="AA180" s="228">
        <f>$H$5</f>
        <v>0.26800000000000002</v>
      </c>
      <c r="AB180" s="228">
        <f t="shared" ref="AB180:AH180" si="144">$H$5</f>
        <v>0.26800000000000002</v>
      </c>
      <c r="AC180" s="228">
        <f t="shared" si="144"/>
        <v>0.26800000000000002</v>
      </c>
      <c r="AD180" s="228">
        <f t="shared" si="144"/>
        <v>0.26800000000000002</v>
      </c>
      <c r="AE180" s="228">
        <f t="shared" si="144"/>
        <v>0.26800000000000002</v>
      </c>
      <c r="AF180" s="168">
        <f t="shared" si="144"/>
        <v>0.26800000000000002</v>
      </c>
      <c r="AG180" s="228">
        <f t="shared" si="144"/>
        <v>0.26800000000000002</v>
      </c>
      <c r="AH180" s="228">
        <f t="shared" si="144"/>
        <v>0.26800000000000002</v>
      </c>
      <c r="AI180" s="355"/>
      <c r="AJ180" s="356"/>
      <c r="AK180" s="190"/>
      <c r="AL180" s="358"/>
      <c r="AM180" s="228">
        <f>$H$5</f>
        <v>0.26800000000000002</v>
      </c>
      <c r="AN180" s="228">
        <f t="shared" ref="AN180:AT180" si="145">$H$5</f>
        <v>0.26800000000000002</v>
      </c>
      <c r="AO180" s="228">
        <f t="shared" si="145"/>
        <v>0.26800000000000002</v>
      </c>
      <c r="AP180" s="228">
        <f t="shared" si="145"/>
        <v>0.26800000000000002</v>
      </c>
      <c r="AQ180" s="228">
        <f t="shared" si="145"/>
        <v>0.26800000000000002</v>
      </c>
      <c r="AR180" s="168">
        <f t="shared" si="145"/>
        <v>0.26800000000000002</v>
      </c>
      <c r="AS180" s="228">
        <f t="shared" si="145"/>
        <v>0.26800000000000002</v>
      </c>
      <c r="AT180" s="228">
        <f t="shared" si="145"/>
        <v>0.26800000000000002</v>
      </c>
      <c r="AU180" s="355"/>
      <c r="AV180" s="356"/>
      <c r="AW180" s="190"/>
      <c r="AX180" s="358"/>
      <c r="AY180" s="228">
        <f>$H$5</f>
        <v>0.26800000000000002</v>
      </c>
      <c r="AZ180" s="228">
        <f t="shared" ref="AZ180:BF180" si="146">$H$5</f>
        <v>0.26800000000000002</v>
      </c>
      <c r="BA180" s="228">
        <f t="shared" si="146"/>
        <v>0.26800000000000002</v>
      </c>
      <c r="BB180" s="228">
        <f t="shared" si="146"/>
        <v>0.26800000000000002</v>
      </c>
      <c r="BC180" s="228">
        <f t="shared" si="146"/>
        <v>0.26800000000000002</v>
      </c>
      <c r="BD180" s="168">
        <f t="shared" si="146"/>
        <v>0.26800000000000002</v>
      </c>
      <c r="BE180" s="228">
        <f t="shared" si="146"/>
        <v>0.26800000000000002</v>
      </c>
      <c r="BF180" s="228">
        <f t="shared" si="146"/>
        <v>0.26800000000000002</v>
      </c>
      <c r="BG180" s="274"/>
      <c r="BH180" s="174"/>
    </row>
    <row r="181" spans="1:60">
      <c r="A181" s="1046"/>
      <c r="B181" s="1109" t="s">
        <v>223</v>
      </c>
      <c r="C181" s="1111" t="s">
        <v>104</v>
      </c>
      <c r="D181" s="643"/>
      <c r="E181" s="1173" t="s">
        <v>232</v>
      </c>
      <c r="F181" s="201"/>
      <c r="G181" s="201"/>
      <c r="H181" s="201" t="s">
        <v>209</v>
      </c>
      <c r="I181" s="191"/>
      <c r="J181" s="202">
        <f>M181+Y181+AK181+AW181</f>
        <v>0</v>
      </c>
      <c r="K181" s="1062"/>
      <c r="L181" s="1062"/>
      <c r="M181" s="202">
        <f>SUM(O181:X181)</f>
        <v>0</v>
      </c>
      <c r="N181" s="89"/>
      <c r="O181" s="168">
        <f t="shared" ref="O181:V181" si="147">SUM(O$168:O$171)*O$180</f>
        <v>0</v>
      </c>
      <c r="P181" s="168">
        <f t="shared" si="147"/>
        <v>0</v>
      </c>
      <c r="Q181" s="168">
        <f t="shared" si="147"/>
        <v>0</v>
      </c>
      <c r="R181" s="168">
        <f t="shared" si="147"/>
        <v>0</v>
      </c>
      <c r="S181" s="168">
        <f t="shared" si="147"/>
        <v>0</v>
      </c>
      <c r="T181" s="168">
        <f t="shared" si="147"/>
        <v>0</v>
      </c>
      <c r="U181" s="168">
        <f t="shared" si="147"/>
        <v>0</v>
      </c>
      <c r="V181" s="168">
        <f t="shared" si="147"/>
        <v>0</v>
      </c>
      <c r="W181" s="273"/>
      <c r="X181" s="113"/>
      <c r="Y181" s="202">
        <f>SUM(AA181:AJ181)</f>
        <v>0</v>
      </c>
      <c r="Z181" s="89"/>
      <c r="AA181" s="168">
        <f t="shared" ref="AA181:AH181" si="148">SUM(AA$168:AA$171)*AA$180</f>
        <v>0</v>
      </c>
      <c r="AB181" s="168">
        <f t="shared" si="148"/>
        <v>0</v>
      </c>
      <c r="AC181" s="168">
        <f t="shared" si="148"/>
        <v>0</v>
      </c>
      <c r="AD181" s="168">
        <f t="shared" si="148"/>
        <v>0</v>
      </c>
      <c r="AE181" s="168">
        <f t="shared" si="148"/>
        <v>0</v>
      </c>
      <c r="AF181" s="168">
        <f t="shared" si="148"/>
        <v>0</v>
      </c>
      <c r="AG181" s="168">
        <f t="shared" si="148"/>
        <v>0</v>
      </c>
      <c r="AH181" s="168">
        <f t="shared" si="148"/>
        <v>0</v>
      </c>
      <c r="AI181" s="273"/>
      <c r="AJ181" s="113"/>
      <c r="AK181" s="202">
        <f>SUM(AM181:AV181)</f>
        <v>0</v>
      </c>
      <c r="AL181" s="89"/>
      <c r="AM181" s="168">
        <f t="shared" ref="AM181:AT181" si="149">SUM(AM$168:AM$171)*AM$180</f>
        <v>0</v>
      </c>
      <c r="AN181" s="168">
        <f t="shared" si="149"/>
        <v>0</v>
      </c>
      <c r="AO181" s="168">
        <f t="shared" si="149"/>
        <v>0</v>
      </c>
      <c r="AP181" s="168">
        <f t="shared" si="149"/>
        <v>0</v>
      </c>
      <c r="AQ181" s="168">
        <f t="shared" si="149"/>
        <v>0</v>
      </c>
      <c r="AR181" s="168">
        <f t="shared" si="149"/>
        <v>0</v>
      </c>
      <c r="AS181" s="168">
        <f t="shared" si="149"/>
        <v>0</v>
      </c>
      <c r="AT181" s="168">
        <f t="shared" si="149"/>
        <v>0</v>
      </c>
      <c r="AU181" s="273"/>
      <c r="AV181" s="113"/>
      <c r="AW181" s="202">
        <f>SUM(AY181:BH181)</f>
        <v>0</v>
      </c>
      <c r="AX181" s="89"/>
      <c r="AY181" s="168">
        <f t="shared" ref="AY181:BF181" si="150">SUM(AY$168:AY$171)*AY$180</f>
        <v>0</v>
      </c>
      <c r="AZ181" s="168">
        <f t="shared" si="150"/>
        <v>0</v>
      </c>
      <c r="BA181" s="168">
        <f t="shared" si="150"/>
        <v>0</v>
      </c>
      <c r="BB181" s="168">
        <f t="shared" si="150"/>
        <v>0</v>
      </c>
      <c r="BC181" s="168">
        <f t="shared" si="150"/>
        <v>0</v>
      </c>
      <c r="BD181" s="168">
        <f t="shared" si="150"/>
        <v>0</v>
      </c>
      <c r="BE181" s="168">
        <f t="shared" si="150"/>
        <v>0</v>
      </c>
      <c r="BF181" s="168">
        <f t="shared" si="150"/>
        <v>0</v>
      </c>
      <c r="BG181" s="273"/>
      <c r="BH181" s="174"/>
    </row>
    <row r="182" spans="1:60">
      <c r="A182" s="1040"/>
      <c r="B182" s="1109" t="s">
        <v>223</v>
      </c>
      <c r="C182" s="1106" t="s">
        <v>96</v>
      </c>
      <c r="D182" s="638"/>
      <c r="E182" s="79"/>
      <c r="F182" s="79"/>
      <c r="G182" s="79"/>
      <c r="H182" s="85"/>
      <c r="I182" s="191"/>
      <c r="J182" s="82"/>
      <c r="K182" s="79"/>
      <c r="L182" s="79"/>
      <c r="M182" s="82"/>
      <c r="N182" s="79"/>
      <c r="O182" s="117"/>
      <c r="P182" s="82"/>
      <c r="Q182" s="117"/>
      <c r="R182" s="82"/>
      <c r="S182" s="82"/>
      <c r="T182" s="82"/>
      <c r="U182" s="82"/>
      <c r="V182" s="82"/>
      <c r="W182" s="82"/>
      <c r="X182" s="82"/>
      <c r="Y182" s="82"/>
      <c r="Z182" s="79"/>
      <c r="AA182" s="117"/>
      <c r="AB182" s="82"/>
      <c r="AC182" s="117"/>
      <c r="AD182" s="82"/>
      <c r="AE182" s="82"/>
      <c r="AF182" s="82"/>
      <c r="AG182" s="82"/>
      <c r="AH182" s="82"/>
      <c r="AI182" s="82"/>
      <c r="AJ182" s="82"/>
      <c r="AK182" s="82"/>
      <c r="AL182" s="79"/>
      <c r="AM182" s="117"/>
      <c r="AN182" s="82"/>
      <c r="AO182" s="117"/>
      <c r="AP182" s="82"/>
      <c r="AQ182" s="82"/>
      <c r="AR182" s="82"/>
      <c r="AS182" s="82"/>
      <c r="AT182" s="82"/>
      <c r="AU182" s="82"/>
      <c r="AV182" s="82"/>
      <c r="AW182" s="82"/>
      <c r="AX182" s="79"/>
      <c r="AY182" s="117"/>
      <c r="AZ182" s="82"/>
      <c r="BA182" s="117"/>
      <c r="BB182" s="82"/>
      <c r="BC182" s="82"/>
      <c r="BD182" s="82"/>
      <c r="BE182" s="82"/>
      <c r="BF182" s="82"/>
      <c r="BG182" s="82"/>
      <c r="BH182" s="1"/>
    </row>
    <row r="183" spans="1:60">
      <c r="A183" s="1040"/>
      <c r="B183" s="1109" t="s">
        <v>231</v>
      </c>
      <c r="C183" s="1107" t="s">
        <v>96</v>
      </c>
      <c r="D183" s="638"/>
      <c r="E183" s="79"/>
      <c r="F183" s="79"/>
      <c r="G183" s="79"/>
      <c r="H183" s="79"/>
      <c r="I183" s="79"/>
      <c r="J183" s="82"/>
      <c r="K183" s="79"/>
      <c r="L183" s="79"/>
      <c r="M183" s="82"/>
      <c r="N183" s="79"/>
      <c r="O183" s="117"/>
      <c r="P183" s="82"/>
      <c r="Q183" s="117"/>
      <c r="R183" s="82"/>
      <c r="S183" s="82"/>
      <c r="T183" s="82"/>
      <c r="U183" s="82"/>
      <c r="V183" s="82"/>
      <c r="W183" s="82"/>
      <c r="X183" s="82"/>
      <c r="Y183" s="82"/>
      <c r="Z183" s="79"/>
      <c r="AA183" s="117"/>
      <c r="AB183" s="82"/>
      <c r="AC183" s="117"/>
      <c r="AD183" s="82"/>
      <c r="AE183" s="82"/>
      <c r="AF183" s="82"/>
      <c r="AG183" s="82"/>
      <c r="AH183" s="82"/>
      <c r="AI183" s="82"/>
      <c r="AJ183" s="82"/>
      <c r="AK183" s="82"/>
      <c r="AL183" s="79"/>
      <c r="AM183" s="117"/>
      <c r="AN183" s="82"/>
      <c r="AO183" s="117"/>
      <c r="AP183" s="82"/>
      <c r="AQ183" s="82"/>
      <c r="AR183" s="82"/>
      <c r="AS183" s="82"/>
      <c r="AT183" s="82"/>
      <c r="AU183" s="82"/>
      <c r="AV183" s="82"/>
      <c r="AW183" s="82"/>
      <c r="AX183" s="79"/>
      <c r="AY183" s="117"/>
      <c r="AZ183" s="82"/>
      <c r="BA183" s="117"/>
      <c r="BB183" s="82"/>
      <c r="BC183" s="82"/>
      <c r="BD183" s="82"/>
      <c r="BE183" s="82"/>
      <c r="BF183" s="82"/>
      <c r="BG183" s="82"/>
      <c r="BH183" s="1"/>
    </row>
    <row r="184" spans="1:60" ht="21">
      <c r="A184" s="1040"/>
      <c r="B184" s="1109" t="s">
        <v>231</v>
      </c>
      <c r="C184" s="1106" t="s">
        <v>96</v>
      </c>
      <c r="D184" s="643"/>
      <c r="E184" s="199" t="s">
        <v>1275</v>
      </c>
      <c r="F184" s="199"/>
      <c r="G184" s="199"/>
      <c r="H184" s="199"/>
      <c r="I184" s="77"/>
      <c r="J184" s="200" t="str">
        <f>J$10</f>
        <v>alle locaties</v>
      </c>
      <c r="K184" s="126"/>
      <c r="L184" s="126"/>
      <c r="M184" s="200" t="str">
        <f>M$10</f>
        <v>locatie 1</v>
      </c>
      <c r="N184" s="182"/>
      <c r="O184" s="966" t="str">
        <f>$E184&amp;" per energiepost"</f>
        <v>overzicht elektriciteitsgebruik en lokale elektriciteitsproductie per energiepost</v>
      </c>
      <c r="P184" s="941"/>
      <c r="Q184" s="941"/>
      <c r="R184" s="941"/>
      <c r="S184" s="941"/>
      <c r="T184" s="941"/>
      <c r="U184" s="941"/>
      <c r="V184" s="941"/>
      <c r="W184" s="956"/>
      <c r="X184" s="174"/>
      <c r="Y184" s="200" t="str">
        <f>Y$10</f>
        <v>locatie 2</v>
      </c>
      <c r="Z184" s="182"/>
      <c r="AA184" s="966" t="str">
        <f>$E184&amp;" per energiepost"</f>
        <v>overzicht elektriciteitsgebruik en lokale elektriciteitsproductie per energiepost</v>
      </c>
      <c r="AB184" s="941"/>
      <c r="AC184" s="941"/>
      <c r="AD184" s="941"/>
      <c r="AE184" s="941"/>
      <c r="AF184" s="941"/>
      <c r="AG184" s="941"/>
      <c r="AH184" s="941"/>
      <c r="AI184" s="956"/>
      <c r="AJ184" s="174"/>
      <c r="AK184" s="200" t="str">
        <f>AK$10</f>
        <v>locatie 3</v>
      </c>
      <c r="AL184" s="182"/>
      <c r="AM184" s="966" t="str">
        <f>$E184&amp;" per energiepost"</f>
        <v>overzicht elektriciteitsgebruik en lokale elektriciteitsproductie per energiepost</v>
      </c>
      <c r="AN184" s="941"/>
      <c r="AO184" s="941"/>
      <c r="AP184" s="941"/>
      <c r="AQ184" s="941"/>
      <c r="AR184" s="941"/>
      <c r="AS184" s="941"/>
      <c r="AT184" s="941"/>
      <c r="AU184" s="956"/>
      <c r="AV184" s="174"/>
      <c r="AW184" s="200" t="str">
        <f>AW$10</f>
        <v>locatie 4</v>
      </c>
      <c r="AX184" s="182"/>
      <c r="AY184" s="966" t="str">
        <f>$E184&amp;" per energiepost"</f>
        <v>overzicht elektriciteitsgebruik en lokale elektriciteitsproductie per energiepost</v>
      </c>
      <c r="AZ184" s="941"/>
      <c r="BA184" s="941"/>
      <c r="BB184" s="941"/>
      <c r="BC184" s="941"/>
      <c r="BD184" s="941"/>
      <c r="BE184" s="941"/>
      <c r="BF184" s="941"/>
      <c r="BG184" s="956"/>
      <c r="BH184" s="1"/>
    </row>
    <row r="185" spans="1:60">
      <c r="A185" s="1040"/>
      <c r="B185" s="1109" t="s">
        <v>231</v>
      </c>
      <c r="C185" s="1106" t="s">
        <v>96</v>
      </c>
      <c r="D185" s="638"/>
      <c r="E185" s="940" t="s">
        <v>1241</v>
      </c>
      <c r="F185" s="940"/>
      <c r="G185" s="940"/>
      <c r="H185" s="940"/>
      <c r="I185" s="77"/>
      <c r="J185" s="939"/>
      <c r="K185" s="126"/>
      <c r="L185" s="126"/>
      <c r="M185" s="938"/>
      <c r="N185" s="191"/>
      <c r="O185" s="177" t="str">
        <f t="shared" ref="O185:W185" si="151">O$10</f>
        <v>verwarming</v>
      </c>
      <c r="P185" s="177" t="str">
        <f t="shared" si="151"/>
        <v>koeling</v>
      </c>
      <c r="Q185" s="177" t="str">
        <f t="shared" si="151"/>
        <v>tapwater</v>
      </c>
      <c r="R185" s="177" t="str">
        <f t="shared" si="151"/>
        <v>verlichting</v>
      </c>
      <c r="S185" s="177" t="str">
        <f t="shared" si="151"/>
        <v>ventilatoren</v>
      </c>
      <c r="T185" s="177" t="str">
        <f t="shared" si="151"/>
        <v>kookgas</v>
      </c>
      <c r="U185" s="177" t="str">
        <f t="shared" si="151"/>
        <v>overig elektra</v>
      </c>
      <c r="V185" s="177" t="str">
        <f t="shared" si="151"/>
        <v>mobiliteit</v>
      </c>
      <c r="W185" s="177" t="str">
        <f t="shared" si="151"/>
        <v>zonnepanelen</v>
      </c>
      <c r="X185" s="191"/>
      <c r="Y185" s="938"/>
      <c r="Z185" s="191"/>
      <c r="AA185" s="177" t="str">
        <f t="shared" ref="AA185:AI185" si="152">AA$10</f>
        <v>verwarming</v>
      </c>
      <c r="AB185" s="177" t="str">
        <f t="shared" si="152"/>
        <v>koeling</v>
      </c>
      <c r="AC185" s="177" t="str">
        <f t="shared" si="152"/>
        <v>tapwater</v>
      </c>
      <c r="AD185" s="177" t="str">
        <f t="shared" si="152"/>
        <v>verlichting</v>
      </c>
      <c r="AE185" s="177" t="str">
        <f t="shared" si="152"/>
        <v>ventilatoren</v>
      </c>
      <c r="AF185" s="177" t="str">
        <f t="shared" si="152"/>
        <v>kookgas</v>
      </c>
      <c r="AG185" s="177" t="str">
        <f t="shared" si="152"/>
        <v>overig elektra</v>
      </c>
      <c r="AH185" s="177" t="str">
        <f t="shared" si="152"/>
        <v>mobiliteit</v>
      </c>
      <c r="AI185" s="177" t="str">
        <f t="shared" si="152"/>
        <v>zonnepanelen</v>
      </c>
      <c r="AJ185" s="191"/>
      <c r="AK185" s="938"/>
      <c r="AL185" s="191"/>
      <c r="AM185" s="177" t="str">
        <f t="shared" ref="AM185:AU185" si="153">AM$10</f>
        <v>verwarming</v>
      </c>
      <c r="AN185" s="177" t="str">
        <f t="shared" si="153"/>
        <v>koeling</v>
      </c>
      <c r="AO185" s="177" t="str">
        <f t="shared" si="153"/>
        <v>tapwater</v>
      </c>
      <c r="AP185" s="177" t="str">
        <f t="shared" si="153"/>
        <v>verlichting</v>
      </c>
      <c r="AQ185" s="177" t="str">
        <f t="shared" si="153"/>
        <v>ventilatoren</v>
      </c>
      <c r="AR185" s="177" t="str">
        <f t="shared" si="153"/>
        <v>kookgas</v>
      </c>
      <c r="AS185" s="177" t="str">
        <f t="shared" si="153"/>
        <v>overig elektra</v>
      </c>
      <c r="AT185" s="177" t="str">
        <f t="shared" si="153"/>
        <v>mobiliteit</v>
      </c>
      <c r="AU185" s="177" t="str">
        <f t="shared" si="153"/>
        <v>zonnepanelen</v>
      </c>
      <c r="AV185" s="191"/>
      <c r="AW185" s="938"/>
      <c r="AX185" s="191"/>
      <c r="AY185" s="177" t="str">
        <f t="shared" ref="AY185:BG185" si="154">AY$10</f>
        <v>verwarming</v>
      </c>
      <c r="AZ185" s="177" t="str">
        <f t="shared" si="154"/>
        <v>koeling</v>
      </c>
      <c r="BA185" s="177" t="str">
        <f t="shared" si="154"/>
        <v>tapwater</v>
      </c>
      <c r="BB185" s="177" t="str">
        <f t="shared" si="154"/>
        <v>verlichting</v>
      </c>
      <c r="BC185" s="177" t="str">
        <f t="shared" si="154"/>
        <v>ventilatoren</v>
      </c>
      <c r="BD185" s="177" t="str">
        <f t="shared" si="154"/>
        <v>kookgas</v>
      </c>
      <c r="BE185" s="177" t="str">
        <f t="shared" si="154"/>
        <v>overig elektra</v>
      </c>
      <c r="BF185" s="177" t="str">
        <f t="shared" si="154"/>
        <v>mobiliteit</v>
      </c>
      <c r="BG185" s="177" t="str">
        <f t="shared" si="154"/>
        <v>zonnepanelen</v>
      </c>
      <c r="BH185" s="36"/>
    </row>
    <row r="186" spans="1:60" s="2" customFormat="1" hidden="1">
      <c r="A186" s="1038"/>
      <c r="B186" s="1109" t="s">
        <v>231</v>
      </c>
      <c r="C186" s="1106" t="s">
        <v>181</v>
      </c>
      <c r="D186" s="645" t="s">
        <v>45</v>
      </c>
      <c r="E186" s="180" t="s">
        <v>1238</v>
      </c>
      <c r="F186" s="180"/>
      <c r="G186" s="180"/>
      <c r="H186" s="181" t="s">
        <v>160</v>
      </c>
      <c r="I186" s="114"/>
      <c r="J186" s="202">
        <f>M186+Y186+AK186+AW186</f>
        <v>0</v>
      </c>
      <c r="K186" s="243"/>
      <c r="L186" s="243"/>
      <c r="M186" s="202">
        <f>SUM(N186:X186)</f>
        <v>0</v>
      </c>
      <c r="N186" s="89"/>
      <c r="O186" s="273"/>
      <c r="P186" s="273"/>
      <c r="Q186" s="273"/>
      <c r="R186" s="273"/>
      <c r="S186" s="273"/>
      <c r="T186" s="273"/>
      <c r="U186" s="273"/>
      <c r="V186" s="273"/>
      <c r="W186" s="168">
        <f>-W78</f>
        <v>0</v>
      </c>
      <c r="X186" s="113"/>
      <c r="Y186" s="202">
        <f>SUM(Z186:AJ186)</f>
        <v>0</v>
      </c>
      <c r="Z186" s="89"/>
      <c r="AA186" s="273"/>
      <c r="AB186" s="273"/>
      <c r="AC186" s="273"/>
      <c r="AD186" s="273"/>
      <c r="AE186" s="273"/>
      <c r="AF186" s="273"/>
      <c r="AG186" s="273"/>
      <c r="AH186" s="273"/>
      <c r="AI186" s="168">
        <f>-AI78</f>
        <v>0</v>
      </c>
      <c r="AJ186" s="113"/>
      <c r="AK186" s="202">
        <f>SUM(AL186:AV186)</f>
        <v>0</v>
      </c>
      <c r="AL186" s="89"/>
      <c r="AM186" s="273"/>
      <c r="AN186" s="273"/>
      <c r="AO186" s="273"/>
      <c r="AP186" s="273"/>
      <c r="AQ186" s="273"/>
      <c r="AR186" s="273"/>
      <c r="AS186" s="273"/>
      <c r="AT186" s="273"/>
      <c r="AU186" s="168">
        <f>-AU78</f>
        <v>0</v>
      </c>
      <c r="AV186" s="113"/>
      <c r="AW186" s="202">
        <f>SUM(AX186:BH186)</f>
        <v>0</v>
      </c>
      <c r="AX186" s="89"/>
      <c r="AY186" s="273"/>
      <c r="AZ186" s="273"/>
      <c r="BA186" s="273"/>
      <c r="BB186" s="273"/>
      <c r="BC186" s="273"/>
      <c r="BD186" s="273"/>
      <c r="BE186" s="273"/>
      <c r="BF186" s="273"/>
      <c r="BG186" s="168">
        <f>-BG78</f>
        <v>0</v>
      </c>
      <c r="BH186" s="210"/>
    </row>
    <row r="187" spans="1:60" s="2" customFormat="1" hidden="1">
      <c r="A187" s="1038"/>
      <c r="B187" s="1109" t="s">
        <v>231</v>
      </c>
      <c r="C187" s="1106" t="s">
        <v>181</v>
      </c>
      <c r="D187" s="644"/>
      <c r="E187" s="180" t="s">
        <v>1237</v>
      </c>
      <c r="F187" s="180"/>
      <c r="G187" s="180"/>
      <c r="H187" s="181" t="s">
        <v>160</v>
      </c>
      <c r="I187" s="114"/>
      <c r="J187" s="202">
        <f>M187+Y187+AK187+AW187</f>
        <v>0</v>
      </c>
      <c r="K187" s="243"/>
      <c r="L187" s="243"/>
      <c r="M187" s="202">
        <f>SUM(N187:X187)</f>
        <v>0</v>
      </c>
      <c r="N187" s="89"/>
      <c r="O187" s="168">
        <f>O$116*O$134</f>
        <v>0</v>
      </c>
      <c r="P187" s="168">
        <f>P$116*P$134</f>
        <v>0</v>
      </c>
      <c r="Q187" s="168">
        <f>Q$116*Q$134</f>
        <v>0</v>
      </c>
      <c r="R187" s="273"/>
      <c r="S187" s="273"/>
      <c r="T187" s="273"/>
      <c r="U187" s="273"/>
      <c r="V187" s="273"/>
      <c r="W187" s="273"/>
      <c r="X187" s="113"/>
      <c r="Y187" s="202">
        <f>SUM(Z187:AJ187)</f>
        <v>0</v>
      </c>
      <c r="Z187" s="89"/>
      <c r="AA187" s="168">
        <f>AA$116*AA$134</f>
        <v>0</v>
      </c>
      <c r="AB187" s="168">
        <f>AB$116*AB$134</f>
        <v>0</v>
      </c>
      <c r="AC187" s="168">
        <f>AC$116*AC$134</f>
        <v>0</v>
      </c>
      <c r="AD187" s="273"/>
      <c r="AE187" s="273"/>
      <c r="AF187" s="273"/>
      <c r="AG187" s="273"/>
      <c r="AH187" s="273"/>
      <c r="AI187" s="273"/>
      <c r="AJ187" s="113"/>
      <c r="AK187" s="202">
        <f>SUM(AL187:AV187)</f>
        <v>0</v>
      </c>
      <c r="AL187" s="89"/>
      <c r="AM187" s="168">
        <f>AM$116*AM$134</f>
        <v>0</v>
      </c>
      <c r="AN187" s="168">
        <f>AN$116*AN$134</f>
        <v>0</v>
      </c>
      <c r="AO187" s="168">
        <f>AO$116*AO$134</f>
        <v>0</v>
      </c>
      <c r="AP187" s="273"/>
      <c r="AQ187" s="273"/>
      <c r="AR187" s="273"/>
      <c r="AS187" s="273"/>
      <c r="AT187" s="273"/>
      <c r="AU187" s="273"/>
      <c r="AV187" s="113"/>
      <c r="AW187" s="202">
        <f>SUM(AX187:BH187)</f>
        <v>0</v>
      </c>
      <c r="AX187" s="89"/>
      <c r="AY187" s="168">
        <f>AY$116*AY$134</f>
        <v>0</v>
      </c>
      <c r="AZ187" s="168">
        <f>AZ$116*AZ$134</f>
        <v>0</v>
      </c>
      <c r="BA187" s="168">
        <f>BA$116*BA$134</f>
        <v>0</v>
      </c>
      <c r="BB187" s="273"/>
      <c r="BC187" s="273"/>
      <c r="BD187" s="273"/>
      <c r="BE187" s="273"/>
      <c r="BF187" s="273"/>
      <c r="BG187" s="273"/>
      <c r="BH187" s="210"/>
    </row>
    <row r="188" spans="1:60" s="2" customFormat="1" hidden="1">
      <c r="A188" s="1038"/>
      <c r="B188" s="1109" t="s">
        <v>231</v>
      </c>
      <c r="C188" s="1106" t="s">
        <v>181</v>
      </c>
      <c r="D188" s="644"/>
      <c r="E188" s="180" t="s">
        <v>232</v>
      </c>
      <c r="F188" s="180"/>
      <c r="G188" s="180"/>
      <c r="H188" s="181" t="s">
        <v>160</v>
      </c>
      <c r="I188" s="114"/>
      <c r="J188" s="202">
        <f>J187+J186</f>
        <v>0</v>
      </c>
      <c r="K188" s="243"/>
      <c r="L188" s="243"/>
      <c r="M188" s="202">
        <f>M187+M186</f>
        <v>0</v>
      </c>
      <c r="N188" s="89"/>
      <c r="O188" s="168">
        <f>O187+O186</f>
        <v>0</v>
      </c>
      <c r="P188" s="168">
        <f>P187+P186</f>
        <v>0</v>
      </c>
      <c r="Q188" s="168">
        <f>Q187+Q186</f>
        <v>0</v>
      </c>
      <c r="R188" s="273"/>
      <c r="S188" s="273"/>
      <c r="T188" s="273"/>
      <c r="U188" s="273"/>
      <c r="V188" s="273"/>
      <c r="W188" s="168">
        <f>W187+W186</f>
        <v>0</v>
      </c>
      <c r="X188" s="113"/>
      <c r="Y188" s="202">
        <f>Y187+Y186</f>
        <v>0</v>
      </c>
      <c r="Z188" s="89"/>
      <c r="AA188" s="168">
        <f>AA187+AA186</f>
        <v>0</v>
      </c>
      <c r="AB188" s="168">
        <f>AB187+AB186</f>
        <v>0</v>
      </c>
      <c r="AC188" s="168">
        <f>AC187+AC186</f>
        <v>0</v>
      </c>
      <c r="AD188" s="273"/>
      <c r="AE188" s="273"/>
      <c r="AF188" s="273"/>
      <c r="AG188" s="273"/>
      <c r="AH188" s="273"/>
      <c r="AI188" s="168">
        <f>AI187+AI186</f>
        <v>0</v>
      </c>
      <c r="AJ188" s="113"/>
      <c r="AK188" s="202">
        <f>AK187+AK186</f>
        <v>0</v>
      </c>
      <c r="AL188" s="89"/>
      <c r="AM188" s="168">
        <f>AM187+AM186</f>
        <v>0</v>
      </c>
      <c r="AN188" s="168">
        <f>AN187+AN186</f>
        <v>0</v>
      </c>
      <c r="AO188" s="168">
        <f>AO187+AO186</f>
        <v>0</v>
      </c>
      <c r="AP188" s="273"/>
      <c r="AQ188" s="273"/>
      <c r="AR188" s="273"/>
      <c r="AS188" s="273"/>
      <c r="AT188" s="273"/>
      <c r="AU188" s="168">
        <f>AU187+AU186</f>
        <v>0</v>
      </c>
      <c r="AV188" s="113"/>
      <c r="AW188" s="202">
        <f>AW187+AW186</f>
        <v>0</v>
      </c>
      <c r="AX188" s="89"/>
      <c r="AY188" s="168">
        <f>AY187+AY186</f>
        <v>0</v>
      </c>
      <c r="AZ188" s="168">
        <f>AZ187+AZ186</f>
        <v>0</v>
      </c>
      <c r="BA188" s="168">
        <f>BA187+BA186</f>
        <v>0</v>
      </c>
      <c r="BB188" s="273"/>
      <c r="BC188" s="273"/>
      <c r="BD188" s="273"/>
      <c r="BE188" s="273"/>
      <c r="BF188" s="273"/>
      <c r="BG188" s="168">
        <f>BG187+BG186</f>
        <v>0</v>
      </c>
      <c r="BH188" s="210"/>
    </row>
    <row r="189" spans="1:60" s="2" customFormat="1">
      <c r="A189" s="1038"/>
      <c r="B189" s="1109" t="s">
        <v>231</v>
      </c>
      <c r="C189" s="1106" t="s">
        <v>96</v>
      </c>
      <c r="D189" s="644"/>
      <c r="E189" s="940" t="s">
        <v>1242</v>
      </c>
      <c r="F189" s="940"/>
      <c r="G189" s="940"/>
      <c r="H189" s="940"/>
      <c r="I189" s="77"/>
      <c r="J189" s="939"/>
      <c r="K189" s="126"/>
      <c r="L189" s="126"/>
      <c r="M189" s="938"/>
      <c r="N189" s="252"/>
      <c r="O189" s="177" t="str">
        <f t="shared" ref="O189:W189" si="155">O$10</f>
        <v>verwarming</v>
      </c>
      <c r="P189" s="177" t="str">
        <f t="shared" si="155"/>
        <v>koeling</v>
      </c>
      <c r="Q189" s="177" t="str">
        <f t="shared" si="155"/>
        <v>tapwater</v>
      </c>
      <c r="R189" s="177" t="str">
        <f t="shared" si="155"/>
        <v>verlichting</v>
      </c>
      <c r="S189" s="177" t="str">
        <f t="shared" si="155"/>
        <v>ventilatoren</v>
      </c>
      <c r="T189" s="177"/>
      <c r="U189" s="177" t="str">
        <f t="shared" si="155"/>
        <v>overig elektra</v>
      </c>
      <c r="V189" s="177" t="str">
        <f t="shared" si="155"/>
        <v>mobiliteit</v>
      </c>
      <c r="W189" s="177" t="str">
        <f t="shared" si="155"/>
        <v>zonnepanelen</v>
      </c>
      <c r="X189" s="253"/>
      <c r="Y189" s="938"/>
      <c r="Z189" s="252"/>
      <c r="AA189" s="177" t="str">
        <f t="shared" ref="AA189:AI189" si="156">AA$10</f>
        <v>verwarming</v>
      </c>
      <c r="AB189" s="177" t="str">
        <f t="shared" si="156"/>
        <v>koeling</v>
      </c>
      <c r="AC189" s="177" t="str">
        <f t="shared" si="156"/>
        <v>tapwater</v>
      </c>
      <c r="AD189" s="177" t="str">
        <f t="shared" si="156"/>
        <v>verlichting</v>
      </c>
      <c r="AE189" s="177" t="str">
        <f t="shared" si="156"/>
        <v>ventilatoren</v>
      </c>
      <c r="AF189" s="177"/>
      <c r="AG189" s="177" t="str">
        <f t="shared" si="156"/>
        <v>overig elektra</v>
      </c>
      <c r="AH189" s="177" t="str">
        <f t="shared" si="156"/>
        <v>mobiliteit</v>
      </c>
      <c r="AI189" s="177" t="str">
        <f t="shared" si="156"/>
        <v>zonnepanelen</v>
      </c>
      <c r="AJ189" s="253"/>
      <c r="AK189" s="938"/>
      <c r="AL189" s="252"/>
      <c r="AM189" s="177" t="str">
        <f t="shared" ref="AM189:AU189" si="157">AM$10</f>
        <v>verwarming</v>
      </c>
      <c r="AN189" s="177" t="str">
        <f t="shared" si="157"/>
        <v>koeling</v>
      </c>
      <c r="AO189" s="177" t="str">
        <f t="shared" si="157"/>
        <v>tapwater</v>
      </c>
      <c r="AP189" s="177" t="str">
        <f t="shared" si="157"/>
        <v>verlichting</v>
      </c>
      <c r="AQ189" s="177" t="str">
        <f t="shared" si="157"/>
        <v>ventilatoren</v>
      </c>
      <c r="AR189" s="177"/>
      <c r="AS189" s="177" t="str">
        <f t="shared" si="157"/>
        <v>overig elektra</v>
      </c>
      <c r="AT189" s="177" t="str">
        <f t="shared" si="157"/>
        <v>mobiliteit</v>
      </c>
      <c r="AU189" s="177" t="str">
        <f t="shared" si="157"/>
        <v>zonnepanelen</v>
      </c>
      <c r="AV189" s="253"/>
      <c r="AW189" s="938"/>
      <c r="AX189" s="252"/>
      <c r="AY189" s="177" t="str">
        <f t="shared" ref="AY189:BG189" si="158">AY$10</f>
        <v>verwarming</v>
      </c>
      <c r="AZ189" s="177" t="str">
        <f t="shared" si="158"/>
        <v>koeling</v>
      </c>
      <c r="BA189" s="177" t="str">
        <f t="shared" si="158"/>
        <v>tapwater</v>
      </c>
      <c r="BB189" s="177" t="str">
        <f t="shared" si="158"/>
        <v>verlichting</v>
      </c>
      <c r="BC189" s="177" t="str">
        <f t="shared" si="158"/>
        <v>ventilatoren</v>
      </c>
      <c r="BD189" s="177"/>
      <c r="BE189" s="177" t="str">
        <f t="shared" si="158"/>
        <v>overig elektra</v>
      </c>
      <c r="BF189" s="177" t="str">
        <f t="shared" si="158"/>
        <v>mobiliteit</v>
      </c>
      <c r="BG189" s="177" t="str">
        <f t="shared" si="158"/>
        <v>zonnepanelen</v>
      </c>
    </row>
    <row r="190" spans="1:60" s="2" customFormat="1" hidden="1">
      <c r="A190" s="1038"/>
      <c r="B190" s="1109" t="s">
        <v>231</v>
      </c>
      <c r="C190" s="1106" t="s">
        <v>181</v>
      </c>
      <c r="D190" s="644"/>
      <c r="E190" s="180" t="s">
        <v>1243</v>
      </c>
      <c r="F190" s="180"/>
      <c r="G190" s="180"/>
      <c r="H190" s="181" t="s">
        <v>202</v>
      </c>
      <c r="I190" s="114"/>
      <c r="J190" s="202">
        <f>M190+Y190+AK190+AW190</f>
        <v>0</v>
      </c>
      <c r="K190" s="243"/>
      <c r="L190" s="243"/>
      <c r="M190" s="249">
        <f>SUM(N190:X190)</f>
        <v>0</v>
      </c>
      <c r="N190" s="89"/>
      <c r="O190" s="251">
        <f t="shared" ref="O190:Q190" si="159">AND(O$84=gebouw,O$105=elektriciteit)*O$116+AND(O$84=gebouw,O$141=elektriciteit)*O$147+SUM(O$168:O$170)</f>
        <v>0</v>
      </c>
      <c r="P190" s="251">
        <f t="shared" si="159"/>
        <v>0</v>
      </c>
      <c r="Q190" s="251">
        <f t="shared" si="159"/>
        <v>0</v>
      </c>
      <c r="R190" s="251" cm="1">
        <f t="array" ref="R190">SUMPRODUCT((N$22:X$22)*(N$29:X$29)*(N$66:X$66))/1000-R191</f>
        <v>0</v>
      </c>
      <c r="S190" s="251">
        <f>SUM(S$168:S$170)</f>
        <v>0</v>
      </c>
      <c r="T190" s="273"/>
      <c r="U190" s="273"/>
      <c r="V190" s="273"/>
      <c r="W190" s="610"/>
      <c r="X190" s="118"/>
      <c r="Y190" s="249">
        <f>SUM(Z190:AJ190)</f>
        <v>0</v>
      </c>
      <c r="Z190" s="89"/>
      <c r="AA190" s="251">
        <f t="shared" ref="AA190:AC190" si="160">AND(AA$84=gebouw,AA$105=elektriciteit)*AA$116+AND(AA$84=gebouw,AA$141=elektriciteit)*AA$147+SUM(AA$168:AA$170)</f>
        <v>0</v>
      </c>
      <c r="AB190" s="251">
        <f t="shared" si="160"/>
        <v>0</v>
      </c>
      <c r="AC190" s="251">
        <f t="shared" si="160"/>
        <v>0</v>
      </c>
      <c r="AD190" s="251" cm="1">
        <f t="array" ref="AD190">SUMPRODUCT((Z$22:AJ$22)*(Z$29:AJ$29)*(Z$66:AJ$66))/1000-AD191</f>
        <v>0</v>
      </c>
      <c r="AE190" s="251">
        <f>SUM(AE$168:AE$170)</f>
        <v>0</v>
      </c>
      <c r="AF190" s="273"/>
      <c r="AG190" s="273"/>
      <c r="AH190" s="273"/>
      <c r="AI190" s="610"/>
      <c r="AJ190" s="118"/>
      <c r="AK190" s="249">
        <f>SUM(AL190:AV190)</f>
        <v>0</v>
      </c>
      <c r="AL190" s="89"/>
      <c r="AM190" s="251">
        <f t="shared" ref="AM190:AO190" si="161">AND(AM$84=gebouw,AM$105=elektriciteit)*AM$116+AND(AM$84=gebouw,AM$141=elektriciteit)*AM$147+SUM(AM$168:AM$170)</f>
        <v>0</v>
      </c>
      <c r="AN190" s="251">
        <f t="shared" si="161"/>
        <v>0</v>
      </c>
      <c r="AO190" s="251">
        <f t="shared" si="161"/>
        <v>0</v>
      </c>
      <c r="AP190" s="251" cm="1">
        <f t="array" ref="AP190">SUMPRODUCT((AL$22:AV$22)*(AL$29:AV$29)*(AL$66:AV$66))/1000-AP191</f>
        <v>0</v>
      </c>
      <c r="AQ190" s="251">
        <f>SUM(AQ$168:AQ$170)</f>
        <v>0</v>
      </c>
      <c r="AR190" s="273"/>
      <c r="AS190" s="273"/>
      <c r="AT190" s="273"/>
      <c r="AU190" s="610"/>
      <c r="AV190" s="118"/>
      <c r="AW190" s="249">
        <f>SUM(AX190:BH190)</f>
        <v>0</v>
      </c>
      <c r="AX190" s="89"/>
      <c r="AY190" s="251">
        <f t="shared" ref="AY190:BA190" si="162">AND(AY$84=gebouw,AY$105=elektriciteit)*AY$116+AND(AY$84=gebouw,AY$141=elektriciteit)*AY$147+SUM(AY$168:AY$170)</f>
        <v>0</v>
      </c>
      <c r="AZ190" s="251">
        <f t="shared" si="162"/>
        <v>0</v>
      </c>
      <c r="BA190" s="251">
        <f t="shared" si="162"/>
        <v>0</v>
      </c>
      <c r="BB190" s="251" cm="1">
        <f t="array" ref="BB190">SUMPRODUCT((AX$22:BH$22)*(AX$29:BH$29)*(AX$66:BH$66))/1000-BB191</f>
        <v>0</v>
      </c>
      <c r="BC190" s="251">
        <f>SUM(BC$168:BC$170)</f>
        <v>0</v>
      </c>
      <c r="BD190" s="251"/>
      <c r="BE190" s="273"/>
      <c r="BF190" s="273"/>
      <c r="BG190" s="610"/>
      <c r="BH190" s="222"/>
    </row>
    <row r="191" spans="1:60" s="2" customFormat="1" hidden="1">
      <c r="A191" s="1038"/>
      <c r="B191" s="1109" t="s">
        <v>231</v>
      </c>
      <c r="C191" s="1106" t="s">
        <v>181</v>
      </c>
      <c r="D191" s="644"/>
      <c r="E191" s="180" t="s">
        <v>1244</v>
      </c>
      <c r="F191" s="180"/>
      <c r="G191" s="180"/>
      <c r="H191" s="181" t="s">
        <v>202</v>
      </c>
      <c r="I191" s="114"/>
      <c r="J191" s="202">
        <f>M191+Y191+AK191+AW191</f>
        <v>0</v>
      </c>
      <c r="K191" s="243"/>
      <c r="L191" s="243"/>
      <c r="M191" s="249">
        <f>SUM(N191:X191)</f>
        <v>0</v>
      </c>
      <c r="N191" s="89"/>
      <c r="O191" s="273"/>
      <c r="P191" s="273"/>
      <c r="Q191" s="273"/>
      <c r="R191" s="251" cm="1">
        <f t="array" ref="R191">SUMPRODUCT((N$22:X$22)*(N$29:X$29)*(N$66:X$66)*(N$19:X$19=woning))/1000+SUMPRODUCT((N$22:X$22)*(N$29:X$29)*(N$66:X$66)*(N$19:X$19=woongebouw))/1000</f>
        <v>0</v>
      </c>
      <c r="S191" s="273"/>
      <c r="T191" s="273"/>
      <c r="U191" s="251">
        <f t="shared" ref="U191" si="163">SUM(U$168:U$170)</f>
        <v>0</v>
      </c>
      <c r="V191" s="273"/>
      <c r="W191" s="610"/>
      <c r="X191" s="118"/>
      <c r="Y191" s="249">
        <f>SUM(Z191:AJ191)</f>
        <v>0</v>
      </c>
      <c r="Z191" s="89"/>
      <c r="AA191" s="273"/>
      <c r="AB191" s="273"/>
      <c r="AC191" s="273"/>
      <c r="AD191" s="251" cm="1">
        <f t="array" ref="AD191">SUMPRODUCT((Z$22:AJ$22)*(Z$29:AJ$29)*(Z$66:AJ$66)*(Z$19:AJ$19=woning))/1000+SUMPRODUCT((Z$22:AJ$22)*(Z$29:AJ$29)*(Z$66:AJ$66)*(Z$19:AJ$19=woongebouw))/1000</f>
        <v>0</v>
      </c>
      <c r="AE191" s="273"/>
      <c r="AF191" s="273"/>
      <c r="AG191" s="251">
        <f t="shared" ref="AG191" si="164">SUM(AG$168:AG$170)</f>
        <v>0</v>
      </c>
      <c r="AH191" s="273"/>
      <c r="AI191" s="610"/>
      <c r="AJ191" s="118"/>
      <c r="AK191" s="249">
        <f>SUM(AL191:AV191)</f>
        <v>0</v>
      </c>
      <c r="AL191" s="89"/>
      <c r="AM191" s="273"/>
      <c r="AN191" s="273"/>
      <c r="AO191" s="273"/>
      <c r="AP191" s="251" cm="1">
        <f t="array" ref="AP191">SUMPRODUCT((AL$22:AV$22)*(AL$29:AV$29)*(AL$66:AV$66)*(AL$19:AV$19=woning))/1000+SUMPRODUCT((AL$22:AV$22)*(AL$29:AV$29)*(AL$66:AV$66)*(AL$19:AV$19=woongebouw))/1000</f>
        <v>0</v>
      </c>
      <c r="AQ191" s="273"/>
      <c r="AR191" s="273"/>
      <c r="AS191" s="251">
        <f t="shared" ref="AS191" si="165">SUM(AS$168:AS$170)</f>
        <v>0</v>
      </c>
      <c r="AT191" s="273"/>
      <c r="AU191" s="610"/>
      <c r="AV191" s="118"/>
      <c r="AW191" s="249">
        <f>SUM(AX191:BH191)</f>
        <v>0</v>
      </c>
      <c r="AX191" s="89"/>
      <c r="AY191" s="273"/>
      <c r="AZ191" s="273"/>
      <c r="BA191" s="273"/>
      <c r="BB191" s="251" cm="1">
        <f t="array" ref="BB191">SUMPRODUCT((AX$22:BH$22)*(AX$29:BH$29)*(AX$66:BH$66)*(AX$19:BH$19=woning))/1000+SUMPRODUCT((AX$22:BH$22)*(AX$29:BH$29)*(AX$66:BH$66)*(AX$19:BH$19=woongebouw))/1000</f>
        <v>0</v>
      </c>
      <c r="BC191" s="273"/>
      <c r="BD191" s="251"/>
      <c r="BE191" s="251">
        <f t="shared" ref="BE191:BF192" si="166">SUM(BE$168:BE$170)</f>
        <v>0</v>
      </c>
      <c r="BF191" s="273"/>
      <c r="BG191" s="610"/>
      <c r="BH191" s="222"/>
    </row>
    <row r="192" spans="1:60" s="2" customFormat="1" hidden="1">
      <c r="A192" s="1038"/>
      <c r="B192" s="1109" t="s">
        <v>231</v>
      </c>
      <c r="C192" s="1106" t="s">
        <v>181</v>
      </c>
      <c r="D192" s="644"/>
      <c r="E192" s="180" t="s">
        <v>1236</v>
      </c>
      <c r="F192" s="180"/>
      <c r="G192" s="180"/>
      <c r="H192" s="181" t="s">
        <v>202</v>
      </c>
      <c r="I192" s="114"/>
      <c r="J192" s="202">
        <f>M192+Y192+AK192+AW192</f>
        <v>0</v>
      </c>
      <c r="K192" s="243"/>
      <c r="L192" s="243"/>
      <c r="M192" s="249">
        <f>SUM(N192:X192)</f>
        <v>0</v>
      </c>
      <c r="N192" s="89"/>
      <c r="O192" s="273"/>
      <c r="P192" s="273"/>
      <c r="Q192" s="273"/>
      <c r="R192" s="273"/>
      <c r="S192" s="273"/>
      <c r="T192" s="273"/>
      <c r="U192" s="273"/>
      <c r="V192" s="251">
        <f t="shared" ref="V192" si="167">SUM(V$168:V$170)</f>
        <v>0</v>
      </c>
      <c r="W192" s="610"/>
      <c r="X192" s="118"/>
      <c r="Y192" s="249">
        <f>SUM(Z192:AJ192)</f>
        <v>0</v>
      </c>
      <c r="Z192" s="89"/>
      <c r="AA192" s="273"/>
      <c r="AB192" s="273"/>
      <c r="AC192" s="273"/>
      <c r="AD192" s="273"/>
      <c r="AE192" s="273"/>
      <c r="AF192" s="273"/>
      <c r="AG192" s="273"/>
      <c r="AH192" s="251">
        <f t="shared" ref="AH192" si="168">SUM(AH$168:AH$170)</f>
        <v>0</v>
      </c>
      <c r="AI192" s="610"/>
      <c r="AJ192" s="118"/>
      <c r="AK192" s="249">
        <f>SUM(AL192:AV192)</f>
        <v>0</v>
      </c>
      <c r="AL192" s="89"/>
      <c r="AM192" s="273"/>
      <c r="AN192" s="273"/>
      <c r="AO192" s="273"/>
      <c r="AP192" s="273"/>
      <c r="AQ192" s="273"/>
      <c r="AR192" s="273"/>
      <c r="AS192" s="273"/>
      <c r="AT192" s="251">
        <f t="shared" ref="AT192" si="169">SUM(AT$168:AT$170)</f>
        <v>0</v>
      </c>
      <c r="AU192" s="610"/>
      <c r="AV192" s="118"/>
      <c r="AW192" s="249">
        <f>SUM(AX192:BH192)</f>
        <v>0</v>
      </c>
      <c r="AX192" s="89"/>
      <c r="AY192" s="273"/>
      <c r="AZ192" s="273"/>
      <c r="BA192" s="273"/>
      <c r="BB192" s="273"/>
      <c r="BC192" s="273"/>
      <c r="BD192" s="251"/>
      <c r="BE192" s="273"/>
      <c r="BF192" s="251">
        <f t="shared" si="166"/>
        <v>0</v>
      </c>
      <c r="BG192" s="610"/>
      <c r="BH192" s="222"/>
    </row>
    <row r="193" spans="1:60" s="2" customFormat="1">
      <c r="A193" s="1038"/>
      <c r="B193" s="1109" t="s">
        <v>231</v>
      </c>
      <c r="C193" s="1106" t="s">
        <v>96</v>
      </c>
      <c r="D193" s="644"/>
      <c r="E193" s="940" t="s">
        <v>1268</v>
      </c>
      <c r="F193" s="940"/>
      <c r="G193" s="940"/>
      <c r="H193" s="940"/>
      <c r="I193" s="77"/>
      <c r="J193" s="939"/>
      <c r="K193" s="126"/>
      <c r="L193" s="126"/>
      <c r="M193" s="938"/>
      <c r="N193" s="252"/>
      <c r="O193" s="177" t="str">
        <f t="shared" ref="O193:W193" si="170">O$10</f>
        <v>verwarming</v>
      </c>
      <c r="P193" s="177" t="str">
        <f t="shared" si="170"/>
        <v>koeling</v>
      </c>
      <c r="Q193" s="177" t="str">
        <f t="shared" si="170"/>
        <v>tapwater</v>
      </c>
      <c r="R193" s="177" t="str">
        <f t="shared" si="170"/>
        <v>verlichting</v>
      </c>
      <c r="S193" s="177" t="str">
        <f t="shared" si="170"/>
        <v>ventilatoren</v>
      </c>
      <c r="T193" s="177"/>
      <c r="U193" s="177" t="str">
        <f t="shared" si="170"/>
        <v>overig elektra</v>
      </c>
      <c r="V193" s="177" t="str">
        <f t="shared" si="170"/>
        <v>mobiliteit</v>
      </c>
      <c r="W193" s="177" t="str">
        <f t="shared" si="170"/>
        <v>zonnepanelen</v>
      </c>
      <c r="X193" s="253"/>
      <c r="Y193" s="938"/>
      <c r="Z193" s="252"/>
      <c r="AA193" s="177" t="str">
        <f t="shared" ref="AA193:AI193" si="171">AA$10</f>
        <v>verwarming</v>
      </c>
      <c r="AB193" s="177" t="str">
        <f t="shared" si="171"/>
        <v>koeling</v>
      </c>
      <c r="AC193" s="177" t="str">
        <f t="shared" si="171"/>
        <v>tapwater</v>
      </c>
      <c r="AD193" s="177" t="str">
        <f t="shared" si="171"/>
        <v>verlichting</v>
      </c>
      <c r="AE193" s="177" t="str">
        <f t="shared" si="171"/>
        <v>ventilatoren</v>
      </c>
      <c r="AF193" s="177"/>
      <c r="AG193" s="177" t="str">
        <f t="shared" si="171"/>
        <v>overig elektra</v>
      </c>
      <c r="AH193" s="177" t="str">
        <f t="shared" si="171"/>
        <v>mobiliteit</v>
      </c>
      <c r="AI193" s="177" t="str">
        <f t="shared" si="171"/>
        <v>zonnepanelen</v>
      </c>
      <c r="AJ193" s="253"/>
      <c r="AK193" s="938"/>
      <c r="AL193" s="252"/>
      <c r="AM193" s="177" t="str">
        <f t="shared" ref="AM193:AU193" si="172">AM$10</f>
        <v>verwarming</v>
      </c>
      <c r="AN193" s="177" t="str">
        <f t="shared" si="172"/>
        <v>koeling</v>
      </c>
      <c r="AO193" s="177" t="str">
        <f t="shared" si="172"/>
        <v>tapwater</v>
      </c>
      <c r="AP193" s="177" t="str">
        <f t="shared" si="172"/>
        <v>verlichting</v>
      </c>
      <c r="AQ193" s="177" t="str">
        <f t="shared" si="172"/>
        <v>ventilatoren</v>
      </c>
      <c r="AR193" s="177"/>
      <c r="AS193" s="177" t="str">
        <f t="shared" si="172"/>
        <v>overig elektra</v>
      </c>
      <c r="AT193" s="177" t="str">
        <f t="shared" si="172"/>
        <v>mobiliteit</v>
      </c>
      <c r="AU193" s="177" t="str">
        <f t="shared" si="172"/>
        <v>zonnepanelen</v>
      </c>
      <c r="AV193" s="253"/>
      <c r="AW193" s="938"/>
      <c r="AX193" s="252"/>
      <c r="AY193" s="177" t="str">
        <f t="shared" ref="AY193:BG193" si="173">AY$10</f>
        <v>verwarming</v>
      </c>
      <c r="AZ193" s="177" t="str">
        <f t="shared" si="173"/>
        <v>koeling</v>
      </c>
      <c r="BA193" s="177" t="str">
        <f t="shared" si="173"/>
        <v>tapwater</v>
      </c>
      <c r="BB193" s="177" t="str">
        <f t="shared" si="173"/>
        <v>verlichting</v>
      </c>
      <c r="BC193" s="177" t="str">
        <f t="shared" si="173"/>
        <v>ventilatoren</v>
      </c>
      <c r="BD193" s="177"/>
      <c r="BE193" s="177" t="str">
        <f t="shared" si="173"/>
        <v>overig elektra</v>
      </c>
      <c r="BF193" s="177" t="str">
        <f t="shared" si="173"/>
        <v>mobiliteit</v>
      </c>
      <c r="BG193" s="177" t="str">
        <f t="shared" si="173"/>
        <v>zonnepanelen</v>
      </c>
    </row>
    <row r="194" spans="1:60" s="2" customFormat="1" hidden="1">
      <c r="A194" s="1038"/>
      <c r="B194" s="1109" t="s">
        <v>231</v>
      </c>
      <c r="C194" s="1106" t="s">
        <v>181</v>
      </c>
      <c r="D194" s="644"/>
      <c r="E194" s="1123" t="s">
        <v>1269</v>
      </c>
      <c r="F194" s="180"/>
      <c r="G194" s="180"/>
      <c r="H194" s="181" t="s">
        <v>1270</v>
      </c>
      <c r="I194" s="114"/>
      <c r="J194" s="190">
        <f>M194+Y194+AK194+AW194</f>
        <v>0</v>
      </c>
      <c r="K194" s="243"/>
      <c r="L194" s="243"/>
      <c r="M194" s="1164">
        <f>SUMIF(N$19:X$19,woning,N$30:X$30)+SUMIF(N$19:X$19,woongebouw,N$30:X$30)</f>
        <v>0</v>
      </c>
      <c r="N194" s="89"/>
      <c r="O194" s="610"/>
      <c r="P194" s="610"/>
      <c r="Q194" s="610"/>
      <c r="R194" s="610"/>
      <c r="S194" s="610"/>
      <c r="T194" s="610"/>
      <c r="U194" s="610"/>
      <c r="V194" s="610"/>
      <c r="W194" s="610"/>
      <c r="X194" s="118"/>
      <c r="Y194" s="1164">
        <f>SUMIF(Z$19:AJ$19,woning,Z$30:AJ$30)+SUMIF(Z$19:AJ$19,woongebouw,Z$30:AJ$30)</f>
        <v>0</v>
      </c>
      <c r="Z194" s="89"/>
      <c r="AA194" s="610"/>
      <c r="AB194" s="610"/>
      <c r="AC194" s="610"/>
      <c r="AD194" s="610"/>
      <c r="AE194" s="610"/>
      <c r="AF194" s="610"/>
      <c r="AG194" s="610"/>
      <c r="AH194" s="610"/>
      <c r="AI194" s="610"/>
      <c r="AJ194" s="118"/>
      <c r="AK194" s="1164">
        <f>SUMIF(AL$19:AV$19,woning,AL$30:AV$30)+SUMIF(AL$19:AV$19,woongebouw,AL$30:AV$30)</f>
        <v>0</v>
      </c>
      <c r="AL194" s="89"/>
      <c r="AM194" s="610"/>
      <c r="AN194" s="610"/>
      <c r="AO194" s="610"/>
      <c r="AP194" s="610"/>
      <c r="AQ194" s="610"/>
      <c r="AR194" s="610"/>
      <c r="AS194" s="610"/>
      <c r="AT194" s="610"/>
      <c r="AU194" s="610"/>
      <c r="AV194" s="118"/>
      <c r="AW194" s="1164">
        <f>SUMIF(AX$19:BH$19,woning,AX$30:BH$30)+SUMIF(AX$19:BH$19,woongebouw,AX$30:BH$30)</f>
        <v>0</v>
      </c>
      <c r="AX194" s="89"/>
      <c r="AY194" s="610"/>
      <c r="AZ194" s="610"/>
      <c r="BA194" s="610"/>
      <c r="BB194" s="610"/>
      <c r="BC194" s="610"/>
      <c r="BD194" s="610"/>
      <c r="BE194" s="610"/>
      <c r="BF194" s="610"/>
      <c r="BG194" s="610"/>
      <c r="BH194" s="222"/>
    </row>
    <row r="195" spans="1:60" s="2" customFormat="1" hidden="1">
      <c r="A195" s="1038"/>
      <c r="B195" s="1109" t="s">
        <v>231</v>
      </c>
      <c r="C195" s="1106" t="s">
        <v>181</v>
      </c>
      <c r="D195" s="644"/>
      <c r="E195" s="1123" t="s">
        <v>1271</v>
      </c>
      <c r="F195" s="180"/>
      <c r="G195" s="180"/>
      <c r="H195" s="181" t="s">
        <v>1270</v>
      </c>
      <c r="I195" s="114"/>
      <c r="J195" s="190">
        <f>M195+Y195+AK195+AW195</f>
        <v>0</v>
      </c>
      <c r="K195" s="243"/>
      <c r="L195" s="243"/>
      <c r="M195" s="1164" cm="1">
        <f t="array" ref="M195">SUMIF(N$19:X$19,onderwijs,N$30:X$30)</f>
        <v>0</v>
      </c>
      <c r="N195" s="89"/>
      <c r="O195" s="610"/>
      <c r="P195" s="610"/>
      <c r="Q195" s="610"/>
      <c r="R195" s="610"/>
      <c r="S195" s="610"/>
      <c r="T195" s="610"/>
      <c r="U195" s="610"/>
      <c r="V195" s="610"/>
      <c r="W195" s="610"/>
      <c r="X195" s="118"/>
      <c r="Y195" s="1164" cm="1">
        <f t="array" ref="Y195">SUMIF(Z$19:AJ$19,onderwijs,Z$30:AJ$30)</f>
        <v>0</v>
      </c>
      <c r="Z195" s="89"/>
      <c r="AA195" s="610"/>
      <c r="AB195" s="610"/>
      <c r="AC195" s="610"/>
      <c r="AD195" s="610"/>
      <c r="AE195" s="610"/>
      <c r="AF195" s="610"/>
      <c r="AG195" s="610"/>
      <c r="AH195" s="610"/>
      <c r="AI195" s="610"/>
      <c r="AJ195" s="118"/>
      <c r="AK195" s="1164" cm="1">
        <f t="array" ref="AK195">SUMIF(AL$19:AV$19,onderwijs,AL$30:AV$30)</f>
        <v>0</v>
      </c>
      <c r="AL195" s="89"/>
      <c r="AM195" s="610"/>
      <c r="AN195" s="610"/>
      <c r="AO195" s="610"/>
      <c r="AP195" s="610"/>
      <c r="AQ195" s="610"/>
      <c r="AR195" s="610"/>
      <c r="AS195" s="610"/>
      <c r="AT195" s="610"/>
      <c r="AU195" s="610"/>
      <c r="AV195" s="118"/>
      <c r="AW195" s="1164" cm="1">
        <f t="array" ref="AW195">SUMIF(AX$19:BH$19,onderwijs,AX$30:BH$30)</f>
        <v>0</v>
      </c>
      <c r="AX195" s="89"/>
      <c r="AY195" s="610"/>
      <c r="AZ195" s="610"/>
      <c r="BA195" s="610"/>
      <c r="BB195" s="610"/>
      <c r="BC195" s="610"/>
      <c r="BD195" s="610"/>
      <c r="BE195" s="610"/>
      <c r="BF195" s="610"/>
      <c r="BG195" s="610"/>
      <c r="BH195" s="222"/>
    </row>
    <row r="196" spans="1:60" s="2" customFormat="1" hidden="1">
      <c r="A196" s="1038"/>
      <c r="B196" s="1109" t="s">
        <v>231</v>
      </c>
      <c r="C196" s="1106" t="s">
        <v>181</v>
      </c>
      <c r="D196" s="644"/>
      <c r="E196" s="1123" t="s">
        <v>1272</v>
      </c>
      <c r="F196" s="180"/>
      <c r="G196" s="180"/>
      <c r="H196" s="181" t="s">
        <v>1270</v>
      </c>
      <c r="I196" s="114"/>
      <c r="J196" s="190">
        <f>M196+Y196+AK196+AW196</f>
        <v>0</v>
      </c>
      <c r="K196" s="243"/>
      <c r="L196" s="243"/>
      <c r="M196" s="1164">
        <f>M29-M194-M195</f>
        <v>0</v>
      </c>
      <c r="N196" s="89"/>
      <c r="O196" s="610"/>
      <c r="P196" s="610"/>
      <c r="Q196" s="610"/>
      <c r="R196" s="610"/>
      <c r="S196" s="610"/>
      <c r="T196" s="610"/>
      <c r="U196" s="610"/>
      <c r="V196" s="610"/>
      <c r="W196" s="610"/>
      <c r="X196" s="118"/>
      <c r="Y196" s="1164">
        <f>Y29-Y194-Y195</f>
        <v>0</v>
      </c>
      <c r="Z196" s="89"/>
      <c r="AA196" s="610"/>
      <c r="AB196" s="610"/>
      <c r="AC196" s="610"/>
      <c r="AD196" s="610"/>
      <c r="AE196" s="610"/>
      <c r="AF196" s="610"/>
      <c r="AG196" s="610"/>
      <c r="AH196" s="610"/>
      <c r="AI196" s="610"/>
      <c r="AJ196" s="118"/>
      <c r="AK196" s="1164">
        <f>AK29-AK194-AK195</f>
        <v>0</v>
      </c>
      <c r="AL196" s="89"/>
      <c r="AM196" s="610"/>
      <c r="AN196" s="610"/>
      <c r="AO196" s="610"/>
      <c r="AP196" s="610"/>
      <c r="AQ196" s="610"/>
      <c r="AR196" s="610"/>
      <c r="AS196" s="610"/>
      <c r="AT196" s="610"/>
      <c r="AU196" s="610"/>
      <c r="AV196" s="118"/>
      <c r="AW196" s="1164">
        <f>AW29-AW194-AW195</f>
        <v>0</v>
      </c>
      <c r="AX196" s="89"/>
      <c r="AY196" s="610"/>
      <c r="AZ196" s="610"/>
      <c r="BA196" s="610"/>
      <c r="BB196" s="610"/>
      <c r="BC196" s="610"/>
      <c r="BD196" s="610"/>
      <c r="BE196" s="610"/>
      <c r="BF196" s="610"/>
      <c r="BG196" s="610"/>
      <c r="BH196" s="222"/>
    </row>
    <row r="197" spans="1:60" s="2" customFormat="1" hidden="1">
      <c r="A197" s="1079"/>
      <c r="B197" s="1112" t="s">
        <v>231</v>
      </c>
      <c r="C197" s="990" t="s">
        <v>181</v>
      </c>
      <c r="D197" s="644"/>
      <c r="E197" s="1123" t="s">
        <v>1309</v>
      </c>
      <c r="F197" s="180"/>
      <c r="G197" s="180"/>
      <c r="H197" s="181" t="s">
        <v>1270</v>
      </c>
      <c r="I197" s="1080"/>
      <c r="J197" s="190"/>
      <c r="K197" s="1081"/>
      <c r="L197" s="1081"/>
      <c r="M197" s="250" t="e">
        <f>((fdu_el_ren_woning*M$194+fdu_el_ren_onderwijs*M$195+fdu_el_ren_utiliteit_overig*M$196)/SUM(M$194:M$196))</f>
        <v>#DIV/0!</v>
      </c>
      <c r="N197" s="1082"/>
      <c r="O197" s="610"/>
      <c r="P197" s="610"/>
      <c r="Q197" s="610"/>
      <c r="R197" s="610"/>
      <c r="S197" s="610"/>
      <c r="T197" s="610"/>
      <c r="U197" s="610"/>
      <c r="V197" s="610"/>
      <c r="W197" s="610"/>
      <c r="X197" s="1083"/>
      <c r="Y197" s="250" t="e">
        <f>((fdu_el_ren_woning*Y$194+fdu_el_ren_onderwijs*Y$195+fdu_el_ren_utiliteit_overig*Y$196)/SUM(Y$194:Y$196))</f>
        <v>#DIV/0!</v>
      </c>
      <c r="Z197" s="1082"/>
      <c r="AA197" s="610"/>
      <c r="AB197" s="610"/>
      <c r="AC197" s="610"/>
      <c r="AD197" s="610"/>
      <c r="AE197" s="610"/>
      <c r="AF197" s="610"/>
      <c r="AG197" s="610"/>
      <c r="AH197" s="610"/>
      <c r="AI197" s="610"/>
      <c r="AJ197" s="1083"/>
      <c r="AK197" s="250" t="e">
        <f>((fdu_el_ren_woning*AK$194+fdu_el_ren_onderwijs*AK$195+fdu_el_ren_utiliteit_overig*AK$196)/SUM(AK$194:AK$196))</f>
        <v>#DIV/0!</v>
      </c>
      <c r="AL197" s="1082"/>
      <c r="AM197" s="610"/>
      <c r="AN197" s="610"/>
      <c r="AO197" s="610"/>
      <c r="AP197" s="610"/>
      <c r="AQ197" s="610"/>
      <c r="AR197" s="610"/>
      <c r="AS197" s="610"/>
      <c r="AT197" s="610"/>
      <c r="AU197" s="610"/>
      <c r="AV197" s="1083"/>
      <c r="AW197" s="250" t="e">
        <f>((fdu_el_ren_woning*AW$194+fdu_el_ren_onderwijs*AW$195+fdu_el_ren_utiliteit_overig*AW$196)/SUM(AW$194:AW$196))</f>
        <v>#DIV/0!</v>
      </c>
      <c r="AX197" s="1082"/>
      <c r="AY197" s="610"/>
      <c r="AZ197" s="610"/>
      <c r="BA197" s="610"/>
      <c r="BB197" s="610"/>
      <c r="BC197" s="610"/>
      <c r="BD197" s="610"/>
      <c r="BE197" s="610"/>
      <c r="BF197" s="610"/>
      <c r="BG197" s="610"/>
      <c r="BH197" s="222"/>
    </row>
    <row r="198" spans="1:60" s="2" customFormat="1" hidden="1">
      <c r="A198" s="1038"/>
      <c r="B198" s="1109" t="s">
        <v>231</v>
      </c>
      <c r="C198" s="1106" t="s">
        <v>181</v>
      </c>
      <c r="D198" s="644"/>
      <c r="E198" s="1123" t="s">
        <v>1310</v>
      </c>
      <c r="F198" s="180"/>
      <c r="G198" s="180"/>
      <c r="H198" s="181" t="s">
        <v>65</v>
      </c>
      <c r="I198" s="114"/>
      <c r="J198" s="190"/>
      <c r="K198" s="243"/>
      <c r="L198" s="243"/>
      <c r="M198" s="190">
        <f>IF(M$50="ja",1,0)</f>
        <v>0</v>
      </c>
      <c r="N198" s="119"/>
      <c r="O198" s="1078"/>
      <c r="P198" s="1078"/>
      <c r="Q198" s="1078"/>
      <c r="R198" s="1078"/>
      <c r="S198" s="1078"/>
      <c r="T198" s="1078"/>
      <c r="U198" s="1078"/>
      <c r="V198" s="1078"/>
      <c r="W198" s="1078"/>
      <c r="X198" s="109"/>
      <c r="Y198" s="190">
        <f>IF(Y$50="ja",1,0)</f>
        <v>0</v>
      </c>
      <c r="Z198" s="119"/>
      <c r="AA198" s="1078"/>
      <c r="AB198" s="1078"/>
      <c r="AC198" s="1078"/>
      <c r="AD198" s="1078"/>
      <c r="AE198" s="1078"/>
      <c r="AF198" s="1078"/>
      <c r="AG198" s="1078"/>
      <c r="AH198" s="1078"/>
      <c r="AI198" s="1078"/>
      <c r="AJ198" s="109"/>
      <c r="AK198" s="190">
        <f>IF(AK$50="ja",1,0)</f>
        <v>0</v>
      </c>
      <c r="AL198" s="119"/>
      <c r="AM198" s="1078"/>
      <c r="AN198" s="1078"/>
      <c r="AO198" s="1078"/>
      <c r="AP198" s="1078"/>
      <c r="AQ198" s="1078"/>
      <c r="AR198" s="1078"/>
      <c r="AS198" s="1078"/>
      <c r="AT198" s="1078"/>
      <c r="AU198" s="1078"/>
      <c r="AV198" s="109"/>
      <c r="AW198" s="190">
        <f>IF(AW$50="ja",1,0)</f>
        <v>0</v>
      </c>
      <c r="AX198" s="89"/>
      <c r="AY198" s="610"/>
      <c r="AZ198" s="610"/>
      <c r="BA198" s="610"/>
      <c r="BB198" s="610"/>
      <c r="BC198" s="610"/>
      <c r="BD198" s="610"/>
      <c r="BE198" s="610"/>
      <c r="BF198" s="610"/>
      <c r="BG198" s="610"/>
      <c r="BH198" s="222"/>
    </row>
    <row r="199" spans="1:60" s="2" customFormat="1">
      <c r="A199" s="1038"/>
      <c r="B199" s="1109" t="s">
        <v>231</v>
      </c>
      <c r="C199" s="1106" t="s">
        <v>96</v>
      </c>
      <c r="D199" s="644"/>
      <c r="E199" s="940" t="s">
        <v>1343</v>
      </c>
      <c r="F199" s="940"/>
      <c r="G199" s="940"/>
      <c r="H199" s="940"/>
      <c r="I199" s="77"/>
      <c r="J199" s="939"/>
      <c r="K199" s="126"/>
      <c r="L199" s="126"/>
      <c r="M199" s="938"/>
      <c r="N199" s="252"/>
      <c r="O199" s="177" t="str">
        <f t="shared" ref="O199:W199" si="174">O$10</f>
        <v>verwarming</v>
      </c>
      <c r="P199" s="177" t="str">
        <f t="shared" si="174"/>
        <v>koeling</v>
      </c>
      <c r="Q199" s="177" t="str">
        <f t="shared" si="174"/>
        <v>tapwater</v>
      </c>
      <c r="R199" s="177" t="str">
        <f t="shared" si="174"/>
        <v>verlichting</v>
      </c>
      <c r="S199" s="177" t="str">
        <f t="shared" si="174"/>
        <v>ventilatoren</v>
      </c>
      <c r="T199" s="177"/>
      <c r="U199" s="177" t="str">
        <f t="shared" si="174"/>
        <v>overig elektra</v>
      </c>
      <c r="V199" s="177" t="str">
        <f t="shared" si="174"/>
        <v>mobiliteit</v>
      </c>
      <c r="W199" s="177" t="str">
        <f t="shared" si="174"/>
        <v>zonnepanelen</v>
      </c>
      <c r="X199" s="253"/>
      <c r="Y199" s="938"/>
      <c r="Z199" s="252"/>
      <c r="AA199" s="177" t="str">
        <f t="shared" ref="AA199:AI199" si="175">AA$10</f>
        <v>verwarming</v>
      </c>
      <c r="AB199" s="177" t="str">
        <f t="shared" si="175"/>
        <v>koeling</v>
      </c>
      <c r="AC199" s="177" t="str">
        <f t="shared" si="175"/>
        <v>tapwater</v>
      </c>
      <c r="AD199" s="177" t="str">
        <f t="shared" si="175"/>
        <v>verlichting</v>
      </c>
      <c r="AE199" s="177" t="str">
        <f t="shared" si="175"/>
        <v>ventilatoren</v>
      </c>
      <c r="AF199" s="177"/>
      <c r="AG199" s="177" t="str">
        <f t="shared" si="175"/>
        <v>overig elektra</v>
      </c>
      <c r="AH199" s="177" t="str">
        <f t="shared" si="175"/>
        <v>mobiliteit</v>
      </c>
      <c r="AI199" s="177" t="str">
        <f t="shared" si="175"/>
        <v>zonnepanelen</v>
      </c>
      <c r="AJ199" s="253"/>
      <c r="AK199" s="938"/>
      <c r="AL199" s="252"/>
      <c r="AM199" s="177" t="str">
        <f t="shared" ref="AM199:AU199" si="176">AM$10</f>
        <v>verwarming</v>
      </c>
      <c r="AN199" s="177" t="str">
        <f t="shared" si="176"/>
        <v>koeling</v>
      </c>
      <c r="AO199" s="177" t="str">
        <f t="shared" si="176"/>
        <v>tapwater</v>
      </c>
      <c r="AP199" s="177" t="str">
        <f t="shared" si="176"/>
        <v>verlichting</v>
      </c>
      <c r="AQ199" s="177" t="str">
        <f t="shared" si="176"/>
        <v>ventilatoren</v>
      </c>
      <c r="AR199" s="177"/>
      <c r="AS199" s="177" t="str">
        <f t="shared" si="176"/>
        <v>overig elektra</v>
      </c>
      <c r="AT199" s="177" t="str">
        <f t="shared" si="176"/>
        <v>mobiliteit</v>
      </c>
      <c r="AU199" s="177" t="str">
        <f t="shared" si="176"/>
        <v>zonnepanelen</v>
      </c>
      <c r="AV199" s="253"/>
      <c r="AW199" s="938"/>
      <c r="AX199" s="252"/>
      <c r="AY199" s="177" t="str">
        <f t="shared" ref="AY199:BG199" si="177">AY$10</f>
        <v>verwarming</v>
      </c>
      <c r="AZ199" s="177" t="str">
        <f t="shared" si="177"/>
        <v>koeling</v>
      </c>
      <c r="BA199" s="177" t="str">
        <f t="shared" si="177"/>
        <v>tapwater</v>
      </c>
      <c r="BB199" s="177" t="str">
        <f t="shared" si="177"/>
        <v>verlichting</v>
      </c>
      <c r="BC199" s="177" t="str">
        <f t="shared" si="177"/>
        <v>ventilatoren</v>
      </c>
      <c r="BD199" s="177"/>
      <c r="BE199" s="177" t="str">
        <f t="shared" si="177"/>
        <v>overig elektra</v>
      </c>
      <c r="BF199" s="177" t="str">
        <f t="shared" si="177"/>
        <v>mobiliteit</v>
      </c>
      <c r="BG199" s="177" t="str">
        <f t="shared" si="177"/>
        <v>zonnepanelen</v>
      </c>
    </row>
    <row r="200" spans="1:60" s="2" customFormat="1" hidden="1">
      <c r="A200" s="1038"/>
      <c r="B200" s="1109" t="s">
        <v>231</v>
      </c>
      <c r="C200" s="1106" t="s">
        <v>181</v>
      </c>
      <c r="D200" s="644"/>
      <c r="E200" s="1123" t="s">
        <v>1288</v>
      </c>
      <c r="F200" s="180"/>
      <c r="G200" s="180"/>
      <c r="H200" s="181" t="s">
        <v>202</v>
      </c>
      <c r="I200" s="114"/>
      <c r="J200" s="202">
        <f t="shared" ref="J200:J203" si="178">M200+Y200+AK200+AW200</f>
        <v>0</v>
      </c>
      <c r="K200" s="243"/>
      <c r="L200" s="243"/>
      <c r="M200" s="249">
        <f>IF(M$190&lt;&gt;0,MIN(M$188,M$190),0)</f>
        <v>0</v>
      </c>
      <c r="N200" s="89"/>
      <c r="O200" s="610"/>
      <c r="P200" s="610"/>
      <c r="Q200" s="610"/>
      <c r="R200" s="610"/>
      <c r="S200" s="610"/>
      <c r="T200" s="610"/>
      <c r="U200" s="610"/>
      <c r="V200" s="610"/>
      <c r="W200" s="610"/>
      <c r="X200" s="118"/>
      <c r="Y200" s="249">
        <f>IF(Y$190&lt;&gt;0,MIN(Y$188,Y$190),0)</f>
        <v>0</v>
      </c>
      <c r="Z200" s="89"/>
      <c r="AA200" s="610"/>
      <c r="AB200" s="610"/>
      <c r="AC200" s="610"/>
      <c r="AD200" s="610"/>
      <c r="AE200" s="610"/>
      <c r="AF200" s="610"/>
      <c r="AG200" s="610"/>
      <c r="AH200" s="610"/>
      <c r="AI200" s="610"/>
      <c r="AJ200" s="118"/>
      <c r="AK200" s="249">
        <f>IF(AK$190&lt;&gt;0,MIN(AK$188,AK$190),0)</f>
        <v>0</v>
      </c>
      <c r="AL200" s="89"/>
      <c r="AM200" s="610"/>
      <c r="AN200" s="610"/>
      <c r="AO200" s="610"/>
      <c r="AP200" s="610"/>
      <c r="AQ200" s="610"/>
      <c r="AR200" s="610"/>
      <c r="AS200" s="610"/>
      <c r="AT200" s="610"/>
      <c r="AU200" s="610"/>
      <c r="AV200" s="118"/>
      <c r="AW200" s="249">
        <f>IF(AW$190&lt;&gt;0,MIN(AW$188,AW$190),0)</f>
        <v>0</v>
      </c>
      <c r="AX200" s="89"/>
      <c r="AY200" s="610"/>
      <c r="AZ200" s="610"/>
      <c r="BA200" s="610"/>
      <c r="BB200" s="610"/>
      <c r="BC200" s="610"/>
      <c r="BD200" s="610"/>
      <c r="BE200" s="610"/>
      <c r="BF200" s="610"/>
      <c r="BG200" s="610"/>
      <c r="BH200" s="222"/>
    </row>
    <row r="201" spans="1:60" s="2" customFormat="1" hidden="1">
      <c r="A201" s="1038"/>
      <c r="B201" s="1109" t="s">
        <v>231</v>
      </c>
      <c r="C201" s="1106" t="s">
        <v>181</v>
      </c>
      <c r="D201" s="645" t="s">
        <v>45</v>
      </c>
      <c r="E201" s="1123" t="s">
        <v>1287</v>
      </c>
      <c r="F201" s="180"/>
      <c r="G201" s="180"/>
      <c r="H201" s="181" t="s">
        <v>202</v>
      </c>
      <c r="I201" s="114"/>
      <c r="J201" s="202">
        <f t="shared" si="178"/>
        <v>0</v>
      </c>
      <c r="K201" s="243"/>
      <c r="L201" s="243"/>
      <c r="M201" s="249">
        <f>MIN(M$186,M$190)*waardering_opslag_hernieuwbaar*(M$50="ja")</f>
        <v>0</v>
      </c>
      <c r="N201" s="89"/>
      <c r="O201" s="610"/>
      <c r="P201" s="610"/>
      <c r="Q201" s="610"/>
      <c r="R201" s="610"/>
      <c r="S201" s="610"/>
      <c r="T201" s="610"/>
      <c r="U201" s="610"/>
      <c r="V201" s="610"/>
      <c r="W201" s="610"/>
      <c r="X201" s="118"/>
      <c r="Y201" s="249">
        <f>MIN(Y$186,Y$190)*waardering_opslag_hernieuwbaar*(Y$50="ja")</f>
        <v>0</v>
      </c>
      <c r="Z201" s="89"/>
      <c r="AA201" s="610"/>
      <c r="AB201" s="610"/>
      <c r="AC201" s="610"/>
      <c r="AD201" s="610"/>
      <c r="AE201" s="610"/>
      <c r="AF201" s="610"/>
      <c r="AG201" s="610"/>
      <c r="AH201" s="610"/>
      <c r="AI201" s="610"/>
      <c r="AJ201" s="118"/>
      <c r="AK201" s="249">
        <f>MIN(AK$186,AK$190)*waardering_opslag_hernieuwbaar*(AK$50="ja")</f>
        <v>0</v>
      </c>
      <c r="AL201" s="89"/>
      <c r="AM201" s="610"/>
      <c r="AN201" s="610"/>
      <c r="AO201" s="610"/>
      <c r="AP201" s="610"/>
      <c r="AQ201" s="610"/>
      <c r="AR201" s="610"/>
      <c r="AS201" s="610"/>
      <c r="AT201" s="610"/>
      <c r="AU201" s="610"/>
      <c r="AV201" s="118"/>
      <c r="AW201" s="249">
        <f>MIN(AW$186,AW$190)*waardering_opslag_hernieuwbaar*(AW$50="ja")</f>
        <v>0</v>
      </c>
      <c r="AX201" s="89"/>
      <c r="AY201" s="610"/>
      <c r="AZ201" s="610"/>
      <c r="BA201" s="610"/>
      <c r="BB201" s="610"/>
      <c r="BC201" s="610"/>
      <c r="BD201" s="610"/>
      <c r="BE201" s="610"/>
      <c r="BF201" s="610"/>
      <c r="BG201" s="610"/>
      <c r="BH201" s="222"/>
    </row>
    <row r="202" spans="1:60" s="2" customFormat="1" hidden="1">
      <c r="A202" s="1038"/>
      <c r="B202" s="1109" t="s">
        <v>231</v>
      </c>
      <c r="C202" s="1106" t="s">
        <v>181</v>
      </c>
      <c r="D202" s="645" t="s">
        <v>45</v>
      </c>
      <c r="E202" s="1123" t="s">
        <v>1311</v>
      </c>
      <c r="F202" s="180"/>
      <c r="G202" s="180"/>
      <c r="H202" s="181" t="s">
        <v>202</v>
      </c>
      <c r="I202" s="114"/>
      <c r="J202" s="202">
        <f t="shared" si="178"/>
        <v>0</v>
      </c>
      <c r="K202" s="243"/>
      <c r="L202" s="243"/>
      <c r="M202" s="249">
        <f>M$188-M200</f>
        <v>0</v>
      </c>
      <c r="N202" s="89"/>
      <c r="O202" s="610"/>
      <c r="P202" s="610"/>
      <c r="Q202" s="610"/>
      <c r="R202" s="610"/>
      <c r="S202" s="610"/>
      <c r="T202" s="610"/>
      <c r="U202" s="610"/>
      <c r="V202" s="610"/>
      <c r="W202" s="610"/>
      <c r="X202" s="118"/>
      <c r="Y202" s="249">
        <f>Y$188-Y200</f>
        <v>0</v>
      </c>
      <c r="Z202" s="89"/>
      <c r="AA202" s="610"/>
      <c r="AB202" s="610"/>
      <c r="AC202" s="610"/>
      <c r="AD202" s="610"/>
      <c r="AE202" s="610"/>
      <c r="AF202" s="610"/>
      <c r="AG202" s="610"/>
      <c r="AH202" s="610"/>
      <c r="AI202" s="610"/>
      <c r="AJ202" s="118"/>
      <c r="AK202" s="249">
        <f>AK$188-AK200</f>
        <v>0</v>
      </c>
      <c r="AL202" s="89"/>
      <c r="AM202" s="610"/>
      <c r="AN202" s="610"/>
      <c r="AO202" s="610"/>
      <c r="AP202" s="610"/>
      <c r="AQ202" s="610"/>
      <c r="AR202" s="610"/>
      <c r="AS202" s="610"/>
      <c r="AT202" s="610"/>
      <c r="AU202" s="610"/>
      <c r="AV202" s="118"/>
      <c r="AW202" s="249">
        <f>AW$188-AW200</f>
        <v>0</v>
      </c>
      <c r="AX202" s="89"/>
      <c r="AY202" s="610"/>
      <c r="AZ202" s="610"/>
      <c r="BA202" s="610"/>
      <c r="BB202" s="610"/>
      <c r="BC202" s="610"/>
      <c r="BD202" s="610"/>
      <c r="BE202" s="610"/>
      <c r="BF202" s="610"/>
      <c r="BG202" s="610"/>
      <c r="BH202" s="222"/>
    </row>
    <row r="203" spans="1:60" s="2" customFormat="1" hidden="1">
      <c r="A203" s="1079"/>
      <c r="B203" s="1112" t="s">
        <v>231</v>
      </c>
      <c r="C203" s="990" t="s">
        <v>181</v>
      </c>
      <c r="D203" s="644"/>
      <c r="E203" s="1123" t="s">
        <v>1274</v>
      </c>
      <c r="F203" s="180"/>
      <c r="G203" s="180"/>
      <c r="H203" s="181" t="s">
        <v>202</v>
      </c>
      <c r="I203" s="1080"/>
      <c r="J203" s="202">
        <f t="shared" si="178"/>
        <v>0</v>
      </c>
      <c r="K203" s="1081"/>
      <c r="L203" s="1081"/>
      <c r="M203" s="249">
        <f>SUM(M$190)-M200</f>
        <v>0</v>
      </c>
      <c r="N203" s="1082"/>
      <c r="O203" s="610"/>
      <c r="P203" s="610"/>
      <c r="Q203" s="610"/>
      <c r="R203" s="610"/>
      <c r="S203" s="610"/>
      <c r="T203" s="610"/>
      <c r="U203" s="610"/>
      <c r="V203" s="610"/>
      <c r="W203" s="610"/>
      <c r="X203" s="1083"/>
      <c r="Y203" s="249">
        <f>SUM(Y$190)-Y200</f>
        <v>0</v>
      </c>
      <c r="Z203" s="1082"/>
      <c r="AA203" s="610"/>
      <c r="AB203" s="610"/>
      <c r="AC203" s="610"/>
      <c r="AD203" s="610"/>
      <c r="AE203" s="610"/>
      <c r="AF203" s="610"/>
      <c r="AG203" s="610"/>
      <c r="AH203" s="610"/>
      <c r="AI203" s="610"/>
      <c r="AJ203" s="1083"/>
      <c r="AK203" s="249">
        <f>SUM(AK$190)-AK200</f>
        <v>0</v>
      </c>
      <c r="AL203" s="1082"/>
      <c r="AM203" s="610"/>
      <c r="AN203" s="610"/>
      <c r="AO203" s="610"/>
      <c r="AP203" s="610"/>
      <c r="AQ203" s="610"/>
      <c r="AR203" s="610"/>
      <c r="AS203" s="610"/>
      <c r="AT203" s="610"/>
      <c r="AU203" s="610"/>
      <c r="AV203" s="1083"/>
      <c r="AW203" s="249">
        <f>SUM(AW$190)-AW200</f>
        <v>0</v>
      </c>
      <c r="AX203" s="1082"/>
      <c r="AY203" s="610"/>
      <c r="AZ203" s="610"/>
      <c r="BA203" s="610"/>
      <c r="BB203" s="610"/>
      <c r="BC203" s="610"/>
      <c r="BD203" s="610"/>
      <c r="BE203" s="610"/>
      <c r="BF203" s="610"/>
      <c r="BG203" s="610"/>
      <c r="BH203" s="222"/>
    </row>
    <row r="204" spans="1:60" s="2" customFormat="1">
      <c r="A204" s="1038"/>
      <c r="B204" s="1109" t="s">
        <v>231</v>
      </c>
      <c r="C204" s="1106" t="s">
        <v>96</v>
      </c>
      <c r="D204" s="644"/>
      <c r="E204" s="940" t="s">
        <v>1344</v>
      </c>
      <c r="F204" s="940"/>
      <c r="G204" s="940"/>
      <c r="H204" s="940"/>
      <c r="I204" s="77"/>
      <c r="J204" s="939"/>
      <c r="K204" s="126"/>
      <c r="L204" s="126"/>
      <c r="M204" s="938"/>
      <c r="N204" s="252"/>
      <c r="O204" s="177" t="str">
        <f t="shared" ref="O204:W204" si="179">O$10</f>
        <v>verwarming</v>
      </c>
      <c r="P204" s="177" t="str">
        <f t="shared" si="179"/>
        <v>koeling</v>
      </c>
      <c r="Q204" s="177" t="str">
        <f t="shared" si="179"/>
        <v>tapwater</v>
      </c>
      <c r="R204" s="177" t="str">
        <f t="shared" si="179"/>
        <v>verlichting</v>
      </c>
      <c r="S204" s="177" t="str">
        <f t="shared" si="179"/>
        <v>ventilatoren</v>
      </c>
      <c r="T204" s="177"/>
      <c r="U204" s="177" t="str">
        <f t="shared" si="179"/>
        <v>overig elektra</v>
      </c>
      <c r="V204" s="177" t="str">
        <f t="shared" si="179"/>
        <v>mobiliteit</v>
      </c>
      <c r="W204" s="177" t="str">
        <f t="shared" si="179"/>
        <v>zonnepanelen</v>
      </c>
      <c r="X204" s="253"/>
      <c r="Y204" s="938"/>
      <c r="Z204" s="252"/>
      <c r="AA204" s="177" t="str">
        <f t="shared" ref="AA204:AI204" si="180">AA$10</f>
        <v>verwarming</v>
      </c>
      <c r="AB204" s="177" t="str">
        <f t="shared" si="180"/>
        <v>koeling</v>
      </c>
      <c r="AC204" s="177" t="str">
        <f t="shared" si="180"/>
        <v>tapwater</v>
      </c>
      <c r="AD204" s="177" t="str">
        <f t="shared" si="180"/>
        <v>verlichting</v>
      </c>
      <c r="AE204" s="177" t="str">
        <f t="shared" si="180"/>
        <v>ventilatoren</v>
      </c>
      <c r="AF204" s="177"/>
      <c r="AG204" s="177" t="str">
        <f t="shared" si="180"/>
        <v>overig elektra</v>
      </c>
      <c r="AH204" s="177" t="str">
        <f t="shared" si="180"/>
        <v>mobiliteit</v>
      </c>
      <c r="AI204" s="177" t="str">
        <f t="shared" si="180"/>
        <v>zonnepanelen</v>
      </c>
      <c r="AJ204" s="253"/>
      <c r="AK204" s="938"/>
      <c r="AL204" s="252"/>
      <c r="AM204" s="177" t="str">
        <f t="shared" ref="AM204:AU204" si="181">AM$10</f>
        <v>verwarming</v>
      </c>
      <c r="AN204" s="177" t="str">
        <f t="shared" si="181"/>
        <v>koeling</v>
      </c>
      <c r="AO204" s="177" t="str">
        <f t="shared" si="181"/>
        <v>tapwater</v>
      </c>
      <c r="AP204" s="177" t="str">
        <f t="shared" si="181"/>
        <v>verlichting</v>
      </c>
      <c r="AQ204" s="177" t="str">
        <f t="shared" si="181"/>
        <v>ventilatoren</v>
      </c>
      <c r="AR204" s="177"/>
      <c r="AS204" s="177" t="str">
        <f t="shared" si="181"/>
        <v>overig elektra</v>
      </c>
      <c r="AT204" s="177" t="str">
        <f t="shared" si="181"/>
        <v>mobiliteit</v>
      </c>
      <c r="AU204" s="177" t="str">
        <f t="shared" si="181"/>
        <v>zonnepanelen</v>
      </c>
      <c r="AV204" s="253"/>
      <c r="AW204" s="938"/>
      <c r="AX204" s="252"/>
      <c r="AY204" s="177" t="str">
        <f t="shared" ref="AY204:BG204" si="182">AY$10</f>
        <v>verwarming</v>
      </c>
      <c r="AZ204" s="177" t="str">
        <f t="shared" si="182"/>
        <v>koeling</v>
      </c>
      <c r="BA204" s="177" t="str">
        <f t="shared" si="182"/>
        <v>tapwater</v>
      </c>
      <c r="BB204" s="177" t="str">
        <f t="shared" si="182"/>
        <v>verlichting</v>
      </c>
      <c r="BC204" s="177" t="str">
        <f t="shared" si="182"/>
        <v>ventilatoren</v>
      </c>
      <c r="BD204" s="177"/>
      <c r="BE204" s="177" t="str">
        <f t="shared" si="182"/>
        <v>overig elektra</v>
      </c>
      <c r="BF204" s="177" t="str">
        <f t="shared" si="182"/>
        <v>mobiliteit</v>
      </c>
      <c r="BG204" s="177" t="str">
        <f t="shared" si="182"/>
        <v>zonnepanelen</v>
      </c>
    </row>
    <row r="205" spans="1:60" s="2" customFormat="1" hidden="1">
      <c r="A205" s="1038"/>
      <c r="B205" s="1109" t="s">
        <v>231</v>
      </c>
      <c r="C205" s="1106" t="s">
        <v>181</v>
      </c>
      <c r="D205" s="645" t="s">
        <v>45</v>
      </c>
      <c r="E205" s="1123" t="s">
        <v>1240</v>
      </c>
      <c r="F205" s="180"/>
      <c r="G205" s="180"/>
      <c r="H205" s="181" t="s">
        <v>202</v>
      </c>
      <c r="I205" s="114"/>
      <c r="J205" s="202">
        <f t="shared" ref="J205:J210" si="183">M205+Y205+AK205+AW205</f>
        <v>0</v>
      </c>
      <c r="K205" s="243"/>
      <c r="L205" s="243"/>
      <c r="M205" s="249">
        <f>IFERROR(MIN(MAX(M$197*M$186,0.3*SUM(M$190)),1*SUM(M$190),M$186),0)</f>
        <v>0</v>
      </c>
      <c r="N205" s="89"/>
      <c r="O205" s="610"/>
      <c r="P205" s="610"/>
      <c r="Q205" s="610"/>
      <c r="R205" s="610"/>
      <c r="S205" s="610"/>
      <c r="T205" s="610"/>
      <c r="U205" s="610"/>
      <c r="V205" s="610"/>
      <c r="W205" s="610"/>
      <c r="X205" s="118"/>
      <c r="Y205" s="249">
        <f>IFERROR(MIN(MAX(Y$197*Y$186,0.3*SUM(Y$190)),1*SUM(Y$190),Y$186),0)</f>
        <v>0</v>
      </c>
      <c r="Z205" s="89"/>
      <c r="AA205" s="610"/>
      <c r="AB205" s="610"/>
      <c r="AC205" s="610"/>
      <c r="AD205" s="610"/>
      <c r="AE205" s="610"/>
      <c r="AF205" s="610"/>
      <c r="AG205" s="610"/>
      <c r="AH205" s="610"/>
      <c r="AI205" s="610"/>
      <c r="AJ205" s="118"/>
      <c r="AK205" s="249">
        <f>IFERROR(MIN(MAX(AK$197*AK$186,0.3*SUM(AK$190)),1*SUM(AK$190),AK$186),0)</f>
        <v>0</v>
      </c>
      <c r="AL205" s="89"/>
      <c r="AM205" s="610"/>
      <c r="AN205" s="610"/>
      <c r="AO205" s="610"/>
      <c r="AP205" s="610"/>
      <c r="AQ205" s="610"/>
      <c r="AR205" s="610"/>
      <c r="AS205" s="610"/>
      <c r="AT205" s="610"/>
      <c r="AU205" s="610"/>
      <c r="AV205" s="118"/>
      <c r="AW205" s="249">
        <f>IFERROR(MIN(MAX(AW$197*AW$186,0.3*SUM(AW$190)),1*SUM(AW$190),AW$186),0)</f>
        <v>0</v>
      </c>
      <c r="AX205" s="89"/>
      <c r="AY205" s="610"/>
      <c r="AZ205" s="610"/>
      <c r="BA205" s="610"/>
      <c r="BB205" s="610"/>
      <c r="BC205" s="610"/>
      <c r="BD205" s="610"/>
      <c r="BE205" s="610"/>
      <c r="BF205" s="610"/>
      <c r="BG205" s="610"/>
      <c r="BH205" s="222"/>
    </row>
    <row r="206" spans="1:60" s="2" customFormat="1" hidden="1">
      <c r="A206" s="1038"/>
      <c r="B206" s="1109" t="s">
        <v>231</v>
      </c>
      <c r="C206" s="1106" t="s">
        <v>181</v>
      </c>
      <c r="D206" s="644"/>
      <c r="E206" s="1123" t="s">
        <v>1312</v>
      </c>
      <c r="F206" s="180"/>
      <c r="G206" s="180"/>
      <c r="H206" s="181" t="s">
        <v>202</v>
      </c>
      <c r="I206" s="114"/>
      <c r="J206" s="202">
        <f t="shared" si="183"/>
        <v>0</v>
      </c>
      <c r="K206" s="243"/>
      <c r="L206" s="243"/>
      <c r="M206" s="249">
        <f>MIN(0.3*M$186*M$198,SUM(M$190)-M205,M$186-M205)</f>
        <v>0</v>
      </c>
      <c r="N206" s="89"/>
      <c r="O206" s="610"/>
      <c r="P206" s="610"/>
      <c r="Q206" s="610"/>
      <c r="R206" s="610"/>
      <c r="S206" s="610"/>
      <c r="T206" s="610"/>
      <c r="U206" s="610"/>
      <c r="V206" s="610"/>
      <c r="W206" s="610"/>
      <c r="X206" s="118"/>
      <c r="Y206" s="249">
        <f>MIN(0.3*Y$186*Y$198,SUM(Y$190)-Y205,Y$186-Y205)</f>
        <v>0</v>
      </c>
      <c r="Z206" s="89"/>
      <c r="AA206" s="610"/>
      <c r="AB206" s="610"/>
      <c r="AC206" s="610"/>
      <c r="AD206" s="610"/>
      <c r="AE206" s="610"/>
      <c r="AF206" s="610"/>
      <c r="AG206" s="610"/>
      <c r="AH206" s="610"/>
      <c r="AI206" s="610"/>
      <c r="AJ206" s="118"/>
      <c r="AK206" s="249">
        <f>MIN(0.3*AK$186*AK$198,SUM(AK$190)-AK205,AK$186-AK205)</f>
        <v>0</v>
      </c>
      <c r="AL206" s="89"/>
      <c r="AM206" s="610"/>
      <c r="AN206" s="610"/>
      <c r="AO206" s="610"/>
      <c r="AP206" s="610"/>
      <c r="AQ206" s="610"/>
      <c r="AR206" s="610"/>
      <c r="AS206" s="610"/>
      <c r="AT206" s="610"/>
      <c r="AU206" s="610"/>
      <c r="AV206" s="118"/>
      <c r="AW206" s="249">
        <f>MIN(0.3*AW$186*AW$198,SUM(AW$190)-AW205,AW$186-AW205)</f>
        <v>0</v>
      </c>
      <c r="AX206" s="89"/>
      <c r="AY206" s="610"/>
      <c r="AZ206" s="610"/>
      <c r="BA206" s="610"/>
      <c r="BB206" s="610"/>
      <c r="BC206" s="610"/>
      <c r="BD206" s="610"/>
      <c r="BE206" s="610"/>
      <c r="BF206" s="610"/>
      <c r="BG206" s="610"/>
      <c r="BH206" s="222"/>
    </row>
    <row r="207" spans="1:60" s="2" customFormat="1" hidden="1">
      <c r="A207" s="1038"/>
      <c r="B207" s="1109" t="s">
        <v>231</v>
      </c>
      <c r="C207" s="1106" t="s">
        <v>181</v>
      </c>
      <c r="D207" s="644"/>
      <c r="E207" s="1123" t="s">
        <v>1246</v>
      </c>
      <c r="F207" s="180"/>
      <c r="G207" s="180"/>
      <c r="H207" s="181" t="s">
        <v>202</v>
      </c>
      <c r="I207" s="114"/>
      <c r="J207" s="202">
        <f t="shared" si="183"/>
        <v>0</v>
      </c>
      <c r="K207" s="243"/>
      <c r="L207" s="243"/>
      <c r="M207" s="249">
        <f>M$186-M205-M206</f>
        <v>0</v>
      </c>
      <c r="N207" s="89"/>
      <c r="O207" s="610"/>
      <c r="P207" s="610"/>
      <c r="Q207" s="610"/>
      <c r="R207" s="610"/>
      <c r="S207" s="610"/>
      <c r="T207" s="610"/>
      <c r="U207" s="610"/>
      <c r="V207" s="610"/>
      <c r="W207" s="610"/>
      <c r="X207" s="118"/>
      <c r="Y207" s="249">
        <f>Y$186-Y205-Y206</f>
        <v>0</v>
      </c>
      <c r="Z207" s="89"/>
      <c r="AA207" s="610"/>
      <c r="AB207" s="610"/>
      <c r="AC207" s="610"/>
      <c r="AD207" s="610"/>
      <c r="AE207" s="610"/>
      <c r="AF207" s="610"/>
      <c r="AG207" s="610"/>
      <c r="AH207" s="610"/>
      <c r="AI207" s="610"/>
      <c r="AJ207" s="118"/>
      <c r="AK207" s="249">
        <f>AK$186-AK205-AK206</f>
        <v>0</v>
      </c>
      <c r="AL207" s="89"/>
      <c r="AM207" s="610"/>
      <c r="AN207" s="610"/>
      <c r="AO207" s="610"/>
      <c r="AP207" s="610"/>
      <c r="AQ207" s="610"/>
      <c r="AR207" s="610"/>
      <c r="AS207" s="610"/>
      <c r="AT207" s="610"/>
      <c r="AU207" s="610"/>
      <c r="AV207" s="118"/>
      <c r="AW207" s="249">
        <f>AW$186-AW205-AW206</f>
        <v>0</v>
      </c>
      <c r="AX207" s="89"/>
      <c r="AY207" s="610"/>
      <c r="AZ207" s="610"/>
      <c r="BA207" s="610"/>
      <c r="BB207" s="610"/>
      <c r="BC207" s="610"/>
      <c r="BD207" s="610"/>
      <c r="BE207" s="610"/>
      <c r="BF207" s="610"/>
      <c r="BG207" s="610"/>
      <c r="BH207" s="222"/>
    </row>
    <row r="208" spans="1:60" s="2" customFormat="1" hidden="1">
      <c r="A208" s="1038"/>
      <c r="B208" s="1109" t="s">
        <v>231</v>
      </c>
      <c r="C208" s="1106" t="s">
        <v>181</v>
      </c>
      <c r="D208" s="645" t="s">
        <v>45</v>
      </c>
      <c r="E208" s="1123" t="s">
        <v>1239</v>
      </c>
      <c r="F208" s="180"/>
      <c r="G208" s="180"/>
      <c r="H208" s="181" t="s">
        <v>202</v>
      </c>
      <c r="I208" s="114"/>
      <c r="J208" s="202">
        <f t="shared" si="183"/>
        <v>0</v>
      </c>
      <c r="K208" s="243"/>
      <c r="L208" s="243"/>
      <c r="M208" s="249">
        <f>MIN(fdu_el_nren*M$187,MAX(0,SUM(M$190)-M205-M206*eta_BAT))</f>
        <v>0</v>
      </c>
      <c r="N208" s="89"/>
      <c r="O208" s="610"/>
      <c r="P208" s="610"/>
      <c r="Q208" s="610"/>
      <c r="R208" s="610"/>
      <c r="S208" s="610"/>
      <c r="T208" s="610"/>
      <c r="U208" s="610"/>
      <c r="V208" s="610"/>
      <c r="W208" s="610"/>
      <c r="X208" s="118"/>
      <c r="Y208" s="249">
        <f>MIN(fdu_el_nren*Y$187,MAX(0,SUM(Y$190)-Y205-Y206*eta_BAT))</f>
        <v>0</v>
      </c>
      <c r="Z208" s="89"/>
      <c r="AA208" s="610"/>
      <c r="AB208" s="610"/>
      <c r="AC208" s="610"/>
      <c r="AD208" s="610"/>
      <c r="AE208" s="610"/>
      <c r="AF208" s="610"/>
      <c r="AG208" s="610"/>
      <c r="AH208" s="610"/>
      <c r="AI208" s="610"/>
      <c r="AJ208" s="118"/>
      <c r="AK208" s="249">
        <f>MIN(fdu_el_nren*AK$187,MAX(0,SUM(AK$190)-AK205-AK206*eta_BAT))</f>
        <v>0</v>
      </c>
      <c r="AL208" s="89"/>
      <c r="AM208" s="610"/>
      <c r="AN208" s="610"/>
      <c r="AO208" s="610"/>
      <c r="AP208" s="610"/>
      <c r="AQ208" s="610"/>
      <c r="AR208" s="610"/>
      <c r="AS208" s="610"/>
      <c r="AT208" s="610"/>
      <c r="AU208" s="610"/>
      <c r="AV208" s="118"/>
      <c r="AW208" s="249">
        <f>MIN(fdu_el_nren*AW$187,MAX(0,SUM(AW$190)-AW205-AW206*eta_BAT))</f>
        <v>0</v>
      </c>
      <c r="AX208" s="89"/>
      <c r="AY208" s="610"/>
      <c r="AZ208" s="610"/>
      <c r="BA208" s="610"/>
      <c r="BB208" s="610"/>
      <c r="BC208" s="610"/>
      <c r="BD208" s="610"/>
      <c r="BE208" s="610"/>
      <c r="BF208" s="610"/>
      <c r="BG208" s="610"/>
      <c r="BH208" s="222"/>
    </row>
    <row r="209" spans="1:60" s="2" customFormat="1" hidden="1">
      <c r="A209" s="1038"/>
      <c r="B209" s="1109" t="s">
        <v>231</v>
      </c>
      <c r="C209" s="1106" t="s">
        <v>181</v>
      </c>
      <c r="D209" s="644"/>
      <c r="E209" s="1123" t="s">
        <v>1245</v>
      </c>
      <c r="F209" s="180"/>
      <c r="G209" s="180"/>
      <c r="H209" s="181" t="s">
        <v>202</v>
      </c>
      <c r="I209" s="114"/>
      <c r="J209" s="202">
        <f t="shared" si="183"/>
        <v>0</v>
      </c>
      <c r="K209" s="243"/>
      <c r="L209" s="243"/>
      <c r="M209" s="249">
        <f>M$187-M208</f>
        <v>0</v>
      </c>
      <c r="N209" s="89"/>
      <c r="O209" s="610"/>
      <c r="P209" s="610"/>
      <c r="Q209" s="610"/>
      <c r="R209" s="610"/>
      <c r="S209" s="610"/>
      <c r="T209" s="610"/>
      <c r="U209" s="610"/>
      <c r="V209" s="610"/>
      <c r="W209" s="610"/>
      <c r="X209" s="118"/>
      <c r="Y209" s="249">
        <f>Y$187-Y208</f>
        <v>0</v>
      </c>
      <c r="Z209" s="89"/>
      <c r="AA209" s="610"/>
      <c r="AB209" s="610"/>
      <c r="AC209" s="610"/>
      <c r="AD209" s="610"/>
      <c r="AE209" s="610"/>
      <c r="AF209" s="610"/>
      <c r="AG209" s="610"/>
      <c r="AH209" s="610"/>
      <c r="AI209" s="610"/>
      <c r="AJ209" s="118"/>
      <c r="AK209" s="249">
        <f>AK$187-AK208</f>
        <v>0</v>
      </c>
      <c r="AL209" s="89"/>
      <c r="AM209" s="610"/>
      <c r="AN209" s="610"/>
      <c r="AO209" s="610"/>
      <c r="AP209" s="610"/>
      <c r="AQ209" s="610"/>
      <c r="AR209" s="610"/>
      <c r="AS209" s="610"/>
      <c r="AT209" s="610"/>
      <c r="AU209" s="610"/>
      <c r="AV209" s="118"/>
      <c r="AW209" s="249">
        <f>AW$187-AW208</f>
        <v>0</v>
      </c>
      <c r="AX209" s="89"/>
      <c r="AY209" s="610"/>
      <c r="AZ209" s="610"/>
      <c r="BA209" s="610"/>
      <c r="BB209" s="610"/>
      <c r="BC209" s="610"/>
      <c r="BD209" s="610"/>
      <c r="BE209" s="610"/>
      <c r="BF209" s="610"/>
      <c r="BG209" s="610"/>
      <c r="BH209" s="222"/>
    </row>
    <row r="210" spans="1:60" s="2" customFormat="1" hidden="1">
      <c r="A210" s="1079"/>
      <c r="B210" s="1112" t="s">
        <v>231</v>
      </c>
      <c r="C210" s="990" t="s">
        <v>181</v>
      </c>
      <c r="D210" s="644"/>
      <c r="E210" s="1123" t="s">
        <v>1274</v>
      </c>
      <c r="F210" s="180"/>
      <c r="G210" s="180"/>
      <c r="H210" s="181" t="s">
        <v>202</v>
      </c>
      <c r="I210" s="1080"/>
      <c r="J210" s="202">
        <f t="shared" si="183"/>
        <v>0</v>
      </c>
      <c r="K210" s="1081"/>
      <c r="L210" s="1081"/>
      <c r="M210" s="249">
        <f>SUM(M$190)-M205-M208-M206*eta_BAT</f>
        <v>0</v>
      </c>
      <c r="N210" s="1082"/>
      <c r="O210" s="610"/>
      <c r="P210" s="610"/>
      <c r="Q210" s="610"/>
      <c r="R210" s="610"/>
      <c r="S210" s="610"/>
      <c r="T210" s="610"/>
      <c r="U210" s="610"/>
      <c r="V210" s="610"/>
      <c r="W210" s="610"/>
      <c r="X210" s="1083"/>
      <c r="Y210" s="249">
        <f>SUM(Y$190)-Y205-Y208-Y206*eta_BAT</f>
        <v>0</v>
      </c>
      <c r="Z210" s="1082"/>
      <c r="AA210" s="610"/>
      <c r="AB210" s="610"/>
      <c r="AC210" s="610"/>
      <c r="AD210" s="610"/>
      <c r="AE210" s="610"/>
      <c r="AF210" s="610"/>
      <c r="AG210" s="610"/>
      <c r="AH210" s="610"/>
      <c r="AI210" s="610"/>
      <c r="AJ210" s="1083"/>
      <c r="AK210" s="249">
        <f>SUM(AK$190)-AK205-AK208-AK206*eta_BAT</f>
        <v>0</v>
      </c>
      <c r="AL210" s="1082"/>
      <c r="AM210" s="610"/>
      <c r="AN210" s="610"/>
      <c r="AO210" s="610"/>
      <c r="AP210" s="610"/>
      <c r="AQ210" s="610"/>
      <c r="AR210" s="610"/>
      <c r="AS210" s="610"/>
      <c r="AT210" s="610"/>
      <c r="AU210" s="610"/>
      <c r="AV210" s="1083"/>
      <c r="AW210" s="249">
        <f>SUM(AW$190)-AW205-AW208-AW206*eta_BAT</f>
        <v>0</v>
      </c>
      <c r="AX210" s="1082"/>
      <c r="AY210" s="610"/>
      <c r="AZ210" s="610"/>
      <c r="BA210" s="610"/>
      <c r="BB210" s="610"/>
      <c r="BC210" s="610"/>
      <c r="BD210" s="610"/>
      <c r="BE210" s="610"/>
      <c r="BF210" s="610"/>
      <c r="BG210" s="610"/>
      <c r="BH210" s="222"/>
    </row>
    <row r="211" spans="1:60" s="2" customFormat="1">
      <c r="A211" s="1038"/>
      <c r="B211" s="1109" t="s">
        <v>231</v>
      </c>
      <c r="C211" s="1106" t="s">
        <v>96</v>
      </c>
      <c r="D211" s="644"/>
      <c r="E211" s="940" t="s">
        <v>1345</v>
      </c>
      <c r="F211" s="940"/>
      <c r="G211" s="940"/>
      <c r="H211" s="940"/>
      <c r="I211" s="77"/>
      <c r="J211" s="939"/>
      <c r="K211" s="126"/>
      <c r="L211" s="126"/>
      <c r="M211" s="938"/>
      <c r="N211" s="252"/>
      <c r="O211" s="177" t="str">
        <f>O$10</f>
        <v>verwarming</v>
      </c>
      <c r="P211" s="177" t="str">
        <f>P$10</f>
        <v>koeling</v>
      </c>
      <c r="Q211" s="177" t="str">
        <f>Q$10</f>
        <v>tapwater</v>
      </c>
      <c r="R211" s="177"/>
      <c r="S211" s="177"/>
      <c r="T211" s="177"/>
      <c r="U211" s="177"/>
      <c r="V211" s="177"/>
      <c r="W211" s="177" t="str">
        <f>W$10</f>
        <v>zonnepanelen</v>
      </c>
      <c r="X211" s="253"/>
      <c r="Y211" s="938"/>
      <c r="Z211" s="252"/>
      <c r="AA211" s="177" t="str">
        <f t="shared" ref="AA211:AI211" si="184">AA$10</f>
        <v>verwarming</v>
      </c>
      <c r="AB211" s="177" t="str">
        <f t="shared" si="184"/>
        <v>koeling</v>
      </c>
      <c r="AC211" s="177" t="str">
        <f t="shared" si="184"/>
        <v>tapwater</v>
      </c>
      <c r="AD211" s="177"/>
      <c r="AE211" s="177"/>
      <c r="AF211" s="177"/>
      <c r="AG211" s="177"/>
      <c r="AH211" s="177"/>
      <c r="AI211" s="177" t="str">
        <f t="shared" si="184"/>
        <v>zonnepanelen</v>
      </c>
      <c r="AJ211" s="253"/>
      <c r="AK211" s="938"/>
      <c r="AL211" s="252"/>
      <c r="AM211" s="177" t="str">
        <f t="shared" ref="AM211:AU211" si="185">AM$10</f>
        <v>verwarming</v>
      </c>
      <c r="AN211" s="177" t="str">
        <f t="shared" si="185"/>
        <v>koeling</v>
      </c>
      <c r="AO211" s="177" t="str">
        <f t="shared" si="185"/>
        <v>tapwater</v>
      </c>
      <c r="AP211" s="177"/>
      <c r="AQ211" s="177"/>
      <c r="AR211" s="177"/>
      <c r="AS211" s="177"/>
      <c r="AT211" s="177"/>
      <c r="AU211" s="177" t="str">
        <f t="shared" si="185"/>
        <v>zonnepanelen</v>
      </c>
      <c r="AV211" s="253"/>
      <c r="AW211" s="938"/>
      <c r="AX211" s="252"/>
      <c r="AY211" s="177" t="str">
        <f t="shared" ref="AY211:BG211" si="186">AY$10</f>
        <v>verwarming</v>
      </c>
      <c r="AZ211" s="177" t="str">
        <f t="shared" si="186"/>
        <v>koeling</v>
      </c>
      <c r="BA211" s="177" t="str">
        <f t="shared" si="186"/>
        <v>tapwater</v>
      </c>
      <c r="BB211" s="177"/>
      <c r="BC211" s="177"/>
      <c r="BD211" s="177"/>
      <c r="BE211" s="177"/>
      <c r="BF211" s="177"/>
      <c r="BG211" s="177" t="str">
        <f t="shared" si="186"/>
        <v>zonnepanelen</v>
      </c>
    </row>
    <row r="212" spans="1:60" s="2" customFormat="1" hidden="1">
      <c r="A212" s="1038"/>
      <c r="B212" s="1109" t="s">
        <v>231</v>
      </c>
      <c r="C212" s="1106" t="s">
        <v>181</v>
      </c>
      <c r="D212" s="644"/>
      <c r="E212" s="1162" t="s">
        <v>1352</v>
      </c>
      <c r="F212" s="1162"/>
      <c r="G212" s="1162"/>
      <c r="H212" s="181" t="s">
        <v>204</v>
      </c>
      <c r="I212" s="114"/>
      <c r="J212" s="190"/>
      <c r="K212" s="79"/>
      <c r="L212" s="79"/>
      <c r="M212" s="250">
        <f>$G$5</f>
        <v>1.45</v>
      </c>
      <c r="N212" s="114"/>
      <c r="O212" s="335"/>
      <c r="P212" s="335"/>
      <c r="Q212" s="335"/>
      <c r="R212" s="335"/>
      <c r="S212" s="335"/>
      <c r="T212" s="335"/>
      <c r="U212" s="335"/>
      <c r="V212" s="335"/>
      <c r="W212" s="335"/>
      <c r="X212" s="109"/>
      <c r="Y212" s="250">
        <f>$G$5</f>
        <v>1.45</v>
      </c>
      <c r="Z212" s="114"/>
      <c r="AA212" s="335"/>
      <c r="AB212" s="335"/>
      <c r="AC212" s="335"/>
      <c r="AD212" s="335"/>
      <c r="AE212" s="335"/>
      <c r="AF212" s="335"/>
      <c r="AG212" s="335"/>
      <c r="AH212" s="335"/>
      <c r="AI212" s="335"/>
      <c r="AJ212" s="109"/>
      <c r="AK212" s="250">
        <f>$G$5</f>
        <v>1.45</v>
      </c>
      <c r="AL212" s="114"/>
      <c r="AM212" s="335"/>
      <c r="AN212" s="335"/>
      <c r="AO212" s="335"/>
      <c r="AP212" s="335"/>
      <c r="AQ212" s="335"/>
      <c r="AR212" s="335"/>
      <c r="AS212" s="335"/>
      <c r="AT212" s="335"/>
      <c r="AU212" s="335"/>
      <c r="AV212" s="109"/>
      <c r="AW212" s="250">
        <f>$G$5</f>
        <v>1.45</v>
      </c>
      <c r="AX212" s="114"/>
      <c r="AY212" s="335"/>
      <c r="AZ212" s="335"/>
      <c r="BA212" s="335"/>
      <c r="BB212" s="335"/>
      <c r="BC212" s="335"/>
      <c r="BD212" s="335"/>
      <c r="BE212" s="335"/>
      <c r="BF212" s="335"/>
      <c r="BG212" s="335"/>
      <c r="BH212" s="219"/>
    </row>
    <row r="213" spans="1:60" s="2" customFormat="1" hidden="1">
      <c r="A213" s="1038"/>
      <c r="B213" s="1109" t="s">
        <v>231</v>
      </c>
      <c r="C213" s="1106" t="s">
        <v>181</v>
      </c>
      <c r="D213" s="644"/>
      <c r="E213" s="1162" t="s">
        <v>1353</v>
      </c>
      <c r="F213" s="1162"/>
      <c r="G213" s="1162"/>
      <c r="H213" s="181" t="s">
        <v>204</v>
      </c>
      <c r="I213" s="114"/>
      <c r="J213" s="190"/>
      <c r="K213" s="79"/>
      <c r="L213" s="79"/>
      <c r="M213" s="250">
        <f>HLOOKUP($F$5,elektriciteit_primaire_energiefactor,ROWS(bibliotheek!$E$304:$E$306),FALSE)</f>
        <v>1.45</v>
      </c>
      <c r="N213" s="114"/>
      <c r="O213" s="335"/>
      <c r="P213" s="335"/>
      <c r="Q213" s="335"/>
      <c r="R213" s="335"/>
      <c r="S213" s="335"/>
      <c r="T213" s="335"/>
      <c r="U213" s="335"/>
      <c r="V213" s="335"/>
      <c r="W213" s="335"/>
      <c r="X213" s="109"/>
      <c r="Y213" s="250">
        <f>HLOOKUP($F$5,elektriciteit_primaire_energiefactor,ROWS(bibliotheek!$E$304:$E$306),FALSE)</f>
        <v>1.45</v>
      </c>
      <c r="Z213" s="114"/>
      <c r="AA213" s="335"/>
      <c r="AB213" s="335"/>
      <c r="AC213" s="335"/>
      <c r="AD213" s="335"/>
      <c r="AE213" s="335"/>
      <c r="AF213" s="335"/>
      <c r="AG213" s="335"/>
      <c r="AH213" s="335"/>
      <c r="AI213" s="335"/>
      <c r="AJ213" s="109"/>
      <c r="AK213" s="250">
        <f>HLOOKUP($F$5,elektriciteit_primaire_energiefactor,ROWS(bibliotheek!$E$304:$E$306),FALSE)</f>
        <v>1.45</v>
      </c>
      <c r="AL213" s="114"/>
      <c r="AM213" s="335"/>
      <c r="AN213" s="335"/>
      <c r="AO213" s="335"/>
      <c r="AP213" s="335"/>
      <c r="AQ213" s="335"/>
      <c r="AR213" s="335"/>
      <c r="AS213" s="335"/>
      <c r="AT213" s="335"/>
      <c r="AU213" s="335"/>
      <c r="AV213" s="109"/>
      <c r="AW213" s="250">
        <f>HLOOKUP($F$5,elektriciteit_primaire_energiefactor,ROWS(bibliotheek!$E$304:$E$306),FALSE)</f>
        <v>1.45</v>
      </c>
      <c r="AX213" s="114"/>
      <c r="AY213" s="335"/>
      <c r="AZ213" s="335"/>
      <c r="BA213" s="335"/>
      <c r="BB213" s="335"/>
      <c r="BC213" s="335"/>
      <c r="BD213" s="335"/>
      <c r="BE213" s="335"/>
      <c r="BF213" s="335"/>
      <c r="BG213" s="335"/>
      <c r="BH213" s="219"/>
    </row>
    <row r="214" spans="1:60" s="2" customFormat="1">
      <c r="A214" s="1038"/>
      <c r="B214" s="1109" t="s">
        <v>231</v>
      </c>
      <c r="C214" s="1106" t="s">
        <v>104</v>
      </c>
      <c r="D214" s="645" t="s">
        <v>45</v>
      </c>
      <c r="E214" s="1162" t="s">
        <v>232</v>
      </c>
      <c r="F214" s="1170"/>
      <c r="G214" s="1170"/>
      <c r="H214" s="181" t="s">
        <v>106</v>
      </c>
      <c r="I214" s="114"/>
      <c r="J214" s="202">
        <f>M214+Y214+AK214+AW214</f>
        <v>0</v>
      </c>
      <c r="K214" s="1062"/>
      <c r="L214" s="1062"/>
      <c r="M214" s="249">
        <f>(M202*M212+M200*M213)</f>
        <v>0</v>
      </c>
      <c r="N214" s="89"/>
      <c r="O214" s="168">
        <f>IF($M$188=0,0,O$188/$M$188*$M214)</f>
        <v>0</v>
      </c>
      <c r="P214" s="168">
        <f>IF($M$188=0,0,P$188/$M$188*$M214)</f>
        <v>0</v>
      </c>
      <c r="Q214" s="168">
        <f>IF($M$188=0,0,Q$188/$M$188*$M214)</f>
        <v>0</v>
      </c>
      <c r="R214" s="273"/>
      <c r="S214" s="273"/>
      <c r="T214" s="273"/>
      <c r="U214" s="273"/>
      <c r="V214" s="273"/>
      <c r="W214" s="168">
        <f>IF($M$188=0,0,W$188/$M$188*$M214)</f>
        <v>0</v>
      </c>
      <c r="X214" s="113"/>
      <c r="Y214" s="249">
        <f>(Y202*Y212+Y200*Y213)</f>
        <v>0</v>
      </c>
      <c r="Z214" s="89"/>
      <c r="AA214" s="168">
        <f>IF($Y$188=0,0,AA$188/$Y$188*$Y214)</f>
        <v>0</v>
      </c>
      <c r="AB214" s="168">
        <f>IF($Y$188=0,0,AB$188/$Y$188*$Y214)</f>
        <v>0</v>
      </c>
      <c r="AC214" s="168">
        <f>IF($Y$188=0,0,AC$188/$Y$188*$Y214)</f>
        <v>0</v>
      </c>
      <c r="AD214" s="168"/>
      <c r="AE214" s="168"/>
      <c r="AF214" s="168"/>
      <c r="AG214" s="168"/>
      <c r="AH214" s="168"/>
      <c r="AI214" s="168">
        <f>IF($Y$188=0,0,AI$188/$Y$188*$Y214)</f>
        <v>0</v>
      </c>
      <c r="AJ214" s="113"/>
      <c r="AK214" s="249">
        <f>(AK202*AK212+AK200*AK213)</f>
        <v>0</v>
      </c>
      <c r="AL214" s="89"/>
      <c r="AM214" s="168">
        <f>IF($AK$188=0,0,AM$188/$AK$188*$AK214)</f>
        <v>0</v>
      </c>
      <c r="AN214" s="168">
        <f>IF($AK$188=0,0,AN$188/$AK$188*$AK214)</f>
        <v>0</v>
      </c>
      <c r="AO214" s="168">
        <f>IF($AK$188=0,0,AO$188/$AK$188*$AK214)</f>
        <v>0</v>
      </c>
      <c r="AP214" s="273"/>
      <c r="AQ214" s="273"/>
      <c r="AR214" s="273"/>
      <c r="AS214" s="273"/>
      <c r="AT214" s="273"/>
      <c r="AU214" s="168">
        <f>IF($AK$188=0,0,AU$188/$AK$188*$AK214)</f>
        <v>0</v>
      </c>
      <c r="AV214" s="113"/>
      <c r="AW214" s="249">
        <f>(AW202*AW212+AW200*AW213)</f>
        <v>0</v>
      </c>
      <c r="AX214" s="89"/>
      <c r="AY214" s="168">
        <f>IF($AW$188=0,0,AY$188/$AW$188*$AW214)</f>
        <v>0</v>
      </c>
      <c r="AZ214" s="168">
        <f>IF($AW$188=0,0,AZ$188/$AW$188*$AW214)</f>
        <v>0</v>
      </c>
      <c r="BA214" s="168">
        <f>IF($AW$188=0,0,BA$188/$AW$188*$AW214)</f>
        <v>0</v>
      </c>
      <c r="BB214" s="273"/>
      <c r="BC214" s="273"/>
      <c r="BD214" s="273"/>
      <c r="BE214" s="273"/>
      <c r="BF214" s="273"/>
      <c r="BG214" s="168">
        <f>IF($AW$188=0,0,BG$188/$AW$188*$AW214)</f>
        <v>0</v>
      </c>
      <c r="BH214" s="210"/>
    </row>
    <row r="215" spans="1:60" s="2" customFormat="1">
      <c r="A215" s="1038"/>
      <c r="B215" s="1109" t="s">
        <v>231</v>
      </c>
      <c r="C215" s="1106" t="s">
        <v>96</v>
      </c>
      <c r="D215" s="644"/>
      <c r="E215" s="940" t="s">
        <v>1346</v>
      </c>
      <c r="F215" s="940"/>
      <c r="G215" s="940"/>
      <c r="H215" s="940"/>
      <c r="I215" s="77"/>
      <c r="J215" s="939"/>
      <c r="K215" s="126"/>
      <c r="L215" s="126"/>
      <c r="M215" s="938"/>
      <c r="N215" s="252"/>
      <c r="O215" s="177" t="str">
        <f t="shared" ref="O215:W215" si="187">O$10</f>
        <v>verwarming</v>
      </c>
      <c r="P215" s="177" t="str">
        <f t="shared" si="187"/>
        <v>koeling</v>
      </c>
      <c r="Q215" s="177" t="str">
        <f t="shared" si="187"/>
        <v>tapwater</v>
      </c>
      <c r="R215" s="177"/>
      <c r="S215" s="177"/>
      <c r="T215" s="177"/>
      <c r="U215" s="177"/>
      <c r="V215" s="177"/>
      <c r="W215" s="177" t="str">
        <f t="shared" si="187"/>
        <v>zonnepanelen</v>
      </c>
      <c r="X215" s="113"/>
      <c r="Y215" s="938"/>
      <c r="Z215" s="252"/>
      <c r="AA215" s="177" t="str">
        <f t="shared" ref="AA215:AI215" si="188">AA$10</f>
        <v>verwarming</v>
      </c>
      <c r="AB215" s="177" t="str">
        <f t="shared" si="188"/>
        <v>koeling</v>
      </c>
      <c r="AC215" s="177" t="str">
        <f t="shared" si="188"/>
        <v>tapwater</v>
      </c>
      <c r="AD215" s="177"/>
      <c r="AE215" s="177"/>
      <c r="AF215" s="177"/>
      <c r="AG215" s="177"/>
      <c r="AH215" s="177"/>
      <c r="AI215" s="177" t="str">
        <f t="shared" si="188"/>
        <v>zonnepanelen</v>
      </c>
      <c r="AJ215" s="113"/>
      <c r="AK215" s="938"/>
      <c r="AL215" s="252"/>
      <c r="AM215" s="177" t="str">
        <f t="shared" ref="AM215:AU215" si="189">AM$10</f>
        <v>verwarming</v>
      </c>
      <c r="AN215" s="177" t="str">
        <f t="shared" si="189"/>
        <v>koeling</v>
      </c>
      <c r="AO215" s="177" t="str">
        <f t="shared" si="189"/>
        <v>tapwater</v>
      </c>
      <c r="AP215" s="177"/>
      <c r="AQ215" s="177"/>
      <c r="AR215" s="177"/>
      <c r="AS215" s="177"/>
      <c r="AT215" s="177"/>
      <c r="AU215" s="177" t="str">
        <f t="shared" si="189"/>
        <v>zonnepanelen</v>
      </c>
      <c r="AV215" s="113"/>
      <c r="AW215" s="938"/>
      <c r="AX215" s="252"/>
      <c r="AY215" s="177" t="str">
        <f>AY$10</f>
        <v>verwarming</v>
      </c>
      <c r="AZ215" s="177" t="str">
        <f>AZ$10</f>
        <v>koeling</v>
      </c>
      <c r="BA215" s="177" t="str">
        <f>BA$10</f>
        <v>tapwater</v>
      </c>
      <c r="BB215" s="177"/>
      <c r="BC215" s="177"/>
      <c r="BD215" s="177"/>
      <c r="BE215" s="177"/>
      <c r="BF215" s="177"/>
      <c r="BG215" s="177" t="str">
        <f>BG$10</f>
        <v>zonnepanelen</v>
      </c>
      <c r="BH215" s="210"/>
    </row>
    <row r="216" spans="1:60" s="2" customFormat="1" hidden="1">
      <c r="A216" s="1038"/>
      <c r="B216" s="1109" t="s">
        <v>231</v>
      </c>
      <c r="C216" s="1106" t="s">
        <v>181</v>
      </c>
      <c r="D216" s="644"/>
      <c r="E216" s="1162" t="s">
        <v>1354</v>
      </c>
      <c r="F216" s="1162"/>
      <c r="G216" s="1162"/>
      <c r="H216" s="181" t="s">
        <v>1208</v>
      </c>
      <c r="I216" s="114"/>
      <c r="J216" s="190"/>
      <c r="K216" s="79"/>
      <c r="L216" s="79"/>
      <c r="M216" s="250">
        <f>HLOOKUP($F$5,bibliotheek!$E$304:$R$311,ROWS(bibliotheek!$E$304:$E$307),FALSE)</f>
        <v>1.35</v>
      </c>
      <c r="N216" s="114"/>
      <c r="O216" s="335"/>
      <c r="P216" s="335"/>
      <c r="Q216" s="335"/>
      <c r="R216" s="335"/>
      <c r="S216" s="335"/>
      <c r="T216" s="335"/>
      <c r="U216" s="335"/>
      <c r="V216" s="335"/>
      <c r="W216" s="335"/>
      <c r="X216" s="113"/>
      <c r="Y216" s="250">
        <f>HLOOKUP($F$5,bibliotheek!$E$304:$R$311,ROWS(bibliotheek!$E$304:$E$307),FALSE)</f>
        <v>1.35</v>
      </c>
      <c r="Z216" s="114"/>
      <c r="AA216" s="335"/>
      <c r="AB216" s="335"/>
      <c r="AC216" s="335"/>
      <c r="AD216" s="335"/>
      <c r="AE216" s="335"/>
      <c r="AF216" s="335"/>
      <c r="AG216" s="335"/>
      <c r="AH216" s="335"/>
      <c r="AI216" s="335"/>
      <c r="AJ216" s="113"/>
      <c r="AK216" s="250">
        <f>HLOOKUP($F$5,bibliotheek!$E$304:$R$311,ROWS(bibliotheek!$E$304:$E$307),FALSE)</f>
        <v>1.35</v>
      </c>
      <c r="AL216" s="114"/>
      <c r="AM216" s="335"/>
      <c r="AN216" s="335"/>
      <c r="AO216" s="335"/>
      <c r="AP216" s="335"/>
      <c r="AQ216" s="335"/>
      <c r="AR216" s="335"/>
      <c r="AS216" s="335"/>
      <c r="AT216" s="335"/>
      <c r="AU216" s="335"/>
      <c r="AV216" s="113"/>
      <c r="AW216" s="250">
        <f>HLOOKUP($F$5,bibliotheek!$E$304:$R$311,ROWS(bibliotheek!$E$304:$E$307),FALSE)</f>
        <v>1.35</v>
      </c>
      <c r="AX216" s="114"/>
      <c r="AY216" s="335"/>
      <c r="AZ216" s="335"/>
      <c r="BA216" s="335"/>
      <c r="BB216" s="335"/>
      <c r="BC216" s="335"/>
      <c r="BD216" s="335"/>
      <c r="BE216" s="335"/>
      <c r="BF216" s="335"/>
      <c r="BG216" s="335"/>
      <c r="BH216" s="210"/>
    </row>
    <row r="217" spans="1:60" s="2" customFormat="1" hidden="1">
      <c r="A217" s="1038"/>
      <c r="B217" s="1109" t="s">
        <v>231</v>
      </c>
      <c r="C217" s="1106" t="s">
        <v>181</v>
      </c>
      <c r="D217" s="644"/>
      <c r="E217" s="1162" t="s">
        <v>1355</v>
      </c>
      <c r="F217" s="1162"/>
      <c r="G217" s="1162"/>
      <c r="H217" s="181" t="s">
        <v>1208</v>
      </c>
      <c r="I217" s="114"/>
      <c r="J217" s="190"/>
      <c r="K217" s="79"/>
      <c r="L217" s="79"/>
      <c r="M217" s="250">
        <f>HLOOKUP($F$5,bibliotheek!$E$304:$R$311,ROWS(bibliotheek!$E$304:$E$308),FALSE)</f>
        <v>1</v>
      </c>
      <c r="N217" s="114"/>
      <c r="O217" s="335"/>
      <c r="P217" s="335"/>
      <c r="Q217" s="335"/>
      <c r="R217" s="335"/>
      <c r="S217" s="335"/>
      <c r="T217" s="335"/>
      <c r="U217" s="335"/>
      <c r="V217" s="335"/>
      <c r="W217" s="335"/>
      <c r="X217" s="113"/>
      <c r="Y217" s="250">
        <f>HLOOKUP($F$5,bibliotheek!$E$304:$R$311,ROWS(bibliotheek!$E$304:$E$308),FALSE)</f>
        <v>1</v>
      </c>
      <c r="Z217" s="114"/>
      <c r="AA217" s="335"/>
      <c r="AB217" s="335"/>
      <c r="AC217" s="335"/>
      <c r="AD217" s="335"/>
      <c r="AE217" s="335"/>
      <c r="AF217" s="335"/>
      <c r="AG217" s="335"/>
      <c r="AH217" s="335"/>
      <c r="AI217" s="335"/>
      <c r="AJ217" s="113"/>
      <c r="AK217" s="250">
        <f>HLOOKUP($F$5,bibliotheek!$E$304:$R$311,ROWS(bibliotheek!$E$304:$E$308),FALSE)</f>
        <v>1</v>
      </c>
      <c r="AL217" s="114"/>
      <c r="AM217" s="335"/>
      <c r="AN217" s="335"/>
      <c r="AO217" s="335"/>
      <c r="AP217" s="335"/>
      <c r="AQ217" s="335"/>
      <c r="AR217" s="335"/>
      <c r="AS217" s="335"/>
      <c r="AT217" s="335"/>
      <c r="AU217" s="335"/>
      <c r="AV217" s="113"/>
      <c r="AW217" s="250">
        <f>HLOOKUP($F$5,bibliotheek!$E$304:$R$311,ROWS(bibliotheek!$E$304:$E$308),FALSE)</f>
        <v>1</v>
      </c>
      <c r="AX217" s="114"/>
      <c r="AY217" s="335"/>
      <c r="AZ217" s="335"/>
      <c r="BA217" s="335"/>
      <c r="BB217" s="335"/>
      <c r="BC217" s="335"/>
      <c r="BD217" s="335"/>
      <c r="BE217" s="335"/>
      <c r="BF217" s="335"/>
      <c r="BG217" s="335"/>
      <c r="BH217" s="210"/>
    </row>
    <row r="218" spans="1:60" s="2" customFormat="1" hidden="1">
      <c r="A218" s="1038"/>
      <c r="B218" s="1109" t="s">
        <v>231</v>
      </c>
      <c r="C218" s="1106" t="s">
        <v>181</v>
      </c>
      <c r="D218" s="644"/>
      <c r="E218" s="1177" t="s">
        <v>1204</v>
      </c>
      <c r="F218" s="1178"/>
      <c r="G218" s="1162"/>
      <c r="H218" s="181" t="s">
        <v>65</v>
      </c>
      <c r="I218" s="114"/>
      <c r="J218" s="190"/>
      <c r="K218" s="79"/>
      <c r="L218" s="79"/>
      <c r="M218" s="250" t="s">
        <v>1205</v>
      </c>
      <c r="N218" s="114"/>
      <c r="O218" s="335"/>
      <c r="P218" s="335"/>
      <c r="Q218" s="335"/>
      <c r="R218" s="335"/>
      <c r="S218" s="335"/>
      <c r="T218" s="335"/>
      <c r="U218" s="335"/>
      <c r="V218" s="335"/>
      <c r="W218" s="335"/>
      <c r="X218" s="113"/>
      <c r="Y218" s="250" t="s">
        <v>1205</v>
      </c>
      <c r="Z218" s="114"/>
      <c r="AA218" s="335"/>
      <c r="AB218" s="335"/>
      <c r="AC218" s="335"/>
      <c r="AD218" s="335"/>
      <c r="AE218" s="335"/>
      <c r="AF218" s="335"/>
      <c r="AG218" s="335"/>
      <c r="AH218" s="335"/>
      <c r="AI218" s="335"/>
      <c r="AJ218" s="113"/>
      <c r="AK218" s="250" t="s">
        <v>1205</v>
      </c>
      <c r="AL218" s="114"/>
      <c r="AM218" s="335"/>
      <c r="AN218" s="335"/>
      <c r="AO218" s="335"/>
      <c r="AP218" s="335"/>
      <c r="AQ218" s="335"/>
      <c r="AR218" s="335"/>
      <c r="AS218" s="335"/>
      <c r="AT218" s="335"/>
      <c r="AU218" s="335"/>
      <c r="AV218" s="113"/>
      <c r="AW218" s="250" t="s">
        <v>1205</v>
      </c>
      <c r="AX218" s="114"/>
      <c r="AY218" s="335"/>
      <c r="AZ218" s="335"/>
      <c r="BA218" s="335"/>
      <c r="BB218" s="335"/>
      <c r="BC218" s="335"/>
      <c r="BD218" s="335"/>
      <c r="BE218" s="335"/>
      <c r="BF218" s="335"/>
      <c r="BG218" s="335"/>
      <c r="BH218" s="210"/>
    </row>
    <row r="219" spans="1:60" s="2" customFormat="1" hidden="1">
      <c r="A219" s="1038"/>
      <c r="B219" s="1109" t="s">
        <v>231</v>
      </c>
      <c r="C219" s="1106" t="s">
        <v>181</v>
      </c>
      <c r="D219" s="644"/>
      <c r="E219" s="1179" t="s">
        <v>1315</v>
      </c>
      <c r="F219" s="1180"/>
      <c r="G219" s="1162"/>
      <c r="H219" s="181" t="s">
        <v>65</v>
      </c>
      <c r="I219" s="114"/>
      <c r="J219" s="190"/>
      <c r="K219" s="79"/>
      <c r="L219" s="79"/>
      <c r="M219" s="250">
        <f>HLOOKUP($F$5,bibliotheek!$E$304:$R$311,ROWS(bibliotheek!$E$304:$E$310),FALSE)</f>
        <v>1</v>
      </c>
      <c r="N219" s="114"/>
      <c r="O219" s="335"/>
      <c r="P219" s="335"/>
      <c r="Q219" s="335"/>
      <c r="R219" s="335"/>
      <c r="S219" s="335"/>
      <c r="T219" s="335"/>
      <c r="U219" s="335"/>
      <c r="V219" s="335"/>
      <c r="W219" s="335"/>
      <c r="X219" s="113"/>
      <c r="Y219" s="250">
        <f>HLOOKUP($F$5,bibliotheek!$E$304:$R$311,ROWS(bibliotheek!$E$304:$E$310),FALSE)</f>
        <v>1</v>
      </c>
      <c r="Z219" s="114"/>
      <c r="AA219" s="335"/>
      <c r="AB219" s="335"/>
      <c r="AC219" s="335"/>
      <c r="AD219" s="335"/>
      <c r="AE219" s="335"/>
      <c r="AF219" s="335"/>
      <c r="AG219" s="335"/>
      <c r="AH219" s="335"/>
      <c r="AI219" s="335"/>
      <c r="AJ219" s="113"/>
      <c r="AK219" s="250">
        <f>HLOOKUP($F$5,bibliotheek!$E$304:$R$311,ROWS(bibliotheek!$E$304:$E$310),FALSE)</f>
        <v>1</v>
      </c>
      <c r="AL219" s="114"/>
      <c r="AM219" s="335"/>
      <c r="AN219" s="335"/>
      <c r="AO219" s="335"/>
      <c r="AP219" s="335"/>
      <c r="AQ219" s="335"/>
      <c r="AR219" s="335"/>
      <c r="AS219" s="335"/>
      <c r="AT219" s="335"/>
      <c r="AU219" s="335"/>
      <c r="AV219" s="113"/>
      <c r="AW219" s="250">
        <f>HLOOKUP($F$5,bibliotheek!$E$304:$R$311,ROWS(bibliotheek!$E$304:$E$310),FALSE)</f>
        <v>1</v>
      </c>
      <c r="AX219" s="114"/>
      <c r="AY219" s="335"/>
      <c r="AZ219" s="335"/>
      <c r="BA219" s="335"/>
      <c r="BB219" s="335"/>
      <c r="BC219" s="335"/>
      <c r="BD219" s="335"/>
      <c r="BE219" s="335"/>
      <c r="BF219" s="335"/>
      <c r="BG219" s="335"/>
      <c r="BH219" s="210"/>
    </row>
    <row r="220" spans="1:60" s="2" customFormat="1">
      <c r="A220" s="1038"/>
      <c r="B220" s="1109" t="s">
        <v>231</v>
      </c>
      <c r="C220" s="1106" t="s">
        <v>104</v>
      </c>
      <c r="D220" s="644"/>
      <c r="E220" s="1162" t="s">
        <v>232</v>
      </c>
      <c r="F220" s="1170"/>
      <c r="G220" s="1170"/>
      <c r="H220" s="181" t="s">
        <v>1206</v>
      </c>
      <c r="I220" s="114"/>
      <c r="J220" s="202">
        <f>M220+Y220+AK220+AW220</f>
        <v>0</v>
      </c>
      <c r="K220" s="1062"/>
      <c r="L220" s="1062"/>
      <c r="M220" s="249">
        <f>M190*M216-(M210*M216-M207*M217-M208*0)</f>
        <v>0</v>
      </c>
      <c r="N220" s="89"/>
      <c r="O220" s="335"/>
      <c r="P220" s="335"/>
      <c r="Q220" s="335"/>
      <c r="R220" s="335"/>
      <c r="S220" s="335"/>
      <c r="T220" s="335"/>
      <c r="U220" s="335"/>
      <c r="V220" s="335"/>
      <c r="W220" s="335"/>
      <c r="X220" s="113"/>
      <c r="Y220" s="249">
        <f>Y190*Y216-(Y210*Y216-Y207*Y217-Y208*0)</f>
        <v>0</v>
      </c>
      <c r="Z220" s="89"/>
      <c r="AA220" s="335"/>
      <c r="AB220" s="335"/>
      <c r="AC220" s="335"/>
      <c r="AD220" s="335"/>
      <c r="AE220" s="335"/>
      <c r="AF220" s="335"/>
      <c r="AG220" s="335"/>
      <c r="AH220" s="335"/>
      <c r="AI220" s="335"/>
      <c r="AJ220" s="113"/>
      <c r="AK220" s="249">
        <f>AK190*AK216-(AK210*AK216-AK207*AK217-AK208*0)</f>
        <v>0</v>
      </c>
      <c r="AL220" s="89"/>
      <c r="AM220" s="335"/>
      <c r="AN220" s="335"/>
      <c r="AO220" s="335"/>
      <c r="AP220" s="335"/>
      <c r="AQ220" s="335"/>
      <c r="AR220" s="335"/>
      <c r="AS220" s="335"/>
      <c r="AT220" s="335"/>
      <c r="AU220" s="335"/>
      <c r="AV220" s="113"/>
      <c r="AW220" s="249">
        <f>AW190*AW216-(AW210*AW216-AW207*AW217-AW208*0)</f>
        <v>0</v>
      </c>
      <c r="AX220" s="89"/>
      <c r="AY220" s="335"/>
      <c r="AZ220" s="335"/>
      <c r="BA220" s="335"/>
      <c r="BB220" s="335"/>
      <c r="BC220" s="335"/>
      <c r="BD220" s="335"/>
      <c r="BE220" s="335"/>
      <c r="BF220" s="335"/>
      <c r="BG220" s="335"/>
      <c r="BH220" s="210"/>
    </row>
    <row r="221" spans="1:60" s="2" customFormat="1">
      <c r="A221" s="1038"/>
      <c r="B221" s="1109" t="s">
        <v>231</v>
      </c>
      <c r="C221" s="1106" t="s">
        <v>96</v>
      </c>
      <c r="D221" s="644"/>
      <c r="E221" s="940" t="s">
        <v>233</v>
      </c>
      <c r="F221" s="940"/>
      <c r="G221" s="940"/>
      <c r="H221" s="940"/>
      <c r="I221" s="77"/>
      <c r="J221" s="939"/>
      <c r="K221" s="126"/>
      <c r="L221" s="126"/>
      <c r="M221" s="938"/>
      <c r="N221" s="252"/>
      <c r="O221" s="177" t="str">
        <f>O$10</f>
        <v>verwarming</v>
      </c>
      <c r="P221" s="177" t="str">
        <f>P$10</f>
        <v>koeling</v>
      </c>
      <c r="Q221" s="177" t="str">
        <f>Q$10</f>
        <v>tapwater</v>
      </c>
      <c r="R221" s="177"/>
      <c r="S221" s="177"/>
      <c r="T221" s="177"/>
      <c r="U221" s="177"/>
      <c r="V221" s="177"/>
      <c r="W221" s="177" t="str">
        <f>W$10</f>
        <v>zonnepanelen</v>
      </c>
      <c r="X221" s="253"/>
      <c r="Y221" s="938"/>
      <c r="Z221" s="252"/>
      <c r="AA221" s="177" t="str">
        <f>AA$10</f>
        <v>verwarming</v>
      </c>
      <c r="AB221" s="177" t="str">
        <f>AB$10</f>
        <v>koeling</v>
      </c>
      <c r="AC221" s="177" t="str">
        <f>AC$10</f>
        <v>tapwater</v>
      </c>
      <c r="AD221" s="177"/>
      <c r="AE221" s="177"/>
      <c r="AF221" s="177"/>
      <c r="AG221" s="177"/>
      <c r="AH221" s="177"/>
      <c r="AI221" s="177" t="str">
        <f>AI$10</f>
        <v>zonnepanelen</v>
      </c>
      <c r="AJ221" s="253"/>
      <c r="AK221" s="938"/>
      <c r="AL221" s="252"/>
      <c r="AM221" s="177" t="str">
        <f>AM$10</f>
        <v>verwarming</v>
      </c>
      <c r="AN221" s="177" t="str">
        <f>AN$10</f>
        <v>koeling</v>
      </c>
      <c r="AO221" s="177" t="str">
        <f>AO$10</f>
        <v>tapwater</v>
      </c>
      <c r="AP221" s="177"/>
      <c r="AQ221" s="177"/>
      <c r="AR221" s="177"/>
      <c r="AS221" s="177"/>
      <c r="AT221" s="177"/>
      <c r="AU221" s="177" t="str">
        <f>AU$10</f>
        <v>zonnepanelen</v>
      </c>
      <c r="AV221" s="253"/>
      <c r="AW221" s="938"/>
      <c r="AX221" s="252"/>
      <c r="AY221" s="177" t="str">
        <f>AY$10</f>
        <v>verwarming</v>
      </c>
      <c r="AZ221" s="177" t="str">
        <f>AZ$10</f>
        <v>koeling</v>
      </c>
      <c r="BA221" s="177" t="str">
        <f>BA$10</f>
        <v>tapwater</v>
      </c>
      <c r="BB221" s="177"/>
      <c r="BC221" s="177"/>
      <c r="BD221" s="177"/>
      <c r="BE221" s="177"/>
      <c r="BF221" s="177"/>
      <c r="BG221" s="177" t="str">
        <f>BG$10</f>
        <v>zonnepanelen</v>
      </c>
    </row>
    <row r="222" spans="1:60" s="2" customFormat="1" hidden="1">
      <c r="A222" s="1038"/>
      <c r="B222" s="1109" t="s">
        <v>231</v>
      </c>
      <c r="C222" s="1106" t="s">
        <v>181</v>
      </c>
      <c r="D222" s="644"/>
      <c r="E222" s="180" t="s">
        <v>234</v>
      </c>
      <c r="F222" s="180"/>
      <c r="G222" s="180"/>
      <c r="H222" s="181" t="s">
        <v>207</v>
      </c>
      <c r="I222" s="114"/>
      <c r="J222" s="190"/>
      <c r="K222" s="79"/>
      <c r="L222" s="79"/>
      <c r="M222" s="359">
        <f>$H$5</f>
        <v>0.26800000000000002</v>
      </c>
      <c r="N222" s="358"/>
      <c r="O222" s="336"/>
      <c r="P222" s="336"/>
      <c r="Q222" s="336"/>
      <c r="R222" s="336"/>
      <c r="S222" s="336"/>
      <c r="T222" s="336"/>
      <c r="U222" s="336"/>
      <c r="V222" s="336"/>
      <c r="W222" s="336"/>
      <c r="X222" s="360"/>
      <c r="Y222" s="359">
        <f>$H$5</f>
        <v>0.26800000000000002</v>
      </c>
      <c r="Z222" s="358"/>
      <c r="AA222" s="336"/>
      <c r="AB222" s="336"/>
      <c r="AC222" s="336"/>
      <c r="AD222" s="336"/>
      <c r="AE222" s="336"/>
      <c r="AF222" s="336"/>
      <c r="AG222" s="336"/>
      <c r="AH222" s="336"/>
      <c r="AI222" s="336"/>
      <c r="AJ222" s="360"/>
      <c r="AK222" s="359">
        <f>$H$5</f>
        <v>0.26800000000000002</v>
      </c>
      <c r="AL222" s="358"/>
      <c r="AM222" s="336"/>
      <c r="AN222" s="336"/>
      <c r="AO222" s="336"/>
      <c r="AP222" s="336"/>
      <c r="AQ222" s="336"/>
      <c r="AR222" s="336"/>
      <c r="AS222" s="336"/>
      <c r="AT222" s="336"/>
      <c r="AU222" s="336"/>
      <c r="AV222" s="360"/>
      <c r="AW222" s="359">
        <f>$H$5</f>
        <v>0.26800000000000002</v>
      </c>
      <c r="AX222" s="114"/>
      <c r="AY222" s="335"/>
      <c r="AZ222" s="335"/>
      <c r="BA222" s="335"/>
      <c r="BB222" s="335"/>
      <c r="BC222" s="335"/>
      <c r="BD222" s="335"/>
      <c r="BE222" s="335"/>
      <c r="BF222" s="335"/>
      <c r="BG222" s="335"/>
      <c r="BH222" s="219"/>
    </row>
    <row r="223" spans="1:60" s="2" customFormat="1" hidden="1">
      <c r="A223" s="1038"/>
      <c r="B223" s="1109" t="s">
        <v>231</v>
      </c>
      <c r="C223" s="1106" t="s">
        <v>181</v>
      </c>
      <c r="D223" s="644"/>
      <c r="E223" s="180" t="s">
        <v>235</v>
      </c>
      <c r="F223" s="180"/>
      <c r="G223" s="180"/>
      <c r="H223" s="181" t="s">
        <v>207</v>
      </c>
      <c r="I223" s="114"/>
      <c r="J223" s="190"/>
      <c r="K223" s="79"/>
      <c r="L223" s="79"/>
      <c r="M223" s="359">
        <f>HLOOKUP($F$5,elektriciteit_primaire_energiefactor,ROWS(bibliotheek!$E$304:$E$312),FALSE)</f>
        <v>0.26800000000000002</v>
      </c>
      <c r="N223" s="358"/>
      <c r="O223" s="336"/>
      <c r="P223" s="336"/>
      <c r="Q223" s="336"/>
      <c r="R223" s="336"/>
      <c r="S223" s="336"/>
      <c r="T223" s="336"/>
      <c r="U223" s="336"/>
      <c r="V223" s="336"/>
      <c r="W223" s="336"/>
      <c r="X223" s="360"/>
      <c r="Y223" s="359">
        <f>HLOOKUP($F$5,elektriciteit_primaire_energiefactor,ROWS(bibliotheek!$E$304:$E$312),FALSE)</f>
        <v>0.26800000000000002</v>
      </c>
      <c r="Z223" s="358"/>
      <c r="AA223" s="336"/>
      <c r="AB223" s="336"/>
      <c r="AC223" s="336"/>
      <c r="AD223" s="336"/>
      <c r="AE223" s="336"/>
      <c r="AF223" s="336"/>
      <c r="AG223" s="336"/>
      <c r="AH223" s="336"/>
      <c r="AI223" s="336"/>
      <c r="AJ223" s="360"/>
      <c r="AK223" s="359">
        <f>HLOOKUP($F$5,elektriciteit_primaire_energiefactor,ROWS(bibliotheek!$E$304:$E$312),FALSE)</f>
        <v>0.26800000000000002</v>
      </c>
      <c r="AL223" s="358"/>
      <c r="AM223" s="336"/>
      <c r="AN223" s="336"/>
      <c r="AO223" s="336"/>
      <c r="AP223" s="336"/>
      <c r="AQ223" s="336"/>
      <c r="AR223" s="336"/>
      <c r="AS223" s="336"/>
      <c r="AT223" s="336"/>
      <c r="AU223" s="336"/>
      <c r="AV223" s="360"/>
      <c r="AW223" s="359">
        <f>HLOOKUP($F$5,elektriciteit_primaire_energiefactor,ROWS(bibliotheek!$E$304:$E$312),FALSE)</f>
        <v>0.26800000000000002</v>
      </c>
      <c r="AX223" s="114"/>
      <c r="AY223" s="335"/>
      <c r="AZ223" s="335"/>
      <c r="BA223" s="335"/>
      <c r="BB223" s="335"/>
      <c r="BC223" s="335"/>
      <c r="BD223" s="335"/>
      <c r="BE223" s="335"/>
      <c r="BF223" s="335"/>
      <c r="BG223" s="335"/>
      <c r="BH223" s="219"/>
    </row>
    <row r="224" spans="1:60" s="2" customFormat="1">
      <c r="A224" s="1038"/>
      <c r="B224" s="1109" t="s">
        <v>231</v>
      </c>
      <c r="C224" s="1106" t="s">
        <v>104</v>
      </c>
      <c r="D224" s="644"/>
      <c r="E224" s="1123" t="s">
        <v>232</v>
      </c>
      <c r="F224" s="181"/>
      <c r="G224" s="181"/>
      <c r="H224" s="181" t="s">
        <v>209</v>
      </c>
      <c r="I224" s="114"/>
      <c r="J224" s="202">
        <f>M224+Y224+AK224+AW224</f>
        <v>0</v>
      </c>
      <c r="K224" s="1062"/>
      <c r="L224" s="1062"/>
      <c r="M224" s="202">
        <f>M187*M222+M186*M223</f>
        <v>0</v>
      </c>
      <c r="N224" s="89"/>
      <c r="O224" s="168">
        <f>IF($M$188=0,0,O$188/$M$188*$M224)</f>
        <v>0</v>
      </c>
      <c r="P224" s="168">
        <f>IF($M$188=0,0,P$188/$M$188*$M224)</f>
        <v>0</v>
      </c>
      <c r="Q224" s="168">
        <f>IF($M$188=0,0,Q$188/$M$188*$M224)</f>
        <v>0</v>
      </c>
      <c r="R224" s="273"/>
      <c r="S224" s="273"/>
      <c r="T224" s="273"/>
      <c r="U224" s="273"/>
      <c r="V224" s="273"/>
      <c r="W224" s="168">
        <f>IF($M$188=0,0,W$188/$M$188*$M224)</f>
        <v>0</v>
      </c>
      <c r="X224" s="113"/>
      <c r="Y224" s="202">
        <f>Y187*Y222+Y186*Y223</f>
        <v>0</v>
      </c>
      <c r="Z224" s="89"/>
      <c r="AA224" s="168">
        <f>IF($Y$188=0,0,AA$188/$Y$188*$Y224)</f>
        <v>0</v>
      </c>
      <c r="AB224" s="168">
        <f>IF($Y$188=0,0,AB$188/$Y$188*$Y224)</f>
        <v>0</v>
      </c>
      <c r="AC224" s="168">
        <f>IF($Y$188=0,0,AC$188/$Y$188*$Y224)</f>
        <v>0</v>
      </c>
      <c r="AD224" s="273"/>
      <c r="AE224" s="273"/>
      <c r="AF224" s="273"/>
      <c r="AG224" s="273"/>
      <c r="AH224" s="273"/>
      <c r="AI224" s="168">
        <f>IF($Y$188=0,0,AI$188/$Y$188*$Y224)</f>
        <v>0</v>
      </c>
      <c r="AJ224" s="113"/>
      <c r="AK224" s="202">
        <f>AK187*AK222+AK186*AK223</f>
        <v>0</v>
      </c>
      <c r="AL224" s="89"/>
      <c r="AM224" s="168">
        <f>IF($AK$188=0,0,AM$188/$AK$188*$AK224)</f>
        <v>0</v>
      </c>
      <c r="AN224" s="168">
        <f>IF($AK$188=0,0,AN$188/$AK$188*$AK224)</f>
        <v>0</v>
      </c>
      <c r="AO224" s="168">
        <f>IF($AK$188=0,0,AO$188/$AK$188*$AK224)</f>
        <v>0</v>
      </c>
      <c r="AP224" s="273"/>
      <c r="AQ224" s="273"/>
      <c r="AR224" s="273"/>
      <c r="AS224" s="273"/>
      <c r="AT224" s="273"/>
      <c r="AU224" s="168">
        <f>IF($AK$188=0,0,AU$188/$AK$188*$AK224)</f>
        <v>0</v>
      </c>
      <c r="AV224" s="113"/>
      <c r="AW224" s="202">
        <f>AW187*AW222+AW186*AW223</f>
        <v>0</v>
      </c>
      <c r="AX224" s="89"/>
      <c r="AY224" s="168">
        <f>IF($AW$188=0,0,AY$188/$AW$188*$AW224)</f>
        <v>0</v>
      </c>
      <c r="AZ224" s="168">
        <f>IF($AW$188=0,0,AZ$188/$AW$188*$AW224)</f>
        <v>0</v>
      </c>
      <c r="BA224" s="168">
        <f>IF($AW$188=0,0,BA$188/$AW$188*$AW224)</f>
        <v>0</v>
      </c>
      <c r="BB224" s="273"/>
      <c r="BC224" s="273"/>
      <c r="BD224" s="273"/>
      <c r="BE224" s="273"/>
      <c r="BF224" s="273"/>
      <c r="BG224" s="168">
        <f>IF($AW$188=0,0,BG$188/$AW$188*$AW224)</f>
        <v>0</v>
      </c>
      <c r="BH224" s="210"/>
    </row>
    <row r="225" spans="1:60">
      <c r="A225" s="1040"/>
      <c r="B225" s="1109" t="s">
        <v>231</v>
      </c>
      <c r="C225" s="1106" t="s">
        <v>96</v>
      </c>
      <c r="D225" s="638"/>
      <c r="E225" s="79"/>
      <c r="F225" s="79"/>
      <c r="G225" s="79"/>
      <c r="H225" s="85"/>
      <c r="I225" s="79"/>
      <c r="J225" s="82"/>
      <c r="K225" s="79"/>
      <c r="L225" s="79"/>
      <c r="M225" s="1169"/>
      <c r="N225" s="79"/>
      <c r="O225" s="108"/>
      <c r="P225" s="108"/>
      <c r="Q225" s="108"/>
      <c r="R225" s="82"/>
      <c r="S225" s="82"/>
      <c r="T225" s="82"/>
      <c r="U225" s="82"/>
      <c r="V225" s="82"/>
      <c r="W225" s="82"/>
      <c r="X225" s="82"/>
      <c r="Y225" s="82"/>
      <c r="Z225" s="79"/>
      <c r="AA225" s="108"/>
      <c r="AB225" s="108"/>
      <c r="AC225" s="108"/>
      <c r="AD225" s="82"/>
      <c r="AE225" s="82"/>
      <c r="AF225" s="82"/>
      <c r="AG225" s="82"/>
      <c r="AH225" s="82"/>
      <c r="AI225" s="82"/>
      <c r="AJ225" s="82"/>
      <c r="AK225" s="82"/>
      <c r="AL225" s="79"/>
      <c r="AM225" s="108"/>
      <c r="AN225" s="108"/>
      <c r="AO225" s="108"/>
      <c r="AP225" s="82"/>
      <c r="AQ225" s="82"/>
      <c r="AR225" s="82"/>
      <c r="AS225" s="82"/>
      <c r="AT225" s="82"/>
      <c r="AU225" s="82"/>
      <c r="AV225" s="82"/>
      <c r="AW225" s="82"/>
      <c r="AX225" s="79"/>
      <c r="AY225" s="108"/>
      <c r="AZ225" s="108"/>
      <c r="BA225" s="108"/>
      <c r="BB225" s="108"/>
      <c r="BC225" s="108"/>
      <c r="BD225" s="108"/>
      <c r="BE225" s="108"/>
      <c r="BF225" s="108"/>
      <c r="BG225" s="108"/>
      <c r="BH225" s="1"/>
    </row>
    <row r="226" spans="1:60">
      <c r="A226" s="1040"/>
      <c r="B226" s="1109" t="s">
        <v>236</v>
      </c>
      <c r="C226" s="1107" t="s">
        <v>96</v>
      </c>
      <c r="D226" s="638"/>
      <c r="E226" s="79"/>
      <c r="F226" s="79"/>
      <c r="G226" s="79"/>
      <c r="H226" s="79"/>
      <c r="I226" s="79"/>
      <c r="J226" s="82"/>
      <c r="K226" s="79"/>
      <c r="L226" s="79"/>
      <c r="M226" s="1169"/>
      <c r="N226" s="79"/>
      <c r="O226" s="113"/>
      <c r="P226" s="108"/>
      <c r="Q226" s="82"/>
      <c r="R226" s="82"/>
      <c r="S226" s="82"/>
      <c r="T226" s="82"/>
      <c r="U226" s="82"/>
      <c r="V226" s="82"/>
      <c r="W226" s="82"/>
      <c r="X226" s="82"/>
      <c r="Y226" s="82"/>
      <c r="Z226" s="79"/>
      <c r="AA226" s="82"/>
      <c r="AB226" s="82"/>
      <c r="AC226" s="82"/>
      <c r="AD226" s="82"/>
      <c r="AE226" s="82"/>
      <c r="AF226" s="82"/>
      <c r="AG226" s="82"/>
      <c r="AH226" s="82"/>
      <c r="AI226" s="82"/>
      <c r="AJ226" s="82"/>
      <c r="AK226" s="82"/>
      <c r="AL226" s="79"/>
      <c r="AM226" s="82"/>
      <c r="AN226" s="82"/>
      <c r="AO226" s="82"/>
      <c r="AP226" s="82"/>
      <c r="AQ226" s="82"/>
      <c r="AR226" s="82"/>
      <c r="AS226" s="82"/>
      <c r="AT226" s="82"/>
      <c r="AU226" s="82"/>
      <c r="AV226" s="82"/>
      <c r="AW226" s="82"/>
      <c r="AX226" s="79"/>
      <c r="AY226" s="82"/>
      <c r="AZ226" s="82"/>
      <c r="BA226" s="82"/>
      <c r="BB226" s="82"/>
      <c r="BC226" s="82"/>
      <c r="BD226" s="82"/>
      <c r="BE226" s="82"/>
      <c r="BF226" s="82"/>
      <c r="BG226" s="82"/>
      <c r="BH226" s="1"/>
    </row>
    <row r="227" spans="1:60" ht="21">
      <c r="A227" s="1040"/>
      <c r="B227" s="1109" t="s">
        <v>236</v>
      </c>
      <c r="C227" s="1106" t="s">
        <v>96</v>
      </c>
      <c r="D227" s="643"/>
      <c r="E227" s="1181" t="s">
        <v>237</v>
      </c>
      <c r="F227" s="199"/>
      <c r="G227" s="692"/>
      <c r="H227" s="692"/>
      <c r="I227" s="77"/>
      <c r="J227" s="200" t="str">
        <f>J$10</f>
        <v>alle locaties</v>
      </c>
      <c r="K227" s="126"/>
      <c r="L227" s="126"/>
      <c r="M227" s="200" t="str">
        <f>M$10</f>
        <v>locatie 1</v>
      </c>
      <c r="N227" s="182"/>
      <c r="O227" s="966" t="str">
        <f>$E227&amp;" per energiepost"</f>
        <v>finaal energiegebruik per energiepost</v>
      </c>
      <c r="P227" s="941"/>
      <c r="Q227" s="941"/>
      <c r="R227" s="941"/>
      <c r="S227" s="941"/>
      <c r="T227" s="941"/>
      <c r="U227" s="941"/>
      <c r="V227" s="941"/>
      <c r="W227" s="956"/>
      <c r="X227" s="174"/>
      <c r="Y227" s="200" t="str">
        <f>Y$10</f>
        <v>locatie 2</v>
      </c>
      <c r="Z227" s="182"/>
      <c r="AA227" s="966" t="str">
        <f>$E227&amp;" per energiepost"</f>
        <v>finaal energiegebruik per energiepost</v>
      </c>
      <c r="AB227" s="941"/>
      <c r="AC227" s="941"/>
      <c r="AD227" s="941"/>
      <c r="AE227" s="941"/>
      <c r="AF227" s="941"/>
      <c r="AG227" s="941"/>
      <c r="AH227" s="941"/>
      <c r="AI227" s="956"/>
      <c r="AJ227" s="174"/>
      <c r="AK227" s="200" t="str">
        <f>AK$10</f>
        <v>locatie 3</v>
      </c>
      <c r="AL227" s="182"/>
      <c r="AM227" s="966" t="str">
        <f>$E227&amp;" per energiepost"</f>
        <v>finaal energiegebruik per energiepost</v>
      </c>
      <c r="AN227" s="941"/>
      <c r="AO227" s="941"/>
      <c r="AP227" s="941"/>
      <c r="AQ227" s="941"/>
      <c r="AR227" s="941"/>
      <c r="AS227" s="941"/>
      <c r="AT227" s="941"/>
      <c r="AU227" s="956"/>
      <c r="AV227" s="174"/>
      <c r="AW227" s="200" t="str">
        <f>AW$10</f>
        <v>locatie 4</v>
      </c>
      <c r="AX227" s="182"/>
      <c r="AY227" s="966" t="str">
        <f>$E227&amp;" per energiepost"</f>
        <v>finaal energiegebruik per energiepost</v>
      </c>
      <c r="AZ227" s="941"/>
      <c r="BA227" s="941"/>
      <c r="BB227" s="941"/>
      <c r="BC227" s="941"/>
      <c r="BD227" s="941"/>
      <c r="BE227" s="941"/>
      <c r="BF227" s="941"/>
      <c r="BG227" s="956"/>
      <c r="BH227" s="1"/>
    </row>
    <row r="228" spans="1:60">
      <c r="A228" s="1040"/>
      <c r="B228" s="1109" t="s">
        <v>236</v>
      </c>
      <c r="C228" s="1106" t="s">
        <v>96</v>
      </c>
      <c r="D228" s="638"/>
      <c r="E228" s="940" t="s">
        <v>238</v>
      </c>
      <c r="F228" s="940"/>
      <c r="G228" s="940"/>
      <c r="H228" s="940"/>
      <c r="I228" s="77"/>
      <c r="J228" s="939"/>
      <c r="K228" s="126"/>
      <c r="L228" s="126"/>
      <c r="M228" s="938"/>
      <c r="N228" s="191"/>
      <c r="O228" s="177" t="str">
        <f t="shared" ref="O228:W228" si="190">O$10</f>
        <v>verwarming</v>
      </c>
      <c r="P228" s="177" t="str">
        <f t="shared" si="190"/>
        <v>koeling</v>
      </c>
      <c r="Q228" s="177" t="str">
        <f t="shared" si="190"/>
        <v>tapwater</v>
      </c>
      <c r="R228" s="177" t="str">
        <f t="shared" si="190"/>
        <v>verlichting</v>
      </c>
      <c r="S228" s="177" t="str">
        <f t="shared" si="190"/>
        <v>ventilatoren</v>
      </c>
      <c r="T228" s="177" t="str">
        <f t="shared" si="190"/>
        <v>kookgas</v>
      </c>
      <c r="U228" s="177" t="str">
        <f t="shared" si="190"/>
        <v>overig elektra</v>
      </c>
      <c r="V228" s="177" t="str">
        <f t="shared" si="190"/>
        <v>mobiliteit</v>
      </c>
      <c r="W228" s="177" t="str">
        <f t="shared" si="190"/>
        <v>zonnepanelen</v>
      </c>
      <c r="X228" s="191"/>
      <c r="Y228" s="938"/>
      <c r="Z228" s="191"/>
      <c r="AA228" s="177" t="str">
        <f t="shared" ref="AA228:AI228" si="191">AA$10</f>
        <v>verwarming</v>
      </c>
      <c r="AB228" s="177" t="str">
        <f t="shared" si="191"/>
        <v>koeling</v>
      </c>
      <c r="AC228" s="177" t="str">
        <f t="shared" si="191"/>
        <v>tapwater</v>
      </c>
      <c r="AD228" s="177" t="str">
        <f t="shared" si="191"/>
        <v>verlichting</v>
      </c>
      <c r="AE228" s="177" t="str">
        <f t="shared" si="191"/>
        <v>ventilatoren</v>
      </c>
      <c r="AF228" s="177" t="str">
        <f t="shared" si="191"/>
        <v>kookgas</v>
      </c>
      <c r="AG228" s="177" t="str">
        <f t="shared" si="191"/>
        <v>overig elektra</v>
      </c>
      <c r="AH228" s="177" t="str">
        <f t="shared" si="191"/>
        <v>mobiliteit</v>
      </c>
      <c r="AI228" s="177" t="str">
        <f t="shared" si="191"/>
        <v>zonnepanelen</v>
      </c>
      <c r="AJ228" s="191"/>
      <c r="AK228" s="938"/>
      <c r="AL228" s="191"/>
      <c r="AM228" s="177" t="str">
        <f t="shared" ref="AM228:AU228" si="192">AM$10</f>
        <v>verwarming</v>
      </c>
      <c r="AN228" s="177" t="str">
        <f t="shared" si="192"/>
        <v>koeling</v>
      </c>
      <c r="AO228" s="177" t="str">
        <f t="shared" si="192"/>
        <v>tapwater</v>
      </c>
      <c r="AP228" s="177" t="str">
        <f t="shared" si="192"/>
        <v>verlichting</v>
      </c>
      <c r="AQ228" s="177" t="str">
        <f t="shared" si="192"/>
        <v>ventilatoren</v>
      </c>
      <c r="AR228" s="177" t="str">
        <f t="shared" si="192"/>
        <v>kookgas</v>
      </c>
      <c r="AS228" s="177" t="str">
        <f t="shared" si="192"/>
        <v>overig elektra</v>
      </c>
      <c r="AT228" s="177" t="str">
        <f t="shared" si="192"/>
        <v>mobiliteit</v>
      </c>
      <c r="AU228" s="177" t="str">
        <f t="shared" si="192"/>
        <v>zonnepanelen</v>
      </c>
      <c r="AV228" s="191"/>
      <c r="AW228" s="938"/>
      <c r="AX228" s="191"/>
      <c r="AY228" s="177" t="str">
        <f t="shared" ref="AY228:BG228" si="193">AY$10</f>
        <v>verwarming</v>
      </c>
      <c r="AZ228" s="177" t="str">
        <f t="shared" si="193"/>
        <v>koeling</v>
      </c>
      <c r="BA228" s="177" t="str">
        <f t="shared" si="193"/>
        <v>tapwater</v>
      </c>
      <c r="BB228" s="177" t="str">
        <f t="shared" si="193"/>
        <v>verlichting</v>
      </c>
      <c r="BC228" s="177" t="str">
        <f t="shared" si="193"/>
        <v>ventilatoren</v>
      </c>
      <c r="BD228" s="177" t="str">
        <f t="shared" si="193"/>
        <v>kookgas</v>
      </c>
      <c r="BE228" s="177" t="str">
        <f t="shared" si="193"/>
        <v>overig elektra</v>
      </c>
      <c r="BF228" s="177" t="str">
        <f t="shared" si="193"/>
        <v>mobiliteit</v>
      </c>
      <c r="BG228" s="177" t="str">
        <f t="shared" si="193"/>
        <v>zonnepanelen</v>
      </c>
      <c r="BH228" s="36"/>
    </row>
    <row r="229" spans="1:60">
      <c r="A229" s="1040"/>
      <c r="B229" s="1109" t="s">
        <v>236</v>
      </c>
      <c r="C229" s="1107" t="s">
        <v>104</v>
      </c>
      <c r="D229" s="641"/>
      <c r="E229" s="180" t="s">
        <v>239</v>
      </c>
      <c r="F229" s="180"/>
      <c r="G229" s="180"/>
      <c r="H229" s="201" t="str">
        <f>m3gas&amp;"/won.geb"</f>
        <v>m3/won.geb</v>
      </c>
      <c r="I229" s="114"/>
      <c r="J229" s="202"/>
      <c r="K229" s="234"/>
      <c r="L229" s="234"/>
      <c r="M229" s="190">
        <f>SUM(N229:X229)</f>
        <v>0</v>
      </c>
      <c r="N229" s="119"/>
      <c r="O229" s="183">
        <f>IF(O$27=0,0,((AND(O$84=gebouw,O$105=aardgas))*O$116+(AND(O$84=gebouw,O$141=aardgas))*O$147)*1000/bibliotheek!$I$508/O$27)</f>
        <v>0</v>
      </c>
      <c r="P229" s="183">
        <f>IF(P$27=0,0,((AND(P$84=gebouw,P$105=aardgas))*P$116+(AND(P$84=gebouw,P$141=aardgas))*P$147)*1000/bibliotheek!$I$508/P$27)</f>
        <v>0</v>
      </c>
      <c r="Q229" s="183">
        <f>IF(Q$27=0,0,((AND(Q$84=gebouw,Q$105=aardgas))*Q$116+(AND(Q$84=gebouw,Q$141=aardgas))*Q$147)*1000/bibliotheek!$I$508/Q$27)</f>
        <v>0</v>
      </c>
      <c r="R229" s="310"/>
      <c r="S229" s="310"/>
      <c r="T229" s="183">
        <f>IF(T$27=0,0,T$78*1000/bibliotheek!$I$508/T$27)</f>
        <v>0</v>
      </c>
      <c r="U229" s="310"/>
      <c r="V229" s="310"/>
      <c r="W229" s="310"/>
      <c r="X229" s="108"/>
      <c r="Y229" s="190">
        <f>SUM(Z229:AJ229)</f>
        <v>0</v>
      </c>
      <c r="Z229" s="119"/>
      <c r="AA229" s="183">
        <f>IF(AA$27=0,0,((AND(AA$84=gebouw,AA$105=aardgas))*AA$116+(AND(AA$84=gebouw,AA$141=aardgas))*AA$147)*1000/bibliotheek!$I$508/AA$27)</f>
        <v>0</v>
      </c>
      <c r="AB229" s="183">
        <f>IF(AB$27=0,0,((AND(AB$84=gebouw,AB$105=aardgas))*AB$116+(AND(AB$84=gebouw,AB$141=aardgas))*AB$147)*1000/bibliotheek!$I$508/AB$27)</f>
        <v>0</v>
      </c>
      <c r="AC229" s="183">
        <f>IF(AC$27=0,0,((AND(AC$84=gebouw,AC$105=aardgas))*AC$116+(AND(AC$84=gebouw,AC$141=aardgas))*AC$147)*1000/bibliotheek!$I$508/AC$27)</f>
        <v>0</v>
      </c>
      <c r="AD229" s="310"/>
      <c r="AE229" s="310"/>
      <c r="AF229" s="183">
        <f>IF(AF$27=0,0,AF$78*1000/bibliotheek!$I$508/AF$27)</f>
        <v>0</v>
      </c>
      <c r="AG229" s="310"/>
      <c r="AH229" s="310"/>
      <c r="AI229" s="310"/>
      <c r="AJ229" s="108"/>
      <c r="AK229" s="190">
        <f>SUM(AL229:AV229)</f>
        <v>0</v>
      </c>
      <c r="AL229" s="119"/>
      <c r="AM229" s="183">
        <f>IF(AM$27=0,0,((AND(AM$84=gebouw,AM$105=aardgas))*AM$116+(AND(AM$84=gebouw,AM$141=aardgas))*AM$147)*1000/bibliotheek!$I$508/AM$27)</f>
        <v>0</v>
      </c>
      <c r="AN229" s="183">
        <f>IF(AN$27=0,0,((AND(AN$84=gebouw,AN$105=aardgas))*AN$116+(AND(AN$84=gebouw,AN$141=aardgas))*AN$147)*1000/bibliotheek!$I$508/AN$27)</f>
        <v>0</v>
      </c>
      <c r="AO229" s="183">
        <f>IF(AO$27=0,0,((AND(AO$84=gebouw,AO$105=aardgas))*AO$116+(AND(AO$84=gebouw,AO$141=aardgas))*AO$147)*1000/bibliotheek!$I$508/AO$27)</f>
        <v>0</v>
      </c>
      <c r="AP229" s="310"/>
      <c r="AQ229" s="310"/>
      <c r="AR229" s="183">
        <f>IF(AR$27=0,0,AR$78*1000/bibliotheek!$I$508/AR$27)</f>
        <v>0</v>
      </c>
      <c r="AS229" s="310"/>
      <c r="AT229" s="310"/>
      <c r="AU229" s="310"/>
      <c r="AV229" s="108"/>
      <c r="AW229" s="190">
        <f>SUM(AX229:BH229)</f>
        <v>0</v>
      </c>
      <c r="AX229" s="119"/>
      <c r="AY229" s="183">
        <f>IF(AY$27=0,0,((AND(AY$84=gebouw,AY$105=aardgas))*AY$116+(AND(AY$84=gebouw,AY$141=aardgas))*AY$147)*1000/bibliotheek!$I$508/AY$27)</f>
        <v>0</v>
      </c>
      <c r="AZ229" s="183">
        <f>IF(AZ$27=0,0,((AND(AZ$84=gebouw,AZ$105=aardgas))*AZ$116+(AND(AZ$84=gebouw,AZ$141=aardgas))*AZ$147)*1000/bibliotheek!$I$508/AZ$27)</f>
        <v>0</v>
      </c>
      <c r="BA229" s="183">
        <f>IF(BA$27=0,0,((AND(BA$84=gebouw,BA$105=aardgas))*BA$116+(AND(BA$84=gebouw,BA$141=aardgas))*BA$147)*1000/bibliotheek!$I$508/BA$27)</f>
        <v>0</v>
      </c>
      <c r="BB229" s="310"/>
      <c r="BC229" s="310"/>
      <c r="BD229" s="183">
        <f>IF(BD$27=0,0,BD$78*1000/bibliotheek!$I$508/BD$27)</f>
        <v>0</v>
      </c>
      <c r="BE229" s="310"/>
      <c r="BF229" s="310"/>
      <c r="BG229" s="310"/>
      <c r="BH229" s="210"/>
    </row>
    <row r="230" spans="1:60">
      <c r="A230" s="1040"/>
      <c r="B230" s="1109" t="s">
        <v>236</v>
      </c>
      <c r="C230" s="1107" t="s">
        <v>104</v>
      </c>
      <c r="D230" s="641"/>
      <c r="E230" s="180" t="s">
        <v>145</v>
      </c>
      <c r="F230" s="180"/>
      <c r="G230" s="180"/>
      <c r="H230" s="201" t="str">
        <f>kWh&amp;"/won.geb"</f>
        <v>kWh/won.geb</v>
      </c>
      <c r="I230" s="114"/>
      <c r="J230" s="202"/>
      <c r="K230" s="234"/>
      <c r="L230" s="234"/>
      <c r="M230" s="190">
        <f>SUM(N230:X230)</f>
        <v>0</v>
      </c>
      <c r="N230" s="119"/>
      <c r="O230" s="183">
        <f>IF(O$27=0,0,(O$190-O$187)*1000/O$27)</f>
        <v>0</v>
      </c>
      <c r="P230" s="183">
        <f>IF(OR(P$27=0,P$31=0),0,(P$190-P$187)*1000/P$27)</f>
        <v>0</v>
      </c>
      <c r="Q230" s="183">
        <f>IF(OR(Q$27=0,Q$31=0),0,(Q$190-Q$187)*1000/Q$27)</f>
        <v>0</v>
      </c>
      <c r="R230" s="183">
        <f>IF(R$27=0,0,R$190*1000/R$27)</f>
        <v>0</v>
      </c>
      <c r="S230" s="183">
        <f>IF(S$27=0,0,S$190*1000/S$27)</f>
        <v>0</v>
      </c>
      <c r="T230" s="273"/>
      <c r="U230" s="183">
        <f>IF(U$27=0,0,U$190*1000/U$27)</f>
        <v>0</v>
      </c>
      <c r="V230" s="183">
        <f>IF(V$27=0,0,V$190*1000/V$27)</f>
        <v>0</v>
      </c>
      <c r="W230" s="183">
        <f>IF(W$27=0,0,-W$186*1000/W$27)</f>
        <v>0</v>
      </c>
      <c r="X230" s="108"/>
      <c r="Y230" s="190">
        <f>SUM(Z230:AJ230)</f>
        <v>0</v>
      </c>
      <c r="Z230" s="119"/>
      <c r="AA230" s="183">
        <f>IF(AA$27=0,0,(AA$190-AA$187)*1000/AA$27)</f>
        <v>0</v>
      </c>
      <c r="AB230" s="183">
        <f>IF(OR(AB$27=0,AB$31=0),0,(AB$190-AB$187)*1000/AB$27)</f>
        <v>0</v>
      </c>
      <c r="AC230" s="183">
        <f>IF(OR(AC$27=0,AC$31=0),0,(AC$190-AC$187)*1000/AC$27)</f>
        <v>0</v>
      </c>
      <c r="AD230" s="183">
        <f>IF(AD$27=0,0,AD$190*1000/AD$27)</f>
        <v>0</v>
      </c>
      <c r="AE230" s="183">
        <f>IF(AE$27=0,0,AE$190*1000/AE$27)</f>
        <v>0</v>
      </c>
      <c r="AF230" s="273"/>
      <c r="AG230" s="183">
        <f>IF(AG$27=0,0,AG$190*1000/AG$27)</f>
        <v>0</v>
      </c>
      <c r="AH230" s="183">
        <f>IF(AH$27=0,0,AH$190*1000/AH$27)</f>
        <v>0</v>
      </c>
      <c r="AI230" s="183">
        <f>IF(AI$27=0,0,-AI$186*1000/AI$27)</f>
        <v>0</v>
      </c>
      <c r="AJ230" s="108"/>
      <c r="AK230" s="190">
        <f>SUM(AL230:AV230)</f>
        <v>0</v>
      </c>
      <c r="AL230" s="119"/>
      <c r="AM230" s="183">
        <f>IF(AM$27=0,0,(AM$190-AM$187)*1000/AM$27)</f>
        <v>0</v>
      </c>
      <c r="AN230" s="183">
        <f>IF(OR(AN$27=0,AN$31=0),0,(AN$190-AN$187)*1000/AN$27)</f>
        <v>0</v>
      </c>
      <c r="AO230" s="183">
        <f>IF(OR(AO$27=0,AO$31=0),0,(AO$190-AO$187)*1000/AO$27)</f>
        <v>0</v>
      </c>
      <c r="AP230" s="183">
        <f>IF(AP$27=0,0,AP$190*1000/AP$27)</f>
        <v>0</v>
      </c>
      <c r="AQ230" s="183">
        <f>IF(AQ$27=0,0,AQ$190*1000/AQ$27)</f>
        <v>0</v>
      </c>
      <c r="AR230" s="168"/>
      <c r="AS230" s="183">
        <f>IF(AS$27=0,0,AS$190*1000/AS$27)</f>
        <v>0</v>
      </c>
      <c r="AT230" s="183">
        <f>IF(AT$27=0,0,AT$190*1000/AT$27)</f>
        <v>0</v>
      </c>
      <c r="AU230" s="183">
        <f>IF(AU$27=0,0,-AU$186*1000/AU$27)</f>
        <v>0</v>
      </c>
      <c r="AV230" s="108"/>
      <c r="AW230" s="190">
        <f>SUM(AX230:BH230)</f>
        <v>0</v>
      </c>
      <c r="AX230" s="119"/>
      <c r="AY230" s="183">
        <f>IF(AY$27=0,0,(AY$190-AY$187)*1000/AY$27)</f>
        <v>0</v>
      </c>
      <c r="AZ230" s="183">
        <f>IF(OR(AZ$27=0,AZ$31=0),0,(AZ$190-AZ$187)*1000/AZ$27)</f>
        <v>0</v>
      </c>
      <c r="BA230" s="183">
        <f>IF(OR(BA$27=0,BA$31=0),0,(BA$190-BA$187)*1000/BA$27)</f>
        <v>0</v>
      </c>
      <c r="BB230" s="183">
        <f>IF(BB$27=0,0,BB$190*1000/BB$27)</f>
        <v>0</v>
      </c>
      <c r="BC230" s="183">
        <f>IF(BC$27=0,0,BC$190*1000/BC$27)</f>
        <v>0</v>
      </c>
      <c r="BD230" s="273"/>
      <c r="BE230" s="183">
        <f>IF(BE$27=0,0,BE$190*1000/BE$27)</f>
        <v>0</v>
      </c>
      <c r="BF230" s="183">
        <f>IF(BF$27=0,0,BF$190*1000/BF$27)</f>
        <v>0</v>
      </c>
      <c r="BG230" s="183">
        <f>IF(BG$27=0,0,-BG$186*1000/BG$27)</f>
        <v>0</v>
      </c>
      <c r="BH230" s="210"/>
    </row>
    <row r="231" spans="1:60">
      <c r="A231" s="1040"/>
      <c r="B231" s="1109" t="s">
        <v>236</v>
      </c>
      <c r="C231" s="1107" t="s">
        <v>104</v>
      </c>
      <c r="D231" s="641"/>
      <c r="E231" s="180" t="s">
        <v>240</v>
      </c>
      <c r="F231" s="180"/>
      <c r="G231" s="180"/>
      <c r="H231" s="201" t="str">
        <f>GJ&amp;"/won.geb"</f>
        <v>GJ/won.geb</v>
      </c>
      <c r="I231" s="114"/>
      <c r="J231" s="202"/>
      <c r="K231" s="234"/>
      <c r="L231" s="234"/>
      <c r="M231" s="202">
        <f>SUM(N231:X231)</f>
        <v>0</v>
      </c>
      <c r="N231" s="89"/>
      <c r="O231" s="168">
        <f>IF(O$27=0,0,(O$84&lt;&gt;gebouw)*(O$78+O$88-O$91)*3.6/O$27)</f>
        <v>0</v>
      </c>
      <c r="P231" s="168">
        <f>IF(P$27=0,0,(P$84&lt;&gt;gebouw)*(P$78+P$88-P$91)*3.6/P$27)</f>
        <v>0</v>
      </c>
      <c r="Q231" s="168">
        <f>IF(Q$27=0,0,(Q$84&lt;&gt;gebouw)*(Q$78+Q$88-Q$91)*3.6/Q$27)</f>
        <v>0</v>
      </c>
      <c r="R231" s="273"/>
      <c r="S231" s="273"/>
      <c r="T231" s="273"/>
      <c r="U231" s="273"/>
      <c r="V231" s="273"/>
      <c r="W231" s="273"/>
      <c r="X231" s="113"/>
      <c r="Y231" s="202">
        <f>SUM(Z231:AJ231)</f>
        <v>0</v>
      </c>
      <c r="Z231" s="89"/>
      <c r="AA231" s="168">
        <f>IF(AA$27=0,0,(AA$84&lt;&gt;gebouw)*(AA$78+AA$88-AA$91)*3.6/AA$27)</f>
        <v>0</v>
      </c>
      <c r="AB231" s="168">
        <f>IF(AB$27=0,0,(AB$84&lt;&gt;gebouw)*(AB$78+AB$88-AB$91)*3.6/AB$27)</f>
        <v>0</v>
      </c>
      <c r="AC231" s="168">
        <f>IF(AC$27=0,0,(AC$84&lt;&gt;gebouw)*(AC$78+AC$88-AC$91)*3.6/AC$27)</f>
        <v>0</v>
      </c>
      <c r="AD231" s="273"/>
      <c r="AE231" s="273"/>
      <c r="AF231" s="273"/>
      <c r="AG231" s="273"/>
      <c r="AH231" s="273"/>
      <c r="AI231" s="273"/>
      <c r="AJ231" s="113"/>
      <c r="AK231" s="202">
        <f>SUM(AL231:AV231)</f>
        <v>0</v>
      </c>
      <c r="AL231" s="89"/>
      <c r="AM231" s="168">
        <f>IF(AM$27=0,0,(AM$84&lt;&gt;gebouw)*(AM$78+AM$88-AM$91)*3.6/AM$27)</f>
        <v>0</v>
      </c>
      <c r="AN231" s="168">
        <f>IF(AN$27=0,0,(AN$84&lt;&gt;gebouw)*(AN$78+AN$88-AN$91)*3.6/AN$27)</f>
        <v>0</v>
      </c>
      <c r="AO231" s="168">
        <f>IF(AO$27=0,0,(AO$84&lt;&gt;gebouw)*(AO$78+AO$88-AO$91)*3.6/AO$27)</f>
        <v>0</v>
      </c>
      <c r="AP231" s="168"/>
      <c r="AQ231" s="168"/>
      <c r="AR231" s="168"/>
      <c r="AS231" s="168"/>
      <c r="AT231" s="168"/>
      <c r="AU231" s="168"/>
      <c r="AV231" s="113"/>
      <c r="AW231" s="202">
        <f>SUM(AX231:BH231)</f>
        <v>0</v>
      </c>
      <c r="AX231" s="89"/>
      <c r="AY231" s="168">
        <f>IF(AY$27=0,0,(AY$84&lt;&gt;gebouw)*(AY$78+AY$88-AY$91)*3.6/AY$27)</f>
        <v>0</v>
      </c>
      <c r="AZ231" s="168">
        <f>IF(AZ$27=0,0,(AZ$84&lt;&gt;gebouw)*(AZ$78+AZ$88-AZ$91)*3.6/AZ$27)</f>
        <v>0</v>
      </c>
      <c r="BA231" s="168">
        <f>IF(BA$27=0,0,(BA$84&lt;&gt;gebouw)*(BA$78+BA$88-BA$91)*3.6/BA$27)</f>
        <v>0</v>
      </c>
      <c r="BB231" s="273"/>
      <c r="BC231" s="273"/>
      <c r="BD231" s="273"/>
      <c r="BE231" s="273"/>
      <c r="BF231" s="273"/>
      <c r="BG231" s="273"/>
      <c r="BH231" s="210"/>
    </row>
    <row r="232" spans="1:60">
      <c r="A232" s="1040"/>
      <c r="B232" s="1109" t="s">
        <v>236</v>
      </c>
      <c r="C232" s="1106" t="s">
        <v>96</v>
      </c>
      <c r="D232" s="641"/>
      <c r="E232" s="940" t="s">
        <v>241</v>
      </c>
      <c r="F232" s="940"/>
      <c r="G232" s="940"/>
      <c r="H232" s="940"/>
      <c r="I232" s="77"/>
      <c r="J232" s="939"/>
      <c r="K232" s="126"/>
      <c r="L232" s="126"/>
      <c r="M232" s="938"/>
      <c r="N232" s="191"/>
      <c r="O232" s="177" t="str">
        <f t="shared" ref="O232:W232" si="194">O$10</f>
        <v>verwarming</v>
      </c>
      <c r="P232" s="177" t="str">
        <f t="shared" si="194"/>
        <v>koeling</v>
      </c>
      <c r="Q232" s="177" t="str">
        <f t="shared" si="194"/>
        <v>tapwater</v>
      </c>
      <c r="R232" s="177" t="str">
        <f t="shared" si="194"/>
        <v>verlichting</v>
      </c>
      <c r="S232" s="177" t="str">
        <f t="shared" si="194"/>
        <v>ventilatoren</v>
      </c>
      <c r="T232" s="177" t="str">
        <f t="shared" si="194"/>
        <v>kookgas</v>
      </c>
      <c r="U232" s="177" t="str">
        <f t="shared" si="194"/>
        <v>overig elektra</v>
      </c>
      <c r="V232" s="177" t="str">
        <f t="shared" si="194"/>
        <v>mobiliteit</v>
      </c>
      <c r="W232" s="177" t="str">
        <f t="shared" si="194"/>
        <v>zonnepanelen</v>
      </c>
      <c r="X232" s="191"/>
      <c r="Y232" s="938"/>
      <c r="Z232" s="191"/>
      <c r="AA232" s="177" t="str">
        <f t="shared" ref="AA232:AI232" si="195">AA$10</f>
        <v>verwarming</v>
      </c>
      <c r="AB232" s="177" t="str">
        <f t="shared" si="195"/>
        <v>koeling</v>
      </c>
      <c r="AC232" s="177" t="str">
        <f t="shared" si="195"/>
        <v>tapwater</v>
      </c>
      <c r="AD232" s="177" t="str">
        <f t="shared" si="195"/>
        <v>verlichting</v>
      </c>
      <c r="AE232" s="177" t="str">
        <f t="shared" si="195"/>
        <v>ventilatoren</v>
      </c>
      <c r="AF232" s="177" t="str">
        <f t="shared" si="195"/>
        <v>kookgas</v>
      </c>
      <c r="AG232" s="177" t="str">
        <f t="shared" si="195"/>
        <v>overig elektra</v>
      </c>
      <c r="AH232" s="177" t="str">
        <f t="shared" si="195"/>
        <v>mobiliteit</v>
      </c>
      <c r="AI232" s="177" t="str">
        <f t="shared" si="195"/>
        <v>zonnepanelen</v>
      </c>
      <c r="AJ232" s="191"/>
      <c r="AK232" s="938"/>
      <c r="AL232" s="191"/>
      <c r="AM232" s="177" t="str">
        <f t="shared" ref="AM232:AU232" si="196">AM$10</f>
        <v>verwarming</v>
      </c>
      <c r="AN232" s="177" t="str">
        <f t="shared" si="196"/>
        <v>koeling</v>
      </c>
      <c r="AO232" s="177" t="str">
        <f t="shared" si="196"/>
        <v>tapwater</v>
      </c>
      <c r="AP232" s="177" t="str">
        <f t="shared" si="196"/>
        <v>verlichting</v>
      </c>
      <c r="AQ232" s="177" t="str">
        <f t="shared" si="196"/>
        <v>ventilatoren</v>
      </c>
      <c r="AR232" s="177" t="str">
        <f t="shared" si="196"/>
        <v>kookgas</v>
      </c>
      <c r="AS232" s="177" t="str">
        <f t="shared" si="196"/>
        <v>overig elektra</v>
      </c>
      <c r="AT232" s="177" t="str">
        <f t="shared" si="196"/>
        <v>mobiliteit</v>
      </c>
      <c r="AU232" s="177" t="str">
        <f t="shared" si="196"/>
        <v>zonnepanelen</v>
      </c>
      <c r="AV232" s="191"/>
      <c r="AW232" s="938"/>
      <c r="AX232" s="191"/>
      <c r="AY232" s="177" t="str">
        <f t="shared" ref="AY232:BG232" si="197">AY$10</f>
        <v>verwarming</v>
      </c>
      <c r="AZ232" s="177" t="str">
        <f t="shared" si="197"/>
        <v>koeling</v>
      </c>
      <c r="BA232" s="177" t="str">
        <f t="shared" si="197"/>
        <v>tapwater</v>
      </c>
      <c r="BB232" s="177" t="str">
        <f t="shared" si="197"/>
        <v>verlichting</v>
      </c>
      <c r="BC232" s="177" t="str">
        <f t="shared" si="197"/>
        <v>ventilatoren</v>
      </c>
      <c r="BD232" s="177" t="str">
        <f t="shared" si="197"/>
        <v>kookgas</v>
      </c>
      <c r="BE232" s="177" t="str">
        <f t="shared" si="197"/>
        <v>overig elektra</v>
      </c>
      <c r="BF232" s="177" t="str">
        <f t="shared" si="197"/>
        <v>mobiliteit</v>
      </c>
      <c r="BG232" s="177" t="str">
        <f t="shared" si="197"/>
        <v>zonnepanelen</v>
      </c>
      <c r="BH232" s="36"/>
    </row>
    <row r="233" spans="1:60">
      <c r="A233" s="1040"/>
      <c r="B233" s="1109" t="s">
        <v>236</v>
      </c>
      <c r="C233" s="1107" t="s">
        <v>104</v>
      </c>
      <c r="D233" s="641"/>
      <c r="E233" s="180" t="s">
        <v>239</v>
      </c>
      <c r="F233" s="180"/>
      <c r="G233" s="180"/>
      <c r="H233" s="201" t="s">
        <v>242</v>
      </c>
      <c r="I233" s="114"/>
      <c r="J233" s="202"/>
      <c r="K233" s="234"/>
      <c r="L233" s="234"/>
      <c r="M233" s="202">
        <f>IF(M$29=0,0,M229*M$22/M$29)</f>
        <v>0</v>
      </c>
      <c r="N233" s="89"/>
      <c r="O233" s="168">
        <f t="shared" ref="O233:Q235" si="198">IF(OR(O$31="",O$31=0),0,O$27*O229/O$31)</f>
        <v>0</v>
      </c>
      <c r="P233" s="168">
        <f t="shared" si="198"/>
        <v>0</v>
      </c>
      <c r="Q233" s="168">
        <f t="shared" si="198"/>
        <v>0</v>
      </c>
      <c r="R233" s="273"/>
      <c r="S233" s="273"/>
      <c r="T233" s="168">
        <f>IF(OR(T$31="",T$31=0),0,T$27*T229/T$31)</f>
        <v>0</v>
      </c>
      <c r="U233" s="273"/>
      <c r="V233" s="273"/>
      <c r="W233" s="273"/>
      <c r="X233" s="113"/>
      <c r="Y233" s="202">
        <f>IF(Y$29=0,0,Y229*Y$22/Y$29)</f>
        <v>0</v>
      </c>
      <c r="Z233" s="89"/>
      <c r="AA233" s="168">
        <f t="shared" ref="AA233:AC235" si="199">IF(OR(AA$31="",AA$31=0),0,AA$27*AA229/AA$31)</f>
        <v>0</v>
      </c>
      <c r="AB233" s="168">
        <f t="shared" si="199"/>
        <v>0</v>
      </c>
      <c r="AC233" s="168">
        <f t="shared" si="199"/>
        <v>0</v>
      </c>
      <c r="AD233" s="273"/>
      <c r="AE233" s="273"/>
      <c r="AF233" s="168">
        <f>IF(OR(AF$31="",AF$31=0),0,AF$27*AF229/AF$31)</f>
        <v>0</v>
      </c>
      <c r="AG233" s="273"/>
      <c r="AH233" s="273"/>
      <c r="AI233" s="273"/>
      <c r="AJ233" s="113"/>
      <c r="AK233" s="202">
        <f>IF(AK$29=0,0,AK229*AK$22/AK$29)</f>
        <v>0</v>
      </c>
      <c r="AL233" s="89"/>
      <c r="AM233" s="168">
        <f t="shared" ref="AM233:AO235" si="200">IF(OR(AM$31="",AM$31=0),0,AM$27*AM229/AM$31)</f>
        <v>0</v>
      </c>
      <c r="AN233" s="168">
        <f t="shared" si="200"/>
        <v>0</v>
      </c>
      <c r="AO233" s="168">
        <f t="shared" si="200"/>
        <v>0</v>
      </c>
      <c r="AP233" s="273"/>
      <c r="AQ233" s="273"/>
      <c r="AR233" s="168">
        <f>IF(OR(AR$31="",AR$31=0),0,AR$27*AR229/AR$31)</f>
        <v>0</v>
      </c>
      <c r="AS233" s="273"/>
      <c r="AT233" s="273"/>
      <c r="AU233" s="273"/>
      <c r="AV233" s="113"/>
      <c r="AW233" s="202">
        <f>IF(AW$29=0,0,AW229*AW$22/AW$29)</f>
        <v>0</v>
      </c>
      <c r="AX233" s="89"/>
      <c r="AY233" s="168">
        <f t="shared" ref="AY233:BA235" si="201">IF(OR(AY$31="",AY$31=0),0,AY$27*AY229/AY$31)</f>
        <v>0</v>
      </c>
      <c r="AZ233" s="168">
        <f t="shared" si="201"/>
        <v>0</v>
      </c>
      <c r="BA233" s="168">
        <f t="shared" si="201"/>
        <v>0</v>
      </c>
      <c r="BB233" s="273"/>
      <c r="BC233" s="273"/>
      <c r="BD233" s="168">
        <f>IF(OR(BD$31="",BD$31=0),0,BD$27*BD229/BD$31)</f>
        <v>0</v>
      </c>
      <c r="BE233" s="273"/>
      <c r="BF233" s="273"/>
      <c r="BG233" s="273"/>
      <c r="BH233" s="210"/>
    </row>
    <row r="234" spans="1:60">
      <c r="A234" s="1040"/>
      <c r="B234" s="1109" t="s">
        <v>236</v>
      </c>
      <c r="C234" s="1107" t="s">
        <v>104</v>
      </c>
      <c r="D234" s="641"/>
      <c r="E234" s="180" t="s">
        <v>145</v>
      </c>
      <c r="F234" s="180"/>
      <c r="G234" s="180"/>
      <c r="H234" s="201" t="s">
        <v>154</v>
      </c>
      <c r="I234" s="114"/>
      <c r="J234" s="202"/>
      <c r="K234" s="234"/>
      <c r="L234" s="234"/>
      <c r="M234" s="202">
        <f>IF(M$29=0,0,M230*M$22/M$29)</f>
        <v>0</v>
      </c>
      <c r="N234" s="89"/>
      <c r="O234" s="168">
        <f t="shared" si="198"/>
        <v>0</v>
      </c>
      <c r="P234" s="168">
        <f t="shared" si="198"/>
        <v>0</v>
      </c>
      <c r="Q234" s="168">
        <f t="shared" si="198"/>
        <v>0</v>
      </c>
      <c r="R234" s="168">
        <f>IF(OR(R$31="",R$31=0),0,R$27*R230/R$31)</f>
        <v>0</v>
      </c>
      <c r="S234" s="168">
        <f>IF(OR(S$31="",S$31=0),0,S$27*S230/S$31)</f>
        <v>0</v>
      </c>
      <c r="T234" s="273"/>
      <c r="U234" s="168">
        <f>IF(OR(U$31="",U$31=0),0,U$27*U230/U$31)</f>
        <v>0</v>
      </c>
      <c r="V234" s="168">
        <f>IF(OR(V$31="",V$31=0),0,V$27*V230/V$31)</f>
        <v>0</v>
      </c>
      <c r="W234" s="168">
        <f>IF(OR(W$31="",W$31=0),0,W$27*W230/W$31)</f>
        <v>0</v>
      </c>
      <c r="X234" s="113"/>
      <c r="Y234" s="202">
        <f>IF(Y$29=0,0,Y230*Y$22/Y$29)</f>
        <v>0</v>
      </c>
      <c r="Z234" s="89"/>
      <c r="AA234" s="168">
        <f t="shared" si="199"/>
        <v>0</v>
      </c>
      <c r="AB234" s="168">
        <f t="shared" si="199"/>
        <v>0</v>
      </c>
      <c r="AC234" s="168">
        <f t="shared" si="199"/>
        <v>0</v>
      </c>
      <c r="AD234" s="168">
        <f>IF(OR(AD$31="",AD$31=0),0,AD$27*AD230/AD$31)</f>
        <v>0</v>
      </c>
      <c r="AE234" s="168">
        <f>IF(OR(AE$31="",AE$31=0),0,AE$27*AE230/AE$31)</f>
        <v>0</v>
      </c>
      <c r="AF234" s="273"/>
      <c r="AG234" s="168">
        <f>IF(OR(AG$31="",AG$31=0),0,AG$27*AG230/AG$31)</f>
        <v>0</v>
      </c>
      <c r="AH234" s="168">
        <f>IF(OR(AH$31="",AH$31=0),0,AH$27*AH230/AH$31)</f>
        <v>0</v>
      </c>
      <c r="AI234" s="168">
        <f>IF(OR(AI$31="",AI$31=0),0,AI$27*AI230/AI$31)</f>
        <v>0</v>
      </c>
      <c r="AJ234" s="113"/>
      <c r="AK234" s="202">
        <f>IF(AK$29=0,0,AK230*AK$22/AK$29)</f>
        <v>0</v>
      </c>
      <c r="AL234" s="89"/>
      <c r="AM234" s="168">
        <f t="shared" si="200"/>
        <v>0</v>
      </c>
      <c r="AN234" s="168">
        <f t="shared" si="200"/>
        <v>0</v>
      </c>
      <c r="AO234" s="168">
        <f t="shared" si="200"/>
        <v>0</v>
      </c>
      <c r="AP234" s="168">
        <f>IF(OR(AP$31="",AP$31=0),0,AP$27*AP230/AP$31)</f>
        <v>0</v>
      </c>
      <c r="AQ234" s="168">
        <f>IF(OR(AQ$31="",AQ$31=0),0,AQ$27*AQ230/AQ$31)</f>
        <v>0</v>
      </c>
      <c r="AR234" s="273"/>
      <c r="AS234" s="168">
        <f>IF(OR(AS$31="",AS$31=0),0,AS$27*AS230/AS$31)</f>
        <v>0</v>
      </c>
      <c r="AT234" s="168">
        <f>IF(OR(AT$31="",AT$31=0),0,AT$27*AT230/AT$31)</f>
        <v>0</v>
      </c>
      <c r="AU234" s="168">
        <f>IF(OR(AU$31="",AU$31=0),0,AU$27*AU230/AU$31)</f>
        <v>0</v>
      </c>
      <c r="AV234" s="113"/>
      <c r="AW234" s="202">
        <f>IF(AW$29=0,0,AW230*AW$22/AW$29)</f>
        <v>0</v>
      </c>
      <c r="AX234" s="89"/>
      <c r="AY234" s="168">
        <f t="shared" si="201"/>
        <v>0</v>
      </c>
      <c r="AZ234" s="168">
        <f t="shared" si="201"/>
        <v>0</v>
      </c>
      <c r="BA234" s="168">
        <f t="shared" si="201"/>
        <v>0</v>
      </c>
      <c r="BB234" s="168">
        <f>IF(OR(BB$31="",BB$31=0),0,BB$27*BB230/BB$31)</f>
        <v>0</v>
      </c>
      <c r="BC234" s="168">
        <f>IF(OR(BC$31="",BC$31=0),0,BC$27*BC230/BC$31)</f>
        <v>0</v>
      </c>
      <c r="BD234" s="273"/>
      <c r="BE234" s="168">
        <f>IF(OR(BE$31="",BE$31=0),0,BE$27*BE230/BE$31)</f>
        <v>0</v>
      </c>
      <c r="BF234" s="168">
        <f>IF(OR(BF$31="",BF$31=0),0,BF$27*BF230/BF$31)</f>
        <v>0</v>
      </c>
      <c r="BG234" s="168">
        <f>IF(OR(BG$31="",BG$31=0),0,BG$27*BG230/BG$31)</f>
        <v>0</v>
      </c>
      <c r="BH234" s="210"/>
    </row>
    <row r="235" spans="1:60">
      <c r="A235" s="1040"/>
      <c r="B235" s="1109" t="s">
        <v>236</v>
      </c>
      <c r="C235" s="1107" t="s">
        <v>104</v>
      </c>
      <c r="D235" s="641"/>
      <c r="E235" s="180" t="s">
        <v>240</v>
      </c>
      <c r="F235" s="180"/>
      <c r="G235" s="180"/>
      <c r="H235" s="201" t="s">
        <v>243</v>
      </c>
      <c r="I235" s="114"/>
      <c r="J235" s="202"/>
      <c r="K235" s="234"/>
      <c r="L235" s="234"/>
      <c r="M235" s="202">
        <f>IF(M$29=0,0,M231*M$22/M$29)</f>
        <v>0</v>
      </c>
      <c r="N235" s="89"/>
      <c r="O235" s="168">
        <f t="shared" si="198"/>
        <v>0</v>
      </c>
      <c r="P235" s="168">
        <f t="shared" si="198"/>
        <v>0</v>
      </c>
      <c r="Q235" s="168">
        <f t="shared" si="198"/>
        <v>0</v>
      </c>
      <c r="R235" s="273"/>
      <c r="S235" s="273"/>
      <c r="T235" s="273"/>
      <c r="U235" s="273"/>
      <c r="V235" s="273"/>
      <c r="W235" s="273"/>
      <c r="X235" s="113"/>
      <c r="Y235" s="202">
        <f>IF(Y$29=0,0,Y231*Y$22/Y$29)</f>
        <v>0</v>
      </c>
      <c r="Z235" s="89"/>
      <c r="AA235" s="168">
        <f t="shared" si="199"/>
        <v>0</v>
      </c>
      <c r="AB235" s="168">
        <f t="shared" si="199"/>
        <v>0</v>
      </c>
      <c r="AC235" s="168">
        <f t="shared" si="199"/>
        <v>0</v>
      </c>
      <c r="AD235" s="273"/>
      <c r="AE235" s="273"/>
      <c r="AF235" s="273"/>
      <c r="AG235" s="273"/>
      <c r="AH235" s="273"/>
      <c r="AI235" s="273"/>
      <c r="AJ235" s="113"/>
      <c r="AK235" s="202">
        <f>IF(AK$29=0,0,AK231*AK$22/AK$29)</f>
        <v>0</v>
      </c>
      <c r="AL235" s="89"/>
      <c r="AM235" s="168">
        <f t="shared" si="200"/>
        <v>0</v>
      </c>
      <c r="AN235" s="168">
        <f t="shared" si="200"/>
        <v>0</v>
      </c>
      <c r="AO235" s="168">
        <f t="shared" si="200"/>
        <v>0</v>
      </c>
      <c r="AP235" s="273"/>
      <c r="AQ235" s="273"/>
      <c r="AR235" s="273"/>
      <c r="AS235" s="273"/>
      <c r="AT235" s="273"/>
      <c r="AU235" s="273"/>
      <c r="AV235" s="113"/>
      <c r="AW235" s="202">
        <f>IF(AW$29=0,0,AW231*AW$22/AW$29)</f>
        <v>0</v>
      </c>
      <c r="AX235" s="89"/>
      <c r="AY235" s="168">
        <f t="shared" si="201"/>
        <v>0</v>
      </c>
      <c r="AZ235" s="168">
        <f t="shared" si="201"/>
        <v>0</v>
      </c>
      <c r="BA235" s="168">
        <f t="shared" si="201"/>
        <v>0</v>
      </c>
      <c r="BB235" s="273"/>
      <c r="BC235" s="273"/>
      <c r="BD235" s="273"/>
      <c r="BE235" s="273"/>
      <c r="BF235" s="273"/>
      <c r="BG235" s="273"/>
      <c r="BH235" s="210"/>
    </row>
    <row r="236" spans="1:60">
      <c r="A236" s="1040"/>
      <c r="B236" s="1109" t="s">
        <v>236</v>
      </c>
      <c r="C236" s="1106" t="s">
        <v>96</v>
      </c>
      <c r="D236" s="638"/>
      <c r="E236" s="79"/>
      <c r="F236" s="79"/>
      <c r="G236" s="79"/>
      <c r="H236" s="85"/>
      <c r="I236" s="79"/>
      <c r="J236" s="82"/>
      <c r="K236" s="79"/>
      <c r="L236" s="79"/>
      <c r="M236" s="82"/>
      <c r="N236" s="79"/>
      <c r="O236" s="82"/>
      <c r="P236" s="82"/>
      <c r="Q236" s="82"/>
      <c r="R236" s="82"/>
      <c r="S236" s="82"/>
      <c r="T236" s="82"/>
      <c r="U236" s="82"/>
      <c r="V236" s="82"/>
      <c r="W236" s="82"/>
      <c r="X236" s="82"/>
      <c r="Y236" s="82"/>
      <c r="Z236" s="79"/>
      <c r="AA236" s="82"/>
      <c r="AB236" s="82"/>
      <c r="AC236" s="82"/>
      <c r="AD236" s="82"/>
      <c r="AE236" s="82"/>
      <c r="AF236" s="82"/>
      <c r="AG236" s="82"/>
      <c r="AH236" s="82"/>
      <c r="AI236" s="82"/>
      <c r="AJ236" s="82"/>
      <c r="AK236" s="82"/>
      <c r="AL236" s="79"/>
      <c r="AM236" s="79"/>
      <c r="AN236" s="79"/>
      <c r="AO236" s="79"/>
      <c r="AP236" s="79"/>
      <c r="AQ236" s="79"/>
      <c r="AR236" s="79"/>
      <c r="AS236" s="79"/>
      <c r="AT236" s="79"/>
      <c r="AU236" s="82"/>
      <c r="AV236" s="82"/>
      <c r="AW236" s="82"/>
      <c r="AX236" s="79"/>
      <c r="AY236" s="82"/>
      <c r="AZ236" s="82"/>
      <c r="BA236" s="82"/>
      <c r="BB236" s="82"/>
      <c r="BC236" s="82"/>
      <c r="BD236" s="82"/>
      <c r="BE236" s="82"/>
      <c r="BF236" s="82"/>
      <c r="BG236" s="82"/>
      <c r="BH236" s="1"/>
    </row>
    <row r="237" spans="1:60">
      <c r="A237" s="1040"/>
      <c r="B237" s="1109" t="s">
        <v>1218</v>
      </c>
      <c r="C237" s="1107" t="s">
        <v>96</v>
      </c>
      <c r="D237" s="638"/>
      <c r="E237" s="79"/>
      <c r="F237" s="79"/>
      <c r="G237" s="79"/>
      <c r="H237" s="85"/>
      <c r="I237" s="79"/>
      <c r="J237" s="82"/>
      <c r="K237" s="79"/>
      <c r="L237" s="79"/>
      <c r="M237" s="82"/>
      <c r="N237" s="79"/>
      <c r="O237" s="82"/>
      <c r="P237" s="82"/>
      <c r="Q237" s="82"/>
      <c r="R237" s="82"/>
      <c r="S237" s="82"/>
      <c r="T237" s="82"/>
      <c r="U237" s="82"/>
      <c r="V237" s="82"/>
      <c r="W237" s="82"/>
      <c r="X237" s="82"/>
      <c r="Y237" s="82"/>
      <c r="Z237" s="79"/>
      <c r="AA237" s="82"/>
      <c r="AB237" s="82"/>
      <c r="AC237" s="82"/>
      <c r="AD237" s="82"/>
      <c r="AE237" s="82"/>
      <c r="AF237" s="82"/>
      <c r="AG237" s="82"/>
      <c r="AH237" s="82"/>
      <c r="AI237" s="82"/>
      <c r="AJ237" s="82"/>
      <c r="AK237" s="82"/>
      <c r="AL237" s="79"/>
      <c r="AM237" s="82"/>
      <c r="AN237" s="82"/>
      <c r="AO237" s="82"/>
      <c r="AP237" s="82"/>
      <c r="AQ237" s="82"/>
      <c r="AR237" s="82"/>
      <c r="AS237" s="82"/>
      <c r="AT237" s="82"/>
      <c r="AU237" s="82"/>
      <c r="AV237" s="82"/>
      <c r="AW237" s="82"/>
      <c r="AX237" s="79"/>
      <c r="AY237" s="82"/>
      <c r="AZ237" s="82"/>
      <c r="BA237" s="82"/>
      <c r="BB237" s="82"/>
      <c r="BC237" s="82"/>
      <c r="BD237" s="82"/>
      <c r="BE237" s="82"/>
      <c r="BF237" s="82"/>
      <c r="BG237" s="82"/>
      <c r="BH237" s="1"/>
    </row>
    <row r="238" spans="1:60" ht="21">
      <c r="A238" s="1040"/>
      <c r="B238" s="1109" t="s">
        <v>1218</v>
      </c>
      <c r="C238" s="1106" t="s">
        <v>96</v>
      </c>
      <c r="D238" s="638"/>
      <c r="E238" s="1181" t="s">
        <v>1356</v>
      </c>
      <c r="F238" s="199"/>
      <c r="G238" s="692"/>
      <c r="H238" s="199"/>
      <c r="I238" s="77"/>
      <c r="J238" s="200" t="str">
        <f>J$10</f>
        <v>alle locaties</v>
      </c>
      <c r="K238" s="126"/>
      <c r="L238" s="126"/>
      <c r="M238" s="200" t="str">
        <f>M$10</f>
        <v>locatie 1</v>
      </c>
      <c r="N238" s="182"/>
      <c r="O238" s="966" t="str">
        <f>$E238&amp;" per energiepost"</f>
        <v>primair fossiel energiegebruik per energiepost per energiepost</v>
      </c>
      <c r="P238" s="941"/>
      <c r="Q238" s="941"/>
      <c r="R238" s="941"/>
      <c r="S238" s="941"/>
      <c r="T238" s="941"/>
      <c r="U238" s="941"/>
      <c r="V238" s="941"/>
      <c r="W238" s="956"/>
      <c r="X238" s="174"/>
      <c r="Y238" s="200" t="str">
        <f>Y$10</f>
        <v>locatie 2</v>
      </c>
      <c r="Z238" s="182"/>
      <c r="AA238" s="966" t="str">
        <f>$E238&amp;" per energiepost"</f>
        <v>primair fossiel energiegebruik per energiepost per energiepost</v>
      </c>
      <c r="AB238" s="941"/>
      <c r="AC238" s="941"/>
      <c r="AD238" s="941"/>
      <c r="AE238" s="941"/>
      <c r="AF238" s="941"/>
      <c r="AG238" s="941"/>
      <c r="AH238" s="941"/>
      <c r="AI238" s="956"/>
      <c r="AJ238" s="174"/>
      <c r="AK238" s="200" t="str">
        <f>AK$10</f>
        <v>locatie 3</v>
      </c>
      <c r="AL238" s="182"/>
      <c r="AM238" s="966" t="str">
        <f>$E238&amp;" per energiepost"</f>
        <v>primair fossiel energiegebruik per energiepost per energiepost</v>
      </c>
      <c r="AN238" s="941"/>
      <c r="AO238" s="941"/>
      <c r="AP238" s="941"/>
      <c r="AQ238" s="941"/>
      <c r="AR238" s="941"/>
      <c r="AS238" s="941"/>
      <c r="AT238" s="941"/>
      <c r="AU238" s="956"/>
      <c r="AV238" s="174"/>
      <c r="AW238" s="200" t="str">
        <f>AW$10</f>
        <v>locatie 4</v>
      </c>
      <c r="AX238" s="182"/>
      <c r="AY238" s="966" t="str">
        <f>$E238&amp;" per energiepost"</f>
        <v>primair fossiel energiegebruik per energiepost per energiepost</v>
      </c>
      <c r="AZ238" s="941"/>
      <c r="BA238" s="941"/>
      <c r="BB238" s="941"/>
      <c r="BC238" s="941"/>
      <c r="BD238" s="941"/>
      <c r="BE238" s="941"/>
      <c r="BF238" s="941"/>
      <c r="BG238" s="956"/>
      <c r="BH238" s="1"/>
    </row>
    <row r="239" spans="1:60">
      <c r="A239" s="1040"/>
      <c r="B239" s="1109" t="s">
        <v>1218</v>
      </c>
      <c r="C239" s="1106" t="s">
        <v>96</v>
      </c>
      <c r="D239" s="638"/>
      <c r="E239" s="940" t="s">
        <v>1316</v>
      </c>
      <c r="F239" s="940"/>
      <c r="G239" s="940"/>
      <c r="H239" s="940"/>
      <c r="I239" s="77"/>
      <c r="J239" s="939"/>
      <c r="K239" s="126"/>
      <c r="L239" s="126"/>
      <c r="M239" s="938"/>
      <c r="N239" s="191"/>
      <c r="O239" s="177" t="str">
        <f t="shared" ref="O239:W239" si="202">O$10</f>
        <v>verwarming</v>
      </c>
      <c r="P239" s="177" t="str">
        <f t="shared" si="202"/>
        <v>koeling</v>
      </c>
      <c r="Q239" s="177" t="str">
        <f t="shared" si="202"/>
        <v>tapwater</v>
      </c>
      <c r="R239" s="177" t="str">
        <f t="shared" si="202"/>
        <v>verlichting</v>
      </c>
      <c r="S239" s="177" t="str">
        <f t="shared" si="202"/>
        <v>ventilatoren</v>
      </c>
      <c r="T239" s="177" t="str">
        <f t="shared" si="202"/>
        <v>kookgas</v>
      </c>
      <c r="U239" s="177" t="str">
        <f t="shared" si="202"/>
        <v>overig elektra</v>
      </c>
      <c r="V239" s="177" t="str">
        <f t="shared" si="202"/>
        <v>mobiliteit</v>
      </c>
      <c r="W239" s="177" t="str">
        <f t="shared" si="202"/>
        <v>zonnepanelen</v>
      </c>
      <c r="X239" s="191"/>
      <c r="Y239" s="938"/>
      <c r="Z239" s="191"/>
      <c r="AA239" s="177" t="str">
        <f t="shared" ref="AA239:AI239" si="203">AA$10</f>
        <v>verwarming</v>
      </c>
      <c r="AB239" s="177" t="str">
        <f t="shared" si="203"/>
        <v>koeling</v>
      </c>
      <c r="AC239" s="177" t="str">
        <f t="shared" si="203"/>
        <v>tapwater</v>
      </c>
      <c r="AD239" s="177" t="str">
        <f t="shared" si="203"/>
        <v>verlichting</v>
      </c>
      <c r="AE239" s="177" t="str">
        <f t="shared" si="203"/>
        <v>ventilatoren</v>
      </c>
      <c r="AF239" s="177" t="str">
        <f t="shared" si="203"/>
        <v>kookgas</v>
      </c>
      <c r="AG239" s="177" t="str">
        <f t="shared" si="203"/>
        <v>overig elektra</v>
      </c>
      <c r="AH239" s="177" t="str">
        <f t="shared" si="203"/>
        <v>mobiliteit</v>
      </c>
      <c r="AI239" s="177" t="str">
        <f t="shared" si="203"/>
        <v>zonnepanelen</v>
      </c>
      <c r="AJ239" s="191"/>
      <c r="AK239" s="938"/>
      <c r="AL239" s="191"/>
      <c r="AM239" s="177" t="str">
        <f t="shared" ref="AM239:AU239" si="204">AM$10</f>
        <v>verwarming</v>
      </c>
      <c r="AN239" s="177" t="str">
        <f t="shared" si="204"/>
        <v>koeling</v>
      </c>
      <c r="AO239" s="177" t="str">
        <f t="shared" si="204"/>
        <v>tapwater</v>
      </c>
      <c r="AP239" s="177" t="str">
        <f t="shared" si="204"/>
        <v>verlichting</v>
      </c>
      <c r="AQ239" s="177" t="str">
        <f t="shared" si="204"/>
        <v>ventilatoren</v>
      </c>
      <c r="AR239" s="177" t="str">
        <f t="shared" si="204"/>
        <v>kookgas</v>
      </c>
      <c r="AS239" s="177" t="str">
        <f t="shared" si="204"/>
        <v>overig elektra</v>
      </c>
      <c r="AT239" s="177" t="str">
        <f t="shared" si="204"/>
        <v>mobiliteit</v>
      </c>
      <c r="AU239" s="177" t="str">
        <f t="shared" si="204"/>
        <v>zonnepanelen</v>
      </c>
      <c r="AV239" s="191"/>
      <c r="AW239" s="938"/>
      <c r="AX239" s="191"/>
      <c r="AY239" s="177" t="str">
        <f t="shared" ref="AY239:BG239" si="205">AY$10</f>
        <v>verwarming</v>
      </c>
      <c r="AZ239" s="177" t="str">
        <f t="shared" si="205"/>
        <v>koeling</v>
      </c>
      <c r="BA239" s="177" t="str">
        <f t="shared" si="205"/>
        <v>tapwater</v>
      </c>
      <c r="BB239" s="177" t="str">
        <f t="shared" si="205"/>
        <v>verlichting</v>
      </c>
      <c r="BC239" s="177" t="str">
        <f t="shared" si="205"/>
        <v>ventilatoren</v>
      </c>
      <c r="BD239" s="177" t="str">
        <f t="shared" si="205"/>
        <v>kookgas</v>
      </c>
      <c r="BE239" s="177" t="str">
        <f t="shared" si="205"/>
        <v>overig elektra</v>
      </c>
      <c r="BF239" s="177" t="str">
        <f t="shared" si="205"/>
        <v>mobiliteit</v>
      </c>
      <c r="BG239" s="177" t="str">
        <f t="shared" si="205"/>
        <v>zonnepanelen</v>
      </c>
      <c r="BH239" s="36"/>
    </row>
    <row r="240" spans="1:60" s="36" customFormat="1">
      <c r="A240" s="1040"/>
      <c r="B240" s="1109" t="s">
        <v>1218</v>
      </c>
      <c r="C240" s="1107" t="s">
        <v>104</v>
      </c>
      <c r="D240" s="638"/>
      <c r="E240" s="237" t="s">
        <v>244</v>
      </c>
      <c r="F240" s="237" t="s">
        <v>190</v>
      </c>
      <c r="G240" s="237"/>
      <c r="H240" s="238" t="s">
        <v>65</v>
      </c>
      <c r="I240" s="239"/>
      <c r="J240" s="240"/>
      <c r="K240" s="235"/>
      <c r="L240" s="235"/>
      <c r="M240" s="240"/>
      <c r="N240" s="241"/>
      <c r="O240" s="242" t="str">
        <f>IF(AND(O$83&lt;&gt;"geen",O$105&lt;&gt;""),O$105,"")</f>
        <v>elektriciteit</v>
      </c>
      <c r="P240" s="242" t="str">
        <f>IF(AND(P$83&lt;&gt;"geen",P$105&lt;&gt;""),P$105,"")</f>
        <v/>
      </c>
      <c r="Q240" s="242" t="str">
        <f>IF(AND(Q$83&lt;&gt;"geen",Q$105&lt;&gt;""),Q$105,"")</f>
        <v>elektriciteit</v>
      </c>
      <c r="R240" s="611"/>
      <c r="S240" s="611"/>
      <c r="T240" s="611"/>
      <c r="U240" s="611"/>
      <c r="V240" s="611"/>
      <c r="W240" s="611"/>
      <c r="X240" s="121"/>
      <c r="Y240" s="240"/>
      <c r="Z240" s="241"/>
      <c r="AA240" s="242" t="str">
        <f>IF(AND(AA$83&lt;&gt;"geen",AA$105&lt;&gt;""),AA$105,"")</f>
        <v>elektriciteit</v>
      </c>
      <c r="AB240" s="242" t="str">
        <f>IF(AND(AB$83&lt;&gt;"geen",AB$105&lt;&gt;""),AB$105,"")</f>
        <v/>
      </c>
      <c r="AC240" s="242" t="str">
        <f>IF(AND(AC$83&lt;&gt;"geen",AC$105&lt;&gt;""),AC$105,"")</f>
        <v>elektriciteit</v>
      </c>
      <c r="AD240" s="611"/>
      <c r="AE240" s="611"/>
      <c r="AF240" s="611"/>
      <c r="AG240" s="611"/>
      <c r="AH240" s="611"/>
      <c r="AI240" s="611"/>
      <c r="AJ240" s="121"/>
      <c r="AK240" s="240"/>
      <c r="AL240" s="241"/>
      <c r="AM240" s="242" t="str">
        <f>IF(AND(AM$83&lt;&gt;"geen",AM$105&lt;&gt;""),AM$105,"")</f>
        <v>elektriciteit</v>
      </c>
      <c r="AN240" s="242" t="str">
        <f>IF(AND(AN$83&lt;&gt;"geen",AN$105&lt;&gt;""),AN$105,"")</f>
        <v/>
      </c>
      <c r="AO240" s="242" t="str">
        <f>IF(AND(AO$83&lt;&gt;"geen",AO$105&lt;&gt;""),AO$105,"")</f>
        <v>elektriciteit</v>
      </c>
      <c r="AP240" s="611"/>
      <c r="AQ240" s="611"/>
      <c r="AR240" s="611"/>
      <c r="AS240" s="611"/>
      <c r="AT240" s="611"/>
      <c r="AU240" s="611"/>
      <c r="AV240" s="121"/>
      <c r="AW240" s="240"/>
      <c r="AX240" s="241"/>
      <c r="AY240" s="242" t="str">
        <f>IF(AND(AY$83&lt;&gt;"geen",AY$105&lt;&gt;""),AY$105,"")</f>
        <v>elektriciteit</v>
      </c>
      <c r="AZ240" s="242" t="str">
        <f>IF(AND(AZ$83&lt;&gt;"geen",AZ$105&lt;&gt;""),AZ$105,"")</f>
        <v/>
      </c>
      <c r="BA240" s="242" t="str">
        <f>IF(AND(BA$83&lt;&gt;"geen",BA$105&lt;&gt;""),BA$105,"")</f>
        <v>elektriciteit</v>
      </c>
      <c r="BB240" s="611"/>
      <c r="BC240" s="611"/>
      <c r="BD240" s="611"/>
      <c r="BE240" s="611"/>
      <c r="BF240" s="611"/>
      <c r="BG240" s="611"/>
      <c r="BH240" s="224"/>
    </row>
    <row r="241" spans="1:60" s="2" customFormat="1">
      <c r="A241" s="1038"/>
      <c r="B241" s="1109" t="s">
        <v>1218</v>
      </c>
      <c r="C241" s="1106" t="s">
        <v>104</v>
      </c>
      <c r="D241" s="644"/>
      <c r="E241" s="347"/>
      <c r="F241" s="255" t="s">
        <v>245</v>
      </c>
      <c r="G241" s="255"/>
      <c r="H241" s="361" t="s">
        <v>106</v>
      </c>
      <c r="I241" s="161"/>
      <c r="J241" s="307">
        <f>M241+Y241+AK241+AW241</f>
        <v>0</v>
      </c>
      <c r="K241" s="362"/>
      <c r="L241" s="362"/>
      <c r="M241" s="307">
        <f>SUM(N241:X241)</f>
        <v>0</v>
      </c>
      <c r="N241" s="308"/>
      <c r="O241" s="363">
        <f>IF(O240="","",(O$105=O240)*O$120)</f>
        <v>0</v>
      </c>
      <c r="P241" s="363" t="str">
        <f>IF(P240="","",(P$105=P240)*P$120)</f>
        <v/>
      </c>
      <c r="Q241" s="363">
        <f>IF(Q240="","",(Q$105=Q240)*Q$120)</f>
        <v>0</v>
      </c>
      <c r="R241" s="309"/>
      <c r="S241" s="309"/>
      <c r="T241" s="309"/>
      <c r="U241" s="309"/>
      <c r="V241" s="309"/>
      <c r="W241" s="309"/>
      <c r="X241" s="113"/>
      <c r="Y241" s="307">
        <f>SUM(Z241:AJ241)</f>
        <v>0</v>
      </c>
      <c r="Z241" s="308"/>
      <c r="AA241" s="363">
        <f>IF(AA240="","",(AA$105=AA240)*AA$120)</f>
        <v>0</v>
      </c>
      <c r="AB241" s="363" t="str">
        <f>IF(AB240="","",(AB$105=AB240)*AB$120)</f>
        <v/>
      </c>
      <c r="AC241" s="363">
        <f>IF(AC240="","",(AC$105=AC240)*AC$120)</f>
        <v>0</v>
      </c>
      <c r="AD241" s="309"/>
      <c r="AE241" s="309"/>
      <c r="AF241" s="309"/>
      <c r="AG241" s="309"/>
      <c r="AH241" s="309"/>
      <c r="AI241" s="309"/>
      <c r="AJ241" s="113"/>
      <c r="AK241" s="307">
        <f>SUM(AL241:AV241)</f>
        <v>0</v>
      </c>
      <c r="AL241" s="308"/>
      <c r="AM241" s="363">
        <f>IF(AM240="","",(AM$105=AM240)*AM$120)</f>
        <v>0</v>
      </c>
      <c r="AN241" s="363" t="str">
        <f>IF(AN240="","",(AN$105=AN240)*AN$120)</f>
        <v/>
      </c>
      <c r="AO241" s="363">
        <f>IF(AO240="","",(AO$105=AO240)*AO$120)</f>
        <v>0</v>
      </c>
      <c r="AP241" s="309"/>
      <c r="AQ241" s="309"/>
      <c r="AR241" s="309"/>
      <c r="AS241" s="309"/>
      <c r="AT241" s="309"/>
      <c r="AU241" s="309"/>
      <c r="AV241" s="113"/>
      <c r="AW241" s="307">
        <f>SUM(AX241:BH241)</f>
        <v>0</v>
      </c>
      <c r="AX241" s="308"/>
      <c r="AY241" s="363">
        <f>IF(AY240="","",(AY$105=AY240)*AY$120)</f>
        <v>0</v>
      </c>
      <c r="AZ241" s="363" t="str">
        <f>IF(AZ240="","",(AZ$105=AZ240)*AZ$120)</f>
        <v/>
      </c>
      <c r="BA241" s="363">
        <f>IF(BA240="","",(BA$105=BA240)*BA$120)</f>
        <v>0</v>
      </c>
      <c r="BB241" s="309"/>
      <c r="BC241" s="309"/>
      <c r="BD241" s="309"/>
      <c r="BE241" s="309"/>
      <c r="BF241" s="309"/>
      <c r="BG241" s="309"/>
      <c r="BH241" s="222"/>
    </row>
    <row r="242" spans="1:60" s="2" customFormat="1">
      <c r="A242" s="1038"/>
      <c r="B242" s="1109" t="s">
        <v>1218</v>
      </c>
      <c r="C242" s="1106" t="s">
        <v>104</v>
      </c>
      <c r="D242" s="644"/>
      <c r="E242" s="254" t="s">
        <v>246</v>
      </c>
      <c r="F242" s="303" t="s">
        <v>190</v>
      </c>
      <c r="G242" s="303"/>
      <c r="H242" s="364" t="s">
        <v>65</v>
      </c>
      <c r="I242" s="365"/>
      <c r="J242" s="366"/>
      <c r="K242" s="367"/>
      <c r="L242" s="367"/>
      <c r="M242" s="366"/>
      <c r="N242" s="368"/>
      <c r="O242" s="369" t="str">
        <f>IF(AND(O$140&lt;&gt;"",O$140&lt;&gt;"geen"),O$141,"")</f>
        <v>elektriciteit</v>
      </c>
      <c r="P242" s="369" t="str">
        <f>IF(AND(P$140&lt;&gt;"",P$140&lt;&gt;"geen"),P$141,"")</f>
        <v/>
      </c>
      <c r="Q242" s="369" t="str">
        <f>IF(AND(Q$140&lt;&gt;"",Q$140&lt;&gt;"geen"),Q$141,"")</f>
        <v>elektriciteit</v>
      </c>
      <c r="R242" s="612"/>
      <c r="S242" s="612"/>
      <c r="T242" s="612"/>
      <c r="U242" s="612"/>
      <c r="V242" s="612"/>
      <c r="W242" s="612"/>
      <c r="X242" s="118"/>
      <c r="Y242" s="366"/>
      <c r="Z242" s="368"/>
      <c r="AA242" s="369" t="str">
        <f>IF(AND(AA$140&lt;&gt;"",AA$140&lt;&gt;"geen"),AA$141,"")</f>
        <v>elektriciteit</v>
      </c>
      <c r="AB242" s="369" t="str">
        <f>IF(AND(AB$140&lt;&gt;"",AB$140&lt;&gt;"geen"),AB$141,"")</f>
        <v/>
      </c>
      <c r="AC242" s="369" t="str">
        <f>IF(AND(AC$140&lt;&gt;"",AC$140&lt;&gt;"geen"),AC$141,"")</f>
        <v>elektriciteit</v>
      </c>
      <c r="AD242" s="612"/>
      <c r="AE242" s="612"/>
      <c r="AF242" s="612"/>
      <c r="AG242" s="612"/>
      <c r="AH242" s="612"/>
      <c r="AI242" s="612"/>
      <c r="AJ242" s="118"/>
      <c r="AK242" s="366"/>
      <c r="AL242" s="368"/>
      <c r="AM242" s="369" t="str">
        <f>IF(AND(AM$140&lt;&gt;"",AM$140&lt;&gt;"geen"),AM$141,"")</f>
        <v>elektriciteit</v>
      </c>
      <c r="AN242" s="369" t="str">
        <f>IF(AND(AN$140&lt;&gt;"",AN$140&lt;&gt;"geen"),AN$141,"")</f>
        <v/>
      </c>
      <c r="AO242" s="369" t="str">
        <f>IF(AND(AO$140&lt;&gt;"",AO$140&lt;&gt;"geen"),AO$141,"")</f>
        <v>elektriciteit</v>
      </c>
      <c r="AP242" s="612"/>
      <c r="AQ242" s="612"/>
      <c r="AR242" s="612"/>
      <c r="AS242" s="612"/>
      <c r="AT242" s="612"/>
      <c r="AU242" s="612"/>
      <c r="AV242" s="118"/>
      <c r="AW242" s="366"/>
      <c r="AX242" s="368"/>
      <c r="AY242" s="369" t="str">
        <f>IF(AND(AY$140&lt;&gt;"",AY$140&lt;&gt;"geen"),AY$141,"")</f>
        <v>elektriciteit</v>
      </c>
      <c r="AZ242" s="369" t="str">
        <f>IF(AND(AZ$140&lt;&gt;"",AZ$140&lt;&gt;"geen"),AZ$141,"")</f>
        <v/>
      </c>
      <c r="BA242" s="369" t="str">
        <f>IF(AND(BA$140&lt;&gt;"",BA$140&lt;&gt;"geen"),BA$141,"")</f>
        <v>elektriciteit</v>
      </c>
      <c r="BB242" s="612"/>
      <c r="BC242" s="612"/>
      <c r="BD242" s="612"/>
      <c r="BE242" s="612"/>
      <c r="BF242" s="612"/>
      <c r="BG242" s="612"/>
      <c r="BH242" s="222"/>
    </row>
    <row r="243" spans="1:60" s="2" customFormat="1">
      <c r="A243" s="1038"/>
      <c r="B243" s="1109" t="s">
        <v>1218</v>
      </c>
      <c r="C243" s="1106" t="s">
        <v>104</v>
      </c>
      <c r="D243" s="644"/>
      <c r="E243" s="347"/>
      <c r="F243" s="255" t="s">
        <v>245</v>
      </c>
      <c r="G243" s="255"/>
      <c r="H243" s="361" t="s">
        <v>106</v>
      </c>
      <c r="I243" s="161"/>
      <c r="J243" s="307">
        <f>M243+Y243+AK243+AW243</f>
        <v>0</v>
      </c>
      <c r="K243" s="362"/>
      <c r="L243" s="362"/>
      <c r="M243" s="307">
        <f>SUM(N243:X243)</f>
        <v>0</v>
      </c>
      <c r="N243" s="308"/>
      <c r="O243" s="363">
        <f>IF(O242="",0,(O$141=O242)*O$151)</f>
        <v>0</v>
      </c>
      <c r="P243" s="363">
        <f>IF(P242="",0,(P$141=P242)*P$151)</f>
        <v>0</v>
      </c>
      <c r="Q243" s="363">
        <f>IF(Q242="",0,(Q$141=Q242)*Q$151)</f>
        <v>0</v>
      </c>
      <c r="R243" s="309"/>
      <c r="S243" s="309"/>
      <c r="T243" s="309"/>
      <c r="U243" s="309"/>
      <c r="V243" s="309"/>
      <c r="W243" s="309"/>
      <c r="X243" s="113"/>
      <c r="Y243" s="307">
        <f>SUM(Z243:AJ243)</f>
        <v>0</v>
      </c>
      <c r="Z243" s="308"/>
      <c r="AA243" s="363">
        <f>IF(AA242="",0,(AA$141=AA242)*AA$151)</f>
        <v>0</v>
      </c>
      <c r="AB243" s="363">
        <f>IF(AB242="",0,(AB$141=AB242)*AB$151)</f>
        <v>0</v>
      </c>
      <c r="AC243" s="363">
        <f>IF(AC242="",0,(AC$141=AC242)*AC$151)</f>
        <v>0</v>
      </c>
      <c r="AD243" s="309"/>
      <c r="AE243" s="309"/>
      <c r="AF243" s="309"/>
      <c r="AG243" s="309"/>
      <c r="AH243" s="309"/>
      <c r="AI243" s="309"/>
      <c r="AJ243" s="113"/>
      <c r="AK243" s="307">
        <f>SUM(AL243:AV243)</f>
        <v>0</v>
      </c>
      <c r="AL243" s="308"/>
      <c r="AM243" s="363">
        <f>IF(AM242="",0,(AM$141=AM242)*AM$151)</f>
        <v>0</v>
      </c>
      <c r="AN243" s="363">
        <f>IF(AN242="",0,(AN$141=AN242)*AN$151)</f>
        <v>0</v>
      </c>
      <c r="AO243" s="363">
        <f>IF(AO242="",0,(AO$141=AO242)*AO$151)</f>
        <v>0</v>
      </c>
      <c r="AP243" s="309"/>
      <c r="AQ243" s="309"/>
      <c r="AR243" s="309"/>
      <c r="AS243" s="309"/>
      <c r="AT243" s="309"/>
      <c r="AU243" s="309"/>
      <c r="AV243" s="113"/>
      <c r="AW243" s="307">
        <f>SUM(AX243:BH243)</f>
        <v>0</v>
      </c>
      <c r="AX243" s="308"/>
      <c r="AY243" s="363">
        <f>IF(AY242="",0,(AY$141=AY242)*AY$151)</f>
        <v>0</v>
      </c>
      <c r="AZ243" s="363">
        <f>IF(AZ242="",0,(AZ$141=AZ242)*AZ$151)</f>
        <v>0</v>
      </c>
      <c r="BA243" s="363">
        <f>IF(BA242="",0,(BA$141=BA242)*BA$151)</f>
        <v>0</v>
      </c>
      <c r="BB243" s="309"/>
      <c r="BC243" s="309"/>
      <c r="BD243" s="309"/>
      <c r="BE243" s="309"/>
      <c r="BF243" s="309"/>
      <c r="BG243" s="309"/>
      <c r="BH243" s="222"/>
    </row>
    <row r="244" spans="1:60" s="2" customFormat="1">
      <c r="A244" s="1038"/>
      <c r="B244" s="1109" t="s">
        <v>1218</v>
      </c>
      <c r="C244" s="1106" t="s">
        <v>104</v>
      </c>
      <c r="D244" s="644"/>
      <c r="E244" s="254" t="s">
        <v>247</v>
      </c>
      <c r="F244" s="303" t="s">
        <v>190</v>
      </c>
      <c r="G244" s="303"/>
      <c r="H244" s="364" t="s">
        <v>65</v>
      </c>
      <c r="I244" s="365"/>
      <c r="J244" s="370"/>
      <c r="K244" s="367"/>
      <c r="L244" s="367"/>
      <c r="M244" s="366"/>
      <c r="N244" s="368"/>
      <c r="O244" s="369" t="str">
        <f t="shared" ref="O244:W244" si="206">elektriciteit</f>
        <v>elektriciteit</v>
      </c>
      <c r="P244" s="369" t="str">
        <f t="shared" si="206"/>
        <v>elektriciteit</v>
      </c>
      <c r="Q244" s="369" t="str">
        <f t="shared" si="206"/>
        <v>elektriciteit</v>
      </c>
      <c r="R244" s="369" t="str">
        <f t="shared" si="206"/>
        <v>elektriciteit</v>
      </c>
      <c r="S244" s="369" t="str">
        <f t="shared" si="206"/>
        <v>elektriciteit</v>
      </c>
      <c r="T244" s="369" t="str">
        <f>aardgas</f>
        <v>aardgas</v>
      </c>
      <c r="U244" s="369" t="str">
        <f t="shared" si="206"/>
        <v>elektriciteit</v>
      </c>
      <c r="V244" s="369" t="str">
        <f t="shared" si="206"/>
        <v>elektriciteit</v>
      </c>
      <c r="W244" s="369" t="str">
        <f t="shared" si="206"/>
        <v>elektriciteit</v>
      </c>
      <c r="X244" s="118"/>
      <c r="Y244" s="366"/>
      <c r="Z244" s="368"/>
      <c r="AA244" s="369" t="str">
        <f t="shared" ref="AA244:AI244" si="207">elektriciteit</f>
        <v>elektriciteit</v>
      </c>
      <c r="AB244" s="369" t="str">
        <f t="shared" si="207"/>
        <v>elektriciteit</v>
      </c>
      <c r="AC244" s="369" t="str">
        <f t="shared" si="207"/>
        <v>elektriciteit</v>
      </c>
      <c r="AD244" s="369" t="str">
        <f t="shared" si="207"/>
        <v>elektriciteit</v>
      </c>
      <c r="AE244" s="369" t="str">
        <f t="shared" si="207"/>
        <v>elektriciteit</v>
      </c>
      <c r="AF244" s="369" t="str">
        <f>aardgas</f>
        <v>aardgas</v>
      </c>
      <c r="AG244" s="369" t="str">
        <f t="shared" si="207"/>
        <v>elektriciteit</v>
      </c>
      <c r="AH244" s="369" t="str">
        <f t="shared" si="207"/>
        <v>elektriciteit</v>
      </c>
      <c r="AI244" s="369" t="str">
        <f t="shared" si="207"/>
        <v>elektriciteit</v>
      </c>
      <c r="AJ244" s="118"/>
      <c r="AK244" s="366"/>
      <c r="AL244" s="368"/>
      <c r="AM244" s="369" t="str">
        <f t="shared" ref="AM244:AU244" si="208">elektriciteit</f>
        <v>elektriciteit</v>
      </c>
      <c r="AN244" s="369" t="str">
        <f t="shared" si="208"/>
        <v>elektriciteit</v>
      </c>
      <c r="AO244" s="369" t="str">
        <f t="shared" si="208"/>
        <v>elektriciteit</v>
      </c>
      <c r="AP244" s="369" t="str">
        <f t="shared" si="208"/>
        <v>elektriciteit</v>
      </c>
      <c r="AQ244" s="369" t="str">
        <f t="shared" si="208"/>
        <v>elektriciteit</v>
      </c>
      <c r="AR244" s="369" t="str">
        <f>aardgas</f>
        <v>aardgas</v>
      </c>
      <c r="AS244" s="369" t="str">
        <f t="shared" si="208"/>
        <v>elektriciteit</v>
      </c>
      <c r="AT244" s="369" t="str">
        <f t="shared" si="208"/>
        <v>elektriciteit</v>
      </c>
      <c r="AU244" s="369" t="str">
        <f t="shared" si="208"/>
        <v>elektriciteit</v>
      </c>
      <c r="AV244" s="118"/>
      <c r="AW244" s="366"/>
      <c r="AX244" s="368"/>
      <c r="AY244" s="369" t="str">
        <f t="shared" ref="AY244:BG244" si="209">elektriciteit</f>
        <v>elektriciteit</v>
      </c>
      <c r="AZ244" s="369" t="str">
        <f t="shared" si="209"/>
        <v>elektriciteit</v>
      </c>
      <c r="BA244" s="369" t="str">
        <f t="shared" si="209"/>
        <v>elektriciteit</v>
      </c>
      <c r="BB244" s="369" t="str">
        <f t="shared" si="209"/>
        <v>elektriciteit</v>
      </c>
      <c r="BC244" s="369" t="str">
        <f t="shared" si="209"/>
        <v>elektriciteit</v>
      </c>
      <c r="BD244" s="369" t="str">
        <f>aardgas</f>
        <v>aardgas</v>
      </c>
      <c r="BE244" s="369" t="str">
        <f t="shared" si="209"/>
        <v>elektriciteit</v>
      </c>
      <c r="BF244" s="369" t="str">
        <f t="shared" si="209"/>
        <v>elektriciteit</v>
      </c>
      <c r="BG244" s="369" t="str">
        <f t="shared" si="209"/>
        <v>elektriciteit</v>
      </c>
      <c r="BH244" s="219"/>
    </row>
    <row r="245" spans="1:60" s="2" customFormat="1">
      <c r="A245" s="1038"/>
      <c r="B245" s="1109" t="s">
        <v>1218</v>
      </c>
      <c r="C245" s="1106" t="s">
        <v>104</v>
      </c>
      <c r="D245" s="644"/>
      <c r="E245" s="255" t="s">
        <v>248</v>
      </c>
      <c r="F245" s="255" t="s">
        <v>245</v>
      </c>
      <c r="G245" s="255"/>
      <c r="H245" s="361" t="s">
        <v>106</v>
      </c>
      <c r="I245" s="161"/>
      <c r="J245" s="307">
        <f>M245+Y245+AK245+AW245</f>
        <v>0</v>
      </c>
      <c r="K245" s="362"/>
      <c r="L245" s="362"/>
      <c r="M245" s="307">
        <f>SUM(N245:X245)</f>
        <v>0</v>
      </c>
      <c r="N245" s="308"/>
      <c r="O245" s="363">
        <f>IF(O244=elektriciteit,O$174-O$214,O$78*bibliotheek!$K$261)</f>
        <v>0</v>
      </c>
      <c r="P245" s="363">
        <f>IF(P244=elektriciteit,P$174-P$214,P$78*bibliotheek!$K$261)</f>
        <v>0</v>
      </c>
      <c r="Q245" s="363">
        <f>IF(Q244=elektriciteit,Q$174-Q$214,Q$78*bibliotheek!$K$261)</f>
        <v>0</v>
      </c>
      <c r="R245" s="363">
        <f>IF(R244=elektriciteit,R$174-R$214,R$78*bibliotheek!$K$261)</f>
        <v>0</v>
      </c>
      <c r="S245" s="363">
        <f>IF(S244=elektriciteit,S$174-S$214,S$78*bibliotheek!$K$261)</f>
        <v>0</v>
      </c>
      <c r="T245" s="363">
        <f>IF(T244=elektriciteit,T$174-T$214,T$78*bibliotheek!$K$261)</f>
        <v>0</v>
      </c>
      <c r="U245" s="363">
        <f>IF(U244=elektriciteit,U$174-U$214,U$78*bibliotheek!$K$261)</f>
        <v>0</v>
      </c>
      <c r="V245" s="363">
        <f>IF(V244=elektriciteit,V$174-V$214,V$78*bibliotheek!$K$261)</f>
        <v>0</v>
      </c>
      <c r="W245" s="363">
        <f>IF(W244=elektriciteit,W$174-W$214,W$78*bibliotheek!$K$261)</f>
        <v>0</v>
      </c>
      <c r="X245" s="113"/>
      <c r="Y245" s="307">
        <f>SUM(Z245:AJ245)</f>
        <v>0</v>
      </c>
      <c r="Z245" s="308"/>
      <c r="AA245" s="363">
        <f>IF(AA244=elektriciteit,AA$174-AA$214,AA$78*bibliotheek!$K$261)</f>
        <v>0</v>
      </c>
      <c r="AB245" s="363">
        <f>IF(AB244=elektriciteit,AB$174-AB$214,AB$78*bibliotheek!$K$261)</f>
        <v>0</v>
      </c>
      <c r="AC245" s="363">
        <f>IF(AC244=elektriciteit,AC$174-AC$214,AC$78*bibliotheek!$K$261)</f>
        <v>0</v>
      </c>
      <c r="AD245" s="363">
        <f>IF(AD244=elektriciteit,AD$174-AD$214,AD$78*bibliotheek!$K$261)</f>
        <v>0</v>
      </c>
      <c r="AE245" s="363">
        <f>IF(AE244=elektriciteit,AE$174-AE$214,AE$78*bibliotheek!$K$261)</f>
        <v>0</v>
      </c>
      <c r="AF245" s="363">
        <f>IF(AF244=elektriciteit,AF$174-AF$214,AF$78*bibliotheek!$K$261)</f>
        <v>0</v>
      </c>
      <c r="AG245" s="363">
        <f>IF(AG244=elektriciteit,AG$174-AG$214,AG$78*bibliotheek!$K$261)</f>
        <v>0</v>
      </c>
      <c r="AH245" s="363">
        <f>IF(AH244=elektriciteit,AH$174-AH$214,AH$78*bibliotheek!$K$261)</f>
        <v>0</v>
      </c>
      <c r="AI245" s="363">
        <f>IF(AI244=elektriciteit,AI$174-AI$214,AI$78*bibliotheek!$K$261)</f>
        <v>0</v>
      </c>
      <c r="AJ245" s="113"/>
      <c r="AK245" s="307">
        <f>SUM(AL245:AV245)</f>
        <v>0</v>
      </c>
      <c r="AL245" s="308"/>
      <c r="AM245" s="363">
        <f>IF(AM244=elektriciteit,AM$174-AM$214,AM$78*bibliotheek!$K$261)</f>
        <v>0</v>
      </c>
      <c r="AN245" s="363">
        <f>IF(AN244=elektriciteit,AN$174-AN$214,AN$78*bibliotheek!$K$261)</f>
        <v>0</v>
      </c>
      <c r="AO245" s="363">
        <f>IF(AO244=elektriciteit,AO$174-AO$214,AO$78*bibliotheek!$K$261)</f>
        <v>0</v>
      </c>
      <c r="AP245" s="363">
        <f>IF(AP244=elektriciteit,AP$174-AP$214,AP$78*bibliotheek!$K$261)</f>
        <v>0</v>
      </c>
      <c r="AQ245" s="363">
        <f>IF(AQ244=elektriciteit,AQ$174-AQ$214,AQ$78*bibliotheek!$K$261)</f>
        <v>0</v>
      </c>
      <c r="AR245" s="363">
        <f>IF(AR244=elektriciteit,AR$174-AR$214,AR$78*bibliotheek!$K$261)</f>
        <v>0</v>
      </c>
      <c r="AS245" s="363">
        <f>IF(AS244=elektriciteit,AS$174-AS$214,AS$78*bibliotheek!$K$261)</f>
        <v>0</v>
      </c>
      <c r="AT245" s="363">
        <f>IF(AT244=elektriciteit,AT$174-AT$214,AT$78*bibliotheek!$K$261)</f>
        <v>0</v>
      </c>
      <c r="AU245" s="363">
        <f>IF(AU244=elektriciteit,AU$174-AU$214,AU$78*bibliotheek!$K$261)</f>
        <v>0</v>
      </c>
      <c r="AV245" s="113"/>
      <c r="AW245" s="307">
        <f>SUM(AX245:BH245)</f>
        <v>0</v>
      </c>
      <c r="AX245" s="308"/>
      <c r="AY245" s="363">
        <f>IF(AY244=elektriciteit,AY$174-AY$214,AY$78*bibliotheek!$K$261)</f>
        <v>0</v>
      </c>
      <c r="AZ245" s="363">
        <f>IF(AZ244=elektriciteit,AZ$174-AZ$214,AZ$78*bibliotheek!$K$261)</f>
        <v>0</v>
      </c>
      <c r="BA245" s="363">
        <f>IF(BA244=elektriciteit,BA$174-BA$214,BA$78*bibliotheek!$K$261)</f>
        <v>0</v>
      </c>
      <c r="BB245" s="363">
        <f>IF(BB244=elektriciteit,BB$174-BB$214,BB$78*bibliotheek!$K$261)</f>
        <v>0</v>
      </c>
      <c r="BC245" s="363">
        <f>IF(BC244=elektriciteit,BC$174-BC$214,BC$78*bibliotheek!$K$261)</f>
        <v>0</v>
      </c>
      <c r="BD245" s="363">
        <f>IF(BD244=elektriciteit,BD$174-BD$214,BD$78*bibliotheek!$K$261)</f>
        <v>0</v>
      </c>
      <c r="BE245" s="363">
        <f>IF(BE244=elektriciteit,BE$174-BE$214,BE$78*bibliotheek!$K$261)</f>
        <v>0</v>
      </c>
      <c r="BF245" s="363">
        <f>IF(BF244=elektriciteit,BF$174-BF$214,BF$78*bibliotheek!$K$261)</f>
        <v>0</v>
      </c>
      <c r="BG245" s="363">
        <f>IF(BG244=elektriciteit,BG$174-BG$214,BG$78*bibliotheek!$K$261)</f>
        <v>0</v>
      </c>
      <c r="BH245" s="222"/>
    </row>
    <row r="246" spans="1:60" s="2" customFormat="1">
      <c r="A246" s="1038"/>
      <c r="B246" s="1110" t="s">
        <v>1218</v>
      </c>
      <c r="C246" s="1106" t="s">
        <v>104</v>
      </c>
      <c r="D246" s="644"/>
      <c r="E246" s="180" t="s">
        <v>232</v>
      </c>
      <c r="F246" s="180" t="s">
        <v>245</v>
      </c>
      <c r="G246" s="180"/>
      <c r="H246" s="201" t="s">
        <v>106</v>
      </c>
      <c r="I246" s="114"/>
      <c r="J246" s="202">
        <f>M246+Y246+AK246+AW246</f>
        <v>0</v>
      </c>
      <c r="K246" s="362"/>
      <c r="L246" s="362"/>
      <c r="M246" s="202">
        <f>SUM(N246:X246)</f>
        <v>0</v>
      </c>
      <c r="N246" s="89"/>
      <c r="O246" s="168">
        <f>O241+O243+O245</f>
        <v>0</v>
      </c>
      <c r="P246" s="168">
        <f t="shared" ref="P246:W246" si="210">P245+IF(P241="",0,P241)+IF(P243="",0,P243)</f>
        <v>0</v>
      </c>
      <c r="Q246" s="168">
        <f t="shared" si="210"/>
        <v>0</v>
      </c>
      <c r="R246" s="168">
        <f t="shared" si="210"/>
        <v>0</v>
      </c>
      <c r="S246" s="168">
        <f t="shared" si="210"/>
        <v>0</v>
      </c>
      <c r="T246" s="168">
        <f t="shared" si="210"/>
        <v>0</v>
      </c>
      <c r="U246" s="168">
        <f t="shared" si="210"/>
        <v>0</v>
      </c>
      <c r="V246" s="168">
        <f t="shared" si="210"/>
        <v>0</v>
      </c>
      <c r="W246" s="168">
        <f t="shared" si="210"/>
        <v>0</v>
      </c>
      <c r="X246" s="113"/>
      <c r="Y246" s="202">
        <f>SUM(Z246:AJ246)</f>
        <v>0</v>
      </c>
      <c r="Z246" s="89"/>
      <c r="AA246" s="168">
        <f>AA241+AA243+AA245</f>
        <v>0</v>
      </c>
      <c r="AB246" s="168">
        <f t="shared" ref="AB246:AI246" si="211">AB245+IF(AB241="",0,AB241)+IF(AB243="",0,AB243)</f>
        <v>0</v>
      </c>
      <c r="AC246" s="168">
        <f t="shared" si="211"/>
        <v>0</v>
      </c>
      <c r="AD246" s="168">
        <f t="shared" si="211"/>
        <v>0</v>
      </c>
      <c r="AE246" s="168">
        <f t="shared" si="211"/>
        <v>0</v>
      </c>
      <c r="AF246" s="168">
        <f t="shared" si="211"/>
        <v>0</v>
      </c>
      <c r="AG246" s="168">
        <f t="shared" si="211"/>
        <v>0</v>
      </c>
      <c r="AH246" s="168">
        <f t="shared" si="211"/>
        <v>0</v>
      </c>
      <c r="AI246" s="168">
        <f t="shared" si="211"/>
        <v>0</v>
      </c>
      <c r="AJ246" s="113"/>
      <c r="AK246" s="202">
        <f>SUM(AL246:AV246)</f>
        <v>0</v>
      </c>
      <c r="AL246" s="89"/>
      <c r="AM246" s="168">
        <f>AM241+AM243+AM245</f>
        <v>0</v>
      </c>
      <c r="AN246" s="168">
        <f t="shared" ref="AN246:AU246" si="212">AN245+IF(AN241="",0,AN241)+IF(AN243="",0,AN243)</f>
        <v>0</v>
      </c>
      <c r="AO246" s="168">
        <f t="shared" si="212"/>
        <v>0</v>
      </c>
      <c r="AP246" s="168">
        <f t="shared" si="212"/>
        <v>0</v>
      </c>
      <c r="AQ246" s="168">
        <f t="shared" si="212"/>
        <v>0</v>
      </c>
      <c r="AR246" s="168">
        <f t="shared" si="212"/>
        <v>0</v>
      </c>
      <c r="AS246" s="168">
        <f t="shared" si="212"/>
        <v>0</v>
      </c>
      <c r="AT246" s="168">
        <f t="shared" si="212"/>
        <v>0</v>
      </c>
      <c r="AU246" s="168">
        <f t="shared" si="212"/>
        <v>0</v>
      </c>
      <c r="AV246" s="113"/>
      <c r="AW246" s="202">
        <f>SUM(AX246:BH246)</f>
        <v>0</v>
      </c>
      <c r="AX246" s="89"/>
      <c r="AY246" s="168">
        <f>AY241+AY243+AY245</f>
        <v>0</v>
      </c>
      <c r="AZ246" s="168">
        <f t="shared" ref="AZ246:BG246" si="213">AZ245+IF(AZ241="",0,AZ241)+IF(AZ243="",0,AZ243)</f>
        <v>0</v>
      </c>
      <c r="BA246" s="168">
        <f t="shared" si="213"/>
        <v>0</v>
      </c>
      <c r="BB246" s="168">
        <f t="shared" si="213"/>
        <v>0</v>
      </c>
      <c r="BC246" s="168">
        <f t="shared" si="213"/>
        <v>0</v>
      </c>
      <c r="BD246" s="168">
        <f t="shared" si="213"/>
        <v>0</v>
      </c>
      <c r="BE246" s="168">
        <f t="shared" si="213"/>
        <v>0</v>
      </c>
      <c r="BF246" s="168">
        <f t="shared" si="213"/>
        <v>0</v>
      </c>
      <c r="BG246" s="168">
        <f t="shared" si="213"/>
        <v>0</v>
      </c>
      <c r="BH246" s="222"/>
    </row>
    <row r="247" spans="1:60">
      <c r="A247" s="1040"/>
      <c r="B247" s="1109" t="s">
        <v>1218</v>
      </c>
      <c r="C247" s="1106" t="s">
        <v>96</v>
      </c>
      <c r="D247" s="638"/>
      <c r="E247" s="79"/>
      <c r="F247" s="79"/>
      <c r="G247" s="79"/>
      <c r="H247" s="82"/>
      <c r="I247" s="122"/>
      <c r="J247" s="113"/>
      <c r="K247" s="79"/>
      <c r="L247" s="79"/>
      <c r="M247" s="113"/>
      <c r="N247" s="79"/>
      <c r="O247" s="85"/>
      <c r="P247" s="85"/>
      <c r="Q247" s="82"/>
      <c r="R247" s="82"/>
      <c r="S247" s="82"/>
      <c r="T247" s="82"/>
      <c r="U247" s="82"/>
      <c r="V247" s="82"/>
      <c r="W247" s="82"/>
      <c r="X247" s="82"/>
      <c r="Y247" s="113"/>
      <c r="Z247" s="79"/>
      <c r="AA247" s="85"/>
      <c r="AB247" s="85"/>
      <c r="AC247" s="82"/>
      <c r="AD247" s="82"/>
      <c r="AE247" s="82"/>
      <c r="AF247" s="82"/>
      <c r="AG247" s="82"/>
      <c r="AH247" s="82"/>
      <c r="AI247" s="82"/>
      <c r="AJ247" s="82"/>
      <c r="AK247" s="113"/>
      <c r="AL247" s="79"/>
      <c r="AM247" s="85"/>
      <c r="AN247" s="85"/>
      <c r="AO247" s="82"/>
      <c r="AP247" s="82"/>
      <c r="AQ247" s="82"/>
      <c r="AR247" s="82"/>
      <c r="AS247" s="82"/>
      <c r="AT247" s="82"/>
      <c r="AU247" s="82"/>
      <c r="AV247" s="82"/>
      <c r="AW247" s="113"/>
      <c r="AX247" s="79"/>
      <c r="AY247" s="82"/>
      <c r="AZ247" s="82"/>
      <c r="BA247" s="82"/>
      <c r="BB247" s="82"/>
      <c r="BC247" s="82"/>
      <c r="BD247" s="82"/>
      <c r="BE247" s="82"/>
      <c r="BF247" s="82"/>
      <c r="BG247" s="82"/>
      <c r="BH247" s="1"/>
    </row>
    <row r="248" spans="1:60">
      <c r="A248" s="1040"/>
      <c r="B248" s="1109" t="s">
        <v>249</v>
      </c>
      <c r="C248" s="1106" t="s">
        <v>96</v>
      </c>
      <c r="D248" s="638"/>
      <c r="E248" s="79"/>
      <c r="F248" s="79"/>
      <c r="G248" s="79"/>
      <c r="H248" s="85"/>
      <c r="I248" s="79"/>
      <c r="J248" s="82"/>
      <c r="K248" s="79"/>
      <c r="L248" s="79"/>
      <c r="M248" s="82"/>
      <c r="N248" s="79"/>
      <c r="O248" s="82"/>
      <c r="P248" s="82"/>
      <c r="Q248" s="82"/>
      <c r="R248" s="82"/>
      <c r="S248" s="82"/>
      <c r="T248" s="82"/>
      <c r="U248" s="82"/>
      <c r="V248" s="82"/>
      <c r="W248" s="82"/>
      <c r="X248" s="82"/>
      <c r="Y248" s="82"/>
      <c r="Z248" s="79"/>
      <c r="AA248" s="82"/>
      <c r="AB248" s="82"/>
      <c r="AC248" s="82"/>
      <c r="AD248" s="82"/>
      <c r="AE248" s="82"/>
      <c r="AF248" s="82"/>
      <c r="AG248" s="82"/>
      <c r="AH248" s="82"/>
      <c r="AI248" s="82"/>
      <c r="AJ248" s="82"/>
      <c r="AK248" s="82"/>
      <c r="AL248" s="79"/>
      <c r="AM248" s="82"/>
      <c r="AN248" s="82"/>
      <c r="AO248" s="82"/>
      <c r="AP248" s="82"/>
      <c r="AQ248" s="82"/>
      <c r="AR248" s="82"/>
      <c r="AS248" s="82"/>
      <c r="AT248" s="82"/>
      <c r="AU248" s="82"/>
      <c r="AV248" s="82"/>
      <c r="AW248" s="82"/>
      <c r="AX248" s="79"/>
      <c r="AY248" s="82"/>
      <c r="AZ248" s="82"/>
      <c r="BA248" s="82"/>
      <c r="BB248" s="82"/>
      <c r="BC248" s="82"/>
      <c r="BD248" s="82"/>
      <c r="BE248" s="82"/>
      <c r="BF248" s="82"/>
      <c r="BG248" s="82"/>
      <c r="BH248" s="1"/>
    </row>
    <row r="249" spans="1:60" ht="21">
      <c r="A249" s="1040"/>
      <c r="B249" s="1109" t="s">
        <v>249</v>
      </c>
      <c r="C249" s="1106" t="s">
        <v>96</v>
      </c>
      <c r="D249" s="643"/>
      <c r="E249" s="1181" t="s">
        <v>1357</v>
      </c>
      <c r="F249" s="1181"/>
      <c r="G249" s="1181"/>
      <c r="H249" s="1181"/>
      <c r="I249" s="77"/>
      <c r="J249" s="200" t="str">
        <f>J$10</f>
        <v>alle locaties</v>
      </c>
      <c r="K249" s="126"/>
      <c r="L249" s="126"/>
      <c r="M249" s="200" t="str">
        <f>M$10</f>
        <v>locatie 1</v>
      </c>
      <c r="N249" s="182"/>
      <c r="O249" s="966" t="str">
        <f>$E249&amp;" per energiepost"</f>
        <v>hernieuwbaar primair fossiel energiegebruik per energiepost per energiepost</v>
      </c>
      <c r="P249" s="941"/>
      <c r="Q249" s="941"/>
      <c r="R249" s="941"/>
      <c r="S249" s="941"/>
      <c r="T249" s="941"/>
      <c r="U249" s="941"/>
      <c r="V249" s="941"/>
      <c r="W249" s="956"/>
      <c r="X249" s="174"/>
      <c r="Y249" s="200" t="str">
        <f>Y$10</f>
        <v>locatie 2</v>
      </c>
      <c r="Z249" s="182"/>
      <c r="AA249" s="966" t="str">
        <f>$E249&amp;" per energiepost"</f>
        <v>hernieuwbaar primair fossiel energiegebruik per energiepost per energiepost</v>
      </c>
      <c r="AB249" s="941"/>
      <c r="AC249" s="941"/>
      <c r="AD249" s="941"/>
      <c r="AE249" s="941"/>
      <c r="AF249" s="941"/>
      <c r="AG249" s="941"/>
      <c r="AH249" s="941"/>
      <c r="AI249" s="956"/>
      <c r="AJ249" s="174"/>
      <c r="AK249" s="200" t="str">
        <f>AK$10</f>
        <v>locatie 3</v>
      </c>
      <c r="AL249" s="182"/>
      <c r="AM249" s="966" t="str">
        <f>$E249&amp;" per energiepost"</f>
        <v>hernieuwbaar primair fossiel energiegebruik per energiepost per energiepost</v>
      </c>
      <c r="AN249" s="941"/>
      <c r="AO249" s="941"/>
      <c r="AP249" s="941"/>
      <c r="AQ249" s="941"/>
      <c r="AR249" s="941"/>
      <c r="AS249" s="941"/>
      <c r="AT249" s="941"/>
      <c r="AU249" s="956"/>
      <c r="AV249" s="174"/>
      <c r="AW249" s="200" t="str">
        <f>AW$10</f>
        <v>locatie 4</v>
      </c>
      <c r="AX249" s="182"/>
      <c r="AY249" s="966" t="str">
        <f>$E249&amp;" per energiepost"</f>
        <v>hernieuwbaar primair fossiel energiegebruik per energiepost per energiepost</v>
      </c>
      <c r="AZ249" s="941"/>
      <c r="BA249" s="941"/>
      <c r="BB249" s="941"/>
      <c r="BC249" s="941"/>
      <c r="BD249" s="941"/>
      <c r="BE249" s="941"/>
      <c r="BF249" s="941"/>
      <c r="BG249" s="956"/>
      <c r="BH249" s="1"/>
    </row>
    <row r="250" spans="1:60">
      <c r="A250" s="1040"/>
      <c r="B250" s="1109" t="s">
        <v>249</v>
      </c>
      <c r="C250" s="1106" t="s">
        <v>96</v>
      </c>
      <c r="D250" s="638"/>
      <c r="E250" s="940" t="s">
        <v>1316</v>
      </c>
      <c r="F250" s="940"/>
      <c r="G250" s="940"/>
      <c r="H250" s="940"/>
      <c r="I250" s="77"/>
      <c r="J250" s="939"/>
      <c r="K250" s="126"/>
      <c r="L250" s="126"/>
      <c r="M250" s="938"/>
      <c r="N250" s="191"/>
      <c r="O250" s="177" t="str">
        <f>O$10</f>
        <v>verwarming</v>
      </c>
      <c r="P250" s="177" t="str">
        <f>P$10</f>
        <v>koeling</v>
      </c>
      <c r="Q250" s="177" t="str">
        <f>Q$10</f>
        <v>tapwater</v>
      </c>
      <c r="R250" s="177"/>
      <c r="S250" s="177"/>
      <c r="T250" s="177"/>
      <c r="U250" s="177"/>
      <c r="V250" s="177"/>
      <c r="W250" s="177" t="str">
        <f>W$10</f>
        <v>zonnepanelen</v>
      </c>
      <c r="X250" s="191"/>
      <c r="Y250" s="938"/>
      <c r="Z250" s="191"/>
      <c r="AA250" s="177" t="str">
        <f>AA$10</f>
        <v>verwarming</v>
      </c>
      <c r="AB250" s="177" t="str">
        <f>AB$10</f>
        <v>koeling</v>
      </c>
      <c r="AC250" s="177" t="str">
        <f>AC$10</f>
        <v>tapwater</v>
      </c>
      <c r="AD250" s="177"/>
      <c r="AE250" s="177"/>
      <c r="AF250" s="177"/>
      <c r="AG250" s="177"/>
      <c r="AH250" s="177"/>
      <c r="AI250" s="177" t="str">
        <f>AI$10</f>
        <v>zonnepanelen</v>
      </c>
      <c r="AJ250" s="191"/>
      <c r="AK250" s="938"/>
      <c r="AL250" s="191"/>
      <c r="AM250" s="177" t="str">
        <f>AM$10</f>
        <v>verwarming</v>
      </c>
      <c r="AN250" s="177" t="str">
        <f>AN$10</f>
        <v>koeling</v>
      </c>
      <c r="AO250" s="177" t="str">
        <f>AO$10</f>
        <v>tapwater</v>
      </c>
      <c r="AP250" s="177"/>
      <c r="AQ250" s="177"/>
      <c r="AR250" s="177"/>
      <c r="AS250" s="177"/>
      <c r="AT250" s="177"/>
      <c r="AU250" s="177" t="str">
        <f>AU$10</f>
        <v>zonnepanelen</v>
      </c>
      <c r="AV250" s="191"/>
      <c r="AW250" s="938"/>
      <c r="AX250" s="191"/>
      <c r="AY250" s="177" t="str">
        <f>AY$10</f>
        <v>verwarming</v>
      </c>
      <c r="AZ250" s="177" t="str">
        <f>AZ$10</f>
        <v>koeling</v>
      </c>
      <c r="BA250" s="177" t="str">
        <f>BA$10</f>
        <v>tapwater</v>
      </c>
      <c r="BB250" s="177"/>
      <c r="BC250" s="177"/>
      <c r="BD250" s="177"/>
      <c r="BE250" s="177"/>
      <c r="BF250" s="177"/>
      <c r="BG250" s="177" t="str">
        <f>BG$10</f>
        <v>zonnepanelen</v>
      </c>
      <c r="BH250" s="36"/>
    </row>
    <row r="251" spans="1:60">
      <c r="A251" s="1040"/>
      <c r="B251" s="1109" t="s">
        <v>249</v>
      </c>
      <c r="C251" s="1107" t="s">
        <v>104</v>
      </c>
      <c r="D251" s="641" t="s">
        <v>45</v>
      </c>
      <c r="E251" s="180" t="s">
        <v>250</v>
      </c>
      <c r="F251" s="180"/>
      <c r="G251" s="180"/>
      <c r="H251" s="201" t="s">
        <v>160</v>
      </c>
      <c r="I251" s="114"/>
      <c r="J251" s="202">
        <f t="shared" ref="J251:J257" si="214">M251+Y251+AK251+AW251</f>
        <v>0</v>
      </c>
      <c r="K251" s="195"/>
      <c r="L251" s="195"/>
      <c r="M251" s="202">
        <f t="shared" ref="M251:M257" si="215">SUM(N251:X251)</f>
        <v>0</v>
      </c>
      <c r="N251" s="114"/>
      <c r="O251" s="168">
        <f>IF(OR(O$111=0,O$111=""),0,HLOOKUP(IF(O$83="",referentie_verwarming,O$83),toestellen_RV,ROWS(bibliotheek!$E$83:$E$87),FALSE)*O$110*(1-1/O$111)*f_P_renheat)</f>
        <v>0</v>
      </c>
      <c r="P251" s="168">
        <f>IF(OR(P$111=0,P$111=""),0,HLOOKUP(IF(P$83="",referentie_koeling,P$83),toestellen_KOEL,ROWS(bibliotheek!$E$190:$E$193),FALSE)*P$110*(1-1/P$111)*f_P_rencold)</f>
        <v>0</v>
      </c>
      <c r="Q251" s="168">
        <f>IF(OR(Q$111=0,Q$111=""),0,HLOOKUP(IF(Q$83="",referentie_warmtapwater,Q$83),toestellen_TAP,ROWS(bibliotheek!$E$139:$E$143),FALSE)*Q$110*(1-1/Q$111)*f_P_renheat)</f>
        <v>0</v>
      </c>
      <c r="R251" s="273"/>
      <c r="S251" s="273"/>
      <c r="T251" s="273"/>
      <c r="U251" s="273"/>
      <c r="V251" s="273"/>
      <c r="W251" s="273"/>
      <c r="X251" s="113"/>
      <c r="Y251" s="202">
        <f t="shared" ref="Y251:Y257" si="216">SUM(Z251:AJ251)</f>
        <v>0</v>
      </c>
      <c r="Z251" s="114"/>
      <c r="AA251" s="168">
        <f>IF(OR(AA$111=0,AA$111=""),0,HLOOKUP(IF(AA$83="",referentie_verwarming,AA$83),toestellen_RV,ROWS(bibliotheek!$E$83:$E$87),FALSE)*AA$110*(1-1/AA$111)*f_P_renheat)</f>
        <v>0</v>
      </c>
      <c r="AB251" s="168">
        <f>IF(OR(AB$111=0,AB$111=""),0,HLOOKUP(IF(AB$83="",referentie_koeling,AB$83),toestellen_KOEL,ROWS(bibliotheek!$E$190:$E$193),FALSE)*AB$110*(1-1/AB$111)*f_P_rencold)</f>
        <v>0</v>
      </c>
      <c r="AC251" s="168">
        <f>IF(OR(AC$111=0,AC$111=""),0,HLOOKUP(IF(AC$83="",referentie_warmtapwater,AC$83),toestellen_TAP,ROWS(bibliotheek!$E$139:$E$143),FALSE)*AC$110*(1-1/AC$111)*f_P_renheat)</f>
        <v>0</v>
      </c>
      <c r="AD251" s="273"/>
      <c r="AE251" s="273"/>
      <c r="AF251" s="273"/>
      <c r="AG251" s="273"/>
      <c r="AH251" s="273"/>
      <c r="AI251" s="273"/>
      <c r="AJ251" s="113"/>
      <c r="AK251" s="202">
        <f t="shared" ref="AK251:AK257" si="217">SUM(AL251:AV251)</f>
        <v>0</v>
      </c>
      <c r="AL251" s="191"/>
      <c r="AM251" s="168">
        <f>IF(OR(AM$111=0,AM$111=""),0,HLOOKUP(IF(AM$83="",referentie_verwarming,AM$83),toestellen_RV,ROWS(bibliotheek!$E$83:$E$87),FALSE)*AM$110*(1-1/AM$111)*f_P_renheat)</f>
        <v>0</v>
      </c>
      <c r="AN251" s="168">
        <f>IF(OR(AN$111=0,AN$111=""),0,HLOOKUP(IF(AN$83="",referentie_koeling,AN$83),toestellen_KOEL,ROWS(bibliotheek!$E$190:$E$193),FALSE)*AN$110*(1-1/AN$111)*f_P_rencold)</f>
        <v>0</v>
      </c>
      <c r="AO251" s="168">
        <f>IF(OR(AO$111=0,AO$111=""),0,HLOOKUP(IF(AO$83="",referentie_warmtapwater,AO$83),toestellen_TAP,ROWS(bibliotheek!$E$139:$E$143),FALSE)*AO$110*(1-1/AO$111)*f_P_renheat)</f>
        <v>0</v>
      </c>
      <c r="AP251" s="273"/>
      <c r="AQ251" s="273"/>
      <c r="AR251" s="273"/>
      <c r="AS251" s="273"/>
      <c r="AT251" s="273"/>
      <c r="AU251" s="273"/>
      <c r="AV251" s="191"/>
      <c r="AW251" s="202">
        <f t="shared" ref="AW251:AW257" si="218">SUM(AX251:BH251)</f>
        <v>0</v>
      </c>
      <c r="AX251" s="191"/>
      <c r="AY251" s="168">
        <f>IF(OR(AY$111=0,AY$111=""),0,HLOOKUP(IF(AY$83="",referentie_verwarming,AY$83),toestellen_RV,ROWS(bibliotheek!$E$83:$E$87),FALSE)*AY$110*(1-1/AY$111)*f_P_renheat)</f>
        <v>0</v>
      </c>
      <c r="AZ251" s="168">
        <f>IF(OR(AZ$111=0,AZ$111=""),0,HLOOKUP(IF(AZ$83="",referentie_koeling,AZ$83),toestellen_KOEL,ROWS(bibliotheek!$E$190:$E$193),FALSE)*AZ$110*(1-1/AZ$111)*f_P_rencold)</f>
        <v>0</v>
      </c>
      <c r="BA251" s="168">
        <f>IF(OR(BA$111=0,BA$111=""),0,HLOOKUP(IF(BA$83="",referentie_warmtapwater,BA$83),toestellen_TAP,ROWS(bibliotheek!$E$139:$E$143),FALSE)*BA$110*(1-1/BA$111)*f_P_renheat)</f>
        <v>0</v>
      </c>
      <c r="BB251" s="273"/>
      <c r="BC251" s="273"/>
      <c r="BD251" s="273"/>
      <c r="BE251" s="273"/>
      <c r="BF251" s="273"/>
      <c r="BG251" s="273"/>
      <c r="BH251" s="210"/>
    </row>
    <row r="252" spans="1:60">
      <c r="A252" s="1040"/>
      <c r="B252" s="1109" t="s">
        <v>249</v>
      </c>
      <c r="C252" s="1107" t="s">
        <v>104</v>
      </c>
      <c r="D252" s="641" t="s">
        <v>45</v>
      </c>
      <c r="E252" s="180" t="s">
        <v>251</v>
      </c>
      <c r="F252" s="180"/>
      <c r="G252" s="180"/>
      <c r="H252" s="201" t="s">
        <v>160</v>
      </c>
      <c r="I252" s="114"/>
      <c r="J252" s="202">
        <f t="shared" si="214"/>
        <v>0</v>
      </c>
      <c r="K252" s="195"/>
      <c r="L252" s="195"/>
      <c r="M252" s="202">
        <f t="shared" si="215"/>
        <v>0</v>
      </c>
      <c r="N252" s="114"/>
      <c r="O252" s="273"/>
      <c r="P252" s="168">
        <f>IF(OR(P$110=0,P$111&lt;=8),0,P$110*f_P_rencold*INDEX(bibliotheek!$E$195:$AC$195,MATCH(P$83,toestellen_KOEL_kopregel,0)))</f>
        <v>0</v>
      </c>
      <c r="Q252" s="273"/>
      <c r="R252" s="273"/>
      <c r="S252" s="273"/>
      <c r="T252" s="273"/>
      <c r="U252" s="273"/>
      <c r="V252" s="273"/>
      <c r="W252" s="273"/>
      <c r="X252" s="113"/>
      <c r="Y252" s="202">
        <f t="shared" si="216"/>
        <v>0</v>
      </c>
      <c r="Z252" s="114"/>
      <c r="AA252" s="273"/>
      <c r="AB252" s="168">
        <f>IF(OR(AB$110=0,AB$111&lt;=8),0,AB$110*f_P_rencold*INDEX(bibliotheek!$E$195:$AC$195,MATCH(AB$83,toestellen_KOEL_kopregel,0)))</f>
        <v>0</v>
      </c>
      <c r="AC252" s="273"/>
      <c r="AD252" s="273"/>
      <c r="AE252" s="273"/>
      <c r="AF252" s="273"/>
      <c r="AG252" s="273"/>
      <c r="AH252" s="273"/>
      <c r="AI252" s="273"/>
      <c r="AJ252" s="113"/>
      <c r="AK252" s="202">
        <f t="shared" si="217"/>
        <v>0</v>
      </c>
      <c r="AL252" s="191"/>
      <c r="AM252" s="273"/>
      <c r="AN252" s="168">
        <f>IF(OR(AN$110=0,AN$111&lt;=8),0,AN$110*f_P_rencold*INDEX(bibliotheek!$E$195:$AC$195,MATCH(AN$83,toestellen_KOEL_kopregel,0)))</f>
        <v>0</v>
      </c>
      <c r="AO252" s="273"/>
      <c r="AP252" s="273"/>
      <c r="AQ252" s="273"/>
      <c r="AR252" s="273"/>
      <c r="AS252" s="273"/>
      <c r="AT252" s="273"/>
      <c r="AU252" s="273"/>
      <c r="AV252" s="191"/>
      <c r="AW252" s="202">
        <f t="shared" si="218"/>
        <v>0</v>
      </c>
      <c r="AX252" s="191"/>
      <c r="AY252" s="273"/>
      <c r="AZ252" s="168">
        <f>IF(OR(AZ$110=0,AZ$111&lt;=8),0,AZ$110*f_P_rencold*INDEX(bibliotheek!$E$195:$AC$195,MATCH(AZ$83,toestellen_KOEL_kopregel,0)))</f>
        <v>0</v>
      </c>
      <c r="BA252" s="273"/>
      <c r="BB252" s="273"/>
      <c r="BC252" s="273"/>
      <c r="BD252" s="273"/>
      <c r="BE252" s="273"/>
      <c r="BF252" s="273"/>
      <c r="BG252" s="273"/>
      <c r="BH252" s="210"/>
    </row>
    <row r="253" spans="1:60">
      <c r="A253" s="1040"/>
      <c r="B253" s="1109" t="s">
        <v>249</v>
      </c>
      <c r="C253" s="1107" t="s">
        <v>104</v>
      </c>
      <c r="D253" s="641" t="s">
        <v>45</v>
      </c>
      <c r="E253" s="180" t="s">
        <v>252</v>
      </c>
      <c r="F253" s="180"/>
      <c r="G253" s="180"/>
      <c r="H253" s="201" t="s">
        <v>160</v>
      </c>
      <c r="I253" s="114"/>
      <c r="J253" s="202">
        <f t="shared" si="214"/>
        <v>0</v>
      </c>
      <c r="K253" s="195"/>
      <c r="L253" s="195"/>
      <c r="M253" s="202">
        <f t="shared" si="215"/>
        <v>0</v>
      </c>
      <c r="N253" s="114"/>
      <c r="O253" s="168">
        <f>IF(OR(O$110=0,LEFT(O$106,2)&lt;&gt;"bm"),0,O$110*INDEX(energiedragers_fPren,MATCH(O$105,energiedragers_namen,0)))+
IF(OR(O$144=0,LEFT(O$142,2)&lt;&gt;"bm"),0,O$144*INDEX(energiedragers_fPren,MATCH(O$141,energiedragers_namen,0)))</f>
        <v>0</v>
      </c>
      <c r="P253" s="273"/>
      <c r="Q253" s="168">
        <f>IF(OR(Q$110=0,LEFT(Q$106,2)&lt;&gt;"bm"),0,Q$110*INDEX(energiedragers_fPren,MATCH(Q$105,energiedragers_namen,0)))+
IF(OR(Q$144=0,LEFT(Q$142,2)&lt;&gt;"bm"),0,Q$144*INDEX(energiedragers_fPren,MATCH(Q$141,energiedragers_namen,0)))</f>
        <v>0</v>
      </c>
      <c r="R253" s="273"/>
      <c r="S253" s="273"/>
      <c r="T253" s="273"/>
      <c r="U253" s="273"/>
      <c r="V253" s="273"/>
      <c r="W253" s="273"/>
      <c r="X253" s="113"/>
      <c r="Y253" s="202">
        <f t="shared" si="216"/>
        <v>0</v>
      </c>
      <c r="Z253" s="114"/>
      <c r="AA253" s="168">
        <f>IF(OR(AA$110=0,LEFT(AA$106,2)&lt;&gt;"bm"),0,AA$110*INDEX(energiedragers_fPren,MATCH(AA$105,energiedragers_namen,0)))+
IF(OR(AA$144=0,LEFT(AA$142,2)&lt;&gt;"bm"),0,AA$144*INDEX(energiedragers_fPren,MATCH(AA$141,energiedragers_namen,0)))</f>
        <v>0</v>
      </c>
      <c r="AB253" s="273"/>
      <c r="AC253" s="168">
        <f>IF(OR(AC$110=0,LEFT(AC$106,2)&lt;&gt;"bm"),0,AC$110*INDEX(energiedragers_fPren,MATCH(AC$105,energiedragers_namen,0)))+
IF(OR(AC$144=0,LEFT(AC$142,2)&lt;&gt;"bm"),0,AC$144*INDEX(energiedragers_fPren,MATCH(AC$141,energiedragers_namen,0)))</f>
        <v>0</v>
      </c>
      <c r="AD253" s="273"/>
      <c r="AE253" s="273"/>
      <c r="AF253" s="273"/>
      <c r="AG253" s="273"/>
      <c r="AH253" s="273"/>
      <c r="AI253" s="273"/>
      <c r="AJ253" s="113"/>
      <c r="AK253" s="202">
        <f t="shared" si="217"/>
        <v>0</v>
      </c>
      <c r="AL253" s="191"/>
      <c r="AM253" s="168">
        <f>IF(OR(AM$110=0,LEFT(AM$106,2)&lt;&gt;"bm"),0,AM$110*INDEX(energiedragers_fPren,MATCH(AM$105,energiedragers_namen,0)))+
IF(OR(AM$144=0,LEFT(AM$142,2)&lt;&gt;"bm"),0,AM$144*INDEX(energiedragers_fPren,MATCH(AM$141,energiedragers_namen,0)))</f>
        <v>0</v>
      </c>
      <c r="AN253" s="273"/>
      <c r="AO253" s="168">
        <f>IF(OR(AO$110=0,LEFT(AO$106,2)&lt;&gt;"bm"),0,AO$110*INDEX(energiedragers_fPren,MATCH(AO$105,energiedragers_namen,0)))+
IF(OR(AO$144=0,LEFT(AO$142,2)&lt;&gt;"bm"),0,AO$144*INDEX(energiedragers_fPren,MATCH(AO$141,energiedragers_namen,0)))</f>
        <v>0</v>
      </c>
      <c r="AP253" s="273"/>
      <c r="AQ253" s="273"/>
      <c r="AR253" s="273"/>
      <c r="AS253" s="273"/>
      <c r="AT253" s="273"/>
      <c r="AU253" s="273"/>
      <c r="AV253" s="191"/>
      <c r="AW253" s="202">
        <f t="shared" si="218"/>
        <v>0</v>
      </c>
      <c r="AX253" s="191"/>
      <c r="AY253" s="168">
        <f>IF(OR(AY$110=0,LEFT(AY$106,2)&lt;&gt;"bm"),0,AY$110*INDEX(energiedragers_fPren,MATCH(AY$105,energiedragers_namen,0)))+
IF(OR(AY$144=0,LEFT(AY$142,2)&lt;&gt;"bm"),0,AY$144*INDEX(energiedragers_fPren,MATCH(AY$141,energiedragers_namen,0)))</f>
        <v>0</v>
      </c>
      <c r="AZ253" s="273"/>
      <c r="BA253" s="168">
        <f>IF(OR(BA$110=0,LEFT(BA$106,2)&lt;&gt;"bm"),0,BA$110*INDEX(energiedragers_fPren,MATCH(BA$105,energiedragers_namen,0)))+
IF(OR(BA$144=0,LEFT(BA$142,2)&lt;&gt;"bm"),0,BA$144*INDEX(energiedragers_fPren,MATCH(BA$141,energiedragers_namen,0)))</f>
        <v>0</v>
      </c>
      <c r="BB253" s="273"/>
      <c r="BC253" s="273"/>
      <c r="BD253" s="273"/>
      <c r="BE253" s="273"/>
      <c r="BF253" s="273"/>
      <c r="BG253" s="273"/>
      <c r="BH253" s="210"/>
    </row>
    <row r="254" spans="1:60">
      <c r="A254" s="1040"/>
      <c r="B254" s="1109" t="s">
        <v>249</v>
      </c>
      <c r="C254" s="1107" t="s">
        <v>104</v>
      </c>
      <c r="D254" s="641" t="s">
        <v>45</v>
      </c>
      <c r="E254" s="180" t="s">
        <v>253</v>
      </c>
      <c r="F254" s="180"/>
      <c r="G254" s="180"/>
      <c r="H254" s="201" t="s">
        <v>160</v>
      </c>
      <c r="I254" s="114"/>
      <c r="J254" s="202">
        <f t="shared" si="214"/>
        <v>0</v>
      </c>
      <c r="K254" s="195"/>
      <c r="L254" s="195"/>
      <c r="M254" s="202">
        <f t="shared" si="215"/>
        <v>0</v>
      </c>
      <c r="N254" s="114"/>
      <c r="O254" s="168">
        <f>IF(OR(O$110=0,LEFT(O$106,2)&lt;&gt;"dx"),0,O$110*INDEX(energiedragers_fPren,MATCH(O$105,energiedragers_namen,0)))+
IF(OR(O$144=0,LEFT(O$142,2)&lt;&gt;"dx"),0,O$144*INDEX(energiedragers_fPren,MATCH(O$141,energiedragers_namen,0)))</f>
        <v>0</v>
      </c>
      <c r="P254" s="168">
        <f>IF(OR(P$110=0,LEFT(P$106,2)&lt;&gt;"dx"),0,P$110*INDEX(energiedragers_fPren,MATCH(P$105,energiedragers_namen,0)))+
IF(OR(P$144=0,LEFT(P$142,2)&lt;&gt;"dx"),0,P$144*INDEX(energiedragers_fPren,MATCH(P$141,energiedragers_namen,0)))</f>
        <v>0</v>
      </c>
      <c r="Q254" s="168">
        <f>IF(OR(Q$110=0,LEFT(Q$106,2)&lt;&gt;"dx"),0,Q$110*INDEX(energiedragers_fPren,MATCH(Q$105,energiedragers_namen,0)))+
IF(OR(Q$144=0,LEFT(Q$142,2)&lt;&gt;"dx"),0,Q$144*INDEX(energiedragers_fPren,MATCH(Q$141,energiedragers_namen,0)))</f>
        <v>0</v>
      </c>
      <c r="R254" s="273"/>
      <c r="S254" s="273"/>
      <c r="T254" s="273"/>
      <c r="U254" s="273"/>
      <c r="V254" s="273"/>
      <c r="W254" s="273"/>
      <c r="X254" s="113"/>
      <c r="Y254" s="202">
        <f t="shared" si="216"/>
        <v>0</v>
      </c>
      <c r="Z254" s="114"/>
      <c r="AA254" s="168">
        <f>IF(OR(AA$110=0,LEFT(AA$106,2)&lt;&gt;"dx"),0,AA$110*INDEX(energiedragers_fPren,MATCH(AA$105,energiedragers_namen,0)))+
IF(OR(AA$144=0,LEFT(AA$142,2)&lt;&gt;"dx"),0,AA$144*INDEX(energiedragers_fPren,MATCH(AA$141,energiedragers_namen,0)))</f>
        <v>0</v>
      </c>
      <c r="AB254" s="168">
        <f>IF(OR(AB$110=0,LEFT(AB$106,2)&lt;&gt;"dx"),0,AB$110*INDEX(energiedragers_fPren,MATCH(AB$105,energiedragers_namen,0)))+
IF(OR(AB$144=0,LEFT(AB$142,2)&lt;&gt;"dx"),0,AB$144*INDEX(energiedragers_fPren,MATCH(AB$141,energiedragers_namen,0)))</f>
        <v>0</v>
      </c>
      <c r="AC254" s="168">
        <f>IF(OR(AC$110=0,LEFT(AC$106,2)&lt;&gt;"dx"),0,AC$110*INDEX(energiedragers_fPren,MATCH(AC$105,energiedragers_namen,0)))+
IF(OR(AC$144=0,LEFT(AC$142,2)&lt;&gt;"dx"),0,AC$144*INDEX(energiedragers_fPren,MATCH(AC$141,energiedragers_namen,0)))</f>
        <v>0</v>
      </c>
      <c r="AD254" s="273"/>
      <c r="AE254" s="273"/>
      <c r="AF254" s="273"/>
      <c r="AG254" s="273"/>
      <c r="AH254" s="273"/>
      <c r="AI254" s="273"/>
      <c r="AJ254" s="113"/>
      <c r="AK254" s="202">
        <f t="shared" si="217"/>
        <v>0</v>
      </c>
      <c r="AL254" s="191"/>
      <c r="AM254" s="168">
        <f>IF(OR(AM$110=0,LEFT(AM$106,2)&lt;&gt;"dx"),0,AM$110*INDEX(energiedragers_fPren,MATCH(AM$105,energiedragers_namen,0)))+
IF(OR(AM$144=0,LEFT(AM$142,2)&lt;&gt;"dx"),0,AM$144*INDEX(energiedragers_fPren,MATCH(AM$141,energiedragers_namen,0)))</f>
        <v>0</v>
      </c>
      <c r="AN254" s="168">
        <f>IF(OR(AN$110=0,LEFT(AN$106,2)&lt;&gt;"dx"),0,AN$110*INDEX(energiedragers_fPren,MATCH(AN$105,energiedragers_namen,0)))+
IF(OR(AN$144=0,LEFT(AN$142,2)&lt;&gt;"dx"),0,AN$144*INDEX(energiedragers_fPren,MATCH(AN$141,energiedragers_namen,0)))</f>
        <v>0</v>
      </c>
      <c r="AO254" s="168">
        <f>IF(OR(AO$110=0,LEFT(AO$106,2)&lt;&gt;"dx"),0,AO$110*INDEX(energiedragers_fPren,MATCH(AO$105,energiedragers_namen,0)))+
IF(OR(AO$144=0,LEFT(AO$142,2)&lt;&gt;"dx"),0,AO$144*INDEX(energiedragers_fPren,MATCH(AO$141,energiedragers_namen,0)))</f>
        <v>0</v>
      </c>
      <c r="AP254" s="273"/>
      <c r="AQ254" s="273"/>
      <c r="AR254" s="273"/>
      <c r="AS254" s="273"/>
      <c r="AT254" s="273"/>
      <c r="AU254" s="273"/>
      <c r="AV254" s="191"/>
      <c r="AW254" s="202">
        <f t="shared" si="218"/>
        <v>0</v>
      </c>
      <c r="AX254" s="191"/>
      <c r="AY254" s="168">
        <f>IF(OR(AY$110=0,LEFT(AY$106,2)&lt;&gt;"dx"),0,AY$110*INDEX(energiedragers_fPren,MATCH(AY$105,energiedragers_namen,0)))+
IF(OR(AY$144=0,LEFT(AY$142,2)&lt;&gt;"dx"),0,AY$144*INDEX(energiedragers_fPren,MATCH(AY$141,energiedragers_namen,0)))</f>
        <v>0</v>
      </c>
      <c r="AZ254" s="168">
        <f>IF(OR(AZ$110=0,LEFT(AZ$106,2)&lt;&gt;"dx"),0,AZ$110*INDEX(energiedragers_fPren,MATCH(AZ$105,energiedragers_namen,0)))+
IF(OR(AZ$144=0,LEFT(AZ$142,2)&lt;&gt;"dx"),0,AZ$144*INDEX(energiedragers_fPren,MATCH(AZ$141,energiedragers_namen,0)))</f>
        <v>0</v>
      </c>
      <c r="BA254" s="168">
        <f>IF(OR(BA$110=0,LEFT(BA$106,2)&lt;&gt;"dx"),0,BA$110*INDEX(energiedragers_fPren,MATCH(BA$105,energiedragers_namen,0)))+
IF(OR(BA$144=0,LEFT(BA$142,2)&lt;&gt;"dx"),0,BA$144*INDEX(energiedragers_fPren,MATCH(BA$141,energiedragers_namen,0)))</f>
        <v>0</v>
      </c>
      <c r="BB254" s="273"/>
      <c r="BC254" s="273"/>
      <c r="BD254" s="273"/>
      <c r="BE254" s="273"/>
      <c r="BF254" s="273"/>
      <c r="BG254" s="273"/>
      <c r="BH254" s="210"/>
    </row>
    <row r="255" spans="1:60">
      <c r="A255" s="1040"/>
      <c r="B255" s="1109" t="s">
        <v>249</v>
      </c>
      <c r="C255" s="1107" t="s">
        <v>104</v>
      </c>
      <c r="D255" s="641" t="s">
        <v>45</v>
      </c>
      <c r="E255" s="180" t="s">
        <v>254</v>
      </c>
      <c r="F255" s="180"/>
      <c r="G255" s="180"/>
      <c r="H255" s="201" t="s">
        <v>160</v>
      </c>
      <c r="I255" s="114"/>
      <c r="J255" s="202">
        <f t="shared" si="214"/>
        <v>0</v>
      </c>
      <c r="K255" s="195"/>
      <c r="L255" s="195"/>
      <c r="M255" s="202">
        <f t="shared" si="215"/>
        <v>0</v>
      </c>
      <c r="N255" s="114"/>
      <c r="O255" s="273"/>
      <c r="P255" s="168">
        <f>IF(OR(P$110=0,LEFT(P$106,2)&lt;&gt;"dx"),0,P$110*INDEX(energiedragers_fPren,MATCH(P$105,energiedragers_namen,0))+
IF(OR(P$144=0,LEFT(P$142,2)&lt;&gt;"dx"),0,P$144*INDEX(energiedragers_fPren,MATCH(P$141,energiedragers_namen,0))))</f>
        <v>0</v>
      </c>
      <c r="Q255" s="273"/>
      <c r="R255" s="273"/>
      <c r="S255" s="273"/>
      <c r="T255" s="273"/>
      <c r="U255" s="273"/>
      <c r="V255" s="273"/>
      <c r="W255" s="273"/>
      <c r="X255" s="113"/>
      <c r="Y255" s="202">
        <f t="shared" si="216"/>
        <v>0</v>
      </c>
      <c r="Z255" s="114"/>
      <c r="AA255" s="273"/>
      <c r="AB255" s="168">
        <f>IF(OR(AB$110=0,LEFT(AB$106,2)&lt;&gt;"dx"),0,AB$110*INDEX(energiedragers_fPren,MATCH(AB$105,energiedragers_namen,0))+
IF(OR(AB$144=0,LEFT(AB$142,2)&lt;&gt;"dx"),0,AB$144*INDEX(energiedragers_fPren,MATCH(AB$141,energiedragers_namen,0))))</f>
        <v>0</v>
      </c>
      <c r="AC255" s="273"/>
      <c r="AD255" s="273"/>
      <c r="AE255" s="273"/>
      <c r="AF255" s="273"/>
      <c r="AG255" s="273"/>
      <c r="AH255" s="273"/>
      <c r="AI255" s="273"/>
      <c r="AJ255" s="113"/>
      <c r="AK255" s="202">
        <f t="shared" si="217"/>
        <v>0</v>
      </c>
      <c r="AL255" s="191"/>
      <c r="AM255" s="273"/>
      <c r="AN255" s="168">
        <f>IF(OR(AN$110=0,LEFT(AN$106,2)&lt;&gt;"dx"),0,AN$110*INDEX(energiedragers_fPren,MATCH(AN$105,energiedragers_namen,0))+
IF(OR(AN$144=0,LEFT(AN$142,2)&lt;&gt;"dx"),0,AN$144*INDEX(energiedragers_fPren,MATCH(AN$141,energiedragers_namen,0))))</f>
        <v>0</v>
      </c>
      <c r="AO255" s="273"/>
      <c r="AP255" s="273"/>
      <c r="AQ255" s="273"/>
      <c r="AR255" s="273"/>
      <c r="AS255" s="273"/>
      <c r="AT255" s="273"/>
      <c r="AU255" s="273"/>
      <c r="AV255" s="191"/>
      <c r="AW255" s="202">
        <f t="shared" si="218"/>
        <v>0</v>
      </c>
      <c r="AX255" s="191"/>
      <c r="AY255" s="273"/>
      <c r="AZ255" s="168">
        <f>IF(OR(AZ$110=0,LEFT(AZ$106,2)&lt;&gt;"dx"),0,AZ$110*INDEX(energiedragers_fPren,MATCH(AZ$105,energiedragers_namen,0))+
IF(OR(AZ$144=0,LEFT(AZ$142,2)&lt;&gt;"dx"),0,AZ$144*INDEX(energiedragers_fPren,MATCH(AZ$141,energiedragers_namen,0))))</f>
        <v>0</v>
      </c>
      <c r="BA255" s="273"/>
      <c r="BB255" s="273"/>
      <c r="BC255" s="273"/>
      <c r="BD255" s="273"/>
      <c r="BE255" s="273"/>
      <c r="BF255" s="273"/>
      <c r="BG255" s="273"/>
      <c r="BH255" s="210"/>
    </row>
    <row r="256" spans="1:60">
      <c r="A256" s="1040"/>
      <c r="B256" s="1109" t="s">
        <v>249</v>
      </c>
      <c r="C256" s="1107" t="s">
        <v>104</v>
      </c>
      <c r="D256" s="641" t="s">
        <v>45</v>
      </c>
      <c r="E256" s="180" t="s">
        <v>255</v>
      </c>
      <c r="F256" s="180"/>
      <c r="G256" s="180"/>
      <c r="H256" s="201" t="s">
        <v>160</v>
      </c>
      <c r="I256" s="114"/>
      <c r="J256" s="202">
        <f t="shared" si="214"/>
        <v>0</v>
      </c>
      <c r="K256" s="195"/>
      <c r="L256" s="195"/>
      <c r="M256" s="202">
        <f t="shared" si="215"/>
        <v>0</v>
      </c>
      <c r="N256" s="114"/>
      <c r="O256" s="168">
        <f>O$91*f_P_renheat</f>
        <v>0</v>
      </c>
      <c r="P256" s="273"/>
      <c r="Q256" s="168">
        <f>Q$91*f_P_renheat</f>
        <v>0</v>
      </c>
      <c r="R256" s="273"/>
      <c r="S256" s="273"/>
      <c r="T256" s="273"/>
      <c r="U256" s="273"/>
      <c r="V256" s="273"/>
      <c r="W256" s="273"/>
      <c r="X256" s="108"/>
      <c r="Y256" s="202">
        <f t="shared" si="216"/>
        <v>0</v>
      </c>
      <c r="Z256" s="114"/>
      <c r="AA256" s="168">
        <f>AA$91*f_P_renheat</f>
        <v>0</v>
      </c>
      <c r="AB256" s="273"/>
      <c r="AC256" s="168">
        <f>AC$91*f_P_renheat</f>
        <v>0</v>
      </c>
      <c r="AD256" s="273"/>
      <c r="AE256" s="273"/>
      <c r="AF256" s="273"/>
      <c r="AG256" s="273"/>
      <c r="AH256" s="273"/>
      <c r="AI256" s="273"/>
      <c r="AJ256" s="108"/>
      <c r="AK256" s="202">
        <f t="shared" si="217"/>
        <v>0</v>
      </c>
      <c r="AL256" s="191"/>
      <c r="AM256" s="168">
        <f>AM$91*f_P_renheat</f>
        <v>0</v>
      </c>
      <c r="AN256" s="273"/>
      <c r="AO256" s="168">
        <f>AO$91*f_P_renheat</f>
        <v>0</v>
      </c>
      <c r="AP256" s="273"/>
      <c r="AQ256" s="273"/>
      <c r="AR256" s="273"/>
      <c r="AS256" s="273"/>
      <c r="AT256" s="273"/>
      <c r="AU256" s="273"/>
      <c r="AV256" s="191"/>
      <c r="AW256" s="202">
        <f t="shared" si="218"/>
        <v>0</v>
      </c>
      <c r="AX256" s="191"/>
      <c r="AY256" s="168">
        <f>AY$91*f_P_renheat</f>
        <v>0</v>
      </c>
      <c r="AZ256" s="273"/>
      <c r="BA256" s="168">
        <f>BA$91*f_P_renheat</f>
        <v>0</v>
      </c>
      <c r="BB256" s="273"/>
      <c r="BC256" s="273"/>
      <c r="BD256" s="273"/>
      <c r="BE256" s="273"/>
      <c r="BF256" s="273"/>
      <c r="BG256" s="273"/>
      <c r="BH256" s="174"/>
    </row>
    <row r="257" spans="1:60">
      <c r="A257" s="1040"/>
      <c r="B257" s="1109" t="s">
        <v>249</v>
      </c>
      <c r="C257" s="1107" t="s">
        <v>104</v>
      </c>
      <c r="D257" s="641" t="s">
        <v>45</v>
      </c>
      <c r="E257" s="180" t="s">
        <v>256</v>
      </c>
      <c r="F257" s="180"/>
      <c r="G257" s="180"/>
      <c r="H257" s="201" t="s">
        <v>160</v>
      </c>
      <c r="I257" s="114"/>
      <c r="J257" s="202">
        <f t="shared" si="214"/>
        <v>0</v>
      </c>
      <c r="K257" s="195"/>
      <c r="L257" s="195"/>
      <c r="M257" s="202">
        <f t="shared" si="215"/>
        <v>0</v>
      </c>
      <c r="N257" s="114"/>
      <c r="O257" s="273"/>
      <c r="P257" s="273"/>
      <c r="Q257" s="273"/>
      <c r="R257" s="273"/>
      <c r="S257" s="273"/>
      <c r="T257" s="273"/>
      <c r="U257" s="273"/>
      <c r="V257" s="273"/>
      <c r="W257" s="168">
        <f>M73*f_P_renelect</f>
        <v>0</v>
      </c>
      <c r="X257" s="113"/>
      <c r="Y257" s="202">
        <f t="shared" si="216"/>
        <v>0</v>
      </c>
      <c r="Z257" s="114"/>
      <c r="AA257" s="273"/>
      <c r="AB257" s="273"/>
      <c r="AC257" s="273"/>
      <c r="AD257" s="273"/>
      <c r="AE257" s="273"/>
      <c r="AF257" s="273"/>
      <c r="AG257" s="273"/>
      <c r="AH257" s="273"/>
      <c r="AI257" s="168">
        <f>Y73*f_P_renelect</f>
        <v>0</v>
      </c>
      <c r="AJ257" s="113"/>
      <c r="AK257" s="202">
        <f t="shared" si="217"/>
        <v>0</v>
      </c>
      <c r="AL257" s="191"/>
      <c r="AM257" s="273"/>
      <c r="AN257" s="273"/>
      <c r="AO257" s="273"/>
      <c r="AP257" s="273"/>
      <c r="AQ257" s="273"/>
      <c r="AR257" s="273"/>
      <c r="AS257" s="273"/>
      <c r="AT257" s="273"/>
      <c r="AU257" s="168">
        <f>AK73*f_P_renelect</f>
        <v>0</v>
      </c>
      <c r="AV257" s="191"/>
      <c r="AW257" s="202">
        <f t="shared" si="218"/>
        <v>0</v>
      </c>
      <c r="AX257" s="191"/>
      <c r="AY257" s="273"/>
      <c r="AZ257" s="273"/>
      <c r="BA257" s="273"/>
      <c r="BB257" s="273"/>
      <c r="BC257" s="273"/>
      <c r="BD257" s="273"/>
      <c r="BE257" s="273"/>
      <c r="BF257" s="273"/>
      <c r="BG257" s="168">
        <f>AW73*f_P_renelect</f>
        <v>0</v>
      </c>
      <c r="BH257" s="210"/>
    </row>
    <row r="258" spans="1:60">
      <c r="A258" s="1040"/>
      <c r="B258" s="1109" t="s">
        <v>249</v>
      </c>
      <c r="C258" s="1107" t="s">
        <v>104</v>
      </c>
      <c r="D258" s="638"/>
      <c r="E258" s="180" t="s">
        <v>232</v>
      </c>
      <c r="F258" s="180"/>
      <c r="G258" s="180"/>
      <c r="H258" s="201" t="s">
        <v>160</v>
      </c>
      <c r="I258" s="114"/>
      <c r="J258" s="202">
        <f>SUM(J251:J257)</f>
        <v>0</v>
      </c>
      <c r="K258" s="195"/>
      <c r="L258" s="195"/>
      <c r="M258" s="202">
        <f>SUM(M251:M257)</f>
        <v>0</v>
      </c>
      <c r="N258" s="114"/>
      <c r="O258" s="168">
        <f t="shared" ref="O258:W258" si="219">SUM(O251:O257)</f>
        <v>0</v>
      </c>
      <c r="P258" s="168">
        <f t="shared" si="219"/>
        <v>0</v>
      </c>
      <c r="Q258" s="168">
        <f t="shared" si="219"/>
        <v>0</v>
      </c>
      <c r="R258" s="273"/>
      <c r="S258" s="273"/>
      <c r="T258" s="273"/>
      <c r="U258" s="273"/>
      <c r="V258" s="273"/>
      <c r="W258" s="168">
        <f t="shared" si="219"/>
        <v>0</v>
      </c>
      <c r="X258" s="113"/>
      <c r="Y258" s="202">
        <f>SUM(Y251:Y257)</f>
        <v>0</v>
      </c>
      <c r="Z258" s="114"/>
      <c r="AA258" s="168">
        <f>SUM(AA251:AA257)</f>
        <v>0</v>
      </c>
      <c r="AB258" s="168">
        <f>SUM(AB251:AB257)</f>
        <v>0</v>
      </c>
      <c r="AC258" s="168">
        <f>SUM(AC251:AC257)</f>
        <v>0</v>
      </c>
      <c r="AD258" s="273"/>
      <c r="AE258" s="273"/>
      <c r="AF258" s="273"/>
      <c r="AG258" s="273"/>
      <c r="AH258" s="273"/>
      <c r="AI258" s="168">
        <f>SUM(AI251:AI257)</f>
        <v>0</v>
      </c>
      <c r="AJ258" s="113"/>
      <c r="AK258" s="202">
        <f>SUM(AK251:AK257)</f>
        <v>0</v>
      </c>
      <c r="AL258" s="191"/>
      <c r="AM258" s="168">
        <f>SUM(AM251:AM257)</f>
        <v>0</v>
      </c>
      <c r="AN258" s="168">
        <f>SUM(AN251:AN257)</f>
        <v>0</v>
      </c>
      <c r="AO258" s="168">
        <f>SUM(AO251:AO257)</f>
        <v>0</v>
      </c>
      <c r="AP258" s="273"/>
      <c r="AQ258" s="273"/>
      <c r="AR258" s="273"/>
      <c r="AS258" s="273"/>
      <c r="AT258" s="273"/>
      <c r="AU258" s="168">
        <f>SUM(AU251:AU257)</f>
        <v>0</v>
      </c>
      <c r="AV258" s="191"/>
      <c r="AW258" s="202">
        <f>SUM(AW251:AW257)</f>
        <v>0</v>
      </c>
      <c r="AX258" s="191"/>
      <c r="AY258" s="168">
        <f>SUM(AY251:AY257)</f>
        <v>0</v>
      </c>
      <c r="AZ258" s="168">
        <f>SUM(AZ251:AZ257)</f>
        <v>0</v>
      </c>
      <c r="BA258" s="168">
        <f>SUM(BA251:BA257)</f>
        <v>0</v>
      </c>
      <c r="BB258" s="273"/>
      <c r="BC258" s="273"/>
      <c r="BD258" s="273"/>
      <c r="BE258" s="273"/>
      <c r="BF258" s="273"/>
      <c r="BG258" s="168">
        <f>SUM(BG251:BG257)</f>
        <v>0</v>
      </c>
      <c r="BH258" s="210"/>
    </row>
    <row r="259" spans="1:60">
      <c r="A259" s="1040"/>
      <c r="B259" s="1109" t="s">
        <v>249</v>
      </c>
      <c r="C259" s="1106" t="s">
        <v>96</v>
      </c>
      <c r="D259" s="638"/>
      <c r="E259" s="79"/>
      <c r="F259" s="79"/>
      <c r="G259" s="79"/>
      <c r="H259" s="85"/>
      <c r="I259" s="79"/>
      <c r="J259" s="82"/>
      <c r="K259" s="79"/>
      <c r="L259" s="79"/>
      <c r="M259" s="82"/>
      <c r="N259" s="79"/>
      <c r="O259" s="82"/>
      <c r="P259" s="82"/>
      <c r="Q259" s="82"/>
      <c r="R259" s="82"/>
      <c r="S259" s="82"/>
      <c r="T259" s="82"/>
      <c r="U259" s="82"/>
      <c r="V259" s="82"/>
      <c r="W259" s="82"/>
      <c r="X259" s="82"/>
      <c r="Y259" s="82"/>
      <c r="Z259" s="79"/>
      <c r="AA259" s="82"/>
      <c r="AB259" s="82"/>
      <c r="AC259" s="82"/>
      <c r="AD259" s="82"/>
      <c r="AE259" s="82"/>
      <c r="AF259" s="82"/>
      <c r="AG259" s="82"/>
      <c r="AH259" s="82"/>
      <c r="AI259" s="82"/>
      <c r="AJ259" s="82"/>
      <c r="AK259" s="82"/>
      <c r="AL259" s="79"/>
      <c r="AM259" s="82"/>
      <c r="AN259" s="82"/>
      <c r="AO259" s="82"/>
      <c r="AP259" s="82"/>
      <c r="AQ259" s="82"/>
      <c r="AR259" s="82"/>
      <c r="AS259" s="82"/>
      <c r="AT259" s="82"/>
      <c r="AU259" s="82"/>
      <c r="AV259" s="191"/>
      <c r="AW259" s="82"/>
      <c r="AX259" s="79"/>
      <c r="AY259" s="82"/>
      <c r="AZ259" s="82"/>
      <c r="BA259" s="82"/>
      <c r="BB259" s="82"/>
      <c r="BC259" s="82"/>
      <c r="BD259" s="82"/>
      <c r="BE259" s="82"/>
      <c r="BF259" s="82"/>
      <c r="BG259" s="82"/>
      <c r="BH259" s="1"/>
    </row>
    <row r="260" spans="1:60">
      <c r="A260" s="1040"/>
      <c r="B260" s="1109" t="s">
        <v>257</v>
      </c>
      <c r="C260" s="1107" t="s">
        <v>96</v>
      </c>
      <c r="D260" s="638"/>
      <c r="E260" s="79"/>
      <c r="F260" s="79"/>
      <c r="G260" s="79"/>
      <c r="H260" s="85"/>
      <c r="I260" s="122"/>
      <c r="J260" s="82"/>
      <c r="K260" s="79"/>
      <c r="L260" s="79"/>
      <c r="M260" s="82"/>
      <c r="N260" s="79"/>
      <c r="O260" s="85"/>
      <c r="P260" s="85"/>
      <c r="Q260" s="82"/>
      <c r="R260" s="82"/>
      <c r="S260" s="82"/>
      <c r="T260" s="82"/>
      <c r="U260" s="82"/>
      <c r="V260" s="82"/>
      <c r="W260" s="82"/>
      <c r="X260" s="82"/>
      <c r="Y260" s="82"/>
      <c r="Z260" s="79"/>
      <c r="AA260" s="85"/>
      <c r="AB260" s="85"/>
      <c r="AC260" s="82"/>
      <c r="AD260" s="82"/>
      <c r="AE260" s="82"/>
      <c r="AF260" s="82"/>
      <c r="AG260" s="82"/>
      <c r="AH260" s="82"/>
      <c r="AI260" s="82"/>
      <c r="AJ260" s="82"/>
      <c r="AK260" s="82"/>
      <c r="AL260" s="79"/>
      <c r="AM260" s="85"/>
      <c r="AN260" s="85"/>
      <c r="AO260" s="82"/>
      <c r="AP260" s="82"/>
      <c r="AQ260" s="82"/>
      <c r="AR260" s="82"/>
      <c r="AS260" s="82"/>
      <c r="AT260" s="82"/>
      <c r="AU260" s="82"/>
      <c r="AV260" s="82"/>
      <c r="AW260" s="82"/>
      <c r="AX260" s="79"/>
      <c r="AY260" s="113"/>
      <c r="AZ260" s="82"/>
      <c r="BA260" s="82"/>
      <c r="BB260" s="82"/>
      <c r="BC260" s="82"/>
      <c r="BD260" s="82"/>
      <c r="BE260" s="82"/>
      <c r="BF260" s="82"/>
      <c r="BG260" s="82"/>
      <c r="BH260" s="1"/>
    </row>
    <row r="261" spans="1:60" ht="21">
      <c r="A261" s="1040"/>
      <c r="B261" s="1109" t="s">
        <v>257</v>
      </c>
      <c r="C261" s="1106" t="s">
        <v>96</v>
      </c>
      <c r="D261" s="643"/>
      <c r="E261" s="1181" t="s">
        <v>1358</v>
      </c>
      <c r="F261" s="1181"/>
      <c r="G261" s="1181"/>
      <c r="H261" s="1181"/>
      <c r="I261" s="77"/>
      <c r="J261" s="200" t="str">
        <f>J$10</f>
        <v>alle locaties</v>
      </c>
      <c r="K261" s="126"/>
      <c r="L261" s="126"/>
      <c r="M261" s="200" t="str">
        <f>M$10</f>
        <v>locatie 1</v>
      </c>
      <c r="N261" s="182"/>
      <c r="O261" s="966" t="str">
        <f>$E261&amp;" per energiepost"</f>
        <v>primaire fossiele energiefactor installaties buiten de locatie per energiepost</v>
      </c>
      <c r="P261" s="941"/>
      <c r="Q261" s="941"/>
      <c r="R261" s="941"/>
      <c r="S261" s="941"/>
      <c r="T261" s="941"/>
      <c r="U261" s="941"/>
      <c r="V261" s="941"/>
      <c r="W261" s="956"/>
      <c r="X261" s="174"/>
      <c r="Y261" s="200" t="str">
        <f>Y$10</f>
        <v>locatie 2</v>
      </c>
      <c r="Z261" s="182"/>
      <c r="AA261" s="966" t="str">
        <f>$E261&amp;" per energiepost"</f>
        <v>primaire fossiele energiefactor installaties buiten de locatie per energiepost</v>
      </c>
      <c r="AB261" s="941"/>
      <c r="AC261" s="941"/>
      <c r="AD261" s="941"/>
      <c r="AE261" s="941"/>
      <c r="AF261" s="941"/>
      <c r="AG261" s="941"/>
      <c r="AH261" s="941"/>
      <c r="AI261" s="956"/>
      <c r="AJ261" s="174"/>
      <c r="AK261" s="200" t="str">
        <f>AK$10</f>
        <v>locatie 3</v>
      </c>
      <c r="AL261" s="182"/>
      <c r="AM261" s="966" t="str">
        <f>$E261&amp;" per energiepost"</f>
        <v>primaire fossiele energiefactor installaties buiten de locatie per energiepost</v>
      </c>
      <c r="AN261" s="941"/>
      <c r="AO261" s="941"/>
      <c r="AP261" s="941"/>
      <c r="AQ261" s="941"/>
      <c r="AR261" s="941"/>
      <c r="AS261" s="941"/>
      <c r="AT261" s="941"/>
      <c r="AU261" s="956"/>
      <c r="AV261" s="174"/>
      <c r="AW261" s="200" t="str">
        <f>AW$10</f>
        <v>locatie 4</v>
      </c>
      <c r="AX261" s="182"/>
      <c r="AY261" s="966" t="str">
        <f>$E261&amp;" per energiepost"</f>
        <v>primaire fossiele energiefactor installaties buiten de locatie per energiepost</v>
      </c>
      <c r="AZ261" s="941"/>
      <c r="BA261" s="941"/>
      <c r="BB261" s="941"/>
      <c r="BC261" s="941"/>
      <c r="BD261" s="941"/>
      <c r="BE261" s="941"/>
      <c r="BF261" s="941"/>
      <c r="BG261" s="956"/>
      <c r="BH261" s="1"/>
    </row>
    <row r="262" spans="1:60">
      <c r="A262" s="1040"/>
      <c r="B262" s="1109" t="s">
        <v>257</v>
      </c>
      <c r="C262" s="1106" t="s">
        <v>96</v>
      </c>
      <c r="D262" s="638"/>
      <c r="E262" s="940" t="s">
        <v>1316</v>
      </c>
      <c r="F262" s="940"/>
      <c r="G262" s="940"/>
      <c r="H262" s="940"/>
      <c r="I262" s="77"/>
      <c r="J262" s="939"/>
      <c r="K262" s="126"/>
      <c r="L262" s="126"/>
      <c r="M262" s="938"/>
      <c r="N262" s="191"/>
      <c r="O262" s="177" t="str">
        <f>O$10</f>
        <v>verwarming</v>
      </c>
      <c r="P262" s="177" t="str">
        <f>P$10</f>
        <v>koeling</v>
      </c>
      <c r="Q262" s="177" t="str">
        <f>Q$10</f>
        <v>tapwater</v>
      </c>
      <c r="R262" s="177"/>
      <c r="S262" s="177"/>
      <c r="T262" s="177"/>
      <c r="U262" s="177"/>
      <c r="V262" s="177"/>
      <c r="W262" s="177"/>
      <c r="X262" s="191"/>
      <c r="Y262" s="938"/>
      <c r="Z262" s="191"/>
      <c r="AA262" s="177" t="str">
        <f>AA$10</f>
        <v>verwarming</v>
      </c>
      <c r="AB262" s="177" t="str">
        <f>AB$10</f>
        <v>koeling</v>
      </c>
      <c r="AC262" s="177" t="str">
        <f>AC$10</f>
        <v>tapwater</v>
      </c>
      <c r="AD262" s="177"/>
      <c r="AE262" s="177"/>
      <c r="AF262" s="177"/>
      <c r="AG262" s="177"/>
      <c r="AH262" s="177"/>
      <c r="AI262" s="177"/>
      <c r="AJ262" s="191"/>
      <c r="AK262" s="938"/>
      <c r="AL262" s="191"/>
      <c r="AM262" s="177" t="str">
        <f>AM$10</f>
        <v>verwarming</v>
      </c>
      <c r="AN262" s="177" t="str">
        <f>AN$10</f>
        <v>koeling</v>
      </c>
      <c r="AO262" s="177" t="str">
        <f>AO$10</f>
        <v>tapwater</v>
      </c>
      <c r="AP262" s="177"/>
      <c r="AQ262" s="177"/>
      <c r="AR262" s="177"/>
      <c r="AS262" s="177"/>
      <c r="AT262" s="177"/>
      <c r="AU262" s="177"/>
      <c r="AV262" s="191"/>
      <c r="AW262" s="938"/>
      <c r="AX262" s="191"/>
      <c r="AY262" s="177" t="str">
        <f>AY$10</f>
        <v>verwarming</v>
      </c>
      <c r="AZ262" s="177" t="str">
        <f>AZ$10</f>
        <v>koeling</v>
      </c>
      <c r="BA262" s="177" t="str">
        <f>BA$10</f>
        <v>tapwater</v>
      </c>
      <c r="BB262" s="177"/>
      <c r="BC262" s="177"/>
      <c r="BD262" s="177"/>
      <c r="BE262" s="177"/>
      <c r="BF262" s="177"/>
      <c r="BG262" s="177"/>
      <c r="BH262" s="36"/>
    </row>
    <row r="263" spans="1:60">
      <c r="A263" s="1040"/>
      <c r="B263" s="1109" t="s">
        <v>257</v>
      </c>
      <c r="C263" s="1107" t="s">
        <v>104</v>
      </c>
      <c r="D263" s="638"/>
      <c r="E263" s="180" t="s">
        <v>259</v>
      </c>
      <c r="F263" s="180"/>
      <c r="G263" s="180"/>
      <c r="H263" s="201" t="s">
        <v>65</v>
      </c>
      <c r="I263" s="114"/>
      <c r="J263" s="226"/>
      <c r="K263" s="234"/>
      <c r="L263" s="234"/>
      <c r="M263" s="202" t="str">
        <f>CONCATENATE(O263,"/",Q263)</f>
        <v>gebouw/gebouw</v>
      </c>
      <c r="N263" s="89"/>
      <c r="O263" s="168" t="str">
        <f>IF(O83=geen,"-",O84)</f>
        <v>gebouw</v>
      </c>
      <c r="P263" s="168" t="str">
        <f>IF(P83=geen,"-",P84)</f>
        <v>-</v>
      </c>
      <c r="Q263" s="168" t="str">
        <f>IF(Q83=geen,"-",Q84)</f>
        <v>gebouw</v>
      </c>
      <c r="R263" s="273"/>
      <c r="S263" s="273"/>
      <c r="T263" s="273"/>
      <c r="U263" s="273"/>
      <c r="V263" s="273"/>
      <c r="W263" s="273"/>
      <c r="X263" s="113"/>
      <c r="Y263" s="202" t="str">
        <f>CONCATENATE(AA263,"/",AC263)</f>
        <v>gebouw/gebouw</v>
      </c>
      <c r="Z263" s="89"/>
      <c r="AA263" s="168" t="str">
        <f>IF(AA83=geen,"-",AA84)</f>
        <v>gebouw</v>
      </c>
      <c r="AB263" s="168" t="str">
        <f>IF(AB83=geen,"-",AB84)</f>
        <v>-</v>
      </c>
      <c r="AC263" s="168" t="str">
        <f>IF(AC83=geen,"-",AC84)</f>
        <v>gebouw</v>
      </c>
      <c r="AD263" s="273"/>
      <c r="AE263" s="273"/>
      <c r="AF263" s="273"/>
      <c r="AG263" s="273"/>
      <c r="AH263" s="273"/>
      <c r="AI263" s="273"/>
      <c r="AJ263" s="113"/>
      <c r="AK263" s="202" t="str">
        <f>CONCATENATE(AM263,"/",AO263)</f>
        <v>gebouw/gebouw</v>
      </c>
      <c r="AL263" s="89"/>
      <c r="AM263" s="168" t="str">
        <f>IF(AM83=geen,"-",AM84)</f>
        <v>gebouw</v>
      </c>
      <c r="AN263" s="168" t="str">
        <f>IF(AN83=geen,"-",AN84)</f>
        <v>-</v>
      </c>
      <c r="AO263" s="168" t="str">
        <f>IF(AO83=geen,"-",AO84)</f>
        <v>gebouw</v>
      </c>
      <c r="AP263" s="273"/>
      <c r="AQ263" s="273"/>
      <c r="AR263" s="273"/>
      <c r="AS263" s="273"/>
      <c r="AT263" s="273"/>
      <c r="AU263" s="273"/>
      <c r="AV263" s="113"/>
      <c r="AW263" s="202" t="str">
        <f>CONCATENATE(AY263,"/",BA263)</f>
        <v>gebouw/gebouw</v>
      </c>
      <c r="AX263" s="89"/>
      <c r="AY263" s="168" t="str">
        <f>IF(AY83=geen,"-",AY84)</f>
        <v>gebouw</v>
      </c>
      <c r="AZ263" s="168" t="str">
        <f>IF(AZ83=geen,"-",AZ84)</f>
        <v>-</v>
      </c>
      <c r="BA263" s="168" t="str">
        <f>IF(BA83=geen,"-",BA84)</f>
        <v>gebouw</v>
      </c>
      <c r="BB263" s="168"/>
      <c r="BC263" s="273"/>
      <c r="BD263" s="273"/>
      <c r="BE263" s="273"/>
      <c r="BF263" s="273"/>
      <c r="BG263" s="273"/>
      <c r="BH263" s="210"/>
    </row>
    <row r="264" spans="1:60">
      <c r="A264" s="1040"/>
      <c r="B264" s="1109" t="s">
        <v>257</v>
      </c>
      <c r="C264" s="1107" t="s">
        <v>104</v>
      </c>
      <c r="D264" s="638"/>
      <c r="E264" s="1123" t="s">
        <v>1347</v>
      </c>
      <c r="F264" s="1123"/>
      <c r="G264" s="180"/>
      <c r="H264" s="201" t="s">
        <v>65</v>
      </c>
      <c r="I264" s="114"/>
      <c r="J264" s="226"/>
      <c r="K264" s="232"/>
      <c r="L264" s="232"/>
      <c r="M264" s="226" t="str">
        <f>IF(SUM(O264:Q264)=0,"",((O$263&lt;&gt;gebouw)*(O$120+O$151+O$174-O$214) + (P$263&lt;&gt;gebouw)*(P$120+P$151+P$174-P$214) + (Q$263&lt;&gt;gebouw)*(Q$120+Q$151+Q$174-Q$214) )/  ((O$263&lt;&gt;gebouw)*O$78 + AND(P$263&lt;&gt;gebouw,P$263&lt;&gt;"-")*P$78 + (Q$263&lt;&gt;gebouw)*Q$78) )</f>
        <v/>
      </c>
      <c r="N264" s="233"/>
      <c r="O264" s="227" t="str">
        <f>IF(OR(O$246=0,O$263=gebouw),"-",(O$120+O$151+O$174-O$214)/O$78)</f>
        <v>-</v>
      </c>
      <c r="P264" s="227" t="str">
        <f>IF(OR(P$246=0,P$263=gebouw),"-",(P$120+P$151+P$174-P$214)/P$78)</f>
        <v>-</v>
      </c>
      <c r="Q264" s="227" t="str">
        <f>IF(OR(Q$246=0,Q$263=gebouw),"-",(Q$120+Q$151+Q$174-Q$214)/Q$78)</f>
        <v>-</v>
      </c>
      <c r="R264" s="274"/>
      <c r="S264" s="274"/>
      <c r="T264" s="274"/>
      <c r="U264" s="274"/>
      <c r="V264" s="274"/>
      <c r="W264" s="274"/>
      <c r="X264" s="123"/>
      <c r="Y264" s="226" t="str">
        <f>IF(SUM(AA264:AC264)=0,"",((AA$263&lt;&gt;gebouw)*(AA$120+AA$151+AA$174-AA$214) + (AB$263&lt;&gt;gebouw)*(AB$120+AB$151+AB$174-AB$214) + (AC$263&lt;&gt;gebouw)*(AC$120+AC$151+AC$174-AC$214) )/  ((AA$263&lt;&gt;gebouw)*AA$78 + AND(AB$263&lt;&gt;gebouw,AB$263&lt;&gt;"-")*AB$78 + (AC$263&lt;&gt;gebouw)*AC$78) )</f>
        <v/>
      </c>
      <c r="Z264" s="233"/>
      <c r="AA264" s="227" t="str">
        <f>IF(OR(AA$246=0,AA$263=gebouw),"-",(AA$120+AA$151+AA$174-AA$214)/AA$78)</f>
        <v>-</v>
      </c>
      <c r="AB264" s="227" t="str">
        <f>IF(OR(AB$246=0,AB$263=gebouw),"-",(AB$120+AB$151+AB$174-AB$214)/AB$78)</f>
        <v>-</v>
      </c>
      <c r="AC264" s="227" t="str">
        <f>IF(OR(AC$246=0,AC$263=gebouw),"-",(AC$120+AC$151+AC$174-AC$214)/AC$78)</f>
        <v>-</v>
      </c>
      <c r="AD264" s="274"/>
      <c r="AE264" s="274"/>
      <c r="AF264" s="274"/>
      <c r="AG264" s="274"/>
      <c r="AH264" s="274"/>
      <c r="AI264" s="274"/>
      <c r="AJ264" s="123"/>
      <c r="AK264" s="226" t="str">
        <f>IF(SUM(AM264:AO264)=0,"",((AM$263&lt;&gt;gebouw)*(AM$120+AM$151+AM$174-AM$214) + (AN$263&lt;&gt;gebouw)*(AN$120+AN$151+AN$174-AN$214) + (AO$263&lt;&gt;gebouw)*(AO$120+AO$151+AO$174-AO$214) )/  ((AM$263&lt;&gt;gebouw)*AM$78 + AND(AN$263&lt;&gt;gebouw,AN$263&lt;&gt;"-")*AN$78 + (AO$263&lt;&gt;gebouw)*AO$78) )</f>
        <v/>
      </c>
      <c r="AL264" s="233"/>
      <c r="AM264" s="227" t="str">
        <f>IF(OR(AM$246=0,AM$263=gebouw),"-",(AM$120+AM$151+AM$174-AM$214)/AM$78)</f>
        <v>-</v>
      </c>
      <c r="AN264" s="227" t="str">
        <f>IF(OR(AN$246=0,AN$263=gebouw),"-",(AN$120+AN$151+AN$174-AN$214)/AN$78)</f>
        <v>-</v>
      </c>
      <c r="AO264" s="227" t="str">
        <f>IF(OR(AO$246=0,AO$263=gebouw),"-",(AO$120+AO$151+AO$174-AO$214)/AO$78)</f>
        <v>-</v>
      </c>
      <c r="AP264" s="274"/>
      <c r="AQ264" s="274"/>
      <c r="AR264" s="274"/>
      <c r="AS264" s="274"/>
      <c r="AT264" s="274"/>
      <c r="AU264" s="274"/>
      <c r="AV264" s="123"/>
      <c r="AW264" s="226" t="str">
        <f>IF(SUM(AY264:BA264)=0,"",((AY$263&lt;&gt;gebouw)*(AY$120+AY$151+AY$174-AY$214) + (AZ$263&lt;&gt;gebouw)*(AZ$120+AZ$151+AZ$174-AZ$214) + (BA$263&lt;&gt;gebouw)*(BA$120+BA$151+BA$174-BA$214) )/  ((AY$263&lt;&gt;gebouw)*AY$78 + AND(AZ$263&lt;&gt;gebouw,AZ$263&lt;&gt;"-")*AZ$78 + (BA$263&lt;&gt;gebouw)*BA$78) )</f>
        <v/>
      </c>
      <c r="AX264" s="233"/>
      <c r="AY264" s="227" t="str">
        <f>IF(OR(AY$246=0,AY$263=gebouw),"-",(AY$120+AY$151+AY$174-AY$214)/AY$78)</f>
        <v>-</v>
      </c>
      <c r="AZ264" s="227" t="str">
        <f>IF(OR(AZ$246=0,AZ$263=gebouw),"-",(AZ$120+AZ$151+AZ$174-AZ$214)/AZ$78)</f>
        <v>-</v>
      </c>
      <c r="BA264" s="227" t="str">
        <f>IF(OR(BA$246=0,BA$263=gebouw),"-",(BA$120+BA$151+BA$174-BA$214)/BA$78)</f>
        <v>-</v>
      </c>
      <c r="BB264" s="227"/>
      <c r="BC264" s="274"/>
      <c r="BD264" s="274"/>
      <c r="BE264" s="274"/>
      <c r="BF264" s="274"/>
      <c r="BG264" s="274"/>
      <c r="BH264" s="210"/>
    </row>
    <row r="265" spans="1:60">
      <c r="A265" s="1040"/>
      <c r="B265" s="1109" t="s">
        <v>257</v>
      </c>
      <c r="C265" s="1106" t="s">
        <v>96</v>
      </c>
      <c r="D265" s="638"/>
      <c r="E265" s="79"/>
      <c r="F265" s="79"/>
      <c r="G265" s="79"/>
      <c r="H265" s="85"/>
      <c r="I265" s="79"/>
      <c r="J265" s="82"/>
      <c r="K265" s="79"/>
      <c r="L265" s="79"/>
      <c r="M265" s="597"/>
      <c r="N265" s="79"/>
      <c r="O265" s="82"/>
      <c r="P265" s="82"/>
      <c r="Q265" s="82"/>
      <c r="R265" s="82"/>
      <c r="S265" s="82"/>
      <c r="T265" s="82"/>
      <c r="U265" s="82"/>
      <c r="V265" s="82"/>
      <c r="W265" s="82"/>
      <c r="X265" s="82"/>
      <c r="Y265" s="123"/>
      <c r="Z265" s="79"/>
      <c r="AA265" s="82"/>
      <c r="AB265" s="82"/>
      <c r="AC265" s="82"/>
      <c r="AD265" s="82"/>
      <c r="AE265" s="82"/>
      <c r="AF265" s="82"/>
      <c r="AG265" s="82"/>
      <c r="AH265" s="82"/>
      <c r="AI265" s="82"/>
      <c r="AJ265" s="82"/>
      <c r="AK265" s="82"/>
      <c r="AL265" s="79"/>
      <c r="AM265" s="82"/>
      <c r="AN265" s="82"/>
      <c r="AO265" s="82"/>
      <c r="AP265" s="82"/>
      <c r="AQ265" s="82"/>
      <c r="AR265" s="82"/>
      <c r="AS265" s="82"/>
      <c r="AT265" s="82"/>
      <c r="AU265" s="82"/>
      <c r="AV265" s="82"/>
      <c r="AW265" s="82"/>
      <c r="AX265" s="79"/>
      <c r="AY265" s="79"/>
      <c r="AZ265" s="82"/>
      <c r="BA265" s="82"/>
      <c r="BB265" s="82"/>
      <c r="BC265" s="82"/>
      <c r="BD265" s="82"/>
      <c r="BE265" s="82"/>
      <c r="BF265" s="82"/>
      <c r="BG265" s="82"/>
      <c r="BH265" s="1"/>
    </row>
    <row r="266" spans="1:60">
      <c r="A266" s="1040"/>
      <c r="B266" s="1109" t="s">
        <v>260</v>
      </c>
      <c r="C266" s="1107" t="s">
        <v>96</v>
      </c>
      <c r="D266" s="638"/>
      <c r="E266" s="79"/>
      <c r="F266" s="79"/>
      <c r="G266" s="79"/>
      <c r="H266" s="85"/>
      <c r="I266" s="79"/>
      <c r="J266" s="82"/>
      <c r="K266" s="79"/>
      <c r="L266" s="79"/>
      <c r="M266" s="82"/>
      <c r="N266" s="79"/>
      <c r="O266" s="82"/>
      <c r="P266" s="82"/>
      <c r="Q266" s="82"/>
      <c r="R266" s="82"/>
      <c r="S266" s="82"/>
      <c r="T266" s="82"/>
      <c r="U266" s="82"/>
      <c r="V266" s="82"/>
      <c r="W266" s="82"/>
      <c r="X266" s="82"/>
      <c r="Y266" s="82"/>
      <c r="Z266" s="79"/>
      <c r="AA266" s="82"/>
      <c r="AB266" s="82"/>
      <c r="AC266" s="82"/>
      <c r="AD266" s="82"/>
      <c r="AE266" s="82"/>
      <c r="AF266" s="82"/>
      <c r="AG266" s="82"/>
      <c r="AH266" s="82"/>
      <c r="AI266" s="82"/>
      <c r="AJ266" s="82"/>
      <c r="AK266" s="82"/>
      <c r="AL266" s="79"/>
      <c r="AM266" s="82"/>
      <c r="AN266" s="82"/>
      <c r="AO266" s="82"/>
      <c r="AP266" s="82"/>
      <c r="AQ266" s="82"/>
      <c r="AR266" s="82"/>
      <c r="AS266" s="82"/>
      <c r="AT266" s="82"/>
      <c r="AU266" s="82"/>
      <c r="AV266" s="82"/>
      <c r="AW266" s="82"/>
      <c r="AX266" s="79"/>
      <c r="AY266" s="82"/>
      <c r="AZ266" s="82"/>
      <c r="BA266" s="82"/>
      <c r="BB266" s="82"/>
      <c r="BC266" s="82"/>
      <c r="BD266" s="82"/>
      <c r="BE266" s="82"/>
      <c r="BF266" s="82"/>
      <c r="BG266" s="82"/>
      <c r="BH266" s="1"/>
    </row>
    <row r="267" spans="1:60" s="2" customFormat="1" ht="21">
      <c r="A267" s="1038"/>
      <c r="B267" s="1109" t="s">
        <v>260</v>
      </c>
      <c r="C267" s="1106" t="s">
        <v>96</v>
      </c>
      <c r="D267" s="640" t="s">
        <v>45</v>
      </c>
      <c r="E267" s="209" t="str">
        <f>"warmte-/koudebehoefte ruimteverwarming ["&amp;$F$6&amp;"]"</f>
        <v>warmte-/koudebehoefte ruimteverwarming [EP]</v>
      </c>
      <c r="F267" s="209"/>
      <c r="G267" s="209"/>
      <c r="H267" s="209"/>
      <c r="I267" s="129"/>
      <c r="J267" s="256"/>
      <c r="K267" s="126"/>
      <c r="L267" s="126"/>
      <c r="M267" s="256" t="str">
        <f>M$10</f>
        <v>locatie 1</v>
      </c>
      <c r="N267" s="182"/>
      <c r="O267" s="955" t="str">
        <f>$E267&amp;" per woning-/gebouwtype"</f>
        <v>warmte-/koudebehoefte ruimteverwarming [EP] per woning-/gebouwtype</v>
      </c>
      <c r="P267" s="945"/>
      <c r="Q267" s="945"/>
      <c r="R267" s="945"/>
      <c r="S267" s="945"/>
      <c r="T267" s="945"/>
      <c r="U267" s="945"/>
      <c r="V267" s="945"/>
      <c r="W267" s="257"/>
      <c r="X267" s="174"/>
      <c r="Y267" s="256" t="str">
        <f>Y$10</f>
        <v>locatie 2</v>
      </c>
      <c r="Z267" s="182"/>
      <c r="AA267" s="955" t="str">
        <f>$E267&amp;" per woning-/gebouwtype"</f>
        <v>warmte-/koudebehoefte ruimteverwarming [EP] per woning-/gebouwtype</v>
      </c>
      <c r="AB267" s="945"/>
      <c r="AC267" s="945"/>
      <c r="AD267" s="945"/>
      <c r="AE267" s="945"/>
      <c r="AF267" s="945"/>
      <c r="AG267" s="945"/>
      <c r="AH267" s="945"/>
      <c r="AI267" s="257"/>
      <c r="AJ267" s="174"/>
      <c r="AK267" s="256" t="str">
        <f>AK$10</f>
        <v>locatie 3</v>
      </c>
      <c r="AL267" s="182"/>
      <c r="AM267" s="955" t="str">
        <f>$E267&amp;" per woning-/gebouwtype"</f>
        <v>warmte-/koudebehoefte ruimteverwarming [EP] per woning-/gebouwtype</v>
      </c>
      <c r="AN267" s="945"/>
      <c r="AO267" s="945"/>
      <c r="AP267" s="945"/>
      <c r="AQ267" s="945"/>
      <c r="AR267" s="945"/>
      <c r="AS267" s="945"/>
      <c r="AT267" s="945"/>
      <c r="AU267" s="257"/>
      <c r="AV267" s="174"/>
      <c r="AW267" s="256" t="str">
        <f>AW$10</f>
        <v>locatie 4</v>
      </c>
      <c r="AX267" s="182"/>
      <c r="AY267" s="955" t="str">
        <f>$E267&amp;" per woning-/gebouwtype"</f>
        <v>warmte-/koudebehoefte ruimteverwarming [EP] per woning-/gebouwtype</v>
      </c>
      <c r="AZ267" s="945"/>
      <c r="BA267" s="945"/>
      <c r="BB267" s="945"/>
      <c r="BC267" s="945"/>
      <c r="BD267" s="945"/>
      <c r="BE267" s="945"/>
      <c r="BF267" s="945"/>
      <c r="BG267" s="257"/>
      <c r="BH267" s="1"/>
    </row>
    <row r="268" spans="1:60">
      <c r="A268" s="1040"/>
      <c r="B268" s="1109" t="s">
        <v>260</v>
      </c>
      <c r="C268" s="1106" t="s">
        <v>96</v>
      </c>
      <c r="D268" s="638"/>
      <c r="E268" s="942" t="str">
        <f>E267</f>
        <v>warmte-/koudebehoefte ruimteverwarming [EP]</v>
      </c>
      <c r="F268" s="942"/>
      <c r="G268" s="942"/>
      <c r="H268" s="942"/>
      <c r="I268" s="129"/>
      <c r="J268" s="943"/>
      <c r="K268" s="126"/>
      <c r="L268" s="126"/>
      <c r="M268" s="944"/>
      <c r="N268" s="195"/>
      <c r="O268" s="258" t="str">
        <f>O$17</f>
        <v/>
      </c>
      <c r="P268" s="258" t="str">
        <f t="shared" ref="P268:W268" si="220">P$17</f>
        <v/>
      </c>
      <c r="Q268" s="258" t="str">
        <f t="shared" si="220"/>
        <v/>
      </c>
      <c r="R268" s="258" t="str">
        <f t="shared" si="220"/>
        <v/>
      </c>
      <c r="S268" s="258" t="str">
        <f t="shared" si="220"/>
        <v/>
      </c>
      <c r="T268" s="258" t="str">
        <f t="shared" si="220"/>
        <v/>
      </c>
      <c r="U268" s="258" t="str">
        <f t="shared" si="220"/>
        <v/>
      </c>
      <c r="V268" s="258" t="str">
        <f t="shared" si="220"/>
        <v/>
      </c>
      <c r="W268" s="258" t="str">
        <f t="shared" si="220"/>
        <v/>
      </c>
      <c r="X268" s="195"/>
      <c r="Y268" s="944"/>
      <c r="Z268" s="195"/>
      <c r="AA268" s="258" t="str">
        <f>AA$17</f>
        <v/>
      </c>
      <c r="AB268" s="258" t="str">
        <f t="shared" ref="AB268:AI268" si="221">AB$17</f>
        <v/>
      </c>
      <c r="AC268" s="258" t="str">
        <f t="shared" si="221"/>
        <v/>
      </c>
      <c r="AD268" s="258" t="str">
        <f t="shared" si="221"/>
        <v/>
      </c>
      <c r="AE268" s="258" t="str">
        <f t="shared" si="221"/>
        <v/>
      </c>
      <c r="AF268" s="258" t="str">
        <f t="shared" si="221"/>
        <v/>
      </c>
      <c r="AG268" s="258" t="str">
        <f t="shared" si="221"/>
        <v/>
      </c>
      <c r="AH268" s="258" t="str">
        <f t="shared" si="221"/>
        <v/>
      </c>
      <c r="AI268" s="258" t="str">
        <f t="shared" si="221"/>
        <v/>
      </c>
      <c r="AJ268" s="195"/>
      <c r="AK268" s="944"/>
      <c r="AL268" s="195"/>
      <c r="AM268" s="258" t="str">
        <f>AM$17</f>
        <v/>
      </c>
      <c r="AN268" s="258" t="str">
        <f t="shared" ref="AN268:AU268" si="222">AN$17</f>
        <v/>
      </c>
      <c r="AO268" s="258" t="str">
        <f t="shared" si="222"/>
        <v/>
      </c>
      <c r="AP268" s="258" t="str">
        <f t="shared" si="222"/>
        <v/>
      </c>
      <c r="AQ268" s="258" t="str">
        <f t="shared" si="222"/>
        <v/>
      </c>
      <c r="AR268" s="258" t="str">
        <f t="shared" si="222"/>
        <v/>
      </c>
      <c r="AS268" s="258" t="str">
        <f t="shared" si="222"/>
        <v/>
      </c>
      <c r="AT268" s="258" t="str">
        <f t="shared" si="222"/>
        <v/>
      </c>
      <c r="AU268" s="258" t="str">
        <f t="shared" si="222"/>
        <v/>
      </c>
      <c r="AV268" s="195"/>
      <c r="AW268" s="944"/>
      <c r="AX268" s="195"/>
      <c r="AY268" s="258" t="str">
        <f>AY$17</f>
        <v/>
      </c>
      <c r="AZ268" s="258" t="str">
        <f t="shared" ref="AZ268:BG268" si="223">AZ$17</f>
        <v/>
      </c>
      <c r="BA268" s="258" t="str">
        <f t="shared" si="223"/>
        <v/>
      </c>
      <c r="BB268" s="258" t="str">
        <f t="shared" si="223"/>
        <v/>
      </c>
      <c r="BC268" s="258" t="str">
        <f t="shared" si="223"/>
        <v/>
      </c>
      <c r="BD268" s="258" t="str">
        <f t="shared" si="223"/>
        <v/>
      </c>
      <c r="BE268" s="258" t="str">
        <f t="shared" si="223"/>
        <v/>
      </c>
      <c r="BF268" s="258" t="str">
        <f t="shared" si="223"/>
        <v/>
      </c>
      <c r="BG268" s="258" t="str">
        <f t="shared" si="223"/>
        <v/>
      </c>
      <c r="BH268" s="36"/>
    </row>
    <row r="269" spans="1:60">
      <c r="A269" s="1040"/>
      <c r="B269" s="1109" t="s">
        <v>260</v>
      </c>
      <c r="C269" s="1107" t="s">
        <v>104</v>
      </c>
      <c r="D269" s="641"/>
      <c r="E269" s="180" t="s">
        <v>1159</v>
      </c>
      <c r="F269" s="180"/>
      <c r="G269" s="180"/>
      <c r="H269" s="201" t="s">
        <v>154</v>
      </c>
      <c r="I269" s="114"/>
      <c r="J269" s="190"/>
      <c r="K269" s="1092"/>
      <c r="L269" s="1092"/>
      <c r="M269" s="190"/>
      <c r="N269" s="119"/>
      <c r="O269" s="183" t="str">
        <f t="shared" ref="O269:W269" si="224">IF(O$17="","",O62)</f>
        <v/>
      </c>
      <c r="P269" s="183" t="str">
        <f t="shared" si="224"/>
        <v/>
      </c>
      <c r="Q269" s="183" t="str">
        <f t="shared" si="224"/>
        <v/>
      </c>
      <c r="R269" s="183" t="str">
        <f t="shared" si="224"/>
        <v/>
      </c>
      <c r="S269" s="183" t="str">
        <f t="shared" si="224"/>
        <v/>
      </c>
      <c r="T269" s="183" t="str">
        <f t="shared" si="224"/>
        <v/>
      </c>
      <c r="U269" s="183" t="str">
        <f t="shared" si="224"/>
        <v/>
      </c>
      <c r="V269" s="183" t="str">
        <f t="shared" si="224"/>
        <v/>
      </c>
      <c r="W269" s="183" t="str">
        <f t="shared" si="224"/>
        <v/>
      </c>
      <c r="X269" s="108"/>
      <c r="Y269" s="190"/>
      <c r="Z269" s="119"/>
      <c r="AA269" s="183" t="str">
        <f t="shared" ref="AA269:AI269" si="225">IF(AA$17="","",AA62)</f>
        <v/>
      </c>
      <c r="AB269" s="183" t="str">
        <f t="shared" si="225"/>
        <v/>
      </c>
      <c r="AC269" s="183" t="str">
        <f t="shared" si="225"/>
        <v/>
      </c>
      <c r="AD269" s="183" t="str">
        <f t="shared" si="225"/>
        <v/>
      </c>
      <c r="AE269" s="183" t="str">
        <f t="shared" si="225"/>
        <v/>
      </c>
      <c r="AF269" s="183" t="str">
        <f t="shared" si="225"/>
        <v/>
      </c>
      <c r="AG269" s="183" t="str">
        <f t="shared" si="225"/>
        <v/>
      </c>
      <c r="AH269" s="183" t="str">
        <f t="shared" si="225"/>
        <v/>
      </c>
      <c r="AI269" s="183" t="str">
        <f t="shared" si="225"/>
        <v/>
      </c>
      <c r="AJ269" s="108"/>
      <c r="AK269" s="190"/>
      <c r="AL269" s="119"/>
      <c r="AM269" s="183" t="str">
        <f t="shared" ref="AM269:AU269" si="226">IF(AM$17="","",AM62)</f>
        <v/>
      </c>
      <c r="AN269" s="183" t="str">
        <f t="shared" si="226"/>
        <v/>
      </c>
      <c r="AO269" s="183" t="str">
        <f t="shared" si="226"/>
        <v/>
      </c>
      <c r="AP269" s="183" t="str">
        <f t="shared" si="226"/>
        <v/>
      </c>
      <c r="AQ269" s="183" t="str">
        <f t="shared" si="226"/>
        <v/>
      </c>
      <c r="AR269" s="183" t="str">
        <f t="shared" si="226"/>
        <v/>
      </c>
      <c r="AS269" s="183" t="str">
        <f t="shared" si="226"/>
        <v/>
      </c>
      <c r="AT269" s="183" t="str">
        <f t="shared" si="226"/>
        <v/>
      </c>
      <c r="AU269" s="183" t="str">
        <f t="shared" si="226"/>
        <v/>
      </c>
      <c r="AV269" s="108"/>
      <c r="AW269" s="190"/>
      <c r="AX269" s="119"/>
      <c r="AY269" s="183" t="str">
        <f t="shared" ref="AY269:BG269" si="227">IF(AY$17="","",AY62)</f>
        <v/>
      </c>
      <c r="AZ269" s="183" t="str">
        <f t="shared" si="227"/>
        <v/>
      </c>
      <c r="BA269" s="183" t="str">
        <f t="shared" si="227"/>
        <v/>
      </c>
      <c r="BB269" s="183" t="str">
        <f t="shared" si="227"/>
        <v/>
      </c>
      <c r="BC269" s="183" t="str">
        <f t="shared" si="227"/>
        <v/>
      </c>
      <c r="BD269" s="183" t="str">
        <f t="shared" si="227"/>
        <v/>
      </c>
      <c r="BE269" s="183" t="str">
        <f t="shared" si="227"/>
        <v/>
      </c>
      <c r="BF269" s="183" t="str">
        <f t="shared" si="227"/>
        <v/>
      </c>
      <c r="BG269" s="183" t="str">
        <f t="shared" si="227"/>
        <v/>
      </c>
      <c r="BH269" s="210"/>
    </row>
    <row r="270" spans="1:60">
      <c r="A270" s="1040"/>
      <c r="B270" s="1109" t="s">
        <v>260</v>
      </c>
      <c r="C270" s="1107" t="s">
        <v>104</v>
      </c>
      <c r="D270" s="641"/>
      <c r="E270" s="180" t="s">
        <v>1160</v>
      </c>
      <c r="F270" s="180"/>
      <c r="G270" s="180"/>
      <c r="H270" s="201" t="s">
        <v>154</v>
      </c>
      <c r="I270" s="114"/>
      <c r="J270" s="190"/>
      <c r="K270" s="1092"/>
      <c r="L270" s="1092"/>
      <c r="M270" s="190"/>
      <c r="N270" s="119"/>
      <c r="O270" s="183" t="str">
        <f t="shared" ref="O270:W270" si="228">IF(O$17="","-",O64)</f>
        <v>-</v>
      </c>
      <c r="P270" s="183" t="str">
        <f t="shared" si="228"/>
        <v>-</v>
      </c>
      <c r="Q270" s="183" t="str">
        <f t="shared" si="228"/>
        <v>-</v>
      </c>
      <c r="R270" s="183" t="str">
        <f t="shared" si="228"/>
        <v>-</v>
      </c>
      <c r="S270" s="183" t="str">
        <f t="shared" si="228"/>
        <v>-</v>
      </c>
      <c r="T270" s="183" t="str">
        <f t="shared" si="228"/>
        <v>-</v>
      </c>
      <c r="U270" s="183" t="str">
        <f t="shared" si="228"/>
        <v>-</v>
      </c>
      <c r="V270" s="183" t="str">
        <f t="shared" si="228"/>
        <v>-</v>
      </c>
      <c r="W270" s="183" t="str">
        <f t="shared" si="228"/>
        <v>-</v>
      </c>
      <c r="X270" s="108"/>
      <c r="Y270" s="190"/>
      <c r="Z270" s="119"/>
      <c r="AA270" s="183" t="str">
        <f t="shared" ref="AA270:AI270" si="229">IF(AA$17="","-",AA64)</f>
        <v>-</v>
      </c>
      <c r="AB270" s="183" t="str">
        <f t="shared" si="229"/>
        <v>-</v>
      </c>
      <c r="AC270" s="183" t="str">
        <f t="shared" si="229"/>
        <v>-</v>
      </c>
      <c r="AD270" s="183" t="str">
        <f t="shared" si="229"/>
        <v>-</v>
      </c>
      <c r="AE270" s="183" t="str">
        <f t="shared" si="229"/>
        <v>-</v>
      </c>
      <c r="AF270" s="183" t="str">
        <f t="shared" si="229"/>
        <v>-</v>
      </c>
      <c r="AG270" s="183" t="str">
        <f t="shared" si="229"/>
        <v>-</v>
      </c>
      <c r="AH270" s="183" t="str">
        <f t="shared" si="229"/>
        <v>-</v>
      </c>
      <c r="AI270" s="183" t="str">
        <f t="shared" si="229"/>
        <v>-</v>
      </c>
      <c r="AJ270" s="108"/>
      <c r="AK270" s="190"/>
      <c r="AL270" s="119"/>
      <c r="AM270" s="183" t="str">
        <f t="shared" ref="AM270:AU270" si="230">IF(AM$17="","-",AM64)</f>
        <v>-</v>
      </c>
      <c r="AN270" s="183" t="str">
        <f t="shared" si="230"/>
        <v>-</v>
      </c>
      <c r="AO270" s="183" t="str">
        <f t="shared" si="230"/>
        <v>-</v>
      </c>
      <c r="AP270" s="183" t="str">
        <f t="shared" si="230"/>
        <v>-</v>
      </c>
      <c r="AQ270" s="183" t="str">
        <f t="shared" si="230"/>
        <v>-</v>
      </c>
      <c r="AR270" s="183" t="str">
        <f t="shared" si="230"/>
        <v>-</v>
      </c>
      <c r="AS270" s="183" t="str">
        <f t="shared" si="230"/>
        <v>-</v>
      </c>
      <c r="AT270" s="183" t="str">
        <f t="shared" si="230"/>
        <v>-</v>
      </c>
      <c r="AU270" s="183" t="str">
        <f t="shared" si="230"/>
        <v>-</v>
      </c>
      <c r="AV270" s="108"/>
      <c r="AW270" s="190"/>
      <c r="AX270" s="119"/>
      <c r="AY270" s="183" t="str">
        <f t="shared" ref="AY270:BG270" si="231">IF(AY$17="","-",AY64)</f>
        <v>-</v>
      </c>
      <c r="AZ270" s="183" t="str">
        <f t="shared" si="231"/>
        <v>-</v>
      </c>
      <c r="BA270" s="183" t="str">
        <f t="shared" si="231"/>
        <v>-</v>
      </c>
      <c r="BB270" s="183" t="str">
        <f t="shared" si="231"/>
        <v>-</v>
      </c>
      <c r="BC270" s="183" t="str">
        <f t="shared" si="231"/>
        <v>-</v>
      </c>
      <c r="BD270" s="183" t="str">
        <f t="shared" si="231"/>
        <v>-</v>
      </c>
      <c r="BE270" s="183" t="str">
        <f t="shared" si="231"/>
        <v>-</v>
      </c>
      <c r="BF270" s="183" t="str">
        <f t="shared" si="231"/>
        <v>-</v>
      </c>
      <c r="BG270" s="183" t="str">
        <f t="shared" si="231"/>
        <v>-</v>
      </c>
      <c r="BH270" s="210"/>
    </row>
    <row r="271" spans="1:60">
      <c r="A271" s="1040"/>
      <c r="B271" s="1109" t="s">
        <v>260</v>
      </c>
      <c r="C271" s="1106" t="s">
        <v>96</v>
      </c>
      <c r="D271" s="638"/>
      <c r="E271" s="79"/>
      <c r="F271" s="79"/>
      <c r="G271" s="79"/>
      <c r="H271" s="85"/>
      <c r="I271" s="79"/>
      <c r="J271" s="82"/>
      <c r="K271" s="79"/>
      <c r="L271" s="79"/>
      <c r="M271" s="82"/>
      <c r="N271" s="79"/>
      <c r="O271" s="81"/>
      <c r="P271" s="82"/>
      <c r="Q271" s="82"/>
      <c r="R271" s="82"/>
      <c r="S271" s="82"/>
      <c r="T271" s="82"/>
      <c r="U271" s="82"/>
      <c r="V271" s="82"/>
      <c r="W271" s="82"/>
      <c r="X271" s="82"/>
      <c r="Y271" s="82"/>
      <c r="Z271" s="79"/>
      <c r="AA271" s="79"/>
      <c r="AB271" s="79"/>
      <c r="AC271" s="79"/>
      <c r="AD271" s="79"/>
      <c r="AE271" s="79"/>
      <c r="AF271" s="79"/>
      <c r="AG271" s="79"/>
      <c r="AH271" s="79"/>
      <c r="AI271" s="79"/>
      <c r="AJ271" s="82"/>
      <c r="AK271" s="82"/>
      <c r="AL271" s="79"/>
      <c r="AM271" s="82"/>
      <c r="AN271" s="82"/>
      <c r="AO271" s="82"/>
      <c r="AP271" s="82"/>
      <c r="AQ271" s="82"/>
      <c r="AR271" s="82"/>
      <c r="AS271" s="82"/>
      <c r="AT271" s="82"/>
      <c r="AU271" s="82"/>
      <c r="AV271" s="82"/>
      <c r="AW271" s="82"/>
      <c r="AX271" s="79"/>
      <c r="AY271" s="82"/>
      <c r="AZ271" s="82"/>
      <c r="BA271" s="82"/>
      <c r="BB271" s="82"/>
      <c r="BC271" s="82"/>
      <c r="BD271" s="82"/>
      <c r="BE271" s="82"/>
      <c r="BF271" s="82"/>
      <c r="BG271" s="82"/>
      <c r="BH271" s="1"/>
    </row>
    <row r="272" spans="1:60" hidden="1">
      <c r="A272" s="1040"/>
      <c r="B272" s="1109" t="s">
        <v>261</v>
      </c>
      <c r="C272" s="1106" t="s">
        <v>262</v>
      </c>
      <c r="D272" s="638"/>
      <c r="E272" s="79"/>
      <c r="F272" s="79"/>
      <c r="G272" s="79"/>
      <c r="H272" s="85"/>
      <c r="I272" s="79"/>
      <c r="J272" s="82"/>
      <c r="K272" s="79"/>
      <c r="L272" s="79"/>
      <c r="M272" s="82"/>
      <c r="N272" s="79"/>
      <c r="O272" s="82"/>
      <c r="P272" s="82"/>
      <c r="Q272" s="82"/>
      <c r="R272" s="82"/>
      <c r="S272" s="82"/>
      <c r="T272" s="82"/>
      <c r="U272" s="82"/>
      <c r="V272" s="82"/>
      <c r="W272" s="82"/>
      <c r="X272" s="82"/>
      <c r="Y272" s="82"/>
      <c r="Z272" s="79"/>
      <c r="AA272" s="82"/>
      <c r="AB272" s="82"/>
      <c r="AC272" s="82"/>
      <c r="AD272" s="82"/>
      <c r="AE272" s="82"/>
      <c r="AF272" s="82"/>
      <c r="AG272" s="82"/>
      <c r="AH272" s="82"/>
      <c r="AI272" s="82"/>
      <c r="AJ272" s="82"/>
      <c r="AK272" s="82"/>
      <c r="AL272" s="79"/>
      <c r="AM272" s="82"/>
      <c r="AN272" s="82"/>
      <c r="AO272" s="82"/>
      <c r="AP272" s="82"/>
      <c r="AQ272" s="82"/>
      <c r="AR272" s="82"/>
      <c r="AS272" s="82"/>
      <c r="AT272" s="82"/>
      <c r="AU272" s="82"/>
      <c r="AV272" s="82"/>
      <c r="AW272" s="82"/>
      <c r="AX272" s="79"/>
      <c r="AY272" s="82"/>
      <c r="AZ272" s="82"/>
      <c r="BA272" s="82"/>
      <c r="BB272" s="82"/>
      <c r="BC272" s="82"/>
      <c r="BD272" s="82"/>
      <c r="BE272" s="82"/>
      <c r="BF272" s="82"/>
      <c r="BG272" s="82"/>
      <c r="BH272" s="1"/>
    </row>
    <row r="273" spans="1:60" s="2" customFormat="1" ht="21" hidden="1">
      <c r="A273" s="1038"/>
      <c r="B273" s="1109" t="s">
        <v>261</v>
      </c>
      <c r="C273" s="1106" t="s">
        <v>262</v>
      </c>
      <c r="D273" s="640"/>
      <c r="E273" s="209" t="s">
        <v>263</v>
      </c>
      <c r="F273" s="209"/>
      <c r="G273" s="209"/>
      <c r="H273" s="209"/>
      <c r="I273" s="129"/>
      <c r="J273" s="256" t="str">
        <f>J$10</f>
        <v>alle locaties</v>
      </c>
      <c r="K273" s="126"/>
      <c r="L273" s="126"/>
      <c r="M273" s="256" t="str">
        <f>M$10</f>
        <v>locatie 1</v>
      </c>
      <c r="N273" s="182"/>
      <c r="O273" s="955" t="s">
        <v>1161</v>
      </c>
      <c r="P273" s="945"/>
      <c r="Q273" s="945"/>
      <c r="R273" s="945"/>
      <c r="S273" s="945"/>
      <c r="T273" s="945"/>
      <c r="U273" s="945"/>
      <c r="V273" s="945"/>
      <c r="W273" s="257"/>
      <c r="X273" s="174"/>
      <c r="Y273" s="256" t="str">
        <f>Y$10</f>
        <v>locatie 2</v>
      </c>
      <c r="Z273" s="182"/>
      <c r="AA273" s="955" t="s">
        <v>1161</v>
      </c>
      <c r="AB273" s="945"/>
      <c r="AC273" s="945"/>
      <c r="AD273" s="945"/>
      <c r="AE273" s="945"/>
      <c r="AF273" s="945"/>
      <c r="AG273" s="945"/>
      <c r="AH273" s="945"/>
      <c r="AI273" s="257"/>
      <c r="AJ273" s="174"/>
      <c r="AK273" s="256" t="str">
        <f>AK$10</f>
        <v>locatie 3</v>
      </c>
      <c r="AL273" s="182"/>
      <c r="AM273" s="955" t="s">
        <v>1161</v>
      </c>
      <c r="AN273" s="945"/>
      <c r="AO273" s="945"/>
      <c r="AP273" s="945"/>
      <c r="AQ273" s="945"/>
      <c r="AR273" s="945"/>
      <c r="AS273" s="945"/>
      <c r="AT273" s="945"/>
      <c r="AU273" s="257"/>
      <c r="AV273" s="174"/>
      <c r="AW273" s="256" t="str">
        <f>AW$10</f>
        <v>locatie 4</v>
      </c>
      <c r="AX273" s="182"/>
      <c r="AY273" s="955" t="s">
        <v>1161</v>
      </c>
      <c r="AZ273" s="945"/>
      <c r="BA273" s="945"/>
      <c r="BB273" s="945"/>
      <c r="BC273" s="945"/>
      <c r="BD273" s="945"/>
      <c r="BE273" s="945"/>
      <c r="BF273" s="945"/>
      <c r="BG273" s="257"/>
      <c r="BH273" s="1"/>
    </row>
    <row r="274" spans="1:60" hidden="1">
      <c r="A274" s="1040"/>
      <c r="B274" s="1109" t="s">
        <v>261</v>
      </c>
      <c r="C274" s="1106" t="s">
        <v>262</v>
      </c>
      <c r="D274" s="638"/>
      <c r="E274" s="942" t="s">
        <v>1317</v>
      </c>
      <c r="F274" s="942"/>
      <c r="G274" s="942"/>
      <c r="H274" s="942"/>
      <c r="I274" s="129"/>
      <c r="J274" s="943"/>
      <c r="K274" s="126"/>
      <c r="L274" s="126"/>
      <c r="M274" s="944"/>
      <c r="N274" s="195"/>
      <c r="O274" s="258" t="str">
        <f>O$17</f>
        <v/>
      </c>
      <c r="P274" s="258" t="str">
        <f t="shared" ref="P274:W274" si="232">P$17</f>
        <v/>
      </c>
      <c r="Q274" s="258" t="str">
        <f t="shared" si="232"/>
        <v/>
      </c>
      <c r="R274" s="258" t="str">
        <f t="shared" si="232"/>
        <v/>
      </c>
      <c r="S274" s="258" t="str">
        <f t="shared" si="232"/>
        <v/>
      </c>
      <c r="T274" s="258" t="str">
        <f t="shared" si="232"/>
        <v/>
      </c>
      <c r="U274" s="258" t="str">
        <f t="shared" si="232"/>
        <v/>
      </c>
      <c r="V274" s="258" t="str">
        <f t="shared" si="232"/>
        <v/>
      </c>
      <c r="W274" s="258" t="str">
        <f t="shared" si="232"/>
        <v/>
      </c>
      <c r="X274" s="195"/>
      <c r="Y274" s="944"/>
      <c r="Z274" s="195"/>
      <c r="AA274" s="258" t="str">
        <f>AA$17</f>
        <v/>
      </c>
      <c r="AB274" s="258" t="str">
        <f t="shared" ref="AB274:AI274" si="233">AB$17</f>
        <v/>
      </c>
      <c r="AC274" s="258" t="str">
        <f t="shared" si="233"/>
        <v/>
      </c>
      <c r="AD274" s="258" t="str">
        <f t="shared" si="233"/>
        <v/>
      </c>
      <c r="AE274" s="258" t="str">
        <f t="shared" si="233"/>
        <v/>
      </c>
      <c r="AF274" s="258" t="str">
        <f t="shared" si="233"/>
        <v/>
      </c>
      <c r="AG274" s="258" t="str">
        <f t="shared" si="233"/>
        <v/>
      </c>
      <c r="AH274" s="258" t="str">
        <f t="shared" si="233"/>
        <v/>
      </c>
      <c r="AI274" s="258" t="str">
        <f t="shared" si="233"/>
        <v/>
      </c>
      <c r="AJ274" s="195"/>
      <c r="AK274" s="944"/>
      <c r="AL274" s="195"/>
      <c r="AM274" s="258" t="str">
        <f>AM$17</f>
        <v/>
      </c>
      <c r="AN274" s="258" t="str">
        <f t="shared" ref="AN274:AU274" si="234">AN$17</f>
        <v/>
      </c>
      <c r="AO274" s="258" t="str">
        <f t="shared" si="234"/>
        <v/>
      </c>
      <c r="AP274" s="258" t="str">
        <f t="shared" si="234"/>
        <v/>
      </c>
      <c r="AQ274" s="258" t="str">
        <f t="shared" si="234"/>
        <v/>
      </c>
      <c r="AR274" s="258" t="str">
        <f t="shared" si="234"/>
        <v/>
      </c>
      <c r="AS274" s="258" t="str">
        <f t="shared" si="234"/>
        <v/>
      </c>
      <c r="AT274" s="258" t="str">
        <f t="shared" si="234"/>
        <v/>
      </c>
      <c r="AU274" s="258" t="str">
        <f t="shared" si="234"/>
        <v/>
      </c>
      <c r="AV274" s="195"/>
      <c r="AW274" s="944"/>
      <c r="AX274" s="195"/>
      <c r="AY274" s="258" t="str">
        <f>AY$17</f>
        <v/>
      </c>
      <c r="AZ274" s="258" t="str">
        <f t="shared" ref="AZ274:BG274" si="235">AZ$17</f>
        <v/>
      </c>
      <c r="BA274" s="258" t="str">
        <f t="shared" si="235"/>
        <v/>
      </c>
      <c r="BB274" s="258" t="str">
        <f t="shared" si="235"/>
        <v/>
      </c>
      <c r="BC274" s="258" t="str">
        <f t="shared" si="235"/>
        <v/>
      </c>
      <c r="BD274" s="258" t="str">
        <f t="shared" si="235"/>
        <v/>
      </c>
      <c r="BE274" s="258" t="str">
        <f t="shared" si="235"/>
        <v/>
      </c>
      <c r="BF274" s="258" t="str">
        <f t="shared" si="235"/>
        <v/>
      </c>
      <c r="BG274" s="258" t="str">
        <f t="shared" si="235"/>
        <v/>
      </c>
      <c r="BH274" s="36"/>
    </row>
    <row r="275" spans="1:60" hidden="1">
      <c r="A275" s="1040"/>
      <c r="B275" s="1109" t="s">
        <v>261</v>
      </c>
      <c r="C275" s="1106" t="s">
        <v>262</v>
      </c>
      <c r="D275" s="641" t="s">
        <v>45</v>
      </c>
      <c r="E275" s="180" t="s">
        <v>264</v>
      </c>
      <c r="F275" s="180"/>
      <c r="G275" s="180"/>
      <c r="H275" s="201" t="s">
        <v>65</v>
      </c>
      <c r="I275" s="114"/>
      <c r="J275" s="190"/>
      <c r="K275" s="195"/>
      <c r="L275" s="195"/>
      <c r="M275" s="357">
        <f>SUM(N275:X275)</f>
        <v>0</v>
      </c>
      <c r="N275" s="358"/>
      <c r="O275" s="228">
        <f t="shared" ref="O275:W275" si="236">IF(OR(O$17="",$M62=0),0,O$30*O62/$M62/1000)</f>
        <v>0</v>
      </c>
      <c r="P275" s="228">
        <f t="shared" si="236"/>
        <v>0</v>
      </c>
      <c r="Q275" s="228">
        <f t="shared" si="236"/>
        <v>0</v>
      </c>
      <c r="R275" s="228">
        <f t="shared" si="236"/>
        <v>0</v>
      </c>
      <c r="S275" s="228">
        <f t="shared" si="236"/>
        <v>0</v>
      </c>
      <c r="T275" s="228">
        <f t="shared" si="236"/>
        <v>0</v>
      </c>
      <c r="U275" s="228">
        <f t="shared" si="236"/>
        <v>0</v>
      </c>
      <c r="V275" s="228">
        <f t="shared" si="236"/>
        <v>0</v>
      </c>
      <c r="W275" s="228">
        <f t="shared" si="236"/>
        <v>0</v>
      </c>
      <c r="X275" s="356"/>
      <c r="Y275" s="357">
        <f>SUM(Z275:AJ275)</f>
        <v>0</v>
      </c>
      <c r="Z275" s="358"/>
      <c r="AA275" s="228">
        <f t="shared" ref="AA275:AI275" si="237">IF(OR(AA$17="",$Y62=0),0,AA$30*AA62/$Y62/1000)</f>
        <v>0</v>
      </c>
      <c r="AB275" s="228">
        <f t="shared" si="237"/>
        <v>0</v>
      </c>
      <c r="AC275" s="228">
        <f t="shared" si="237"/>
        <v>0</v>
      </c>
      <c r="AD275" s="228">
        <f t="shared" si="237"/>
        <v>0</v>
      </c>
      <c r="AE275" s="228">
        <f t="shared" si="237"/>
        <v>0</v>
      </c>
      <c r="AF275" s="228">
        <f t="shared" si="237"/>
        <v>0</v>
      </c>
      <c r="AG275" s="228">
        <f t="shared" si="237"/>
        <v>0</v>
      </c>
      <c r="AH275" s="228">
        <f t="shared" si="237"/>
        <v>0</v>
      </c>
      <c r="AI275" s="228">
        <f t="shared" si="237"/>
        <v>0</v>
      </c>
      <c r="AJ275" s="356"/>
      <c r="AK275" s="357">
        <f>SUM(AL275:AV275)</f>
        <v>0</v>
      </c>
      <c r="AL275" s="358"/>
      <c r="AM275" s="228">
        <f t="shared" ref="AM275:AU275" si="238">IF(OR(AM$17="",$AK62=0),0,AM$30*AM62/$AK62/1000)</f>
        <v>0</v>
      </c>
      <c r="AN275" s="228">
        <f t="shared" si="238"/>
        <v>0</v>
      </c>
      <c r="AO275" s="228">
        <f t="shared" si="238"/>
        <v>0</v>
      </c>
      <c r="AP275" s="228">
        <f t="shared" si="238"/>
        <v>0</v>
      </c>
      <c r="AQ275" s="228">
        <f t="shared" si="238"/>
        <v>0</v>
      </c>
      <c r="AR275" s="228">
        <f t="shared" si="238"/>
        <v>0</v>
      </c>
      <c r="AS275" s="228">
        <f t="shared" si="238"/>
        <v>0</v>
      </c>
      <c r="AT275" s="228">
        <f t="shared" si="238"/>
        <v>0</v>
      </c>
      <c r="AU275" s="228">
        <f t="shared" si="238"/>
        <v>0</v>
      </c>
      <c r="AV275" s="356"/>
      <c r="AW275" s="357">
        <f>SUM(AX275:BH275)</f>
        <v>0</v>
      </c>
      <c r="AX275" s="358"/>
      <c r="AY275" s="228">
        <f t="shared" ref="AY275:BG275" si="239">IF(OR(AY$17="",$AW62=0),0,AY$30*AY62/$AW62/1000)</f>
        <v>0</v>
      </c>
      <c r="AZ275" s="228">
        <f t="shared" si="239"/>
        <v>0</v>
      </c>
      <c r="BA275" s="228">
        <f t="shared" si="239"/>
        <v>0</v>
      </c>
      <c r="BB275" s="228">
        <f t="shared" si="239"/>
        <v>0</v>
      </c>
      <c r="BC275" s="228">
        <f t="shared" si="239"/>
        <v>0</v>
      </c>
      <c r="BD275" s="228">
        <f t="shared" si="239"/>
        <v>0</v>
      </c>
      <c r="BE275" s="228">
        <f t="shared" si="239"/>
        <v>0</v>
      </c>
      <c r="BF275" s="228">
        <f t="shared" si="239"/>
        <v>0</v>
      </c>
      <c r="BG275" s="228">
        <f t="shared" si="239"/>
        <v>0</v>
      </c>
      <c r="BH275" s="210"/>
    </row>
    <row r="276" spans="1:60" hidden="1">
      <c r="A276" s="1040"/>
      <c r="B276" s="1109" t="s">
        <v>261</v>
      </c>
      <c r="C276" s="1106" t="s">
        <v>262</v>
      </c>
      <c r="D276" s="638"/>
      <c r="E276" s="180" t="s">
        <v>265</v>
      </c>
      <c r="F276" s="180"/>
      <c r="G276" s="180"/>
      <c r="H276" s="201" t="s">
        <v>65</v>
      </c>
      <c r="I276" s="114"/>
      <c r="J276" s="190"/>
      <c r="K276" s="195"/>
      <c r="L276" s="195"/>
      <c r="M276" s="357">
        <f>SUM(N276:X276)</f>
        <v>0</v>
      </c>
      <c r="N276" s="358"/>
      <c r="O276" s="228">
        <f t="shared" ref="O276:W276" si="240">IF(OR(O$17="",$M64=0),0,O$30*O64/$M64/1000)</f>
        <v>0</v>
      </c>
      <c r="P276" s="228">
        <f t="shared" si="240"/>
        <v>0</v>
      </c>
      <c r="Q276" s="228">
        <f t="shared" si="240"/>
        <v>0</v>
      </c>
      <c r="R276" s="228">
        <f t="shared" si="240"/>
        <v>0</v>
      </c>
      <c r="S276" s="228">
        <f t="shared" si="240"/>
        <v>0</v>
      </c>
      <c r="T276" s="228">
        <f t="shared" si="240"/>
        <v>0</v>
      </c>
      <c r="U276" s="228">
        <f t="shared" si="240"/>
        <v>0</v>
      </c>
      <c r="V276" s="228">
        <f t="shared" si="240"/>
        <v>0</v>
      </c>
      <c r="W276" s="228">
        <f t="shared" si="240"/>
        <v>0</v>
      </c>
      <c r="X276" s="356"/>
      <c r="Y276" s="357">
        <f>SUM(Z276:AJ276)</f>
        <v>0</v>
      </c>
      <c r="Z276" s="358"/>
      <c r="AA276" s="228">
        <f t="shared" ref="AA276:AI276" si="241">IF(OR(AA$17="",$Y64=0),0,AA$30*AA64/$Y64/1000)</f>
        <v>0</v>
      </c>
      <c r="AB276" s="228">
        <f t="shared" si="241"/>
        <v>0</v>
      </c>
      <c r="AC276" s="228">
        <f t="shared" si="241"/>
        <v>0</v>
      </c>
      <c r="AD276" s="228">
        <f t="shared" si="241"/>
        <v>0</v>
      </c>
      <c r="AE276" s="228">
        <f t="shared" si="241"/>
        <v>0</v>
      </c>
      <c r="AF276" s="228">
        <f t="shared" si="241"/>
        <v>0</v>
      </c>
      <c r="AG276" s="228">
        <f t="shared" si="241"/>
        <v>0</v>
      </c>
      <c r="AH276" s="228">
        <f t="shared" si="241"/>
        <v>0</v>
      </c>
      <c r="AI276" s="228">
        <f t="shared" si="241"/>
        <v>0</v>
      </c>
      <c r="AJ276" s="356"/>
      <c r="AK276" s="357">
        <f>SUM(AL276:AV276)</f>
        <v>0</v>
      </c>
      <c r="AL276" s="358"/>
      <c r="AM276" s="228">
        <f t="shared" ref="AM276:AU276" si="242">IF(OR(AM$17="",$AK64=0),0,AM$30*AM64/$AK64/1000)</f>
        <v>0</v>
      </c>
      <c r="AN276" s="228">
        <f t="shared" si="242"/>
        <v>0</v>
      </c>
      <c r="AO276" s="228">
        <f t="shared" si="242"/>
        <v>0</v>
      </c>
      <c r="AP276" s="228">
        <f t="shared" si="242"/>
        <v>0</v>
      </c>
      <c r="AQ276" s="228">
        <f t="shared" si="242"/>
        <v>0</v>
      </c>
      <c r="AR276" s="228">
        <f t="shared" si="242"/>
        <v>0</v>
      </c>
      <c r="AS276" s="228">
        <f t="shared" si="242"/>
        <v>0</v>
      </c>
      <c r="AT276" s="228">
        <f t="shared" si="242"/>
        <v>0</v>
      </c>
      <c r="AU276" s="228">
        <f t="shared" si="242"/>
        <v>0</v>
      </c>
      <c r="AV276" s="356"/>
      <c r="AW276" s="357">
        <f>SUM(AX276:BH276)</f>
        <v>0</v>
      </c>
      <c r="AX276" s="358"/>
      <c r="AY276" s="228">
        <f t="shared" ref="AY276:BG276" si="243">IF(OR(AY$17="",$AW64=0),0,AY$30*AY64/$AW64/1000)</f>
        <v>0</v>
      </c>
      <c r="AZ276" s="228">
        <f t="shared" si="243"/>
        <v>0</v>
      </c>
      <c r="BA276" s="228">
        <f t="shared" si="243"/>
        <v>0</v>
      </c>
      <c r="BB276" s="228">
        <f t="shared" si="243"/>
        <v>0</v>
      </c>
      <c r="BC276" s="228">
        <f t="shared" si="243"/>
        <v>0</v>
      </c>
      <c r="BD276" s="228">
        <f t="shared" si="243"/>
        <v>0</v>
      </c>
      <c r="BE276" s="228">
        <f t="shared" si="243"/>
        <v>0</v>
      </c>
      <c r="BF276" s="228">
        <f t="shared" si="243"/>
        <v>0</v>
      </c>
      <c r="BG276" s="228">
        <f t="shared" si="243"/>
        <v>0</v>
      </c>
      <c r="BH276" s="210"/>
    </row>
    <row r="277" spans="1:60" hidden="1">
      <c r="A277" s="1040"/>
      <c r="B277" s="1109" t="s">
        <v>261</v>
      </c>
      <c r="C277" s="1106" t="s">
        <v>262</v>
      </c>
      <c r="D277" s="638"/>
      <c r="E277" s="180" t="s">
        <v>266</v>
      </c>
      <c r="F277" s="180"/>
      <c r="G277" s="180"/>
      <c r="H277" s="201" t="s">
        <v>65</v>
      </c>
      <c r="I277" s="114"/>
      <c r="J277" s="190"/>
      <c r="K277" s="195"/>
      <c r="L277" s="195"/>
      <c r="M277" s="357">
        <f>SUM(N277:X277)</f>
        <v>0</v>
      </c>
      <c r="N277" s="358"/>
      <c r="O277" s="228">
        <f t="shared" ref="O277:W277" si="244">IF(OR(O$17="",$M$65=0),0,O$30*O65/$M65/1000)</f>
        <v>0</v>
      </c>
      <c r="P277" s="228">
        <f t="shared" si="244"/>
        <v>0</v>
      </c>
      <c r="Q277" s="228">
        <f t="shared" si="244"/>
        <v>0</v>
      </c>
      <c r="R277" s="228">
        <f t="shared" si="244"/>
        <v>0</v>
      </c>
      <c r="S277" s="228">
        <f t="shared" si="244"/>
        <v>0</v>
      </c>
      <c r="T277" s="228">
        <f t="shared" si="244"/>
        <v>0</v>
      </c>
      <c r="U277" s="228">
        <f t="shared" si="244"/>
        <v>0</v>
      </c>
      <c r="V277" s="228">
        <f t="shared" si="244"/>
        <v>0</v>
      </c>
      <c r="W277" s="228">
        <f t="shared" si="244"/>
        <v>0</v>
      </c>
      <c r="X277" s="356"/>
      <c r="Y277" s="357">
        <f>SUM(Z277:AJ277)</f>
        <v>0</v>
      </c>
      <c r="Z277" s="358"/>
      <c r="AA277" s="228">
        <f t="shared" ref="AA277:AI277" si="245">IF(OR(AA$17="",$Y$65=0),0,AA$30*AA65/$Y65/1000)</f>
        <v>0</v>
      </c>
      <c r="AB277" s="228">
        <f t="shared" si="245"/>
        <v>0</v>
      </c>
      <c r="AC277" s="228">
        <f t="shared" si="245"/>
        <v>0</v>
      </c>
      <c r="AD277" s="228">
        <f t="shared" si="245"/>
        <v>0</v>
      </c>
      <c r="AE277" s="228">
        <f t="shared" si="245"/>
        <v>0</v>
      </c>
      <c r="AF277" s="228">
        <f t="shared" si="245"/>
        <v>0</v>
      </c>
      <c r="AG277" s="228">
        <f t="shared" si="245"/>
        <v>0</v>
      </c>
      <c r="AH277" s="228">
        <f t="shared" si="245"/>
        <v>0</v>
      </c>
      <c r="AI277" s="228">
        <f t="shared" si="245"/>
        <v>0</v>
      </c>
      <c r="AJ277" s="356"/>
      <c r="AK277" s="357">
        <f>SUM(AL277:AV277)</f>
        <v>0</v>
      </c>
      <c r="AL277" s="358"/>
      <c r="AM277" s="228">
        <f t="shared" ref="AM277:AU277" si="246">IF(OR(AM$17="",$AK$65=0),0,AM$30*AM65/$AK65/1000)</f>
        <v>0</v>
      </c>
      <c r="AN277" s="228">
        <f t="shared" si="246"/>
        <v>0</v>
      </c>
      <c r="AO277" s="228">
        <f t="shared" si="246"/>
        <v>0</v>
      </c>
      <c r="AP277" s="228">
        <f t="shared" si="246"/>
        <v>0</v>
      </c>
      <c r="AQ277" s="228">
        <f t="shared" si="246"/>
        <v>0</v>
      </c>
      <c r="AR277" s="228">
        <f t="shared" si="246"/>
        <v>0</v>
      </c>
      <c r="AS277" s="228">
        <f t="shared" si="246"/>
        <v>0</v>
      </c>
      <c r="AT277" s="228">
        <f t="shared" si="246"/>
        <v>0</v>
      </c>
      <c r="AU277" s="228">
        <f t="shared" si="246"/>
        <v>0</v>
      </c>
      <c r="AV277" s="356"/>
      <c r="AW277" s="357">
        <f>SUM(AX277:BH277)</f>
        <v>0</v>
      </c>
      <c r="AX277" s="358"/>
      <c r="AY277" s="228">
        <f t="shared" ref="AY277:BG277" si="247">IF(OR(AY$17="",$AW$65=0),0,AY$30*AY65/$AW65/1000)</f>
        <v>0</v>
      </c>
      <c r="AZ277" s="228">
        <f t="shared" si="247"/>
        <v>0</v>
      </c>
      <c r="BA277" s="228">
        <f t="shared" si="247"/>
        <v>0</v>
      </c>
      <c r="BB277" s="228">
        <f t="shared" si="247"/>
        <v>0</v>
      </c>
      <c r="BC277" s="228">
        <f t="shared" si="247"/>
        <v>0</v>
      </c>
      <c r="BD277" s="228">
        <f t="shared" si="247"/>
        <v>0</v>
      </c>
      <c r="BE277" s="228">
        <f t="shared" si="247"/>
        <v>0</v>
      </c>
      <c r="BF277" s="228">
        <f t="shared" si="247"/>
        <v>0</v>
      </c>
      <c r="BG277" s="228">
        <f t="shared" si="247"/>
        <v>0</v>
      </c>
      <c r="BH277" s="210"/>
    </row>
    <row r="278" spans="1:60" hidden="1">
      <c r="A278" s="1040"/>
      <c r="B278" s="1109" t="s">
        <v>261</v>
      </c>
      <c r="C278" s="1106" t="s">
        <v>262</v>
      </c>
      <c r="D278" s="638"/>
      <c r="E278" s="79"/>
      <c r="F278" s="79"/>
      <c r="G278" s="79"/>
      <c r="H278" s="85"/>
      <c r="I278" s="79"/>
      <c r="J278" s="82"/>
      <c r="K278" s="79"/>
      <c r="L278" s="79"/>
      <c r="M278" s="82"/>
      <c r="N278" s="79"/>
      <c r="O278" s="81"/>
      <c r="P278" s="82"/>
      <c r="Q278" s="82"/>
      <c r="R278" s="82"/>
      <c r="S278" s="82"/>
      <c r="T278" s="82"/>
      <c r="U278" s="82"/>
      <c r="V278" s="82"/>
      <c r="W278" s="82"/>
      <c r="X278" s="82"/>
      <c r="Y278" s="82"/>
      <c r="Z278" s="79"/>
      <c r="AA278" s="79"/>
      <c r="AB278" s="79"/>
      <c r="AC278" s="79"/>
      <c r="AD278" s="79"/>
      <c r="AE278" s="79"/>
      <c r="AF278" s="79"/>
      <c r="AG278" s="79"/>
      <c r="AH278" s="79"/>
      <c r="AI278" s="79"/>
      <c r="AJ278" s="82"/>
      <c r="AK278" s="82"/>
      <c r="AL278" s="79"/>
      <c r="AM278" s="82"/>
      <c r="AN278" s="82"/>
      <c r="AO278" s="82"/>
      <c r="AP278" s="82"/>
      <c r="AQ278" s="82"/>
      <c r="AR278" s="82"/>
      <c r="AS278" s="82"/>
      <c r="AT278" s="82"/>
      <c r="AU278" s="82"/>
      <c r="AV278" s="82"/>
      <c r="AW278" s="82"/>
      <c r="AX278" s="79"/>
      <c r="AY278" s="82"/>
      <c r="AZ278" s="82"/>
      <c r="BA278" s="82"/>
      <c r="BB278" s="82"/>
      <c r="BC278" s="82"/>
      <c r="BD278" s="82"/>
      <c r="BE278" s="82"/>
      <c r="BF278" s="82"/>
      <c r="BG278" s="82"/>
      <c r="BH278" s="1"/>
    </row>
    <row r="279" spans="1:60">
      <c r="A279" s="1040"/>
      <c r="B279" s="1109" t="s">
        <v>1219</v>
      </c>
      <c r="C279" s="1107" t="s">
        <v>96</v>
      </c>
      <c r="D279" s="638"/>
      <c r="E279" s="79"/>
      <c r="F279" s="79"/>
      <c r="G279" s="79"/>
      <c r="H279" s="85"/>
      <c r="I279" s="79"/>
      <c r="J279" s="82"/>
      <c r="K279" s="79"/>
      <c r="L279" s="79"/>
      <c r="M279" s="82"/>
      <c r="N279" s="79"/>
      <c r="O279" s="82"/>
      <c r="P279" s="1098"/>
      <c r="Q279" s="82"/>
      <c r="R279" s="82"/>
      <c r="S279" s="82"/>
      <c r="T279" s="82"/>
      <c r="U279" s="82"/>
      <c r="V279" s="82"/>
      <c r="W279" s="82"/>
      <c r="X279" s="82"/>
      <c r="Y279" s="82"/>
      <c r="Z279" s="79"/>
      <c r="AA279" s="82"/>
      <c r="AB279" s="82"/>
      <c r="AC279" s="82"/>
      <c r="AD279" s="82"/>
      <c r="AE279" s="82"/>
      <c r="AF279" s="82"/>
      <c r="AG279" s="82"/>
      <c r="AH279" s="82"/>
      <c r="AI279" s="82"/>
      <c r="AJ279" s="82"/>
      <c r="AK279" s="82"/>
      <c r="AL279" s="79"/>
      <c r="AM279" s="82"/>
      <c r="AN279" s="82"/>
      <c r="AO279" s="82"/>
      <c r="AP279" s="82"/>
      <c r="AQ279" s="82"/>
      <c r="AR279" s="82"/>
      <c r="AS279" s="82"/>
      <c r="AT279" s="82"/>
      <c r="AU279" s="82"/>
      <c r="AV279" s="82"/>
      <c r="AW279" s="82"/>
      <c r="AX279" s="79"/>
      <c r="AY279" s="82"/>
      <c r="AZ279" s="82"/>
      <c r="BA279" s="82"/>
      <c r="BB279" s="82"/>
      <c r="BC279" s="82"/>
      <c r="BD279" s="82"/>
      <c r="BE279" s="82"/>
      <c r="BF279" s="82"/>
      <c r="BG279" s="82"/>
      <c r="BH279" s="1"/>
    </row>
    <row r="280" spans="1:60" s="2" customFormat="1" ht="21">
      <c r="A280" s="1038"/>
      <c r="B280" s="1109" t="s">
        <v>1219</v>
      </c>
      <c r="C280" s="1106" t="s">
        <v>96</v>
      </c>
      <c r="D280" s="640" t="s">
        <v>45</v>
      </c>
      <c r="E280" s="209" t="s">
        <v>1220</v>
      </c>
      <c r="F280" s="209"/>
      <c r="G280" s="209"/>
      <c r="H280" s="209"/>
      <c r="I280" s="129"/>
      <c r="J280" s="256" t="str">
        <f>"MWh "&amp;J$8</f>
        <v>MWh alle locaties</v>
      </c>
      <c r="K280" s="126"/>
      <c r="L280" s="126"/>
      <c r="M280" s="256" t="str">
        <f>"MWh "&amp;M$8</f>
        <v>MWh locatie 1</v>
      </c>
      <c r="N280" s="182"/>
      <c r="O280" s="955" t="str">
        <f>$E280&amp;" per woning-/gebouwtype"</f>
        <v>primair fossiel energiegebruik per woning-/gebouwtype</v>
      </c>
      <c r="P280" s="945"/>
      <c r="Q280" s="945"/>
      <c r="R280" s="945"/>
      <c r="S280" s="945"/>
      <c r="T280" s="945"/>
      <c r="U280" s="945"/>
      <c r="V280" s="945"/>
      <c r="W280" s="257"/>
      <c r="X280" s="174"/>
      <c r="Y280" s="256" t="str">
        <f>"MWh "&amp;Y$8</f>
        <v>MWh locatie 2</v>
      </c>
      <c r="Z280" s="182"/>
      <c r="AA280" s="955" t="str">
        <f>$E280&amp;" per woning-/gebouwtype"</f>
        <v>primair fossiel energiegebruik per woning-/gebouwtype</v>
      </c>
      <c r="AB280" s="945"/>
      <c r="AC280" s="945"/>
      <c r="AD280" s="945"/>
      <c r="AE280" s="945"/>
      <c r="AF280" s="945"/>
      <c r="AG280" s="945"/>
      <c r="AH280" s="945"/>
      <c r="AI280" s="257"/>
      <c r="AJ280" s="174"/>
      <c r="AK280" s="256" t="str">
        <f>"MWh "&amp;AK$8</f>
        <v>MWh locatie 3</v>
      </c>
      <c r="AL280" s="182"/>
      <c r="AM280" s="955" t="str">
        <f>$E280&amp;" per woning-/gebouwtype"</f>
        <v>primair fossiel energiegebruik per woning-/gebouwtype</v>
      </c>
      <c r="AN280" s="945"/>
      <c r="AO280" s="945"/>
      <c r="AP280" s="945"/>
      <c r="AQ280" s="945"/>
      <c r="AR280" s="945"/>
      <c r="AS280" s="945"/>
      <c r="AT280" s="945"/>
      <c r="AU280" s="257"/>
      <c r="AV280" s="174"/>
      <c r="AW280" s="256" t="str">
        <f>"MWh "&amp;AW$8</f>
        <v>MWh locatie 4</v>
      </c>
      <c r="AX280" s="182"/>
      <c r="AY280" s="955" t="str">
        <f>$E280&amp;" per woning-/gebouwtype"</f>
        <v>primair fossiel energiegebruik per woning-/gebouwtype</v>
      </c>
      <c r="AZ280" s="945"/>
      <c r="BA280" s="945"/>
      <c r="BB280" s="945"/>
      <c r="BC280" s="945"/>
      <c r="BD280" s="945"/>
      <c r="BE280" s="945"/>
      <c r="BF280" s="945"/>
      <c r="BG280" s="257"/>
      <c r="BH280" s="1"/>
    </row>
    <row r="281" spans="1:60">
      <c r="A281" s="1040"/>
      <c r="B281" s="1109" t="s">
        <v>1219</v>
      </c>
      <c r="C281" s="1106" t="s">
        <v>96</v>
      </c>
      <c r="D281" s="638"/>
      <c r="E281" s="942" t="s">
        <v>1318</v>
      </c>
      <c r="F281" s="942"/>
      <c r="G281" s="942"/>
      <c r="H281" s="942"/>
      <c r="I281" s="129"/>
      <c r="J281" s="943"/>
      <c r="K281" s="126"/>
      <c r="L281" s="126"/>
      <c r="M281" s="944"/>
      <c r="N281" s="195"/>
      <c r="O281" s="258" t="str">
        <f>O$17</f>
        <v/>
      </c>
      <c r="P281" s="258" t="str">
        <f t="shared" ref="P281:W281" si="248">P$17</f>
        <v/>
      </c>
      <c r="Q281" s="258" t="str">
        <f t="shared" si="248"/>
        <v/>
      </c>
      <c r="R281" s="258" t="str">
        <f t="shared" si="248"/>
        <v/>
      </c>
      <c r="S281" s="258" t="str">
        <f t="shared" si="248"/>
        <v/>
      </c>
      <c r="T281" s="258" t="str">
        <f t="shared" si="248"/>
        <v/>
      </c>
      <c r="U281" s="258" t="str">
        <f t="shared" si="248"/>
        <v/>
      </c>
      <c r="V281" s="258" t="str">
        <f t="shared" si="248"/>
        <v/>
      </c>
      <c r="W281" s="258" t="str">
        <f t="shared" si="248"/>
        <v/>
      </c>
      <c r="X281" s="195"/>
      <c r="Y281" s="944"/>
      <c r="Z281" s="195"/>
      <c r="AA281" s="258" t="str">
        <f>AA$17</f>
        <v/>
      </c>
      <c r="AB281" s="258" t="str">
        <f t="shared" ref="AB281:AI281" si="249">AB$17</f>
        <v/>
      </c>
      <c r="AC281" s="258" t="str">
        <f t="shared" si="249"/>
        <v/>
      </c>
      <c r="AD281" s="258" t="str">
        <f t="shared" si="249"/>
        <v/>
      </c>
      <c r="AE281" s="258" t="str">
        <f t="shared" si="249"/>
        <v/>
      </c>
      <c r="AF281" s="258" t="str">
        <f t="shared" si="249"/>
        <v/>
      </c>
      <c r="AG281" s="258" t="str">
        <f t="shared" si="249"/>
        <v/>
      </c>
      <c r="AH281" s="258" t="str">
        <f t="shared" si="249"/>
        <v/>
      </c>
      <c r="AI281" s="258" t="str">
        <f t="shared" si="249"/>
        <v/>
      </c>
      <c r="AJ281" s="195"/>
      <c r="AK281" s="944"/>
      <c r="AL281" s="195"/>
      <c r="AM281" s="258" t="str">
        <f>AM$17</f>
        <v/>
      </c>
      <c r="AN281" s="258" t="str">
        <f t="shared" ref="AN281:AU281" si="250">AN$17</f>
        <v/>
      </c>
      <c r="AO281" s="258" t="str">
        <f t="shared" si="250"/>
        <v/>
      </c>
      <c r="AP281" s="258" t="str">
        <f t="shared" si="250"/>
        <v/>
      </c>
      <c r="AQ281" s="258" t="str">
        <f t="shared" si="250"/>
        <v/>
      </c>
      <c r="AR281" s="258" t="str">
        <f t="shared" si="250"/>
        <v/>
      </c>
      <c r="AS281" s="258" t="str">
        <f t="shared" si="250"/>
        <v/>
      </c>
      <c r="AT281" s="258" t="str">
        <f t="shared" si="250"/>
        <v/>
      </c>
      <c r="AU281" s="258" t="str">
        <f t="shared" si="250"/>
        <v/>
      </c>
      <c r="AV281" s="195"/>
      <c r="AW281" s="944"/>
      <c r="AX281" s="195"/>
      <c r="AY281" s="258" t="str">
        <f>AY$17</f>
        <v/>
      </c>
      <c r="AZ281" s="258" t="str">
        <f t="shared" ref="AZ281:BG281" si="251">AZ$17</f>
        <v/>
      </c>
      <c r="BA281" s="258" t="str">
        <f t="shared" si="251"/>
        <v/>
      </c>
      <c r="BB281" s="258" t="str">
        <f t="shared" si="251"/>
        <v/>
      </c>
      <c r="BC281" s="258" t="str">
        <f t="shared" si="251"/>
        <v/>
      </c>
      <c r="BD281" s="258" t="str">
        <f t="shared" si="251"/>
        <v/>
      </c>
      <c r="BE281" s="258" t="str">
        <f t="shared" si="251"/>
        <v/>
      </c>
      <c r="BF281" s="258" t="str">
        <f t="shared" si="251"/>
        <v/>
      </c>
      <c r="BG281" s="258" t="str">
        <f t="shared" si="251"/>
        <v/>
      </c>
      <c r="BH281" s="36"/>
    </row>
    <row r="282" spans="1:60">
      <c r="A282" s="1040"/>
      <c r="B282" s="1109" t="s">
        <v>1219</v>
      </c>
      <c r="C282" s="1107" t="s">
        <v>104</v>
      </c>
      <c r="D282" s="641"/>
      <c r="E282" s="304" t="str">
        <f>$O$10</f>
        <v>verwarming</v>
      </c>
      <c r="F282" s="180"/>
      <c r="G282" s="180"/>
      <c r="H282" s="201" t="s">
        <v>267</v>
      </c>
      <c r="I282" s="114"/>
      <c r="J282" s="190">
        <f t="shared" ref="J282:J290" si="252">M282+Y282+AK282+AW282</f>
        <v>0</v>
      </c>
      <c r="K282" s="1092"/>
      <c r="L282" s="1092"/>
      <c r="M282" s="190">
        <f t="shared" ref="M282:M289" si="253">SUMPRODUCT(N282:X282,N$22:X$22,N$29:X$29)/1000</f>
        <v>0</v>
      </c>
      <c r="N282" s="119"/>
      <c r="O282" s="183">
        <f t="shared" ref="O282:W282" si="254">IF(OR(O$22=0,$O$78=0),0,
(($O$120+$O$151+$O$174)/$O$78)*O62)</f>
        <v>0</v>
      </c>
      <c r="P282" s="183">
        <f t="shared" si="254"/>
        <v>0</v>
      </c>
      <c r="Q282" s="183">
        <f t="shared" si="254"/>
        <v>0</v>
      </c>
      <c r="R282" s="183">
        <f t="shared" si="254"/>
        <v>0</v>
      </c>
      <c r="S282" s="183">
        <f t="shared" si="254"/>
        <v>0</v>
      </c>
      <c r="T282" s="183">
        <f t="shared" si="254"/>
        <v>0</v>
      </c>
      <c r="U282" s="183">
        <f t="shared" si="254"/>
        <v>0</v>
      </c>
      <c r="V282" s="183">
        <f t="shared" si="254"/>
        <v>0</v>
      </c>
      <c r="W282" s="183">
        <f t="shared" si="254"/>
        <v>0</v>
      </c>
      <c r="X282" s="108"/>
      <c r="Y282" s="190">
        <f t="shared" ref="Y282:Y289" si="255">SUMPRODUCT(Z282:AJ282,Z$22:AJ$22,Z$29:AJ$29)/1000</f>
        <v>0</v>
      </c>
      <c r="Z282" s="119"/>
      <c r="AA282" s="183">
        <f t="shared" ref="AA282:AI282" si="256">IF(AA$22=0,0,
(($AA$120+$AA$151+$AA$174)/$AA$78)*AA62)</f>
        <v>0</v>
      </c>
      <c r="AB282" s="183">
        <f t="shared" si="256"/>
        <v>0</v>
      </c>
      <c r="AC282" s="183">
        <f t="shared" si="256"/>
        <v>0</v>
      </c>
      <c r="AD282" s="183">
        <f t="shared" si="256"/>
        <v>0</v>
      </c>
      <c r="AE282" s="183">
        <f t="shared" si="256"/>
        <v>0</v>
      </c>
      <c r="AF282" s="183">
        <f t="shared" si="256"/>
        <v>0</v>
      </c>
      <c r="AG282" s="183">
        <f t="shared" si="256"/>
        <v>0</v>
      </c>
      <c r="AH282" s="183">
        <f t="shared" si="256"/>
        <v>0</v>
      </c>
      <c r="AI282" s="183">
        <f t="shared" si="256"/>
        <v>0</v>
      </c>
      <c r="AJ282" s="1092"/>
      <c r="AK282" s="190">
        <f t="shared" ref="AK282:AK289" si="257">SUMPRODUCT(AL282:AV282,AL$22:AV$22,AL$29:AV$29)/1000</f>
        <v>0</v>
      </c>
      <c r="AL282" s="1092"/>
      <c r="AM282" s="183">
        <f t="shared" ref="AM282:AU282" si="258">IF(AM$22=0,0,
(($AM$120+$AM$151+$AM$174)/$AM$78)*AM62)</f>
        <v>0</v>
      </c>
      <c r="AN282" s="183">
        <f t="shared" si="258"/>
        <v>0</v>
      </c>
      <c r="AO282" s="183">
        <f t="shared" si="258"/>
        <v>0</v>
      </c>
      <c r="AP282" s="183">
        <f t="shared" si="258"/>
        <v>0</v>
      </c>
      <c r="AQ282" s="183">
        <f t="shared" si="258"/>
        <v>0</v>
      </c>
      <c r="AR282" s="183">
        <f t="shared" si="258"/>
        <v>0</v>
      </c>
      <c r="AS282" s="183">
        <f t="shared" si="258"/>
        <v>0</v>
      </c>
      <c r="AT282" s="183">
        <f t="shared" si="258"/>
        <v>0</v>
      </c>
      <c r="AU282" s="183">
        <f t="shared" si="258"/>
        <v>0</v>
      </c>
      <c r="AV282" s="1092"/>
      <c r="AW282" s="190">
        <f t="shared" ref="AW282:AW289" si="259">SUMPRODUCT(AX282:BH282,AX$22:BH$22,AX$29:BH$29)/1000</f>
        <v>0</v>
      </c>
      <c r="AX282" s="1092"/>
      <c r="AY282" s="183">
        <f t="shared" ref="AY282:BG282" si="260">IF(AY$22=0,0,
(($AY$120+$AY$151+$AY$174)/$AY$78)*AY62)</f>
        <v>0</v>
      </c>
      <c r="AZ282" s="183">
        <f t="shared" si="260"/>
        <v>0</v>
      </c>
      <c r="BA282" s="183">
        <f t="shared" si="260"/>
        <v>0</v>
      </c>
      <c r="BB282" s="183">
        <f t="shared" si="260"/>
        <v>0</v>
      </c>
      <c r="BC282" s="183">
        <f t="shared" si="260"/>
        <v>0</v>
      </c>
      <c r="BD282" s="183">
        <f t="shared" si="260"/>
        <v>0</v>
      </c>
      <c r="BE282" s="183">
        <f t="shared" si="260"/>
        <v>0</v>
      </c>
      <c r="BF282" s="183">
        <f t="shared" si="260"/>
        <v>0</v>
      </c>
      <c r="BG282" s="183">
        <f t="shared" si="260"/>
        <v>0</v>
      </c>
      <c r="BH282" s="210"/>
    </row>
    <row r="283" spans="1:60">
      <c r="A283" s="1040"/>
      <c r="B283" s="1109" t="s">
        <v>1219</v>
      </c>
      <c r="C283" s="1107" t="s">
        <v>104</v>
      </c>
      <c r="D283" s="641"/>
      <c r="E283" s="304" t="str">
        <f>$P$10</f>
        <v>koeling</v>
      </c>
      <c r="F283" s="180"/>
      <c r="G283" s="180"/>
      <c r="H283" s="201" t="s">
        <v>267</v>
      </c>
      <c r="I283" s="114"/>
      <c r="J283" s="190">
        <f t="shared" si="252"/>
        <v>0</v>
      </c>
      <c r="K283" s="1092"/>
      <c r="L283" s="1092"/>
      <c r="M283" s="190">
        <f t="shared" si="253"/>
        <v>0</v>
      </c>
      <c r="N283" s="119"/>
      <c r="O283" s="183">
        <f t="shared" ref="O283:W283" si="261">IF(OR(O$22=0,$P$78=0),0,
(($P$120+$P$151+$P$174)/$P$78)*O64)</f>
        <v>0</v>
      </c>
      <c r="P283" s="183">
        <f t="shared" si="261"/>
        <v>0</v>
      </c>
      <c r="Q283" s="183">
        <f t="shared" si="261"/>
        <v>0</v>
      </c>
      <c r="R283" s="183">
        <f t="shared" si="261"/>
        <v>0</v>
      </c>
      <c r="S283" s="183">
        <f t="shared" si="261"/>
        <v>0</v>
      </c>
      <c r="T283" s="183">
        <f t="shared" si="261"/>
        <v>0</v>
      </c>
      <c r="U283" s="183">
        <f t="shared" si="261"/>
        <v>0</v>
      </c>
      <c r="V283" s="183">
        <f t="shared" si="261"/>
        <v>0</v>
      </c>
      <c r="W283" s="183">
        <f t="shared" si="261"/>
        <v>0</v>
      </c>
      <c r="X283" s="108"/>
      <c r="Y283" s="190">
        <f t="shared" si="255"/>
        <v>0</v>
      </c>
      <c r="Z283" s="119"/>
      <c r="AA283" s="183">
        <f t="shared" ref="AA283:AI283" si="262">IF(OR(AA$22=0,$AB$78=0),0,
(($AB$120+$AB$151+$AB$174)/$AB$78)*AA64)</f>
        <v>0</v>
      </c>
      <c r="AB283" s="183">
        <f t="shared" si="262"/>
        <v>0</v>
      </c>
      <c r="AC283" s="183">
        <f t="shared" si="262"/>
        <v>0</v>
      </c>
      <c r="AD283" s="183">
        <f t="shared" si="262"/>
        <v>0</v>
      </c>
      <c r="AE283" s="183">
        <f t="shared" si="262"/>
        <v>0</v>
      </c>
      <c r="AF283" s="183">
        <f t="shared" si="262"/>
        <v>0</v>
      </c>
      <c r="AG283" s="183">
        <f t="shared" si="262"/>
        <v>0</v>
      </c>
      <c r="AH283" s="183">
        <f t="shared" si="262"/>
        <v>0</v>
      </c>
      <c r="AI283" s="183">
        <f t="shared" si="262"/>
        <v>0</v>
      </c>
      <c r="AJ283" s="1092"/>
      <c r="AK283" s="190">
        <f t="shared" si="257"/>
        <v>0</v>
      </c>
      <c r="AL283" s="1092"/>
      <c r="AM283" s="183">
        <f t="shared" ref="AM283:AU283" si="263">IF(OR(AM$22=0,$AN$78=0),0,
(($AN$120+$AN$151+$AN$174)/$AN$78)*AM64)</f>
        <v>0</v>
      </c>
      <c r="AN283" s="183">
        <f t="shared" si="263"/>
        <v>0</v>
      </c>
      <c r="AO283" s="183">
        <f t="shared" si="263"/>
        <v>0</v>
      </c>
      <c r="AP283" s="183">
        <f t="shared" si="263"/>
        <v>0</v>
      </c>
      <c r="AQ283" s="183">
        <f t="shared" si="263"/>
        <v>0</v>
      </c>
      <c r="AR283" s="183">
        <f t="shared" si="263"/>
        <v>0</v>
      </c>
      <c r="AS283" s="183">
        <f t="shared" si="263"/>
        <v>0</v>
      </c>
      <c r="AT283" s="183">
        <f t="shared" si="263"/>
        <v>0</v>
      </c>
      <c r="AU283" s="183">
        <f t="shared" si="263"/>
        <v>0</v>
      </c>
      <c r="AV283" s="1092"/>
      <c r="AW283" s="190">
        <f t="shared" si="259"/>
        <v>0</v>
      </c>
      <c r="AX283" s="1092"/>
      <c r="AY283" s="183">
        <f t="shared" ref="AY283:BG283" si="264">IF(OR(AY$22=0,$AZ$78=0),0,
(($AZ$120+$AZ$151+$AZ$174)/$AZ$78)*AY64)</f>
        <v>0</v>
      </c>
      <c r="AZ283" s="183">
        <f t="shared" si="264"/>
        <v>0</v>
      </c>
      <c r="BA283" s="183">
        <f t="shared" si="264"/>
        <v>0</v>
      </c>
      <c r="BB283" s="183">
        <f t="shared" si="264"/>
        <v>0</v>
      </c>
      <c r="BC283" s="183">
        <f t="shared" si="264"/>
        <v>0</v>
      </c>
      <c r="BD283" s="183">
        <f t="shared" si="264"/>
        <v>0</v>
      </c>
      <c r="BE283" s="183">
        <f t="shared" si="264"/>
        <v>0</v>
      </c>
      <c r="BF283" s="183">
        <f t="shared" si="264"/>
        <v>0</v>
      </c>
      <c r="BG283" s="183">
        <f t="shared" si="264"/>
        <v>0</v>
      </c>
      <c r="BH283" s="210"/>
    </row>
    <row r="284" spans="1:60">
      <c r="A284" s="1040"/>
      <c r="B284" s="1109" t="s">
        <v>1219</v>
      </c>
      <c r="C284" s="1107" t="s">
        <v>104</v>
      </c>
      <c r="D284" s="641"/>
      <c r="E284" s="304" t="str">
        <f>$Q$10</f>
        <v>tapwater</v>
      </c>
      <c r="F284" s="180"/>
      <c r="G284" s="180"/>
      <c r="H284" s="201" t="s">
        <v>267</v>
      </c>
      <c r="I284" s="114"/>
      <c r="J284" s="190">
        <f t="shared" si="252"/>
        <v>0</v>
      </c>
      <c r="K284" s="1092"/>
      <c r="L284" s="1092"/>
      <c r="M284" s="190">
        <f t="shared" si="253"/>
        <v>0</v>
      </c>
      <c r="N284" s="119"/>
      <c r="O284" s="183">
        <f t="shared" ref="O284:W284" si="265">IF(O$22=0,0,
(($Q$120+$Q$151+$Q$174)/$Q$78)*O65)</f>
        <v>0</v>
      </c>
      <c r="P284" s="183">
        <f t="shared" si="265"/>
        <v>0</v>
      </c>
      <c r="Q284" s="183">
        <f t="shared" si="265"/>
        <v>0</v>
      </c>
      <c r="R284" s="183">
        <f t="shared" si="265"/>
        <v>0</v>
      </c>
      <c r="S284" s="183">
        <f t="shared" si="265"/>
        <v>0</v>
      </c>
      <c r="T284" s="183">
        <f t="shared" si="265"/>
        <v>0</v>
      </c>
      <c r="U284" s="183">
        <f t="shared" si="265"/>
        <v>0</v>
      </c>
      <c r="V284" s="183">
        <f t="shared" si="265"/>
        <v>0</v>
      </c>
      <c r="W284" s="183">
        <f t="shared" si="265"/>
        <v>0</v>
      </c>
      <c r="X284" s="108"/>
      <c r="Y284" s="190">
        <f t="shared" si="255"/>
        <v>0</v>
      </c>
      <c r="Z284" s="119"/>
      <c r="AA284" s="183">
        <f t="shared" ref="AA284:AI284" si="266">IF(AA$22=0,0,
(($AC$120+$AC$151+$AC$174)/$AC$78)*AA65)</f>
        <v>0</v>
      </c>
      <c r="AB284" s="183">
        <f t="shared" si="266"/>
        <v>0</v>
      </c>
      <c r="AC284" s="183">
        <f t="shared" si="266"/>
        <v>0</v>
      </c>
      <c r="AD284" s="183">
        <f t="shared" si="266"/>
        <v>0</v>
      </c>
      <c r="AE284" s="183">
        <f t="shared" si="266"/>
        <v>0</v>
      </c>
      <c r="AF284" s="183">
        <f t="shared" si="266"/>
        <v>0</v>
      </c>
      <c r="AG284" s="183">
        <f t="shared" si="266"/>
        <v>0</v>
      </c>
      <c r="AH284" s="183">
        <f t="shared" si="266"/>
        <v>0</v>
      </c>
      <c r="AI284" s="183">
        <f t="shared" si="266"/>
        <v>0</v>
      </c>
      <c r="AJ284" s="1092"/>
      <c r="AK284" s="190">
        <f t="shared" si="257"/>
        <v>0</v>
      </c>
      <c r="AL284" s="1092"/>
      <c r="AM284" s="183">
        <f t="shared" ref="AM284:AU284" si="267">IF(AM$22=0,0,
(($AO$120+$AO$151+$AO$174)/$AO$78)*AM65)</f>
        <v>0</v>
      </c>
      <c r="AN284" s="183">
        <f t="shared" si="267"/>
        <v>0</v>
      </c>
      <c r="AO284" s="183">
        <f t="shared" si="267"/>
        <v>0</v>
      </c>
      <c r="AP284" s="183">
        <f t="shared" si="267"/>
        <v>0</v>
      </c>
      <c r="AQ284" s="183">
        <f t="shared" si="267"/>
        <v>0</v>
      </c>
      <c r="AR284" s="183">
        <f t="shared" si="267"/>
        <v>0</v>
      </c>
      <c r="AS284" s="183">
        <f t="shared" si="267"/>
        <v>0</v>
      </c>
      <c r="AT284" s="183">
        <f t="shared" si="267"/>
        <v>0</v>
      </c>
      <c r="AU284" s="183">
        <f t="shared" si="267"/>
        <v>0</v>
      </c>
      <c r="AV284" s="1092"/>
      <c r="AW284" s="190">
        <f t="shared" si="259"/>
        <v>0</v>
      </c>
      <c r="AX284" s="1092"/>
      <c r="AY284" s="183">
        <f t="shared" ref="AY284:BG284" si="268">IF(AY$22=0,0,
(($BA$120+$BA$151+$BA$174)/$BA$78)*AY65)</f>
        <v>0</v>
      </c>
      <c r="AZ284" s="183">
        <f t="shared" si="268"/>
        <v>0</v>
      </c>
      <c r="BA284" s="183">
        <f t="shared" si="268"/>
        <v>0</v>
      </c>
      <c r="BB284" s="183">
        <f t="shared" si="268"/>
        <v>0</v>
      </c>
      <c r="BC284" s="183">
        <f t="shared" si="268"/>
        <v>0</v>
      </c>
      <c r="BD284" s="183">
        <f t="shared" si="268"/>
        <v>0</v>
      </c>
      <c r="BE284" s="183">
        <f t="shared" si="268"/>
        <v>0</v>
      </c>
      <c r="BF284" s="183">
        <f t="shared" si="268"/>
        <v>0</v>
      </c>
      <c r="BG284" s="183">
        <f t="shared" si="268"/>
        <v>0</v>
      </c>
      <c r="BH284" s="210"/>
    </row>
    <row r="285" spans="1:60">
      <c r="A285" s="1040"/>
      <c r="B285" s="1109" t="s">
        <v>1219</v>
      </c>
      <c r="C285" s="1107" t="s">
        <v>104</v>
      </c>
      <c r="D285" s="641"/>
      <c r="E285" s="304" t="str">
        <f>$R$10</f>
        <v>verlichting</v>
      </c>
      <c r="F285" s="180"/>
      <c r="G285" s="180"/>
      <c r="H285" s="201" t="s">
        <v>267</v>
      </c>
      <c r="I285" s="114"/>
      <c r="J285" s="190">
        <f t="shared" si="252"/>
        <v>0</v>
      </c>
      <c r="K285" s="1092"/>
      <c r="L285" s="1092"/>
      <c r="M285" s="190">
        <f>SUMPRODUCT(N285:X285,N$22:X$22,N$29:X$29)/1000</f>
        <v>0</v>
      </c>
      <c r="N285" s="119"/>
      <c r="O285" s="183">
        <f t="shared" ref="O285:W285" si="269">IF(O$22=0,0,$R$174/$R$78*O66)</f>
        <v>0</v>
      </c>
      <c r="P285" s="183">
        <f t="shared" si="269"/>
        <v>0</v>
      </c>
      <c r="Q285" s="183">
        <f t="shared" si="269"/>
        <v>0</v>
      </c>
      <c r="R285" s="183">
        <f t="shared" si="269"/>
        <v>0</v>
      </c>
      <c r="S285" s="183">
        <f t="shared" si="269"/>
        <v>0</v>
      </c>
      <c r="T285" s="183">
        <f t="shared" si="269"/>
        <v>0</v>
      </c>
      <c r="U285" s="183">
        <f t="shared" si="269"/>
        <v>0</v>
      </c>
      <c r="V285" s="183">
        <f t="shared" si="269"/>
        <v>0</v>
      </c>
      <c r="W285" s="183">
        <f t="shared" si="269"/>
        <v>0</v>
      </c>
      <c r="X285" s="108"/>
      <c r="Y285" s="190">
        <f t="shared" si="255"/>
        <v>0</v>
      </c>
      <c r="Z285" s="119"/>
      <c r="AA285" s="183">
        <f t="shared" ref="AA285:AI285" si="270">IF(AA$22=0,0,$AD$174/$AD$78*AA66)</f>
        <v>0</v>
      </c>
      <c r="AB285" s="183">
        <f t="shared" si="270"/>
        <v>0</v>
      </c>
      <c r="AC285" s="183">
        <f t="shared" si="270"/>
        <v>0</v>
      </c>
      <c r="AD285" s="183">
        <f t="shared" si="270"/>
        <v>0</v>
      </c>
      <c r="AE285" s="183">
        <f t="shared" si="270"/>
        <v>0</v>
      </c>
      <c r="AF285" s="183">
        <f t="shared" si="270"/>
        <v>0</v>
      </c>
      <c r="AG285" s="183">
        <f t="shared" si="270"/>
        <v>0</v>
      </c>
      <c r="AH285" s="183">
        <f t="shared" si="270"/>
        <v>0</v>
      </c>
      <c r="AI285" s="183">
        <f t="shared" si="270"/>
        <v>0</v>
      </c>
      <c r="AJ285" s="1092"/>
      <c r="AK285" s="190">
        <f t="shared" si="257"/>
        <v>0</v>
      </c>
      <c r="AL285" s="1092"/>
      <c r="AM285" s="183">
        <f t="shared" ref="AM285:AU285" si="271">IF(AM$22=0,0,$AP$174/$AP$78*AM66)</f>
        <v>0</v>
      </c>
      <c r="AN285" s="183">
        <f t="shared" si="271"/>
        <v>0</v>
      </c>
      <c r="AO285" s="183">
        <f t="shared" si="271"/>
        <v>0</v>
      </c>
      <c r="AP285" s="183">
        <f t="shared" si="271"/>
        <v>0</v>
      </c>
      <c r="AQ285" s="183">
        <f t="shared" si="271"/>
        <v>0</v>
      </c>
      <c r="AR285" s="183">
        <f t="shared" si="271"/>
        <v>0</v>
      </c>
      <c r="AS285" s="183">
        <f t="shared" si="271"/>
        <v>0</v>
      </c>
      <c r="AT285" s="183">
        <f t="shared" si="271"/>
        <v>0</v>
      </c>
      <c r="AU285" s="183">
        <f t="shared" si="271"/>
        <v>0</v>
      </c>
      <c r="AV285" s="1092"/>
      <c r="AW285" s="190">
        <f t="shared" si="259"/>
        <v>0</v>
      </c>
      <c r="AX285" s="1092"/>
      <c r="AY285" s="183">
        <f t="shared" ref="AY285:BG285" si="272">IF(AY$22=0,0,$BB$174/$BB$78*AY66)</f>
        <v>0</v>
      </c>
      <c r="AZ285" s="183">
        <f t="shared" si="272"/>
        <v>0</v>
      </c>
      <c r="BA285" s="183">
        <f t="shared" si="272"/>
        <v>0</v>
      </c>
      <c r="BB285" s="183">
        <f t="shared" si="272"/>
        <v>0</v>
      </c>
      <c r="BC285" s="183">
        <f t="shared" si="272"/>
        <v>0</v>
      </c>
      <c r="BD285" s="183">
        <f t="shared" si="272"/>
        <v>0</v>
      </c>
      <c r="BE285" s="183">
        <f t="shared" si="272"/>
        <v>0</v>
      </c>
      <c r="BF285" s="183">
        <f t="shared" si="272"/>
        <v>0</v>
      </c>
      <c r="BG285" s="183">
        <f t="shared" si="272"/>
        <v>0</v>
      </c>
      <c r="BH285" s="210"/>
    </row>
    <row r="286" spans="1:60">
      <c r="A286" s="1040"/>
      <c r="B286" s="1109" t="s">
        <v>1219</v>
      </c>
      <c r="C286" s="1107" t="s">
        <v>104</v>
      </c>
      <c r="D286" s="641"/>
      <c r="E286" s="304" t="str">
        <f>$S$10</f>
        <v>ventilatoren</v>
      </c>
      <c r="F286" s="180"/>
      <c r="G286" s="180"/>
      <c r="H286" s="201" t="s">
        <v>267</v>
      </c>
      <c r="I286" s="114"/>
      <c r="J286" s="190">
        <f t="shared" si="252"/>
        <v>0</v>
      </c>
      <c r="K286" s="1092"/>
      <c r="L286" s="1092"/>
      <c r="M286" s="190">
        <f t="shared" si="253"/>
        <v>0</v>
      </c>
      <c r="N286" s="119"/>
      <c r="O286" s="183">
        <f t="shared" ref="O286:W286" si="273">IF(OR(O$22=0,$S$78=0),0,$S$174/$S$78*O67)</f>
        <v>0</v>
      </c>
      <c r="P286" s="183">
        <f t="shared" si="273"/>
        <v>0</v>
      </c>
      <c r="Q286" s="183">
        <f t="shared" si="273"/>
        <v>0</v>
      </c>
      <c r="R286" s="183">
        <f t="shared" si="273"/>
        <v>0</v>
      </c>
      <c r="S286" s="183">
        <f t="shared" si="273"/>
        <v>0</v>
      </c>
      <c r="T286" s="183">
        <f t="shared" si="273"/>
        <v>0</v>
      </c>
      <c r="U286" s="183">
        <f t="shared" si="273"/>
        <v>0</v>
      </c>
      <c r="V286" s="183">
        <f t="shared" si="273"/>
        <v>0</v>
      </c>
      <c r="W286" s="183">
        <f t="shared" si="273"/>
        <v>0</v>
      </c>
      <c r="X286" s="108"/>
      <c r="Y286" s="190">
        <f t="shared" si="255"/>
        <v>0</v>
      </c>
      <c r="Z286" s="119"/>
      <c r="AA286" s="183">
        <f t="shared" ref="AA286:AI286" si="274">IF(OR(AA$22=0,$AE$78=0),0,$AE$174/$AE$78*AA67)</f>
        <v>0</v>
      </c>
      <c r="AB286" s="183">
        <f t="shared" si="274"/>
        <v>0</v>
      </c>
      <c r="AC286" s="183">
        <f t="shared" si="274"/>
        <v>0</v>
      </c>
      <c r="AD286" s="183">
        <f t="shared" si="274"/>
        <v>0</v>
      </c>
      <c r="AE286" s="183">
        <f t="shared" si="274"/>
        <v>0</v>
      </c>
      <c r="AF286" s="183">
        <f t="shared" si="274"/>
        <v>0</v>
      </c>
      <c r="AG286" s="183">
        <f t="shared" si="274"/>
        <v>0</v>
      </c>
      <c r="AH286" s="183">
        <f t="shared" si="274"/>
        <v>0</v>
      </c>
      <c r="AI286" s="183">
        <f t="shared" si="274"/>
        <v>0</v>
      </c>
      <c r="AJ286" s="1092"/>
      <c r="AK286" s="190">
        <f t="shared" si="257"/>
        <v>0</v>
      </c>
      <c r="AL286" s="1092"/>
      <c r="AM286" s="183">
        <f t="shared" ref="AM286:AU286" si="275">IF(OR(AM$22=0,$AQ$78=0),0,$AQ$174/$AQ$78*AM67)</f>
        <v>0</v>
      </c>
      <c r="AN286" s="183">
        <f t="shared" si="275"/>
        <v>0</v>
      </c>
      <c r="AO286" s="183">
        <f t="shared" si="275"/>
        <v>0</v>
      </c>
      <c r="AP286" s="183">
        <f t="shared" si="275"/>
        <v>0</v>
      </c>
      <c r="AQ286" s="183">
        <f t="shared" si="275"/>
        <v>0</v>
      </c>
      <c r="AR286" s="183">
        <f t="shared" si="275"/>
        <v>0</v>
      </c>
      <c r="AS286" s="183">
        <f t="shared" si="275"/>
        <v>0</v>
      </c>
      <c r="AT286" s="183">
        <f t="shared" si="275"/>
        <v>0</v>
      </c>
      <c r="AU286" s="183">
        <f t="shared" si="275"/>
        <v>0</v>
      </c>
      <c r="AV286" s="1092"/>
      <c r="AW286" s="190">
        <f t="shared" si="259"/>
        <v>0</v>
      </c>
      <c r="AX286" s="1092"/>
      <c r="AY286" s="183">
        <f t="shared" ref="AY286:BG286" si="276">IF(OR(AY$22=0,$BC$78=0),0,$BC$174/$BC$78*AY67)</f>
        <v>0</v>
      </c>
      <c r="AZ286" s="183">
        <f t="shared" si="276"/>
        <v>0</v>
      </c>
      <c r="BA286" s="183">
        <f t="shared" si="276"/>
        <v>0</v>
      </c>
      <c r="BB286" s="183">
        <f t="shared" si="276"/>
        <v>0</v>
      </c>
      <c r="BC286" s="183">
        <f t="shared" si="276"/>
        <v>0</v>
      </c>
      <c r="BD286" s="183">
        <f t="shared" si="276"/>
        <v>0</v>
      </c>
      <c r="BE286" s="183">
        <f t="shared" si="276"/>
        <v>0</v>
      </c>
      <c r="BF286" s="183">
        <f t="shared" si="276"/>
        <v>0</v>
      </c>
      <c r="BG286" s="183">
        <f t="shared" si="276"/>
        <v>0</v>
      </c>
      <c r="BH286" s="210"/>
    </row>
    <row r="287" spans="1:60">
      <c r="A287" s="1040"/>
      <c r="B287" s="1109" t="s">
        <v>1219</v>
      </c>
      <c r="C287" s="1107" t="s">
        <v>104</v>
      </c>
      <c r="D287" s="641"/>
      <c r="E287" s="304" t="str">
        <f>$T$10</f>
        <v>kookgas</v>
      </c>
      <c r="F287" s="180"/>
      <c r="G287" s="180"/>
      <c r="H287" s="201" t="s">
        <v>267</v>
      </c>
      <c r="I287" s="114"/>
      <c r="J287" s="190">
        <f t="shared" si="252"/>
        <v>0</v>
      </c>
      <c r="K287" s="1092"/>
      <c r="L287" s="1092"/>
      <c r="M287" s="190">
        <f t="shared" si="253"/>
        <v>0</v>
      </c>
      <c r="N287" s="119"/>
      <c r="O287" s="183">
        <f t="shared" ref="O287:W287" si="277">IF(OR(O$22=0,$T$78=0),0,$T$246/$T$78*O68)</f>
        <v>0</v>
      </c>
      <c r="P287" s="183">
        <f t="shared" si="277"/>
        <v>0</v>
      </c>
      <c r="Q287" s="183">
        <f t="shared" si="277"/>
        <v>0</v>
      </c>
      <c r="R287" s="183">
        <f t="shared" si="277"/>
        <v>0</v>
      </c>
      <c r="S287" s="183">
        <f t="shared" si="277"/>
        <v>0</v>
      </c>
      <c r="T287" s="183">
        <f t="shared" si="277"/>
        <v>0</v>
      </c>
      <c r="U287" s="183">
        <f t="shared" si="277"/>
        <v>0</v>
      </c>
      <c r="V287" s="183">
        <f t="shared" si="277"/>
        <v>0</v>
      </c>
      <c r="W287" s="183">
        <f t="shared" si="277"/>
        <v>0</v>
      </c>
      <c r="X287" s="108"/>
      <c r="Y287" s="190">
        <f t="shared" si="255"/>
        <v>0</v>
      </c>
      <c r="Z287" s="119"/>
      <c r="AA287" s="183">
        <f t="shared" ref="AA287:AI287" si="278">IF(OR(AA$22=0,$AF$78=0),0,$AF$246/$AF$78*AA68)</f>
        <v>0</v>
      </c>
      <c r="AB287" s="183">
        <f t="shared" si="278"/>
        <v>0</v>
      </c>
      <c r="AC287" s="183">
        <f t="shared" si="278"/>
        <v>0</v>
      </c>
      <c r="AD287" s="183">
        <f t="shared" si="278"/>
        <v>0</v>
      </c>
      <c r="AE287" s="183">
        <f t="shared" si="278"/>
        <v>0</v>
      </c>
      <c r="AF287" s="183">
        <f t="shared" si="278"/>
        <v>0</v>
      </c>
      <c r="AG287" s="183">
        <f t="shared" si="278"/>
        <v>0</v>
      </c>
      <c r="AH287" s="183">
        <f t="shared" si="278"/>
        <v>0</v>
      </c>
      <c r="AI287" s="183">
        <f t="shared" si="278"/>
        <v>0</v>
      </c>
      <c r="AJ287" s="1092"/>
      <c r="AK287" s="190">
        <f t="shared" si="257"/>
        <v>0</v>
      </c>
      <c r="AL287" s="1092"/>
      <c r="AM287" s="183">
        <f t="shared" ref="AM287:AU287" si="279">IF(OR(AM$22=0,$AR$78=0),0,$AR$246/$AR$78*AM68)</f>
        <v>0</v>
      </c>
      <c r="AN287" s="183">
        <f t="shared" si="279"/>
        <v>0</v>
      </c>
      <c r="AO287" s="183">
        <f t="shared" si="279"/>
        <v>0</v>
      </c>
      <c r="AP287" s="183">
        <f t="shared" si="279"/>
        <v>0</v>
      </c>
      <c r="AQ287" s="183">
        <f t="shared" si="279"/>
        <v>0</v>
      </c>
      <c r="AR287" s="183">
        <f t="shared" si="279"/>
        <v>0</v>
      </c>
      <c r="AS287" s="183">
        <f t="shared" si="279"/>
        <v>0</v>
      </c>
      <c r="AT287" s="183">
        <f t="shared" si="279"/>
        <v>0</v>
      </c>
      <c r="AU287" s="183">
        <f t="shared" si="279"/>
        <v>0</v>
      </c>
      <c r="AV287" s="1092"/>
      <c r="AW287" s="190">
        <f t="shared" si="259"/>
        <v>0</v>
      </c>
      <c r="AX287" s="1092"/>
      <c r="AY287" s="183">
        <f t="shared" ref="AY287:BG287" si="280">IF(OR(AY$22=0,$BD$78=0),0,$BD$246/$BD$78*AY68)</f>
        <v>0</v>
      </c>
      <c r="AZ287" s="183">
        <f t="shared" si="280"/>
        <v>0</v>
      </c>
      <c r="BA287" s="183">
        <f t="shared" si="280"/>
        <v>0</v>
      </c>
      <c r="BB287" s="183">
        <f t="shared" si="280"/>
        <v>0</v>
      </c>
      <c r="BC287" s="183">
        <f t="shared" si="280"/>
        <v>0</v>
      </c>
      <c r="BD287" s="183">
        <f t="shared" si="280"/>
        <v>0</v>
      </c>
      <c r="BE287" s="183">
        <f t="shared" si="280"/>
        <v>0</v>
      </c>
      <c r="BF287" s="183">
        <f t="shared" si="280"/>
        <v>0</v>
      </c>
      <c r="BG287" s="183">
        <f t="shared" si="280"/>
        <v>0</v>
      </c>
      <c r="BH287" s="210"/>
    </row>
    <row r="288" spans="1:60">
      <c r="A288" s="1040"/>
      <c r="B288" s="1109" t="s">
        <v>1219</v>
      </c>
      <c r="C288" s="1107" t="s">
        <v>104</v>
      </c>
      <c r="D288" s="641"/>
      <c r="E288" s="304" t="str">
        <f>$U$10</f>
        <v>overig elektra</v>
      </c>
      <c r="F288" s="180"/>
      <c r="G288" s="180"/>
      <c r="H288" s="201" t="s">
        <v>267</v>
      </c>
      <c r="I288" s="114"/>
      <c r="J288" s="190">
        <f t="shared" si="252"/>
        <v>0</v>
      </c>
      <c r="K288" s="1092"/>
      <c r="L288" s="1092"/>
      <c r="M288" s="190">
        <f t="shared" si="253"/>
        <v>0</v>
      </c>
      <c r="N288" s="119"/>
      <c r="O288" s="183">
        <f t="shared" ref="O288:W288" si="281">IF(OR(O$22=0,$U$78=0),0,$U$174/$U$78*O69)</f>
        <v>0</v>
      </c>
      <c r="P288" s="183">
        <f t="shared" si="281"/>
        <v>0</v>
      </c>
      <c r="Q288" s="183">
        <f t="shared" si="281"/>
        <v>0</v>
      </c>
      <c r="R288" s="183">
        <f t="shared" si="281"/>
        <v>0</v>
      </c>
      <c r="S288" s="183">
        <f t="shared" si="281"/>
        <v>0</v>
      </c>
      <c r="T288" s="183">
        <f t="shared" si="281"/>
        <v>0</v>
      </c>
      <c r="U288" s="183">
        <f t="shared" si="281"/>
        <v>0</v>
      </c>
      <c r="V288" s="183">
        <f t="shared" si="281"/>
        <v>0</v>
      </c>
      <c r="W288" s="183">
        <f t="shared" si="281"/>
        <v>0</v>
      </c>
      <c r="X288" s="108"/>
      <c r="Y288" s="190">
        <f t="shared" si="255"/>
        <v>0</v>
      </c>
      <c r="Z288" s="119"/>
      <c r="AA288" s="183">
        <f t="shared" ref="AA288:AI288" si="282">IF(OR(AA$22=0,$AG$78=0),0,$AG$174/$AG$78*AA69)</f>
        <v>0</v>
      </c>
      <c r="AB288" s="183">
        <f t="shared" si="282"/>
        <v>0</v>
      </c>
      <c r="AC288" s="183">
        <f t="shared" si="282"/>
        <v>0</v>
      </c>
      <c r="AD288" s="183">
        <f t="shared" si="282"/>
        <v>0</v>
      </c>
      <c r="AE288" s="183">
        <f t="shared" si="282"/>
        <v>0</v>
      </c>
      <c r="AF288" s="183">
        <f t="shared" si="282"/>
        <v>0</v>
      </c>
      <c r="AG288" s="183">
        <f t="shared" si="282"/>
        <v>0</v>
      </c>
      <c r="AH288" s="183">
        <f t="shared" si="282"/>
        <v>0</v>
      </c>
      <c r="AI288" s="183">
        <f t="shared" si="282"/>
        <v>0</v>
      </c>
      <c r="AJ288" s="1092"/>
      <c r="AK288" s="190">
        <f t="shared" si="257"/>
        <v>0</v>
      </c>
      <c r="AL288" s="1092"/>
      <c r="AM288" s="183">
        <f t="shared" ref="AM288:AU288" si="283">IF(OR(AM$22=0,$AS$78=0),0,$AS$174/$AS$78*AM69)</f>
        <v>0</v>
      </c>
      <c r="AN288" s="183">
        <f t="shared" si="283"/>
        <v>0</v>
      </c>
      <c r="AO288" s="183">
        <f t="shared" si="283"/>
        <v>0</v>
      </c>
      <c r="AP288" s="183">
        <f t="shared" si="283"/>
        <v>0</v>
      </c>
      <c r="AQ288" s="183">
        <f t="shared" si="283"/>
        <v>0</v>
      </c>
      <c r="AR288" s="183">
        <f t="shared" si="283"/>
        <v>0</v>
      </c>
      <c r="AS288" s="183">
        <f t="shared" si="283"/>
        <v>0</v>
      </c>
      <c r="AT288" s="183">
        <f t="shared" si="283"/>
        <v>0</v>
      </c>
      <c r="AU288" s="183">
        <f t="shared" si="283"/>
        <v>0</v>
      </c>
      <c r="AV288" s="1092"/>
      <c r="AW288" s="190">
        <f t="shared" si="259"/>
        <v>0</v>
      </c>
      <c r="AX288" s="1092"/>
      <c r="AY288" s="183">
        <f t="shared" ref="AY288:BG288" si="284">IF(OR(AY$22=0,$BE$78=0),0,$BE$174/$BE$78*AY69)</f>
        <v>0</v>
      </c>
      <c r="AZ288" s="183">
        <f t="shared" si="284"/>
        <v>0</v>
      </c>
      <c r="BA288" s="183">
        <f t="shared" si="284"/>
        <v>0</v>
      </c>
      <c r="BB288" s="183">
        <f t="shared" si="284"/>
        <v>0</v>
      </c>
      <c r="BC288" s="183">
        <f t="shared" si="284"/>
        <v>0</v>
      </c>
      <c r="BD288" s="183">
        <f t="shared" si="284"/>
        <v>0</v>
      </c>
      <c r="BE288" s="183">
        <f t="shared" si="284"/>
        <v>0</v>
      </c>
      <c r="BF288" s="183">
        <f t="shared" si="284"/>
        <v>0</v>
      </c>
      <c r="BG288" s="183">
        <f t="shared" si="284"/>
        <v>0</v>
      </c>
      <c r="BH288" s="210"/>
    </row>
    <row r="289" spans="1:60">
      <c r="A289" s="1040"/>
      <c r="B289" s="1109" t="s">
        <v>1219</v>
      </c>
      <c r="C289" s="1107" t="s">
        <v>104</v>
      </c>
      <c r="D289" s="641"/>
      <c r="E289" s="304" t="str">
        <f>$V$10</f>
        <v>mobiliteit</v>
      </c>
      <c r="F289" s="180"/>
      <c r="G289" s="180"/>
      <c r="H289" s="201" t="s">
        <v>267</v>
      </c>
      <c r="I289" s="114"/>
      <c r="J289" s="190">
        <f t="shared" si="252"/>
        <v>0</v>
      </c>
      <c r="K289" s="1092"/>
      <c r="L289" s="1092"/>
      <c r="M289" s="190">
        <f t="shared" si="253"/>
        <v>0</v>
      </c>
      <c r="N289" s="119"/>
      <c r="O289" s="183">
        <f t="shared" ref="O289:W289" si="285">IF(OR($V$169=0,O$29=0),0,$V$174/$V$169*O$71/O$29)</f>
        <v>0</v>
      </c>
      <c r="P289" s="183">
        <f t="shared" si="285"/>
        <v>0</v>
      </c>
      <c r="Q289" s="183">
        <f t="shared" si="285"/>
        <v>0</v>
      </c>
      <c r="R289" s="183">
        <f t="shared" si="285"/>
        <v>0</v>
      </c>
      <c r="S289" s="183">
        <f t="shared" si="285"/>
        <v>0</v>
      </c>
      <c r="T289" s="183">
        <f t="shared" si="285"/>
        <v>0</v>
      </c>
      <c r="U289" s="183">
        <f t="shared" si="285"/>
        <v>0</v>
      </c>
      <c r="V289" s="183">
        <f t="shared" si="285"/>
        <v>0</v>
      </c>
      <c r="W289" s="183">
        <f t="shared" si="285"/>
        <v>0</v>
      </c>
      <c r="X289" s="108"/>
      <c r="Y289" s="190">
        <f t="shared" si="255"/>
        <v>0</v>
      </c>
      <c r="Z289" s="119"/>
      <c r="AA289" s="183">
        <f t="shared" ref="AA289:AI289" si="286">IF(OR($AH$169=0,AA$29=0),0,$AH$174/$AH$169*AA$71/AA$29)</f>
        <v>0</v>
      </c>
      <c r="AB289" s="183">
        <f t="shared" si="286"/>
        <v>0</v>
      </c>
      <c r="AC289" s="183">
        <f t="shared" si="286"/>
        <v>0</v>
      </c>
      <c r="AD289" s="183">
        <f t="shared" si="286"/>
        <v>0</v>
      </c>
      <c r="AE289" s="183">
        <f t="shared" si="286"/>
        <v>0</v>
      </c>
      <c r="AF289" s="183">
        <f t="shared" si="286"/>
        <v>0</v>
      </c>
      <c r="AG289" s="183">
        <f t="shared" si="286"/>
        <v>0</v>
      </c>
      <c r="AH289" s="183">
        <f t="shared" si="286"/>
        <v>0</v>
      </c>
      <c r="AI289" s="183">
        <f t="shared" si="286"/>
        <v>0</v>
      </c>
      <c r="AJ289" s="1092"/>
      <c r="AK289" s="190">
        <f t="shared" si="257"/>
        <v>0</v>
      </c>
      <c r="AL289" s="1092"/>
      <c r="AM289" s="183">
        <f t="shared" ref="AM289:AU289" si="287">IF(OR($AT$169=0,AM$29=0),0,$AT$174/$AT$169*AM$71/AM$29)</f>
        <v>0</v>
      </c>
      <c r="AN289" s="183">
        <f t="shared" si="287"/>
        <v>0</v>
      </c>
      <c r="AO289" s="183">
        <f t="shared" si="287"/>
        <v>0</v>
      </c>
      <c r="AP289" s="183">
        <f t="shared" si="287"/>
        <v>0</v>
      </c>
      <c r="AQ289" s="183">
        <f t="shared" si="287"/>
        <v>0</v>
      </c>
      <c r="AR289" s="183">
        <f t="shared" si="287"/>
        <v>0</v>
      </c>
      <c r="AS289" s="183">
        <f t="shared" si="287"/>
        <v>0</v>
      </c>
      <c r="AT289" s="183">
        <f t="shared" si="287"/>
        <v>0</v>
      </c>
      <c r="AU289" s="183">
        <f t="shared" si="287"/>
        <v>0</v>
      </c>
      <c r="AV289" s="1092"/>
      <c r="AW289" s="190">
        <f t="shared" si="259"/>
        <v>0</v>
      </c>
      <c r="AX289" s="1092"/>
      <c r="AY289" s="183">
        <f>IF(OR($BF$169=0,AY$22=0),0,$BF$174/$BF$169*AY$71/AY$29)</f>
        <v>0</v>
      </c>
      <c r="AZ289" s="183">
        <f t="shared" ref="AZ289:BG289" si="288">IF(OR($BF$169=0,AZ$29=0),0,$BF$174/$BF$169*AZ$71/AZ$29)</f>
        <v>0</v>
      </c>
      <c r="BA289" s="183">
        <f t="shared" si="288"/>
        <v>0</v>
      </c>
      <c r="BB289" s="183">
        <f t="shared" si="288"/>
        <v>0</v>
      </c>
      <c r="BC289" s="183">
        <f t="shared" si="288"/>
        <v>0</v>
      </c>
      <c r="BD289" s="183">
        <f t="shared" si="288"/>
        <v>0</v>
      </c>
      <c r="BE289" s="183">
        <f t="shared" si="288"/>
        <v>0</v>
      </c>
      <c r="BF289" s="183">
        <f t="shared" si="288"/>
        <v>0</v>
      </c>
      <c r="BG289" s="183">
        <f t="shared" si="288"/>
        <v>0</v>
      </c>
      <c r="BH289" s="210"/>
    </row>
    <row r="290" spans="1:60">
      <c r="A290" s="1040"/>
      <c r="B290" s="1109" t="s">
        <v>1219</v>
      </c>
      <c r="C290" s="1107" t="s">
        <v>104</v>
      </c>
      <c r="D290" s="641"/>
      <c r="E290" s="1123" t="s">
        <v>232</v>
      </c>
      <c r="F290" s="180"/>
      <c r="G290" s="180"/>
      <c r="H290" s="201" t="s">
        <v>267</v>
      </c>
      <c r="I290" s="114"/>
      <c r="J290" s="190">
        <f t="shared" si="252"/>
        <v>0</v>
      </c>
      <c r="K290" s="1092"/>
      <c r="L290" s="1092"/>
      <c r="M290" s="190">
        <f>SUM(M282:M289)</f>
        <v>0</v>
      </c>
      <c r="N290" s="119"/>
      <c r="O290" s="183">
        <f t="shared" ref="O290:W290" si="289">SUM(O282:O289)</f>
        <v>0</v>
      </c>
      <c r="P290" s="183">
        <f t="shared" si="289"/>
        <v>0</v>
      </c>
      <c r="Q290" s="183">
        <f t="shared" si="289"/>
        <v>0</v>
      </c>
      <c r="R290" s="183">
        <f t="shared" si="289"/>
        <v>0</v>
      </c>
      <c r="S290" s="183">
        <f t="shared" si="289"/>
        <v>0</v>
      </c>
      <c r="T290" s="183">
        <f>SUM(T282:T289)</f>
        <v>0</v>
      </c>
      <c r="U290" s="183">
        <f t="shared" si="289"/>
        <v>0</v>
      </c>
      <c r="V290" s="183">
        <f t="shared" si="289"/>
        <v>0</v>
      </c>
      <c r="W290" s="183">
        <f t="shared" si="289"/>
        <v>0</v>
      </c>
      <c r="X290" s="108"/>
      <c r="Y290" s="190">
        <f>SUM(Y282:Y289)</f>
        <v>0</v>
      </c>
      <c r="Z290" s="119"/>
      <c r="AA290" s="183">
        <f t="shared" ref="AA290:AI290" si="290">SUM(AA282:AA289)</f>
        <v>0</v>
      </c>
      <c r="AB290" s="183">
        <f t="shared" si="290"/>
        <v>0</v>
      </c>
      <c r="AC290" s="183">
        <f t="shared" si="290"/>
        <v>0</v>
      </c>
      <c r="AD290" s="183">
        <f t="shared" si="290"/>
        <v>0</v>
      </c>
      <c r="AE290" s="183">
        <f t="shared" si="290"/>
        <v>0</v>
      </c>
      <c r="AF290" s="183">
        <f>SUM(AF282:AF289)</f>
        <v>0</v>
      </c>
      <c r="AG290" s="183">
        <f t="shared" si="290"/>
        <v>0</v>
      </c>
      <c r="AH290" s="183">
        <f t="shared" si="290"/>
        <v>0</v>
      </c>
      <c r="AI290" s="183">
        <f t="shared" si="290"/>
        <v>0</v>
      </c>
      <c r="AJ290" s="1092"/>
      <c r="AK290" s="190">
        <f t="shared" ref="AK290:AU290" si="291">SUM(AK282:AK289)</f>
        <v>0</v>
      </c>
      <c r="AL290" s="1092"/>
      <c r="AM290" s="183">
        <f t="shared" si="291"/>
        <v>0</v>
      </c>
      <c r="AN290" s="183">
        <f t="shared" si="291"/>
        <v>0</v>
      </c>
      <c r="AO290" s="183">
        <f t="shared" si="291"/>
        <v>0</v>
      </c>
      <c r="AP290" s="183">
        <f t="shared" si="291"/>
        <v>0</v>
      </c>
      <c r="AQ290" s="183">
        <f t="shared" si="291"/>
        <v>0</v>
      </c>
      <c r="AR290" s="183">
        <f>SUM(AR282:AR289)</f>
        <v>0</v>
      </c>
      <c r="AS290" s="183">
        <f t="shared" si="291"/>
        <v>0</v>
      </c>
      <c r="AT290" s="183">
        <f t="shared" si="291"/>
        <v>0</v>
      </c>
      <c r="AU290" s="183">
        <f t="shared" si="291"/>
        <v>0</v>
      </c>
      <c r="AV290" s="1092"/>
      <c r="AW290" s="190">
        <f>SUM(AW282:AW289)</f>
        <v>0</v>
      </c>
      <c r="AX290" s="1092"/>
      <c r="AY290" s="183">
        <f t="shared" ref="AY290:BG290" si="292">SUM(AY282:AY289)</f>
        <v>0</v>
      </c>
      <c r="AZ290" s="183">
        <f t="shared" si="292"/>
        <v>0</v>
      </c>
      <c r="BA290" s="183">
        <f t="shared" si="292"/>
        <v>0</v>
      </c>
      <c r="BB290" s="183">
        <f t="shared" si="292"/>
        <v>0</v>
      </c>
      <c r="BC290" s="183">
        <f t="shared" si="292"/>
        <v>0</v>
      </c>
      <c r="BD290" s="183">
        <f>SUM(BD282:BD289)</f>
        <v>0</v>
      </c>
      <c r="BE290" s="183">
        <f t="shared" si="292"/>
        <v>0</v>
      </c>
      <c r="BF290" s="183">
        <f t="shared" si="292"/>
        <v>0</v>
      </c>
      <c r="BG290" s="183">
        <f t="shared" si="292"/>
        <v>0</v>
      </c>
      <c r="BH290" s="210"/>
    </row>
    <row r="291" spans="1:60">
      <c r="A291" s="1040"/>
      <c r="B291" s="1109" t="s">
        <v>1219</v>
      </c>
      <c r="C291" s="1106" t="s">
        <v>96</v>
      </c>
      <c r="D291" s="638"/>
      <c r="E291" s="942" t="s">
        <v>1334</v>
      </c>
      <c r="F291" s="942"/>
      <c r="G291" s="942"/>
      <c r="H291" s="942"/>
      <c r="I291" s="129"/>
      <c r="J291" s="943"/>
      <c r="K291" s="126"/>
      <c r="L291" s="126"/>
      <c r="M291" s="944"/>
      <c r="N291" s="195"/>
      <c r="O291" s="258" t="str">
        <f>O$17</f>
        <v/>
      </c>
      <c r="P291" s="258" t="str">
        <f t="shared" ref="P291:W293" si="293">P$17</f>
        <v/>
      </c>
      <c r="Q291" s="258" t="str">
        <f t="shared" si="293"/>
        <v/>
      </c>
      <c r="R291" s="258" t="str">
        <f t="shared" si="293"/>
        <v/>
      </c>
      <c r="S291" s="258" t="str">
        <f t="shared" si="293"/>
        <v/>
      </c>
      <c r="T291" s="258" t="str">
        <f t="shared" si="293"/>
        <v/>
      </c>
      <c r="U291" s="258" t="str">
        <f t="shared" si="293"/>
        <v/>
      </c>
      <c r="V291" s="258" t="str">
        <f t="shared" si="293"/>
        <v/>
      </c>
      <c r="W291" s="258" t="str">
        <f t="shared" si="293"/>
        <v/>
      </c>
      <c r="X291" s="195"/>
      <c r="Y291" s="944"/>
      <c r="Z291" s="195"/>
      <c r="AA291" s="258" t="str">
        <f>AA$17</f>
        <v/>
      </c>
      <c r="AB291" s="258" t="str">
        <f t="shared" ref="AB291:AI293" si="294">AB$17</f>
        <v/>
      </c>
      <c r="AC291" s="258" t="str">
        <f t="shared" si="294"/>
        <v/>
      </c>
      <c r="AD291" s="258" t="str">
        <f t="shared" si="294"/>
        <v/>
      </c>
      <c r="AE291" s="258" t="str">
        <f t="shared" si="294"/>
        <v/>
      </c>
      <c r="AF291" s="258" t="str">
        <f t="shared" si="294"/>
        <v/>
      </c>
      <c r="AG291" s="258" t="str">
        <f t="shared" si="294"/>
        <v/>
      </c>
      <c r="AH291" s="258" t="str">
        <f t="shared" si="294"/>
        <v/>
      </c>
      <c r="AI291" s="258" t="str">
        <f t="shared" si="294"/>
        <v/>
      </c>
      <c r="AJ291" s="195"/>
      <c r="AK291" s="944"/>
      <c r="AL291" s="195"/>
      <c r="AM291" s="258" t="str">
        <f>AM$17</f>
        <v/>
      </c>
      <c r="AN291" s="258" t="str">
        <f t="shared" ref="AN291:AU293" si="295">AN$17</f>
        <v/>
      </c>
      <c r="AO291" s="258" t="str">
        <f t="shared" si="295"/>
        <v/>
      </c>
      <c r="AP291" s="258" t="str">
        <f t="shared" si="295"/>
        <v/>
      </c>
      <c r="AQ291" s="258" t="str">
        <f t="shared" si="295"/>
        <v/>
      </c>
      <c r="AR291" s="258" t="str">
        <f t="shared" si="295"/>
        <v/>
      </c>
      <c r="AS291" s="258" t="str">
        <f t="shared" si="295"/>
        <v/>
      </c>
      <c r="AT291" s="258" t="str">
        <f t="shared" si="295"/>
        <v/>
      </c>
      <c r="AU291" s="258" t="str">
        <f t="shared" si="295"/>
        <v/>
      </c>
      <c r="AV291" s="195"/>
      <c r="AW291" s="944"/>
      <c r="AX291" s="195"/>
      <c r="AY291" s="258" t="str">
        <f>AY$17</f>
        <v/>
      </c>
      <c r="AZ291" s="258" t="str">
        <f t="shared" ref="AZ291:BG293" si="296">AZ$17</f>
        <v/>
      </c>
      <c r="BA291" s="258" t="str">
        <f t="shared" si="296"/>
        <v/>
      </c>
      <c r="BB291" s="258" t="str">
        <f t="shared" si="296"/>
        <v/>
      </c>
      <c r="BC291" s="258" t="str">
        <f t="shared" si="296"/>
        <v/>
      </c>
      <c r="BD291" s="258" t="str">
        <f t="shared" si="296"/>
        <v/>
      </c>
      <c r="BE291" s="258" t="str">
        <f t="shared" si="296"/>
        <v/>
      </c>
      <c r="BF291" s="258" t="str">
        <f t="shared" si="296"/>
        <v/>
      </c>
      <c r="BG291" s="258" t="str">
        <f t="shared" si="296"/>
        <v/>
      </c>
      <c r="BH291" s="36"/>
    </row>
    <row r="292" spans="1:60">
      <c r="A292" s="1040"/>
      <c r="B292" s="1109" t="s">
        <v>1219</v>
      </c>
      <c r="C292" s="1107" t="s">
        <v>104</v>
      </c>
      <c r="D292" s="638"/>
      <c r="E292" s="1123" t="s">
        <v>1335</v>
      </c>
      <c r="F292" s="1123"/>
      <c r="G292" s="180"/>
      <c r="H292" s="201" t="s">
        <v>267</v>
      </c>
      <c r="I292" s="114"/>
      <c r="J292" s="190">
        <f>M292+Y292+AK292+AW292</f>
        <v>0</v>
      </c>
      <c r="K292" s="1092"/>
      <c r="L292" s="1092"/>
      <c r="M292" s="190">
        <f>M$201</f>
        <v>0</v>
      </c>
      <c r="N292" s="119"/>
      <c r="O292" s="183">
        <f>IF(OR(O$22=0,O$29=0,$M$187+$M$186=0),0,$M292*1000/O$31)</f>
        <v>0</v>
      </c>
      <c r="P292" s="183">
        <f t="shared" ref="P292:W292" si="297">IF(OR(P$22=0,P$29=0,$M$187+$M$186=0),0,$M292*1000/P$31)</f>
        <v>0</v>
      </c>
      <c r="Q292" s="183">
        <f t="shared" si="297"/>
        <v>0</v>
      </c>
      <c r="R292" s="183">
        <f t="shared" si="297"/>
        <v>0</v>
      </c>
      <c r="S292" s="183">
        <f t="shared" si="297"/>
        <v>0</v>
      </c>
      <c r="T292" s="183">
        <f t="shared" si="297"/>
        <v>0</v>
      </c>
      <c r="U292" s="183">
        <f t="shared" si="297"/>
        <v>0</v>
      </c>
      <c r="V292" s="183">
        <f t="shared" si="297"/>
        <v>0</v>
      </c>
      <c r="W292" s="183">
        <f t="shared" si="297"/>
        <v>0</v>
      </c>
      <c r="X292" s="108"/>
      <c r="Y292" s="190">
        <f>Y$201</f>
        <v>0</v>
      </c>
      <c r="Z292" s="119"/>
      <c r="AA292" s="183">
        <f>IF(OR(AA$22=0,AA$29=0,$M$187+$M$186=0),0,$Y292*1000/AA$31)</f>
        <v>0</v>
      </c>
      <c r="AB292" s="183">
        <f t="shared" ref="AB292:AI292" si="298">IF(OR(AB$22=0,AB$29=0,$M$187+$M$186=0),0,$Y292*1000/AB$31)</f>
        <v>0</v>
      </c>
      <c r="AC292" s="183">
        <f t="shared" si="298"/>
        <v>0</v>
      </c>
      <c r="AD292" s="183">
        <f t="shared" si="298"/>
        <v>0</v>
      </c>
      <c r="AE292" s="183">
        <f t="shared" si="298"/>
        <v>0</v>
      </c>
      <c r="AF292" s="183">
        <f t="shared" si="298"/>
        <v>0</v>
      </c>
      <c r="AG292" s="183">
        <f t="shared" si="298"/>
        <v>0</v>
      </c>
      <c r="AH292" s="183">
        <f t="shared" si="298"/>
        <v>0</v>
      </c>
      <c r="AI292" s="183">
        <f t="shared" si="298"/>
        <v>0</v>
      </c>
      <c r="AJ292" s="108"/>
      <c r="AK292" s="190">
        <f>AK$201</f>
        <v>0</v>
      </c>
      <c r="AL292" s="119"/>
      <c r="AM292" s="183">
        <f>IF(OR(AM$22=0,AM$29=0,$M$187+$M$186=0),0,$AK292*1000/AM$31)</f>
        <v>0</v>
      </c>
      <c r="AN292" s="183">
        <f t="shared" ref="AN292:AU292" si="299">IF(OR(AN$22=0,AN$29=0,$M$187+$M$186=0),0,$AK292*1000/AN$31)</f>
        <v>0</v>
      </c>
      <c r="AO292" s="183">
        <f t="shared" si="299"/>
        <v>0</v>
      </c>
      <c r="AP292" s="183">
        <f t="shared" si="299"/>
        <v>0</v>
      </c>
      <c r="AQ292" s="183">
        <f t="shared" si="299"/>
        <v>0</v>
      </c>
      <c r="AR292" s="183">
        <f t="shared" si="299"/>
        <v>0</v>
      </c>
      <c r="AS292" s="183">
        <f t="shared" si="299"/>
        <v>0</v>
      </c>
      <c r="AT292" s="183">
        <f t="shared" si="299"/>
        <v>0</v>
      </c>
      <c r="AU292" s="183">
        <f t="shared" si="299"/>
        <v>0</v>
      </c>
      <c r="AV292" s="108"/>
      <c r="AW292" s="190">
        <f>AW$201</f>
        <v>0</v>
      </c>
      <c r="AX292" s="119"/>
      <c r="AY292" s="183">
        <f>IF(OR(AY$22=0,AY$29=0,$M$187+$M$186=0),0,$AW292*1000/AY$31)</f>
        <v>0</v>
      </c>
      <c r="AZ292" s="183">
        <f t="shared" ref="AZ292:BG292" si="300">IF(OR(AZ$22=0,AZ$29=0,$M$187+$M$186=0),0,$AW292*1000/AZ$31)</f>
        <v>0</v>
      </c>
      <c r="BA292" s="183">
        <f t="shared" si="300"/>
        <v>0</v>
      </c>
      <c r="BB292" s="183">
        <f t="shared" si="300"/>
        <v>0</v>
      </c>
      <c r="BC292" s="183">
        <f t="shared" si="300"/>
        <v>0</v>
      </c>
      <c r="BD292" s="183">
        <f t="shared" si="300"/>
        <v>0</v>
      </c>
      <c r="BE292" s="183">
        <f t="shared" si="300"/>
        <v>0</v>
      </c>
      <c r="BF292" s="183">
        <f t="shared" si="300"/>
        <v>0</v>
      </c>
      <c r="BG292" s="183">
        <f t="shared" si="300"/>
        <v>0</v>
      </c>
      <c r="BH292" s="210"/>
    </row>
    <row r="293" spans="1:60">
      <c r="A293" s="1040"/>
      <c r="B293" s="1109" t="s">
        <v>1219</v>
      </c>
      <c r="C293" s="1106" t="s">
        <v>96</v>
      </c>
      <c r="D293" s="638"/>
      <c r="E293" s="942" t="s">
        <v>1319</v>
      </c>
      <c r="F293" s="942"/>
      <c r="G293" s="942"/>
      <c r="H293" s="942"/>
      <c r="I293" s="129"/>
      <c r="J293" s="943"/>
      <c r="K293" s="126"/>
      <c r="L293" s="126"/>
      <c r="M293" s="944"/>
      <c r="N293" s="195"/>
      <c r="O293" s="258" t="str">
        <f>O$17</f>
        <v/>
      </c>
      <c r="P293" s="258" t="str">
        <f t="shared" si="293"/>
        <v/>
      </c>
      <c r="Q293" s="258" t="str">
        <f t="shared" si="293"/>
        <v/>
      </c>
      <c r="R293" s="258" t="str">
        <f t="shared" si="293"/>
        <v/>
      </c>
      <c r="S293" s="258" t="str">
        <f t="shared" si="293"/>
        <v/>
      </c>
      <c r="T293" s="258" t="str">
        <f t="shared" si="293"/>
        <v/>
      </c>
      <c r="U293" s="258" t="str">
        <f t="shared" si="293"/>
        <v/>
      </c>
      <c r="V293" s="258" t="str">
        <f t="shared" si="293"/>
        <v/>
      </c>
      <c r="W293" s="258" t="str">
        <f t="shared" si="293"/>
        <v/>
      </c>
      <c r="X293" s="195"/>
      <c r="Y293" s="944"/>
      <c r="Z293" s="195"/>
      <c r="AA293" s="258" t="str">
        <f>AA$17</f>
        <v/>
      </c>
      <c r="AB293" s="258" t="str">
        <f t="shared" si="294"/>
        <v/>
      </c>
      <c r="AC293" s="258" t="str">
        <f t="shared" si="294"/>
        <v/>
      </c>
      <c r="AD293" s="258" t="str">
        <f t="shared" si="294"/>
        <v/>
      </c>
      <c r="AE293" s="258" t="str">
        <f t="shared" si="294"/>
        <v/>
      </c>
      <c r="AF293" s="258" t="str">
        <f t="shared" si="294"/>
        <v/>
      </c>
      <c r="AG293" s="258" t="str">
        <f t="shared" si="294"/>
        <v/>
      </c>
      <c r="AH293" s="258" t="str">
        <f t="shared" si="294"/>
        <v/>
      </c>
      <c r="AI293" s="258" t="str">
        <f t="shared" si="294"/>
        <v/>
      </c>
      <c r="AJ293" s="195"/>
      <c r="AK293" s="944"/>
      <c r="AL293" s="195"/>
      <c r="AM293" s="258" t="str">
        <f>AM$17</f>
        <v/>
      </c>
      <c r="AN293" s="258" t="str">
        <f t="shared" si="295"/>
        <v/>
      </c>
      <c r="AO293" s="258" t="str">
        <f t="shared" si="295"/>
        <v/>
      </c>
      <c r="AP293" s="258" t="str">
        <f t="shared" si="295"/>
        <v/>
      </c>
      <c r="AQ293" s="258" t="str">
        <f t="shared" si="295"/>
        <v/>
      </c>
      <c r="AR293" s="258" t="str">
        <f t="shared" si="295"/>
        <v/>
      </c>
      <c r="AS293" s="258" t="str">
        <f t="shared" si="295"/>
        <v/>
      </c>
      <c r="AT293" s="258" t="str">
        <f t="shared" si="295"/>
        <v/>
      </c>
      <c r="AU293" s="258" t="str">
        <f t="shared" si="295"/>
        <v/>
      </c>
      <c r="AV293" s="195"/>
      <c r="AW293" s="944"/>
      <c r="AX293" s="195"/>
      <c r="AY293" s="258" t="str">
        <f>AY$17</f>
        <v/>
      </c>
      <c r="AZ293" s="258" t="str">
        <f t="shared" si="296"/>
        <v/>
      </c>
      <c r="BA293" s="258" t="str">
        <f t="shared" si="296"/>
        <v/>
      </c>
      <c r="BB293" s="258" t="str">
        <f t="shared" si="296"/>
        <v/>
      </c>
      <c r="BC293" s="258" t="str">
        <f t="shared" si="296"/>
        <v/>
      </c>
      <c r="BD293" s="258" t="str">
        <f t="shared" si="296"/>
        <v/>
      </c>
      <c r="BE293" s="258" t="str">
        <f t="shared" si="296"/>
        <v/>
      </c>
      <c r="BF293" s="258" t="str">
        <f t="shared" si="296"/>
        <v/>
      </c>
      <c r="BG293" s="258" t="str">
        <f t="shared" si="296"/>
        <v/>
      </c>
      <c r="BH293" s="36"/>
    </row>
    <row r="294" spans="1:60">
      <c r="A294" s="1040"/>
      <c r="B294" s="1109" t="s">
        <v>1219</v>
      </c>
      <c r="C294" s="1107" t="s">
        <v>104</v>
      </c>
      <c r="D294" s="641"/>
      <c r="E294" s="1123" t="s">
        <v>269</v>
      </c>
      <c r="F294" s="1123"/>
      <c r="G294" s="180"/>
      <c r="H294" s="201" t="s">
        <v>267</v>
      </c>
      <c r="I294" s="114"/>
      <c r="J294" s="190">
        <f>M294+Y294+AK294+AW294</f>
        <v>0</v>
      </c>
      <c r="K294" s="1092"/>
      <c r="L294" s="1092"/>
      <c r="M294" s="190">
        <f>SUMPRODUCT(N294:X294,N$22:X$22,N$29:X$29)/1000</f>
        <v>0</v>
      </c>
      <c r="N294" s="119"/>
      <c r="O294" s="183">
        <f t="shared" ref="O294:W294" si="301">IF(OR(O$22=0,O$29=0,$M$187+$M$186=0),0,
-O73*($M$214/($M$187+$M$186))/O29)</f>
        <v>0</v>
      </c>
      <c r="P294" s="183">
        <f t="shared" si="301"/>
        <v>0</v>
      </c>
      <c r="Q294" s="183">
        <f t="shared" si="301"/>
        <v>0</v>
      </c>
      <c r="R294" s="183">
        <f t="shared" si="301"/>
        <v>0</v>
      </c>
      <c r="S294" s="183">
        <f t="shared" si="301"/>
        <v>0</v>
      </c>
      <c r="T294" s="183">
        <f t="shared" si="301"/>
        <v>0</v>
      </c>
      <c r="U294" s="183">
        <f t="shared" si="301"/>
        <v>0</v>
      </c>
      <c r="V294" s="183">
        <f t="shared" si="301"/>
        <v>0</v>
      </c>
      <c r="W294" s="183">
        <f t="shared" si="301"/>
        <v>0</v>
      </c>
      <c r="X294" s="108"/>
      <c r="Y294" s="190">
        <f>SUMPRODUCT(Z294:AJ294,Z$22:AJ$22,Z$29:AJ$29)/1000</f>
        <v>0</v>
      </c>
      <c r="Z294" s="119"/>
      <c r="AA294" s="183">
        <f t="shared" ref="AA294:AI294" si="302">IF(OR(AA$22=0,AA$29=0,$Y$187+$Y$186=0),0,
-AA73*($Y$214/($Y$187+$Y$186))/AA29)</f>
        <v>0</v>
      </c>
      <c r="AB294" s="183">
        <f t="shared" si="302"/>
        <v>0</v>
      </c>
      <c r="AC294" s="183">
        <f t="shared" si="302"/>
        <v>0</v>
      </c>
      <c r="AD294" s="183">
        <f t="shared" si="302"/>
        <v>0</v>
      </c>
      <c r="AE294" s="183">
        <f t="shared" si="302"/>
        <v>0</v>
      </c>
      <c r="AF294" s="183">
        <f t="shared" si="302"/>
        <v>0</v>
      </c>
      <c r="AG294" s="183">
        <f t="shared" si="302"/>
        <v>0</v>
      </c>
      <c r="AH294" s="183">
        <f t="shared" si="302"/>
        <v>0</v>
      </c>
      <c r="AI294" s="183">
        <f t="shared" si="302"/>
        <v>0</v>
      </c>
      <c r="AJ294" s="108"/>
      <c r="AK294" s="190">
        <f>SUMPRODUCT(AL294:AV294,AL$22:AV$22,AL$29:AV$29)/1000</f>
        <v>0</v>
      </c>
      <c r="AL294" s="119"/>
      <c r="AM294" s="183">
        <f t="shared" ref="AM294:AU294" si="303">IF(OR(AM$22=0,AM$29=0,$AK$187+$AK$186=0),0,
-AM73*($AK$214/($AK$187+$AK$186))/AM29)</f>
        <v>0</v>
      </c>
      <c r="AN294" s="183">
        <f t="shared" si="303"/>
        <v>0</v>
      </c>
      <c r="AO294" s="183">
        <f t="shared" si="303"/>
        <v>0</v>
      </c>
      <c r="AP294" s="183">
        <f t="shared" si="303"/>
        <v>0</v>
      </c>
      <c r="AQ294" s="183">
        <f t="shared" si="303"/>
        <v>0</v>
      </c>
      <c r="AR294" s="183">
        <f t="shared" si="303"/>
        <v>0</v>
      </c>
      <c r="AS294" s="183">
        <f t="shared" si="303"/>
        <v>0</v>
      </c>
      <c r="AT294" s="183">
        <f t="shared" si="303"/>
        <v>0</v>
      </c>
      <c r="AU294" s="183">
        <f t="shared" si="303"/>
        <v>0</v>
      </c>
      <c r="AV294" s="108"/>
      <c r="AW294" s="190">
        <f>SUMPRODUCT(AX294:BH294,AX$22:BH$22,AX$29:BH$29)/1000</f>
        <v>0</v>
      </c>
      <c r="AX294" s="119"/>
      <c r="AY294" s="183">
        <f t="shared" ref="AY294:BG294" si="304">IF(OR(AY$22=0,AY$29=0,$AW$187+$AW$186=0),0,
-AY73*($AW$214/($AW$187+$AW$186))/AY29)</f>
        <v>0</v>
      </c>
      <c r="AZ294" s="183">
        <f t="shared" si="304"/>
        <v>0</v>
      </c>
      <c r="BA294" s="183">
        <f t="shared" si="304"/>
        <v>0</v>
      </c>
      <c r="BB294" s="183">
        <f t="shared" si="304"/>
        <v>0</v>
      </c>
      <c r="BC294" s="183">
        <f t="shared" si="304"/>
        <v>0</v>
      </c>
      <c r="BD294" s="183">
        <f t="shared" si="304"/>
        <v>0</v>
      </c>
      <c r="BE294" s="183">
        <f t="shared" si="304"/>
        <v>0</v>
      </c>
      <c r="BF294" s="183">
        <f t="shared" si="304"/>
        <v>0</v>
      </c>
      <c r="BG294" s="183">
        <f t="shared" si="304"/>
        <v>0</v>
      </c>
      <c r="BH294" s="210"/>
    </row>
    <row r="295" spans="1:60">
      <c r="A295" s="1040"/>
      <c r="B295" s="1109" t="s">
        <v>1219</v>
      </c>
      <c r="C295" s="1107" t="s">
        <v>104</v>
      </c>
      <c r="D295" s="641"/>
      <c r="E295" s="1123" t="s">
        <v>268</v>
      </c>
      <c r="F295" s="1123"/>
      <c r="G295" s="180"/>
      <c r="H295" s="201" t="s">
        <v>267</v>
      </c>
      <c r="I295" s="114"/>
      <c r="J295" s="190">
        <f>M295+Y295+AK295+AW295</f>
        <v>0</v>
      </c>
      <c r="K295" s="1092"/>
      <c r="L295" s="1092"/>
      <c r="M295" s="190">
        <f>SUMPRODUCT(N295:X295,N$22:X$22,N$29:X$29)/1000</f>
        <v>0</v>
      </c>
      <c r="N295" s="119"/>
      <c r="O295" s="183">
        <f t="shared" ref="O295:W295" si="305">IF(OR(O$22=0,O$29=0,$M$187+$M$186=0),0,
-(O275*($M$187/($M$187+$M$186))*$M$214*1000)/(O22*O29))</f>
        <v>0</v>
      </c>
      <c r="P295" s="183">
        <f t="shared" si="305"/>
        <v>0</v>
      </c>
      <c r="Q295" s="183">
        <f t="shared" si="305"/>
        <v>0</v>
      </c>
      <c r="R295" s="183">
        <f t="shared" si="305"/>
        <v>0</v>
      </c>
      <c r="S295" s="183">
        <f t="shared" si="305"/>
        <v>0</v>
      </c>
      <c r="T295" s="183">
        <f t="shared" si="305"/>
        <v>0</v>
      </c>
      <c r="U295" s="183">
        <f t="shared" si="305"/>
        <v>0</v>
      </c>
      <c r="V295" s="183">
        <f t="shared" si="305"/>
        <v>0</v>
      </c>
      <c r="W295" s="183">
        <f t="shared" si="305"/>
        <v>0</v>
      </c>
      <c r="X295" s="108"/>
      <c r="Y295" s="190">
        <f>SUMPRODUCT(Z295:AJ295,Z$22:AJ$22,Z$29:AJ$29)/1000</f>
        <v>0</v>
      </c>
      <c r="Z295" s="119"/>
      <c r="AA295" s="183">
        <f t="shared" ref="AA295:AI295" si="306">IF(OR(AA$17="-",AA$22=0,AA$29=0,$Y$187+$Y$186=0),0,
-(AA275*($Y$187/($Y$187+$Y$186))*$Y$214*1000)/(AA22*AA29))</f>
        <v>0</v>
      </c>
      <c r="AB295" s="183">
        <f t="shared" si="306"/>
        <v>0</v>
      </c>
      <c r="AC295" s="183">
        <f t="shared" si="306"/>
        <v>0</v>
      </c>
      <c r="AD295" s="183">
        <f t="shared" si="306"/>
        <v>0</v>
      </c>
      <c r="AE295" s="183">
        <f t="shared" si="306"/>
        <v>0</v>
      </c>
      <c r="AF295" s="183">
        <f t="shared" si="306"/>
        <v>0</v>
      </c>
      <c r="AG295" s="183">
        <f t="shared" si="306"/>
        <v>0</v>
      </c>
      <c r="AH295" s="183">
        <f t="shared" si="306"/>
        <v>0</v>
      </c>
      <c r="AI295" s="183">
        <f t="shared" si="306"/>
        <v>0</v>
      </c>
      <c r="AJ295" s="108"/>
      <c r="AK295" s="190">
        <f>SUMPRODUCT(AL295:AV295,AL$22:AV$22,AL$29:AV$29)/1000</f>
        <v>0</v>
      </c>
      <c r="AL295" s="119"/>
      <c r="AM295" s="183">
        <f t="shared" ref="AM295:AU295" si="307">IF(OR(AM$22=0,AM$29=0,$AK$187+$AK$186=0),0,
-AM275*($AK$187/($AK$187+$AK$186))*$AK$214*1000/(AM22*AM29))</f>
        <v>0</v>
      </c>
      <c r="AN295" s="183">
        <f t="shared" si="307"/>
        <v>0</v>
      </c>
      <c r="AO295" s="183">
        <f t="shared" si="307"/>
        <v>0</v>
      </c>
      <c r="AP295" s="183">
        <f t="shared" si="307"/>
        <v>0</v>
      </c>
      <c r="AQ295" s="183">
        <f t="shared" si="307"/>
        <v>0</v>
      </c>
      <c r="AR295" s="183">
        <f t="shared" si="307"/>
        <v>0</v>
      </c>
      <c r="AS295" s="183">
        <f t="shared" si="307"/>
        <v>0</v>
      </c>
      <c r="AT295" s="183">
        <f t="shared" si="307"/>
        <v>0</v>
      </c>
      <c r="AU295" s="183">
        <f t="shared" si="307"/>
        <v>0</v>
      </c>
      <c r="AV295" s="108"/>
      <c r="AW295" s="190">
        <f>SUMPRODUCT(AX295:BH295,AX$22:BH$22,AX$29:BH$29)/1000</f>
        <v>0</v>
      </c>
      <c r="AX295" s="119"/>
      <c r="AY295" s="183">
        <f t="shared" ref="AY295:BG295" si="308">IF(OR(AY$22=0,AY$29=0,$AW$187+$AW$186=0),0,
-AY275*($AW$187/($AW$187+$AW$186))*$AW$214*1000/(AY22*AY29))</f>
        <v>0</v>
      </c>
      <c r="AZ295" s="183">
        <f t="shared" si="308"/>
        <v>0</v>
      </c>
      <c r="BA295" s="183">
        <f t="shared" si="308"/>
        <v>0</v>
      </c>
      <c r="BB295" s="183">
        <f t="shared" si="308"/>
        <v>0</v>
      </c>
      <c r="BC295" s="183">
        <f t="shared" si="308"/>
        <v>0</v>
      </c>
      <c r="BD295" s="183">
        <f t="shared" si="308"/>
        <v>0</v>
      </c>
      <c r="BE295" s="183">
        <f t="shared" si="308"/>
        <v>0</v>
      </c>
      <c r="BF295" s="183">
        <f t="shared" si="308"/>
        <v>0</v>
      </c>
      <c r="BG295" s="183">
        <f t="shared" si="308"/>
        <v>0</v>
      </c>
      <c r="BH295" s="210"/>
    </row>
    <row r="296" spans="1:60">
      <c r="A296" s="1040"/>
      <c r="B296" s="1109" t="s">
        <v>1219</v>
      </c>
      <c r="C296" s="1107" t="s">
        <v>104</v>
      </c>
      <c r="D296" s="641"/>
      <c r="E296" s="1123" t="s">
        <v>232</v>
      </c>
      <c r="F296" s="1123"/>
      <c r="G296" s="180"/>
      <c r="H296" s="201" t="s">
        <v>267</v>
      </c>
      <c r="I296" s="114"/>
      <c r="J296" s="190">
        <f>M296+Y296+AK296+AW296</f>
        <v>0</v>
      </c>
      <c r="K296" s="1092"/>
      <c r="L296" s="1092"/>
      <c r="M296" s="190">
        <f>M295+M294</f>
        <v>0</v>
      </c>
      <c r="N296" s="119"/>
      <c r="O296" s="183">
        <f t="shared" ref="O296:W296" si="309">O295+O294</f>
        <v>0</v>
      </c>
      <c r="P296" s="183">
        <f t="shared" si="309"/>
        <v>0</v>
      </c>
      <c r="Q296" s="183">
        <f t="shared" si="309"/>
        <v>0</v>
      </c>
      <c r="R296" s="183">
        <f t="shared" si="309"/>
        <v>0</v>
      </c>
      <c r="S296" s="183">
        <f t="shared" si="309"/>
        <v>0</v>
      </c>
      <c r="T296" s="183">
        <f t="shared" si="309"/>
        <v>0</v>
      </c>
      <c r="U296" s="183">
        <f t="shared" si="309"/>
        <v>0</v>
      </c>
      <c r="V296" s="183">
        <f t="shared" si="309"/>
        <v>0</v>
      </c>
      <c r="W296" s="183">
        <f t="shared" si="309"/>
        <v>0</v>
      </c>
      <c r="X296" s="108"/>
      <c r="Y296" s="190">
        <f>Y295+Y294</f>
        <v>0</v>
      </c>
      <c r="Z296" s="119"/>
      <c r="AA296" s="183">
        <f t="shared" ref="AA296:AI296" si="310">AA295+AA294</f>
        <v>0</v>
      </c>
      <c r="AB296" s="183">
        <f t="shared" si="310"/>
        <v>0</v>
      </c>
      <c r="AC296" s="183">
        <f t="shared" si="310"/>
        <v>0</v>
      </c>
      <c r="AD296" s="183">
        <f t="shared" si="310"/>
        <v>0</v>
      </c>
      <c r="AE296" s="183">
        <f t="shared" si="310"/>
        <v>0</v>
      </c>
      <c r="AF296" s="183">
        <f t="shared" si="310"/>
        <v>0</v>
      </c>
      <c r="AG296" s="183">
        <f t="shared" si="310"/>
        <v>0</v>
      </c>
      <c r="AH296" s="183">
        <f t="shared" si="310"/>
        <v>0</v>
      </c>
      <c r="AI296" s="183">
        <f t="shared" si="310"/>
        <v>0</v>
      </c>
      <c r="AJ296" s="108"/>
      <c r="AK296" s="190">
        <f>AK295+AK294</f>
        <v>0</v>
      </c>
      <c r="AL296" s="119"/>
      <c r="AM296" s="183">
        <f t="shared" ref="AM296:AU296" si="311">AM295+AM294</f>
        <v>0</v>
      </c>
      <c r="AN296" s="183">
        <f t="shared" si="311"/>
        <v>0</v>
      </c>
      <c r="AO296" s="183">
        <f t="shared" si="311"/>
        <v>0</v>
      </c>
      <c r="AP296" s="183">
        <f t="shared" si="311"/>
        <v>0</v>
      </c>
      <c r="AQ296" s="183">
        <f t="shared" si="311"/>
        <v>0</v>
      </c>
      <c r="AR296" s="183">
        <f t="shared" si="311"/>
        <v>0</v>
      </c>
      <c r="AS296" s="183">
        <f t="shared" si="311"/>
        <v>0</v>
      </c>
      <c r="AT296" s="183">
        <f t="shared" si="311"/>
        <v>0</v>
      </c>
      <c r="AU296" s="183">
        <f t="shared" si="311"/>
        <v>0</v>
      </c>
      <c r="AV296" s="108"/>
      <c r="AW296" s="190">
        <f>AW295+AW294</f>
        <v>0</v>
      </c>
      <c r="AX296" s="119"/>
      <c r="AY296" s="183">
        <f t="shared" ref="AY296:BG296" si="312">AY295+AY294</f>
        <v>0</v>
      </c>
      <c r="AZ296" s="183">
        <f t="shared" si="312"/>
        <v>0</v>
      </c>
      <c r="BA296" s="183">
        <f t="shared" si="312"/>
        <v>0</v>
      </c>
      <c r="BB296" s="183">
        <f t="shared" si="312"/>
        <v>0</v>
      </c>
      <c r="BC296" s="183">
        <f t="shared" si="312"/>
        <v>0</v>
      </c>
      <c r="BD296" s="183">
        <f t="shared" si="312"/>
        <v>0</v>
      </c>
      <c r="BE296" s="183">
        <f t="shared" si="312"/>
        <v>0</v>
      </c>
      <c r="BF296" s="183">
        <f t="shared" si="312"/>
        <v>0</v>
      </c>
      <c r="BG296" s="183">
        <f t="shared" si="312"/>
        <v>0</v>
      </c>
      <c r="BH296" s="210"/>
    </row>
    <row r="297" spans="1:60">
      <c r="A297" s="1040"/>
      <c r="B297" s="1109" t="s">
        <v>1219</v>
      </c>
      <c r="C297" s="1106" t="s">
        <v>96</v>
      </c>
      <c r="D297" s="638"/>
      <c r="E297" s="942" t="s">
        <v>1359</v>
      </c>
      <c r="F297" s="942"/>
      <c r="G297" s="942"/>
      <c r="H297" s="942"/>
      <c r="I297" s="129"/>
      <c r="J297" s="943"/>
      <c r="K297" s="126"/>
      <c r="L297" s="126"/>
      <c r="M297" s="944"/>
      <c r="N297" s="195"/>
      <c r="O297" s="258" t="str">
        <f>O$17</f>
        <v/>
      </c>
      <c r="P297" s="258" t="str">
        <f t="shared" ref="P297:W297" si="313">P$17</f>
        <v/>
      </c>
      <c r="Q297" s="258" t="str">
        <f t="shared" si="313"/>
        <v/>
      </c>
      <c r="R297" s="258" t="str">
        <f t="shared" si="313"/>
        <v/>
      </c>
      <c r="S297" s="258" t="str">
        <f t="shared" si="313"/>
        <v/>
      </c>
      <c r="T297" s="258" t="str">
        <f t="shared" si="313"/>
        <v/>
      </c>
      <c r="U297" s="258" t="str">
        <f t="shared" si="313"/>
        <v/>
      </c>
      <c r="V297" s="258" t="str">
        <f t="shared" si="313"/>
        <v/>
      </c>
      <c r="W297" s="258" t="str">
        <f t="shared" si="313"/>
        <v/>
      </c>
      <c r="X297" s="195"/>
      <c r="Y297" s="944"/>
      <c r="Z297" s="195"/>
      <c r="AA297" s="258" t="str">
        <f>AA$17</f>
        <v/>
      </c>
      <c r="AB297" s="258" t="str">
        <f t="shared" ref="AB297:AI297" si="314">AB$17</f>
        <v/>
      </c>
      <c r="AC297" s="258" t="str">
        <f t="shared" si="314"/>
        <v/>
      </c>
      <c r="AD297" s="258" t="str">
        <f t="shared" si="314"/>
        <v/>
      </c>
      <c r="AE297" s="258" t="str">
        <f t="shared" si="314"/>
        <v/>
      </c>
      <c r="AF297" s="258" t="str">
        <f t="shared" si="314"/>
        <v/>
      </c>
      <c r="AG297" s="258" t="str">
        <f t="shared" si="314"/>
        <v/>
      </c>
      <c r="AH297" s="258" t="str">
        <f t="shared" si="314"/>
        <v/>
      </c>
      <c r="AI297" s="258" t="str">
        <f t="shared" si="314"/>
        <v/>
      </c>
      <c r="AJ297" s="195"/>
      <c r="AK297" s="944"/>
      <c r="AL297" s="195"/>
      <c r="AM297" s="258" t="str">
        <f>AM$17</f>
        <v/>
      </c>
      <c r="AN297" s="258" t="str">
        <f t="shared" ref="AN297:AU297" si="315">AN$17</f>
        <v/>
      </c>
      <c r="AO297" s="258" t="str">
        <f t="shared" si="315"/>
        <v/>
      </c>
      <c r="AP297" s="258" t="str">
        <f t="shared" si="315"/>
        <v/>
      </c>
      <c r="AQ297" s="258" t="str">
        <f t="shared" si="315"/>
        <v/>
      </c>
      <c r="AR297" s="258" t="str">
        <f t="shared" si="315"/>
        <v/>
      </c>
      <c r="AS297" s="258" t="str">
        <f t="shared" si="315"/>
        <v/>
      </c>
      <c r="AT297" s="258" t="str">
        <f t="shared" si="315"/>
        <v/>
      </c>
      <c r="AU297" s="258" t="str">
        <f t="shared" si="315"/>
        <v/>
      </c>
      <c r="AV297" s="195"/>
      <c r="AW297" s="944"/>
      <c r="AX297" s="195"/>
      <c r="AY297" s="258" t="str">
        <f>AY$17</f>
        <v/>
      </c>
      <c r="AZ297" s="258" t="str">
        <f t="shared" ref="AZ297:BG297" si="316">AZ$17</f>
        <v/>
      </c>
      <c r="BA297" s="258" t="str">
        <f t="shared" si="316"/>
        <v/>
      </c>
      <c r="BB297" s="258" t="str">
        <f t="shared" si="316"/>
        <v/>
      </c>
      <c r="BC297" s="258" t="str">
        <f t="shared" si="316"/>
        <v/>
      </c>
      <c r="BD297" s="258" t="str">
        <f t="shared" si="316"/>
        <v/>
      </c>
      <c r="BE297" s="258" t="str">
        <f t="shared" si="316"/>
        <v/>
      </c>
      <c r="BF297" s="258" t="str">
        <f t="shared" si="316"/>
        <v/>
      </c>
      <c r="BG297" s="258" t="str">
        <f t="shared" si="316"/>
        <v/>
      </c>
      <c r="BH297" s="36"/>
    </row>
    <row r="298" spans="1:60">
      <c r="A298" s="1040"/>
      <c r="B298" s="1109" t="s">
        <v>1219</v>
      </c>
      <c r="C298" s="1107" t="s">
        <v>104</v>
      </c>
      <c r="D298" s="641"/>
      <c r="E298" s="1123" t="s">
        <v>1340</v>
      </c>
      <c r="F298" s="180"/>
      <c r="G298" s="180"/>
      <c r="H298" s="201" t="s">
        <v>267</v>
      </c>
      <c r="I298" s="114"/>
      <c r="J298" s="190">
        <f>M298+Y298+AK298+AW298</f>
        <v>0</v>
      </c>
      <c r="K298" s="1092"/>
      <c r="L298" s="1092"/>
      <c r="M298" s="190">
        <f>SUMPRODUCT(N298:X298,N$22:X$22,N$29:X$29)/1000</f>
        <v>0</v>
      </c>
      <c r="N298" s="119"/>
      <c r="O298" s="183">
        <f t="shared" ref="O298:W298" si="317">O290+O296</f>
        <v>0</v>
      </c>
      <c r="P298" s="183">
        <f t="shared" si="317"/>
        <v>0</v>
      </c>
      <c r="Q298" s="183">
        <f t="shared" si="317"/>
        <v>0</v>
      </c>
      <c r="R298" s="183">
        <f t="shared" si="317"/>
        <v>0</v>
      </c>
      <c r="S298" s="183">
        <f t="shared" si="317"/>
        <v>0</v>
      </c>
      <c r="T298" s="183">
        <f t="shared" si="317"/>
        <v>0</v>
      </c>
      <c r="U298" s="183">
        <f t="shared" si="317"/>
        <v>0</v>
      </c>
      <c r="V298" s="183">
        <f t="shared" si="317"/>
        <v>0</v>
      </c>
      <c r="W298" s="183">
        <f t="shared" si="317"/>
        <v>0</v>
      </c>
      <c r="X298" s="108"/>
      <c r="Y298" s="190">
        <f>Y290+Y296</f>
        <v>0</v>
      </c>
      <c r="Z298" s="119"/>
      <c r="AA298" s="183">
        <f t="shared" ref="AA298:AI298" si="318">AA290+AA296</f>
        <v>0</v>
      </c>
      <c r="AB298" s="183">
        <f t="shared" si="318"/>
        <v>0</v>
      </c>
      <c r="AC298" s="183">
        <f t="shared" si="318"/>
        <v>0</v>
      </c>
      <c r="AD298" s="183">
        <f t="shared" si="318"/>
        <v>0</v>
      </c>
      <c r="AE298" s="183">
        <f t="shared" si="318"/>
        <v>0</v>
      </c>
      <c r="AF298" s="183">
        <f t="shared" si="318"/>
        <v>0</v>
      </c>
      <c r="AG298" s="183">
        <f t="shared" si="318"/>
        <v>0</v>
      </c>
      <c r="AH298" s="183">
        <f t="shared" si="318"/>
        <v>0</v>
      </c>
      <c r="AI298" s="183">
        <f t="shared" si="318"/>
        <v>0</v>
      </c>
      <c r="AJ298" s="108"/>
      <c r="AK298" s="190">
        <f>AK290+AK296</f>
        <v>0</v>
      </c>
      <c r="AL298" s="119"/>
      <c r="AM298" s="183">
        <f t="shared" ref="AM298:AU298" si="319">AM290+AM296</f>
        <v>0</v>
      </c>
      <c r="AN298" s="183">
        <f t="shared" si="319"/>
        <v>0</v>
      </c>
      <c r="AO298" s="183">
        <f t="shared" si="319"/>
        <v>0</v>
      </c>
      <c r="AP298" s="183">
        <f t="shared" si="319"/>
        <v>0</v>
      </c>
      <c r="AQ298" s="183">
        <f t="shared" si="319"/>
        <v>0</v>
      </c>
      <c r="AR298" s="183">
        <f t="shared" si="319"/>
        <v>0</v>
      </c>
      <c r="AS298" s="183">
        <f t="shared" si="319"/>
        <v>0</v>
      </c>
      <c r="AT298" s="183">
        <f t="shared" si="319"/>
        <v>0</v>
      </c>
      <c r="AU298" s="183">
        <f t="shared" si="319"/>
        <v>0</v>
      </c>
      <c r="AV298" s="108"/>
      <c r="AW298" s="190">
        <f>AW290+AW296</f>
        <v>0</v>
      </c>
      <c r="AX298" s="119"/>
      <c r="AY298" s="183">
        <f t="shared" ref="AY298:BG298" si="320">AY290+AY296</f>
        <v>0</v>
      </c>
      <c r="AZ298" s="183">
        <f t="shared" si="320"/>
        <v>0</v>
      </c>
      <c r="BA298" s="183">
        <f t="shared" si="320"/>
        <v>0</v>
      </c>
      <c r="BB298" s="183">
        <f t="shared" si="320"/>
        <v>0</v>
      </c>
      <c r="BC298" s="183">
        <f t="shared" si="320"/>
        <v>0</v>
      </c>
      <c r="BD298" s="183">
        <f t="shared" si="320"/>
        <v>0</v>
      </c>
      <c r="BE298" s="183">
        <f t="shared" si="320"/>
        <v>0</v>
      </c>
      <c r="BF298" s="183">
        <f t="shared" si="320"/>
        <v>0</v>
      </c>
      <c r="BG298" s="183">
        <f t="shared" si="320"/>
        <v>0</v>
      </c>
      <c r="BH298" s="210"/>
    </row>
    <row r="299" spans="1:60">
      <c r="A299" s="1040"/>
      <c r="B299" s="1109" t="s">
        <v>1219</v>
      </c>
      <c r="C299" s="1107" t="s">
        <v>104</v>
      </c>
      <c r="D299" s="641"/>
      <c r="E299" s="1123" t="s">
        <v>1341</v>
      </c>
      <c r="F299" s="180"/>
      <c r="G299" s="180"/>
      <c r="H299" s="201" t="s">
        <v>267</v>
      </c>
      <c r="I299" s="114"/>
      <c r="J299" s="190">
        <f>M299+Y299+AK299+AW299</f>
        <v>0</v>
      </c>
      <c r="K299" s="1092"/>
      <c r="L299" s="1092"/>
      <c r="M299" s="190">
        <f>SUMPRODUCT(N299:X299,N$22:X$22,N$29:X$29)/1000</f>
        <v>0</v>
      </c>
      <c r="N299" s="119"/>
      <c r="O299" s="183">
        <f t="shared" ref="O299:W299" si="321">O$282+O$283+O$284+IF(OR(O$19=woning,O$19=woongebouw),0,O$285)+O$286-O$292+O$296</f>
        <v>0</v>
      </c>
      <c r="P299" s="183">
        <f t="shared" si="321"/>
        <v>0</v>
      </c>
      <c r="Q299" s="183">
        <f t="shared" si="321"/>
        <v>0</v>
      </c>
      <c r="R299" s="183">
        <f t="shared" si="321"/>
        <v>0</v>
      </c>
      <c r="S299" s="183">
        <f t="shared" si="321"/>
        <v>0</v>
      </c>
      <c r="T299" s="183">
        <f t="shared" si="321"/>
        <v>0</v>
      </c>
      <c r="U299" s="183">
        <f t="shared" si="321"/>
        <v>0</v>
      </c>
      <c r="V299" s="183">
        <f t="shared" si="321"/>
        <v>0</v>
      </c>
      <c r="W299" s="183">
        <f t="shared" si="321"/>
        <v>0</v>
      </c>
      <c r="X299" s="108"/>
      <c r="Y299" s="190">
        <f>SUMPRODUCT(Z299:AJ299,Z$22:AJ$22,Z$29:AJ$29)/1000</f>
        <v>0</v>
      </c>
      <c r="Z299" s="119"/>
      <c r="AA299" s="183">
        <f t="shared" ref="AA299:AI299" si="322">AA$282+AA$283+AA$284+IF(OR(AA$19=woning,AA$19=woongebouw),0,AA$285)+AA$286-AA$292+AA$296</f>
        <v>0</v>
      </c>
      <c r="AB299" s="183">
        <f t="shared" si="322"/>
        <v>0</v>
      </c>
      <c r="AC299" s="183">
        <f t="shared" si="322"/>
        <v>0</v>
      </c>
      <c r="AD299" s="183">
        <f t="shared" si="322"/>
        <v>0</v>
      </c>
      <c r="AE299" s="183">
        <f t="shared" si="322"/>
        <v>0</v>
      </c>
      <c r="AF299" s="183">
        <f t="shared" si="322"/>
        <v>0</v>
      </c>
      <c r="AG299" s="183">
        <f t="shared" si="322"/>
        <v>0</v>
      </c>
      <c r="AH299" s="183">
        <f t="shared" si="322"/>
        <v>0</v>
      </c>
      <c r="AI299" s="183">
        <f t="shared" si="322"/>
        <v>0</v>
      </c>
      <c r="AJ299" s="108"/>
      <c r="AK299" s="190">
        <f>SUMPRODUCT(AL299:AV299,AL$22:AV$22,AL$29:AV$29)/1000</f>
        <v>0</v>
      </c>
      <c r="AL299" s="119"/>
      <c r="AM299" s="183">
        <f t="shared" ref="AM299:AU299" si="323">AM$282+AM$283+AM$284+IF(OR(AM$19=woning,AM$19=woongebouw),0,AM$285)+AM$286-AM$292+AM$296</f>
        <v>0</v>
      </c>
      <c r="AN299" s="183">
        <f t="shared" si="323"/>
        <v>0</v>
      </c>
      <c r="AO299" s="183">
        <f t="shared" si="323"/>
        <v>0</v>
      </c>
      <c r="AP299" s="183">
        <f t="shared" si="323"/>
        <v>0</v>
      </c>
      <c r="AQ299" s="183">
        <f t="shared" si="323"/>
        <v>0</v>
      </c>
      <c r="AR299" s="183">
        <f t="shared" si="323"/>
        <v>0</v>
      </c>
      <c r="AS299" s="183">
        <f t="shared" si="323"/>
        <v>0</v>
      </c>
      <c r="AT299" s="183">
        <f t="shared" si="323"/>
        <v>0</v>
      </c>
      <c r="AU299" s="183">
        <f t="shared" si="323"/>
        <v>0</v>
      </c>
      <c r="AV299" s="108"/>
      <c r="AW299" s="190">
        <f>SUMPRODUCT(AX299:BH299,AX$22:BH$22,AX$29:BH$29)/1000</f>
        <v>0</v>
      </c>
      <c r="AX299" s="119"/>
      <c r="AY299" s="183">
        <f t="shared" ref="AY299:BG299" si="324">AY$282+AY$283+AY$284+IF(OR(AY$19=woning,AY$19=woongebouw),0,AY$285)+AY$286-AY$292+AY$296</f>
        <v>0</v>
      </c>
      <c r="AZ299" s="183">
        <f t="shared" si="324"/>
        <v>0</v>
      </c>
      <c r="BA299" s="183">
        <f t="shared" si="324"/>
        <v>0</v>
      </c>
      <c r="BB299" s="183">
        <f t="shared" si="324"/>
        <v>0</v>
      </c>
      <c r="BC299" s="183">
        <f t="shared" si="324"/>
        <v>0</v>
      </c>
      <c r="BD299" s="183">
        <f t="shared" si="324"/>
        <v>0</v>
      </c>
      <c r="BE299" s="183">
        <f t="shared" si="324"/>
        <v>0</v>
      </c>
      <c r="BF299" s="183">
        <f t="shared" si="324"/>
        <v>0</v>
      </c>
      <c r="BG299" s="183">
        <f t="shared" si="324"/>
        <v>0</v>
      </c>
      <c r="BH299" s="210"/>
    </row>
    <row r="300" spans="1:60">
      <c r="A300" s="1040"/>
      <c r="B300" s="1109" t="s">
        <v>1221</v>
      </c>
      <c r="C300" s="1106" t="s">
        <v>96</v>
      </c>
      <c r="D300" s="638"/>
      <c r="E300" s="79"/>
      <c r="F300" s="79"/>
      <c r="G300" s="79"/>
      <c r="H300" s="85"/>
      <c r="I300" s="79"/>
      <c r="J300" s="113"/>
      <c r="K300" s="79"/>
      <c r="L300" s="79"/>
      <c r="M300" s="113"/>
      <c r="N300" s="79"/>
      <c r="O300" s="81"/>
      <c r="P300" s="356"/>
      <c r="Q300" s="356"/>
      <c r="R300" s="82"/>
      <c r="S300" s="1152"/>
      <c r="T300" s="82"/>
      <c r="U300" s="82"/>
      <c r="V300" s="82"/>
      <c r="W300" s="82"/>
      <c r="X300" s="82"/>
      <c r="Y300" s="82"/>
      <c r="Z300" s="79"/>
      <c r="AA300" s="79"/>
      <c r="AB300" s="79"/>
      <c r="AC300" s="79"/>
      <c r="AD300" s="79"/>
      <c r="AE300" s="79"/>
      <c r="AF300" s="79"/>
      <c r="AG300" s="79"/>
      <c r="AH300" s="79"/>
      <c r="AI300" s="79"/>
      <c r="AJ300" s="79"/>
      <c r="AK300" s="113"/>
      <c r="AL300" s="79"/>
      <c r="AM300" s="82"/>
      <c r="AN300" s="82"/>
      <c r="AO300" s="82"/>
      <c r="AP300" s="82"/>
      <c r="AQ300" s="82"/>
      <c r="AR300" s="82"/>
      <c r="AS300" s="82"/>
      <c r="AT300" s="82"/>
      <c r="AU300" s="82"/>
      <c r="AV300" s="82"/>
      <c r="AW300" s="82"/>
      <c r="AX300" s="79"/>
      <c r="AY300" s="82"/>
      <c r="AZ300" s="82"/>
      <c r="BA300" s="82"/>
      <c r="BB300" s="82"/>
      <c r="BC300" s="82"/>
      <c r="BD300" s="82"/>
      <c r="BE300" s="82"/>
      <c r="BF300" s="82"/>
      <c r="BG300" s="82"/>
      <c r="BH300" s="1"/>
    </row>
    <row r="301" spans="1:60">
      <c r="A301" s="1040"/>
      <c r="B301" s="1109" t="s">
        <v>1222</v>
      </c>
      <c r="C301" s="1107" t="s">
        <v>96</v>
      </c>
      <c r="D301" s="638"/>
      <c r="E301" s="79"/>
      <c r="F301" s="79"/>
      <c r="G301" s="79"/>
      <c r="H301" s="85"/>
      <c r="I301" s="79"/>
      <c r="J301" s="1088"/>
      <c r="K301" s="79"/>
      <c r="L301" s="79"/>
      <c r="M301" s="113"/>
      <c r="N301" s="79"/>
      <c r="O301" s="1087"/>
      <c r="P301" s="356"/>
      <c r="Q301" s="356"/>
      <c r="R301" s="123"/>
      <c r="S301" s="82"/>
      <c r="T301" s="82"/>
      <c r="U301" s="82"/>
      <c r="V301" s="82"/>
      <c r="W301" s="82"/>
      <c r="X301" s="82"/>
      <c r="Y301" s="82"/>
      <c r="Z301" s="79"/>
      <c r="AA301" s="82"/>
      <c r="AB301" s="113"/>
      <c r="AC301" s="82"/>
      <c r="AD301" s="82"/>
      <c r="AE301" s="82"/>
      <c r="AF301" s="82"/>
      <c r="AG301" s="82"/>
      <c r="AH301" s="82"/>
      <c r="AI301" s="82"/>
      <c r="AJ301" s="82"/>
      <c r="AK301" s="82"/>
      <c r="AL301" s="79"/>
      <c r="AM301" s="82"/>
      <c r="AN301" s="82"/>
      <c r="AO301" s="82"/>
      <c r="AP301" s="82"/>
      <c r="AQ301" s="82"/>
      <c r="AR301" s="82"/>
      <c r="AS301" s="82"/>
      <c r="AT301" s="82"/>
      <c r="AU301" s="82"/>
      <c r="AV301" s="82"/>
      <c r="AW301" s="82"/>
      <c r="AX301" s="79"/>
      <c r="AY301" s="82"/>
      <c r="AZ301" s="82"/>
      <c r="BA301" s="82"/>
      <c r="BB301" s="82"/>
      <c r="BC301" s="82"/>
      <c r="BD301" s="82"/>
      <c r="BE301" s="82"/>
      <c r="BF301" s="82"/>
      <c r="BG301" s="82"/>
      <c r="BH301" s="1"/>
    </row>
    <row r="302" spans="1:60" s="2" customFormat="1" ht="21">
      <c r="A302" s="1038"/>
      <c r="B302" s="1109" t="s">
        <v>1222</v>
      </c>
      <c r="C302" s="1106" t="s">
        <v>96</v>
      </c>
      <c r="D302" s="641" t="s">
        <v>45</v>
      </c>
      <c r="E302" s="209" t="s">
        <v>1320</v>
      </c>
      <c r="F302" s="209"/>
      <c r="G302" s="209"/>
      <c r="H302" s="209"/>
      <c r="I302" s="129"/>
      <c r="J302" s="256" t="str">
        <f>"MWh "&amp;J$8</f>
        <v>MWh alle locaties</v>
      </c>
      <c r="K302" s="126"/>
      <c r="L302" s="126"/>
      <c r="M302" s="256" t="str">
        <f>"MWh "&amp;M$8</f>
        <v>MWh locatie 1</v>
      </c>
      <c r="N302" s="182"/>
      <c r="O302" s="955" t="str">
        <f>$E302&amp;" per woning-/gebouwtype"</f>
        <v>hernieuwbaar primair fossiel energiegebruik per woning-/gebouwtype</v>
      </c>
      <c r="P302" s="945"/>
      <c r="Q302" s="945"/>
      <c r="R302" s="945"/>
      <c r="S302" s="945"/>
      <c r="T302" s="945"/>
      <c r="U302" s="945"/>
      <c r="V302" s="945"/>
      <c r="W302" s="257"/>
      <c r="X302" s="174"/>
      <c r="Y302" s="256" t="str">
        <f>"MWh "&amp;Y$8</f>
        <v>MWh locatie 2</v>
      </c>
      <c r="Z302" s="182"/>
      <c r="AA302" s="955" t="str">
        <f>$E302&amp;" per woning-/gebouwtype"</f>
        <v>hernieuwbaar primair fossiel energiegebruik per woning-/gebouwtype</v>
      </c>
      <c r="AB302" s="945"/>
      <c r="AC302" s="945"/>
      <c r="AD302" s="945"/>
      <c r="AE302" s="945"/>
      <c r="AF302" s="945"/>
      <c r="AG302" s="945"/>
      <c r="AH302" s="945"/>
      <c r="AI302" s="257"/>
      <c r="AJ302" s="174"/>
      <c r="AK302" s="256" t="str">
        <f>"MWh "&amp;AK$8</f>
        <v>MWh locatie 3</v>
      </c>
      <c r="AL302" s="182"/>
      <c r="AM302" s="955" t="str">
        <f>$E302&amp;" per woning-/gebouwtype"</f>
        <v>hernieuwbaar primair fossiel energiegebruik per woning-/gebouwtype</v>
      </c>
      <c r="AN302" s="945"/>
      <c r="AO302" s="945"/>
      <c r="AP302" s="945"/>
      <c r="AQ302" s="945"/>
      <c r="AR302" s="945"/>
      <c r="AS302" s="945"/>
      <c r="AT302" s="945"/>
      <c r="AU302" s="257"/>
      <c r="AV302" s="174"/>
      <c r="AW302" s="256" t="str">
        <f>"MWh "&amp;AW$8</f>
        <v>MWh locatie 4</v>
      </c>
      <c r="AX302" s="182"/>
      <c r="AY302" s="955" t="str">
        <f>$E302&amp;" per woning-/gebouwtype"</f>
        <v>hernieuwbaar primair fossiel energiegebruik per woning-/gebouwtype</v>
      </c>
      <c r="AZ302" s="945"/>
      <c r="BA302" s="945"/>
      <c r="BB302" s="945"/>
      <c r="BC302" s="945"/>
      <c r="BD302" s="945"/>
      <c r="BE302" s="945"/>
      <c r="BF302" s="945"/>
      <c r="BG302" s="257"/>
      <c r="BH302" s="1"/>
    </row>
    <row r="303" spans="1:60">
      <c r="A303" s="1040"/>
      <c r="B303" s="1109" t="s">
        <v>1222</v>
      </c>
      <c r="C303" s="1106" t="s">
        <v>96</v>
      </c>
      <c r="D303" s="638"/>
      <c r="E303" s="942" t="s">
        <v>270</v>
      </c>
      <c r="F303" s="942"/>
      <c r="G303" s="942"/>
      <c r="H303" s="942"/>
      <c r="I303" s="129"/>
      <c r="J303" s="943"/>
      <c r="K303" s="126"/>
      <c r="L303" s="126"/>
      <c r="M303" s="944"/>
      <c r="N303" s="195"/>
      <c r="O303" s="258" t="str">
        <f>O$17</f>
        <v/>
      </c>
      <c r="P303" s="258" t="str">
        <f t="shared" ref="P303:W303" si="325">P$17</f>
        <v/>
      </c>
      <c r="Q303" s="258" t="str">
        <f t="shared" si="325"/>
        <v/>
      </c>
      <c r="R303" s="258" t="str">
        <f t="shared" si="325"/>
        <v/>
      </c>
      <c r="S303" s="258" t="str">
        <f t="shared" si="325"/>
        <v/>
      </c>
      <c r="T303" s="258" t="str">
        <f t="shared" si="325"/>
        <v/>
      </c>
      <c r="U303" s="258" t="str">
        <f t="shared" si="325"/>
        <v/>
      </c>
      <c r="V303" s="258" t="str">
        <f t="shared" si="325"/>
        <v/>
      </c>
      <c r="W303" s="258" t="str">
        <f t="shared" si="325"/>
        <v/>
      </c>
      <c r="X303" s="195"/>
      <c r="Y303" s="944"/>
      <c r="Z303" s="195"/>
      <c r="AA303" s="258" t="str">
        <f>AA$17</f>
        <v/>
      </c>
      <c r="AB303" s="258" t="str">
        <f t="shared" ref="AB303:AI303" si="326">AB$17</f>
        <v/>
      </c>
      <c r="AC303" s="258" t="str">
        <f t="shared" si="326"/>
        <v/>
      </c>
      <c r="AD303" s="258" t="str">
        <f t="shared" si="326"/>
        <v/>
      </c>
      <c r="AE303" s="258" t="str">
        <f t="shared" si="326"/>
        <v/>
      </c>
      <c r="AF303" s="258" t="str">
        <f t="shared" si="326"/>
        <v/>
      </c>
      <c r="AG303" s="258" t="str">
        <f t="shared" si="326"/>
        <v/>
      </c>
      <c r="AH303" s="258" t="str">
        <f t="shared" si="326"/>
        <v/>
      </c>
      <c r="AI303" s="258" t="str">
        <f t="shared" si="326"/>
        <v/>
      </c>
      <c r="AJ303" s="195"/>
      <c r="AK303" s="944"/>
      <c r="AL303" s="195"/>
      <c r="AM303" s="258" t="str">
        <f>AM$17</f>
        <v/>
      </c>
      <c r="AN303" s="258" t="str">
        <f t="shared" ref="AN303:AU303" si="327">AN$17</f>
        <v/>
      </c>
      <c r="AO303" s="258" t="str">
        <f t="shared" si="327"/>
        <v/>
      </c>
      <c r="AP303" s="258" t="str">
        <f t="shared" si="327"/>
        <v/>
      </c>
      <c r="AQ303" s="258" t="str">
        <f t="shared" si="327"/>
        <v/>
      </c>
      <c r="AR303" s="258" t="str">
        <f t="shared" si="327"/>
        <v/>
      </c>
      <c r="AS303" s="258" t="str">
        <f t="shared" si="327"/>
        <v/>
      </c>
      <c r="AT303" s="258" t="str">
        <f t="shared" si="327"/>
        <v/>
      </c>
      <c r="AU303" s="258" t="str">
        <f t="shared" si="327"/>
        <v/>
      </c>
      <c r="AV303" s="195"/>
      <c r="AW303" s="944"/>
      <c r="AX303" s="195"/>
      <c r="AY303" s="258" t="str">
        <f>AY$17</f>
        <v/>
      </c>
      <c r="AZ303" s="258" t="str">
        <f t="shared" ref="AZ303:BG303" si="328">AZ$17</f>
        <v/>
      </c>
      <c r="BA303" s="258" t="str">
        <f t="shared" si="328"/>
        <v/>
      </c>
      <c r="BB303" s="258" t="str">
        <f t="shared" si="328"/>
        <v/>
      </c>
      <c r="BC303" s="258" t="str">
        <f t="shared" si="328"/>
        <v/>
      </c>
      <c r="BD303" s="258" t="str">
        <f t="shared" si="328"/>
        <v/>
      </c>
      <c r="BE303" s="258" t="str">
        <f t="shared" si="328"/>
        <v/>
      </c>
      <c r="BF303" s="258" t="str">
        <f t="shared" si="328"/>
        <v/>
      </c>
      <c r="BG303" s="258" t="str">
        <f t="shared" si="328"/>
        <v/>
      </c>
      <c r="BH303" s="36"/>
    </row>
    <row r="304" spans="1:60">
      <c r="A304" s="1040"/>
      <c r="B304" s="1109" t="s">
        <v>1222</v>
      </c>
      <c r="C304" s="1107" t="s">
        <v>104</v>
      </c>
      <c r="D304" s="641" t="s">
        <v>45</v>
      </c>
      <c r="E304" s="180" t="s">
        <v>1329</v>
      </c>
      <c r="F304" s="180"/>
      <c r="G304" s="180"/>
      <c r="H304" s="201" t="s">
        <v>267</v>
      </c>
      <c r="I304" s="114"/>
      <c r="J304" s="190">
        <f>M304+Y304+AK304+AW304</f>
        <v>0</v>
      </c>
      <c r="K304" s="1092"/>
      <c r="L304" s="1092"/>
      <c r="M304" s="190">
        <f>SUMPRODUCT(N304:X304,N$30:X$30)/1000</f>
        <v>0</v>
      </c>
      <c r="N304" s="119"/>
      <c r="O304" s="227" t="str">
        <f t="shared" ref="O304:W304" si="329">IF(OR(O$17="",O$22=0,O$29=0),"",O$282+O$283+O$284+IF(OR(O$19=woning,O$19=woongebouw),0,O$285)+O$286-O$292+O$296)</f>
        <v/>
      </c>
      <c r="P304" s="183" t="str">
        <f t="shared" si="329"/>
        <v/>
      </c>
      <c r="Q304" s="183" t="str">
        <f t="shared" si="329"/>
        <v/>
      </c>
      <c r="R304" s="183" t="str">
        <f t="shared" si="329"/>
        <v/>
      </c>
      <c r="S304" s="183" t="str">
        <f t="shared" si="329"/>
        <v/>
      </c>
      <c r="T304" s="183" t="str">
        <f t="shared" si="329"/>
        <v/>
      </c>
      <c r="U304" s="183" t="str">
        <f t="shared" si="329"/>
        <v/>
      </c>
      <c r="V304" s="183" t="str">
        <f t="shared" si="329"/>
        <v/>
      </c>
      <c r="W304" s="183" t="str">
        <f t="shared" si="329"/>
        <v/>
      </c>
      <c r="X304" s="108"/>
      <c r="Y304" s="190">
        <f>SUMPRODUCT(Z304:AJ304,Z$30:AJ$30)/1000</f>
        <v>0</v>
      </c>
      <c r="Z304" s="119"/>
      <c r="AA304" s="183" t="str">
        <f t="shared" ref="AA304:AI304" si="330">IF(OR(AA$17="",AA$22=0,AA$29=0),"",AA$282+AA$283+AA$284+IF(OR(AA$19=woning,AA$19=woongebouw),0,AA$285)+AA$286-AA$292+AA$296)</f>
        <v/>
      </c>
      <c r="AB304" s="183" t="str">
        <f t="shared" si="330"/>
        <v/>
      </c>
      <c r="AC304" s="183" t="str">
        <f t="shared" si="330"/>
        <v/>
      </c>
      <c r="AD304" s="183" t="str">
        <f t="shared" si="330"/>
        <v/>
      </c>
      <c r="AE304" s="183" t="str">
        <f t="shared" si="330"/>
        <v/>
      </c>
      <c r="AF304" s="183" t="str">
        <f t="shared" si="330"/>
        <v/>
      </c>
      <c r="AG304" s="183" t="str">
        <f t="shared" si="330"/>
        <v/>
      </c>
      <c r="AH304" s="183" t="str">
        <f t="shared" si="330"/>
        <v/>
      </c>
      <c r="AI304" s="183" t="str">
        <f t="shared" si="330"/>
        <v/>
      </c>
      <c r="AJ304" s="108"/>
      <c r="AK304" s="190">
        <f>SUMPRODUCT(AL304:AV304,AL$30:AV$30)/1000</f>
        <v>0</v>
      </c>
      <c r="AL304" s="119"/>
      <c r="AM304" s="183" t="str">
        <f t="shared" ref="AM304:AU304" si="331">IF(OR(AM$17="",AM$22=0,AM$29=0),"",AM$282+AM$283+AM$284+IF(OR(AM$19=woning,AM$19=woongebouw),0,AM$285)+AM$286-AM$292+AM$296)</f>
        <v/>
      </c>
      <c r="AN304" s="183" t="str">
        <f t="shared" si="331"/>
        <v/>
      </c>
      <c r="AO304" s="183" t="str">
        <f t="shared" si="331"/>
        <v/>
      </c>
      <c r="AP304" s="183" t="str">
        <f t="shared" si="331"/>
        <v/>
      </c>
      <c r="AQ304" s="183" t="str">
        <f t="shared" si="331"/>
        <v/>
      </c>
      <c r="AR304" s="183" t="str">
        <f t="shared" si="331"/>
        <v/>
      </c>
      <c r="AS304" s="183" t="str">
        <f t="shared" si="331"/>
        <v/>
      </c>
      <c r="AT304" s="183" t="str">
        <f t="shared" si="331"/>
        <v/>
      </c>
      <c r="AU304" s="183" t="str">
        <f t="shared" si="331"/>
        <v/>
      </c>
      <c r="AV304" s="108"/>
      <c r="AW304" s="190">
        <f>SUMPRODUCT(AX304:BH304,AX$30:BH$30)/1000</f>
        <v>0</v>
      </c>
      <c r="AX304" s="119"/>
      <c r="AY304" s="183" t="str">
        <f t="shared" ref="AY304:BG304" si="332">IF(OR(AY$17="",AY$22=0,AY$29=0),"",AY$282+AY$283+AY$284+IF(OR(AY$19=woning,AY$19=woongebouw),0,AY$285)+AY$286-AY$292+AY$296)</f>
        <v/>
      </c>
      <c r="AZ304" s="183" t="str">
        <f t="shared" si="332"/>
        <v/>
      </c>
      <c r="BA304" s="183" t="str">
        <f t="shared" si="332"/>
        <v/>
      </c>
      <c r="BB304" s="183" t="str">
        <f t="shared" si="332"/>
        <v/>
      </c>
      <c r="BC304" s="183" t="str">
        <f t="shared" si="332"/>
        <v/>
      </c>
      <c r="BD304" s="183" t="str">
        <f t="shared" si="332"/>
        <v/>
      </c>
      <c r="BE304" s="183" t="str">
        <f t="shared" si="332"/>
        <v/>
      </c>
      <c r="BF304" s="183" t="str">
        <f t="shared" si="332"/>
        <v/>
      </c>
      <c r="BG304" s="183" t="str">
        <f t="shared" si="332"/>
        <v/>
      </c>
      <c r="BH304" s="210"/>
    </row>
    <row r="305" spans="1:60">
      <c r="A305" s="1040"/>
      <c r="B305" s="1109" t="s">
        <v>1222</v>
      </c>
      <c r="C305" s="1106" t="s">
        <v>96</v>
      </c>
      <c r="D305" s="638"/>
      <c r="E305" s="942" t="s">
        <v>271</v>
      </c>
      <c r="F305" s="942"/>
      <c r="G305" s="942"/>
      <c r="H305" s="942"/>
      <c r="I305" s="129"/>
      <c r="J305" s="943"/>
      <c r="K305" s="126"/>
      <c r="L305" s="126"/>
      <c r="M305" s="944"/>
      <c r="N305" s="195"/>
      <c r="O305" s="258" t="str">
        <f>O$17</f>
        <v/>
      </c>
      <c r="P305" s="258" t="str">
        <f t="shared" ref="P305:W305" si="333">P$17</f>
        <v/>
      </c>
      <c r="Q305" s="258" t="str">
        <f t="shared" si="333"/>
        <v/>
      </c>
      <c r="R305" s="258" t="str">
        <f t="shared" si="333"/>
        <v/>
      </c>
      <c r="S305" s="258" t="str">
        <f t="shared" si="333"/>
        <v/>
      </c>
      <c r="T305" s="258" t="str">
        <f t="shared" si="333"/>
        <v/>
      </c>
      <c r="U305" s="258" t="str">
        <f t="shared" si="333"/>
        <v/>
      </c>
      <c r="V305" s="258" t="str">
        <f t="shared" si="333"/>
        <v/>
      </c>
      <c r="W305" s="258" t="str">
        <f t="shared" si="333"/>
        <v/>
      </c>
      <c r="X305" s="195"/>
      <c r="Y305" s="944"/>
      <c r="Z305" s="195"/>
      <c r="AA305" s="258" t="str">
        <f>AA$17</f>
        <v/>
      </c>
      <c r="AB305" s="258" t="str">
        <f t="shared" ref="AB305:AI305" si="334">AB$17</f>
        <v/>
      </c>
      <c r="AC305" s="258" t="str">
        <f t="shared" si="334"/>
        <v/>
      </c>
      <c r="AD305" s="258" t="str">
        <f t="shared" si="334"/>
        <v/>
      </c>
      <c r="AE305" s="258" t="str">
        <f t="shared" si="334"/>
        <v/>
      </c>
      <c r="AF305" s="258" t="str">
        <f t="shared" si="334"/>
        <v/>
      </c>
      <c r="AG305" s="258" t="str">
        <f t="shared" si="334"/>
        <v/>
      </c>
      <c r="AH305" s="258" t="str">
        <f t="shared" si="334"/>
        <v/>
      </c>
      <c r="AI305" s="258" t="str">
        <f t="shared" si="334"/>
        <v/>
      </c>
      <c r="AJ305" s="195"/>
      <c r="AK305" s="944"/>
      <c r="AL305" s="195"/>
      <c r="AM305" s="258" t="str">
        <f>AM$17</f>
        <v/>
      </c>
      <c r="AN305" s="258" t="str">
        <f t="shared" ref="AN305:AU305" si="335">AN$17</f>
        <v/>
      </c>
      <c r="AO305" s="258" t="str">
        <f t="shared" si="335"/>
        <v/>
      </c>
      <c r="AP305" s="258" t="str">
        <f t="shared" si="335"/>
        <v/>
      </c>
      <c r="AQ305" s="258" t="str">
        <f t="shared" si="335"/>
        <v/>
      </c>
      <c r="AR305" s="258" t="str">
        <f t="shared" si="335"/>
        <v/>
      </c>
      <c r="AS305" s="258" t="str">
        <f t="shared" si="335"/>
        <v/>
      </c>
      <c r="AT305" s="258" t="str">
        <f t="shared" si="335"/>
        <v/>
      </c>
      <c r="AU305" s="258" t="str">
        <f t="shared" si="335"/>
        <v/>
      </c>
      <c r="AV305" s="195"/>
      <c r="AW305" s="944"/>
      <c r="AX305" s="195"/>
      <c r="AY305" s="258" t="str">
        <f>AY$17</f>
        <v/>
      </c>
      <c r="AZ305" s="258" t="str">
        <f t="shared" ref="AZ305:BG305" si="336">AZ$17</f>
        <v/>
      </c>
      <c r="BA305" s="258" t="str">
        <f t="shared" si="336"/>
        <v/>
      </c>
      <c r="BB305" s="258" t="str">
        <f t="shared" si="336"/>
        <v/>
      </c>
      <c r="BC305" s="258" t="str">
        <f t="shared" si="336"/>
        <v/>
      </c>
      <c r="BD305" s="258" t="str">
        <f t="shared" si="336"/>
        <v/>
      </c>
      <c r="BE305" s="258" t="str">
        <f t="shared" si="336"/>
        <v/>
      </c>
      <c r="BF305" s="258" t="str">
        <f t="shared" si="336"/>
        <v/>
      </c>
      <c r="BG305" s="258" t="str">
        <f t="shared" si="336"/>
        <v/>
      </c>
      <c r="BH305" s="36"/>
    </row>
    <row r="306" spans="1:60">
      <c r="A306" s="1040"/>
      <c r="B306" s="1109" t="s">
        <v>1222</v>
      </c>
      <c r="C306" s="1107" t="s">
        <v>104</v>
      </c>
      <c r="D306" s="641" t="s">
        <v>45</v>
      </c>
      <c r="E306" s="180" t="s">
        <v>1328</v>
      </c>
      <c r="F306" s="180"/>
      <c r="G306" s="180"/>
      <c r="H306" s="201" t="s">
        <v>267</v>
      </c>
      <c r="I306" s="114"/>
      <c r="J306" s="190">
        <f t="shared" ref="J306:J311" si="337">M306+Y306+AK306+AW306</f>
        <v>0</v>
      </c>
      <c r="K306" s="1092"/>
      <c r="L306" s="1092"/>
      <c r="M306" s="190">
        <f t="shared" ref="M306:M311" si="338">SUMPRODUCT(N306:X306,N$30:X$30)/1000</f>
        <v>0</v>
      </c>
      <c r="N306" s="119"/>
      <c r="O306" s="183" t="str">
        <f t="shared" ref="O306:W306" si="339">IF(OR(O$17="",O$22=0,O$29=0),"",
(O$275*$O251+O$276*$P251+O$277*$Q251)*1000/(O$22*O$29))</f>
        <v/>
      </c>
      <c r="P306" s="183" t="str">
        <f t="shared" si="339"/>
        <v/>
      </c>
      <c r="Q306" s="183" t="str">
        <f t="shared" si="339"/>
        <v/>
      </c>
      <c r="R306" s="183" t="str">
        <f t="shared" si="339"/>
        <v/>
      </c>
      <c r="S306" s="183" t="str">
        <f t="shared" si="339"/>
        <v/>
      </c>
      <c r="T306" s="183" t="str">
        <f t="shared" si="339"/>
        <v/>
      </c>
      <c r="U306" s="183" t="str">
        <f t="shared" si="339"/>
        <v/>
      </c>
      <c r="V306" s="183" t="str">
        <f t="shared" si="339"/>
        <v/>
      </c>
      <c r="W306" s="183" t="str">
        <f t="shared" si="339"/>
        <v/>
      </c>
      <c r="X306" s="108"/>
      <c r="Y306" s="190">
        <f t="shared" ref="Y306:Y311" si="340">SUMPRODUCT(Z306:AJ306,Z$30:AJ$30)/1000</f>
        <v>0</v>
      </c>
      <c r="Z306" s="119"/>
      <c r="AA306" s="183" t="str">
        <f t="shared" ref="AA306:AI306" si="341">IF(OR(AA$17="",AA$22=0,AA$29=0),"",
(AA$275*$AA251+AA$276*$AB251+AA$277*$AC251)*1000/(AA$22*AA$29))</f>
        <v/>
      </c>
      <c r="AB306" s="183" t="str">
        <f t="shared" si="341"/>
        <v/>
      </c>
      <c r="AC306" s="183" t="str">
        <f t="shared" si="341"/>
        <v/>
      </c>
      <c r="AD306" s="183" t="str">
        <f t="shared" si="341"/>
        <v/>
      </c>
      <c r="AE306" s="183" t="str">
        <f t="shared" si="341"/>
        <v/>
      </c>
      <c r="AF306" s="183" t="str">
        <f t="shared" si="341"/>
        <v/>
      </c>
      <c r="AG306" s="183" t="str">
        <f t="shared" si="341"/>
        <v/>
      </c>
      <c r="AH306" s="183" t="str">
        <f t="shared" si="341"/>
        <v/>
      </c>
      <c r="AI306" s="183" t="str">
        <f t="shared" si="341"/>
        <v/>
      </c>
      <c r="AJ306" s="108"/>
      <c r="AK306" s="190">
        <f t="shared" ref="AK306:AK311" si="342">SUMPRODUCT(AL306:AV306,AL$30:AV$30)/1000</f>
        <v>0</v>
      </c>
      <c r="AL306" s="119"/>
      <c r="AM306" s="183" t="str">
        <f t="shared" ref="AM306:AU306" si="343">IF(OR(AM$17="",AM$22=0,AM$29=0),"",
(AM$275*$AM251+AM$276*$AN251+AM$277*$AO251)*1000/(AM$22*AM$29))</f>
        <v/>
      </c>
      <c r="AN306" s="183" t="str">
        <f t="shared" si="343"/>
        <v/>
      </c>
      <c r="AO306" s="183" t="str">
        <f t="shared" si="343"/>
        <v/>
      </c>
      <c r="AP306" s="183" t="str">
        <f t="shared" si="343"/>
        <v/>
      </c>
      <c r="AQ306" s="183" t="str">
        <f t="shared" si="343"/>
        <v/>
      </c>
      <c r="AR306" s="183" t="str">
        <f t="shared" si="343"/>
        <v/>
      </c>
      <c r="AS306" s="183" t="str">
        <f t="shared" si="343"/>
        <v/>
      </c>
      <c r="AT306" s="183" t="str">
        <f t="shared" si="343"/>
        <v/>
      </c>
      <c r="AU306" s="183" t="str">
        <f t="shared" si="343"/>
        <v/>
      </c>
      <c r="AV306" s="108"/>
      <c r="AW306" s="190">
        <f t="shared" ref="AW306:AW311" si="344">SUMPRODUCT(AX306:BH306,AX$30:BH$30)/1000</f>
        <v>0</v>
      </c>
      <c r="AX306" s="119"/>
      <c r="AY306" s="183" t="str">
        <f t="shared" ref="AY306:BG306" si="345">IF(OR(AY$17="",AY$22=0,AY$29=0),"",
(AY$275*$AY251+AY$276*$AZ251+AY$277*$BA251)*1000/(AY$22*AY$29))</f>
        <v/>
      </c>
      <c r="AZ306" s="183" t="str">
        <f t="shared" si="345"/>
        <v/>
      </c>
      <c r="BA306" s="183" t="str">
        <f t="shared" si="345"/>
        <v/>
      </c>
      <c r="BB306" s="183" t="str">
        <f t="shared" si="345"/>
        <v/>
      </c>
      <c r="BC306" s="183" t="str">
        <f t="shared" si="345"/>
        <v/>
      </c>
      <c r="BD306" s="183" t="str">
        <f t="shared" si="345"/>
        <v/>
      </c>
      <c r="BE306" s="183" t="str">
        <f t="shared" si="345"/>
        <v/>
      </c>
      <c r="BF306" s="183" t="str">
        <f t="shared" si="345"/>
        <v/>
      </c>
      <c r="BG306" s="183" t="str">
        <f t="shared" si="345"/>
        <v/>
      </c>
      <c r="BH306" s="210"/>
    </row>
    <row r="307" spans="1:60">
      <c r="A307" s="1040"/>
      <c r="B307" s="1109" t="s">
        <v>1222</v>
      </c>
      <c r="C307" s="1107" t="s">
        <v>104</v>
      </c>
      <c r="D307" s="641" t="s">
        <v>45</v>
      </c>
      <c r="E307" s="180" t="s">
        <v>1327</v>
      </c>
      <c r="F307" s="180"/>
      <c r="G307" s="180"/>
      <c r="H307" s="201" t="s">
        <v>267</v>
      </c>
      <c r="I307" s="114"/>
      <c r="J307" s="190">
        <f t="shared" si="337"/>
        <v>0</v>
      </c>
      <c r="K307" s="1092"/>
      <c r="L307" s="1092"/>
      <c r="M307" s="190">
        <f t="shared" si="338"/>
        <v>0</v>
      </c>
      <c r="N307" s="119"/>
      <c r="O307" s="183" t="str">
        <f t="shared" ref="O307:W307" si="346">IF(OR(O$17="",O$22=0,O$29=0),"",
(O$276*$P252)*1000/(O$22*O$29))</f>
        <v/>
      </c>
      <c r="P307" s="183" t="str">
        <f t="shared" si="346"/>
        <v/>
      </c>
      <c r="Q307" s="183" t="str">
        <f t="shared" si="346"/>
        <v/>
      </c>
      <c r="R307" s="183" t="str">
        <f t="shared" si="346"/>
        <v/>
      </c>
      <c r="S307" s="183" t="str">
        <f t="shared" si="346"/>
        <v/>
      </c>
      <c r="T307" s="183" t="str">
        <f t="shared" si="346"/>
        <v/>
      </c>
      <c r="U307" s="183" t="str">
        <f t="shared" si="346"/>
        <v/>
      </c>
      <c r="V307" s="183" t="str">
        <f t="shared" si="346"/>
        <v/>
      </c>
      <c r="W307" s="183" t="str">
        <f t="shared" si="346"/>
        <v/>
      </c>
      <c r="X307" s="108"/>
      <c r="Y307" s="190">
        <f t="shared" si="340"/>
        <v>0</v>
      </c>
      <c r="Z307" s="119"/>
      <c r="AA307" s="183" t="str">
        <f t="shared" ref="AA307:AI307" si="347">IF(OR(AA$17="",AA$22=0,AA$29=0),"",
(AA$276*$AB252)*1000/(AA$22*AA$29))</f>
        <v/>
      </c>
      <c r="AB307" s="183" t="str">
        <f t="shared" si="347"/>
        <v/>
      </c>
      <c r="AC307" s="183" t="str">
        <f t="shared" si="347"/>
        <v/>
      </c>
      <c r="AD307" s="183" t="str">
        <f t="shared" si="347"/>
        <v/>
      </c>
      <c r="AE307" s="183" t="str">
        <f t="shared" si="347"/>
        <v/>
      </c>
      <c r="AF307" s="183" t="str">
        <f t="shared" si="347"/>
        <v/>
      </c>
      <c r="AG307" s="183" t="str">
        <f t="shared" si="347"/>
        <v/>
      </c>
      <c r="AH307" s="183" t="str">
        <f t="shared" si="347"/>
        <v/>
      </c>
      <c r="AI307" s="183" t="str">
        <f t="shared" si="347"/>
        <v/>
      </c>
      <c r="AJ307" s="108"/>
      <c r="AK307" s="190">
        <f t="shared" si="342"/>
        <v>0</v>
      </c>
      <c r="AL307" s="119"/>
      <c r="AM307" s="183" t="str">
        <f t="shared" ref="AM307:AU307" si="348">IF(OR(AM$17="",AM$22=0,AM$29=0),"",
(AM$276*$AN252)*1000/(AM$22*AM$29))</f>
        <v/>
      </c>
      <c r="AN307" s="183" t="str">
        <f t="shared" si="348"/>
        <v/>
      </c>
      <c r="AO307" s="183" t="str">
        <f t="shared" si="348"/>
        <v/>
      </c>
      <c r="AP307" s="183" t="str">
        <f t="shared" si="348"/>
        <v/>
      </c>
      <c r="AQ307" s="183" t="str">
        <f t="shared" si="348"/>
        <v/>
      </c>
      <c r="AR307" s="183" t="str">
        <f t="shared" si="348"/>
        <v/>
      </c>
      <c r="AS307" s="183" t="str">
        <f t="shared" si="348"/>
        <v/>
      </c>
      <c r="AT307" s="183" t="str">
        <f t="shared" si="348"/>
        <v/>
      </c>
      <c r="AU307" s="183" t="str">
        <f t="shared" si="348"/>
        <v/>
      </c>
      <c r="AV307" s="108"/>
      <c r="AW307" s="190">
        <f t="shared" si="344"/>
        <v>0</v>
      </c>
      <c r="AX307" s="119"/>
      <c r="AY307" s="183" t="str">
        <f t="shared" ref="AY307:BG307" si="349">IF(OR(AY$17="",AY$22=0,AY$29=0),"",
(AY$276*$AZ252)*1000/(AY$22*AY$29))</f>
        <v/>
      </c>
      <c r="AZ307" s="183" t="str">
        <f t="shared" si="349"/>
        <v/>
      </c>
      <c r="BA307" s="183" t="str">
        <f t="shared" si="349"/>
        <v/>
      </c>
      <c r="BB307" s="183" t="str">
        <f t="shared" si="349"/>
        <v/>
      </c>
      <c r="BC307" s="183" t="str">
        <f t="shared" si="349"/>
        <v/>
      </c>
      <c r="BD307" s="183" t="str">
        <f t="shared" si="349"/>
        <v/>
      </c>
      <c r="BE307" s="183" t="str">
        <f t="shared" si="349"/>
        <v/>
      </c>
      <c r="BF307" s="183" t="str">
        <f t="shared" si="349"/>
        <v/>
      </c>
      <c r="BG307" s="183" t="str">
        <f t="shared" si="349"/>
        <v/>
      </c>
      <c r="BH307" s="210"/>
    </row>
    <row r="308" spans="1:60">
      <c r="A308" s="1040"/>
      <c r="B308" s="1109" t="s">
        <v>1222</v>
      </c>
      <c r="C308" s="1107" t="s">
        <v>104</v>
      </c>
      <c r="D308" s="641" t="s">
        <v>45</v>
      </c>
      <c r="E308" s="180" t="s">
        <v>1326</v>
      </c>
      <c r="F308" s="180"/>
      <c r="G308" s="180"/>
      <c r="H308" s="201" t="s">
        <v>267</v>
      </c>
      <c r="I308" s="114"/>
      <c r="J308" s="190">
        <f t="shared" si="337"/>
        <v>0</v>
      </c>
      <c r="K308" s="1092"/>
      <c r="L308" s="1092"/>
      <c r="M308" s="190">
        <f t="shared" si="338"/>
        <v>0</v>
      </c>
      <c r="N308" s="119"/>
      <c r="O308" s="183" t="str">
        <f t="shared" ref="O308:W308" si="350">IF(OR(O$17="",O$22=0,O$29=0),"",
(O$275*$O253+O$277*$Q253)*1000/(O$22*O$29))</f>
        <v/>
      </c>
      <c r="P308" s="183" t="str">
        <f t="shared" si="350"/>
        <v/>
      </c>
      <c r="Q308" s="183" t="str">
        <f t="shared" si="350"/>
        <v/>
      </c>
      <c r="R308" s="183" t="str">
        <f t="shared" si="350"/>
        <v/>
      </c>
      <c r="S308" s="183" t="str">
        <f t="shared" si="350"/>
        <v/>
      </c>
      <c r="T308" s="183" t="str">
        <f t="shared" si="350"/>
        <v/>
      </c>
      <c r="U308" s="183" t="str">
        <f t="shared" si="350"/>
        <v/>
      </c>
      <c r="V308" s="183" t="str">
        <f t="shared" si="350"/>
        <v/>
      </c>
      <c r="W308" s="183" t="str">
        <f t="shared" si="350"/>
        <v/>
      </c>
      <c r="X308" s="108"/>
      <c r="Y308" s="190">
        <f t="shared" si="340"/>
        <v>0</v>
      </c>
      <c r="Z308" s="119"/>
      <c r="AA308" s="183" t="str">
        <f t="shared" ref="AA308:AI308" si="351">IF(OR(AA$17="",AA$22=0,AA$29=0),"",
(AA$275*$AA253+AA$277*$AC253)*1000/(AA$22*AA$29))</f>
        <v/>
      </c>
      <c r="AB308" s="183" t="str">
        <f t="shared" si="351"/>
        <v/>
      </c>
      <c r="AC308" s="183" t="str">
        <f t="shared" si="351"/>
        <v/>
      </c>
      <c r="AD308" s="183" t="str">
        <f t="shared" si="351"/>
        <v/>
      </c>
      <c r="AE308" s="183" t="str">
        <f t="shared" si="351"/>
        <v/>
      </c>
      <c r="AF308" s="183" t="str">
        <f t="shared" si="351"/>
        <v/>
      </c>
      <c r="AG308" s="183" t="str">
        <f t="shared" si="351"/>
        <v/>
      </c>
      <c r="AH308" s="183" t="str">
        <f t="shared" si="351"/>
        <v/>
      </c>
      <c r="AI308" s="183" t="str">
        <f t="shared" si="351"/>
        <v/>
      </c>
      <c r="AJ308" s="108"/>
      <c r="AK308" s="190">
        <f t="shared" si="342"/>
        <v>0</v>
      </c>
      <c r="AL308" s="119"/>
      <c r="AM308" s="183" t="str">
        <f t="shared" ref="AM308:AU308" si="352">IF(OR(AM$17="",AM$22=0,AM$29=0),"",
(AM$275*$AM253+AM$277*$AO253)*1000/(AM$22*AM$29))</f>
        <v/>
      </c>
      <c r="AN308" s="183" t="str">
        <f t="shared" si="352"/>
        <v/>
      </c>
      <c r="AO308" s="183" t="str">
        <f t="shared" si="352"/>
        <v/>
      </c>
      <c r="AP308" s="183" t="str">
        <f t="shared" si="352"/>
        <v/>
      </c>
      <c r="AQ308" s="183" t="str">
        <f t="shared" si="352"/>
        <v/>
      </c>
      <c r="AR308" s="183" t="str">
        <f t="shared" si="352"/>
        <v/>
      </c>
      <c r="AS308" s="183" t="str">
        <f t="shared" si="352"/>
        <v/>
      </c>
      <c r="AT308" s="183" t="str">
        <f t="shared" si="352"/>
        <v/>
      </c>
      <c r="AU308" s="183" t="str">
        <f t="shared" si="352"/>
        <v/>
      </c>
      <c r="AV308" s="108"/>
      <c r="AW308" s="190">
        <f t="shared" si="344"/>
        <v>0</v>
      </c>
      <c r="AX308" s="119"/>
      <c r="AY308" s="183" t="str">
        <f t="shared" ref="AY308:BG308" si="353">IF(OR(AY$17="",AY$22=0,AY$29=0),"",
(AY$275*$AY253+AY$277*$BA253)*1000/(AY$22*AY$29))</f>
        <v/>
      </c>
      <c r="AZ308" s="183" t="str">
        <f t="shared" si="353"/>
        <v/>
      </c>
      <c r="BA308" s="183" t="str">
        <f t="shared" si="353"/>
        <v/>
      </c>
      <c r="BB308" s="183" t="str">
        <f t="shared" si="353"/>
        <v/>
      </c>
      <c r="BC308" s="183" t="str">
        <f t="shared" si="353"/>
        <v/>
      </c>
      <c r="BD308" s="183" t="str">
        <f t="shared" si="353"/>
        <v/>
      </c>
      <c r="BE308" s="183" t="str">
        <f t="shared" si="353"/>
        <v/>
      </c>
      <c r="BF308" s="183" t="str">
        <f t="shared" si="353"/>
        <v/>
      </c>
      <c r="BG308" s="183" t="str">
        <f t="shared" si="353"/>
        <v/>
      </c>
      <c r="BH308" s="210"/>
    </row>
    <row r="309" spans="1:60">
      <c r="A309" s="1040"/>
      <c r="B309" s="1109" t="s">
        <v>1222</v>
      </c>
      <c r="C309" s="1107" t="s">
        <v>104</v>
      </c>
      <c r="D309" s="641" t="s">
        <v>45</v>
      </c>
      <c r="E309" s="180" t="s">
        <v>1325</v>
      </c>
      <c r="F309" s="180"/>
      <c r="G309" s="180"/>
      <c r="H309" s="201" t="s">
        <v>267</v>
      </c>
      <c r="I309" s="114"/>
      <c r="J309" s="190">
        <f t="shared" si="337"/>
        <v>0</v>
      </c>
      <c r="K309" s="1092"/>
      <c r="L309" s="1092"/>
      <c r="M309" s="190">
        <f t="shared" si="338"/>
        <v>0</v>
      </c>
      <c r="N309" s="119"/>
      <c r="O309" s="183" t="str">
        <f t="shared" ref="O309:W309" si="354">IF(OR(O$17="",O$22=0,O$29=0),"",
(O$275*$O254+O$276*$P254+O$277*$Q254)*1000/(O$22*O$29))</f>
        <v/>
      </c>
      <c r="P309" s="183" t="str">
        <f t="shared" si="354"/>
        <v/>
      </c>
      <c r="Q309" s="183" t="str">
        <f t="shared" si="354"/>
        <v/>
      </c>
      <c r="R309" s="183" t="str">
        <f t="shared" si="354"/>
        <v/>
      </c>
      <c r="S309" s="183" t="str">
        <f t="shared" si="354"/>
        <v/>
      </c>
      <c r="T309" s="183" t="str">
        <f t="shared" si="354"/>
        <v/>
      </c>
      <c r="U309" s="183" t="str">
        <f t="shared" si="354"/>
        <v/>
      </c>
      <c r="V309" s="183" t="str">
        <f t="shared" si="354"/>
        <v/>
      </c>
      <c r="W309" s="183" t="str">
        <f t="shared" si="354"/>
        <v/>
      </c>
      <c r="X309" s="108"/>
      <c r="Y309" s="190">
        <f t="shared" si="340"/>
        <v>0</v>
      </c>
      <c r="Z309" s="119"/>
      <c r="AA309" s="183" t="str">
        <f t="shared" ref="AA309:AI309" si="355">IF(OR(AA$17="",AA$22=0,AA$29=0),"",
(AA$275*$AA254+AA$276*$AB254+AA$277*$AC254)*1000/(AA$22*AA$29))</f>
        <v/>
      </c>
      <c r="AB309" s="183" t="str">
        <f t="shared" si="355"/>
        <v/>
      </c>
      <c r="AC309" s="183" t="str">
        <f t="shared" si="355"/>
        <v/>
      </c>
      <c r="AD309" s="183" t="str">
        <f t="shared" si="355"/>
        <v/>
      </c>
      <c r="AE309" s="183" t="str">
        <f t="shared" si="355"/>
        <v/>
      </c>
      <c r="AF309" s="183" t="str">
        <f t="shared" si="355"/>
        <v/>
      </c>
      <c r="AG309" s="183" t="str">
        <f t="shared" si="355"/>
        <v/>
      </c>
      <c r="AH309" s="183" t="str">
        <f t="shared" si="355"/>
        <v/>
      </c>
      <c r="AI309" s="183" t="str">
        <f t="shared" si="355"/>
        <v/>
      </c>
      <c r="AJ309" s="108"/>
      <c r="AK309" s="190">
        <f t="shared" si="342"/>
        <v>0</v>
      </c>
      <c r="AL309" s="119"/>
      <c r="AM309" s="183" t="str">
        <f t="shared" ref="AM309:AU309" si="356">IF(OR(AM$17="",AM$22=0,AM$29=0),"",
(AM$275*$AM254+AM$276*$AN254+AM$277*$AO254)*1000/(AM$22*AM$29))</f>
        <v/>
      </c>
      <c r="AN309" s="183" t="str">
        <f t="shared" si="356"/>
        <v/>
      </c>
      <c r="AO309" s="183" t="str">
        <f t="shared" si="356"/>
        <v/>
      </c>
      <c r="AP309" s="183" t="str">
        <f t="shared" si="356"/>
        <v/>
      </c>
      <c r="AQ309" s="183" t="str">
        <f t="shared" si="356"/>
        <v/>
      </c>
      <c r="AR309" s="183" t="str">
        <f t="shared" si="356"/>
        <v/>
      </c>
      <c r="AS309" s="183" t="str">
        <f t="shared" si="356"/>
        <v/>
      </c>
      <c r="AT309" s="183" t="str">
        <f t="shared" si="356"/>
        <v/>
      </c>
      <c r="AU309" s="183" t="str">
        <f t="shared" si="356"/>
        <v/>
      </c>
      <c r="AV309" s="108"/>
      <c r="AW309" s="190">
        <f t="shared" si="344"/>
        <v>0</v>
      </c>
      <c r="AX309" s="119"/>
      <c r="AY309" s="183" t="str">
        <f t="shared" ref="AY309:BG309" si="357">IF(OR(AY$17="",AY$22=0,AY$29=0),"",
(AY$275*$AY254+AY$276*$AZ254+AY$277*$BA254)*1000/(AY$22*AY$29))</f>
        <v/>
      </c>
      <c r="AZ309" s="183" t="str">
        <f t="shared" si="357"/>
        <v/>
      </c>
      <c r="BA309" s="183" t="str">
        <f t="shared" si="357"/>
        <v/>
      </c>
      <c r="BB309" s="183" t="str">
        <f t="shared" si="357"/>
        <v/>
      </c>
      <c r="BC309" s="183" t="str">
        <f t="shared" si="357"/>
        <v/>
      </c>
      <c r="BD309" s="183" t="str">
        <f t="shared" si="357"/>
        <v/>
      </c>
      <c r="BE309" s="183" t="str">
        <f t="shared" si="357"/>
        <v/>
      </c>
      <c r="BF309" s="183" t="str">
        <f t="shared" si="357"/>
        <v/>
      </c>
      <c r="BG309" s="183" t="str">
        <f t="shared" si="357"/>
        <v/>
      </c>
      <c r="BH309" s="210"/>
    </row>
    <row r="310" spans="1:60">
      <c r="A310" s="1040"/>
      <c r="B310" s="1109" t="s">
        <v>1222</v>
      </c>
      <c r="C310" s="1107" t="s">
        <v>104</v>
      </c>
      <c r="D310" s="641" t="s">
        <v>45</v>
      </c>
      <c r="E310" s="180" t="s">
        <v>1324</v>
      </c>
      <c r="F310" s="180"/>
      <c r="G310" s="180"/>
      <c r="H310" s="201" t="s">
        <v>267</v>
      </c>
      <c r="I310" s="114"/>
      <c r="J310" s="190">
        <f t="shared" si="337"/>
        <v>0</v>
      </c>
      <c r="K310" s="1092"/>
      <c r="L310" s="1092"/>
      <c r="M310" s="190">
        <f t="shared" si="338"/>
        <v>0</v>
      </c>
      <c r="N310" s="119"/>
      <c r="O310" s="183" t="str">
        <f t="shared" ref="O310:W310" si="358">IF(OR(O$17="",O$22=0,O$29=0),"",
(O$276*$P255)*1000/(O$22*O$29))</f>
        <v/>
      </c>
      <c r="P310" s="183" t="str">
        <f t="shared" si="358"/>
        <v/>
      </c>
      <c r="Q310" s="183" t="str">
        <f t="shared" si="358"/>
        <v/>
      </c>
      <c r="R310" s="183" t="str">
        <f t="shared" si="358"/>
        <v/>
      </c>
      <c r="S310" s="183" t="str">
        <f t="shared" si="358"/>
        <v/>
      </c>
      <c r="T310" s="183" t="str">
        <f t="shared" si="358"/>
        <v/>
      </c>
      <c r="U310" s="183" t="str">
        <f t="shared" si="358"/>
        <v/>
      </c>
      <c r="V310" s="183" t="str">
        <f t="shared" si="358"/>
        <v/>
      </c>
      <c r="W310" s="183" t="str">
        <f t="shared" si="358"/>
        <v/>
      </c>
      <c r="X310" s="108"/>
      <c r="Y310" s="190">
        <f t="shared" si="340"/>
        <v>0</v>
      </c>
      <c r="Z310" s="119"/>
      <c r="AA310" s="183" t="str">
        <f t="shared" ref="AA310:AI310" si="359">IF(OR(AA$17="",AA$22=0,AA$29=0),"",
(AA$276*$AB255)*1000/(AA$22*AA$29))</f>
        <v/>
      </c>
      <c r="AB310" s="183" t="str">
        <f t="shared" si="359"/>
        <v/>
      </c>
      <c r="AC310" s="183" t="str">
        <f t="shared" si="359"/>
        <v/>
      </c>
      <c r="AD310" s="183" t="str">
        <f t="shared" si="359"/>
        <v/>
      </c>
      <c r="AE310" s="183" t="str">
        <f t="shared" si="359"/>
        <v/>
      </c>
      <c r="AF310" s="183" t="str">
        <f t="shared" si="359"/>
        <v/>
      </c>
      <c r="AG310" s="183" t="str">
        <f t="shared" si="359"/>
        <v/>
      </c>
      <c r="AH310" s="183" t="str">
        <f t="shared" si="359"/>
        <v/>
      </c>
      <c r="AI310" s="183" t="str">
        <f t="shared" si="359"/>
        <v/>
      </c>
      <c r="AJ310" s="108"/>
      <c r="AK310" s="190">
        <f t="shared" si="342"/>
        <v>0</v>
      </c>
      <c r="AL310" s="119"/>
      <c r="AM310" s="183" t="str">
        <f t="shared" ref="AM310:AU310" si="360">IF(OR(AM$17="",AM$22=0,AM$29=0),"",
(AM$276*$AN255)*1000/(AM$22*AM$29))</f>
        <v/>
      </c>
      <c r="AN310" s="183" t="str">
        <f t="shared" si="360"/>
        <v/>
      </c>
      <c r="AO310" s="183" t="str">
        <f t="shared" si="360"/>
        <v/>
      </c>
      <c r="AP310" s="183" t="str">
        <f t="shared" si="360"/>
        <v/>
      </c>
      <c r="AQ310" s="183" t="str">
        <f t="shared" si="360"/>
        <v/>
      </c>
      <c r="AR310" s="183" t="str">
        <f t="shared" si="360"/>
        <v/>
      </c>
      <c r="AS310" s="183" t="str">
        <f t="shared" si="360"/>
        <v/>
      </c>
      <c r="AT310" s="183" t="str">
        <f t="shared" si="360"/>
        <v/>
      </c>
      <c r="AU310" s="183" t="str">
        <f t="shared" si="360"/>
        <v/>
      </c>
      <c r="AV310" s="108"/>
      <c r="AW310" s="190">
        <f t="shared" si="344"/>
        <v>0</v>
      </c>
      <c r="AX310" s="119"/>
      <c r="AY310" s="183" t="str">
        <f t="shared" ref="AY310:BG310" si="361">IF(OR(AY$17="",AY$22=0,AY$29=0),"",
(AY$276*$AZ255)*1000/(AY$22*AY$29))</f>
        <v/>
      </c>
      <c r="AZ310" s="183" t="str">
        <f t="shared" si="361"/>
        <v/>
      </c>
      <c r="BA310" s="183" t="str">
        <f t="shared" si="361"/>
        <v/>
      </c>
      <c r="BB310" s="183" t="str">
        <f t="shared" si="361"/>
        <v/>
      </c>
      <c r="BC310" s="183" t="str">
        <f t="shared" si="361"/>
        <v/>
      </c>
      <c r="BD310" s="183" t="str">
        <f t="shared" si="361"/>
        <v/>
      </c>
      <c r="BE310" s="183" t="str">
        <f t="shared" si="361"/>
        <v/>
      </c>
      <c r="BF310" s="183" t="str">
        <f t="shared" si="361"/>
        <v/>
      </c>
      <c r="BG310" s="183" t="str">
        <f t="shared" si="361"/>
        <v/>
      </c>
      <c r="BH310" s="210"/>
    </row>
    <row r="311" spans="1:60">
      <c r="A311" s="1040"/>
      <c r="B311" s="1109" t="s">
        <v>1222</v>
      </c>
      <c r="C311" s="1107" t="s">
        <v>104</v>
      </c>
      <c r="D311" s="641" t="s">
        <v>45</v>
      </c>
      <c r="E311" s="180" t="s">
        <v>1323</v>
      </c>
      <c r="F311" s="180"/>
      <c r="G311" s="180"/>
      <c r="H311" s="201" t="s">
        <v>267</v>
      </c>
      <c r="I311" s="114"/>
      <c r="J311" s="190">
        <f t="shared" si="337"/>
        <v>0</v>
      </c>
      <c r="K311" s="1092"/>
      <c r="L311" s="1092"/>
      <c r="M311" s="190">
        <f t="shared" si="338"/>
        <v>0</v>
      </c>
      <c r="N311" s="119"/>
      <c r="O311" s="183" t="str">
        <f t="shared" ref="O311:W311" si="362">IF(OR(O$17="",O$22=0,O$29=0),"",
(O$275*$O256+O$277*$Q256)*1000/(O$22*O$29))</f>
        <v/>
      </c>
      <c r="P311" s="183" t="str">
        <f t="shared" si="362"/>
        <v/>
      </c>
      <c r="Q311" s="183" t="str">
        <f t="shared" si="362"/>
        <v/>
      </c>
      <c r="R311" s="183" t="str">
        <f t="shared" si="362"/>
        <v/>
      </c>
      <c r="S311" s="183" t="str">
        <f t="shared" si="362"/>
        <v/>
      </c>
      <c r="T311" s="183" t="str">
        <f t="shared" si="362"/>
        <v/>
      </c>
      <c r="U311" s="183" t="str">
        <f t="shared" si="362"/>
        <v/>
      </c>
      <c r="V311" s="183" t="str">
        <f t="shared" si="362"/>
        <v/>
      </c>
      <c r="W311" s="183" t="str">
        <f t="shared" si="362"/>
        <v/>
      </c>
      <c r="X311" s="108"/>
      <c r="Y311" s="190">
        <f t="shared" si="340"/>
        <v>0</v>
      </c>
      <c r="Z311" s="119"/>
      <c r="AA311" s="183" t="str">
        <f t="shared" ref="AA311:AI311" si="363">IF(OR(AA$17="",AA$22=0,AA$29=0),"",
(AA$275*$AA256+AA$277*$AC256)*1000/(AA$22*AA$29))</f>
        <v/>
      </c>
      <c r="AB311" s="183" t="str">
        <f t="shared" si="363"/>
        <v/>
      </c>
      <c r="AC311" s="183" t="str">
        <f t="shared" si="363"/>
        <v/>
      </c>
      <c r="AD311" s="183" t="str">
        <f t="shared" si="363"/>
        <v/>
      </c>
      <c r="AE311" s="183" t="str">
        <f t="shared" si="363"/>
        <v/>
      </c>
      <c r="AF311" s="183" t="str">
        <f t="shared" si="363"/>
        <v/>
      </c>
      <c r="AG311" s="183" t="str">
        <f t="shared" si="363"/>
        <v/>
      </c>
      <c r="AH311" s="183" t="str">
        <f t="shared" si="363"/>
        <v/>
      </c>
      <c r="AI311" s="183" t="str">
        <f t="shared" si="363"/>
        <v/>
      </c>
      <c r="AJ311" s="108"/>
      <c r="AK311" s="190">
        <f t="shared" si="342"/>
        <v>0</v>
      </c>
      <c r="AL311" s="119"/>
      <c r="AM311" s="183" t="str">
        <f t="shared" ref="AM311:AU311" si="364">IF(OR(AM$17="",AM$22=0,AM$29=0),"",
(AM$275*$AM256+AM$277*$AO256)*1000/(AM$22*AM$29))</f>
        <v/>
      </c>
      <c r="AN311" s="183" t="str">
        <f t="shared" si="364"/>
        <v/>
      </c>
      <c r="AO311" s="183" t="str">
        <f t="shared" si="364"/>
        <v/>
      </c>
      <c r="AP311" s="183" t="str">
        <f t="shared" si="364"/>
        <v/>
      </c>
      <c r="AQ311" s="183" t="str">
        <f t="shared" si="364"/>
        <v/>
      </c>
      <c r="AR311" s="183" t="str">
        <f t="shared" si="364"/>
        <v/>
      </c>
      <c r="AS311" s="183" t="str">
        <f t="shared" si="364"/>
        <v/>
      </c>
      <c r="AT311" s="183" t="str">
        <f t="shared" si="364"/>
        <v/>
      </c>
      <c r="AU311" s="183" t="str">
        <f t="shared" si="364"/>
        <v/>
      </c>
      <c r="AV311" s="108"/>
      <c r="AW311" s="190">
        <f t="shared" si="344"/>
        <v>0</v>
      </c>
      <c r="AX311" s="119"/>
      <c r="AY311" s="183" t="str">
        <f t="shared" ref="AY311:BG311" si="365">IF(OR(AY$17="",AY$22=0,AY$29=0),"",
(AY$275*$AY256+AY$277*$BA256)*1000/(AY$22*AY$29))</f>
        <v/>
      </c>
      <c r="AZ311" s="183" t="str">
        <f t="shared" si="365"/>
        <v/>
      </c>
      <c r="BA311" s="183" t="str">
        <f t="shared" si="365"/>
        <v/>
      </c>
      <c r="BB311" s="183" t="str">
        <f t="shared" si="365"/>
        <v/>
      </c>
      <c r="BC311" s="183" t="str">
        <f t="shared" si="365"/>
        <v/>
      </c>
      <c r="BD311" s="183" t="str">
        <f t="shared" si="365"/>
        <v/>
      </c>
      <c r="BE311" s="183" t="str">
        <f t="shared" si="365"/>
        <v/>
      </c>
      <c r="BF311" s="183" t="str">
        <f t="shared" si="365"/>
        <v/>
      </c>
      <c r="BG311" s="183" t="str">
        <f t="shared" si="365"/>
        <v/>
      </c>
      <c r="BH311" s="174"/>
    </row>
    <row r="312" spans="1:60">
      <c r="A312" s="1040"/>
      <c r="B312" s="1109" t="s">
        <v>1222</v>
      </c>
      <c r="C312" s="1106" t="s">
        <v>96</v>
      </c>
      <c r="D312" s="638"/>
      <c r="E312" s="942" t="s">
        <v>1321</v>
      </c>
      <c r="F312" s="942"/>
      <c r="G312" s="942"/>
      <c r="H312" s="942"/>
      <c r="I312" s="129"/>
      <c r="J312" s="943"/>
      <c r="K312" s="126"/>
      <c r="L312" s="126"/>
      <c r="M312" s="944"/>
      <c r="N312" s="195"/>
      <c r="O312" s="258" t="str">
        <f>O$17</f>
        <v/>
      </c>
      <c r="P312" s="258" t="str">
        <f t="shared" ref="P312:W312" si="366">P$17</f>
        <v/>
      </c>
      <c r="Q312" s="258" t="str">
        <f t="shared" si="366"/>
        <v/>
      </c>
      <c r="R312" s="258" t="str">
        <f t="shared" si="366"/>
        <v/>
      </c>
      <c r="S312" s="258" t="str">
        <f t="shared" si="366"/>
        <v/>
      </c>
      <c r="T312" s="258" t="str">
        <f t="shared" si="366"/>
        <v/>
      </c>
      <c r="U312" s="258" t="str">
        <f t="shared" si="366"/>
        <v/>
      </c>
      <c r="V312" s="258" t="str">
        <f t="shared" si="366"/>
        <v/>
      </c>
      <c r="W312" s="258" t="str">
        <f t="shared" si="366"/>
        <v/>
      </c>
      <c r="X312" s="195"/>
      <c r="Y312" s="944"/>
      <c r="Z312" s="195"/>
      <c r="AA312" s="258" t="str">
        <f>AA$17</f>
        <v/>
      </c>
      <c r="AB312" s="258" t="str">
        <f t="shared" ref="AB312:AI312" si="367">AB$17</f>
        <v/>
      </c>
      <c r="AC312" s="258" t="str">
        <f t="shared" si="367"/>
        <v/>
      </c>
      <c r="AD312" s="258" t="str">
        <f t="shared" si="367"/>
        <v/>
      </c>
      <c r="AE312" s="258" t="str">
        <f t="shared" si="367"/>
        <v/>
      </c>
      <c r="AF312" s="258" t="str">
        <f t="shared" si="367"/>
        <v/>
      </c>
      <c r="AG312" s="258" t="str">
        <f t="shared" si="367"/>
        <v/>
      </c>
      <c r="AH312" s="258" t="str">
        <f t="shared" si="367"/>
        <v/>
      </c>
      <c r="AI312" s="258" t="str">
        <f t="shared" si="367"/>
        <v/>
      </c>
      <c r="AJ312" s="195"/>
      <c r="AK312" s="944"/>
      <c r="AL312" s="195"/>
      <c r="AM312" s="258" t="str">
        <f>AM$17</f>
        <v/>
      </c>
      <c r="AN312" s="258" t="str">
        <f t="shared" ref="AN312:AU312" si="368">AN$17</f>
        <v/>
      </c>
      <c r="AO312" s="258" t="str">
        <f t="shared" si="368"/>
        <v/>
      </c>
      <c r="AP312" s="258" t="str">
        <f t="shared" si="368"/>
        <v/>
      </c>
      <c r="AQ312" s="258" t="str">
        <f t="shared" si="368"/>
        <v/>
      </c>
      <c r="AR312" s="258" t="str">
        <f t="shared" si="368"/>
        <v/>
      </c>
      <c r="AS312" s="258" t="str">
        <f t="shared" si="368"/>
        <v/>
      </c>
      <c r="AT312" s="258" t="str">
        <f t="shared" si="368"/>
        <v/>
      </c>
      <c r="AU312" s="258" t="str">
        <f t="shared" si="368"/>
        <v/>
      </c>
      <c r="AV312" s="195"/>
      <c r="AW312" s="944"/>
      <c r="AX312" s="195"/>
      <c r="AY312" s="258" t="str">
        <f>AY$17</f>
        <v/>
      </c>
      <c r="AZ312" s="258" t="str">
        <f t="shared" ref="AZ312:BG312" si="369">AZ$17</f>
        <v/>
      </c>
      <c r="BA312" s="258" t="str">
        <f t="shared" si="369"/>
        <v/>
      </c>
      <c r="BB312" s="258" t="str">
        <f t="shared" si="369"/>
        <v/>
      </c>
      <c r="BC312" s="258" t="str">
        <f t="shared" si="369"/>
        <v/>
      </c>
      <c r="BD312" s="258" t="str">
        <f t="shared" si="369"/>
        <v/>
      </c>
      <c r="BE312" s="258" t="str">
        <f t="shared" si="369"/>
        <v/>
      </c>
      <c r="BF312" s="258" t="str">
        <f t="shared" si="369"/>
        <v/>
      </c>
      <c r="BG312" s="258" t="str">
        <f t="shared" si="369"/>
        <v/>
      </c>
      <c r="BH312" s="36"/>
    </row>
    <row r="313" spans="1:60">
      <c r="A313" s="1040"/>
      <c r="B313" s="1109" t="s">
        <v>1222</v>
      </c>
      <c r="C313" s="1107" t="s">
        <v>104</v>
      </c>
      <c r="D313" s="641" t="s">
        <v>45</v>
      </c>
      <c r="E313" s="180" t="s">
        <v>1322</v>
      </c>
      <c r="F313" s="180"/>
      <c r="G313" s="180"/>
      <c r="H313" s="201" t="s">
        <v>267</v>
      </c>
      <c r="I313" s="114"/>
      <c r="J313" s="190">
        <f>M313+Y313+AK313+AW313</f>
        <v>0</v>
      </c>
      <c r="K313" s="1092"/>
      <c r="L313" s="1092"/>
      <c r="M313" s="190">
        <f>SUMPRODUCT(N313:X313,N$30:X$30)/1000</f>
        <v>0</v>
      </c>
      <c r="N313" s="119"/>
      <c r="O313" s="183" t="str">
        <f t="shared" ref="O313:W313" si="370">IF(OR(O$17="",O$22=0,O$29=0),"",
O$73/O$29*f_P_renelect)</f>
        <v/>
      </c>
      <c r="P313" s="183" t="str">
        <f t="shared" si="370"/>
        <v/>
      </c>
      <c r="Q313" s="183" t="str">
        <f t="shared" si="370"/>
        <v/>
      </c>
      <c r="R313" s="183" t="str">
        <f t="shared" si="370"/>
        <v/>
      </c>
      <c r="S313" s="183" t="str">
        <f t="shared" si="370"/>
        <v/>
      </c>
      <c r="T313" s="183" t="str">
        <f t="shared" si="370"/>
        <v/>
      </c>
      <c r="U313" s="183" t="str">
        <f t="shared" si="370"/>
        <v/>
      </c>
      <c r="V313" s="183" t="str">
        <f t="shared" si="370"/>
        <v/>
      </c>
      <c r="W313" s="183" t="str">
        <f t="shared" si="370"/>
        <v/>
      </c>
      <c r="X313" s="108"/>
      <c r="Y313" s="190">
        <f>SUMPRODUCT(Z313:AJ313,Z$30:AJ$30)/1000</f>
        <v>0</v>
      </c>
      <c r="Z313" s="119"/>
      <c r="AA313" s="183" t="str">
        <f t="shared" ref="AA313:AI313" si="371">IF(OR(AA$17="",AA$22=0,AA$29=0),"",
AA$73/AA$29*f_P_renelect)</f>
        <v/>
      </c>
      <c r="AB313" s="183" t="str">
        <f t="shared" si="371"/>
        <v/>
      </c>
      <c r="AC313" s="183" t="str">
        <f t="shared" si="371"/>
        <v/>
      </c>
      <c r="AD313" s="183" t="str">
        <f t="shared" si="371"/>
        <v/>
      </c>
      <c r="AE313" s="183" t="str">
        <f t="shared" si="371"/>
        <v/>
      </c>
      <c r="AF313" s="183" t="str">
        <f t="shared" si="371"/>
        <v/>
      </c>
      <c r="AG313" s="183" t="str">
        <f t="shared" si="371"/>
        <v/>
      </c>
      <c r="AH313" s="183" t="str">
        <f t="shared" si="371"/>
        <v/>
      </c>
      <c r="AI313" s="183" t="str">
        <f t="shared" si="371"/>
        <v/>
      </c>
      <c r="AJ313" s="108"/>
      <c r="AK313" s="190">
        <f>SUMPRODUCT(AL313:AV313,AL$30:AV$30)/1000</f>
        <v>0</v>
      </c>
      <c r="AL313" s="119"/>
      <c r="AM313" s="183" t="str">
        <f t="shared" ref="AM313:AU313" si="372">IF(OR(AM$17="",AM$22=0,AM$29=0),"",
AM$73/AM$29*f_P_renelect)</f>
        <v/>
      </c>
      <c r="AN313" s="183" t="str">
        <f t="shared" si="372"/>
        <v/>
      </c>
      <c r="AO313" s="183" t="str">
        <f t="shared" si="372"/>
        <v/>
      </c>
      <c r="AP313" s="183" t="str">
        <f t="shared" si="372"/>
        <v/>
      </c>
      <c r="AQ313" s="183" t="str">
        <f t="shared" si="372"/>
        <v/>
      </c>
      <c r="AR313" s="183" t="str">
        <f t="shared" si="372"/>
        <v/>
      </c>
      <c r="AS313" s="183" t="str">
        <f t="shared" si="372"/>
        <v/>
      </c>
      <c r="AT313" s="183" t="str">
        <f t="shared" si="372"/>
        <v/>
      </c>
      <c r="AU313" s="183" t="str">
        <f t="shared" si="372"/>
        <v/>
      </c>
      <c r="AV313" s="108"/>
      <c r="AW313" s="190">
        <f>SUMPRODUCT(AX313:BH313,AX$30:BH$30)/1000</f>
        <v>0</v>
      </c>
      <c r="AX313" s="119"/>
      <c r="AY313" s="183" t="str">
        <f t="shared" ref="AY313:BG313" si="373">IF(OR(AY$17="",AY$22=0,AY$29=0),"",
AY$73/AY$29*f_P_renelect)</f>
        <v/>
      </c>
      <c r="AZ313" s="183" t="str">
        <f t="shared" si="373"/>
        <v/>
      </c>
      <c r="BA313" s="183" t="str">
        <f t="shared" si="373"/>
        <v/>
      </c>
      <c r="BB313" s="183" t="str">
        <f t="shared" si="373"/>
        <v/>
      </c>
      <c r="BC313" s="183" t="str">
        <f t="shared" si="373"/>
        <v/>
      </c>
      <c r="BD313" s="183" t="str">
        <f t="shared" si="373"/>
        <v/>
      </c>
      <c r="BE313" s="183" t="str">
        <f t="shared" si="373"/>
        <v/>
      </c>
      <c r="BF313" s="183" t="str">
        <f t="shared" si="373"/>
        <v/>
      </c>
      <c r="BG313" s="183" t="str">
        <f t="shared" si="373"/>
        <v/>
      </c>
      <c r="BH313" s="210"/>
    </row>
    <row r="314" spans="1:60">
      <c r="A314" s="1040"/>
      <c r="B314" s="1109" t="s">
        <v>1222</v>
      </c>
      <c r="C314" s="1106" t="s">
        <v>96</v>
      </c>
      <c r="D314" s="638"/>
      <c r="E314" s="942" t="s">
        <v>1320</v>
      </c>
      <c r="F314" s="942"/>
      <c r="G314" s="942"/>
      <c r="H314" s="942"/>
      <c r="I314" s="129"/>
      <c r="J314" s="943"/>
      <c r="K314" s="126"/>
      <c r="L314" s="126"/>
      <c r="M314" s="944"/>
      <c r="N314" s="195"/>
      <c r="O314" s="258" t="str">
        <f>O$17</f>
        <v/>
      </c>
      <c r="P314" s="258" t="str">
        <f t="shared" ref="P314:W314" si="374">P$17</f>
        <v/>
      </c>
      <c r="Q314" s="258" t="str">
        <f t="shared" si="374"/>
        <v/>
      </c>
      <c r="R314" s="258" t="str">
        <f t="shared" si="374"/>
        <v/>
      </c>
      <c r="S314" s="258" t="str">
        <f t="shared" si="374"/>
        <v/>
      </c>
      <c r="T314" s="258" t="str">
        <f t="shared" si="374"/>
        <v/>
      </c>
      <c r="U314" s="258" t="str">
        <f t="shared" si="374"/>
        <v/>
      </c>
      <c r="V314" s="258" t="str">
        <f t="shared" si="374"/>
        <v/>
      </c>
      <c r="W314" s="258" t="str">
        <f t="shared" si="374"/>
        <v/>
      </c>
      <c r="X314" s="195"/>
      <c r="Y314" s="944"/>
      <c r="Z314" s="195"/>
      <c r="AA314" s="258" t="str">
        <f>AA$17</f>
        <v/>
      </c>
      <c r="AB314" s="258" t="str">
        <f t="shared" ref="AB314:AI314" si="375">AB$17</f>
        <v/>
      </c>
      <c r="AC314" s="258" t="str">
        <f t="shared" si="375"/>
        <v/>
      </c>
      <c r="AD314" s="258" t="str">
        <f t="shared" si="375"/>
        <v/>
      </c>
      <c r="AE314" s="258" t="str">
        <f t="shared" si="375"/>
        <v/>
      </c>
      <c r="AF314" s="258" t="str">
        <f t="shared" si="375"/>
        <v/>
      </c>
      <c r="AG314" s="258" t="str">
        <f t="shared" si="375"/>
        <v/>
      </c>
      <c r="AH314" s="258" t="str">
        <f t="shared" si="375"/>
        <v/>
      </c>
      <c r="AI314" s="258" t="str">
        <f t="shared" si="375"/>
        <v/>
      </c>
      <c r="AJ314" s="195"/>
      <c r="AK314" s="944"/>
      <c r="AL314" s="195"/>
      <c r="AM314" s="258" t="str">
        <f>AM$17</f>
        <v/>
      </c>
      <c r="AN314" s="258" t="str">
        <f t="shared" ref="AN314:AU314" si="376">AN$17</f>
        <v/>
      </c>
      <c r="AO314" s="258" t="str">
        <f t="shared" si="376"/>
        <v/>
      </c>
      <c r="AP314" s="258" t="str">
        <f t="shared" si="376"/>
        <v/>
      </c>
      <c r="AQ314" s="258" t="str">
        <f t="shared" si="376"/>
        <v/>
      </c>
      <c r="AR314" s="258" t="str">
        <f t="shared" si="376"/>
        <v/>
      </c>
      <c r="AS314" s="258" t="str">
        <f t="shared" si="376"/>
        <v/>
      </c>
      <c r="AT314" s="258" t="str">
        <f t="shared" si="376"/>
        <v/>
      </c>
      <c r="AU314" s="258" t="str">
        <f t="shared" si="376"/>
        <v/>
      </c>
      <c r="AV314" s="195"/>
      <c r="AW314" s="944"/>
      <c r="AX314" s="195"/>
      <c r="AY314" s="258" t="str">
        <f>AY$17</f>
        <v/>
      </c>
      <c r="AZ314" s="258" t="str">
        <f t="shared" ref="AZ314:BG314" si="377">AZ$17</f>
        <v/>
      </c>
      <c r="BA314" s="258" t="str">
        <f t="shared" si="377"/>
        <v/>
      </c>
      <c r="BB314" s="258" t="str">
        <f t="shared" si="377"/>
        <v/>
      </c>
      <c r="BC314" s="258" t="str">
        <f t="shared" si="377"/>
        <v/>
      </c>
      <c r="BD314" s="258" t="str">
        <f t="shared" si="377"/>
        <v/>
      </c>
      <c r="BE314" s="258" t="str">
        <f t="shared" si="377"/>
        <v/>
      </c>
      <c r="BF314" s="258" t="str">
        <f t="shared" si="377"/>
        <v/>
      </c>
      <c r="BG314" s="258" t="str">
        <f t="shared" si="377"/>
        <v/>
      </c>
      <c r="BH314" s="36"/>
    </row>
    <row r="315" spans="1:60">
      <c r="A315" s="1040"/>
      <c r="B315" s="1109" t="s">
        <v>1222</v>
      </c>
      <c r="C315" s="1107" t="s">
        <v>104</v>
      </c>
      <c r="D315" s="641" t="s">
        <v>45</v>
      </c>
      <c r="E315" s="1123" t="s">
        <v>232</v>
      </c>
      <c r="F315" s="1123"/>
      <c r="G315" s="180"/>
      <c r="H315" s="201" t="s">
        <v>267</v>
      </c>
      <c r="I315" s="114"/>
      <c r="J315" s="190">
        <f>M315+Y315+AK315+AW315</f>
        <v>0</v>
      </c>
      <c r="K315" s="1092"/>
      <c r="L315" s="1092"/>
      <c r="M315" s="190">
        <f>SUMPRODUCT(N315:X315,N$30:X$30)/1000</f>
        <v>0</v>
      </c>
      <c r="N315" s="119"/>
      <c r="O315" s="183" t="str">
        <f t="shared" ref="O315:W315" si="378">IF(OR(O$17="",O$22=0,O$29=0),"",SUM(O306:O311)+O313)</f>
        <v/>
      </c>
      <c r="P315" s="183" t="str">
        <f t="shared" si="378"/>
        <v/>
      </c>
      <c r="Q315" s="183" t="str">
        <f t="shared" si="378"/>
        <v/>
      </c>
      <c r="R315" s="183" t="str">
        <f t="shared" si="378"/>
        <v/>
      </c>
      <c r="S315" s="183" t="str">
        <f t="shared" si="378"/>
        <v/>
      </c>
      <c r="T315" s="183" t="str">
        <f t="shared" si="378"/>
        <v/>
      </c>
      <c r="U315" s="183" t="str">
        <f t="shared" si="378"/>
        <v/>
      </c>
      <c r="V315" s="183" t="str">
        <f t="shared" si="378"/>
        <v/>
      </c>
      <c r="W315" s="183" t="str">
        <f t="shared" si="378"/>
        <v/>
      </c>
      <c r="X315" s="108"/>
      <c r="Y315" s="190">
        <f>SUMPRODUCT(Z315:AJ315,Z$30:AJ$30)/1000</f>
        <v>0</v>
      </c>
      <c r="Z315" s="119"/>
      <c r="AA315" s="183" t="str">
        <f t="shared" ref="AA315:AI315" si="379">IF(OR(AA$17="",AA$22=0,AA$29=0),"",SUM(AA306:AA311)+AA313)</f>
        <v/>
      </c>
      <c r="AB315" s="183" t="str">
        <f t="shared" si="379"/>
        <v/>
      </c>
      <c r="AC315" s="183" t="str">
        <f t="shared" si="379"/>
        <v/>
      </c>
      <c r="AD315" s="183" t="str">
        <f t="shared" si="379"/>
        <v/>
      </c>
      <c r="AE315" s="183" t="str">
        <f t="shared" si="379"/>
        <v/>
      </c>
      <c r="AF315" s="183" t="str">
        <f t="shared" si="379"/>
        <v/>
      </c>
      <c r="AG315" s="183" t="str">
        <f t="shared" si="379"/>
        <v/>
      </c>
      <c r="AH315" s="183" t="str">
        <f t="shared" si="379"/>
        <v/>
      </c>
      <c r="AI315" s="183" t="str">
        <f t="shared" si="379"/>
        <v/>
      </c>
      <c r="AJ315" s="108"/>
      <c r="AK315" s="190">
        <f>SUMPRODUCT(AL315:AV315,AL$30:AV$30)/1000</f>
        <v>0</v>
      </c>
      <c r="AL315" s="119"/>
      <c r="AM315" s="183" t="str">
        <f>IF(OR(AM$17="",AM$22=0,AM$29=0),"",SUM(AM306:AM311)+AM313)</f>
        <v/>
      </c>
      <c r="AN315" s="183" t="str">
        <f t="shared" ref="AN315:AU315" si="380">IF(OR(AN$17="",AN$22=0,AN$29=0),"",SUM(AN306:AN311)+AN313)</f>
        <v/>
      </c>
      <c r="AO315" s="183" t="str">
        <f t="shared" si="380"/>
        <v/>
      </c>
      <c r="AP315" s="183" t="str">
        <f t="shared" si="380"/>
        <v/>
      </c>
      <c r="AQ315" s="183" t="str">
        <f t="shared" si="380"/>
        <v/>
      </c>
      <c r="AR315" s="183" t="str">
        <f t="shared" si="380"/>
        <v/>
      </c>
      <c r="AS315" s="183" t="str">
        <f t="shared" si="380"/>
        <v/>
      </c>
      <c r="AT315" s="183" t="str">
        <f t="shared" si="380"/>
        <v/>
      </c>
      <c r="AU315" s="183" t="str">
        <f t="shared" si="380"/>
        <v/>
      </c>
      <c r="AV315" s="108"/>
      <c r="AW315" s="190">
        <f>SUMPRODUCT(AX315:BH315,AX$30:BH$30)/1000</f>
        <v>0</v>
      </c>
      <c r="AX315" s="119"/>
      <c r="AY315" s="183" t="str">
        <f>IF(OR(AY$17="",AY$22=0,AY$29=0),"",SUM(AY306:AY311)+AY313)</f>
        <v/>
      </c>
      <c r="AZ315" s="183" t="str">
        <f t="shared" ref="AZ315:BG315" si="381">IF(OR(AZ$17="",AZ$22=0,AZ$29=0),"",SUM(AZ306:AZ311)+AZ313)</f>
        <v/>
      </c>
      <c r="BA315" s="183" t="str">
        <f t="shared" si="381"/>
        <v/>
      </c>
      <c r="BB315" s="183" t="str">
        <f t="shared" si="381"/>
        <v/>
      </c>
      <c r="BC315" s="183" t="str">
        <f t="shared" si="381"/>
        <v/>
      </c>
      <c r="BD315" s="183" t="str">
        <f t="shared" si="381"/>
        <v/>
      </c>
      <c r="BE315" s="183" t="str">
        <f t="shared" si="381"/>
        <v/>
      </c>
      <c r="BF315" s="183" t="str">
        <f t="shared" si="381"/>
        <v/>
      </c>
      <c r="BG315" s="183" t="str">
        <f t="shared" si="381"/>
        <v/>
      </c>
      <c r="BH315" s="210"/>
    </row>
    <row r="316" spans="1:60">
      <c r="A316" s="1040"/>
      <c r="B316" s="1109" t="s">
        <v>1222</v>
      </c>
      <c r="C316" s="1106" t="s">
        <v>96</v>
      </c>
      <c r="D316" s="638"/>
      <c r="E316" s="942" t="s">
        <v>272</v>
      </c>
      <c r="F316" s="942"/>
      <c r="G316" s="942"/>
      <c r="H316" s="942"/>
      <c r="I316" s="129"/>
      <c r="J316" s="943"/>
      <c r="K316" s="126"/>
      <c r="L316" s="126"/>
      <c r="M316" s="944"/>
      <c r="N316" s="195"/>
      <c r="O316" s="258" t="str">
        <f>O$17</f>
        <v/>
      </c>
      <c r="P316" s="258" t="str">
        <f t="shared" ref="P316:W316" si="382">P$17</f>
        <v/>
      </c>
      <c r="Q316" s="258" t="str">
        <f t="shared" si="382"/>
        <v/>
      </c>
      <c r="R316" s="258" t="str">
        <f t="shared" si="382"/>
        <v/>
      </c>
      <c r="S316" s="258" t="str">
        <f t="shared" si="382"/>
        <v/>
      </c>
      <c r="T316" s="258" t="str">
        <f t="shared" si="382"/>
        <v/>
      </c>
      <c r="U316" s="258" t="str">
        <f t="shared" si="382"/>
        <v/>
      </c>
      <c r="V316" s="258" t="str">
        <f t="shared" si="382"/>
        <v/>
      </c>
      <c r="W316" s="258" t="str">
        <f t="shared" si="382"/>
        <v/>
      </c>
      <c r="X316" s="195"/>
      <c r="Y316" s="944"/>
      <c r="Z316" s="195"/>
      <c r="AA316" s="258" t="str">
        <f>AA$17</f>
        <v/>
      </c>
      <c r="AB316" s="258" t="str">
        <f t="shared" ref="AB316:AI316" si="383">AB$17</f>
        <v/>
      </c>
      <c r="AC316" s="258" t="str">
        <f t="shared" si="383"/>
        <v/>
      </c>
      <c r="AD316" s="258" t="str">
        <f t="shared" si="383"/>
        <v/>
      </c>
      <c r="AE316" s="258" t="str">
        <f t="shared" si="383"/>
        <v/>
      </c>
      <c r="AF316" s="258" t="str">
        <f t="shared" si="383"/>
        <v/>
      </c>
      <c r="AG316" s="258" t="str">
        <f t="shared" si="383"/>
        <v/>
      </c>
      <c r="AH316" s="258" t="str">
        <f t="shared" si="383"/>
        <v/>
      </c>
      <c r="AI316" s="258" t="str">
        <f t="shared" si="383"/>
        <v/>
      </c>
      <c r="AJ316" s="195"/>
      <c r="AK316" s="944"/>
      <c r="AL316" s="195"/>
      <c r="AM316" s="258" t="str">
        <f>AM$17</f>
        <v/>
      </c>
      <c r="AN316" s="258" t="str">
        <f t="shared" ref="AN316:AU316" si="384">AN$17</f>
        <v/>
      </c>
      <c r="AO316" s="258" t="str">
        <f t="shared" si="384"/>
        <v/>
      </c>
      <c r="AP316" s="258" t="str">
        <f t="shared" si="384"/>
        <v/>
      </c>
      <c r="AQ316" s="258" t="str">
        <f t="shared" si="384"/>
        <v/>
      </c>
      <c r="AR316" s="258" t="str">
        <f t="shared" si="384"/>
        <v/>
      </c>
      <c r="AS316" s="258" t="str">
        <f t="shared" si="384"/>
        <v/>
      </c>
      <c r="AT316" s="258" t="str">
        <f t="shared" si="384"/>
        <v/>
      </c>
      <c r="AU316" s="258" t="str">
        <f t="shared" si="384"/>
        <v/>
      </c>
      <c r="AV316" s="195"/>
      <c r="AW316" s="944"/>
      <c r="AX316" s="195"/>
      <c r="AY316" s="258" t="str">
        <f>AY$17</f>
        <v/>
      </c>
      <c r="AZ316" s="258" t="str">
        <f t="shared" ref="AZ316:BG316" si="385">AZ$17</f>
        <v/>
      </c>
      <c r="BA316" s="258" t="str">
        <f t="shared" si="385"/>
        <v/>
      </c>
      <c r="BB316" s="258" t="str">
        <f t="shared" si="385"/>
        <v/>
      </c>
      <c r="BC316" s="258" t="str">
        <f t="shared" si="385"/>
        <v/>
      </c>
      <c r="BD316" s="258" t="str">
        <f t="shared" si="385"/>
        <v/>
      </c>
      <c r="BE316" s="258" t="str">
        <f t="shared" si="385"/>
        <v/>
      </c>
      <c r="BF316" s="258" t="str">
        <f t="shared" si="385"/>
        <v/>
      </c>
      <c r="BG316" s="258" t="str">
        <f t="shared" si="385"/>
        <v/>
      </c>
      <c r="BH316" s="36"/>
    </row>
    <row r="317" spans="1:60">
      <c r="A317" s="1040"/>
      <c r="B317" s="1109" t="s">
        <v>1222</v>
      </c>
      <c r="C317" s="1107" t="s">
        <v>104</v>
      </c>
      <c r="D317" s="641" t="s">
        <v>45</v>
      </c>
      <c r="E317" s="1123" t="s">
        <v>1360</v>
      </c>
      <c r="F317" s="1123"/>
      <c r="G317" s="180"/>
      <c r="H317" s="201" t="s">
        <v>139</v>
      </c>
      <c r="I317" s="114"/>
      <c r="J317" s="554" t="str">
        <f>IF(J$22=0,"",
IF(J304+J315=0,0,J315/(J304+J315)))</f>
        <v/>
      </c>
      <c r="K317" s="1096"/>
      <c r="L317" s="1096"/>
      <c r="M317" s="554" t="str">
        <f>IF(M$22=0,"",
IF(M304+M315=0,0,M315/(M304+M315)))</f>
        <v/>
      </c>
      <c r="N317" s="1097"/>
      <c r="O317" s="1159" t="str">
        <f t="shared" ref="O317:W317" si="386">IF(OR(O$17="",O$22=0,O$29=0),"",
IF(O304+O315=0,0,O315/(O304+O315)))</f>
        <v/>
      </c>
      <c r="P317" s="285" t="str">
        <f t="shared" si="386"/>
        <v/>
      </c>
      <c r="Q317" s="285" t="str">
        <f t="shared" si="386"/>
        <v/>
      </c>
      <c r="R317" s="285" t="str">
        <f t="shared" si="386"/>
        <v/>
      </c>
      <c r="S317" s="285" t="str">
        <f t="shared" si="386"/>
        <v/>
      </c>
      <c r="T317" s="285" t="str">
        <f t="shared" si="386"/>
        <v/>
      </c>
      <c r="U317" s="285" t="str">
        <f t="shared" si="386"/>
        <v/>
      </c>
      <c r="V317" s="285" t="str">
        <f t="shared" si="386"/>
        <v/>
      </c>
      <c r="W317" s="285" t="str">
        <f t="shared" si="386"/>
        <v/>
      </c>
      <c r="X317" s="124"/>
      <c r="Y317" s="554" t="str">
        <f>IF(Y$22=0,"",
IF(Y304+Y315=0,0,Y315/(Y304+Y315)))</f>
        <v/>
      </c>
      <c r="Z317" s="1097"/>
      <c r="AA317" s="285" t="str">
        <f t="shared" ref="AA317:AI317" si="387">IF(OR(AA$17="",AA$22=0,AA$29=0),"",
IF(AA304+AA315=0,0,AA315/(AA304+AA315)))</f>
        <v/>
      </c>
      <c r="AB317" s="285" t="str">
        <f t="shared" si="387"/>
        <v/>
      </c>
      <c r="AC317" s="285" t="str">
        <f t="shared" si="387"/>
        <v/>
      </c>
      <c r="AD317" s="285" t="str">
        <f t="shared" si="387"/>
        <v/>
      </c>
      <c r="AE317" s="285" t="str">
        <f t="shared" si="387"/>
        <v/>
      </c>
      <c r="AF317" s="285" t="str">
        <f t="shared" si="387"/>
        <v/>
      </c>
      <c r="AG317" s="285" t="str">
        <f t="shared" si="387"/>
        <v/>
      </c>
      <c r="AH317" s="285" t="str">
        <f t="shared" si="387"/>
        <v/>
      </c>
      <c r="AI317" s="285" t="str">
        <f t="shared" si="387"/>
        <v/>
      </c>
      <c r="AJ317" s="124"/>
      <c r="AK317" s="554" t="str">
        <f>IF(AK$22=0,"",
IF(AK304+AK315=0,0,AK315/(AK304+AK315)))</f>
        <v/>
      </c>
      <c r="AL317" s="1097"/>
      <c r="AM317" s="285" t="str">
        <f>IF(OR(AM$17="",AM$22=0,AM$29=0),"",
IF(AM304+AM315=0,0,AM315/(AM304+AM315)))</f>
        <v/>
      </c>
      <c r="AN317" s="285" t="str">
        <f t="shared" ref="AN317:AU317" si="388">IF(OR(AN$17="",AN$22=0,AN$29=0),"",
IF(AN304+AN315=0,0,AN315/(AN304+AN315)))</f>
        <v/>
      </c>
      <c r="AO317" s="285" t="str">
        <f>IF(OR(AO$17="",AO$22=0,AO$29=0),"",
IF(AO304+AO315=0,0,AO315/(AO304+AO315)))</f>
        <v/>
      </c>
      <c r="AP317" s="285" t="str">
        <f t="shared" si="388"/>
        <v/>
      </c>
      <c r="AQ317" s="285" t="str">
        <f t="shared" si="388"/>
        <v/>
      </c>
      <c r="AR317" s="285" t="str">
        <f t="shared" si="388"/>
        <v/>
      </c>
      <c r="AS317" s="285" t="str">
        <f t="shared" si="388"/>
        <v/>
      </c>
      <c r="AT317" s="285" t="str">
        <f t="shared" si="388"/>
        <v/>
      </c>
      <c r="AU317" s="285" t="str">
        <f t="shared" si="388"/>
        <v/>
      </c>
      <c r="AV317" s="124"/>
      <c r="AW317" s="554" t="str">
        <f>IF(AW$22=0,"",
IF(AW304+AW315=0,0,AW315/(AW304+AW315)))</f>
        <v/>
      </c>
      <c r="AX317" s="1097"/>
      <c r="AY317" s="285" t="str">
        <f>IF(OR(AY$17="",AY$22=0,AY$29=0),"",
IF(AY304+AY315=0,0,AY315/(AY304+AY315)))</f>
        <v/>
      </c>
      <c r="AZ317" s="285" t="str">
        <f t="shared" ref="AZ317:BG317" si="389">IF(OR(AZ$17="",AZ$22=0,AZ$29=0),"",
IF(AZ304+AZ315=0,0,AZ315/(AZ304+AZ315)))</f>
        <v/>
      </c>
      <c r="BA317" s="285" t="str">
        <f t="shared" si="389"/>
        <v/>
      </c>
      <c r="BB317" s="285" t="str">
        <f t="shared" si="389"/>
        <v/>
      </c>
      <c r="BC317" s="285" t="str">
        <f t="shared" si="389"/>
        <v/>
      </c>
      <c r="BD317" s="285" t="str">
        <f t="shared" si="389"/>
        <v/>
      </c>
      <c r="BE317" s="285" t="str">
        <f t="shared" si="389"/>
        <v/>
      </c>
      <c r="BF317" s="285" t="str">
        <f t="shared" si="389"/>
        <v/>
      </c>
      <c r="BG317" s="285" t="str">
        <f t="shared" si="389"/>
        <v/>
      </c>
      <c r="BH317" s="212"/>
    </row>
    <row r="318" spans="1:60">
      <c r="A318" s="1040"/>
      <c r="B318" s="1109" t="s">
        <v>1222</v>
      </c>
      <c r="C318" s="1106" t="s">
        <v>96</v>
      </c>
      <c r="D318" s="638"/>
      <c r="E318" s="79"/>
      <c r="F318" s="79"/>
      <c r="G318" s="79"/>
      <c r="H318" s="85"/>
      <c r="I318" s="79"/>
      <c r="J318" s="82"/>
      <c r="K318" s="195"/>
      <c r="L318" s="195"/>
      <c r="M318" s="82"/>
      <c r="N318" s="79"/>
      <c r="O318" s="108"/>
      <c r="P318" s="108"/>
      <c r="Q318" s="108"/>
      <c r="R318" s="108"/>
      <c r="S318" s="108"/>
      <c r="T318" s="108"/>
      <c r="U318" s="108"/>
      <c r="V318" s="108"/>
      <c r="W318" s="108"/>
      <c r="X318" s="82"/>
      <c r="Y318" s="82"/>
      <c r="Z318" s="82"/>
      <c r="AA318" s="82"/>
      <c r="AB318" s="82"/>
      <c r="AC318" s="82"/>
      <c r="AD318" s="82"/>
      <c r="AE318" s="82"/>
      <c r="AF318" s="82"/>
      <c r="AG318" s="82"/>
      <c r="AH318" s="82"/>
      <c r="AI318" s="82"/>
      <c r="AJ318" s="82"/>
      <c r="AK318" s="82"/>
      <c r="AL318" s="79"/>
      <c r="AM318" s="108"/>
      <c r="AN318" s="108"/>
      <c r="AO318" s="108"/>
      <c r="AP318" s="108"/>
      <c r="AQ318" s="108"/>
      <c r="AR318" s="108"/>
      <c r="AS318" s="108"/>
      <c r="AT318" s="108"/>
      <c r="AU318" s="108"/>
      <c r="AV318" s="82"/>
      <c r="AW318" s="82"/>
      <c r="AX318" s="79"/>
      <c r="AY318" s="108"/>
      <c r="AZ318" s="108"/>
      <c r="BA318" s="108"/>
      <c r="BB318" s="108"/>
      <c r="BC318" s="108"/>
      <c r="BD318" s="108"/>
      <c r="BE318" s="108"/>
      <c r="BF318" s="108"/>
      <c r="BG318" s="108"/>
      <c r="BH318" s="1"/>
    </row>
    <row r="319" spans="1:60">
      <c r="A319" s="1040"/>
      <c r="B319" s="1109" t="s">
        <v>1223</v>
      </c>
      <c r="C319" s="1107" t="s">
        <v>96</v>
      </c>
      <c r="D319" s="638"/>
      <c r="E319" s="1098"/>
      <c r="F319" s="85"/>
      <c r="G319" s="85"/>
      <c r="H319" s="85"/>
      <c r="I319" s="79"/>
      <c r="J319" s="105"/>
      <c r="K319" s="79"/>
      <c r="L319" s="79"/>
      <c r="M319" s="82"/>
      <c r="N319" s="79"/>
      <c r="O319" s="79"/>
      <c r="P319" s="82"/>
      <c r="Q319" s="82"/>
      <c r="R319" s="82"/>
      <c r="S319" s="82"/>
      <c r="T319" s="82"/>
      <c r="U319" s="82"/>
      <c r="V319" s="82"/>
      <c r="W319" s="82"/>
      <c r="X319" s="82"/>
      <c r="Y319" s="82"/>
      <c r="Z319" s="79"/>
      <c r="AA319" s="82"/>
      <c r="AB319" s="82"/>
      <c r="AC319" s="82"/>
      <c r="AD319" s="82"/>
      <c r="AE319" s="82"/>
      <c r="AF319" s="82"/>
      <c r="AG319" s="82"/>
      <c r="AH319" s="82"/>
      <c r="AI319" s="82"/>
      <c r="AJ319" s="82"/>
      <c r="AK319" s="82"/>
      <c r="AL319" s="79"/>
      <c r="AM319" s="82"/>
      <c r="AN319" s="82"/>
      <c r="AO319" s="82"/>
      <c r="AP319" s="82"/>
      <c r="AQ319" s="82"/>
      <c r="AR319" s="82"/>
      <c r="AS319" s="82"/>
      <c r="AT319" s="82"/>
      <c r="AU319" s="82"/>
      <c r="AV319" s="82"/>
      <c r="AW319" s="82"/>
      <c r="AX319" s="79"/>
      <c r="AY319" s="82"/>
      <c r="AZ319" s="82"/>
      <c r="BA319" s="82"/>
      <c r="BB319" s="82"/>
      <c r="BC319" s="82"/>
      <c r="BD319" s="82"/>
      <c r="BE319" s="82"/>
      <c r="BF319" s="82"/>
      <c r="BG319" s="82"/>
      <c r="BH319" s="1"/>
    </row>
    <row r="320" spans="1:60" s="2" customFormat="1" ht="21">
      <c r="A320" s="1038"/>
      <c r="B320" s="1110" t="s">
        <v>1223</v>
      </c>
      <c r="C320" s="1106" t="s">
        <v>96</v>
      </c>
      <c r="D320" s="640" t="s">
        <v>45</v>
      </c>
      <c r="E320" s="209" t="s">
        <v>1371</v>
      </c>
      <c r="F320" s="209"/>
      <c r="G320" s="209"/>
      <c r="H320" s="1188" t="str">
        <f>IF(OR($F$5&lt;&gt;"NTA8800:2026",$F$6&lt;&gt;"EP"),"Voor correcte EP: Kies linksboven 'NTA8800:2026' en 'EP'","")</f>
        <v/>
      </c>
      <c r="I320" s="129"/>
      <c r="J320" s="256"/>
      <c r="K320" s="126"/>
      <c r="L320" s="126"/>
      <c r="M320" s="256" t="str">
        <f>M$8</f>
        <v>locatie 1</v>
      </c>
      <c r="N320" s="182"/>
      <c r="O320" s="955" t="str">
        <f>$E320&amp;" per woning-/gebouwtype"</f>
        <v>energieprestatie indicatoren primair fossiel per woning-/gebouwtype</v>
      </c>
      <c r="P320" s="945"/>
      <c r="Q320" s="945"/>
      <c r="R320" s="945"/>
      <c r="S320" s="945"/>
      <c r="T320" s="945"/>
      <c r="U320" s="945"/>
      <c r="V320" s="945"/>
      <c r="W320" s="257"/>
      <c r="X320" s="174"/>
      <c r="Y320" s="256" t="str">
        <f>Y$8</f>
        <v>locatie 2</v>
      </c>
      <c r="Z320" s="182"/>
      <c r="AA320" s="955" t="str">
        <f>$E320&amp;" per woning-/gebouwtype"</f>
        <v>energieprestatie indicatoren primair fossiel per woning-/gebouwtype</v>
      </c>
      <c r="AB320" s="945"/>
      <c r="AC320" s="945"/>
      <c r="AD320" s="945"/>
      <c r="AE320" s="945"/>
      <c r="AF320" s="945"/>
      <c r="AG320" s="945"/>
      <c r="AH320" s="945"/>
      <c r="AI320" s="257"/>
      <c r="AJ320" s="174"/>
      <c r="AK320" s="256" t="str">
        <f>AK$8</f>
        <v>locatie 3</v>
      </c>
      <c r="AL320" s="182"/>
      <c r="AM320" s="955" t="str">
        <f>$E320&amp;" per woning-/gebouwtype"</f>
        <v>energieprestatie indicatoren primair fossiel per woning-/gebouwtype</v>
      </c>
      <c r="AN320" s="945"/>
      <c r="AO320" s="945"/>
      <c r="AP320" s="945"/>
      <c r="AQ320" s="945"/>
      <c r="AR320" s="945"/>
      <c r="AS320" s="945"/>
      <c r="AT320" s="945"/>
      <c r="AU320" s="257"/>
      <c r="AV320" s="174"/>
      <c r="AW320" s="256" t="str">
        <f>AW$8</f>
        <v>locatie 4</v>
      </c>
      <c r="AX320" s="182"/>
      <c r="AY320" s="955" t="str">
        <f>$E320&amp;" per woning-/gebouwtype"</f>
        <v>energieprestatie indicatoren primair fossiel per woning-/gebouwtype</v>
      </c>
      <c r="AZ320" s="945"/>
      <c r="BA320" s="945"/>
      <c r="BB320" s="945"/>
      <c r="BC320" s="945"/>
      <c r="BD320" s="945"/>
      <c r="BE320" s="945"/>
      <c r="BF320" s="945"/>
      <c r="BG320" s="257"/>
      <c r="BH320" s="1"/>
    </row>
    <row r="321" spans="1:60" hidden="1">
      <c r="A321" s="1040"/>
      <c r="B321" s="1109" t="s">
        <v>1223</v>
      </c>
      <c r="C321" s="1106" t="s">
        <v>262</v>
      </c>
      <c r="D321" s="641"/>
      <c r="E321" s="942" t="s">
        <v>273</v>
      </c>
      <c r="F321" s="942"/>
      <c r="G321" s="942"/>
      <c r="H321" s="942"/>
      <c r="I321" s="129"/>
      <c r="J321" s="943"/>
      <c r="K321" s="126"/>
      <c r="L321" s="126"/>
      <c r="M321" s="944"/>
      <c r="N321" s="195"/>
      <c r="O321" s="258" t="str">
        <f>O$17</f>
        <v/>
      </c>
      <c r="P321" s="258" t="str">
        <f t="shared" ref="P321:W321" si="390">P$17</f>
        <v/>
      </c>
      <c r="Q321" s="258" t="str">
        <f t="shared" si="390"/>
        <v/>
      </c>
      <c r="R321" s="258" t="str">
        <f t="shared" si="390"/>
        <v/>
      </c>
      <c r="S321" s="258" t="str">
        <f t="shared" si="390"/>
        <v/>
      </c>
      <c r="T321" s="258" t="str">
        <f t="shared" si="390"/>
        <v/>
      </c>
      <c r="U321" s="258" t="str">
        <f t="shared" si="390"/>
        <v/>
      </c>
      <c r="V321" s="258" t="str">
        <f t="shared" si="390"/>
        <v/>
      </c>
      <c r="W321" s="258" t="str">
        <f t="shared" si="390"/>
        <v/>
      </c>
      <c r="X321" s="195"/>
      <c r="Y321" s="944"/>
      <c r="Z321" s="195"/>
      <c r="AA321" s="258" t="str">
        <f>AA$17</f>
        <v/>
      </c>
      <c r="AB321" s="258" t="str">
        <f t="shared" ref="AB321:AI321" si="391">AB$17</f>
        <v/>
      </c>
      <c r="AC321" s="258" t="str">
        <f t="shared" si="391"/>
        <v/>
      </c>
      <c r="AD321" s="258" t="str">
        <f t="shared" si="391"/>
        <v/>
      </c>
      <c r="AE321" s="258" t="str">
        <f t="shared" si="391"/>
        <v/>
      </c>
      <c r="AF321" s="258" t="str">
        <f t="shared" si="391"/>
        <v/>
      </c>
      <c r="AG321" s="258" t="str">
        <f t="shared" si="391"/>
        <v/>
      </c>
      <c r="AH321" s="258" t="str">
        <f t="shared" si="391"/>
        <v/>
      </c>
      <c r="AI321" s="258" t="str">
        <f t="shared" si="391"/>
        <v/>
      </c>
      <c r="AJ321" s="195"/>
      <c r="AK321" s="944"/>
      <c r="AL321" s="195"/>
      <c r="AM321" s="258" t="str">
        <f>AM$17</f>
        <v/>
      </c>
      <c r="AN321" s="258" t="str">
        <f t="shared" ref="AN321:AU321" si="392">AN$17</f>
        <v/>
      </c>
      <c r="AO321" s="258" t="str">
        <f t="shared" si="392"/>
        <v/>
      </c>
      <c r="AP321" s="258" t="str">
        <f t="shared" si="392"/>
        <v/>
      </c>
      <c r="AQ321" s="258" t="str">
        <f t="shared" si="392"/>
        <v/>
      </c>
      <c r="AR321" s="258" t="str">
        <f t="shared" si="392"/>
        <v/>
      </c>
      <c r="AS321" s="258" t="str">
        <f t="shared" si="392"/>
        <v/>
      </c>
      <c r="AT321" s="258" t="str">
        <f t="shared" si="392"/>
        <v/>
      </c>
      <c r="AU321" s="258" t="str">
        <f t="shared" si="392"/>
        <v/>
      </c>
      <c r="AV321" s="195"/>
      <c r="AW321" s="944"/>
      <c r="AX321" s="195"/>
      <c r="AY321" s="258" t="str">
        <f>AY$17</f>
        <v/>
      </c>
      <c r="AZ321" s="258" t="str">
        <f t="shared" ref="AZ321:BG321" si="393">AZ$17</f>
        <v/>
      </c>
      <c r="BA321" s="258" t="str">
        <f t="shared" si="393"/>
        <v/>
      </c>
      <c r="BB321" s="258" t="str">
        <f t="shared" si="393"/>
        <v/>
      </c>
      <c r="BC321" s="258" t="str">
        <f t="shared" si="393"/>
        <v/>
      </c>
      <c r="BD321" s="258" t="str">
        <f t="shared" si="393"/>
        <v/>
      </c>
      <c r="BE321" s="258" t="str">
        <f t="shared" si="393"/>
        <v/>
      </c>
      <c r="BF321" s="258" t="str">
        <f t="shared" si="393"/>
        <v/>
      </c>
      <c r="BG321" s="258" t="str">
        <f t="shared" si="393"/>
        <v/>
      </c>
      <c r="BH321" s="36"/>
    </row>
    <row r="322" spans="1:60" hidden="1">
      <c r="A322" s="1040"/>
      <c r="B322" s="1109" t="s">
        <v>1223</v>
      </c>
      <c r="C322" s="1106" t="s">
        <v>262</v>
      </c>
      <c r="D322" s="641"/>
      <c r="E322" s="203" t="s">
        <v>274</v>
      </c>
      <c r="F322" s="203"/>
      <c r="G322" s="203"/>
      <c r="H322" s="204" t="s">
        <v>65</v>
      </c>
      <c r="I322" s="205"/>
      <c r="J322" s="206"/>
      <c r="K322" s="79"/>
      <c r="L322" s="79"/>
      <c r="M322" s="206"/>
      <c r="N322" s="205"/>
      <c r="O322" s="1153" t="str">
        <f t="shared" ref="O322:W322" si="394">IF(OR(O$17="",O$22=0,O$29=0),"",MATCH(O$19,BENG_gebruiksfuncties,0))</f>
        <v/>
      </c>
      <c r="P322" s="1153" t="str">
        <f t="shared" si="394"/>
        <v/>
      </c>
      <c r="Q322" s="1153" t="str">
        <f t="shared" si="394"/>
        <v/>
      </c>
      <c r="R322" s="1153" t="str">
        <f t="shared" si="394"/>
        <v/>
      </c>
      <c r="S322" s="1153" t="str">
        <f t="shared" si="394"/>
        <v/>
      </c>
      <c r="T322" s="1153" t="str">
        <f t="shared" si="394"/>
        <v/>
      </c>
      <c r="U322" s="1153" t="str">
        <f t="shared" si="394"/>
        <v/>
      </c>
      <c r="V322" s="1153" t="str">
        <f t="shared" si="394"/>
        <v/>
      </c>
      <c r="W322" s="1153" t="str">
        <f t="shared" si="394"/>
        <v/>
      </c>
      <c r="X322" s="108"/>
      <c r="Y322" s="206"/>
      <c r="Z322" s="205"/>
      <c r="AA322" s="207" t="str">
        <f t="shared" ref="AA322:AI322" si="395">IF(OR(AA$17="",AA$22=0,AA$29=0),"",MATCH(AA$19,BENG_gebruiksfuncties,0))</f>
        <v/>
      </c>
      <c r="AB322" s="207" t="str">
        <f t="shared" si="395"/>
        <v/>
      </c>
      <c r="AC322" s="207" t="str">
        <f t="shared" si="395"/>
        <v/>
      </c>
      <c r="AD322" s="207" t="str">
        <f t="shared" si="395"/>
        <v/>
      </c>
      <c r="AE322" s="207" t="str">
        <f t="shared" si="395"/>
        <v/>
      </c>
      <c r="AF322" s="207" t="str">
        <f t="shared" si="395"/>
        <v/>
      </c>
      <c r="AG322" s="207" t="str">
        <f t="shared" si="395"/>
        <v/>
      </c>
      <c r="AH322" s="207" t="str">
        <f t="shared" si="395"/>
        <v/>
      </c>
      <c r="AI322" s="207" t="str">
        <f t="shared" si="395"/>
        <v/>
      </c>
      <c r="AJ322" s="108"/>
      <c r="AK322" s="206"/>
      <c r="AL322" s="205"/>
      <c r="AM322" s="207" t="str">
        <f>IF(OR(AM$17="",AM$22=0,AM$29=0),"",MATCH(AM$19,BENG_gebruiksfuncties,0))</f>
        <v/>
      </c>
      <c r="AN322" s="207" t="str">
        <f t="shared" ref="AN322:AU322" si="396">IF(OR(AN$17="",AN$22=0,AN$29=0),"",MATCH(AN$19,BENG_gebruiksfuncties,0))</f>
        <v/>
      </c>
      <c r="AO322" s="207" t="str">
        <f t="shared" si="396"/>
        <v/>
      </c>
      <c r="AP322" s="207" t="str">
        <f t="shared" si="396"/>
        <v/>
      </c>
      <c r="AQ322" s="207" t="str">
        <f t="shared" si="396"/>
        <v/>
      </c>
      <c r="AR322" s="207" t="str">
        <f t="shared" si="396"/>
        <v/>
      </c>
      <c r="AS322" s="207" t="str">
        <f t="shared" si="396"/>
        <v/>
      </c>
      <c r="AT322" s="207" t="str">
        <f t="shared" si="396"/>
        <v/>
      </c>
      <c r="AU322" s="207" t="str">
        <f t="shared" si="396"/>
        <v/>
      </c>
      <c r="AV322" s="108"/>
      <c r="AW322" s="206"/>
      <c r="AX322" s="205"/>
      <c r="AY322" s="207" t="str">
        <f t="shared" ref="AY322:BG322" si="397">IF(OR(AY$17="",AY$22=0,AY$29=0),"",MATCH(AY$19,BENG_gebruiksfuncties,0))</f>
        <v/>
      </c>
      <c r="AZ322" s="207" t="str">
        <f t="shared" si="397"/>
        <v/>
      </c>
      <c r="BA322" s="207" t="str">
        <f t="shared" si="397"/>
        <v/>
      </c>
      <c r="BB322" s="207" t="str">
        <f t="shared" si="397"/>
        <v/>
      </c>
      <c r="BC322" s="207" t="str">
        <f t="shared" si="397"/>
        <v/>
      </c>
      <c r="BD322" s="207" t="str">
        <f t="shared" si="397"/>
        <v/>
      </c>
      <c r="BE322" s="207" t="str">
        <f t="shared" si="397"/>
        <v/>
      </c>
      <c r="BF322" s="207" t="str">
        <f t="shared" si="397"/>
        <v/>
      </c>
      <c r="BG322" s="207" t="str">
        <f t="shared" si="397"/>
        <v/>
      </c>
      <c r="BH322" s="210"/>
    </row>
    <row r="323" spans="1:60">
      <c r="A323" s="1040"/>
      <c r="B323" s="1109" t="s">
        <v>1223</v>
      </c>
      <c r="C323" s="1106" t="s">
        <v>96</v>
      </c>
      <c r="D323" s="640" t="s">
        <v>45</v>
      </c>
      <c r="E323" s="942" t="s">
        <v>1166</v>
      </c>
      <c r="F323" s="942"/>
      <c r="G323" s="942"/>
      <c r="H323" s="942"/>
      <c r="I323" s="129"/>
      <c r="J323" s="943"/>
      <c r="K323" s="126"/>
      <c r="L323" s="126"/>
      <c r="M323" s="944"/>
      <c r="N323" s="195"/>
      <c r="O323" s="1154" t="str">
        <f>O$17</f>
        <v/>
      </c>
      <c r="P323" s="1154" t="str">
        <f t="shared" ref="P323:W323" si="398">P$17</f>
        <v/>
      </c>
      <c r="Q323" s="1154" t="str">
        <f t="shared" si="398"/>
        <v/>
      </c>
      <c r="R323" s="1154" t="str">
        <f t="shared" si="398"/>
        <v/>
      </c>
      <c r="S323" s="1154" t="str">
        <f t="shared" si="398"/>
        <v/>
      </c>
      <c r="T323" s="1154" t="str">
        <f t="shared" si="398"/>
        <v/>
      </c>
      <c r="U323" s="1154" t="str">
        <f t="shared" si="398"/>
        <v/>
      </c>
      <c r="V323" s="1154" t="str">
        <f t="shared" si="398"/>
        <v/>
      </c>
      <c r="W323" s="1154" t="str">
        <f t="shared" si="398"/>
        <v/>
      </c>
      <c r="X323" s="195"/>
      <c r="Y323" s="944"/>
      <c r="Z323" s="195"/>
      <c r="AA323" s="258" t="str">
        <f>AA$17</f>
        <v/>
      </c>
      <c r="AB323" s="258" t="str">
        <f t="shared" ref="AB323:AI323" si="399">AB$17</f>
        <v/>
      </c>
      <c r="AC323" s="258" t="str">
        <f t="shared" si="399"/>
        <v/>
      </c>
      <c r="AD323" s="258" t="str">
        <f t="shared" si="399"/>
        <v/>
      </c>
      <c r="AE323" s="258" t="str">
        <f t="shared" si="399"/>
        <v/>
      </c>
      <c r="AF323" s="258" t="str">
        <f t="shared" si="399"/>
        <v/>
      </c>
      <c r="AG323" s="258" t="str">
        <f t="shared" si="399"/>
        <v/>
      </c>
      <c r="AH323" s="258" t="str">
        <f t="shared" si="399"/>
        <v/>
      </c>
      <c r="AI323" s="258" t="str">
        <f t="shared" si="399"/>
        <v/>
      </c>
      <c r="AJ323" s="195"/>
      <c r="AK323" s="944"/>
      <c r="AL323" s="195"/>
      <c r="AM323" s="258" t="str">
        <f>AM$17</f>
        <v/>
      </c>
      <c r="AN323" s="258" t="str">
        <f t="shared" ref="AN323:AU323" si="400">AN$17</f>
        <v/>
      </c>
      <c r="AO323" s="258" t="str">
        <f t="shared" si="400"/>
        <v/>
      </c>
      <c r="AP323" s="258" t="str">
        <f t="shared" si="400"/>
        <v/>
      </c>
      <c r="AQ323" s="258" t="str">
        <f t="shared" si="400"/>
        <v/>
      </c>
      <c r="AR323" s="258" t="str">
        <f t="shared" si="400"/>
        <v/>
      </c>
      <c r="AS323" s="258" t="str">
        <f t="shared" si="400"/>
        <v/>
      </c>
      <c r="AT323" s="258" t="str">
        <f t="shared" si="400"/>
        <v/>
      </c>
      <c r="AU323" s="258" t="str">
        <f t="shared" si="400"/>
        <v/>
      </c>
      <c r="AV323" s="195"/>
      <c r="AW323" s="944"/>
      <c r="AX323" s="195"/>
      <c r="AY323" s="258" t="str">
        <f>AY$17</f>
        <v/>
      </c>
      <c r="AZ323" s="258" t="str">
        <f t="shared" ref="AZ323:BG323" si="401">AZ$17</f>
        <v/>
      </c>
      <c r="BA323" s="258" t="str">
        <f t="shared" si="401"/>
        <v/>
      </c>
      <c r="BB323" s="258" t="str">
        <f t="shared" si="401"/>
        <v/>
      </c>
      <c r="BC323" s="258" t="str">
        <f t="shared" si="401"/>
        <v/>
      </c>
      <c r="BD323" s="258" t="str">
        <f t="shared" si="401"/>
        <v/>
      </c>
      <c r="BE323" s="258" t="str">
        <f t="shared" si="401"/>
        <v/>
      </c>
      <c r="BF323" s="258" t="str">
        <f t="shared" si="401"/>
        <v/>
      </c>
      <c r="BG323" s="258" t="str">
        <f t="shared" si="401"/>
        <v/>
      </c>
      <c r="BH323" s="36"/>
    </row>
    <row r="324" spans="1:60">
      <c r="A324" s="1040"/>
      <c r="B324" s="1109" t="s">
        <v>1223</v>
      </c>
      <c r="C324" s="1107" t="s">
        <v>104</v>
      </c>
      <c r="D324" s="641"/>
      <c r="E324" s="203" t="s">
        <v>275</v>
      </c>
      <c r="F324" s="203"/>
      <c r="G324" s="203"/>
      <c r="H324" s="204" t="s">
        <v>154</v>
      </c>
      <c r="I324" s="205"/>
      <c r="J324" s="206"/>
      <c r="K324" s="79"/>
      <c r="L324" s="79"/>
      <c r="M324" s="206"/>
      <c r="N324" s="205"/>
      <c r="O324" s="1155" t="str" cm="1">
        <f t="array" ref="O324">IF(OR(O$17="",O$38="",O$40="",O$322=""),"",
IF(O$32&lt;=INDEX(BENG1_eis_grenswaarde_1,O$322),
      INDEX(BENG1_eis_Als_deeldoor_Ag_kleiner_dan_grenswaarde_1,O$322),
IF(O$32&lt;=INDEX(BENG1_eis_grenswaarde_2,O$322),
      INDEX(BENG1_eis_C1,O$322) + INDEX(BENG1_eis_C2,O$322) * (O$32 - INDEX(BENG1_eis_C3,O$322) ),
      INDEX(BENG1_eis_C4,O$322)  + INDEX(BENG1_eis_C5,O$322) * (O$32 - INDEX(BENG1_eis_C6,O$322) ))))</f>
        <v/>
      </c>
      <c r="P324" s="1155" t="str" cm="1">
        <f t="array" ref="P324">IF(OR(P$17="",P$38="",P$40="",P$322=""),"",
IF(P$32&lt;=INDEX(BENG1_eis_grenswaarde_1,P$322),
      INDEX(BENG1_eis_Als_deeldoor_Ag_kleiner_dan_grenswaarde_1,P$322),
IF(P$32&lt;=INDEX(BENG1_eis_grenswaarde_2,P$322),
      INDEX(BENG1_eis_C1,P$322) + INDEX(BENG1_eis_C2,P$322) * (P$32 - INDEX(BENG1_eis_C3,P$322) ),
      INDEX(BENG1_eis_C4,P$322)  + INDEX(BENG1_eis_C5,P$322) * (P$32 - INDEX(BENG1_eis_C6,P$322) ))))</f>
        <v/>
      </c>
      <c r="Q324" s="1155" t="str" cm="1">
        <f t="array" ref="Q324">IF(OR(Q$17="",Q$38="",Q$40="",Q$322=""),"",
IF(Q$32&lt;=INDEX(BENG1_eis_grenswaarde_1,Q$322),
      INDEX(BENG1_eis_Als_deeldoor_Ag_kleiner_dan_grenswaarde_1,Q$322),
IF(Q$32&lt;=INDEX(BENG1_eis_grenswaarde_2,Q$322),
      INDEX(BENG1_eis_C1,Q$322) + INDEX(BENG1_eis_C2,Q$322) * (Q$32 - INDEX(BENG1_eis_C3,Q$322) ),
      INDEX(BENG1_eis_C4,Q$322)  + INDEX(BENG1_eis_C5,Q$322) * (Q$32 - INDEX(BENG1_eis_C6,Q$322) ))))</f>
        <v/>
      </c>
      <c r="R324" s="1155" t="str" cm="1">
        <f t="array" ref="R324">IF(OR(R$17="",R$38="",R$40="",R$322=""),"",
IF(R$32&lt;=INDEX(BENG1_eis_grenswaarde_1,R$322),
      INDEX(BENG1_eis_Als_deeldoor_Ag_kleiner_dan_grenswaarde_1,R$322),
IF(R$32&lt;=INDEX(BENG1_eis_grenswaarde_2,R$322),
      INDEX(BENG1_eis_C1,R$322) + INDEX(BENG1_eis_C2,R$322) * (R$32 - INDEX(BENG1_eis_C3,R$322) ),
      INDEX(BENG1_eis_C4,R$322)  + INDEX(BENG1_eis_C5,R$322) * (R$32 - INDEX(BENG1_eis_C6,R$322) ))))</f>
        <v/>
      </c>
      <c r="S324" s="1155" t="str" cm="1">
        <f t="array" ref="S324">IF(OR(S$17="",S$38="",S$40="",S$322=""),"",
IF(S$32&lt;=INDEX(BENG1_eis_grenswaarde_1,S$322),
      INDEX(BENG1_eis_Als_deeldoor_Ag_kleiner_dan_grenswaarde_1,S$322),
IF(S$32&lt;=INDEX(BENG1_eis_grenswaarde_2,S$322),
      INDEX(BENG1_eis_C1,S$322) + INDEX(BENG1_eis_C2,S$322) * (S$32 - INDEX(BENG1_eis_C3,S$322) ),
      INDEX(BENG1_eis_C4,S$322)  + INDEX(BENG1_eis_C5,S$322) * (S$32 - INDEX(BENG1_eis_C6,S$322) ))))</f>
        <v/>
      </c>
      <c r="T324" s="1155" t="str" cm="1">
        <f t="array" ref="T324">IF(OR(T$17="",T$38="",T$40="",T$322=""),"",
IF(T$32&lt;=INDEX(BENG1_eis_grenswaarde_1,T$322),
      INDEX(BENG1_eis_Als_deeldoor_Ag_kleiner_dan_grenswaarde_1,T$322),
IF(T$32&lt;=INDEX(BENG1_eis_grenswaarde_2,T$322),
      INDEX(BENG1_eis_C1,T$322) + INDEX(BENG1_eis_C2,T$322) * (T$32 - INDEX(BENG1_eis_C3,T$322) ),
      INDEX(BENG1_eis_C4,T$322)  + INDEX(BENG1_eis_C5,T$322) * (T$32 - INDEX(BENG1_eis_C6,T$322) ))))</f>
        <v/>
      </c>
      <c r="U324" s="1155" t="str" cm="1">
        <f t="array" ref="U324">IF(OR(U$17="",U$38="",U$40="",U$322=""),"",
IF(U$32&lt;=INDEX(BENG1_eis_grenswaarde_1,U$322),
      INDEX(BENG1_eis_Als_deeldoor_Ag_kleiner_dan_grenswaarde_1,U$322),
IF(U$32&lt;=INDEX(BENG1_eis_grenswaarde_2,U$322),
      INDEX(BENG1_eis_C1,U$322) + INDEX(BENG1_eis_C2,U$322) * (U$32 - INDEX(BENG1_eis_C3,U$322) ),
      INDEX(BENG1_eis_C4,U$322)  + INDEX(BENG1_eis_C5,U$322) * (U$32 - INDEX(BENG1_eis_C6,U$322) ))))</f>
        <v/>
      </c>
      <c r="V324" s="1155" t="str" cm="1">
        <f t="array" ref="V324">IF(OR(V$17="",V$38="",V$40="",V$322=""),"",
IF(V$32&lt;=INDEX(BENG1_eis_grenswaarde_1,V$322),
      INDEX(BENG1_eis_Als_deeldoor_Ag_kleiner_dan_grenswaarde_1,V$322),
IF(V$32&lt;=INDEX(BENG1_eis_grenswaarde_2,V$322),
      INDEX(BENG1_eis_C1,V$322) + INDEX(BENG1_eis_C2,V$322) * (V$32 - INDEX(BENG1_eis_C3,V$322) ),
      INDEX(BENG1_eis_C4,V$322)  + INDEX(BENG1_eis_C5,V$322) * (V$32 - INDEX(BENG1_eis_C6,V$322) ))))</f>
        <v/>
      </c>
      <c r="W324" s="1155" t="str" cm="1">
        <f t="array" ref="W324">IF(OR(W$17="",W$38="",W$40="",W$322=""),"",
IF(W$32&lt;=INDEX(BENG1_eis_grenswaarde_1,W$322),
      INDEX(BENG1_eis_Als_deeldoor_Ag_kleiner_dan_grenswaarde_1,W$322),
IF(W$32&lt;=INDEX(BENG1_eis_grenswaarde_2,W$322),
      INDEX(BENG1_eis_C1,W$322) + INDEX(BENG1_eis_C2,W$322) * (W$32 - INDEX(BENG1_eis_C3,W$322) ),
      INDEX(BENG1_eis_C4,W$322)  + INDEX(BENG1_eis_C5,W$322) * (W$32 - INDEX(BENG1_eis_C6,W$322) ))))</f>
        <v/>
      </c>
      <c r="X324" s="108"/>
      <c r="Y324" s="206"/>
      <c r="Z324" s="1091"/>
      <c r="AA324" s="542" t="str" cm="1">
        <f t="array" ref="AA324">IF(OR(AA$17="",AA$38="",AA$40="",AA$322=""),"",
IF(AA$32&lt;=INDEX(BENG1_eis_grenswaarde_1,AA$322),
      INDEX(BENG1_eis_Als_deeldoor_Ag_kleiner_dan_grenswaarde_1,AA$322),
IF(AA$32&lt;=INDEX(BENG1_eis_grenswaarde_2,AA$322),
      INDEX(BENG1_eis_C1,AA$322) + INDEX(BENG1_eis_C2,AA$322) * (AA$32 - INDEX(BENG1_eis_C3,AA$322) ),
      INDEX(BENG1_eis_C4,AA$322)  + INDEX(BENG1_eis_C5,AA$322) * (AA$32 - INDEX(BENG1_eis_C6,AA$322) ))))</f>
        <v/>
      </c>
      <c r="AB324" s="542" t="str" cm="1">
        <f t="array" ref="AB324">IF(OR(AB$17="",AB$38="",AB$40="",AB$322=""),"",
IF(AB$32&lt;=INDEX(BENG1_eis_grenswaarde_1,AB$322),
      INDEX(BENG1_eis_Als_deeldoor_Ag_kleiner_dan_grenswaarde_1,AB$322),
IF(AB$32&lt;=INDEX(BENG1_eis_grenswaarde_2,AB$322),
      INDEX(BENG1_eis_C1,AB$322) + INDEX(BENG1_eis_C2,AB$322) * (AB$32 - INDEX(BENG1_eis_C3,AB$322) ),
      INDEX(BENG1_eis_C4,AB$322)  + INDEX(BENG1_eis_C5,AB$322) * (AB$32 - INDEX(BENG1_eis_C6,AB$322) ))))</f>
        <v/>
      </c>
      <c r="AC324" s="542" t="str" cm="1">
        <f t="array" ref="AC324">IF(OR(AC$17="",AC$38="",AC$40="",AC$322=""),"",
IF(AC$32&lt;=INDEX(BENG1_eis_grenswaarde_1,AC$322),
      INDEX(BENG1_eis_Als_deeldoor_Ag_kleiner_dan_grenswaarde_1,AC$322),
IF(AC$32&lt;=INDEX(BENG1_eis_grenswaarde_2,AC$322),
      INDEX(BENG1_eis_C1,AC$322) + INDEX(BENG1_eis_C2,AC$322) * (AC$32 - INDEX(BENG1_eis_C3,AC$322) ),
      INDEX(BENG1_eis_C4,AC$322)  + INDEX(BENG1_eis_C5,AC$322) * (AC$32 - INDEX(BENG1_eis_C6,AC$322) ))))</f>
        <v/>
      </c>
      <c r="AD324" s="542" t="str" cm="1">
        <f t="array" ref="AD324">IF(OR(AD$17="",AD$38="",AD$40="",AD$322=""),"",
IF(AD$32&lt;=INDEX(BENG1_eis_grenswaarde_1,AD$322),
      INDEX(BENG1_eis_Als_deeldoor_Ag_kleiner_dan_grenswaarde_1,AD$322),
IF(AD$32&lt;=INDEX(BENG1_eis_grenswaarde_2,AD$322),
      INDEX(BENG1_eis_C1,AD$322) + INDEX(BENG1_eis_C2,AD$322) * (AD$32 - INDEX(BENG1_eis_C3,AD$322) ),
      INDEX(BENG1_eis_C4,AD$322)  + INDEX(BENG1_eis_C5,AD$322) * (AD$32 - INDEX(BENG1_eis_C6,AD$322) ))))</f>
        <v/>
      </c>
      <c r="AE324" s="542" t="str" cm="1">
        <f t="array" ref="AE324">IF(OR(AE$17="",AE$38="",AE$40="",AE$322=""),"",
IF(AE$32&lt;=INDEX(BENG1_eis_grenswaarde_1,AE$322),
      INDEX(BENG1_eis_Als_deeldoor_Ag_kleiner_dan_grenswaarde_1,AE$322),
IF(AE$32&lt;=INDEX(BENG1_eis_grenswaarde_2,AE$322),
      INDEX(BENG1_eis_C1,AE$322) + INDEX(BENG1_eis_C2,AE$322) * (AE$32 - INDEX(BENG1_eis_C3,AE$322) ),
      INDEX(BENG1_eis_C4,AE$322)  + INDEX(BENG1_eis_C5,AE$322) * (AE$32 - INDEX(BENG1_eis_C6,AE$322) ))))</f>
        <v/>
      </c>
      <c r="AF324" s="542" t="str" cm="1">
        <f t="array" ref="AF324">IF(OR(AF$17="",AF$38="",AF$40="",AF$322=""),"",
IF(AF$32&lt;=INDEX(BENG1_eis_grenswaarde_1,AF$322),
      INDEX(BENG1_eis_Als_deeldoor_Ag_kleiner_dan_grenswaarde_1,AF$322),
IF(AF$32&lt;=INDEX(BENG1_eis_grenswaarde_2,AF$322),
      INDEX(BENG1_eis_C1,AF$322) + INDEX(BENG1_eis_C2,AF$322) * (AF$32 - INDEX(BENG1_eis_C3,AF$322) ),
      INDEX(BENG1_eis_C4,AF$322)  + INDEX(BENG1_eis_C5,AF$322) * (AF$32 - INDEX(BENG1_eis_C6,AF$322) ))))</f>
        <v/>
      </c>
      <c r="AG324" s="542" t="str" cm="1">
        <f t="array" ref="AG324">IF(OR(AG$17="",AG$38="",AG$40="",AG$322=""),"",
IF(AG$32&lt;=INDEX(BENG1_eis_grenswaarde_1,AG$322),
      INDEX(BENG1_eis_Als_deeldoor_Ag_kleiner_dan_grenswaarde_1,AG$322),
IF(AG$32&lt;=INDEX(BENG1_eis_grenswaarde_2,AG$322),
      INDEX(BENG1_eis_C1,AG$322) + INDEX(BENG1_eis_C2,AG$322) * (AG$32 - INDEX(BENG1_eis_C3,AG$322) ),
      INDEX(BENG1_eis_C4,AG$322)  + INDEX(BENG1_eis_C5,AG$322) * (AG$32 - INDEX(BENG1_eis_C6,AG$322) ))))</f>
        <v/>
      </c>
      <c r="AH324" s="542" t="str" cm="1">
        <f t="array" ref="AH324">IF(OR(AH$17="",AH$38="",AH$40="",AH$322=""),"",
IF(AH$32&lt;=INDEX(BENG1_eis_grenswaarde_1,AH$322),
      INDEX(BENG1_eis_Als_deeldoor_Ag_kleiner_dan_grenswaarde_1,AH$322),
IF(AH$32&lt;=INDEX(BENG1_eis_grenswaarde_2,AH$322),
      INDEX(BENG1_eis_C1,AH$322) + INDEX(BENG1_eis_C2,AH$322) * (AH$32 - INDEX(BENG1_eis_C3,AH$322) ),
      INDEX(BENG1_eis_C4,AH$322)  + INDEX(BENG1_eis_C5,AH$322) * (AH$32 - INDEX(BENG1_eis_C6,AH$322) ))))</f>
        <v/>
      </c>
      <c r="AI324" s="542" t="str" cm="1">
        <f t="array" ref="AI324">IF(OR(AI$17="",AI$38="",AI$40="",AI$322=""),"",
IF(AI$32&lt;=INDEX(BENG1_eis_grenswaarde_1,AI$322),
      INDEX(BENG1_eis_Als_deeldoor_Ag_kleiner_dan_grenswaarde_1,AI$322),
IF(AI$32&lt;=INDEX(BENG1_eis_grenswaarde_2,AI$322),
      INDEX(BENG1_eis_C1,AI$322) + INDEX(BENG1_eis_C2,AI$322) * (AI$32 - INDEX(BENG1_eis_C3,AI$322) ),
      INDEX(BENG1_eis_C4,AI$322)  + INDEX(BENG1_eis_C5,AI$322) * (AI$32 - INDEX(BENG1_eis_C6,AI$322) ))))</f>
        <v/>
      </c>
      <c r="AJ324" s="108"/>
      <c r="AK324" s="206"/>
      <c r="AL324" s="1091"/>
      <c r="AM324" s="542" t="str" cm="1">
        <f t="array" ref="AM324">IF(OR(AM$17="",AM$38="",AM$40="",AM$322=""),"",
IF(AM$32&lt;=INDEX(BENG1_eis_grenswaarde_1,AM$322),
      INDEX(BENG1_eis_Als_deeldoor_Ag_kleiner_dan_grenswaarde_1,AM$322),
IF(AM$32&lt;=INDEX(BENG1_eis_grenswaarde_2,AM$322),
      INDEX(BENG1_eis_C1,AM$322) + INDEX(BENG1_eis_C2,AM$322) * (AM$32 - INDEX(BENG1_eis_C3,AM$322) ),
      INDEX(BENG1_eis_C4,AM$322)  + INDEX(BENG1_eis_C5,AM$322) * (AM$32 - INDEX(BENG1_eis_C6,AM$322) ))))</f>
        <v/>
      </c>
      <c r="AN324" s="542" t="str" cm="1">
        <f t="array" ref="AN324">IF(OR(AN$17="",AN$38="",AN$40="",AN$322=""),"",
IF(AN$32&lt;=INDEX(BENG1_eis_grenswaarde_1,AN$322),
      INDEX(BENG1_eis_Als_deeldoor_Ag_kleiner_dan_grenswaarde_1,AN$322),
IF(AN$32&lt;=INDEX(BENG1_eis_grenswaarde_2,AN$322),
      INDEX(BENG1_eis_C1,AN$322) + INDEX(BENG1_eis_C2,AN$322) * (AN$32 - INDEX(BENG1_eis_C3,AN$322) ),
      INDEX(BENG1_eis_C4,AN$322)  + INDEX(BENG1_eis_C5,AN$322) * (AN$32 - INDEX(BENG1_eis_C6,AN$322) ))))</f>
        <v/>
      </c>
      <c r="AO324" s="542" t="str" cm="1">
        <f t="array" ref="AO324">IF(OR(AO$17="",AO$38="",AO$40="",AO$322=""),"",
IF(AO$32&lt;=INDEX(BENG1_eis_grenswaarde_1,AO$322),
      INDEX(BENG1_eis_Als_deeldoor_Ag_kleiner_dan_grenswaarde_1,AO$322),
IF(AO$32&lt;=INDEX(BENG1_eis_grenswaarde_2,AO$322),
      INDEX(BENG1_eis_C1,AO$322) + INDEX(BENG1_eis_C2,AO$322) * (AO$32 - INDEX(BENG1_eis_C3,AO$322) ),
      INDEX(BENG1_eis_C4,AO$322)  + INDEX(BENG1_eis_C5,AO$322) * (AO$32 - INDEX(BENG1_eis_C6,AO$322) ))))</f>
        <v/>
      </c>
      <c r="AP324" s="542" t="str" cm="1">
        <f t="array" ref="AP324">IF(OR(AP$17="",AP$38="",AP$40="",AP$322=""),"",
IF(AP$32&lt;=INDEX(BENG1_eis_grenswaarde_1,AP$322),
      INDEX(BENG1_eis_Als_deeldoor_Ag_kleiner_dan_grenswaarde_1,AP$322),
IF(AP$32&lt;=INDEX(BENG1_eis_grenswaarde_2,AP$322),
      INDEX(BENG1_eis_C1,AP$322) + INDEX(BENG1_eis_C2,AP$322) * (AP$32 - INDEX(BENG1_eis_C3,AP$322) ),
      INDEX(BENG1_eis_C4,AP$322)  + INDEX(BENG1_eis_C5,AP$322) * (AP$32 - INDEX(BENG1_eis_C6,AP$322) ))))</f>
        <v/>
      </c>
      <c r="AQ324" s="542" t="str" cm="1">
        <f t="array" ref="AQ324">IF(OR(AQ$17="",AQ$38="",AQ$40="",AQ$322=""),"",
IF(AQ$32&lt;=INDEX(BENG1_eis_grenswaarde_1,AQ$322),
      INDEX(BENG1_eis_Als_deeldoor_Ag_kleiner_dan_grenswaarde_1,AQ$322),
IF(AQ$32&lt;=INDEX(BENG1_eis_grenswaarde_2,AQ$322),
      INDEX(BENG1_eis_C1,AQ$322) + INDEX(BENG1_eis_C2,AQ$322) * (AQ$32 - INDEX(BENG1_eis_C3,AQ$322) ),
      INDEX(BENG1_eis_C4,AQ$322)  + INDEX(BENG1_eis_C5,AQ$322) * (AQ$32 - INDEX(BENG1_eis_C6,AQ$322) ))))</f>
        <v/>
      </c>
      <c r="AR324" s="542" t="str" cm="1">
        <f t="array" ref="AR324">IF(OR(AR$17="",AR$38="",AR$40="",AR$322=""),"",
IF(AR$32&lt;=INDEX(BENG1_eis_grenswaarde_1,AR$322),
      INDEX(BENG1_eis_Als_deeldoor_Ag_kleiner_dan_grenswaarde_1,AR$322),
IF(AR$32&lt;=INDEX(BENG1_eis_grenswaarde_2,AR$322),
      INDEX(BENG1_eis_C1,AR$322) + INDEX(BENG1_eis_C2,AR$322) * (AR$32 - INDEX(BENG1_eis_C3,AR$322) ),
      INDEX(BENG1_eis_C4,AR$322)  + INDEX(BENG1_eis_C5,AR$322) * (AR$32 - INDEX(BENG1_eis_C6,AR$322) ))))</f>
        <v/>
      </c>
      <c r="AS324" s="542" t="str" cm="1">
        <f t="array" ref="AS324">IF(OR(AS$17="",AS$38="",AS$40="",AS$322=""),"",
IF(AS$32&lt;=INDEX(BENG1_eis_grenswaarde_1,AS$322),
      INDEX(BENG1_eis_Als_deeldoor_Ag_kleiner_dan_grenswaarde_1,AS$322),
IF(AS$32&lt;=INDEX(BENG1_eis_grenswaarde_2,AS$322),
      INDEX(BENG1_eis_C1,AS$322) + INDEX(BENG1_eis_C2,AS$322) * (AS$32 - INDEX(BENG1_eis_C3,AS$322) ),
      INDEX(BENG1_eis_C4,AS$322)  + INDEX(BENG1_eis_C5,AS$322) * (AS$32 - INDEX(BENG1_eis_C6,AS$322) ))))</f>
        <v/>
      </c>
      <c r="AT324" s="542" t="str" cm="1">
        <f t="array" ref="AT324">IF(OR(AT$17="",AT$38="",AT$40="",AT$322=""),"",
IF(AT$32&lt;=INDEX(BENG1_eis_grenswaarde_1,AT$322),
      INDEX(BENG1_eis_Als_deeldoor_Ag_kleiner_dan_grenswaarde_1,AT$322),
IF(AT$32&lt;=INDEX(BENG1_eis_grenswaarde_2,AT$322),
      INDEX(BENG1_eis_C1,AT$322) + INDEX(BENG1_eis_C2,AT$322) * (AT$32 - INDEX(BENG1_eis_C3,AT$322) ),
      INDEX(BENG1_eis_C4,AT$322)  + INDEX(BENG1_eis_C5,AT$322) * (AT$32 - INDEX(BENG1_eis_C6,AT$322) ))))</f>
        <v/>
      </c>
      <c r="AU324" s="542" t="str" cm="1">
        <f t="array" ref="AU324">IF(OR(AU$17="",AU$38="",AU$40="",AU$322=""),"",
IF(AU$32&lt;=INDEX(BENG1_eis_grenswaarde_1,AU$322),
      INDEX(BENG1_eis_Als_deeldoor_Ag_kleiner_dan_grenswaarde_1,AU$322),
IF(AU$32&lt;=INDEX(BENG1_eis_grenswaarde_2,AU$322),
      INDEX(BENG1_eis_C1,AU$322) + INDEX(BENG1_eis_C2,AU$322) * (AU$32 - INDEX(BENG1_eis_C3,AU$322) ),
      INDEX(BENG1_eis_C4,AU$322)  + INDEX(BENG1_eis_C5,AU$322) * (AU$32 - INDEX(BENG1_eis_C6,AU$322) ))))</f>
        <v/>
      </c>
      <c r="AV324" s="108"/>
      <c r="AW324" s="206"/>
      <c r="AX324" s="1091"/>
      <c r="AY324" s="542" t="str" cm="1">
        <f t="array" ref="AY324">IF(OR(AY$17="",AY$38="",AY$40="",AY$322=""),"",
IF(AY$32&lt;=INDEX(BENG1_eis_grenswaarde_1,AY$322),
      INDEX(BENG1_eis_Als_deeldoor_Ag_kleiner_dan_grenswaarde_1,AY$322),
IF(AY$32&lt;=INDEX(BENG1_eis_grenswaarde_2,AY$322),
      INDEX(BENG1_eis_C1,AY$322) + INDEX(BENG1_eis_C2,AY$322) * (AY$32 - INDEX(BENG1_eis_C3,AY$322) ),
      INDEX(BENG1_eis_C4,AY$322)  + INDEX(BENG1_eis_C5,AY$322) * (AY$32 - INDEX(BENG1_eis_C6,AY$322) ))))</f>
        <v/>
      </c>
      <c r="AZ324" s="542" t="str" cm="1">
        <f t="array" ref="AZ324">IF(OR(AZ$17="",AZ$38="",AZ$40="",AZ$322=""),"",
IF(AZ$32&lt;=INDEX(BENG1_eis_grenswaarde_1,AZ$322),
      INDEX(BENG1_eis_Als_deeldoor_Ag_kleiner_dan_grenswaarde_1,AZ$322),
IF(AZ$32&lt;=INDEX(BENG1_eis_grenswaarde_2,AZ$322),
      INDEX(BENG1_eis_C1,AZ$322) + INDEX(BENG1_eis_C2,AZ$322) * (AZ$32 - INDEX(BENG1_eis_C3,AZ$322) ),
      INDEX(BENG1_eis_C4,AZ$322)  + INDEX(BENG1_eis_C5,AZ$322) * (AZ$32 - INDEX(BENG1_eis_C6,AZ$322) ))))</f>
        <v/>
      </c>
      <c r="BA324" s="542" t="str" cm="1">
        <f t="array" ref="BA324">IF(OR(BA$17="",BA$38="",BA$40="",BA$322=""),"",
IF(BA$32&lt;=INDEX(BENG1_eis_grenswaarde_1,BA$322),
      INDEX(BENG1_eis_Als_deeldoor_Ag_kleiner_dan_grenswaarde_1,BA$322),
IF(BA$32&lt;=INDEX(BENG1_eis_grenswaarde_2,BA$322),
      INDEX(BENG1_eis_C1,BA$322) + INDEX(BENG1_eis_C2,BA$322) * (BA$32 - INDEX(BENG1_eis_C3,BA$322) ),
      INDEX(BENG1_eis_C4,BA$322)  + INDEX(BENG1_eis_C5,BA$322) * (BA$32 - INDEX(BENG1_eis_C6,BA$322) ))))</f>
        <v/>
      </c>
      <c r="BB324" s="542" t="str" cm="1">
        <f t="array" ref="BB324">IF(OR(BB$17="",BB$38="",BB$40="",BB$322=""),"",
IF(BB$32&lt;=INDEX(BENG1_eis_grenswaarde_1,BB$322),
      INDEX(BENG1_eis_Als_deeldoor_Ag_kleiner_dan_grenswaarde_1,BB$322),
IF(BB$32&lt;=INDEX(BENG1_eis_grenswaarde_2,BB$322),
      INDEX(BENG1_eis_C1,BB$322) + INDEX(BENG1_eis_C2,BB$322) * (BB$32 - INDEX(BENG1_eis_C3,BB$322) ),
      INDEX(BENG1_eis_C4,BB$322)  + INDEX(BENG1_eis_C5,BB$322) * (BB$32 - INDEX(BENG1_eis_C6,BB$322) ))))</f>
        <v/>
      </c>
      <c r="BC324" s="542" t="str" cm="1">
        <f t="array" ref="BC324">IF(OR(BC$17="",BC$38="",BC$40="",BC$322=""),"",
IF(BC$32&lt;=INDEX(BENG1_eis_grenswaarde_1,BC$322),
      INDEX(BENG1_eis_Als_deeldoor_Ag_kleiner_dan_grenswaarde_1,BC$322),
IF(BC$32&lt;=INDEX(BENG1_eis_grenswaarde_2,BC$322),
      INDEX(BENG1_eis_C1,BC$322) + INDEX(BENG1_eis_C2,BC$322) * (BC$32 - INDEX(BENG1_eis_C3,BC$322) ),
      INDEX(BENG1_eis_C4,BC$322)  + INDEX(BENG1_eis_C5,BC$322) * (BC$32 - INDEX(BENG1_eis_C6,BC$322) ))))</f>
        <v/>
      </c>
      <c r="BD324" s="542" t="str" cm="1">
        <f t="array" ref="BD324">IF(OR(BD$17="",BD$38="",BD$40="",BD$322=""),"",
IF(BD$32&lt;=INDEX(BENG1_eis_grenswaarde_1,BD$322),
      INDEX(BENG1_eis_Als_deeldoor_Ag_kleiner_dan_grenswaarde_1,BD$322),
IF(BD$32&lt;=INDEX(BENG1_eis_grenswaarde_2,BD$322),
      INDEX(BENG1_eis_C1,BD$322) + INDEX(BENG1_eis_C2,BD$322) * (BD$32 - INDEX(BENG1_eis_C3,BD$322) ),
      INDEX(BENG1_eis_C4,BD$322)  + INDEX(BENG1_eis_C5,BD$322) * (BD$32 - INDEX(BENG1_eis_C6,BD$322) ))))</f>
        <v/>
      </c>
      <c r="BE324" s="542" t="str" cm="1">
        <f t="array" ref="BE324">IF(OR(BE$17="",BE$38="",BE$40="",BE$322=""),"",
IF(BE$32&lt;=INDEX(BENG1_eis_grenswaarde_1,BE$322),
      INDEX(BENG1_eis_Als_deeldoor_Ag_kleiner_dan_grenswaarde_1,BE$322),
IF(BE$32&lt;=INDEX(BENG1_eis_grenswaarde_2,BE$322),
      INDEX(BENG1_eis_C1,BE$322) + INDEX(BENG1_eis_C2,BE$322) * (BE$32 - INDEX(BENG1_eis_C3,BE$322) ),
      INDEX(BENG1_eis_C4,BE$322)  + INDEX(BENG1_eis_C5,BE$322) * (BE$32 - INDEX(BENG1_eis_C6,BE$322) ))))</f>
        <v/>
      </c>
      <c r="BF324" s="542" t="str" cm="1">
        <f t="array" ref="BF324">IF(OR(BF$17="",BF$38="",BF$40="",BF$322=""),"",
IF(BF$32&lt;=INDEX(BENG1_eis_grenswaarde_1,BF$322),
      INDEX(BENG1_eis_Als_deeldoor_Ag_kleiner_dan_grenswaarde_1,BF$322),
IF(BF$32&lt;=INDEX(BENG1_eis_grenswaarde_2,BF$322),
      INDEX(BENG1_eis_C1,BF$322) + INDEX(BENG1_eis_C2,BF$322) * (BF$32 - INDEX(BENG1_eis_C3,BF$322) ),
      INDEX(BENG1_eis_C4,BF$322)  + INDEX(BENG1_eis_C5,BF$322) * (BF$32 - INDEX(BENG1_eis_C6,BF$322) ))))</f>
        <v/>
      </c>
      <c r="BG324" s="542" t="str" cm="1">
        <f t="array" ref="BG324">IF(OR(BG$17="",BG$38="",BG$40="",BG$322=""),"",
IF(BG$32&lt;=INDEX(BENG1_eis_grenswaarde_1,BG$322),
      INDEX(BENG1_eis_Als_deeldoor_Ag_kleiner_dan_grenswaarde_1,BG$322),
IF(BG$32&lt;=INDEX(BENG1_eis_grenswaarde_2,BG$322),
      INDEX(BENG1_eis_C1,BG$322) + INDEX(BENG1_eis_C2,BG$322) * (BG$32 - INDEX(BENG1_eis_C3,BG$322) ),
      INDEX(BENG1_eis_C4,BG$322)  + INDEX(BENG1_eis_C5,BG$322) * (BG$32 - INDEX(BENG1_eis_C6,BG$322) ))))</f>
        <v/>
      </c>
      <c r="BH324" s="210"/>
    </row>
    <row r="325" spans="1:60">
      <c r="A325" s="1040"/>
      <c r="B325" s="1109" t="s">
        <v>1223</v>
      </c>
      <c r="C325" s="1107" t="s">
        <v>104</v>
      </c>
      <c r="D325" s="641"/>
      <c r="E325" s="203" t="s">
        <v>276</v>
      </c>
      <c r="F325" s="203"/>
      <c r="G325" s="203"/>
      <c r="H325" s="204" t="s">
        <v>267</v>
      </c>
      <c r="I325" s="205"/>
      <c r="J325" s="206"/>
      <c r="K325" s="79"/>
      <c r="L325" s="79"/>
      <c r="M325" s="206"/>
      <c r="N325" s="205"/>
      <c r="O325" s="1155" t="str" cm="1">
        <f t="array" ref="O325">IF(O$322="","",INDEX(BENG2_eis,O$322))</f>
        <v/>
      </c>
      <c r="P325" s="1155" t="str" cm="1">
        <f t="array" ref="P325">IF(P$322="","",INDEX(BENG2_eis,P$322))</f>
        <v/>
      </c>
      <c r="Q325" s="1155" t="str" cm="1">
        <f t="array" ref="Q325">IF(Q$322="","",INDEX(BENG2_eis,Q$322))</f>
        <v/>
      </c>
      <c r="R325" s="1155" t="str" cm="1">
        <f t="array" ref="R325">IF(R$322="","",INDEX(BENG2_eis,R$322))</f>
        <v/>
      </c>
      <c r="S325" s="1155" t="str" cm="1">
        <f t="array" ref="S325">IF(S$322="","",INDEX(BENG2_eis,S$322))</f>
        <v/>
      </c>
      <c r="T325" s="1155" t="str" cm="1">
        <f t="array" ref="T325">IF(T$322="","",INDEX(BENG2_eis,T$322))</f>
        <v/>
      </c>
      <c r="U325" s="1155" t="str" cm="1">
        <f t="array" ref="U325">IF(U$322="","",INDEX(BENG2_eis,U$322))</f>
        <v/>
      </c>
      <c r="V325" s="1155" t="str" cm="1">
        <f t="array" ref="V325">IF(V$322="","",INDEX(BENG2_eis,V$322))</f>
        <v/>
      </c>
      <c r="W325" s="1155" t="str" cm="1">
        <f t="array" ref="W325">IF(W$322="","",INDEX(BENG2_eis,W$322))</f>
        <v/>
      </c>
      <c r="X325" s="108"/>
      <c r="Y325" s="206"/>
      <c r="Z325" s="1091"/>
      <c r="AA325" s="542" t="str" cm="1">
        <f t="array" ref="AA325">IF(AA$322="","",INDEX(BENG2_eis,AA$322))</f>
        <v/>
      </c>
      <c r="AB325" s="542" t="str" cm="1">
        <f t="array" ref="AB325">IF(AB$322="","",INDEX(BENG2_eis,AB$322))</f>
        <v/>
      </c>
      <c r="AC325" s="542" t="str" cm="1">
        <f t="array" ref="AC325">IF(AC$322="","",INDEX(BENG2_eis,AC$322))</f>
        <v/>
      </c>
      <c r="AD325" s="542" t="str" cm="1">
        <f t="array" ref="AD325">IF(AD$322="","",INDEX(BENG2_eis,AD$322))</f>
        <v/>
      </c>
      <c r="AE325" s="542" t="str" cm="1">
        <f t="array" ref="AE325">IF(AE$322="","",INDEX(BENG2_eis,AE$322))</f>
        <v/>
      </c>
      <c r="AF325" s="542" t="str" cm="1">
        <f t="array" ref="AF325">IF(AF$322="","",INDEX(BENG2_eis,AF$322))</f>
        <v/>
      </c>
      <c r="AG325" s="542" t="str" cm="1">
        <f t="array" ref="AG325">IF(AG$322="","",INDEX(BENG2_eis,AG$322))</f>
        <v/>
      </c>
      <c r="AH325" s="542" t="str" cm="1">
        <f t="array" ref="AH325">IF(AH$322="","",INDEX(BENG2_eis,AH$322))</f>
        <v/>
      </c>
      <c r="AI325" s="542" t="str" cm="1">
        <f t="array" ref="AI325">IF(AI$322="","",INDEX(BENG2_eis,AI$322))</f>
        <v/>
      </c>
      <c r="AJ325" s="108"/>
      <c r="AK325" s="206"/>
      <c r="AL325" s="1091"/>
      <c r="AM325" s="542" t="str" cm="1">
        <f t="array" ref="AM325">IF(AM$322="","",INDEX(BENG2_eis,AM$322))</f>
        <v/>
      </c>
      <c r="AN325" s="542" t="str" cm="1">
        <f t="array" ref="AN325">IF(AN$322="","",INDEX(BENG2_eis,AN$322))</f>
        <v/>
      </c>
      <c r="AO325" s="542" t="str" cm="1">
        <f t="array" ref="AO325">IF(AO$322="","",INDEX(BENG2_eis,AO$322))</f>
        <v/>
      </c>
      <c r="AP325" s="542" t="str" cm="1">
        <f t="array" ref="AP325">IF(AP$322="","",INDEX(BENG2_eis,AP$322))</f>
        <v/>
      </c>
      <c r="AQ325" s="542" t="str" cm="1">
        <f t="array" ref="AQ325">IF(AQ$322="","",INDEX(BENG2_eis,AQ$322))</f>
        <v/>
      </c>
      <c r="AR325" s="542" t="str" cm="1">
        <f t="array" ref="AR325">IF(AR$322="","",INDEX(BENG2_eis,AR$322))</f>
        <v/>
      </c>
      <c r="AS325" s="542" t="str" cm="1">
        <f t="array" ref="AS325">IF(AS$322="","",INDEX(BENG2_eis,AS$322))</f>
        <v/>
      </c>
      <c r="AT325" s="542" t="str" cm="1">
        <f t="array" ref="AT325">IF(AT$322="","",INDEX(BENG2_eis,AT$322))</f>
        <v/>
      </c>
      <c r="AU325" s="542" t="str" cm="1">
        <f t="array" ref="AU325">IF(AU$322="","",INDEX(BENG2_eis,AU$322))</f>
        <v/>
      </c>
      <c r="AV325" s="108"/>
      <c r="AW325" s="206"/>
      <c r="AX325" s="1091"/>
      <c r="AY325" s="542" t="str" cm="1">
        <f t="array" ref="AY325">IF(AY$322="","",INDEX(BENG2_eis,AY$322))</f>
        <v/>
      </c>
      <c r="AZ325" s="542" t="str" cm="1">
        <f t="array" ref="AZ325">IF(AZ$322="","",INDEX(BENG2_eis,AZ$322))</f>
        <v/>
      </c>
      <c r="BA325" s="542" t="str" cm="1">
        <f t="array" ref="BA325">IF(BA$322="","",INDEX(BENG2_eis,BA$322))</f>
        <v/>
      </c>
      <c r="BB325" s="542" t="str" cm="1">
        <f t="array" ref="BB325">IF(BB$322="","",INDEX(BENG2_eis,BB$322))</f>
        <v/>
      </c>
      <c r="BC325" s="542" t="str" cm="1">
        <f t="array" ref="BC325">IF(BC$322="","",INDEX(BENG2_eis,BC$322))</f>
        <v/>
      </c>
      <c r="BD325" s="542" t="str" cm="1">
        <f t="array" ref="BD325">IF(BD$322="","",INDEX(BENG2_eis,BD$322))</f>
        <v/>
      </c>
      <c r="BE325" s="542" t="str" cm="1">
        <f t="array" ref="BE325">IF(BE$322="","",INDEX(BENG2_eis,BE$322))</f>
        <v/>
      </c>
      <c r="BF325" s="542" t="str" cm="1">
        <f t="array" ref="BF325">IF(BF$322="","",INDEX(BENG2_eis,BF$322))</f>
        <v/>
      </c>
      <c r="BG325" s="542" t="str" cm="1">
        <f t="array" ref="BG325">IF(BG$322="","",INDEX(BENG2_eis,BG$322))</f>
        <v/>
      </c>
      <c r="BH325" s="210"/>
    </row>
    <row r="326" spans="1:60">
      <c r="A326" s="1040"/>
      <c r="B326" s="1109" t="s">
        <v>1223</v>
      </c>
      <c r="C326" s="1107" t="s">
        <v>104</v>
      </c>
      <c r="D326" s="641"/>
      <c r="E326" s="203" t="s">
        <v>277</v>
      </c>
      <c r="F326" s="203"/>
      <c r="G326" s="203"/>
      <c r="H326" s="204" t="s">
        <v>139</v>
      </c>
      <c r="I326" s="205"/>
      <c r="J326" s="206"/>
      <c r="K326" s="79"/>
      <c r="L326" s="79"/>
      <c r="M326" s="206"/>
      <c r="N326" s="205"/>
      <c r="O326" s="1155" t="str" cm="1">
        <f t="array" ref="O326">IF(O$322="","",INDEX(BENG3_eis,O$322))</f>
        <v/>
      </c>
      <c r="P326" s="1155" t="str" cm="1">
        <f t="array" ref="P326">IF(P$322="","",INDEX(BENG3_eis,P$322))</f>
        <v/>
      </c>
      <c r="Q326" s="1155" t="str" cm="1">
        <f t="array" ref="Q326">IF(Q$322="","",INDEX(BENG3_eis,Q$322))</f>
        <v/>
      </c>
      <c r="R326" s="1155" t="str" cm="1">
        <f t="array" ref="R326">IF(R$322="","",INDEX(BENG3_eis,R$322))</f>
        <v/>
      </c>
      <c r="S326" s="1155" t="str" cm="1">
        <f t="array" ref="S326">IF(S$322="","",INDEX(BENG3_eis,S$322))</f>
        <v/>
      </c>
      <c r="T326" s="1155" t="str" cm="1">
        <f t="array" ref="T326">IF(T$322="","",INDEX(BENG3_eis,T$322))</f>
        <v/>
      </c>
      <c r="U326" s="1155" t="str" cm="1">
        <f t="array" ref="U326">IF(U$322="","",INDEX(BENG3_eis,U$322))</f>
        <v/>
      </c>
      <c r="V326" s="1155" t="str" cm="1">
        <f t="array" ref="V326">IF(V$322="","",INDEX(BENG3_eis,V$322))</f>
        <v/>
      </c>
      <c r="W326" s="1155" t="str" cm="1">
        <f t="array" ref="W326">IF(W$322="","",INDEX(BENG3_eis,W$322))</f>
        <v/>
      </c>
      <c r="X326" s="108"/>
      <c r="Y326" s="206"/>
      <c r="Z326" s="1091"/>
      <c r="AA326" s="542" t="str" cm="1">
        <f t="array" ref="AA326">IF(AA$322="","",INDEX(BENG3_eis,AA$322))</f>
        <v/>
      </c>
      <c r="AB326" s="542" t="str" cm="1">
        <f t="array" ref="AB326">IF(AB$322="","",INDEX(BENG3_eis,AB$322))</f>
        <v/>
      </c>
      <c r="AC326" s="542" t="str" cm="1">
        <f t="array" ref="AC326">IF(AC$322="","",INDEX(BENG3_eis,AC$322))</f>
        <v/>
      </c>
      <c r="AD326" s="542" t="str" cm="1">
        <f t="array" ref="AD326">IF(AD$322="","",INDEX(BENG3_eis,AD$322))</f>
        <v/>
      </c>
      <c r="AE326" s="542" t="str" cm="1">
        <f t="array" ref="AE326">IF(AE$322="","",INDEX(BENG3_eis,AE$322))</f>
        <v/>
      </c>
      <c r="AF326" s="542" t="str" cm="1">
        <f t="array" ref="AF326">IF(AF$322="","",INDEX(BENG3_eis,AF$322))</f>
        <v/>
      </c>
      <c r="AG326" s="542" t="str" cm="1">
        <f t="array" ref="AG326">IF(AG$322="","",INDEX(BENG3_eis,AG$322))</f>
        <v/>
      </c>
      <c r="AH326" s="542" t="str" cm="1">
        <f t="array" ref="AH326">IF(AH$322="","",INDEX(BENG3_eis,AH$322))</f>
        <v/>
      </c>
      <c r="AI326" s="542" t="str" cm="1">
        <f t="array" ref="AI326">IF(AI$322="","",INDEX(BENG3_eis,AI$322))</f>
        <v/>
      </c>
      <c r="AJ326" s="108"/>
      <c r="AK326" s="206"/>
      <c r="AL326" s="1091"/>
      <c r="AM326" s="542" t="str" cm="1">
        <f t="array" ref="AM326">IF(AM$322="","",INDEX(BENG3_eis,AM$322))</f>
        <v/>
      </c>
      <c r="AN326" s="542" t="str" cm="1">
        <f t="array" ref="AN326">IF(AN$322="","",INDEX(BENG3_eis,AN$322))</f>
        <v/>
      </c>
      <c r="AO326" s="542" t="str" cm="1">
        <f t="array" ref="AO326">IF(AO$322="","",INDEX(BENG3_eis,AO$322))</f>
        <v/>
      </c>
      <c r="AP326" s="542" t="str" cm="1">
        <f t="array" ref="AP326">IF(AP$322="","",INDEX(BENG3_eis,AP$322))</f>
        <v/>
      </c>
      <c r="AQ326" s="542" t="str" cm="1">
        <f t="array" ref="AQ326">IF(AQ$322="","",INDEX(BENG3_eis,AQ$322))</f>
        <v/>
      </c>
      <c r="AR326" s="542" t="str" cm="1">
        <f t="array" ref="AR326">IF(AR$322="","",INDEX(BENG3_eis,AR$322))</f>
        <v/>
      </c>
      <c r="AS326" s="542" t="str" cm="1">
        <f t="array" ref="AS326">IF(AS$322="","",INDEX(BENG3_eis,AS$322))</f>
        <v/>
      </c>
      <c r="AT326" s="542" t="str" cm="1">
        <f t="array" ref="AT326">IF(AT$322="","",INDEX(BENG3_eis,AT$322))</f>
        <v/>
      </c>
      <c r="AU326" s="542" t="str" cm="1">
        <f t="array" ref="AU326">IF(AU$322="","",INDEX(BENG3_eis,AU$322))</f>
        <v/>
      </c>
      <c r="AV326" s="108"/>
      <c r="AW326" s="206"/>
      <c r="AX326" s="1091"/>
      <c r="AY326" s="542" t="str" cm="1">
        <f t="array" ref="AY326">IF(AY$322="","",INDEX(BENG3_eis,AY$322))</f>
        <v/>
      </c>
      <c r="AZ326" s="542" t="str" cm="1">
        <f t="array" ref="AZ326">IF(AZ$322="","",INDEX(BENG3_eis,AZ$322))</f>
        <v/>
      </c>
      <c r="BA326" s="542" t="str" cm="1">
        <f t="array" ref="BA326">IF(BA$322="","",INDEX(BENG3_eis,BA$322))</f>
        <v/>
      </c>
      <c r="BB326" s="542" t="str" cm="1">
        <f t="array" ref="BB326">IF(BB$322="","",INDEX(BENG3_eis,BB$322))</f>
        <v/>
      </c>
      <c r="BC326" s="542" t="str" cm="1">
        <f t="array" ref="BC326">IF(BC$322="","",INDEX(BENG3_eis,BC$322))</f>
        <v/>
      </c>
      <c r="BD326" s="542" t="str" cm="1">
        <f t="array" ref="BD326">IF(BD$322="","",INDEX(BENG3_eis,BD$322))</f>
        <v/>
      </c>
      <c r="BE326" s="542" t="str" cm="1">
        <f t="array" ref="BE326">IF(BE$322="","",INDEX(BENG3_eis,BE$322))</f>
        <v/>
      </c>
      <c r="BF326" s="542" t="str" cm="1">
        <f t="array" ref="BF326">IF(BF$322="","",INDEX(BENG3_eis,BF$322))</f>
        <v/>
      </c>
      <c r="BG326" s="542" t="str" cm="1">
        <f t="array" ref="BG326">IF(BG$322="","",INDEX(BENG3_eis,BG$322))</f>
        <v/>
      </c>
      <c r="BH326" s="210"/>
    </row>
    <row r="327" spans="1:60">
      <c r="A327" s="1040"/>
      <c r="B327" s="1109" t="s">
        <v>1223</v>
      </c>
      <c r="C327" s="1106" t="s">
        <v>96</v>
      </c>
      <c r="D327" s="640" t="s">
        <v>45</v>
      </c>
      <c r="E327" s="942" t="s">
        <v>278</v>
      </c>
      <c r="F327" s="942"/>
      <c r="G327" s="942"/>
      <c r="H327" s="942"/>
      <c r="I327" s="129"/>
      <c r="J327" s="943"/>
      <c r="K327" s="126"/>
      <c r="L327" s="126"/>
      <c r="M327" s="944"/>
      <c r="N327" s="195"/>
      <c r="O327" s="1154" t="str">
        <f>O$17</f>
        <v/>
      </c>
      <c r="P327" s="1154" t="str">
        <f t="shared" ref="P327:W327" si="402">P$17</f>
        <v/>
      </c>
      <c r="Q327" s="1154" t="str">
        <f t="shared" si="402"/>
        <v/>
      </c>
      <c r="R327" s="1154" t="str">
        <f t="shared" si="402"/>
        <v/>
      </c>
      <c r="S327" s="1154" t="str">
        <f t="shared" si="402"/>
        <v/>
      </c>
      <c r="T327" s="1154" t="str">
        <f t="shared" si="402"/>
        <v/>
      </c>
      <c r="U327" s="1154" t="str">
        <f t="shared" si="402"/>
        <v/>
      </c>
      <c r="V327" s="1154" t="str">
        <f t="shared" si="402"/>
        <v/>
      </c>
      <c r="W327" s="1154" t="str">
        <f t="shared" si="402"/>
        <v/>
      </c>
      <c r="X327" s="195"/>
      <c r="Y327" s="944"/>
      <c r="Z327" s="195"/>
      <c r="AA327" s="258" t="str">
        <f>AA$17</f>
        <v/>
      </c>
      <c r="AB327" s="258" t="str">
        <f t="shared" ref="AB327:AI327" si="403">AB$17</f>
        <v/>
      </c>
      <c r="AC327" s="258" t="str">
        <f t="shared" si="403"/>
        <v/>
      </c>
      <c r="AD327" s="258" t="str">
        <f t="shared" si="403"/>
        <v/>
      </c>
      <c r="AE327" s="258" t="str">
        <f t="shared" si="403"/>
        <v/>
      </c>
      <c r="AF327" s="258" t="str">
        <f t="shared" si="403"/>
        <v/>
      </c>
      <c r="AG327" s="258" t="str">
        <f t="shared" si="403"/>
        <v/>
      </c>
      <c r="AH327" s="258" t="str">
        <f t="shared" si="403"/>
        <v/>
      </c>
      <c r="AI327" s="258" t="str">
        <f t="shared" si="403"/>
        <v/>
      </c>
      <c r="AJ327" s="195"/>
      <c r="AK327" s="944"/>
      <c r="AL327" s="195"/>
      <c r="AM327" s="258" t="str">
        <f>AM$17</f>
        <v/>
      </c>
      <c r="AN327" s="258" t="str">
        <f t="shared" ref="AN327:AU327" si="404">AN$17</f>
        <v/>
      </c>
      <c r="AO327" s="258" t="str">
        <f t="shared" si="404"/>
        <v/>
      </c>
      <c r="AP327" s="258" t="str">
        <f t="shared" si="404"/>
        <v/>
      </c>
      <c r="AQ327" s="258" t="str">
        <f t="shared" si="404"/>
        <v/>
      </c>
      <c r="AR327" s="258" t="str">
        <f t="shared" si="404"/>
        <v/>
      </c>
      <c r="AS327" s="258" t="str">
        <f t="shared" si="404"/>
        <v/>
      </c>
      <c r="AT327" s="258" t="str">
        <f t="shared" si="404"/>
        <v/>
      </c>
      <c r="AU327" s="258" t="str">
        <f t="shared" si="404"/>
        <v/>
      </c>
      <c r="AV327" s="195"/>
      <c r="AW327" s="944"/>
      <c r="AX327" s="195"/>
      <c r="AY327" s="258" t="str">
        <f>AY$17</f>
        <v/>
      </c>
      <c r="AZ327" s="258" t="str">
        <f t="shared" ref="AZ327:BG327" si="405">AZ$17</f>
        <v/>
      </c>
      <c r="BA327" s="258" t="str">
        <f t="shared" si="405"/>
        <v/>
      </c>
      <c r="BB327" s="258" t="str">
        <f t="shared" si="405"/>
        <v/>
      </c>
      <c r="BC327" s="258" t="str">
        <f t="shared" si="405"/>
        <v/>
      </c>
      <c r="BD327" s="258" t="str">
        <f t="shared" si="405"/>
        <v/>
      </c>
      <c r="BE327" s="258" t="str">
        <f t="shared" si="405"/>
        <v/>
      </c>
      <c r="BF327" s="258" t="str">
        <f t="shared" si="405"/>
        <v/>
      </c>
      <c r="BG327" s="258" t="str">
        <f t="shared" si="405"/>
        <v/>
      </c>
      <c r="BH327" s="36"/>
    </row>
    <row r="328" spans="1:60" hidden="1">
      <c r="A328" s="1041"/>
      <c r="B328" s="1109" t="s">
        <v>1223</v>
      </c>
      <c r="C328" s="1106" t="s">
        <v>262</v>
      </c>
      <c r="D328" s="1183"/>
      <c r="E328" s="413" t="s">
        <v>1058</v>
      </c>
      <c r="F328" s="296"/>
      <c r="G328" s="894" t="str">
        <f ca="1">fitformule_Ehc_nd_EP</f>
        <v>Ehc;nd;EP</v>
      </c>
      <c r="H328" s="295" t="s">
        <v>65</v>
      </c>
      <c r="I328" s="259"/>
      <c r="J328" s="895"/>
      <c r="K328" s="896"/>
      <c r="L328" s="896"/>
      <c r="M328" s="895"/>
      <c r="N328" s="897" t="s">
        <v>84</v>
      </c>
      <c r="O328" s="1156" t="e">
        <f t="shared" ref="O328:W328" ca="1" si="406">$F$6
&amp;INDEX(gebruiksfuncties_fitcurve_NTA8800,MATCH(O$19,gebruiksfuncties_namen,0))
&amp;INDEX(ventilatiesystemen_code,MATCH(O$40,ventilatiesystemen_namen,0))
&amp;O$49
&amp;$G328</f>
        <v>#N/A</v>
      </c>
      <c r="P328" s="1157" t="e">
        <f t="shared" ca="1" si="406"/>
        <v>#N/A</v>
      </c>
      <c r="Q328" s="1157" t="e">
        <f t="shared" ca="1" si="406"/>
        <v>#N/A</v>
      </c>
      <c r="R328" s="1157" t="e">
        <f t="shared" ca="1" si="406"/>
        <v>#N/A</v>
      </c>
      <c r="S328" s="1157" t="e">
        <f t="shared" ca="1" si="406"/>
        <v>#N/A</v>
      </c>
      <c r="T328" s="1157" t="e">
        <f t="shared" ca="1" si="406"/>
        <v>#N/A</v>
      </c>
      <c r="U328" s="1157" t="e">
        <f t="shared" ca="1" si="406"/>
        <v>#N/A</v>
      </c>
      <c r="V328" s="1157" t="e">
        <f t="shared" ca="1" si="406"/>
        <v>#N/A</v>
      </c>
      <c r="W328" s="1157" t="e">
        <f t="shared" ca="1" si="406"/>
        <v>#N/A</v>
      </c>
      <c r="X328" s="896"/>
      <c r="Y328" s="895"/>
      <c r="Z328" s="897" t="s">
        <v>84</v>
      </c>
      <c r="AA328" s="880" t="e">
        <f t="shared" ref="AA328:AI328" ca="1" si="407">$F$6
&amp;INDEX(gebruiksfuncties_fitcurve_NTA8800,MATCH(AA$19,gebruiksfuncties_namen,0))
&amp;INDEX(ventilatiesystemen_code,MATCH(AA$40,ventilatiesystemen_namen,0))
&amp;AA$49
&amp;$G328</f>
        <v>#N/A</v>
      </c>
      <c r="AB328" s="880" t="e">
        <f t="shared" ca="1" si="407"/>
        <v>#N/A</v>
      </c>
      <c r="AC328" s="880" t="e">
        <f t="shared" ca="1" si="407"/>
        <v>#N/A</v>
      </c>
      <c r="AD328" s="880" t="e">
        <f t="shared" ca="1" si="407"/>
        <v>#N/A</v>
      </c>
      <c r="AE328" s="880" t="e">
        <f t="shared" ca="1" si="407"/>
        <v>#N/A</v>
      </c>
      <c r="AF328" s="880" t="e">
        <f t="shared" ca="1" si="407"/>
        <v>#N/A</v>
      </c>
      <c r="AG328" s="880" t="e">
        <f t="shared" ca="1" si="407"/>
        <v>#N/A</v>
      </c>
      <c r="AH328" s="880" t="e">
        <f t="shared" ca="1" si="407"/>
        <v>#N/A</v>
      </c>
      <c r="AI328" s="880" t="e">
        <f t="shared" ca="1" si="407"/>
        <v>#N/A</v>
      </c>
      <c r="AJ328" s="896"/>
      <c r="AK328" s="895"/>
      <c r="AL328" s="897" t="s">
        <v>84</v>
      </c>
      <c r="AM328" s="880" t="e">
        <f t="shared" ref="AM328:AU328" ca="1" si="408">$F$6
&amp;INDEX(gebruiksfuncties_fitcurve_NTA8800,MATCH(AM$19,gebruiksfuncties_namen,0))
&amp;INDEX(ventilatiesystemen_code,MATCH(AM$40,ventilatiesystemen_namen,0))
&amp;AM$49
&amp;$G328</f>
        <v>#N/A</v>
      </c>
      <c r="AN328" s="880" t="e">
        <f t="shared" ca="1" si="408"/>
        <v>#N/A</v>
      </c>
      <c r="AO328" s="880" t="e">
        <f t="shared" ca="1" si="408"/>
        <v>#N/A</v>
      </c>
      <c r="AP328" s="880" t="e">
        <f t="shared" ca="1" si="408"/>
        <v>#N/A</v>
      </c>
      <c r="AQ328" s="880" t="e">
        <f t="shared" ca="1" si="408"/>
        <v>#N/A</v>
      </c>
      <c r="AR328" s="880" t="e">
        <f t="shared" ca="1" si="408"/>
        <v>#N/A</v>
      </c>
      <c r="AS328" s="880" t="e">
        <f t="shared" ca="1" si="408"/>
        <v>#N/A</v>
      </c>
      <c r="AT328" s="880" t="e">
        <f t="shared" ca="1" si="408"/>
        <v>#N/A</v>
      </c>
      <c r="AU328" s="880" t="e">
        <f t="shared" ca="1" si="408"/>
        <v>#N/A</v>
      </c>
      <c r="AV328" s="896"/>
      <c r="AW328" s="895"/>
      <c r="AX328" s="897" t="s">
        <v>84</v>
      </c>
      <c r="AY328" s="880" t="e">
        <f t="shared" ref="AY328:BG328" ca="1" si="409">$F$6
&amp;INDEX(gebruiksfuncties_fitcurve_NTA8800,MATCH(AY$19,gebruiksfuncties_namen,0))
&amp;INDEX(ventilatiesystemen_code,MATCH(AY$40,ventilatiesystemen_namen,0))
&amp;AY$49
&amp;$G328</f>
        <v>#N/A</v>
      </c>
      <c r="AZ328" s="880" t="e">
        <f t="shared" ca="1" si="409"/>
        <v>#N/A</v>
      </c>
      <c r="BA328" s="880" t="e">
        <f t="shared" ca="1" si="409"/>
        <v>#N/A</v>
      </c>
      <c r="BB328" s="880" t="e">
        <f t="shared" ca="1" si="409"/>
        <v>#N/A</v>
      </c>
      <c r="BC328" s="880" t="e">
        <f t="shared" ca="1" si="409"/>
        <v>#N/A</v>
      </c>
      <c r="BD328" s="880" t="e">
        <f t="shared" ca="1" si="409"/>
        <v>#N/A</v>
      </c>
      <c r="BE328" s="880" t="e">
        <f t="shared" ca="1" si="409"/>
        <v>#N/A</v>
      </c>
      <c r="BF328" s="880" t="e">
        <f t="shared" ca="1" si="409"/>
        <v>#N/A</v>
      </c>
      <c r="BG328" s="880" t="e">
        <f t="shared" ca="1" si="409"/>
        <v>#N/A</v>
      </c>
      <c r="BH328" s="218"/>
    </row>
    <row r="329" spans="1:60">
      <c r="A329" s="1040"/>
      <c r="B329" s="1109" t="s">
        <v>1223</v>
      </c>
      <c r="C329" s="1107" t="s">
        <v>104</v>
      </c>
      <c r="D329" s="640" t="s">
        <v>45</v>
      </c>
      <c r="E329" s="203" t="s">
        <v>279</v>
      </c>
      <c r="F329" s="203"/>
      <c r="G329" s="203"/>
      <c r="H329" s="204" t="s">
        <v>154</v>
      </c>
      <c r="I329" s="205"/>
      <c r="J329" s="206"/>
      <c r="K329" s="79"/>
      <c r="L329" s="79"/>
      <c r="M329" s="206"/>
      <c r="N329" s="205"/>
      <c r="O329" s="1158" t="str">
        <f t="shared" ref="O329:W329" si="410">IFERROR(IF(OR(O$17="",O$38="",O$40=""),"",MAX(warmtebehoefte_verwarming_ondergrens,
HLOOKUP(O$328,fitcurves_NTA8800,MATCH(fit_a0,parameters_fitformule,0),FALSE)
+HLOOKUP(O$328,fitcurves_NTA8800,MATCH(fit_a1,parameters_fitformule,0),FALSE)
*O$54*O$32^HLOOKUP(O$328,fitcurves_NTA8800,MATCH(fit_n1,parameters_fitformule,0),FALSE)
)),0)</f>
        <v/>
      </c>
      <c r="P329" s="1158" t="str">
        <f t="shared" si="410"/>
        <v/>
      </c>
      <c r="Q329" s="1158" t="str">
        <f t="shared" si="410"/>
        <v/>
      </c>
      <c r="R329" s="1158" t="str">
        <f t="shared" si="410"/>
        <v/>
      </c>
      <c r="S329" s="1158" t="str">
        <f t="shared" si="410"/>
        <v/>
      </c>
      <c r="T329" s="1158" t="str">
        <f t="shared" si="410"/>
        <v/>
      </c>
      <c r="U329" s="1158" t="str">
        <f t="shared" si="410"/>
        <v/>
      </c>
      <c r="V329" s="1158" t="str">
        <f t="shared" si="410"/>
        <v/>
      </c>
      <c r="W329" s="1158" t="str">
        <f t="shared" si="410"/>
        <v/>
      </c>
      <c r="X329" s="108"/>
      <c r="Y329" s="206"/>
      <c r="Z329" s="205"/>
      <c r="AA329" s="1090" t="str">
        <f t="shared" ref="AA329:AI329" si="411">IFERROR(IF(OR(AA$17="",AA$38="",AA$40=""),"",MAX(warmtebehoefte_verwarming_ondergrens,
HLOOKUP(AA$328,fitcurves_NTA8800,MATCH(fit_a0,parameters_fitformule,0),FALSE)
+HLOOKUP(AA$328,fitcurves_NTA8800,MATCH(fit_a1,parameters_fitformule,0),FALSE)
*AA$54*AA$32^HLOOKUP(AA$328,fitcurves_NTA8800,MATCH(fit_n1,parameters_fitformule,0),FALSE)
)),0)</f>
        <v/>
      </c>
      <c r="AB329" s="1090" t="str">
        <f t="shared" si="411"/>
        <v/>
      </c>
      <c r="AC329" s="1090" t="str">
        <f t="shared" si="411"/>
        <v/>
      </c>
      <c r="AD329" s="1090" t="str">
        <f t="shared" si="411"/>
        <v/>
      </c>
      <c r="AE329" s="1090" t="str">
        <f t="shared" si="411"/>
        <v/>
      </c>
      <c r="AF329" s="1090" t="str">
        <f t="shared" si="411"/>
        <v/>
      </c>
      <c r="AG329" s="1090" t="str">
        <f t="shared" si="411"/>
        <v/>
      </c>
      <c r="AH329" s="1090" t="str">
        <f t="shared" si="411"/>
        <v/>
      </c>
      <c r="AI329" s="1090" t="str">
        <f t="shared" si="411"/>
        <v/>
      </c>
      <c r="AJ329" s="108"/>
      <c r="AK329" s="206"/>
      <c r="AL329" s="205"/>
      <c r="AM329" s="1090" t="str">
        <f t="shared" ref="AM329:AU329" si="412">IFERROR(IF(OR(AM$17="",AM$38="",AM$40=""),"",MAX(warmtebehoefte_verwarming_ondergrens,
HLOOKUP(AM$328,fitcurves_NTA8800,MATCH(fit_a0,parameters_fitformule,0),FALSE)
+HLOOKUP(AM$328,fitcurves_NTA8800,MATCH(fit_a1,parameters_fitformule,0),FALSE)
*AM$54*AM$32^HLOOKUP(AM$328,fitcurves_NTA8800,MATCH(fit_n1,parameters_fitformule,0),FALSE)
)),0)</f>
        <v/>
      </c>
      <c r="AN329" s="1090" t="str">
        <f t="shared" si="412"/>
        <v/>
      </c>
      <c r="AO329" s="1090" t="str">
        <f t="shared" si="412"/>
        <v/>
      </c>
      <c r="AP329" s="1090" t="str">
        <f t="shared" si="412"/>
        <v/>
      </c>
      <c r="AQ329" s="1090" t="str">
        <f t="shared" si="412"/>
        <v/>
      </c>
      <c r="AR329" s="1090" t="str">
        <f t="shared" si="412"/>
        <v/>
      </c>
      <c r="AS329" s="1090" t="str">
        <f t="shared" si="412"/>
        <v/>
      </c>
      <c r="AT329" s="1090" t="str">
        <f t="shared" si="412"/>
        <v/>
      </c>
      <c r="AU329" s="1090" t="str">
        <f t="shared" si="412"/>
        <v/>
      </c>
      <c r="AV329" s="108"/>
      <c r="AW329" s="206"/>
      <c r="AX329" s="205"/>
      <c r="AY329" s="1090" t="str">
        <f t="shared" ref="AY329:BG329" si="413">IFERROR(IF(OR(AY$17="",AY$38="",AY$40=""),"",MAX(warmtebehoefte_verwarming_ondergrens,
HLOOKUP(AY$328,fitcurves_NTA8800,MATCH(fit_a0,parameters_fitformule,0),FALSE)
+HLOOKUP(AY$328,fitcurves_NTA8800,MATCH(fit_a1,parameters_fitformule,0),FALSE)
*AY$54*AY$32^HLOOKUP(AY$328,fitcurves_NTA8800,MATCH(fit_n1,parameters_fitformule,0),FALSE)
)),0)</f>
        <v/>
      </c>
      <c r="AZ329" s="1090" t="str">
        <f t="shared" si="413"/>
        <v/>
      </c>
      <c r="BA329" s="1090" t="str">
        <f t="shared" si="413"/>
        <v/>
      </c>
      <c r="BB329" s="1090" t="str">
        <f t="shared" si="413"/>
        <v/>
      </c>
      <c r="BC329" s="1090" t="str">
        <f t="shared" si="413"/>
        <v/>
      </c>
      <c r="BD329" s="1090" t="str">
        <f t="shared" si="413"/>
        <v/>
      </c>
      <c r="BE329" s="1090" t="str">
        <f t="shared" si="413"/>
        <v/>
      </c>
      <c r="BF329" s="1090" t="str">
        <f t="shared" si="413"/>
        <v/>
      </c>
      <c r="BG329" s="1090" t="str">
        <f t="shared" si="413"/>
        <v/>
      </c>
      <c r="BH329" s="210"/>
    </row>
    <row r="330" spans="1:60">
      <c r="A330" s="1040"/>
      <c r="B330" s="1109" t="s">
        <v>1223</v>
      </c>
      <c r="C330" s="1107" t="s">
        <v>104</v>
      </c>
      <c r="D330" s="640" t="s">
        <v>45</v>
      </c>
      <c r="E330" s="203" t="s">
        <v>280</v>
      </c>
      <c r="F330" s="203"/>
      <c r="G330" s="203"/>
      <c r="H330" s="204" t="s">
        <v>267</v>
      </c>
      <c r="I330" s="205"/>
      <c r="J330" s="206"/>
      <c r="K330" s="79"/>
      <c r="L330" s="79"/>
      <c r="M330" s="206"/>
      <c r="N330" s="205"/>
      <c r="O330" s="1158" t="str">
        <f t="shared" ref="O330:W330" si="414">IF(OR(O$17="",O$22=0,O$29=0),"",ROUNDUP(O$298-O$287-O$288-O$289-IF(OR(O$19=woning,O$19=woongebouw),O285,0),2)-O$292)</f>
        <v/>
      </c>
      <c r="P330" s="1158" t="str">
        <f t="shared" si="414"/>
        <v/>
      </c>
      <c r="Q330" s="1158" t="str">
        <f t="shared" si="414"/>
        <v/>
      </c>
      <c r="R330" s="1158" t="str">
        <f t="shared" si="414"/>
        <v/>
      </c>
      <c r="S330" s="1158" t="str">
        <f t="shared" si="414"/>
        <v/>
      </c>
      <c r="T330" s="1158" t="str">
        <f t="shared" si="414"/>
        <v/>
      </c>
      <c r="U330" s="1158" t="str">
        <f t="shared" si="414"/>
        <v/>
      </c>
      <c r="V330" s="1158" t="str">
        <f t="shared" si="414"/>
        <v/>
      </c>
      <c r="W330" s="1158" t="str">
        <f t="shared" si="414"/>
        <v/>
      </c>
      <c r="X330" s="108"/>
      <c r="Y330" s="206"/>
      <c r="Z330" s="205"/>
      <c r="AA330" s="1090" t="str">
        <f t="shared" ref="AA330:AI330" si="415">IF(OR(AA$17="",AA$22=0,AA$29=0),"",ROUNDUP(AA$298-AA$287-AA$288-AA$289-IF(OR(AA$19=woning,AA$19=woongebouw),AA285,0),2)-AA$292)</f>
        <v/>
      </c>
      <c r="AB330" s="1090" t="str">
        <f t="shared" si="415"/>
        <v/>
      </c>
      <c r="AC330" s="1090" t="str">
        <f t="shared" si="415"/>
        <v/>
      </c>
      <c r="AD330" s="1090" t="str">
        <f t="shared" si="415"/>
        <v/>
      </c>
      <c r="AE330" s="1090" t="str">
        <f t="shared" si="415"/>
        <v/>
      </c>
      <c r="AF330" s="1090" t="str">
        <f t="shared" si="415"/>
        <v/>
      </c>
      <c r="AG330" s="1090" t="str">
        <f t="shared" si="415"/>
        <v/>
      </c>
      <c r="AH330" s="1090" t="str">
        <f t="shared" si="415"/>
        <v/>
      </c>
      <c r="AI330" s="1090" t="str">
        <f t="shared" si="415"/>
        <v/>
      </c>
      <c r="AJ330" s="108"/>
      <c r="AK330" s="206"/>
      <c r="AL330" s="205"/>
      <c r="AM330" s="1090" t="str">
        <f t="shared" ref="AM330:AU330" si="416">IF(OR(AM$17="",AM$22=0,AM$29=0),"",ROUNDUP(AM$298-AM$287-AM$288-AM$289-IF(OR(AM$19=woning,AM$19=woongebouw),AM285,0),2)-AM$292)</f>
        <v/>
      </c>
      <c r="AN330" s="1090" t="str">
        <f t="shared" si="416"/>
        <v/>
      </c>
      <c r="AO330" s="1090" t="str">
        <f t="shared" si="416"/>
        <v/>
      </c>
      <c r="AP330" s="1090" t="str">
        <f t="shared" si="416"/>
        <v/>
      </c>
      <c r="AQ330" s="1090" t="str">
        <f t="shared" si="416"/>
        <v/>
      </c>
      <c r="AR330" s="1090" t="str">
        <f t="shared" si="416"/>
        <v/>
      </c>
      <c r="AS330" s="1090" t="str">
        <f t="shared" si="416"/>
        <v/>
      </c>
      <c r="AT330" s="1090" t="str">
        <f t="shared" si="416"/>
        <v/>
      </c>
      <c r="AU330" s="1090" t="str">
        <f t="shared" si="416"/>
        <v/>
      </c>
      <c r="AV330" s="108"/>
      <c r="AW330" s="206"/>
      <c r="AX330" s="205"/>
      <c r="AY330" s="1090" t="str">
        <f t="shared" ref="AY330:BG330" si="417">IF(OR(AY$17="",AY$22=0,AY$29=0),"",ROUNDUP(AY$298-AY$287-AY$288-AY$289-IF(OR(AY$19=woning,AY$19=woongebouw),AY285,0),2)-AY$292)</f>
        <v/>
      </c>
      <c r="AZ330" s="1090" t="str">
        <f t="shared" si="417"/>
        <v/>
      </c>
      <c r="BA330" s="1090" t="str">
        <f t="shared" si="417"/>
        <v/>
      </c>
      <c r="BB330" s="1090" t="str">
        <f t="shared" si="417"/>
        <v/>
      </c>
      <c r="BC330" s="1090" t="str">
        <f t="shared" si="417"/>
        <v/>
      </c>
      <c r="BD330" s="1090" t="str">
        <f t="shared" si="417"/>
        <v/>
      </c>
      <c r="BE330" s="1090" t="str">
        <f t="shared" si="417"/>
        <v/>
      </c>
      <c r="BF330" s="1090" t="str">
        <f t="shared" si="417"/>
        <v/>
      </c>
      <c r="BG330" s="1090" t="str">
        <f t="shared" si="417"/>
        <v/>
      </c>
      <c r="BH330" s="210"/>
    </row>
    <row r="331" spans="1:60">
      <c r="A331" s="1040"/>
      <c r="B331" s="1109" t="s">
        <v>1223</v>
      </c>
      <c r="C331" s="1107" t="s">
        <v>104</v>
      </c>
      <c r="D331" s="641" t="s">
        <v>45</v>
      </c>
      <c r="E331" s="203" t="s">
        <v>281</v>
      </c>
      <c r="F331" s="203"/>
      <c r="G331" s="203"/>
      <c r="H331" s="204" t="s">
        <v>139</v>
      </c>
      <c r="I331" s="205"/>
      <c r="J331" s="206"/>
      <c r="K331" s="79"/>
      <c r="L331" s="79"/>
      <c r="M331" s="206"/>
      <c r="N331" s="205"/>
      <c r="O331" s="1160" t="str">
        <f t="shared" ref="O331:W331" si="418">IF(O$322="","",O317)</f>
        <v/>
      </c>
      <c r="P331" s="1089" t="str">
        <f t="shared" si="418"/>
        <v/>
      </c>
      <c r="Q331" s="1089" t="str">
        <f t="shared" si="418"/>
        <v/>
      </c>
      <c r="R331" s="1089" t="str">
        <f t="shared" si="418"/>
        <v/>
      </c>
      <c r="S331" s="1089" t="str">
        <f t="shared" si="418"/>
        <v/>
      </c>
      <c r="T331" s="1089" t="str">
        <f t="shared" si="418"/>
        <v/>
      </c>
      <c r="U331" s="1089" t="str">
        <f t="shared" si="418"/>
        <v/>
      </c>
      <c r="V331" s="1089" t="str">
        <f t="shared" si="418"/>
        <v/>
      </c>
      <c r="W331" s="1089" t="str">
        <f t="shared" si="418"/>
        <v/>
      </c>
      <c r="X331" s="597"/>
      <c r="Y331" s="598"/>
      <c r="Z331" s="599"/>
      <c r="AA331" s="1089" t="str">
        <f t="shared" ref="AA331:AI331" si="419">IF(AA$322="","",AA317)</f>
        <v/>
      </c>
      <c r="AB331" s="1089" t="str">
        <f t="shared" si="419"/>
        <v/>
      </c>
      <c r="AC331" s="1089" t="str">
        <f t="shared" si="419"/>
        <v/>
      </c>
      <c r="AD331" s="1089" t="str">
        <f t="shared" si="419"/>
        <v/>
      </c>
      <c r="AE331" s="1089" t="str">
        <f t="shared" si="419"/>
        <v/>
      </c>
      <c r="AF331" s="1089" t="str">
        <f t="shared" si="419"/>
        <v/>
      </c>
      <c r="AG331" s="1089" t="str">
        <f t="shared" si="419"/>
        <v/>
      </c>
      <c r="AH331" s="1089" t="str">
        <f t="shared" si="419"/>
        <v/>
      </c>
      <c r="AI331" s="1089" t="str">
        <f t="shared" si="419"/>
        <v/>
      </c>
      <c r="AJ331" s="597"/>
      <c r="AK331" s="598"/>
      <c r="AL331" s="599"/>
      <c r="AM331" s="1089" t="str">
        <f>IF(AM$322="","",AM317)</f>
        <v/>
      </c>
      <c r="AN331" s="1089" t="str">
        <f t="shared" ref="AN331:AU331" si="420">IF(AN$322="","",AN317)</f>
        <v/>
      </c>
      <c r="AO331" s="1089" t="str">
        <f t="shared" si="420"/>
        <v/>
      </c>
      <c r="AP331" s="1089" t="str">
        <f t="shared" si="420"/>
        <v/>
      </c>
      <c r="AQ331" s="1089" t="str">
        <f t="shared" si="420"/>
        <v/>
      </c>
      <c r="AR331" s="1089" t="str">
        <f t="shared" si="420"/>
        <v/>
      </c>
      <c r="AS331" s="1089" t="str">
        <f t="shared" si="420"/>
        <v/>
      </c>
      <c r="AT331" s="1089" t="str">
        <f t="shared" si="420"/>
        <v/>
      </c>
      <c r="AU331" s="1089" t="str">
        <f t="shared" si="420"/>
        <v/>
      </c>
      <c r="AV331" s="597"/>
      <c r="AW331" s="598"/>
      <c r="AX331" s="599"/>
      <c r="AY331" s="1089" t="str">
        <f>IF(AY$322="","",AY317)</f>
        <v/>
      </c>
      <c r="AZ331" s="1089" t="str">
        <f t="shared" ref="AZ331:BG331" si="421">IF(AZ$322="","",AZ317)</f>
        <v/>
      </c>
      <c r="BA331" s="1089" t="str">
        <f t="shared" si="421"/>
        <v/>
      </c>
      <c r="BB331" s="1089" t="str">
        <f t="shared" si="421"/>
        <v/>
      </c>
      <c r="BC331" s="1089" t="str">
        <f t="shared" si="421"/>
        <v/>
      </c>
      <c r="BD331" s="1089" t="str">
        <f t="shared" si="421"/>
        <v/>
      </c>
      <c r="BE331" s="1089" t="str">
        <f t="shared" si="421"/>
        <v/>
      </c>
      <c r="BF331" s="1089" t="str">
        <f t="shared" si="421"/>
        <v/>
      </c>
      <c r="BG331" s="1089" t="str">
        <f t="shared" si="421"/>
        <v/>
      </c>
      <c r="BH331" s="210"/>
    </row>
    <row r="332" spans="1:60">
      <c r="A332" s="1040"/>
      <c r="B332" s="1109" t="s">
        <v>1223</v>
      </c>
      <c r="C332" s="1106" t="s">
        <v>96</v>
      </c>
      <c r="D332" s="638"/>
      <c r="E332" s="942" t="s">
        <v>282</v>
      </c>
      <c r="F332" s="942"/>
      <c r="G332" s="942"/>
      <c r="H332" s="942"/>
      <c r="I332" s="129"/>
      <c r="J332" s="943"/>
      <c r="K332" s="126"/>
      <c r="L332" s="126"/>
      <c r="M332" s="944"/>
      <c r="N332" s="195"/>
      <c r="O332" s="258" t="str">
        <f>O$17</f>
        <v/>
      </c>
      <c r="P332" s="258" t="str">
        <f t="shared" ref="P332:W332" si="422">P$17</f>
        <v/>
      </c>
      <c r="Q332" s="258" t="str">
        <f t="shared" si="422"/>
        <v/>
      </c>
      <c r="R332" s="258" t="str">
        <f t="shared" si="422"/>
        <v/>
      </c>
      <c r="S332" s="258" t="str">
        <f t="shared" si="422"/>
        <v/>
      </c>
      <c r="T332" s="258" t="str">
        <f t="shared" si="422"/>
        <v/>
      </c>
      <c r="U332" s="258" t="str">
        <f t="shared" si="422"/>
        <v/>
      </c>
      <c r="V332" s="258" t="str">
        <f t="shared" si="422"/>
        <v/>
      </c>
      <c r="W332" s="258" t="str">
        <f t="shared" si="422"/>
        <v/>
      </c>
      <c r="X332" s="195"/>
      <c r="Y332" s="944"/>
      <c r="Z332" s="195"/>
      <c r="AA332" s="258" t="str">
        <f>AA$17</f>
        <v/>
      </c>
      <c r="AB332" s="258" t="str">
        <f t="shared" ref="AB332:AI332" si="423">AB$17</f>
        <v/>
      </c>
      <c r="AC332" s="258" t="str">
        <f t="shared" si="423"/>
        <v/>
      </c>
      <c r="AD332" s="258" t="str">
        <f t="shared" si="423"/>
        <v/>
      </c>
      <c r="AE332" s="258" t="str">
        <f t="shared" si="423"/>
        <v/>
      </c>
      <c r="AF332" s="258" t="str">
        <f t="shared" si="423"/>
        <v/>
      </c>
      <c r="AG332" s="258" t="str">
        <f t="shared" si="423"/>
        <v/>
      </c>
      <c r="AH332" s="258" t="str">
        <f t="shared" si="423"/>
        <v/>
      </c>
      <c r="AI332" s="258" t="str">
        <f t="shared" si="423"/>
        <v/>
      </c>
      <c r="AJ332" s="195"/>
      <c r="AK332" s="944"/>
      <c r="AL332" s="195"/>
      <c r="AM332" s="258" t="str">
        <f>AM$17</f>
        <v/>
      </c>
      <c r="AN332" s="258" t="str">
        <f t="shared" ref="AN332:AU332" si="424">AN$17</f>
        <v/>
      </c>
      <c r="AO332" s="258" t="str">
        <f t="shared" si="424"/>
        <v/>
      </c>
      <c r="AP332" s="258" t="str">
        <f t="shared" si="424"/>
        <v/>
      </c>
      <c r="AQ332" s="258" t="str">
        <f t="shared" si="424"/>
        <v/>
      </c>
      <c r="AR332" s="258" t="str">
        <f t="shared" si="424"/>
        <v/>
      </c>
      <c r="AS332" s="258" t="str">
        <f t="shared" si="424"/>
        <v/>
      </c>
      <c r="AT332" s="258" t="str">
        <f t="shared" si="424"/>
        <v/>
      </c>
      <c r="AU332" s="258" t="str">
        <f t="shared" si="424"/>
        <v/>
      </c>
      <c r="AV332" s="195"/>
      <c r="AW332" s="944"/>
      <c r="AX332" s="195"/>
      <c r="AY332" s="258" t="str">
        <f>AY$17</f>
        <v/>
      </c>
      <c r="AZ332" s="258" t="str">
        <f t="shared" ref="AZ332:BG332" si="425">AZ$17</f>
        <v/>
      </c>
      <c r="BA332" s="258" t="str">
        <f t="shared" si="425"/>
        <v/>
      </c>
      <c r="BB332" s="258" t="str">
        <f t="shared" si="425"/>
        <v/>
      </c>
      <c r="BC332" s="258" t="str">
        <f t="shared" si="425"/>
        <v/>
      </c>
      <c r="BD332" s="258" t="str">
        <f t="shared" si="425"/>
        <v/>
      </c>
      <c r="BE332" s="258" t="str">
        <f t="shared" si="425"/>
        <v/>
      </c>
      <c r="BF332" s="258" t="str">
        <f t="shared" si="425"/>
        <v/>
      </c>
      <c r="BG332" s="258" t="str">
        <f t="shared" si="425"/>
        <v/>
      </c>
      <c r="BH332" s="36"/>
    </row>
    <row r="333" spans="1:60">
      <c r="A333" s="1040"/>
      <c r="B333" s="1109" t="s">
        <v>1223</v>
      </c>
      <c r="C333" s="1107" t="s">
        <v>104</v>
      </c>
      <c r="D333" s="640" t="s">
        <v>45</v>
      </c>
      <c r="E333" s="1134" t="s">
        <v>282</v>
      </c>
      <c r="F333" s="203"/>
      <c r="G333" s="203"/>
      <c r="H333" s="204" t="s">
        <v>65</v>
      </c>
      <c r="I333" s="114"/>
      <c r="J333" s="202"/>
      <c r="K333" s="195"/>
      <c r="L333" s="195"/>
      <c r="M333" s="202"/>
      <c r="N333" s="114"/>
      <c r="O333" s="168" t="str">
        <f ca="1">IF(OR(O$22=0,$O$78=0),"",
INDEX(energielabels_labelnamen,MATCH(O330,OFFSET(bibliotheek!$H$488,0,MATCH(O$19,gebruiksfuncties_namen,0)-1,ROWS(energielabels_labelnamen),1),-1)))</f>
        <v/>
      </c>
      <c r="P333" s="168" t="str">
        <f ca="1">IF(OR(P$22=0,$O$78=0),"",
INDEX(energielabels_labelnamen,MATCH(P330,OFFSET(bibliotheek!$H$488,0,MATCH(P$19,gebruiksfuncties_namen,0)-1,ROWS(energielabels_labelnamen),1),-1)))</f>
        <v/>
      </c>
      <c r="Q333" s="168" t="str">
        <f ca="1">IF(OR(Q$22=0,$O$78=0),"",
INDEX(energielabels_labelnamen,MATCH(Q330,OFFSET(bibliotheek!$H$488,0,MATCH(Q$19,gebruiksfuncties_namen,0)-1,ROWS(energielabels_labelnamen),1),-1)))</f>
        <v/>
      </c>
      <c r="R333" s="168" t="str">
        <f ca="1">IF(OR(R$22=0,$O$78=0),"",
INDEX(energielabels_labelnamen,MATCH(R330,OFFSET(bibliotheek!$H$488,0,MATCH(R$19,gebruiksfuncties_namen,0)-1,ROWS(energielabels_labelnamen),1),-1)))</f>
        <v/>
      </c>
      <c r="S333" s="168" t="str">
        <f ca="1">IF(OR(S$22=0,$O$78=0),"",
INDEX(energielabels_labelnamen,MATCH(S330,OFFSET(bibliotheek!$H$488,0,MATCH(S$19,gebruiksfuncties_namen,0)-1,ROWS(energielabels_labelnamen),1),-1)))</f>
        <v/>
      </c>
      <c r="T333" s="168" t="str">
        <f ca="1">IF(OR(T$22=0,$O$78=0),"",
INDEX(energielabels_labelnamen,MATCH(T330,OFFSET(bibliotheek!$H$488,0,MATCH(T$19,gebruiksfuncties_namen,0)-1,ROWS(energielabels_labelnamen),1),-1)))</f>
        <v/>
      </c>
      <c r="U333" s="168" t="str">
        <f ca="1">IF(OR(U$22=0,$O$78=0),"",
INDEX(energielabels_labelnamen,MATCH(U330,OFFSET(bibliotheek!$H$488,0,MATCH(U$19,gebruiksfuncties_namen,0)-1,ROWS(energielabels_labelnamen),1),-1)))</f>
        <v/>
      </c>
      <c r="V333" s="168" t="str">
        <f ca="1">IF(OR(V$22=0,$O$78=0),"",
INDEX(energielabels_labelnamen,MATCH(V330,OFFSET(bibliotheek!$H$488,0,MATCH(V$19,gebruiksfuncties_namen,0)-1,ROWS(energielabels_labelnamen),1),-1)))</f>
        <v/>
      </c>
      <c r="W333" s="168" t="str">
        <f ca="1">IF(OR(W$22=0,$O$78=0),"",
INDEX(energielabels_labelnamen,MATCH(W330,OFFSET(bibliotheek!$H$488,0,MATCH(W$19,gebruiksfuncties_namen,0)-1,ROWS(energielabels_labelnamen),1),-1)))</f>
        <v/>
      </c>
      <c r="X333" s="113"/>
      <c r="Y333" s="202"/>
      <c r="Z333" s="114"/>
      <c r="AA333" s="168" t="str">
        <f ca="1">IF(OR(AA$22=0,$AA$78=0),"",
INDEX(energielabels_labelnamen,MATCH(AA330,OFFSET(bibliotheek!$H$488,0,MATCH(AA$19,gebruiksfuncties_namen,0)-1,ROWS(energielabels_labelnamen),1),-1)))</f>
        <v/>
      </c>
      <c r="AB333" s="168" t="str">
        <f ca="1">IF(OR(AB$22=0,$AA$78=0),"",
INDEX(energielabels_labelnamen,MATCH(AB330,OFFSET(bibliotheek!$H$488,0,MATCH(AB$19,gebruiksfuncties_namen,0)-1,ROWS(energielabels_labelnamen),1),-1)))</f>
        <v/>
      </c>
      <c r="AC333" s="168" t="str">
        <f ca="1">IF(OR(AC$22=0,$AA$78=0),"",
INDEX(energielabels_labelnamen,MATCH(AC330,OFFSET(bibliotheek!$H$488,0,MATCH(AC$19,gebruiksfuncties_namen,0)-1,ROWS(energielabels_labelnamen),1),-1)))</f>
        <v/>
      </c>
      <c r="AD333" s="168" t="str">
        <f ca="1">IF(OR(AD$22=0,$AA$78=0),"",
INDEX(energielabels_labelnamen,MATCH(AD330,OFFSET(bibliotheek!$H$488,0,MATCH(AD$19,gebruiksfuncties_namen,0)-1,ROWS(energielabels_labelnamen),1),-1)))</f>
        <v/>
      </c>
      <c r="AE333" s="168" t="str">
        <f ca="1">IF(OR(AE$22=0,$AA$78=0),"",
INDEX(energielabels_labelnamen,MATCH(AE330,OFFSET(bibliotheek!$H$488,0,MATCH(AE$19,gebruiksfuncties_namen,0)-1,ROWS(energielabels_labelnamen),1),-1)))</f>
        <v/>
      </c>
      <c r="AF333" s="168" t="str">
        <f ca="1">IF(OR(AF$22=0,$AA$78=0),"",
INDEX(energielabels_labelnamen,MATCH(AF330,OFFSET(bibliotheek!$H$488,0,MATCH(AF$19,gebruiksfuncties_namen,0)-1,ROWS(energielabels_labelnamen),1),-1)))</f>
        <v/>
      </c>
      <c r="AG333" s="168" t="str">
        <f ca="1">IF(OR(AG$22=0,$AA$78=0),"",
INDEX(energielabels_labelnamen,MATCH(AG330,OFFSET(bibliotheek!$H$488,0,MATCH(AG$19,gebruiksfuncties_namen,0)-1,ROWS(energielabels_labelnamen),1),-1)))</f>
        <v/>
      </c>
      <c r="AH333" s="168" t="str">
        <f ca="1">IF(OR(AH$22=0,$AA$78=0),"",
INDEX(energielabels_labelnamen,MATCH(AH330,OFFSET(bibliotheek!$H$488,0,MATCH(AH$19,gebruiksfuncties_namen,0)-1,ROWS(energielabels_labelnamen),1),-1)))</f>
        <v/>
      </c>
      <c r="AI333" s="168" t="str">
        <f ca="1">IF(OR(AI$22=0,$AA$78=0),"",
INDEX(energielabels_labelnamen,MATCH(AI330,OFFSET(bibliotheek!$H$488,0,MATCH(AI$19,gebruiksfuncties_namen,0)-1,ROWS(energielabels_labelnamen),1),-1)))</f>
        <v/>
      </c>
      <c r="AJ333" s="113"/>
      <c r="AK333" s="202"/>
      <c r="AL333" s="114"/>
      <c r="AM333" s="168" t="str">
        <f ca="1">IF(OR(AM$22=0,$AM$78=0),"",
INDEX(energielabels_labelnamen,MATCH(AM330,OFFSET(bibliotheek!$H$488,0,MATCH(AM$19,gebruiksfuncties_namen,0)-1,ROWS(energielabels_labelnamen),1),-1)))</f>
        <v/>
      </c>
      <c r="AN333" s="168" t="str">
        <f ca="1">IF(OR(AN$22=0,$AM$78=0),"",
INDEX(energielabels_labelnamen,MATCH(AN330,OFFSET(bibliotheek!$H$488,0,MATCH(AN$19,gebruiksfuncties_namen,0)-1,ROWS(energielabels_labelnamen),1),-1)))</f>
        <v/>
      </c>
      <c r="AO333" s="168" t="str">
        <f ca="1">IF(OR(AO$22=0,$AM$78=0),"",
INDEX(energielabels_labelnamen,MATCH(AO330,OFFSET(bibliotheek!$H$488,0,MATCH(AO$19,gebruiksfuncties_namen,0)-1,ROWS(energielabels_labelnamen),1),-1)))</f>
        <v/>
      </c>
      <c r="AP333" s="168" t="str">
        <f ca="1">IF(OR(AP$22=0,$AM$78=0),"",
INDEX(energielabels_labelnamen,MATCH(AP330,OFFSET(bibliotheek!$H$488,0,MATCH(AP$19,gebruiksfuncties_namen,0)-1,ROWS(energielabels_labelnamen),1),-1)))</f>
        <v/>
      </c>
      <c r="AQ333" s="168" t="str">
        <f ca="1">IF(OR(AQ$22=0,$AM$78=0),"",
INDEX(energielabels_labelnamen,MATCH(AQ330,OFFSET(bibliotheek!$H$488,0,MATCH(AQ$19,gebruiksfuncties_namen,0)-1,ROWS(energielabels_labelnamen),1),-1)))</f>
        <v/>
      </c>
      <c r="AR333" s="168" t="str">
        <f ca="1">IF(OR(AR$22=0,$AM$78=0),"",
INDEX(energielabels_labelnamen,MATCH(AR330,OFFSET(bibliotheek!$H$488,0,MATCH(AR$19,gebruiksfuncties_namen,0)-1,ROWS(energielabels_labelnamen),1),-1)))</f>
        <v/>
      </c>
      <c r="AS333" s="168" t="str">
        <f ca="1">IF(OR(AS$22=0,$AM$78=0),"",
INDEX(energielabels_labelnamen,MATCH(AS330,OFFSET(bibliotheek!$H$488,0,MATCH(AS$19,gebruiksfuncties_namen,0)-1,ROWS(energielabels_labelnamen),1),-1)))</f>
        <v/>
      </c>
      <c r="AT333" s="168" t="str">
        <f ca="1">IF(OR(AT$22=0,$AM$78=0),"",
INDEX(energielabels_labelnamen,MATCH(AT330,OFFSET(bibliotheek!$H$488,0,MATCH(AT$19,gebruiksfuncties_namen,0)-1,ROWS(energielabels_labelnamen),1),-1)))</f>
        <v/>
      </c>
      <c r="AU333" s="168" t="str">
        <f ca="1">IF(OR(AU$22=0,$AM$78=0),"",
INDEX(energielabels_labelnamen,MATCH(AU330,OFFSET(bibliotheek!$H$488,0,MATCH(AU$19,gebruiksfuncties_namen,0)-1,ROWS(energielabels_labelnamen),1),-1)))</f>
        <v/>
      </c>
      <c r="AV333" s="113"/>
      <c r="AW333" s="202"/>
      <c r="AX333" s="114"/>
      <c r="AY333" s="168" t="str">
        <f ca="1">IF(OR(AY$22=0,$AW$78=0),"",
INDEX(energielabels_labelnamen,MATCH(AY330,OFFSET(bibliotheek!$H$488,0,MATCH(AY$19,gebruiksfuncties_namen,0)-1,ROWS(energielabels_labelnamen),1),-1)))</f>
        <v/>
      </c>
      <c r="AZ333" s="168" t="str">
        <f ca="1">IF(OR(AZ$22=0,$AW$78=0),"",
INDEX(energielabels_labelnamen,MATCH(AZ330,OFFSET(bibliotheek!$H$488,0,MATCH(AZ$19,gebruiksfuncties_namen,0)-1,ROWS(energielabels_labelnamen),1),-1)))</f>
        <v/>
      </c>
      <c r="BA333" s="168" t="str">
        <f ca="1">IF(OR(BA$22=0,$AW$78=0),"",
INDEX(energielabels_labelnamen,MATCH(BA330,OFFSET(bibliotheek!$H$488,0,MATCH(BA$19,gebruiksfuncties_namen,0)-1,ROWS(energielabels_labelnamen),1),-1)))</f>
        <v/>
      </c>
      <c r="BB333" s="168" t="str">
        <f ca="1">IF(OR(BB$22=0,$AW$78=0),"",
INDEX(energielabels_labelnamen,MATCH(BB330,OFFSET(bibliotheek!$H$488,0,MATCH(BB$19,gebruiksfuncties_namen,0)-1,ROWS(energielabels_labelnamen),1),-1)))</f>
        <v/>
      </c>
      <c r="BC333" s="168" t="str">
        <f ca="1">IF(OR(BC$22=0,$AW$78=0),"",
INDEX(energielabels_labelnamen,MATCH(BC330,OFFSET(bibliotheek!$H$488,0,MATCH(BC$19,gebruiksfuncties_namen,0)-1,ROWS(energielabels_labelnamen),1),-1)))</f>
        <v/>
      </c>
      <c r="BD333" s="168" t="str">
        <f ca="1">IF(OR(BD$22=0,$AW$78=0),"",
INDEX(energielabels_labelnamen,MATCH(BD330,OFFSET(bibliotheek!$H$488,0,MATCH(BD$19,gebruiksfuncties_namen,0)-1,ROWS(energielabels_labelnamen),1),-1)))</f>
        <v/>
      </c>
      <c r="BE333" s="168" t="str">
        <f ca="1">IF(OR(BE$22=0,$AW$78=0),"",
INDEX(energielabels_labelnamen,MATCH(BE330,OFFSET(bibliotheek!$H$488,0,MATCH(BE$19,gebruiksfuncties_namen,0)-1,ROWS(energielabels_labelnamen),1),-1)))</f>
        <v/>
      </c>
      <c r="BF333" s="168" t="str">
        <f ca="1">IF(OR(BF$22=0,$AW$78=0),"",
INDEX(energielabels_labelnamen,MATCH(BF330,OFFSET(bibliotheek!$H$488,0,MATCH(BF$19,gebruiksfuncties_namen,0)-1,ROWS(energielabels_labelnamen),1),-1)))</f>
        <v/>
      </c>
      <c r="BG333" s="168" t="str">
        <f ca="1">IF(OR(BG$22=0,$AW$78=0),"",
INDEX(energielabels_labelnamen,MATCH(BG330,OFFSET(bibliotheek!$H$488,0,MATCH(BG$19,gebruiksfuncties_namen,0)-1,ROWS(energielabels_labelnamen),1),-1)))</f>
        <v/>
      </c>
      <c r="BH333" s="210"/>
    </row>
    <row r="334" spans="1:60">
      <c r="A334" s="1040"/>
      <c r="B334" s="1109" t="s">
        <v>1223</v>
      </c>
      <c r="C334" s="1107" t="s">
        <v>104</v>
      </c>
      <c r="D334" s="640" t="s">
        <v>45</v>
      </c>
      <c r="E334" s="203" t="s">
        <v>1015</v>
      </c>
      <c r="F334" s="862"/>
      <c r="G334" s="862"/>
      <c r="H334" s="204" t="s">
        <v>65</v>
      </c>
      <c r="I334" s="114"/>
      <c r="J334" s="202"/>
      <c r="K334" s="195"/>
      <c r="L334" s="195"/>
      <c r="M334" s="202"/>
      <c r="N334" s="114"/>
      <c r="O334" s="168" t="str">
        <f t="shared" ref="O334:W334" si="426">IF(O$26=0,"",INDEX(eindnorm_utiliteit_energielabel,MATCH(O$19,gebruiksfuncties_namen,0)))</f>
        <v/>
      </c>
      <c r="P334" s="168" t="str">
        <f>IF(P$26=0,"",INDEX(eindnorm_utiliteit_energielabel,MATCH(P$19,gebruiksfuncties_namen,0)))</f>
        <v/>
      </c>
      <c r="Q334" s="168" t="str">
        <f t="shared" si="426"/>
        <v/>
      </c>
      <c r="R334" s="168" t="str">
        <f t="shared" si="426"/>
        <v/>
      </c>
      <c r="S334" s="168" t="str">
        <f t="shared" si="426"/>
        <v/>
      </c>
      <c r="T334" s="168" t="str">
        <f t="shared" si="426"/>
        <v/>
      </c>
      <c r="U334" s="168" t="str">
        <f t="shared" si="426"/>
        <v/>
      </c>
      <c r="V334" s="168" t="str">
        <f t="shared" si="426"/>
        <v/>
      </c>
      <c r="W334" s="168" t="str">
        <f t="shared" si="426"/>
        <v/>
      </c>
      <c r="X334" s="113"/>
      <c r="Y334" s="202"/>
      <c r="Z334" s="114"/>
      <c r="AA334" s="168" t="str">
        <f t="shared" ref="AA334:AI334" si="427">IF(AA$26=0,"",INDEX(eindnorm_utiliteit_energielabel,MATCH(AA$19,gebruiksfuncties_namen,0)))</f>
        <v/>
      </c>
      <c r="AB334" s="168" t="str">
        <f t="shared" si="427"/>
        <v/>
      </c>
      <c r="AC334" s="168" t="str">
        <f t="shared" si="427"/>
        <v/>
      </c>
      <c r="AD334" s="168" t="str">
        <f t="shared" si="427"/>
        <v/>
      </c>
      <c r="AE334" s="168" t="str">
        <f t="shared" si="427"/>
        <v/>
      </c>
      <c r="AF334" s="168" t="str">
        <f t="shared" si="427"/>
        <v/>
      </c>
      <c r="AG334" s="168" t="str">
        <f t="shared" si="427"/>
        <v/>
      </c>
      <c r="AH334" s="168" t="str">
        <f t="shared" si="427"/>
        <v/>
      </c>
      <c r="AI334" s="168" t="str">
        <f t="shared" si="427"/>
        <v/>
      </c>
      <c r="AJ334" s="113"/>
      <c r="AK334" s="202"/>
      <c r="AL334" s="114"/>
      <c r="AM334" s="168" t="str">
        <f t="shared" ref="AM334:AU334" si="428">IF(AM$26=0,"",INDEX(eindnorm_utiliteit_energielabel,MATCH(AM$19,gebruiksfuncties_namen,0)))</f>
        <v/>
      </c>
      <c r="AN334" s="168" t="str">
        <f t="shared" si="428"/>
        <v/>
      </c>
      <c r="AO334" s="168" t="str">
        <f t="shared" si="428"/>
        <v/>
      </c>
      <c r="AP334" s="168" t="str">
        <f t="shared" si="428"/>
        <v/>
      </c>
      <c r="AQ334" s="168" t="str">
        <f t="shared" si="428"/>
        <v/>
      </c>
      <c r="AR334" s="168" t="str">
        <f t="shared" si="428"/>
        <v/>
      </c>
      <c r="AS334" s="168" t="str">
        <f t="shared" si="428"/>
        <v/>
      </c>
      <c r="AT334" s="168" t="str">
        <f t="shared" si="428"/>
        <v/>
      </c>
      <c r="AU334" s="168" t="str">
        <f t="shared" si="428"/>
        <v/>
      </c>
      <c r="AV334" s="113"/>
      <c r="AW334" s="202"/>
      <c r="AX334" s="114"/>
      <c r="AY334" s="168" t="str">
        <f t="shared" ref="AY334:BG334" si="429">IF(AY$26=0,"",INDEX(eindnorm_utiliteit_energielabel,MATCH(AY$19,gebruiksfuncties_namen,0)))</f>
        <v/>
      </c>
      <c r="AZ334" s="168" t="str">
        <f t="shared" si="429"/>
        <v/>
      </c>
      <c r="BA334" s="168" t="str">
        <f t="shared" si="429"/>
        <v/>
      </c>
      <c r="BB334" s="168" t="str">
        <f t="shared" si="429"/>
        <v/>
      </c>
      <c r="BC334" s="168" t="str">
        <f t="shared" si="429"/>
        <v/>
      </c>
      <c r="BD334" s="168" t="str">
        <f t="shared" si="429"/>
        <v/>
      </c>
      <c r="BE334" s="168" t="str">
        <f t="shared" si="429"/>
        <v/>
      </c>
      <c r="BF334" s="168" t="str">
        <f t="shared" si="429"/>
        <v/>
      </c>
      <c r="BG334" s="168" t="str">
        <f t="shared" si="429"/>
        <v/>
      </c>
      <c r="BH334" s="210"/>
    </row>
    <row r="335" spans="1:60">
      <c r="A335" s="1040"/>
      <c r="B335" s="1109" t="s">
        <v>1223</v>
      </c>
      <c r="C335" s="1106" t="s">
        <v>96</v>
      </c>
      <c r="D335" s="640" t="s">
        <v>45</v>
      </c>
      <c r="E335" s="942" t="s">
        <v>283</v>
      </c>
      <c r="F335" s="942"/>
      <c r="G335" s="942"/>
      <c r="H335" s="942"/>
      <c r="I335" s="129"/>
      <c r="J335" s="943"/>
      <c r="K335" s="126"/>
      <c r="L335" s="126"/>
      <c r="M335" s="944"/>
      <c r="N335" s="195"/>
      <c r="O335" s="258" t="str">
        <f>O$17</f>
        <v/>
      </c>
      <c r="P335" s="258" t="str">
        <f t="shared" ref="P335:W335" si="430">P$17</f>
        <v/>
      </c>
      <c r="Q335" s="258" t="str">
        <f t="shared" si="430"/>
        <v/>
      </c>
      <c r="R335" s="258" t="str">
        <f t="shared" si="430"/>
        <v/>
      </c>
      <c r="S335" s="258" t="str">
        <f t="shared" si="430"/>
        <v/>
      </c>
      <c r="T335" s="258" t="str">
        <f t="shared" si="430"/>
        <v/>
      </c>
      <c r="U335" s="258" t="str">
        <f t="shared" si="430"/>
        <v/>
      </c>
      <c r="V335" s="258" t="str">
        <f t="shared" si="430"/>
        <v/>
      </c>
      <c r="W335" s="258" t="str">
        <f t="shared" si="430"/>
        <v/>
      </c>
      <c r="X335" s="195"/>
      <c r="Y335" s="944"/>
      <c r="Z335" s="195"/>
      <c r="AA335" s="258" t="str">
        <f>AA$17</f>
        <v/>
      </c>
      <c r="AB335" s="258" t="str">
        <f t="shared" ref="AB335:AI335" si="431">AB$17</f>
        <v/>
      </c>
      <c r="AC335" s="258" t="str">
        <f t="shared" si="431"/>
        <v/>
      </c>
      <c r="AD335" s="258" t="str">
        <f t="shared" si="431"/>
        <v/>
      </c>
      <c r="AE335" s="258" t="str">
        <f t="shared" si="431"/>
        <v/>
      </c>
      <c r="AF335" s="258" t="str">
        <f t="shared" si="431"/>
        <v/>
      </c>
      <c r="AG335" s="258" t="str">
        <f t="shared" si="431"/>
        <v/>
      </c>
      <c r="AH335" s="258" t="str">
        <f t="shared" si="431"/>
        <v/>
      </c>
      <c r="AI335" s="258" t="str">
        <f t="shared" si="431"/>
        <v/>
      </c>
      <c r="AJ335" s="195"/>
      <c r="AK335" s="944"/>
      <c r="AL335" s="195"/>
      <c r="AM335" s="258" t="str">
        <f>AM$17</f>
        <v/>
      </c>
      <c r="AN335" s="258" t="str">
        <f t="shared" ref="AN335:AU335" si="432">AN$17</f>
        <v/>
      </c>
      <c r="AO335" s="258" t="str">
        <f t="shared" si="432"/>
        <v/>
      </c>
      <c r="AP335" s="258" t="str">
        <f t="shared" si="432"/>
        <v/>
      </c>
      <c r="AQ335" s="258" t="str">
        <f t="shared" si="432"/>
        <v/>
      </c>
      <c r="AR335" s="258" t="str">
        <f t="shared" si="432"/>
        <v/>
      </c>
      <c r="AS335" s="258" t="str">
        <f t="shared" si="432"/>
        <v/>
      </c>
      <c r="AT335" s="258" t="str">
        <f t="shared" si="432"/>
        <v/>
      </c>
      <c r="AU335" s="258" t="str">
        <f t="shared" si="432"/>
        <v/>
      </c>
      <c r="AV335" s="195"/>
      <c r="AW335" s="944"/>
      <c r="AX335" s="195"/>
      <c r="AY335" s="258" t="str">
        <f>AY$17</f>
        <v/>
      </c>
      <c r="AZ335" s="258" t="str">
        <f t="shared" ref="AZ335:BG335" si="433">AZ$17</f>
        <v/>
      </c>
      <c r="BA335" s="258" t="str">
        <f t="shared" si="433"/>
        <v/>
      </c>
      <c r="BB335" s="258" t="str">
        <f t="shared" si="433"/>
        <v/>
      </c>
      <c r="BC335" s="258" t="str">
        <f t="shared" si="433"/>
        <v/>
      </c>
      <c r="BD335" s="258" t="str">
        <f t="shared" si="433"/>
        <v/>
      </c>
      <c r="BE335" s="258" t="str">
        <f t="shared" si="433"/>
        <v/>
      </c>
      <c r="BF335" s="258" t="str">
        <f t="shared" si="433"/>
        <v/>
      </c>
      <c r="BG335" s="258" t="str">
        <f t="shared" si="433"/>
        <v/>
      </c>
      <c r="BH335" s="36"/>
    </row>
    <row r="336" spans="1:60">
      <c r="A336" s="1040"/>
      <c r="B336" s="1109" t="s">
        <v>1223</v>
      </c>
      <c r="C336" s="1107" t="s">
        <v>104</v>
      </c>
      <c r="D336" s="641"/>
      <c r="E336" s="203" t="s">
        <v>284</v>
      </c>
      <c r="F336" s="203"/>
      <c r="G336" s="203"/>
      <c r="H336" s="204" t="s">
        <v>154</v>
      </c>
      <c r="I336" s="205"/>
      <c r="J336" s="206"/>
      <c r="K336" s="79"/>
      <c r="L336" s="79"/>
      <c r="M336" s="206"/>
      <c r="N336" s="205"/>
      <c r="O336" s="542" t="str">
        <f t="shared" ref="O336:W336" si="434">IF(O$337="","",IF(O$337="nvt","nvt",
INDEX(standaardwaarde_basis,MATCH(O$19,standaardwaarden_gebruiksfuncties,0))+
MAX(0,O$32-1)*INDEX(standaardwaarde_extra_vraag_boven_grenswaarde_vormfactor,MATCH(O$19,standaardwaarden_gebruiksfuncties,0))))</f>
        <v/>
      </c>
      <c r="P336" s="542" t="str">
        <f t="shared" si="434"/>
        <v/>
      </c>
      <c r="Q336" s="542" t="str">
        <f t="shared" si="434"/>
        <v/>
      </c>
      <c r="R336" s="542" t="str">
        <f t="shared" si="434"/>
        <v/>
      </c>
      <c r="S336" s="542" t="str">
        <f t="shared" si="434"/>
        <v/>
      </c>
      <c r="T336" s="542" t="str">
        <f t="shared" si="434"/>
        <v/>
      </c>
      <c r="U336" s="542" t="str">
        <f t="shared" si="434"/>
        <v/>
      </c>
      <c r="V336" s="542" t="str">
        <f t="shared" si="434"/>
        <v/>
      </c>
      <c r="W336" s="542" t="str">
        <f t="shared" si="434"/>
        <v/>
      </c>
      <c r="X336" s="108"/>
      <c r="Y336" s="206"/>
      <c r="Z336" s="1091"/>
      <c r="AA336" s="542" t="str">
        <f t="shared" ref="AA336:AI336" si="435">IF(AA$337="","",IF(AA$337="nvt","nvt",
INDEX(standaardwaarde_basis,MATCH(AA$19,standaardwaarden_gebruiksfuncties,0))+
MAX(0,AA$32-1)*INDEX(standaardwaarde_extra_vraag_boven_grenswaarde_vormfactor,MATCH(AA$19,standaardwaarden_gebruiksfuncties,0))))</f>
        <v/>
      </c>
      <c r="AB336" s="542" t="str">
        <f t="shared" si="435"/>
        <v/>
      </c>
      <c r="AC336" s="542" t="str">
        <f t="shared" si="435"/>
        <v/>
      </c>
      <c r="AD336" s="542" t="str">
        <f t="shared" si="435"/>
        <v/>
      </c>
      <c r="AE336" s="542" t="str">
        <f t="shared" si="435"/>
        <v/>
      </c>
      <c r="AF336" s="542" t="str">
        <f t="shared" si="435"/>
        <v/>
      </c>
      <c r="AG336" s="542" t="str">
        <f t="shared" si="435"/>
        <v/>
      </c>
      <c r="AH336" s="542" t="str">
        <f t="shared" si="435"/>
        <v/>
      </c>
      <c r="AI336" s="542" t="str">
        <f t="shared" si="435"/>
        <v/>
      </c>
      <c r="AJ336" s="108"/>
      <c r="AK336" s="206"/>
      <c r="AL336" s="1091"/>
      <c r="AM336" s="542" t="str">
        <f t="shared" ref="AM336:AU336" si="436">IF(AM$337="","",IF(AM$337="nvt","nvt",
INDEX(standaardwaarde_basis,MATCH(AM$19,standaardwaarden_gebruiksfuncties,0))+
MAX(0,AM$32-1)*INDEX(standaardwaarde_extra_vraag_boven_grenswaarde_vormfactor,MATCH(AM$19,standaardwaarden_gebruiksfuncties,0))))</f>
        <v/>
      </c>
      <c r="AN336" s="542" t="str">
        <f t="shared" si="436"/>
        <v/>
      </c>
      <c r="AO336" s="542" t="str">
        <f t="shared" si="436"/>
        <v/>
      </c>
      <c r="AP336" s="542" t="str">
        <f t="shared" si="436"/>
        <v/>
      </c>
      <c r="AQ336" s="542" t="str">
        <f t="shared" si="436"/>
        <v/>
      </c>
      <c r="AR336" s="542" t="str">
        <f t="shared" si="436"/>
        <v/>
      </c>
      <c r="AS336" s="542" t="str">
        <f t="shared" si="436"/>
        <v/>
      </c>
      <c r="AT336" s="542" t="str">
        <f t="shared" si="436"/>
        <v/>
      </c>
      <c r="AU336" s="542" t="str">
        <f t="shared" si="436"/>
        <v/>
      </c>
      <c r="AV336" s="108"/>
      <c r="AW336" s="206"/>
      <c r="AX336" s="1091"/>
      <c r="AY336" s="542" t="str">
        <f t="shared" ref="AY336:BG336" si="437">IF(AY$337="","",IF(AY$337="nvt","nvt",
INDEX(standaardwaarde_basis,MATCH(AY$19,standaardwaarden_gebruiksfuncties,0))+
MAX(0,AY$32-1)*INDEX(standaardwaarde_extra_vraag_boven_grenswaarde_vormfactor,MATCH(AY$19,standaardwaarden_gebruiksfuncties,0))))</f>
        <v/>
      </c>
      <c r="AZ336" s="542" t="str">
        <f t="shared" si="437"/>
        <v/>
      </c>
      <c r="BA336" s="542" t="str">
        <f t="shared" si="437"/>
        <v/>
      </c>
      <c r="BB336" s="542" t="str">
        <f t="shared" si="437"/>
        <v/>
      </c>
      <c r="BC336" s="542" t="str">
        <f t="shared" si="437"/>
        <v/>
      </c>
      <c r="BD336" s="542" t="str">
        <f t="shared" si="437"/>
        <v/>
      </c>
      <c r="BE336" s="542" t="str">
        <f t="shared" si="437"/>
        <v/>
      </c>
      <c r="BF336" s="542" t="str">
        <f t="shared" si="437"/>
        <v/>
      </c>
      <c r="BG336" s="542" t="str">
        <f t="shared" si="437"/>
        <v/>
      </c>
      <c r="BH336" s="210"/>
    </row>
    <row r="337" spans="1:60">
      <c r="A337" s="1040"/>
      <c r="B337" s="1109" t="s">
        <v>1223</v>
      </c>
      <c r="C337" s="1107" t="s">
        <v>104</v>
      </c>
      <c r="D337" s="641"/>
      <c r="E337" s="203" t="s">
        <v>285</v>
      </c>
      <c r="F337" s="203"/>
      <c r="G337" s="203"/>
      <c r="H337" s="204" t="s">
        <v>154</v>
      </c>
      <c r="I337" s="205"/>
      <c r="J337" s="206"/>
      <c r="K337" s="79"/>
      <c r="L337" s="79"/>
      <c r="M337" s="206"/>
      <c r="N337" s="205"/>
      <c r="O337" s="542" t="str">
        <f t="shared" ref="O337:W337" si="438">IF(OR(O$17="",O$38="",O$40="",O$322=""),"",IF(OR(O$19=woning,O$19=woongebouw),O$269,"nvt"))</f>
        <v/>
      </c>
      <c r="P337" s="542" t="str">
        <f t="shared" si="438"/>
        <v/>
      </c>
      <c r="Q337" s="542" t="str">
        <f t="shared" si="438"/>
        <v/>
      </c>
      <c r="R337" s="542" t="str">
        <f t="shared" si="438"/>
        <v/>
      </c>
      <c r="S337" s="542" t="str">
        <f t="shared" si="438"/>
        <v/>
      </c>
      <c r="T337" s="542" t="str">
        <f t="shared" si="438"/>
        <v/>
      </c>
      <c r="U337" s="542" t="str">
        <f t="shared" si="438"/>
        <v/>
      </c>
      <c r="V337" s="542" t="str">
        <f t="shared" si="438"/>
        <v/>
      </c>
      <c r="W337" s="542" t="str">
        <f t="shared" si="438"/>
        <v/>
      </c>
      <c r="X337" s="108"/>
      <c r="Y337" s="206"/>
      <c r="Z337" s="1091"/>
      <c r="AA337" s="542" t="str">
        <f t="shared" ref="AA337:AI337" si="439">IF(OR(AA$17="",AA$38="",AA$40="",AA$322=""),"",IF(OR(AA$19=woning,AA$19=woongebouw),AA$269,"nvt"))</f>
        <v/>
      </c>
      <c r="AB337" s="542" t="str">
        <f t="shared" si="439"/>
        <v/>
      </c>
      <c r="AC337" s="542" t="str">
        <f t="shared" si="439"/>
        <v/>
      </c>
      <c r="AD337" s="542" t="str">
        <f t="shared" si="439"/>
        <v/>
      </c>
      <c r="AE337" s="542" t="str">
        <f t="shared" si="439"/>
        <v/>
      </c>
      <c r="AF337" s="542" t="str">
        <f t="shared" si="439"/>
        <v/>
      </c>
      <c r="AG337" s="542" t="str">
        <f t="shared" si="439"/>
        <v/>
      </c>
      <c r="AH337" s="542" t="str">
        <f t="shared" si="439"/>
        <v/>
      </c>
      <c r="AI337" s="542" t="str">
        <f t="shared" si="439"/>
        <v/>
      </c>
      <c r="AJ337" s="108"/>
      <c r="AK337" s="206"/>
      <c r="AL337" s="1091"/>
      <c r="AM337" s="542" t="str">
        <f t="shared" ref="AM337:AU337" si="440">IF(OR(AM$17="",AM$38="",AM$40="",AM$322=""),"",IF(OR(AM$19=woning,AM$19=woongebouw),AM$269,"nvt"))</f>
        <v/>
      </c>
      <c r="AN337" s="542" t="str">
        <f t="shared" si="440"/>
        <v/>
      </c>
      <c r="AO337" s="542" t="str">
        <f t="shared" si="440"/>
        <v/>
      </c>
      <c r="AP337" s="542" t="str">
        <f t="shared" si="440"/>
        <v/>
      </c>
      <c r="AQ337" s="542" t="str">
        <f t="shared" si="440"/>
        <v/>
      </c>
      <c r="AR337" s="542" t="str">
        <f t="shared" si="440"/>
        <v/>
      </c>
      <c r="AS337" s="542" t="str">
        <f t="shared" si="440"/>
        <v/>
      </c>
      <c r="AT337" s="542" t="str">
        <f t="shared" si="440"/>
        <v/>
      </c>
      <c r="AU337" s="542" t="str">
        <f t="shared" si="440"/>
        <v/>
      </c>
      <c r="AV337" s="108"/>
      <c r="AW337" s="206"/>
      <c r="AX337" s="1091"/>
      <c r="AY337" s="542" t="str">
        <f t="shared" ref="AY337:BG337" si="441">IF(OR(AY$17="",AY$38="",AY$40="",AY$322=""),"",IF(OR(AY$19=woning,AY$19=woongebouw),AY$269,"nvt"))</f>
        <v/>
      </c>
      <c r="AZ337" s="542" t="str">
        <f t="shared" si="441"/>
        <v/>
      </c>
      <c r="BA337" s="542" t="str">
        <f t="shared" si="441"/>
        <v/>
      </c>
      <c r="BB337" s="542" t="str">
        <f t="shared" si="441"/>
        <v/>
      </c>
      <c r="BC337" s="542" t="str">
        <f t="shared" si="441"/>
        <v/>
      </c>
      <c r="BD337" s="542" t="str">
        <f t="shared" si="441"/>
        <v/>
      </c>
      <c r="BE337" s="542" t="str">
        <f t="shared" si="441"/>
        <v/>
      </c>
      <c r="BF337" s="542" t="str">
        <f t="shared" si="441"/>
        <v/>
      </c>
      <c r="BG337" s="542" t="str">
        <f t="shared" si="441"/>
        <v/>
      </c>
      <c r="BH337" s="210"/>
    </row>
    <row r="338" spans="1:60">
      <c r="A338" s="1040"/>
      <c r="B338" s="1109" t="s">
        <v>1223</v>
      </c>
      <c r="C338" s="1106" t="s">
        <v>96</v>
      </c>
      <c r="D338" s="638"/>
      <c r="E338" s="942" t="s">
        <v>286</v>
      </c>
      <c r="F338" s="942"/>
      <c r="G338" s="942"/>
      <c r="H338" s="942"/>
      <c r="I338" s="129"/>
      <c r="J338" s="943"/>
      <c r="K338" s="126"/>
      <c r="L338" s="126"/>
      <c r="M338" s="944"/>
      <c r="N338" s="195"/>
      <c r="O338" s="258" t="str">
        <f>O$17</f>
        <v/>
      </c>
      <c r="P338" s="258" t="str">
        <f t="shared" ref="P338:W338" si="442">P$17</f>
        <v/>
      </c>
      <c r="Q338" s="258" t="str">
        <f t="shared" si="442"/>
        <v/>
      </c>
      <c r="R338" s="258" t="str">
        <f t="shared" si="442"/>
        <v/>
      </c>
      <c r="S338" s="258" t="str">
        <f t="shared" si="442"/>
        <v/>
      </c>
      <c r="T338" s="258" t="str">
        <f t="shared" si="442"/>
        <v/>
      </c>
      <c r="U338" s="258" t="str">
        <f t="shared" si="442"/>
        <v/>
      </c>
      <c r="V338" s="258" t="str">
        <f t="shared" si="442"/>
        <v/>
      </c>
      <c r="W338" s="258" t="str">
        <f t="shared" si="442"/>
        <v/>
      </c>
      <c r="X338" s="1092"/>
      <c r="Y338" s="944"/>
      <c r="Z338" s="1092"/>
      <c r="AA338" s="258" t="str">
        <f>AA$17</f>
        <v/>
      </c>
      <c r="AB338" s="258" t="str">
        <f t="shared" ref="AB338:AI338" si="443">AB$17</f>
        <v/>
      </c>
      <c r="AC338" s="258" t="str">
        <f t="shared" si="443"/>
        <v/>
      </c>
      <c r="AD338" s="258" t="str">
        <f t="shared" si="443"/>
        <v/>
      </c>
      <c r="AE338" s="258" t="str">
        <f t="shared" si="443"/>
        <v/>
      </c>
      <c r="AF338" s="258" t="str">
        <f t="shared" si="443"/>
        <v/>
      </c>
      <c r="AG338" s="258" t="str">
        <f t="shared" si="443"/>
        <v/>
      </c>
      <c r="AH338" s="258" t="str">
        <f t="shared" si="443"/>
        <v/>
      </c>
      <c r="AI338" s="258" t="str">
        <f t="shared" si="443"/>
        <v/>
      </c>
      <c r="AJ338" s="1092"/>
      <c r="AK338" s="944"/>
      <c r="AL338" s="1092"/>
      <c r="AM338" s="258" t="str">
        <f>AM$17</f>
        <v/>
      </c>
      <c r="AN338" s="258" t="str">
        <f t="shared" ref="AN338:AU338" si="444">AN$17</f>
        <v/>
      </c>
      <c r="AO338" s="258" t="str">
        <f t="shared" si="444"/>
        <v/>
      </c>
      <c r="AP338" s="258" t="str">
        <f t="shared" si="444"/>
        <v/>
      </c>
      <c r="AQ338" s="258" t="str">
        <f t="shared" si="444"/>
        <v/>
      </c>
      <c r="AR338" s="258" t="str">
        <f t="shared" si="444"/>
        <v/>
      </c>
      <c r="AS338" s="258" t="str">
        <f t="shared" si="444"/>
        <v/>
      </c>
      <c r="AT338" s="258" t="str">
        <f t="shared" si="444"/>
        <v/>
      </c>
      <c r="AU338" s="258" t="str">
        <f t="shared" si="444"/>
        <v/>
      </c>
      <c r="AV338" s="1092"/>
      <c r="AW338" s="944"/>
      <c r="AX338" s="1092"/>
      <c r="AY338" s="258" t="str">
        <f>AY$17</f>
        <v/>
      </c>
      <c r="AZ338" s="258" t="str">
        <f t="shared" ref="AZ338:BG338" si="445">AZ$17</f>
        <v/>
      </c>
      <c r="BA338" s="258" t="str">
        <f t="shared" si="445"/>
        <v/>
      </c>
      <c r="BB338" s="258" t="str">
        <f t="shared" si="445"/>
        <v/>
      </c>
      <c r="BC338" s="258" t="str">
        <f t="shared" si="445"/>
        <v/>
      </c>
      <c r="BD338" s="258" t="str">
        <f t="shared" si="445"/>
        <v/>
      </c>
      <c r="BE338" s="258" t="str">
        <f t="shared" si="445"/>
        <v/>
      </c>
      <c r="BF338" s="258" t="str">
        <f t="shared" si="445"/>
        <v/>
      </c>
      <c r="BG338" s="258" t="str">
        <f t="shared" si="445"/>
        <v/>
      </c>
      <c r="BH338" s="36"/>
    </row>
    <row r="339" spans="1:60">
      <c r="A339" s="1040"/>
      <c r="B339" s="1109" t="s">
        <v>1223</v>
      </c>
      <c r="C339" s="1107" t="s">
        <v>104</v>
      </c>
      <c r="D339" s="641"/>
      <c r="E339" s="203" t="s">
        <v>287</v>
      </c>
      <c r="F339" s="203"/>
      <c r="G339" s="203"/>
      <c r="H339" s="204" t="s">
        <v>154</v>
      </c>
      <c r="I339" s="205"/>
      <c r="J339" s="206"/>
      <c r="K339" s="79"/>
      <c r="L339" s="79"/>
      <c r="M339" s="206"/>
      <c r="N339" s="205"/>
      <c r="O339" s="542" t="str" cm="1">
        <f t="array" ref="O339">IF(O$337="","",IF(O$337="nvt","nvt",
INDEX(standaardwaarde_basis,MATCH(O$19,standaardwaarden_gebruiksfuncties,0)+1)+
MAX(0,O$32-1)*INDEX(standaardwaarde_extra_vraag_boven_grenswaarde_vormfactor,MATCH(O$19,standaardwaarden_gebruiksfuncties,0)+1)))</f>
        <v/>
      </c>
      <c r="P339" s="542" t="str" cm="1">
        <f t="array" ref="P339">IF(P$337="","",IF(P$337="nvt","nvt",
INDEX(standaardwaarde_basis,MATCH(P$19,standaardwaarden_gebruiksfuncties,0)+1)+
MAX(0,P$32-1)*INDEX(standaardwaarde_extra_vraag_boven_grenswaarde_vormfactor,MATCH(P$19,standaardwaarden_gebruiksfuncties,0)+1)))</f>
        <v/>
      </c>
      <c r="Q339" s="542" t="str" cm="1">
        <f t="array" ref="Q339">IF(Q$337="","",IF(Q$337="nvt","nvt",
INDEX(standaardwaarde_basis,MATCH(Q$19,standaardwaarden_gebruiksfuncties,0)+1)+
MAX(0,Q$32-1)*INDEX(standaardwaarde_extra_vraag_boven_grenswaarde_vormfactor,MATCH(Q$19,standaardwaarden_gebruiksfuncties,0)+1)))</f>
        <v/>
      </c>
      <c r="R339" s="542" t="str" cm="1">
        <f t="array" ref="R339">IF(R$337="","",IF(R$337="nvt","nvt",
INDEX(standaardwaarde_basis,MATCH(R$19,standaardwaarden_gebruiksfuncties,0)+1)+
MAX(0,R$32-1)*INDEX(standaardwaarde_extra_vraag_boven_grenswaarde_vormfactor,MATCH(R$19,standaardwaarden_gebruiksfuncties,0)+1)))</f>
        <v/>
      </c>
      <c r="S339" s="542" t="str" cm="1">
        <f t="array" ref="S339">IF(S$337="","",IF(S$337="nvt","nvt",
INDEX(standaardwaarde_basis,MATCH(S$19,standaardwaarden_gebruiksfuncties,0)+1)+
MAX(0,S$32-1)*INDEX(standaardwaarde_extra_vraag_boven_grenswaarde_vormfactor,MATCH(S$19,standaardwaarden_gebruiksfuncties,0)+1)))</f>
        <v/>
      </c>
      <c r="T339" s="542" t="str" cm="1">
        <f t="array" ref="T339">IF(T$337="","",IF(T$337="nvt","nvt",
INDEX(standaardwaarde_basis,MATCH(T$19,standaardwaarden_gebruiksfuncties,0)+1)+
MAX(0,T$32-1)*INDEX(standaardwaarde_extra_vraag_boven_grenswaarde_vormfactor,MATCH(T$19,standaardwaarden_gebruiksfuncties,0)+1)))</f>
        <v/>
      </c>
      <c r="U339" s="542" t="str" cm="1">
        <f t="array" ref="U339">IF(U$337="","",IF(U$337="nvt","nvt",
INDEX(standaardwaarde_basis,MATCH(U$19,standaardwaarden_gebruiksfuncties,0)+1)+
MAX(0,U$32-1)*INDEX(standaardwaarde_extra_vraag_boven_grenswaarde_vormfactor,MATCH(U$19,standaardwaarden_gebruiksfuncties,0)+1)))</f>
        <v/>
      </c>
      <c r="V339" s="542" t="str" cm="1">
        <f t="array" ref="V339">IF(V$337="","",IF(V$337="nvt","nvt",
INDEX(standaardwaarde_basis,MATCH(V$19,standaardwaarden_gebruiksfuncties,0)+1)+
MAX(0,V$32-1)*INDEX(standaardwaarde_extra_vraag_boven_grenswaarde_vormfactor,MATCH(V$19,standaardwaarden_gebruiksfuncties,0)+1)))</f>
        <v/>
      </c>
      <c r="W339" s="542" t="str" cm="1">
        <f t="array" ref="W339">IF(W$337="","",IF(W$337="nvt","nvt",
INDEX(standaardwaarde_basis,MATCH(W$19,standaardwaarden_gebruiksfuncties,0)+1)+
MAX(0,W$32-1)*INDEX(standaardwaarde_extra_vraag_boven_grenswaarde_vormfactor,MATCH(W$19,standaardwaarden_gebruiksfuncties,0)+1)))</f>
        <v/>
      </c>
      <c r="X339" s="108"/>
      <c r="Y339" s="206"/>
      <c r="Z339" s="1091"/>
      <c r="AA339" s="542" t="str" cm="1">
        <f t="array" ref="AA339">IF(AA$337="","",IF(AA$337="nvt","nvt",
INDEX(standaardwaarde_basis,MATCH(AA$19,standaardwaarden_gebruiksfuncties,0)+1)+
MAX(0,AA$32-1)*INDEX(standaardwaarde_extra_vraag_boven_grenswaarde_vormfactor,MATCH(AA$19,standaardwaarden_gebruiksfuncties,0)+1)))</f>
        <v/>
      </c>
      <c r="AB339" s="542" t="str" cm="1">
        <f t="array" ref="AB339">IF(AB$337="","",IF(AB$337="nvt","nvt",
INDEX(standaardwaarde_basis,MATCH(AB$19,standaardwaarden_gebruiksfuncties,0)+1)+
MAX(0,AB$32-1)*INDEX(standaardwaarde_extra_vraag_boven_grenswaarde_vormfactor,MATCH(AB$19,standaardwaarden_gebruiksfuncties,0)+1)))</f>
        <v/>
      </c>
      <c r="AC339" s="542" t="str" cm="1">
        <f t="array" ref="AC339">IF(AC$337="","",IF(AC$337="nvt","nvt",
INDEX(standaardwaarde_basis,MATCH(AC$19,standaardwaarden_gebruiksfuncties,0)+1)+
MAX(0,AC$32-1)*INDEX(standaardwaarde_extra_vraag_boven_grenswaarde_vormfactor,MATCH(AC$19,standaardwaarden_gebruiksfuncties,0)+1)))</f>
        <v/>
      </c>
      <c r="AD339" s="542" t="str" cm="1">
        <f t="array" ref="AD339">IF(AD$337="","",IF(AD$337="nvt","nvt",
INDEX(standaardwaarde_basis,MATCH(AD$19,standaardwaarden_gebruiksfuncties,0)+1)+
MAX(0,AD$32-1)*INDEX(standaardwaarde_extra_vraag_boven_grenswaarde_vormfactor,MATCH(AD$19,standaardwaarden_gebruiksfuncties,0)+1)))</f>
        <v/>
      </c>
      <c r="AE339" s="542" t="str" cm="1">
        <f t="array" ref="AE339">IF(AE$337="","",IF(AE$337="nvt","nvt",
INDEX(standaardwaarde_basis,MATCH(AE$19,standaardwaarden_gebruiksfuncties,0)+1)+
MAX(0,AE$32-1)*INDEX(standaardwaarde_extra_vraag_boven_grenswaarde_vormfactor,MATCH(AE$19,standaardwaarden_gebruiksfuncties,0)+1)))</f>
        <v/>
      </c>
      <c r="AF339" s="542" t="str" cm="1">
        <f t="array" ref="AF339">IF(AF$337="","",IF(AF$337="nvt","nvt",
INDEX(standaardwaarde_basis,MATCH(AF$19,standaardwaarden_gebruiksfuncties,0)+1)+
MAX(0,AF$32-1)*INDEX(standaardwaarde_extra_vraag_boven_grenswaarde_vormfactor,MATCH(AF$19,standaardwaarden_gebruiksfuncties,0)+1)))</f>
        <v/>
      </c>
      <c r="AG339" s="542" t="str" cm="1">
        <f t="array" ref="AG339">IF(AG$337="","",IF(AG$337="nvt","nvt",
INDEX(standaardwaarde_basis,MATCH(AG$19,standaardwaarden_gebruiksfuncties,0)+1)+
MAX(0,AG$32-1)*INDEX(standaardwaarde_extra_vraag_boven_grenswaarde_vormfactor,MATCH(AG$19,standaardwaarden_gebruiksfuncties,0)+1)))</f>
        <v/>
      </c>
      <c r="AH339" s="542" t="str" cm="1">
        <f t="array" ref="AH339">IF(AH$337="","",IF(AH$337="nvt","nvt",
INDEX(standaardwaarde_basis,MATCH(AH$19,standaardwaarden_gebruiksfuncties,0)+1)+
MAX(0,AH$32-1)*INDEX(standaardwaarde_extra_vraag_boven_grenswaarde_vormfactor,MATCH(AH$19,standaardwaarden_gebruiksfuncties,0)+1)))</f>
        <v/>
      </c>
      <c r="AI339" s="542" t="str" cm="1">
        <f t="array" ref="AI339">IF(AI$337="","",IF(AI$337="nvt","nvt",
INDEX(standaardwaarde_basis,MATCH(AI$19,standaardwaarden_gebruiksfuncties,0)+1)+
MAX(0,AI$32-1)*INDEX(standaardwaarde_extra_vraag_boven_grenswaarde_vormfactor,MATCH(AI$19,standaardwaarden_gebruiksfuncties,0)+1)))</f>
        <v/>
      </c>
      <c r="AJ339" s="108"/>
      <c r="AK339" s="206"/>
      <c r="AL339" s="1091"/>
      <c r="AM339" s="542" t="str" cm="1">
        <f t="array" ref="AM339">IF(AM$337="","",IF(AM$337="nvt","nvt",
INDEX(standaardwaarde_basis,MATCH(AM$19,standaardwaarden_gebruiksfuncties,0)+1)+
MAX(0,AM$32-1)*INDEX(standaardwaarde_extra_vraag_boven_grenswaarde_vormfactor,MATCH(AM$19,standaardwaarden_gebruiksfuncties,0)+1)))</f>
        <v/>
      </c>
      <c r="AN339" s="542" t="str" cm="1">
        <f t="array" ref="AN339">IF(AN$337="","",IF(AN$337="nvt","nvt",
INDEX(standaardwaarde_basis,MATCH(AN$19,standaardwaarden_gebruiksfuncties,0)+1)+
MAX(0,AN$32-1)*INDEX(standaardwaarde_extra_vraag_boven_grenswaarde_vormfactor,MATCH(AN$19,standaardwaarden_gebruiksfuncties,0)+1)))</f>
        <v/>
      </c>
      <c r="AO339" s="542" t="str" cm="1">
        <f t="array" ref="AO339">IF(AO$337="","",IF(AO$337="nvt","nvt",
INDEX(standaardwaarde_basis,MATCH(AO$19,standaardwaarden_gebruiksfuncties,0)+1)+
MAX(0,AO$32-1)*INDEX(standaardwaarde_extra_vraag_boven_grenswaarde_vormfactor,MATCH(AO$19,standaardwaarden_gebruiksfuncties,0)+1)))</f>
        <v/>
      </c>
      <c r="AP339" s="542" t="str" cm="1">
        <f t="array" ref="AP339">IF(AP$337="","",IF(AP$337="nvt","nvt",
INDEX(standaardwaarde_basis,MATCH(AP$19,standaardwaarden_gebruiksfuncties,0)+1)+
MAX(0,AP$32-1)*INDEX(standaardwaarde_extra_vraag_boven_grenswaarde_vormfactor,MATCH(AP$19,standaardwaarden_gebruiksfuncties,0)+1)))</f>
        <v/>
      </c>
      <c r="AQ339" s="542" t="str" cm="1">
        <f t="array" ref="AQ339">IF(AQ$337="","",IF(AQ$337="nvt","nvt",
INDEX(standaardwaarde_basis,MATCH(AQ$19,standaardwaarden_gebruiksfuncties,0)+1)+
MAX(0,AQ$32-1)*INDEX(standaardwaarde_extra_vraag_boven_grenswaarde_vormfactor,MATCH(AQ$19,standaardwaarden_gebruiksfuncties,0)+1)))</f>
        <v/>
      </c>
      <c r="AR339" s="542" t="str" cm="1">
        <f t="array" ref="AR339">IF(AR$337="","",IF(AR$337="nvt","nvt",
INDEX(standaardwaarde_basis,MATCH(AR$19,standaardwaarden_gebruiksfuncties,0)+1)+
MAX(0,AR$32-1)*INDEX(standaardwaarde_extra_vraag_boven_grenswaarde_vormfactor,MATCH(AR$19,standaardwaarden_gebruiksfuncties,0)+1)))</f>
        <v/>
      </c>
      <c r="AS339" s="542" t="str" cm="1">
        <f t="array" ref="AS339">IF(AS$337="","",IF(AS$337="nvt","nvt",
INDEX(standaardwaarde_basis,MATCH(AS$19,standaardwaarden_gebruiksfuncties,0)+1)+
MAX(0,AS$32-1)*INDEX(standaardwaarde_extra_vraag_boven_grenswaarde_vormfactor,MATCH(AS$19,standaardwaarden_gebruiksfuncties,0)+1)))</f>
        <v/>
      </c>
      <c r="AT339" s="542" t="str" cm="1">
        <f t="array" ref="AT339">IF(AT$337="","",IF(AT$337="nvt","nvt",
INDEX(standaardwaarde_basis,MATCH(AT$19,standaardwaarden_gebruiksfuncties,0)+1)+
MAX(0,AT$32-1)*INDEX(standaardwaarde_extra_vraag_boven_grenswaarde_vormfactor,MATCH(AT$19,standaardwaarden_gebruiksfuncties,0)+1)))</f>
        <v/>
      </c>
      <c r="AU339" s="542" t="str" cm="1">
        <f t="array" ref="AU339">IF(AU$337="","",IF(AU$337="nvt","nvt",
INDEX(standaardwaarde_basis,MATCH(AU$19,standaardwaarden_gebruiksfuncties,0)+1)+
MAX(0,AU$32-1)*INDEX(standaardwaarde_extra_vraag_boven_grenswaarde_vormfactor,MATCH(AU$19,standaardwaarden_gebruiksfuncties,0)+1)))</f>
        <v/>
      </c>
      <c r="AV339" s="108"/>
      <c r="AW339" s="206"/>
      <c r="AX339" s="1091"/>
      <c r="AY339" s="542" t="str" cm="1">
        <f t="array" ref="AY339">IF(AY$337="","",IF(AY$337="nvt","nvt",
INDEX(standaardwaarde_basis,MATCH(AY$19,standaardwaarden_gebruiksfuncties,0)+1)+
MAX(0,AY$32-1)*INDEX(standaardwaarde_extra_vraag_boven_grenswaarde_vormfactor,MATCH(AY$19,standaardwaarden_gebruiksfuncties,0)+1)))</f>
        <v/>
      </c>
      <c r="AZ339" s="542" t="str" cm="1">
        <f t="array" ref="AZ339">IF(AZ$337="","",IF(AZ$337="nvt","nvt",
INDEX(standaardwaarde_basis,MATCH(AZ$19,standaardwaarden_gebruiksfuncties,0)+1)+
MAX(0,AZ$32-1)*INDEX(standaardwaarde_extra_vraag_boven_grenswaarde_vormfactor,MATCH(AZ$19,standaardwaarden_gebruiksfuncties,0)+1)))</f>
        <v/>
      </c>
      <c r="BA339" s="542" t="str" cm="1">
        <f t="array" ref="BA339">IF(BA$337="","",IF(BA$337="nvt","nvt",
INDEX(standaardwaarde_basis,MATCH(BA$19,standaardwaarden_gebruiksfuncties,0)+1)+
MAX(0,BA$32-1)*INDEX(standaardwaarde_extra_vraag_boven_grenswaarde_vormfactor,MATCH(BA$19,standaardwaarden_gebruiksfuncties,0)+1)))</f>
        <v/>
      </c>
      <c r="BB339" s="542" t="str" cm="1">
        <f t="array" ref="BB339">IF(BB$337="","",IF(BB$337="nvt","nvt",
INDEX(standaardwaarde_basis,MATCH(BB$19,standaardwaarden_gebruiksfuncties,0)+1)+
MAX(0,BB$32-1)*INDEX(standaardwaarde_extra_vraag_boven_grenswaarde_vormfactor,MATCH(BB$19,standaardwaarden_gebruiksfuncties,0)+1)))</f>
        <v/>
      </c>
      <c r="BC339" s="542" t="str" cm="1">
        <f t="array" ref="BC339">IF(BC$337="","",IF(BC$337="nvt","nvt",
INDEX(standaardwaarde_basis,MATCH(BC$19,standaardwaarden_gebruiksfuncties,0)+1)+
MAX(0,BC$32-1)*INDEX(standaardwaarde_extra_vraag_boven_grenswaarde_vormfactor,MATCH(BC$19,standaardwaarden_gebruiksfuncties,0)+1)))</f>
        <v/>
      </c>
      <c r="BD339" s="542" t="str" cm="1">
        <f t="array" ref="BD339">IF(BD$337="","",IF(BD$337="nvt","nvt",
INDEX(standaardwaarde_basis,MATCH(BD$19,standaardwaarden_gebruiksfuncties,0)+1)+
MAX(0,BD$32-1)*INDEX(standaardwaarde_extra_vraag_boven_grenswaarde_vormfactor,MATCH(BD$19,standaardwaarden_gebruiksfuncties,0)+1)))</f>
        <v/>
      </c>
      <c r="BE339" s="542" t="str" cm="1">
        <f t="array" ref="BE339">IF(BE$337="","",IF(BE$337="nvt","nvt",
INDEX(standaardwaarde_basis,MATCH(BE$19,standaardwaarden_gebruiksfuncties,0)+1)+
MAX(0,BE$32-1)*INDEX(standaardwaarde_extra_vraag_boven_grenswaarde_vormfactor,MATCH(BE$19,standaardwaarden_gebruiksfuncties,0)+1)))</f>
        <v/>
      </c>
      <c r="BF339" s="542" t="str" cm="1">
        <f t="array" ref="BF339">IF(BF$337="","",IF(BF$337="nvt","nvt",
INDEX(standaardwaarde_basis,MATCH(BF$19,standaardwaarden_gebruiksfuncties,0)+1)+
MAX(0,BF$32-1)*INDEX(standaardwaarde_extra_vraag_boven_grenswaarde_vormfactor,MATCH(BF$19,standaardwaarden_gebruiksfuncties,0)+1)))</f>
        <v/>
      </c>
      <c r="BG339" s="542" t="str" cm="1">
        <f t="array" ref="BG339">IF(BG$337="","",IF(BG$337="nvt","nvt",
INDEX(standaardwaarde_basis,MATCH(BG$19,standaardwaarden_gebruiksfuncties,0)+1)+
MAX(0,BG$32-1)*INDEX(standaardwaarde_extra_vraag_boven_grenswaarde_vormfactor,MATCH(BG$19,standaardwaarden_gebruiksfuncties,0)+1)))</f>
        <v/>
      </c>
      <c r="BH339" s="210"/>
    </row>
    <row r="340" spans="1:60">
      <c r="A340" s="1040"/>
      <c r="B340" s="1109" t="s">
        <v>1223</v>
      </c>
      <c r="C340" s="1107" t="s">
        <v>104</v>
      </c>
      <c r="D340" s="641"/>
      <c r="E340" s="203" t="s">
        <v>285</v>
      </c>
      <c r="F340" s="203"/>
      <c r="G340" s="203"/>
      <c r="H340" s="204" t="s">
        <v>154</v>
      </c>
      <c r="I340" s="205"/>
      <c r="J340" s="206"/>
      <c r="K340" s="79"/>
      <c r="L340" s="79"/>
      <c r="M340" s="206"/>
      <c r="N340" s="205"/>
      <c r="O340" s="542" t="str">
        <f t="shared" ref="O340:W340" si="446">IF(OR(O$17="",O$38="",O$40="",O$322=""),"",IF(OR(O$19=woning,O$19=woongebouw),O$269,"nvt"))</f>
        <v/>
      </c>
      <c r="P340" s="542" t="str">
        <f t="shared" si="446"/>
        <v/>
      </c>
      <c r="Q340" s="542" t="str">
        <f t="shared" si="446"/>
        <v/>
      </c>
      <c r="R340" s="542" t="str">
        <f t="shared" si="446"/>
        <v/>
      </c>
      <c r="S340" s="542" t="str">
        <f t="shared" si="446"/>
        <v/>
      </c>
      <c r="T340" s="542" t="str">
        <f t="shared" si="446"/>
        <v/>
      </c>
      <c r="U340" s="542" t="str">
        <f t="shared" si="446"/>
        <v/>
      </c>
      <c r="V340" s="542" t="str">
        <f t="shared" si="446"/>
        <v/>
      </c>
      <c r="W340" s="542" t="str">
        <f t="shared" si="446"/>
        <v/>
      </c>
      <c r="X340" s="108"/>
      <c r="Y340" s="206"/>
      <c r="Z340" s="1091"/>
      <c r="AA340" s="542" t="str">
        <f t="shared" ref="AA340:AI340" si="447">IF(OR(AA$17="",AA$38="",AA$40="",AA$322=""),"",IF(OR(AA$19=woning,AA$19=woongebouw),AA$269,"nvt"))</f>
        <v/>
      </c>
      <c r="AB340" s="542" t="str">
        <f t="shared" si="447"/>
        <v/>
      </c>
      <c r="AC340" s="542" t="str">
        <f t="shared" si="447"/>
        <v/>
      </c>
      <c r="AD340" s="542" t="str">
        <f t="shared" si="447"/>
        <v/>
      </c>
      <c r="AE340" s="542" t="str">
        <f t="shared" si="447"/>
        <v/>
      </c>
      <c r="AF340" s="542" t="str">
        <f t="shared" si="447"/>
        <v/>
      </c>
      <c r="AG340" s="542" t="str">
        <f t="shared" si="447"/>
        <v/>
      </c>
      <c r="AH340" s="542" t="str">
        <f t="shared" si="447"/>
        <v/>
      </c>
      <c r="AI340" s="542" t="str">
        <f t="shared" si="447"/>
        <v/>
      </c>
      <c r="AJ340" s="108"/>
      <c r="AK340" s="206"/>
      <c r="AL340" s="1091"/>
      <c r="AM340" s="542" t="str">
        <f t="shared" ref="AM340:AU340" si="448">IF(OR(AM$17="",AM$38="",AM$40="",AM$322=""),"",IF(OR(AM$19=woning,AM$19=woongebouw),AM$269,"nvt"))</f>
        <v/>
      </c>
      <c r="AN340" s="542" t="str">
        <f t="shared" si="448"/>
        <v/>
      </c>
      <c r="AO340" s="542" t="str">
        <f t="shared" si="448"/>
        <v/>
      </c>
      <c r="AP340" s="542" t="str">
        <f t="shared" si="448"/>
        <v/>
      </c>
      <c r="AQ340" s="542" t="str">
        <f t="shared" si="448"/>
        <v/>
      </c>
      <c r="AR340" s="542" t="str">
        <f t="shared" si="448"/>
        <v/>
      </c>
      <c r="AS340" s="542" t="str">
        <f t="shared" si="448"/>
        <v/>
      </c>
      <c r="AT340" s="542" t="str">
        <f t="shared" si="448"/>
        <v/>
      </c>
      <c r="AU340" s="542" t="str">
        <f t="shared" si="448"/>
        <v/>
      </c>
      <c r="AV340" s="108"/>
      <c r="AW340" s="206"/>
      <c r="AX340" s="1091"/>
      <c r="AY340" s="542" t="str">
        <f t="shared" ref="AY340:BG340" si="449">IF(OR(AY$17="",AY$38="",AY$40="",AY$322=""),"",IF(OR(AY$19=woning,AY$19=woongebouw),AY$269,"nvt"))</f>
        <v/>
      </c>
      <c r="AZ340" s="542" t="str">
        <f t="shared" si="449"/>
        <v/>
      </c>
      <c r="BA340" s="542" t="str">
        <f t="shared" si="449"/>
        <v/>
      </c>
      <c r="BB340" s="542" t="str">
        <f t="shared" si="449"/>
        <v/>
      </c>
      <c r="BC340" s="542" t="str">
        <f t="shared" si="449"/>
        <v/>
      </c>
      <c r="BD340" s="542" t="str">
        <f t="shared" si="449"/>
        <v/>
      </c>
      <c r="BE340" s="542" t="str">
        <f t="shared" si="449"/>
        <v/>
      </c>
      <c r="BF340" s="542" t="str">
        <f t="shared" si="449"/>
        <v/>
      </c>
      <c r="BG340" s="542" t="str">
        <f t="shared" si="449"/>
        <v/>
      </c>
      <c r="BH340" s="210"/>
    </row>
    <row r="341" spans="1:60">
      <c r="A341" s="1040"/>
      <c r="B341" s="1109" t="s">
        <v>1223</v>
      </c>
      <c r="C341" s="1106" t="s">
        <v>96</v>
      </c>
      <c r="D341" s="638"/>
      <c r="E341" s="79"/>
      <c r="F341" s="79"/>
      <c r="G341" s="79"/>
      <c r="H341" s="85"/>
      <c r="I341" s="79"/>
      <c r="J341" s="82"/>
      <c r="K341" s="79"/>
      <c r="L341" s="79"/>
      <c r="M341" s="82"/>
      <c r="N341" s="79"/>
      <c r="O341" s="108"/>
      <c r="P341" s="108"/>
      <c r="Q341" s="108"/>
      <c r="R341" s="108"/>
      <c r="S341" s="108"/>
      <c r="T341" s="108"/>
      <c r="U341" s="108"/>
      <c r="V341" s="108"/>
      <c r="W341" s="108"/>
      <c r="X341" s="82"/>
      <c r="Y341" s="82"/>
      <c r="Z341" s="79"/>
      <c r="AA341" s="108"/>
      <c r="AB341" s="108"/>
      <c r="AC341" s="108"/>
      <c r="AD341" s="108"/>
      <c r="AE341" s="108"/>
      <c r="AF341" s="108"/>
      <c r="AG341" s="108"/>
      <c r="AH341" s="108"/>
      <c r="AI341" s="108"/>
      <c r="AJ341" s="82"/>
      <c r="AK341" s="82"/>
      <c r="AL341" s="79"/>
      <c r="AM341" s="108"/>
      <c r="AN341" s="108"/>
      <c r="AO341" s="108"/>
      <c r="AP341" s="108"/>
      <c r="AQ341" s="108"/>
      <c r="AR341" s="108"/>
      <c r="AS341" s="108"/>
      <c r="AT341" s="108"/>
      <c r="AU341" s="108"/>
      <c r="AV341" s="82"/>
      <c r="AW341" s="82"/>
      <c r="AX341" s="79"/>
      <c r="AY341" s="108"/>
      <c r="AZ341" s="108"/>
      <c r="BA341" s="108"/>
      <c r="BB341" s="108"/>
      <c r="BC341" s="108"/>
      <c r="BD341" s="108"/>
      <c r="BE341" s="108"/>
      <c r="BF341" s="108"/>
      <c r="BG341" s="108"/>
      <c r="BH341" s="1"/>
    </row>
    <row r="342" spans="1:60">
      <c r="A342" s="1040"/>
      <c r="B342" s="1109" t="s">
        <v>1224</v>
      </c>
      <c r="C342" s="1107" t="s">
        <v>96</v>
      </c>
      <c r="D342" s="638"/>
      <c r="E342" s="79"/>
      <c r="F342" s="79"/>
      <c r="G342" s="79"/>
      <c r="H342" s="85"/>
      <c r="I342" s="79"/>
      <c r="J342" s="82"/>
      <c r="K342" s="79"/>
      <c r="L342" s="79"/>
      <c r="M342" s="82"/>
      <c r="N342" s="79"/>
      <c r="O342" s="82"/>
      <c r="P342" s="82"/>
      <c r="Q342" s="82"/>
      <c r="R342" s="82"/>
      <c r="S342" s="82"/>
      <c r="T342" s="82"/>
      <c r="U342" s="82"/>
      <c r="V342" s="82"/>
      <c r="W342" s="82"/>
      <c r="X342" s="82"/>
      <c r="Y342" s="82"/>
      <c r="Z342" s="79"/>
      <c r="AA342" s="82"/>
      <c r="AB342" s="82"/>
      <c r="AC342" s="82"/>
      <c r="AD342" s="82"/>
      <c r="AE342" s="82"/>
      <c r="AF342" s="82"/>
      <c r="AG342" s="82"/>
      <c r="AH342" s="82"/>
      <c r="AI342" s="82"/>
      <c r="AJ342" s="82"/>
      <c r="AK342" s="82"/>
      <c r="AL342" s="79"/>
      <c r="AM342" s="82"/>
      <c r="AN342" s="82"/>
      <c r="AO342" s="82"/>
      <c r="AP342" s="82"/>
      <c r="AQ342" s="82"/>
      <c r="AR342" s="82"/>
      <c r="AS342" s="82"/>
      <c r="AT342" s="82"/>
      <c r="AU342" s="82"/>
      <c r="AV342" s="82"/>
      <c r="AW342" s="82"/>
      <c r="AX342" s="79"/>
      <c r="AY342" s="82"/>
      <c r="AZ342" s="82"/>
      <c r="BA342" s="82"/>
      <c r="BB342" s="82"/>
      <c r="BC342" s="82"/>
      <c r="BD342" s="82"/>
      <c r="BE342" s="82"/>
      <c r="BF342" s="82"/>
      <c r="BG342" s="82"/>
      <c r="BH342" s="1"/>
    </row>
    <row r="343" spans="1:60" s="2" customFormat="1" ht="21">
      <c r="A343" s="1038"/>
      <c r="B343" s="1109" t="s">
        <v>1224</v>
      </c>
      <c r="C343" s="1106" t="s">
        <v>96</v>
      </c>
      <c r="D343" s="640" t="s">
        <v>45</v>
      </c>
      <c r="E343" s="209" t="s">
        <v>1361</v>
      </c>
      <c r="F343" s="209"/>
      <c r="G343" s="209"/>
      <c r="H343" s="209"/>
      <c r="I343" s="129"/>
      <c r="J343" s="256" t="str">
        <f>"ton CO2 "&amp;J$8</f>
        <v>ton CO2 alle locaties</v>
      </c>
      <c r="K343" s="126"/>
      <c r="L343" s="126"/>
      <c r="M343" s="256" t="str">
        <f>"ton CO2 "&amp;M$8</f>
        <v>ton CO2 locatie 1</v>
      </c>
      <c r="N343" s="182"/>
      <c r="O343" s="955" t="str">
        <f>$E343&amp;" per woning-/gebouwtype"</f>
        <v>CO2 emissie indicatie op basis van berekening fossiel per woning-/gebouwtype</v>
      </c>
      <c r="P343" s="945"/>
      <c r="Q343" s="945"/>
      <c r="R343" s="945"/>
      <c r="S343" s="945"/>
      <c r="T343" s="945"/>
      <c r="U343" s="945"/>
      <c r="V343" s="945"/>
      <c r="W343" s="257"/>
      <c r="X343" s="174"/>
      <c r="Y343" s="256" t="str">
        <f>"ton CO2 "&amp;Y$8</f>
        <v>ton CO2 locatie 2</v>
      </c>
      <c r="Z343" s="182"/>
      <c r="AA343" s="955" t="str">
        <f>$E343&amp;" per woning-/gebouwtype"</f>
        <v>CO2 emissie indicatie op basis van berekening fossiel per woning-/gebouwtype</v>
      </c>
      <c r="AB343" s="945"/>
      <c r="AC343" s="945"/>
      <c r="AD343" s="945"/>
      <c r="AE343" s="945"/>
      <c r="AF343" s="945"/>
      <c r="AG343" s="945"/>
      <c r="AH343" s="945"/>
      <c r="AI343" s="257"/>
      <c r="AJ343" s="174"/>
      <c r="AK343" s="256" t="str">
        <f>"ton CO2 "&amp;AK$8</f>
        <v>ton CO2 locatie 3</v>
      </c>
      <c r="AL343" s="182"/>
      <c r="AM343" s="955" t="str">
        <f>$E343&amp;" per woning-/gebouwtype"</f>
        <v>CO2 emissie indicatie op basis van berekening fossiel per woning-/gebouwtype</v>
      </c>
      <c r="AN343" s="945"/>
      <c r="AO343" s="945"/>
      <c r="AP343" s="945"/>
      <c r="AQ343" s="945"/>
      <c r="AR343" s="945"/>
      <c r="AS343" s="945"/>
      <c r="AT343" s="945"/>
      <c r="AU343" s="257"/>
      <c r="AV343" s="174"/>
      <c r="AW343" s="256" t="str">
        <f>"ton CO2 "&amp;AW$8</f>
        <v>ton CO2 locatie 4</v>
      </c>
      <c r="AX343" s="182"/>
      <c r="AY343" s="955" t="str">
        <f>$E343&amp;" per woning-/gebouwtype"</f>
        <v>CO2 emissie indicatie op basis van berekening fossiel per woning-/gebouwtype</v>
      </c>
      <c r="AZ343" s="945"/>
      <c r="BA343" s="945"/>
      <c r="BB343" s="945"/>
      <c r="BC343" s="945"/>
      <c r="BD343" s="945"/>
      <c r="BE343" s="945"/>
      <c r="BF343" s="945"/>
      <c r="BG343" s="257"/>
      <c r="BH343" s="1"/>
    </row>
    <row r="344" spans="1:60">
      <c r="A344" s="1040"/>
      <c r="B344" s="1109" t="s">
        <v>1224</v>
      </c>
      <c r="C344" s="1106" t="s">
        <v>96</v>
      </c>
      <c r="D344" s="638"/>
      <c r="E344" s="942" t="s">
        <v>288</v>
      </c>
      <c r="F344" s="942"/>
      <c r="G344" s="942"/>
      <c r="H344" s="942"/>
      <c r="I344" s="129"/>
      <c r="J344" s="943"/>
      <c r="K344" s="126"/>
      <c r="L344" s="126"/>
      <c r="M344" s="944"/>
      <c r="N344" s="195"/>
      <c r="O344" s="258" t="str">
        <f>O$17</f>
        <v/>
      </c>
      <c r="P344" s="258" t="str">
        <f t="shared" ref="P344:W344" si="450">P$17</f>
        <v/>
      </c>
      <c r="Q344" s="258" t="str">
        <f t="shared" si="450"/>
        <v/>
      </c>
      <c r="R344" s="258" t="str">
        <f t="shared" si="450"/>
        <v/>
      </c>
      <c r="S344" s="258" t="str">
        <f t="shared" si="450"/>
        <v/>
      </c>
      <c r="T344" s="258" t="str">
        <f t="shared" si="450"/>
        <v/>
      </c>
      <c r="U344" s="258" t="str">
        <f t="shared" si="450"/>
        <v/>
      </c>
      <c r="V344" s="258" t="str">
        <f t="shared" si="450"/>
        <v/>
      </c>
      <c r="W344" s="258" t="str">
        <f t="shared" si="450"/>
        <v/>
      </c>
      <c r="X344" s="195"/>
      <c r="Y344" s="944"/>
      <c r="Z344" s="195"/>
      <c r="AA344" s="258" t="str">
        <f>AA$17</f>
        <v/>
      </c>
      <c r="AB344" s="258" t="str">
        <f t="shared" ref="AB344:AI344" si="451">AB$17</f>
        <v/>
      </c>
      <c r="AC344" s="258" t="str">
        <f t="shared" si="451"/>
        <v/>
      </c>
      <c r="AD344" s="258" t="str">
        <f t="shared" si="451"/>
        <v/>
      </c>
      <c r="AE344" s="258" t="str">
        <f t="shared" si="451"/>
        <v/>
      </c>
      <c r="AF344" s="258" t="str">
        <f t="shared" si="451"/>
        <v/>
      </c>
      <c r="AG344" s="258" t="str">
        <f t="shared" si="451"/>
        <v/>
      </c>
      <c r="AH344" s="258" t="str">
        <f t="shared" si="451"/>
        <v/>
      </c>
      <c r="AI344" s="258" t="str">
        <f t="shared" si="451"/>
        <v/>
      </c>
      <c r="AJ344" s="195"/>
      <c r="AK344" s="944"/>
      <c r="AL344" s="195"/>
      <c r="AM344" s="258" t="str">
        <f>AM$17</f>
        <v/>
      </c>
      <c r="AN344" s="258" t="str">
        <f t="shared" ref="AN344:AU344" si="452">AN$17</f>
        <v/>
      </c>
      <c r="AO344" s="258" t="str">
        <f t="shared" si="452"/>
        <v/>
      </c>
      <c r="AP344" s="258" t="str">
        <f t="shared" si="452"/>
        <v/>
      </c>
      <c r="AQ344" s="258" t="str">
        <f t="shared" si="452"/>
        <v/>
      </c>
      <c r="AR344" s="258" t="str">
        <f t="shared" si="452"/>
        <v/>
      </c>
      <c r="AS344" s="258" t="str">
        <f t="shared" si="452"/>
        <v/>
      </c>
      <c r="AT344" s="258" t="str">
        <f t="shared" si="452"/>
        <v/>
      </c>
      <c r="AU344" s="258" t="str">
        <f t="shared" si="452"/>
        <v/>
      </c>
      <c r="AV344" s="195"/>
      <c r="AW344" s="944"/>
      <c r="AX344" s="195"/>
      <c r="AY344" s="258" t="str">
        <f>AY$17</f>
        <v/>
      </c>
      <c r="AZ344" s="258" t="str">
        <f t="shared" ref="AZ344:BG344" si="453">AZ$17</f>
        <v/>
      </c>
      <c r="BA344" s="258" t="str">
        <f t="shared" si="453"/>
        <v/>
      </c>
      <c r="BB344" s="258" t="str">
        <f t="shared" si="453"/>
        <v/>
      </c>
      <c r="BC344" s="258" t="str">
        <f t="shared" si="453"/>
        <v/>
      </c>
      <c r="BD344" s="258" t="str">
        <f t="shared" si="453"/>
        <v/>
      </c>
      <c r="BE344" s="258" t="str">
        <f t="shared" si="453"/>
        <v/>
      </c>
      <c r="BF344" s="258" t="str">
        <f t="shared" si="453"/>
        <v/>
      </c>
      <c r="BG344" s="258" t="str">
        <f t="shared" si="453"/>
        <v/>
      </c>
      <c r="BH344" s="36"/>
    </row>
    <row r="345" spans="1:60" s="2" customFormat="1">
      <c r="A345" s="1038"/>
      <c r="B345" s="1110" t="s">
        <v>1224</v>
      </c>
      <c r="C345" s="1106" t="s">
        <v>104</v>
      </c>
      <c r="D345" s="645"/>
      <c r="E345" s="304" t="str">
        <f>$O$10</f>
        <v>verwarming</v>
      </c>
      <c r="F345" s="203"/>
      <c r="G345" s="203"/>
      <c r="H345" s="204" t="s">
        <v>289</v>
      </c>
      <c r="I345" s="205"/>
      <c r="J345" s="206">
        <f t="shared" ref="J345:J353" si="454">M345+Y345+AK345+AW345</f>
        <v>0</v>
      </c>
      <c r="K345" s="220"/>
      <c r="L345" s="220"/>
      <c r="M345" s="206">
        <f t="shared" ref="M345:M352" si="455">SUMPRODUCT(N345:X345,N$22:X$22,N$29:X$29)/1000</f>
        <v>0</v>
      </c>
      <c r="N345" s="220"/>
      <c r="O345" s="1093">
        <f t="shared" ref="O345:W345" si="456">IF($O$78=0,0,
($O$130+$O$161+$O$181)/$O$78*O62)</f>
        <v>0</v>
      </c>
      <c r="P345" s="1093">
        <f t="shared" si="456"/>
        <v>0</v>
      </c>
      <c r="Q345" s="1093">
        <f t="shared" si="456"/>
        <v>0</v>
      </c>
      <c r="R345" s="1093">
        <f t="shared" si="456"/>
        <v>0</v>
      </c>
      <c r="S345" s="1093">
        <f t="shared" si="456"/>
        <v>0</v>
      </c>
      <c r="T345" s="1093">
        <f t="shared" si="456"/>
        <v>0</v>
      </c>
      <c r="U345" s="1093">
        <f t="shared" si="456"/>
        <v>0</v>
      </c>
      <c r="V345" s="1093">
        <f t="shared" si="456"/>
        <v>0</v>
      </c>
      <c r="W345" s="1093">
        <f t="shared" si="456"/>
        <v>0</v>
      </c>
      <c r="X345" s="174"/>
      <c r="Y345" s="206">
        <f t="shared" ref="Y345:Y352" si="457">SUMPRODUCT(Z345:AJ345,Z$22:AJ$22,Z$29:AJ$29)/1000</f>
        <v>0</v>
      </c>
      <c r="Z345" s="220"/>
      <c r="AA345" s="1093">
        <f t="shared" ref="AA345:AI345" si="458">IF($AA$78=0,0,
($AA$130+$AA$161+$AA$181)/$AA$78*AA62)</f>
        <v>0</v>
      </c>
      <c r="AB345" s="1093">
        <f t="shared" si="458"/>
        <v>0</v>
      </c>
      <c r="AC345" s="1093">
        <f t="shared" si="458"/>
        <v>0</v>
      </c>
      <c r="AD345" s="1093">
        <f t="shared" si="458"/>
        <v>0</v>
      </c>
      <c r="AE345" s="1093">
        <f t="shared" si="458"/>
        <v>0</v>
      </c>
      <c r="AF345" s="1093">
        <f t="shared" si="458"/>
        <v>0</v>
      </c>
      <c r="AG345" s="1093">
        <f t="shared" si="458"/>
        <v>0</v>
      </c>
      <c r="AH345" s="1093">
        <f t="shared" si="458"/>
        <v>0</v>
      </c>
      <c r="AI345" s="1093">
        <f t="shared" si="458"/>
        <v>0</v>
      </c>
      <c r="AJ345" s="174"/>
      <c r="AK345" s="206">
        <f t="shared" ref="AK345:AK352" si="459">SUMPRODUCT(AL345:AV345,AL$22:AV$22,AL$29:AV$29)/1000</f>
        <v>0</v>
      </c>
      <c r="AL345" s="1091"/>
      <c r="AM345" s="1093">
        <f t="shared" ref="AM345:AU345" si="460">IF($AM$78=0,0,
($AM$130+$AM$161+$AM$181)/$AM$78*AM62)</f>
        <v>0</v>
      </c>
      <c r="AN345" s="1093">
        <f t="shared" si="460"/>
        <v>0</v>
      </c>
      <c r="AO345" s="1093">
        <f t="shared" si="460"/>
        <v>0</v>
      </c>
      <c r="AP345" s="1093">
        <f t="shared" si="460"/>
        <v>0</v>
      </c>
      <c r="AQ345" s="1093">
        <f t="shared" si="460"/>
        <v>0</v>
      </c>
      <c r="AR345" s="1093">
        <f t="shared" si="460"/>
        <v>0</v>
      </c>
      <c r="AS345" s="1093">
        <f t="shared" si="460"/>
        <v>0</v>
      </c>
      <c r="AT345" s="1093">
        <f t="shared" si="460"/>
        <v>0</v>
      </c>
      <c r="AU345" s="1093">
        <f t="shared" si="460"/>
        <v>0</v>
      </c>
      <c r="AV345" s="174"/>
      <c r="AW345" s="206">
        <f t="shared" ref="AW345:AW352" si="461">SUMPRODUCT(AX345:BH345,AX$22:BH$22,AX$29:BH$29)/1000</f>
        <v>0</v>
      </c>
      <c r="AX345" s="1091"/>
      <c r="AY345" s="1093">
        <f t="shared" ref="AY345:BG345" si="462">IF($AY$78=0,0,
($AY$130+$AY$161+$AY$181)/$AY$78*AY62)</f>
        <v>0</v>
      </c>
      <c r="AZ345" s="1093">
        <f t="shared" si="462"/>
        <v>0</v>
      </c>
      <c r="BA345" s="1093">
        <f t="shared" si="462"/>
        <v>0</v>
      </c>
      <c r="BB345" s="1093">
        <f t="shared" si="462"/>
        <v>0</v>
      </c>
      <c r="BC345" s="1093">
        <f t="shared" si="462"/>
        <v>0</v>
      </c>
      <c r="BD345" s="1093">
        <f t="shared" si="462"/>
        <v>0</v>
      </c>
      <c r="BE345" s="1093">
        <f t="shared" si="462"/>
        <v>0</v>
      </c>
      <c r="BF345" s="1093">
        <f t="shared" si="462"/>
        <v>0</v>
      </c>
      <c r="BG345" s="1093">
        <f t="shared" si="462"/>
        <v>0</v>
      </c>
      <c r="BH345" s="210"/>
    </row>
    <row r="346" spans="1:60" s="2" customFormat="1">
      <c r="A346" s="1038"/>
      <c r="B346" s="1110" t="s">
        <v>1224</v>
      </c>
      <c r="C346" s="1106" t="s">
        <v>104</v>
      </c>
      <c r="D346" s="645"/>
      <c r="E346" s="304" t="str">
        <f>$P$10</f>
        <v>koeling</v>
      </c>
      <c r="F346" s="203"/>
      <c r="G346" s="203"/>
      <c r="H346" s="204" t="s">
        <v>289</v>
      </c>
      <c r="I346" s="205"/>
      <c r="J346" s="206">
        <f t="shared" si="454"/>
        <v>0</v>
      </c>
      <c r="K346" s="220"/>
      <c r="L346" s="220"/>
      <c r="M346" s="206">
        <f t="shared" si="455"/>
        <v>0</v>
      </c>
      <c r="N346" s="220"/>
      <c r="O346" s="1093">
        <f t="shared" ref="O346:W346" si="463">IF($P$78=0,0,
($P$130+$P$161+$P$181)/$P$78*O64)</f>
        <v>0</v>
      </c>
      <c r="P346" s="1093">
        <f t="shared" si="463"/>
        <v>0</v>
      </c>
      <c r="Q346" s="1093">
        <f t="shared" si="463"/>
        <v>0</v>
      </c>
      <c r="R346" s="1093">
        <f t="shared" si="463"/>
        <v>0</v>
      </c>
      <c r="S346" s="1093">
        <f t="shared" si="463"/>
        <v>0</v>
      </c>
      <c r="T346" s="1093">
        <f t="shared" si="463"/>
        <v>0</v>
      </c>
      <c r="U346" s="1093">
        <f t="shared" si="463"/>
        <v>0</v>
      </c>
      <c r="V346" s="1093">
        <f t="shared" si="463"/>
        <v>0</v>
      </c>
      <c r="W346" s="1093">
        <f t="shared" si="463"/>
        <v>0</v>
      </c>
      <c r="X346" s="174"/>
      <c r="Y346" s="206">
        <f t="shared" si="457"/>
        <v>0</v>
      </c>
      <c r="Z346" s="220"/>
      <c r="AA346" s="1093">
        <f t="shared" ref="AA346:AI346" si="464">IF($AB$78=0,0,
($AB$130+$AB$161+$AB$181)/$AB$78*AA64)</f>
        <v>0</v>
      </c>
      <c r="AB346" s="1093">
        <f t="shared" si="464"/>
        <v>0</v>
      </c>
      <c r="AC346" s="1093">
        <f t="shared" si="464"/>
        <v>0</v>
      </c>
      <c r="AD346" s="1093">
        <f t="shared" si="464"/>
        <v>0</v>
      </c>
      <c r="AE346" s="1093">
        <f t="shared" si="464"/>
        <v>0</v>
      </c>
      <c r="AF346" s="1093">
        <f t="shared" si="464"/>
        <v>0</v>
      </c>
      <c r="AG346" s="1093">
        <f t="shared" si="464"/>
        <v>0</v>
      </c>
      <c r="AH346" s="1093">
        <f t="shared" si="464"/>
        <v>0</v>
      </c>
      <c r="AI346" s="1093">
        <f t="shared" si="464"/>
        <v>0</v>
      </c>
      <c r="AJ346" s="174"/>
      <c r="AK346" s="206">
        <f t="shared" si="459"/>
        <v>0</v>
      </c>
      <c r="AL346" s="1091"/>
      <c r="AM346" s="1093">
        <f t="shared" ref="AM346:AU346" si="465">IF($AN$78=0,0,
($AN$130+$AN$161+$AN$181)/$AN$78*AM64)</f>
        <v>0</v>
      </c>
      <c r="AN346" s="1093">
        <f t="shared" si="465"/>
        <v>0</v>
      </c>
      <c r="AO346" s="1093">
        <f t="shared" si="465"/>
        <v>0</v>
      </c>
      <c r="AP346" s="1093">
        <f t="shared" si="465"/>
        <v>0</v>
      </c>
      <c r="AQ346" s="1093">
        <f t="shared" si="465"/>
        <v>0</v>
      </c>
      <c r="AR346" s="1093">
        <f t="shared" si="465"/>
        <v>0</v>
      </c>
      <c r="AS346" s="1093">
        <f t="shared" si="465"/>
        <v>0</v>
      </c>
      <c r="AT346" s="1093">
        <f t="shared" si="465"/>
        <v>0</v>
      </c>
      <c r="AU346" s="1093">
        <f t="shared" si="465"/>
        <v>0</v>
      </c>
      <c r="AV346" s="174"/>
      <c r="AW346" s="206">
        <f t="shared" si="461"/>
        <v>0</v>
      </c>
      <c r="AX346" s="1091"/>
      <c r="AY346" s="1093">
        <f t="shared" ref="AY346:BG346" si="466">IF($AZ$78=0,0,
($AZ$130+$AZ$161+$AZ$181)/$AZ$78*AY64)</f>
        <v>0</v>
      </c>
      <c r="AZ346" s="1093">
        <f t="shared" si="466"/>
        <v>0</v>
      </c>
      <c r="BA346" s="1093">
        <f t="shared" si="466"/>
        <v>0</v>
      </c>
      <c r="BB346" s="1093">
        <f t="shared" si="466"/>
        <v>0</v>
      </c>
      <c r="BC346" s="1093">
        <f t="shared" si="466"/>
        <v>0</v>
      </c>
      <c r="BD346" s="1093">
        <f t="shared" si="466"/>
        <v>0</v>
      </c>
      <c r="BE346" s="1093">
        <f t="shared" si="466"/>
        <v>0</v>
      </c>
      <c r="BF346" s="1093">
        <f t="shared" si="466"/>
        <v>0</v>
      </c>
      <c r="BG346" s="1093">
        <f t="shared" si="466"/>
        <v>0</v>
      </c>
      <c r="BH346" s="210"/>
    </row>
    <row r="347" spans="1:60" s="2" customFormat="1">
      <c r="A347" s="1038"/>
      <c r="B347" s="1110" t="s">
        <v>1224</v>
      </c>
      <c r="C347" s="1106" t="s">
        <v>104</v>
      </c>
      <c r="D347" s="645"/>
      <c r="E347" s="304" t="str">
        <f>$Q$10</f>
        <v>tapwater</v>
      </c>
      <c r="F347" s="203"/>
      <c r="G347" s="203"/>
      <c r="H347" s="204" t="s">
        <v>289</v>
      </c>
      <c r="I347" s="205"/>
      <c r="J347" s="206">
        <f t="shared" si="454"/>
        <v>0</v>
      </c>
      <c r="K347" s="220"/>
      <c r="L347" s="220"/>
      <c r="M347" s="206">
        <f t="shared" si="455"/>
        <v>0</v>
      </c>
      <c r="N347" s="220"/>
      <c r="O347" s="1093">
        <f t="shared" ref="O347:W347" si="467">IF($Q$78=0,0,
($Q$130+$Q$161+$Q$181)/$Q$78*O65)</f>
        <v>0</v>
      </c>
      <c r="P347" s="1093">
        <f t="shared" si="467"/>
        <v>0</v>
      </c>
      <c r="Q347" s="1093">
        <f t="shared" si="467"/>
        <v>0</v>
      </c>
      <c r="R347" s="1093">
        <f t="shared" si="467"/>
        <v>0</v>
      </c>
      <c r="S347" s="1093">
        <f t="shared" si="467"/>
        <v>0</v>
      </c>
      <c r="T347" s="1093">
        <f t="shared" si="467"/>
        <v>0</v>
      </c>
      <c r="U347" s="1093">
        <f t="shared" si="467"/>
        <v>0</v>
      </c>
      <c r="V347" s="1093">
        <f t="shared" si="467"/>
        <v>0</v>
      </c>
      <c r="W347" s="1093">
        <f t="shared" si="467"/>
        <v>0</v>
      </c>
      <c r="X347" s="174"/>
      <c r="Y347" s="206">
        <f t="shared" si="457"/>
        <v>0</v>
      </c>
      <c r="Z347" s="220"/>
      <c r="AA347" s="1093">
        <f t="shared" ref="AA347:AI347" si="468">IF($AC$78=0,0,
($AC$130+$AC$161+$AC$181)/$AC$78*AA65)</f>
        <v>0</v>
      </c>
      <c r="AB347" s="1093">
        <f t="shared" si="468"/>
        <v>0</v>
      </c>
      <c r="AC347" s="1093">
        <f t="shared" si="468"/>
        <v>0</v>
      </c>
      <c r="AD347" s="1093">
        <f t="shared" si="468"/>
        <v>0</v>
      </c>
      <c r="AE347" s="1093">
        <f t="shared" si="468"/>
        <v>0</v>
      </c>
      <c r="AF347" s="1093">
        <f t="shared" si="468"/>
        <v>0</v>
      </c>
      <c r="AG347" s="1093">
        <f t="shared" si="468"/>
        <v>0</v>
      </c>
      <c r="AH347" s="1093">
        <f t="shared" si="468"/>
        <v>0</v>
      </c>
      <c r="AI347" s="1093">
        <f t="shared" si="468"/>
        <v>0</v>
      </c>
      <c r="AJ347" s="174"/>
      <c r="AK347" s="206">
        <f t="shared" si="459"/>
        <v>0</v>
      </c>
      <c r="AL347" s="1091"/>
      <c r="AM347" s="1093">
        <f t="shared" ref="AM347:AU347" si="469">IF($AO$78=0,0,
($AO$130+$AO$161+$AO$181)/$AO$78*AM65)</f>
        <v>0</v>
      </c>
      <c r="AN347" s="1093">
        <f t="shared" si="469"/>
        <v>0</v>
      </c>
      <c r="AO347" s="1093">
        <f t="shared" si="469"/>
        <v>0</v>
      </c>
      <c r="AP347" s="1093">
        <f t="shared" si="469"/>
        <v>0</v>
      </c>
      <c r="AQ347" s="1093">
        <f t="shared" si="469"/>
        <v>0</v>
      </c>
      <c r="AR347" s="1093">
        <f t="shared" si="469"/>
        <v>0</v>
      </c>
      <c r="AS347" s="1093">
        <f t="shared" si="469"/>
        <v>0</v>
      </c>
      <c r="AT347" s="1093">
        <f t="shared" si="469"/>
        <v>0</v>
      </c>
      <c r="AU347" s="1093">
        <f t="shared" si="469"/>
        <v>0</v>
      </c>
      <c r="AV347" s="174"/>
      <c r="AW347" s="206">
        <f t="shared" si="461"/>
        <v>0</v>
      </c>
      <c r="AX347" s="1091"/>
      <c r="AY347" s="1093">
        <f t="shared" ref="AY347:BG347" si="470">IF($BA$78=0,0,
($BA$130+$BA$161+$BA$181)/$BA$78*AY65)</f>
        <v>0</v>
      </c>
      <c r="AZ347" s="1093">
        <f t="shared" si="470"/>
        <v>0</v>
      </c>
      <c r="BA347" s="1093">
        <f t="shared" si="470"/>
        <v>0</v>
      </c>
      <c r="BB347" s="1093">
        <f t="shared" si="470"/>
        <v>0</v>
      </c>
      <c r="BC347" s="1093">
        <f t="shared" si="470"/>
        <v>0</v>
      </c>
      <c r="BD347" s="1093">
        <f t="shared" si="470"/>
        <v>0</v>
      </c>
      <c r="BE347" s="1093">
        <f t="shared" si="470"/>
        <v>0</v>
      </c>
      <c r="BF347" s="1093">
        <f t="shared" si="470"/>
        <v>0</v>
      </c>
      <c r="BG347" s="1093">
        <f t="shared" si="470"/>
        <v>0</v>
      </c>
      <c r="BH347" s="210"/>
    </row>
    <row r="348" spans="1:60" s="2" customFormat="1">
      <c r="A348" s="1038"/>
      <c r="B348" s="1110" t="s">
        <v>1224</v>
      </c>
      <c r="C348" s="1106" t="s">
        <v>104</v>
      </c>
      <c r="D348" s="645"/>
      <c r="E348" s="304" t="str">
        <f>$R$10</f>
        <v>verlichting</v>
      </c>
      <c r="F348" s="203"/>
      <c r="G348" s="203"/>
      <c r="H348" s="204" t="s">
        <v>289</v>
      </c>
      <c r="I348" s="205"/>
      <c r="J348" s="206">
        <f t="shared" si="454"/>
        <v>0</v>
      </c>
      <c r="K348" s="220"/>
      <c r="L348" s="220"/>
      <c r="M348" s="206">
        <f t="shared" si="455"/>
        <v>0</v>
      </c>
      <c r="N348" s="220"/>
      <c r="O348" s="1093">
        <f t="shared" ref="O348:W348" si="471">IF($R$78=0,0,$R$181/$R$78*O66)</f>
        <v>0</v>
      </c>
      <c r="P348" s="1093">
        <f t="shared" si="471"/>
        <v>0</v>
      </c>
      <c r="Q348" s="1093">
        <f t="shared" si="471"/>
        <v>0</v>
      </c>
      <c r="R348" s="1093">
        <f t="shared" si="471"/>
        <v>0</v>
      </c>
      <c r="S348" s="1093">
        <f t="shared" si="471"/>
        <v>0</v>
      </c>
      <c r="T348" s="1093">
        <f t="shared" si="471"/>
        <v>0</v>
      </c>
      <c r="U348" s="1093">
        <f t="shared" si="471"/>
        <v>0</v>
      </c>
      <c r="V348" s="1093">
        <f t="shared" si="471"/>
        <v>0</v>
      </c>
      <c r="W348" s="1093">
        <f t="shared" si="471"/>
        <v>0</v>
      </c>
      <c r="X348" s="174"/>
      <c r="Y348" s="206">
        <f t="shared" si="457"/>
        <v>0</v>
      </c>
      <c r="Z348" s="220"/>
      <c r="AA348" s="1093">
        <f t="shared" ref="AA348:AI348" si="472">IF($AD$78=0,0,$AD$181/$AD$78*AA66)</f>
        <v>0</v>
      </c>
      <c r="AB348" s="1093">
        <f t="shared" si="472"/>
        <v>0</v>
      </c>
      <c r="AC348" s="1093">
        <f t="shared" si="472"/>
        <v>0</v>
      </c>
      <c r="AD348" s="1093">
        <f t="shared" si="472"/>
        <v>0</v>
      </c>
      <c r="AE348" s="1093">
        <f t="shared" si="472"/>
        <v>0</v>
      </c>
      <c r="AF348" s="1093">
        <f t="shared" si="472"/>
        <v>0</v>
      </c>
      <c r="AG348" s="1093">
        <f t="shared" si="472"/>
        <v>0</v>
      </c>
      <c r="AH348" s="1093">
        <f t="shared" si="472"/>
        <v>0</v>
      </c>
      <c r="AI348" s="1093">
        <f t="shared" si="472"/>
        <v>0</v>
      </c>
      <c r="AJ348" s="174"/>
      <c r="AK348" s="206">
        <f t="shared" si="459"/>
        <v>0</v>
      </c>
      <c r="AL348" s="1091"/>
      <c r="AM348" s="1093">
        <f t="shared" ref="AM348:AU348" si="473">IF($AP$78=0,0,$AP$181/$AP$78*AM66)</f>
        <v>0</v>
      </c>
      <c r="AN348" s="1093">
        <f t="shared" si="473"/>
        <v>0</v>
      </c>
      <c r="AO348" s="1093">
        <f t="shared" si="473"/>
        <v>0</v>
      </c>
      <c r="AP348" s="1093">
        <f t="shared" si="473"/>
        <v>0</v>
      </c>
      <c r="AQ348" s="1093">
        <f t="shared" si="473"/>
        <v>0</v>
      </c>
      <c r="AR348" s="1093">
        <f t="shared" si="473"/>
        <v>0</v>
      </c>
      <c r="AS348" s="1093">
        <f t="shared" si="473"/>
        <v>0</v>
      </c>
      <c r="AT348" s="1093">
        <f t="shared" si="473"/>
        <v>0</v>
      </c>
      <c r="AU348" s="1093">
        <f t="shared" si="473"/>
        <v>0</v>
      </c>
      <c r="AV348" s="174"/>
      <c r="AW348" s="206">
        <f t="shared" si="461"/>
        <v>0</v>
      </c>
      <c r="AX348" s="1091"/>
      <c r="AY348" s="1093">
        <f t="shared" ref="AY348:BG348" si="474">IF($BB$78=0,0,$BB$181/$BB$78*AY66)</f>
        <v>0</v>
      </c>
      <c r="AZ348" s="1093">
        <f t="shared" si="474"/>
        <v>0</v>
      </c>
      <c r="BA348" s="1093">
        <f t="shared" si="474"/>
        <v>0</v>
      </c>
      <c r="BB348" s="1093">
        <f t="shared" si="474"/>
        <v>0</v>
      </c>
      <c r="BC348" s="1093">
        <f t="shared" si="474"/>
        <v>0</v>
      </c>
      <c r="BD348" s="1093">
        <f t="shared" si="474"/>
        <v>0</v>
      </c>
      <c r="BE348" s="1093">
        <f t="shared" si="474"/>
        <v>0</v>
      </c>
      <c r="BF348" s="1093">
        <f t="shared" si="474"/>
        <v>0</v>
      </c>
      <c r="BG348" s="1093">
        <f t="shared" si="474"/>
        <v>0</v>
      </c>
      <c r="BH348" s="210"/>
    </row>
    <row r="349" spans="1:60" s="2" customFormat="1">
      <c r="A349" s="1038"/>
      <c r="B349" s="1110" t="s">
        <v>1224</v>
      </c>
      <c r="C349" s="1106" t="s">
        <v>104</v>
      </c>
      <c r="D349" s="645"/>
      <c r="E349" s="304" t="str">
        <f>$S$10</f>
        <v>ventilatoren</v>
      </c>
      <c r="F349" s="203"/>
      <c r="G349" s="203"/>
      <c r="H349" s="204" t="s">
        <v>289</v>
      </c>
      <c r="I349" s="205"/>
      <c r="J349" s="206">
        <f t="shared" si="454"/>
        <v>0</v>
      </c>
      <c r="K349" s="220"/>
      <c r="L349" s="220"/>
      <c r="M349" s="206">
        <f t="shared" si="455"/>
        <v>0</v>
      </c>
      <c r="N349" s="220"/>
      <c r="O349" s="1093">
        <f t="shared" ref="O349:W349" si="475">IF($S$78=0,0,$S$181/$S$78*O67)</f>
        <v>0</v>
      </c>
      <c r="P349" s="1093">
        <f t="shared" si="475"/>
        <v>0</v>
      </c>
      <c r="Q349" s="1093">
        <f t="shared" si="475"/>
        <v>0</v>
      </c>
      <c r="R349" s="1093">
        <f t="shared" si="475"/>
        <v>0</v>
      </c>
      <c r="S349" s="1093">
        <f t="shared" si="475"/>
        <v>0</v>
      </c>
      <c r="T349" s="1093">
        <f t="shared" si="475"/>
        <v>0</v>
      </c>
      <c r="U349" s="1093">
        <f t="shared" si="475"/>
        <v>0</v>
      </c>
      <c r="V349" s="1093">
        <f t="shared" si="475"/>
        <v>0</v>
      </c>
      <c r="W349" s="1093">
        <f t="shared" si="475"/>
        <v>0</v>
      </c>
      <c r="X349" s="174"/>
      <c r="Y349" s="206">
        <f t="shared" si="457"/>
        <v>0</v>
      </c>
      <c r="Z349" s="220"/>
      <c r="AA349" s="1093">
        <f t="shared" ref="AA349:AI349" si="476">IF($AE$78=0,0,$AE$181/$AE$78*AA67)</f>
        <v>0</v>
      </c>
      <c r="AB349" s="1093">
        <f t="shared" si="476"/>
        <v>0</v>
      </c>
      <c r="AC349" s="1093">
        <f t="shared" si="476"/>
        <v>0</v>
      </c>
      <c r="AD349" s="1093">
        <f t="shared" si="476"/>
        <v>0</v>
      </c>
      <c r="AE349" s="1093">
        <f t="shared" si="476"/>
        <v>0</v>
      </c>
      <c r="AF349" s="1093">
        <f t="shared" si="476"/>
        <v>0</v>
      </c>
      <c r="AG349" s="1093">
        <f t="shared" si="476"/>
        <v>0</v>
      </c>
      <c r="AH349" s="1093">
        <f t="shared" si="476"/>
        <v>0</v>
      </c>
      <c r="AI349" s="1093">
        <f t="shared" si="476"/>
        <v>0</v>
      </c>
      <c r="AJ349" s="174"/>
      <c r="AK349" s="206">
        <f t="shared" si="459"/>
        <v>0</v>
      </c>
      <c r="AL349" s="1091"/>
      <c r="AM349" s="1093">
        <f t="shared" ref="AM349:AU349" si="477">IF($AQ$78=0,0,$AQ$181/$AQ$78*AM67)</f>
        <v>0</v>
      </c>
      <c r="AN349" s="1093">
        <f t="shared" si="477"/>
        <v>0</v>
      </c>
      <c r="AO349" s="1093">
        <f t="shared" si="477"/>
        <v>0</v>
      </c>
      <c r="AP349" s="1093">
        <f t="shared" si="477"/>
        <v>0</v>
      </c>
      <c r="AQ349" s="1093">
        <f t="shared" si="477"/>
        <v>0</v>
      </c>
      <c r="AR349" s="1093">
        <f t="shared" si="477"/>
        <v>0</v>
      </c>
      <c r="AS349" s="1093">
        <f t="shared" si="477"/>
        <v>0</v>
      </c>
      <c r="AT349" s="1093">
        <f t="shared" si="477"/>
        <v>0</v>
      </c>
      <c r="AU349" s="1093">
        <f t="shared" si="477"/>
        <v>0</v>
      </c>
      <c r="AV349" s="174"/>
      <c r="AW349" s="206">
        <f t="shared" si="461"/>
        <v>0</v>
      </c>
      <c r="AX349" s="1091"/>
      <c r="AY349" s="1093">
        <f t="shared" ref="AY349:BG349" si="478">IF($BC$78=0,0,$BC$181/$BC$78*AY67)</f>
        <v>0</v>
      </c>
      <c r="AZ349" s="1093">
        <f t="shared" si="478"/>
        <v>0</v>
      </c>
      <c r="BA349" s="1093">
        <f t="shared" si="478"/>
        <v>0</v>
      </c>
      <c r="BB349" s="1093">
        <f t="shared" si="478"/>
        <v>0</v>
      </c>
      <c r="BC349" s="1093">
        <f t="shared" si="478"/>
        <v>0</v>
      </c>
      <c r="BD349" s="1093">
        <f t="shared" si="478"/>
        <v>0</v>
      </c>
      <c r="BE349" s="1093">
        <f t="shared" si="478"/>
        <v>0</v>
      </c>
      <c r="BF349" s="1093">
        <f t="shared" si="478"/>
        <v>0</v>
      </c>
      <c r="BG349" s="1093">
        <f t="shared" si="478"/>
        <v>0</v>
      </c>
      <c r="BH349" s="210"/>
    </row>
    <row r="350" spans="1:60" s="2" customFormat="1">
      <c r="A350" s="1038"/>
      <c r="B350" s="1110" t="s">
        <v>1224</v>
      </c>
      <c r="C350" s="1106" t="s">
        <v>104</v>
      </c>
      <c r="D350" s="645"/>
      <c r="E350" s="304" t="str">
        <f>$T$10</f>
        <v>kookgas</v>
      </c>
      <c r="F350" s="203"/>
      <c r="G350" s="203"/>
      <c r="H350" s="204" t="s">
        <v>289</v>
      </c>
      <c r="I350" s="205"/>
      <c r="J350" s="206">
        <f t="shared" si="454"/>
        <v>0</v>
      </c>
      <c r="K350" s="220"/>
      <c r="L350" s="220"/>
      <c r="M350" s="206">
        <f t="shared" si="455"/>
        <v>0</v>
      </c>
      <c r="N350" s="220"/>
      <c r="O350" s="1093">
        <f t="shared" ref="O350:W350" si="479">IF($T$78=0,0,$T$181/$T$78*O68)</f>
        <v>0</v>
      </c>
      <c r="P350" s="1093">
        <f t="shared" si="479"/>
        <v>0</v>
      </c>
      <c r="Q350" s="1093">
        <f t="shared" si="479"/>
        <v>0</v>
      </c>
      <c r="R350" s="1093">
        <f t="shared" si="479"/>
        <v>0</v>
      </c>
      <c r="S350" s="1093">
        <f t="shared" si="479"/>
        <v>0</v>
      </c>
      <c r="T350" s="1093">
        <f t="shared" si="479"/>
        <v>0</v>
      </c>
      <c r="U350" s="1093">
        <f t="shared" si="479"/>
        <v>0</v>
      </c>
      <c r="V350" s="1093">
        <f t="shared" si="479"/>
        <v>0</v>
      </c>
      <c r="W350" s="1093">
        <f t="shared" si="479"/>
        <v>0</v>
      </c>
      <c r="X350" s="174"/>
      <c r="Y350" s="206">
        <f t="shared" si="457"/>
        <v>0</v>
      </c>
      <c r="Z350" s="220"/>
      <c r="AA350" s="1093">
        <f t="shared" ref="AA350:AI350" si="480">IF($AF$78=0,0,$AF$181/$AF$78*AA68)</f>
        <v>0</v>
      </c>
      <c r="AB350" s="1093">
        <f t="shared" si="480"/>
        <v>0</v>
      </c>
      <c r="AC350" s="1093">
        <f t="shared" si="480"/>
        <v>0</v>
      </c>
      <c r="AD350" s="1093">
        <f t="shared" si="480"/>
        <v>0</v>
      </c>
      <c r="AE350" s="1093">
        <f t="shared" si="480"/>
        <v>0</v>
      </c>
      <c r="AF350" s="1093">
        <f t="shared" si="480"/>
        <v>0</v>
      </c>
      <c r="AG350" s="1093">
        <f t="shared" si="480"/>
        <v>0</v>
      </c>
      <c r="AH350" s="1093">
        <f t="shared" si="480"/>
        <v>0</v>
      </c>
      <c r="AI350" s="1093">
        <f t="shared" si="480"/>
        <v>0</v>
      </c>
      <c r="AJ350" s="174"/>
      <c r="AK350" s="206">
        <f t="shared" si="459"/>
        <v>0</v>
      </c>
      <c r="AL350" s="1091"/>
      <c r="AM350" s="1093">
        <f t="shared" ref="AM350:AU350" si="481">IF($AR$78=0,0,$AR$181/$AR$78*AM68)</f>
        <v>0</v>
      </c>
      <c r="AN350" s="1093">
        <f t="shared" si="481"/>
        <v>0</v>
      </c>
      <c r="AO350" s="1093">
        <f t="shared" si="481"/>
        <v>0</v>
      </c>
      <c r="AP350" s="1093">
        <f t="shared" si="481"/>
        <v>0</v>
      </c>
      <c r="AQ350" s="1093">
        <f t="shared" si="481"/>
        <v>0</v>
      </c>
      <c r="AR350" s="1093">
        <f t="shared" si="481"/>
        <v>0</v>
      </c>
      <c r="AS350" s="1093">
        <f t="shared" si="481"/>
        <v>0</v>
      </c>
      <c r="AT350" s="1093">
        <f t="shared" si="481"/>
        <v>0</v>
      </c>
      <c r="AU350" s="1093">
        <f t="shared" si="481"/>
        <v>0</v>
      </c>
      <c r="AV350" s="174"/>
      <c r="AW350" s="206">
        <f t="shared" si="461"/>
        <v>0</v>
      </c>
      <c r="AX350" s="1091"/>
      <c r="AY350" s="1093">
        <f t="shared" ref="AY350:BG350" si="482">IF($BD$78=0,0,$BD$181/$BD$78*AY68)</f>
        <v>0</v>
      </c>
      <c r="AZ350" s="1093">
        <f t="shared" si="482"/>
        <v>0</v>
      </c>
      <c r="BA350" s="1093">
        <f t="shared" si="482"/>
        <v>0</v>
      </c>
      <c r="BB350" s="1093">
        <f t="shared" si="482"/>
        <v>0</v>
      </c>
      <c r="BC350" s="1093">
        <f t="shared" si="482"/>
        <v>0</v>
      </c>
      <c r="BD350" s="1093">
        <f t="shared" si="482"/>
        <v>0</v>
      </c>
      <c r="BE350" s="1093">
        <f t="shared" si="482"/>
        <v>0</v>
      </c>
      <c r="BF350" s="1093">
        <f t="shared" si="482"/>
        <v>0</v>
      </c>
      <c r="BG350" s="1093">
        <f t="shared" si="482"/>
        <v>0</v>
      </c>
      <c r="BH350" s="210"/>
    </row>
    <row r="351" spans="1:60" s="2" customFormat="1">
      <c r="A351" s="1038"/>
      <c r="B351" s="1110" t="s">
        <v>1224</v>
      </c>
      <c r="C351" s="1106" t="s">
        <v>104</v>
      </c>
      <c r="D351" s="645"/>
      <c r="E351" s="304" t="str">
        <f>$U$10</f>
        <v>overig elektra</v>
      </c>
      <c r="F351" s="203"/>
      <c r="G351" s="203"/>
      <c r="H351" s="204" t="s">
        <v>289</v>
      </c>
      <c r="I351" s="205"/>
      <c r="J351" s="206">
        <f t="shared" si="454"/>
        <v>0</v>
      </c>
      <c r="K351" s="220"/>
      <c r="L351" s="220"/>
      <c r="M351" s="206">
        <f t="shared" si="455"/>
        <v>0</v>
      </c>
      <c r="N351" s="220"/>
      <c r="O351" s="1093">
        <f t="shared" ref="O351:W351" si="483">IF($U$78=0,0,$U$181/$U$78*O69)</f>
        <v>0</v>
      </c>
      <c r="P351" s="1093">
        <f t="shared" si="483"/>
        <v>0</v>
      </c>
      <c r="Q351" s="1093">
        <f t="shared" si="483"/>
        <v>0</v>
      </c>
      <c r="R351" s="1093">
        <f t="shared" si="483"/>
        <v>0</v>
      </c>
      <c r="S351" s="1093">
        <f t="shared" si="483"/>
        <v>0</v>
      </c>
      <c r="T351" s="1093">
        <f t="shared" si="483"/>
        <v>0</v>
      </c>
      <c r="U351" s="1093">
        <f t="shared" si="483"/>
        <v>0</v>
      </c>
      <c r="V351" s="1093">
        <f t="shared" si="483"/>
        <v>0</v>
      </c>
      <c r="W351" s="1093">
        <f t="shared" si="483"/>
        <v>0</v>
      </c>
      <c r="X351" s="174"/>
      <c r="Y351" s="206">
        <f t="shared" si="457"/>
        <v>0</v>
      </c>
      <c r="Z351" s="220"/>
      <c r="AA351" s="1093">
        <f t="shared" ref="AA351:AI351" si="484">IF($AG$78=0,0,$AG$181/$AG$78*AA69)</f>
        <v>0</v>
      </c>
      <c r="AB351" s="1093">
        <f t="shared" si="484"/>
        <v>0</v>
      </c>
      <c r="AC351" s="1093">
        <f t="shared" si="484"/>
        <v>0</v>
      </c>
      <c r="AD351" s="1093">
        <f t="shared" si="484"/>
        <v>0</v>
      </c>
      <c r="AE351" s="1093">
        <f t="shared" si="484"/>
        <v>0</v>
      </c>
      <c r="AF351" s="1093">
        <f t="shared" si="484"/>
        <v>0</v>
      </c>
      <c r="AG351" s="1093">
        <f t="shared" si="484"/>
        <v>0</v>
      </c>
      <c r="AH351" s="1093">
        <f t="shared" si="484"/>
        <v>0</v>
      </c>
      <c r="AI351" s="1093">
        <f t="shared" si="484"/>
        <v>0</v>
      </c>
      <c r="AJ351" s="174"/>
      <c r="AK351" s="206">
        <f t="shared" si="459"/>
        <v>0</v>
      </c>
      <c r="AL351" s="1091"/>
      <c r="AM351" s="1093">
        <f t="shared" ref="AM351:AU351" si="485">IF($AS$78=0,0,$AS$181/$AS$78*AM69)</f>
        <v>0</v>
      </c>
      <c r="AN351" s="1093">
        <f t="shared" si="485"/>
        <v>0</v>
      </c>
      <c r="AO351" s="1093">
        <f t="shared" si="485"/>
        <v>0</v>
      </c>
      <c r="AP351" s="1093">
        <f t="shared" si="485"/>
        <v>0</v>
      </c>
      <c r="AQ351" s="1093">
        <f t="shared" si="485"/>
        <v>0</v>
      </c>
      <c r="AR351" s="1093">
        <f t="shared" si="485"/>
        <v>0</v>
      </c>
      <c r="AS351" s="1093">
        <f t="shared" si="485"/>
        <v>0</v>
      </c>
      <c r="AT351" s="1093">
        <f t="shared" si="485"/>
        <v>0</v>
      </c>
      <c r="AU351" s="1093">
        <f t="shared" si="485"/>
        <v>0</v>
      </c>
      <c r="AV351" s="174"/>
      <c r="AW351" s="206">
        <f t="shared" si="461"/>
        <v>0</v>
      </c>
      <c r="AX351" s="1091"/>
      <c r="AY351" s="1093">
        <f t="shared" ref="AY351:BG351" si="486">IF($BE$78=0,0,$BE$181/$BE$78*AY69)</f>
        <v>0</v>
      </c>
      <c r="AZ351" s="1093">
        <f t="shared" si="486"/>
        <v>0</v>
      </c>
      <c r="BA351" s="1093">
        <f t="shared" si="486"/>
        <v>0</v>
      </c>
      <c r="BB351" s="1093">
        <f t="shared" si="486"/>
        <v>0</v>
      </c>
      <c r="BC351" s="1093">
        <f t="shared" si="486"/>
        <v>0</v>
      </c>
      <c r="BD351" s="1093">
        <f t="shared" si="486"/>
        <v>0</v>
      </c>
      <c r="BE351" s="1093">
        <f t="shared" si="486"/>
        <v>0</v>
      </c>
      <c r="BF351" s="1093">
        <f t="shared" si="486"/>
        <v>0</v>
      </c>
      <c r="BG351" s="1093">
        <f t="shared" si="486"/>
        <v>0</v>
      </c>
      <c r="BH351" s="210"/>
    </row>
    <row r="352" spans="1:60" s="2" customFormat="1">
      <c r="A352" s="1038"/>
      <c r="B352" s="1110" t="s">
        <v>1224</v>
      </c>
      <c r="C352" s="1106" t="s">
        <v>104</v>
      </c>
      <c r="D352" s="645"/>
      <c r="E352" s="304" t="str">
        <f>$V$10</f>
        <v>mobiliteit</v>
      </c>
      <c r="F352" s="203"/>
      <c r="G352" s="203"/>
      <c r="H352" s="204" t="s">
        <v>289</v>
      </c>
      <c r="I352" s="205"/>
      <c r="J352" s="206">
        <f t="shared" si="454"/>
        <v>0</v>
      </c>
      <c r="K352" s="220"/>
      <c r="L352" s="220"/>
      <c r="M352" s="206">
        <f t="shared" si="455"/>
        <v>0</v>
      </c>
      <c r="N352" s="220"/>
      <c r="O352" s="1093">
        <f t="shared" ref="O352:W352" si="487">IF(OR($V$169=0,O$29=0),0,$V$181/$V$169*O$71/O$29)</f>
        <v>0</v>
      </c>
      <c r="P352" s="1093">
        <f t="shared" si="487"/>
        <v>0</v>
      </c>
      <c r="Q352" s="1093">
        <f t="shared" si="487"/>
        <v>0</v>
      </c>
      <c r="R352" s="1093">
        <f t="shared" si="487"/>
        <v>0</v>
      </c>
      <c r="S352" s="1093">
        <f t="shared" si="487"/>
        <v>0</v>
      </c>
      <c r="T352" s="1093">
        <f t="shared" si="487"/>
        <v>0</v>
      </c>
      <c r="U352" s="1093">
        <f t="shared" si="487"/>
        <v>0</v>
      </c>
      <c r="V352" s="1093">
        <f t="shared" si="487"/>
        <v>0</v>
      </c>
      <c r="W352" s="1093">
        <f t="shared" si="487"/>
        <v>0</v>
      </c>
      <c r="X352" s="174"/>
      <c r="Y352" s="206">
        <f t="shared" si="457"/>
        <v>0</v>
      </c>
      <c r="Z352" s="220"/>
      <c r="AA352" s="1093">
        <f t="shared" ref="AA352:AI352" si="488">IF(OR($AH$169=0,AA$29=0),0,$AH$181/$AH$169*AA$71/AA$29)</f>
        <v>0</v>
      </c>
      <c r="AB352" s="1093">
        <f t="shared" si="488"/>
        <v>0</v>
      </c>
      <c r="AC352" s="1093">
        <f t="shared" si="488"/>
        <v>0</v>
      </c>
      <c r="AD352" s="1093">
        <f t="shared" si="488"/>
        <v>0</v>
      </c>
      <c r="AE352" s="1093">
        <f t="shared" si="488"/>
        <v>0</v>
      </c>
      <c r="AF352" s="1093">
        <f t="shared" si="488"/>
        <v>0</v>
      </c>
      <c r="AG352" s="1093">
        <f t="shared" si="488"/>
        <v>0</v>
      </c>
      <c r="AH352" s="1093">
        <f t="shared" si="488"/>
        <v>0</v>
      </c>
      <c r="AI352" s="1093">
        <f t="shared" si="488"/>
        <v>0</v>
      </c>
      <c r="AJ352" s="174"/>
      <c r="AK352" s="206">
        <f t="shared" si="459"/>
        <v>0</v>
      </c>
      <c r="AL352" s="1091"/>
      <c r="AM352" s="1093">
        <f t="shared" ref="AM352:AU352" si="489">IF(OR($AT$169=0,AM$29=0),0,$AT$181/$AT$169*AM$71/AM$29)</f>
        <v>0</v>
      </c>
      <c r="AN352" s="1093">
        <f t="shared" si="489"/>
        <v>0</v>
      </c>
      <c r="AO352" s="1093">
        <f t="shared" si="489"/>
        <v>0</v>
      </c>
      <c r="AP352" s="1093">
        <f t="shared" si="489"/>
        <v>0</v>
      </c>
      <c r="AQ352" s="1093">
        <f t="shared" si="489"/>
        <v>0</v>
      </c>
      <c r="AR352" s="1093">
        <f t="shared" si="489"/>
        <v>0</v>
      </c>
      <c r="AS352" s="1093">
        <f t="shared" si="489"/>
        <v>0</v>
      </c>
      <c r="AT352" s="1093">
        <f t="shared" si="489"/>
        <v>0</v>
      </c>
      <c r="AU352" s="1093">
        <f t="shared" si="489"/>
        <v>0</v>
      </c>
      <c r="AV352" s="174"/>
      <c r="AW352" s="206">
        <f t="shared" si="461"/>
        <v>0</v>
      </c>
      <c r="AX352" s="1091"/>
      <c r="AY352" s="1093">
        <f t="shared" ref="AY352:BG352" si="490">IF(OR($BF$169=0,AY$29=0),0,$BF$181/$BF$169*AY$71/AY$29)</f>
        <v>0</v>
      </c>
      <c r="AZ352" s="1093">
        <f t="shared" si="490"/>
        <v>0</v>
      </c>
      <c r="BA352" s="1093">
        <f t="shared" si="490"/>
        <v>0</v>
      </c>
      <c r="BB352" s="1093">
        <f t="shared" si="490"/>
        <v>0</v>
      </c>
      <c r="BC352" s="1093">
        <f t="shared" si="490"/>
        <v>0</v>
      </c>
      <c r="BD352" s="1093">
        <f t="shared" si="490"/>
        <v>0</v>
      </c>
      <c r="BE352" s="1093">
        <f t="shared" si="490"/>
        <v>0</v>
      </c>
      <c r="BF352" s="1093">
        <f t="shared" si="490"/>
        <v>0</v>
      </c>
      <c r="BG352" s="1093">
        <f t="shared" si="490"/>
        <v>0</v>
      </c>
      <c r="BH352" s="210"/>
    </row>
    <row r="353" spans="1:60" s="2" customFormat="1">
      <c r="A353" s="1038"/>
      <c r="B353" s="1110" t="s">
        <v>1224</v>
      </c>
      <c r="C353" s="1106" t="s">
        <v>104</v>
      </c>
      <c r="D353" s="645"/>
      <c r="E353" s="203" t="s">
        <v>1278</v>
      </c>
      <c r="F353" s="203"/>
      <c r="G353" s="203"/>
      <c r="H353" s="204" t="s">
        <v>289</v>
      </c>
      <c r="I353" s="205"/>
      <c r="J353" s="206">
        <f t="shared" si="454"/>
        <v>0</v>
      </c>
      <c r="K353" s="220"/>
      <c r="L353" s="220"/>
      <c r="M353" s="206">
        <f>SUM(M345:M352)</f>
        <v>0</v>
      </c>
      <c r="N353" s="220"/>
      <c r="O353" s="1093">
        <f t="shared" ref="O353:W353" si="491">SUM(O345:O352)</f>
        <v>0</v>
      </c>
      <c r="P353" s="1093">
        <f t="shared" si="491"/>
        <v>0</v>
      </c>
      <c r="Q353" s="1093">
        <f t="shared" si="491"/>
        <v>0</v>
      </c>
      <c r="R353" s="1093">
        <f t="shared" si="491"/>
        <v>0</v>
      </c>
      <c r="S353" s="1093">
        <f t="shared" si="491"/>
        <v>0</v>
      </c>
      <c r="T353" s="1093">
        <f t="shared" si="491"/>
        <v>0</v>
      </c>
      <c r="U353" s="1093">
        <f t="shared" si="491"/>
        <v>0</v>
      </c>
      <c r="V353" s="1093">
        <f t="shared" si="491"/>
        <v>0</v>
      </c>
      <c r="W353" s="1093">
        <f t="shared" si="491"/>
        <v>0</v>
      </c>
      <c r="X353" s="174"/>
      <c r="Y353" s="206">
        <f>SUM(Y345:Y352)</f>
        <v>0</v>
      </c>
      <c r="Z353" s="220"/>
      <c r="AA353" s="1093">
        <f t="shared" ref="AA353:AI353" si="492">SUM(AA345:AA352)</f>
        <v>0</v>
      </c>
      <c r="AB353" s="1093">
        <f t="shared" si="492"/>
        <v>0</v>
      </c>
      <c r="AC353" s="1093">
        <f t="shared" si="492"/>
        <v>0</v>
      </c>
      <c r="AD353" s="1093">
        <f t="shared" si="492"/>
        <v>0</v>
      </c>
      <c r="AE353" s="1093">
        <f t="shared" si="492"/>
        <v>0</v>
      </c>
      <c r="AF353" s="1093">
        <f t="shared" si="492"/>
        <v>0</v>
      </c>
      <c r="AG353" s="1093">
        <f t="shared" si="492"/>
        <v>0</v>
      </c>
      <c r="AH353" s="1093">
        <f t="shared" si="492"/>
        <v>0</v>
      </c>
      <c r="AI353" s="1093">
        <f t="shared" si="492"/>
        <v>0</v>
      </c>
      <c r="AJ353" s="174"/>
      <c r="AK353" s="206">
        <f>SUM(AK345:AK352)</f>
        <v>0</v>
      </c>
      <c r="AL353" s="1091"/>
      <c r="AM353" s="1093">
        <f t="shared" ref="AM353:AU353" si="493">SUM(AM345:AM352)</f>
        <v>0</v>
      </c>
      <c r="AN353" s="1093">
        <f t="shared" si="493"/>
        <v>0</v>
      </c>
      <c r="AO353" s="1093">
        <f t="shared" si="493"/>
        <v>0</v>
      </c>
      <c r="AP353" s="1093">
        <f t="shared" si="493"/>
        <v>0</v>
      </c>
      <c r="AQ353" s="1093">
        <f t="shared" si="493"/>
        <v>0</v>
      </c>
      <c r="AR353" s="1093">
        <f t="shared" si="493"/>
        <v>0</v>
      </c>
      <c r="AS353" s="1093">
        <f t="shared" si="493"/>
        <v>0</v>
      </c>
      <c r="AT353" s="1093">
        <f t="shared" si="493"/>
        <v>0</v>
      </c>
      <c r="AU353" s="1093">
        <f t="shared" si="493"/>
        <v>0</v>
      </c>
      <c r="AV353" s="174"/>
      <c r="AW353" s="206">
        <f>SUM(AW345:AW352)</f>
        <v>0</v>
      </c>
      <c r="AX353" s="1091"/>
      <c r="AY353" s="1093">
        <f t="shared" ref="AY353:BG353" si="494">SUM(AY345:AY352)</f>
        <v>0</v>
      </c>
      <c r="AZ353" s="1093">
        <f t="shared" si="494"/>
        <v>0</v>
      </c>
      <c r="BA353" s="1093">
        <f t="shared" si="494"/>
        <v>0</v>
      </c>
      <c r="BB353" s="1093">
        <f t="shared" si="494"/>
        <v>0</v>
      </c>
      <c r="BC353" s="1093">
        <f t="shared" si="494"/>
        <v>0</v>
      </c>
      <c r="BD353" s="1093">
        <f t="shared" si="494"/>
        <v>0</v>
      </c>
      <c r="BE353" s="1093">
        <f t="shared" si="494"/>
        <v>0</v>
      </c>
      <c r="BF353" s="1093">
        <f t="shared" si="494"/>
        <v>0</v>
      </c>
      <c r="BG353" s="1093">
        <f t="shared" si="494"/>
        <v>0</v>
      </c>
      <c r="BH353" s="210"/>
    </row>
    <row r="354" spans="1:60" s="2" customFormat="1">
      <c r="A354" s="1038"/>
      <c r="B354" s="1110" t="s">
        <v>1224</v>
      </c>
      <c r="C354" s="1106" t="s">
        <v>96</v>
      </c>
      <c r="D354" s="644"/>
      <c r="E354" s="942" t="s">
        <v>290</v>
      </c>
      <c r="F354" s="942"/>
      <c r="G354" s="942"/>
      <c r="H354" s="942"/>
      <c r="I354" s="129"/>
      <c r="J354" s="943"/>
      <c r="K354" s="1094"/>
      <c r="L354" s="1094"/>
      <c r="M354" s="944"/>
      <c r="N354" s="1095"/>
      <c r="O354" s="258" t="str">
        <f>O$17</f>
        <v/>
      </c>
      <c r="P354" s="258" t="str">
        <f t="shared" ref="P354:W354" si="495">P$17</f>
        <v/>
      </c>
      <c r="Q354" s="258" t="str">
        <f t="shared" si="495"/>
        <v/>
      </c>
      <c r="R354" s="258" t="str">
        <f t="shared" si="495"/>
        <v/>
      </c>
      <c r="S354" s="258" t="str">
        <f t="shared" si="495"/>
        <v/>
      </c>
      <c r="T354" s="258" t="str">
        <f t="shared" si="495"/>
        <v/>
      </c>
      <c r="U354" s="258" t="str">
        <f t="shared" si="495"/>
        <v/>
      </c>
      <c r="V354" s="258" t="str">
        <f t="shared" si="495"/>
        <v/>
      </c>
      <c r="W354" s="258" t="str">
        <f t="shared" si="495"/>
        <v/>
      </c>
      <c r="X354" s="1095"/>
      <c r="Y354" s="944"/>
      <c r="Z354" s="1095"/>
      <c r="AA354" s="258" t="str">
        <f>AA$17</f>
        <v/>
      </c>
      <c r="AB354" s="258" t="str">
        <f t="shared" ref="AB354:AI354" si="496">AB$17</f>
        <v/>
      </c>
      <c r="AC354" s="258" t="str">
        <f t="shared" si="496"/>
        <v/>
      </c>
      <c r="AD354" s="258" t="str">
        <f t="shared" si="496"/>
        <v/>
      </c>
      <c r="AE354" s="258" t="str">
        <f t="shared" si="496"/>
        <v/>
      </c>
      <c r="AF354" s="258" t="str">
        <f t="shared" si="496"/>
        <v/>
      </c>
      <c r="AG354" s="258" t="str">
        <f t="shared" si="496"/>
        <v/>
      </c>
      <c r="AH354" s="258" t="str">
        <f t="shared" si="496"/>
        <v/>
      </c>
      <c r="AI354" s="258" t="str">
        <f t="shared" si="496"/>
        <v/>
      </c>
      <c r="AJ354" s="1095"/>
      <c r="AK354" s="944"/>
      <c r="AL354" s="1095"/>
      <c r="AM354" s="258" t="str">
        <f>AM$17</f>
        <v/>
      </c>
      <c r="AN354" s="258" t="str">
        <f t="shared" ref="AN354:AU354" si="497">AN$17</f>
        <v/>
      </c>
      <c r="AO354" s="258" t="str">
        <f t="shared" si="497"/>
        <v/>
      </c>
      <c r="AP354" s="258" t="str">
        <f t="shared" si="497"/>
        <v/>
      </c>
      <c r="AQ354" s="258" t="str">
        <f t="shared" si="497"/>
        <v/>
      </c>
      <c r="AR354" s="258" t="str">
        <f t="shared" si="497"/>
        <v/>
      </c>
      <c r="AS354" s="258" t="str">
        <f t="shared" si="497"/>
        <v/>
      </c>
      <c r="AT354" s="258" t="str">
        <f t="shared" si="497"/>
        <v/>
      </c>
      <c r="AU354" s="258" t="str">
        <f t="shared" si="497"/>
        <v/>
      </c>
      <c r="AV354" s="1095"/>
      <c r="AW354" s="944"/>
      <c r="AX354" s="1095"/>
      <c r="AY354" s="258" t="str">
        <f>AY$17</f>
        <v/>
      </c>
      <c r="AZ354" s="258" t="str">
        <f t="shared" ref="AZ354:BG354" si="498">AZ$17</f>
        <v/>
      </c>
      <c r="BA354" s="258" t="str">
        <f t="shared" si="498"/>
        <v/>
      </c>
      <c r="BB354" s="258" t="str">
        <f t="shared" si="498"/>
        <v/>
      </c>
      <c r="BC354" s="258" t="str">
        <f t="shared" si="498"/>
        <v/>
      </c>
      <c r="BD354" s="258" t="str">
        <f t="shared" si="498"/>
        <v/>
      </c>
      <c r="BE354" s="258" t="str">
        <f t="shared" si="498"/>
        <v/>
      </c>
      <c r="BF354" s="258" t="str">
        <f t="shared" si="498"/>
        <v/>
      </c>
      <c r="BG354" s="258" t="str">
        <f t="shared" si="498"/>
        <v/>
      </c>
    </row>
    <row r="355" spans="1:60" s="2" customFormat="1">
      <c r="A355" s="1038"/>
      <c r="B355" s="1110" t="s">
        <v>1224</v>
      </c>
      <c r="C355" s="1106" t="s">
        <v>104</v>
      </c>
      <c r="D355" s="645"/>
      <c r="E355" s="180" t="s">
        <v>291</v>
      </c>
      <c r="F355" s="203"/>
      <c r="G355" s="203"/>
      <c r="H355" s="204" t="s">
        <v>289</v>
      </c>
      <c r="I355" s="205"/>
      <c r="J355" s="206">
        <f>M355+Y355+AK355+AW355</f>
        <v>0</v>
      </c>
      <c r="K355" s="220"/>
      <c r="L355" s="220"/>
      <c r="M355" s="206">
        <f>SUMPRODUCT(N355:X355,N$22:X$22,N$29:X$29)/1000</f>
        <v>0</v>
      </c>
      <c r="N355" s="220"/>
      <c r="O355" s="1093">
        <f t="shared" ref="O355:W355" si="499">IF(OR(O$22=0,O$29=0,($M$187+$M$186)=0),0,
-(O275*$M$187/($M$187+$M$186)*$M$224*1000)/(O22*O29))</f>
        <v>0</v>
      </c>
      <c r="P355" s="1093">
        <f t="shared" si="499"/>
        <v>0</v>
      </c>
      <c r="Q355" s="1093">
        <f t="shared" si="499"/>
        <v>0</v>
      </c>
      <c r="R355" s="1093">
        <f t="shared" si="499"/>
        <v>0</v>
      </c>
      <c r="S355" s="1093">
        <f t="shared" si="499"/>
        <v>0</v>
      </c>
      <c r="T355" s="1093">
        <f t="shared" si="499"/>
        <v>0</v>
      </c>
      <c r="U355" s="1093">
        <f t="shared" si="499"/>
        <v>0</v>
      </c>
      <c r="V355" s="1093">
        <f t="shared" si="499"/>
        <v>0</v>
      </c>
      <c r="W355" s="1093">
        <f t="shared" si="499"/>
        <v>0</v>
      </c>
      <c r="X355" s="174"/>
      <c r="Y355" s="206">
        <f>SUMPRODUCT(Z355:AJ355,Z$22:AJ$22,Z$29:AJ$29)/1000</f>
        <v>0</v>
      </c>
      <c r="Z355" s="220"/>
      <c r="AA355" s="1093">
        <f t="shared" ref="AA355:AI355" si="500">IF(OR(AA$22=0,AA$29=0,($Y$187+$Y$186)=0),0,
-(AA275*$Y$187/($Y$187+$Y$186)*$Y$224*1000)/(AA22*AA29))</f>
        <v>0</v>
      </c>
      <c r="AB355" s="1093">
        <f t="shared" si="500"/>
        <v>0</v>
      </c>
      <c r="AC355" s="1093">
        <f t="shared" si="500"/>
        <v>0</v>
      </c>
      <c r="AD355" s="1093">
        <f t="shared" si="500"/>
        <v>0</v>
      </c>
      <c r="AE355" s="1093">
        <f t="shared" si="500"/>
        <v>0</v>
      </c>
      <c r="AF355" s="1093">
        <f t="shared" si="500"/>
        <v>0</v>
      </c>
      <c r="AG355" s="1093">
        <f t="shared" si="500"/>
        <v>0</v>
      </c>
      <c r="AH355" s="1093">
        <f t="shared" si="500"/>
        <v>0</v>
      </c>
      <c r="AI355" s="1093">
        <f t="shared" si="500"/>
        <v>0</v>
      </c>
      <c r="AJ355" s="174"/>
      <c r="AK355" s="206">
        <f>SUMPRODUCT(AL355:AV355,AL$22:AV$22,AL$29:AV$29)/1000</f>
        <v>0</v>
      </c>
      <c r="AL355" s="1091"/>
      <c r="AM355" s="1093">
        <f t="shared" ref="AM355:AU355" si="501">IF(OR(AM$22=0,AM$29=0,($AK$187+$AK$186)=0),0,
-(AM275*$AK$187/($AK$187+$AK$186)*$AK$224*1000)/(AM22*AM29))</f>
        <v>0</v>
      </c>
      <c r="AN355" s="1093">
        <f t="shared" si="501"/>
        <v>0</v>
      </c>
      <c r="AO355" s="1093">
        <f t="shared" si="501"/>
        <v>0</v>
      </c>
      <c r="AP355" s="1093">
        <f t="shared" si="501"/>
        <v>0</v>
      </c>
      <c r="AQ355" s="1093">
        <f t="shared" si="501"/>
        <v>0</v>
      </c>
      <c r="AR355" s="1093">
        <f t="shared" si="501"/>
        <v>0</v>
      </c>
      <c r="AS355" s="1093">
        <f t="shared" si="501"/>
        <v>0</v>
      </c>
      <c r="AT355" s="1093">
        <f t="shared" si="501"/>
        <v>0</v>
      </c>
      <c r="AU355" s="1093">
        <f t="shared" si="501"/>
        <v>0</v>
      </c>
      <c r="AV355" s="174"/>
      <c r="AW355" s="206">
        <f>SUMPRODUCT(AX355:BH355,AX$22:BH$22,AX$29:BH$29)/1000</f>
        <v>0</v>
      </c>
      <c r="AX355" s="1091"/>
      <c r="AY355" s="1093">
        <f t="shared" ref="AY355:BG355" si="502">IF(OR(AY$22=0,AY$29=0,($AW$187+$AW$186)=0),0,
-(AY275*$AW$187/($AW$187+$AW$186)*$AW$224*1000)/(AY22*AY29))</f>
        <v>0</v>
      </c>
      <c r="AZ355" s="1093">
        <f t="shared" si="502"/>
        <v>0</v>
      </c>
      <c r="BA355" s="1093">
        <f t="shared" si="502"/>
        <v>0</v>
      </c>
      <c r="BB355" s="1093">
        <f t="shared" si="502"/>
        <v>0</v>
      </c>
      <c r="BC355" s="1093">
        <f t="shared" si="502"/>
        <v>0</v>
      </c>
      <c r="BD355" s="1093">
        <f t="shared" si="502"/>
        <v>0</v>
      </c>
      <c r="BE355" s="1093">
        <f t="shared" si="502"/>
        <v>0</v>
      </c>
      <c r="BF355" s="1093">
        <f t="shared" si="502"/>
        <v>0</v>
      </c>
      <c r="BG355" s="1093">
        <f t="shared" si="502"/>
        <v>0</v>
      </c>
      <c r="BH355" s="210"/>
    </row>
    <row r="356" spans="1:60" s="2" customFormat="1">
      <c r="A356" s="1038"/>
      <c r="B356" s="1110" t="s">
        <v>1224</v>
      </c>
      <c r="C356" s="1106" t="s">
        <v>104</v>
      </c>
      <c r="D356" s="645"/>
      <c r="E356" s="180" t="s">
        <v>292</v>
      </c>
      <c r="F356" s="203"/>
      <c r="G356" s="203"/>
      <c r="H356" s="204" t="s">
        <v>289</v>
      </c>
      <c r="I356" s="205"/>
      <c r="J356" s="206">
        <f>M356+Y356+AK356+AW356</f>
        <v>0</v>
      </c>
      <c r="K356" s="220"/>
      <c r="L356" s="220"/>
      <c r="M356" s="206">
        <f>SUMPRODUCT(N356:X356,N$22:X$22,N$29:X$29)/1000</f>
        <v>0</v>
      </c>
      <c r="N356" s="220"/>
      <c r="O356" s="1093">
        <f t="shared" ref="O356:W356" si="503">IF(OR(O$22=0,O$29=0,($M$187+$M$186)=0),0,
-O73*$M$224/($M$187+$M$186)/O29)</f>
        <v>0</v>
      </c>
      <c r="P356" s="1093">
        <f t="shared" si="503"/>
        <v>0</v>
      </c>
      <c r="Q356" s="1093">
        <f t="shared" si="503"/>
        <v>0</v>
      </c>
      <c r="R356" s="1093">
        <f t="shared" si="503"/>
        <v>0</v>
      </c>
      <c r="S356" s="1093">
        <f t="shared" si="503"/>
        <v>0</v>
      </c>
      <c r="T356" s="1093">
        <f t="shared" si="503"/>
        <v>0</v>
      </c>
      <c r="U356" s="1093">
        <f t="shared" si="503"/>
        <v>0</v>
      </c>
      <c r="V356" s="1093">
        <f t="shared" si="503"/>
        <v>0</v>
      </c>
      <c r="W356" s="1093">
        <f t="shared" si="503"/>
        <v>0</v>
      </c>
      <c r="X356" s="174"/>
      <c r="Y356" s="206">
        <f>SUMPRODUCT(Z356:AJ356,Z$22:AJ$22,Z$29:AJ$29)/1000</f>
        <v>0</v>
      </c>
      <c r="Z356" s="220"/>
      <c r="AA356" s="1093">
        <f t="shared" ref="AA356:AI356" si="504">IF(OR(AA$22=0,AA$29=0,($Y$187+$Y$186)=0),0,
-AA73*$Y$224/($Y$187+$Y$186)/AA29)</f>
        <v>0</v>
      </c>
      <c r="AB356" s="1093">
        <f t="shared" si="504"/>
        <v>0</v>
      </c>
      <c r="AC356" s="1093">
        <f t="shared" si="504"/>
        <v>0</v>
      </c>
      <c r="AD356" s="1093">
        <f t="shared" si="504"/>
        <v>0</v>
      </c>
      <c r="AE356" s="1093">
        <f t="shared" si="504"/>
        <v>0</v>
      </c>
      <c r="AF356" s="1093">
        <f t="shared" si="504"/>
        <v>0</v>
      </c>
      <c r="AG356" s="1093">
        <f t="shared" si="504"/>
        <v>0</v>
      </c>
      <c r="AH356" s="1093">
        <f t="shared" si="504"/>
        <v>0</v>
      </c>
      <c r="AI356" s="1093">
        <f t="shared" si="504"/>
        <v>0</v>
      </c>
      <c r="AJ356" s="174"/>
      <c r="AK356" s="206">
        <f>SUMPRODUCT(AL356:AV356,AL$22:AV$22,AL$29:AV$29)/1000</f>
        <v>0</v>
      </c>
      <c r="AL356" s="1091"/>
      <c r="AM356" s="1093">
        <f t="shared" ref="AM356:AU356" si="505">IF(OR(AM$22=0,AM$29=0,($AK$187+$AK$186)=0),0,
-AM73*$AK$224/($AK$187+$AK$186)/AM29)</f>
        <v>0</v>
      </c>
      <c r="AN356" s="1093">
        <f t="shared" si="505"/>
        <v>0</v>
      </c>
      <c r="AO356" s="1093">
        <f t="shared" si="505"/>
        <v>0</v>
      </c>
      <c r="AP356" s="1093">
        <f t="shared" si="505"/>
        <v>0</v>
      </c>
      <c r="AQ356" s="1093">
        <f t="shared" si="505"/>
        <v>0</v>
      </c>
      <c r="AR356" s="1093">
        <f t="shared" si="505"/>
        <v>0</v>
      </c>
      <c r="AS356" s="1093">
        <f t="shared" si="505"/>
        <v>0</v>
      </c>
      <c r="AT356" s="1093">
        <f t="shared" si="505"/>
        <v>0</v>
      </c>
      <c r="AU356" s="1093">
        <f t="shared" si="505"/>
        <v>0</v>
      </c>
      <c r="AV356" s="174"/>
      <c r="AW356" s="206">
        <f>SUMPRODUCT(AX356:BH356,AX$22:BH$22,AX$29:BH$29)/1000</f>
        <v>0</v>
      </c>
      <c r="AX356" s="1091"/>
      <c r="AY356" s="1093">
        <f t="shared" ref="AY356:BG356" si="506">IF(OR(AY$22=0,AY$29=0,($AW$187+$AW$186)=0),0,
-AY73*$AW$224/($AW$187+$AW$186)/AY29)</f>
        <v>0</v>
      </c>
      <c r="AZ356" s="1093">
        <f t="shared" si="506"/>
        <v>0</v>
      </c>
      <c r="BA356" s="1093">
        <f t="shared" si="506"/>
        <v>0</v>
      </c>
      <c r="BB356" s="1093">
        <f t="shared" si="506"/>
        <v>0</v>
      </c>
      <c r="BC356" s="1093">
        <f t="shared" si="506"/>
        <v>0</v>
      </c>
      <c r="BD356" s="1093">
        <f t="shared" si="506"/>
        <v>0</v>
      </c>
      <c r="BE356" s="1093">
        <f t="shared" si="506"/>
        <v>0</v>
      </c>
      <c r="BF356" s="1093">
        <f t="shared" si="506"/>
        <v>0</v>
      </c>
      <c r="BG356" s="1093">
        <f t="shared" si="506"/>
        <v>0</v>
      </c>
      <c r="BH356" s="210"/>
    </row>
    <row r="357" spans="1:60" s="2" customFormat="1">
      <c r="A357" s="1038"/>
      <c r="B357" s="1110" t="s">
        <v>1224</v>
      </c>
      <c r="C357" s="1106" t="s">
        <v>104</v>
      </c>
      <c r="D357" s="645"/>
      <c r="E357" s="203" t="s">
        <v>293</v>
      </c>
      <c r="F357" s="203"/>
      <c r="G357" s="203"/>
      <c r="H357" s="204" t="s">
        <v>289</v>
      </c>
      <c r="I357" s="205"/>
      <c r="J357" s="206">
        <f>M357+Y357+AK357+AW357</f>
        <v>0</v>
      </c>
      <c r="K357" s="220"/>
      <c r="L357" s="220"/>
      <c r="M357" s="206">
        <f>M355+M356</f>
        <v>0</v>
      </c>
      <c r="N357" s="220"/>
      <c r="O357" s="1093">
        <f t="shared" ref="O357:W357" si="507">O355+O356</f>
        <v>0</v>
      </c>
      <c r="P357" s="1093">
        <f t="shared" si="507"/>
        <v>0</v>
      </c>
      <c r="Q357" s="1093">
        <f t="shared" si="507"/>
        <v>0</v>
      </c>
      <c r="R357" s="1093">
        <f t="shared" si="507"/>
        <v>0</v>
      </c>
      <c r="S357" s="1093">
        <f t="shared" si="507"/>
        <v>0</v>
      </c>
      <c r="T357" s="1093">
        <f>T355+T356</f>
        <v>0</v>
      </c>
      <c r="U357" s="1093">
        <f t="shared" si="507"/>
        <v>0</v>
      </c>
      <c r="V357" s="1093">
        <f t="shared" si="507"/>
        <v>0</v>
      </c>
      <c r="W357" s="1093">
        <f t="shared" si="507"/>
        <v>0</v>
      </c>
      <c r="X357" s="174"/>
      <c r="Y357" s="206">
        <f>Y355+Y356</f>
        <v>0</v>
      </c>
      <c r="Z357" s="220"/>
      <c r="AA357" s="1093">
        <f t="shared" ref="AA357:AI357" si="508">AA355+AA356</f>
        <v>0</v>
      </c>
      <c r="AB357" s="1093">
        <f t="shared" si="508"/>
        <v>0</v>
      </c>
      <c r="AC357" s="1093">
        <f t="shared" si="508"/>
        <v>0</v>
      </c>
      <c r="AD357" s="1093">
        <f t="shared" si="508"/>
        <v>0</v>
      </c>
      <c r="AE357" s="1093">
        <f t="shared" si="508"/>
        <v>0</v>
      </c>
      <c r="AF357" s="1093">
        <f>AF355+AF356</f>
        <v>0</v>
      </c>
      <c r="AG357" s="1093">
        <f t="shared" si="508"/>
        <v>0</v>
      </c>
      <c r="AH357" s="1093">
        <f t="shared" si="508"/>
        <v>0</v>
      </c>
      <c r="AI357" s="1093">
        <f t="shared" si="508"/>
        <v>0</v>
      </c>
      <c r="AJ357" s="174"/>
      <c r="AK357" s="206">
        <f>AK355+AK356</f>
        <v>0</v>
      </c>
      <c r="AL357" s="1091"/>
      <c r="AM357" s="1093">
        <f t="shared" ref="AM357:AU357" si="509">AM355+AM356</f>
        <v>0</v>
      </c>
      <c r="AN357" s="1093">
        <f t="shared" si="509"/>
        <v>0</v>
      </c>
      <c r="AO357" s="1093">
        <f t="shared" si="509"/>
        <v>0</v>
      </c>
      <c r="AP357" s="1093">
        <f t="shared" si="509"/>
        <v>0</v>
      </c>
      <c r="AQ357" s="1093">
        <f t="shared" si="509"/>
        <v>0</v>
      </c>
      <c r="AR357" s="1093">
        <f>AR355+AR356</f>
        <v>0</v>
      </c>
      <c r="AS357" s="1093">
        <f t="shared" si="509"/>
        <v>0</v>
      </c>
      <c r="AT357" s="1093">
        <f t="shared" si="509"/>
        <v>0</v>
      </c>
      <c r="AU357" s="1093">
        <f t="shared" si="509"/>
        <v>0</v>
      </c>
      <c r="AV357" s="174"/>
      <c r="AW357" s="206">
        <f>AW355+AW356</f>
        <v>0</v>
      </c>
      <c r="AX357" s="1091"/>
      <c r="AY357" s="1093">
        <f t="shared" ref="AY357:BG357" si="510">AY355+AY356</f>
        <v>0</v>
      </c>
      <c r="AZ357" s="1093">
        <f t="shared" si="510"/>
        <v>0</v>
      </c>
      <c r="BA357" s="1093">
        <f t="shared" si="510"/>
        <v>0</v>
      </c>
      <c r="BB357" s="1093">
        <f t="shared" si="510"/>
        <v>0</v>
      </c>
      <c r="BC357" s="1093">
        <f t="shared" si="510"/>
        <v>0</v>
      </c>
      <c r="BD357" s="1093">
        <f>BD355+BD356</f>
        <v>0</v>
      </c>
      <c r="BE357" s="1093">
        <f t="shared" si="510"/>
        <v>0</v>
      </c>
      <c r="BF357" s="1093">
        <f t="shared" si="510"/>
        <v>0</v>
      </c>
      <c r="BG357" s="1093">
        <f t="shared" si="510"/>
        <v>0</v>
      </c>
      <c r="BH357" s="210"/>
    </row>
    <row r="358" spans="1:60" s="2" customFormat="1">
      <c r="A358" s="1038"/>
      <c r="B358" s="1110" t="s">
        <v>1224</v>
      </c>
      <c r="C358" s="1106" t="s">
        <v>96</v>
      </c>
      <c r="D358" s="644"/>
      <c r="E358" s="942" t="s">
        <v>107</v>
      </c>
      <c r="F358" s="942"/>
      <c r="G358" s="942"/>
      <c r="H358" s="942"/>
      <c r="I358" s="129"/>
      <c r="J358" s="943"/>
      <c r="K358" s="1094"/>
      <c r="L358" s="1094"/>
      <c r="M358" s="944"/>
      <c r="N358" s="1095"/>
      <c r="O358" s="258" t="str">
        <f>O$17</f>
        <v/>
      </c>
      <c r="P358" s="258" t="str">
        <f t="shared" ref="P358:W358" si="511">P$17</f>
        <v/>
      </c>
      <c r="Q358" s="258" t="str">
        <f t="shared" si="511"/>
        <v/>
      </c>
      <c r="R358" s="258" t="str">
        <f t="shared" si="511"/>
        <v/>
      </c>
      <c r="S358" s="258" t="str">
        <f t="shared" si="511"/>
        <v/>
      </c>
      <c r="T358" s="258" t="str">
        <f t="shared" si="511"/>
        <v/>
      </c>
      <c r="U358" s="258" t="str">
        <f t="shared" si="511"/>
        <v/>
      </c>
      <c r="V358" s="258" t="str">
        <f t="shared" si="511"/>
        <v/>
      </c>
      <c r="W358" s="258" t="str">
        <f t="shared" si="511"/>
        <v/>
      </c>
      <c r="X358" s="1095"/>
      <c r="Y358" s="944"/>
      <c r="Z358" s="1095"/>
      <c r="AA358" s="258" t="str">
        <f>AA$17</f>
        <v/>
      </c>
      <c r="AB358" s="258" t="str">
        <f t="shared" ref="AB358:AI358" si="512">AB$17</f>
        <v/>
      </c>
      <c r="AC358" s="258" t="str">
        <f t="shared" si="512"/>
        <v/>
      </c>
      <c r="AD358" s="258" t="str">
        <f t="shared" si="512"/>
        <v/>
      </c>
      <c r="AE358" s="258" t="str">
        <f t="shared" si="512"/>
        <v/>
      </c>
      <c r="AF358" s="258" t="str">
        <f t="shared" si="512"/>
        <v/>
      </c>
      <c r="AG358" s="258" t="str">
        <f t="shared" si="512"/>
        <v/>
      </c>
      <c r="AH358" s="258" t="str">
        <f t="shared" si="512"/>
        <v/>
      </c>
      <c r="AI358" s="258" t="str">
        <f t="shared" si="512"/>
        <v/>
      </c>
      <c r="AJ358" s="1095"/>
      <c r="AK358" s="944"/>
      <c r="AL358" s="1095"/>
      <c r="AM358" s="258" t="str">
        <f>AM$17</f>
        <v/>
      </c>
      <c r="AN358" s="258" t="str">
        <f t="shared" ref="AN358:AU358" si="513">AN$17</f>
        <v/>
      </c>
      <c r="AO358" s="258" t="str">
        <f t="shared" si="513"/>
        <v/>
      </c>
      <c r="AP358" s="258" t="str">
        <f t="shared" si="513"/>
        <v/>
      </c>
      <c r="AQ358" s="258" t="str">
        <f t="shared" si="513"/>
        <v/>
      </c>
      <c r="AR358" s="258" t="str">
        <f t="shared" si="513"/>
        <v/>
      </c>
      <c r="AS358" s="258" t="str">
        <f t="shared" si="513"/>
        <v/>
      </c>
      <c r="AT358" s="258" t="str">
        <f t="shared" si="513"/>
        <v/>
      </c>
      <c r="AU358" s="258" t="str">
        <f t="shared" si="513"/>
        <v/>
      </c>
      <c r="AV358" s="1095"/>
      <c r="AW358" s="944"/>
      <c r="AX358" s="1095"/>
      <c r="AY358" s="258" t="str">
        <f>AY$17</f>
        <v/>
      </c>
      <c r="AZ358" s="258" t="str">
        <f t="shared" ref="AZ358:BG358" si="514">AZ$17</f>
        <v/>
      </c>
      <c r="BA358" s="258" t="str">
        <f t="shared" si="514"/>
        <v/>
      </c>
      <c r="BB358" s="258" t="str">
        <f t="shared" si="514"/>
        <v/>
      </c>
      <c r="BC358" s="258" t="str">
        <f t="shared" si="514"/>
        <v/>
      </c>
      <c r="BD358" s="258" t="str">
        <f t="shared" si="514"/>
        <v/>
      </c>
      <c r="BE358" s="258" t="str">
        <f t="shared" si="514"/>
        <v/>
      </c>
      <c r="BF358" s="258" t="str">
        <f t="shared" si="514"/>
        <v/>
      </c>
      <c r="BG358" s="258" t="str">
        <f t="shared" si="514"/>
        <v/>
      </c>
    </row>
    <row r="359" spans="1:60" s="2" customFormat="1">
      <c r="A359" s="1038"/>
      <c r="B359" s="1110" t="s">
        <v>1224</v>
      </c>
      <c r="C359" s="1106" t="s">
        <v>104</v>
      </c>
      <c r="D359" s="645"/>
      <c r="E359" s="203" t="s">
        <v>1340</v>
      </c>
      <c r="F359" s="203"/>
      <c r="G359" s="203"/>
      <c r="H359" s="204" t="s">
        <v>289</v>
      </c>
      <c r="I359" s="205"/>
      <c r="J359" s="206">
        <f>M359+Y359+AK359+AW359</f>
        <v>0</v>
      </c>
      <c r="K359" s="220"/>
      <c r="L359" s="220"/>
      <c r="M359" s="206">
        <f>SUMPRODUCT(N359:X359,N$22:X$22,N$29:X$29)/1000</f>
        <v>0</v>
      </c>
      <c r="N359" s="220"/>
      <c r="O359" s="1093">
        <f t="shared" ref="O359:W359" si="515">O353+O357</f>
        <v>0</v>
      </c>
      <c r="P359" s="1093">
        <f t="shared" si="515"/>
        <v>0</v>
      </c>
      <c r="Q359" s="1093">
        <f t="shared" si="515"/>
        <v>0</v>
      </c>
      <c r="R359" s="1093">
        <f t="shared" si="515"/>
        <v>0</v>
      </c>
      <c r="S359" s="1093">
        <f t="shared" si="515"/>
        <v>0</v>
      </c>
      <c r="T359" s="1093">
        <f>T353+T357</f>
        <v>0</v>
      </c>
      <c r="U359" s="1093">
        <f t="shared" si="515"/>
        <v>0</v>
      </c>
      <c r="V359" s="1093">
        <f t="shared" si="515"/>
        <v>0</v>
      </c>
      <c r="W359" s="1093">
        <f t="shared" si="515"/>
        <v>0</v>
      </c>
      <c r="X359" s="174"/>
      <c r="Y359" s="206">
        <f>SUMPRODUCT(Z359:AJ359,Z$22:AJ$22,Z$29:AJ$29)/1000</f>
        <v>0</v>
      </c>
      <c r="Z359" s="220"/>
      <c r="AA359" s="1093">
        <f t="shared" ref="AA359:AE359" si="516">AA353+AA357</f>
        <v>0</v>
      </c>
      <c r="AB359" s="1093">
        <f t="shared" si="516"/>
        <v>0</v>
      </c>
      <c r="AC359" s="1093">
        <f t="shared" si="516"/>
        <v>0</v>
      </c>
      <c r="AD359" s="1093">
        <f t="shared" si="516"/>
        <v>0</v>
      </c>
      <c r="AE359" s="1093">
        <f t="shared" si="516"/>
        <v>0</v>
      </c>
      <c r="AF359" s="1093">
        <f>AF353+AF357</f>
        <v>0</v>
      </c>
      <c r="AG359" s="1093">
        <f t="shared" ref="AG359:AI359" si="517">AG353+AG357</f>
        <v>0</v>
      </c>
      <c r="AH359" s="1093">
        <f t="shared" si="517"/>
        <v>0</v>
      </c>
      <c r="AI359" s="1093">
        <f t="shared" si="517"/>
        <v>0</v>
      </c>
      <c r="AJ359" s="174"/>
      <c r="AK359" s="206">
        <f>SUMPRODUCT(AL359:AV359,AL$22:AV$22,AL$29:AV$29)/1000</f>
        <v>0</v>
      </c>
      <c r="AL359" s="1091"/>
      <c r="AM359" s="1093">
        <f t="shared" ref="AM359:AQ359" si="518">AM353+AM357</f>
        <v>0</v>
      </c>
      <c r="AN359" s="1093">
        <f t="shared" si="518"/>
        <v>0</v>
      </c>
      <c r="AO359" s="1093">
        <f t="shared" si="518"/>
        <v>0</v>
      </c>
      <c r="AP359" s="1093">
        <f t="shared" si="518"/>
        <v>0</v>
      </c>
      <c r="AQ359" s="1093">
        <f t="shared" si="518"/>
        <v>0</v>
      </c>
      <c r="AR359" s="1093">
        <f>AR353+AR357</f>
        <v>0</v>
      </c>
      <c r="AS359" s="1093">
        <f t="shared" ref="AS359:AU359" si="519">AS353+AS357</f>
        <v>0</v>
      </c>
      <c r="AT359" s="1093">
        <f t="shared" si="519"/>
        <v>0</v>
      </c>
      <c r="AU359" s="1093">
        <f t="shared" si="519"/>
        <v>0</v>
      </c>
      <c r="AV359" s="174"/>
      <c r="AW359" s="206">
        <f>SUMPRODUCT(AX359:BH359,AX$22:BH$22,AX$29:BH$29)/1000</f>
        <v>0</v>
      </c>
      <c r="AX359" s="1091"/>
      <c r="AY359" s="1093">
        <f t="shared" ref="AY359:BC359" si="520">AY353+AY357</f>
        <v>0</v>
      </c>
      <c r="AZ359" s="1093">
        <f t="shared" si="520"/>
        <v>0</v>
      </c>
      <c r="BA359" s="1093">
        <f t="shared" si="520"/>
        <v>0</v>
      </c>
      <c r="BB359" s="1093">
        <f t="shared" si="520"/>
        <v>0</v>
      </c>
      <c r="BC359" s="1093">
        <f t="shared" si="520"/>
        <v>0</v>
      </c>
      <c r="BD359" s="1093">
        <f>BD353+BD357</f>
        <v>0</v>
      </c>
      <c r="BE359" s="1093">
        <f t="shared" ref="BE359:BG359" si="521">BE353+BE357</f>
        <v>0</v>
      </c>
      <c r="BF359" s="1093">
        <f t="shared" si="521"/>
        <v>0</v>
      </c>
      <c r="BG359" s="1093">
        <f t="shared" si="521"/>
        <v>0</v>
      </c>
      <c r="BH359" s="210"/>
    </row>
    <row r="360" spans="1:60" s="2" customFormat="1">
      <c r="A360" s="1038"/>
      <c r="B360" s="1110" t="s">
        <v>1224</v>
      </c>
      <c r="C360" s="1106" t="s">
        <v>104</v>
      </c>
      <c r="D360" s="645"/>
      <c r="E360" s="203" t="s">
        <v>1341</v>
      </c>
      <c r="F360" s="203"/>
      <c r="G360" s="203"/>
      <c r="H360" s="204" t="s">
        <v>289</v>
      </c>
      <c r="I360" s="205"/>
      <c r="J360" s="206">
        <f>M360+Y360+AK360+AW360</f>
        <v>0</v>
      </c>
      <c r="K360" s="220"/>
      <c r="L360" s="220"/>
      <c r="M360" s="206">
        <f>SUMPRODUCT(N360:X360,N$22:X$22,N$29:X$29)/1000</f>
        <v>0</v>
      </c>
      <c r="N360" s="220"/>
      <c r="O360" s="1093">
        <f t="shared" ref="O360:W360" si="522">O$345+O$346+O$347+IF(OR(O$19=woning,O$19=woongebouw),0,O$348)+O$349+O$357</f>
        <v>0</v>
      </c>
      <c r="P360" s="1093">
        <f t="shared" si="522"/>
        <v>0</v>
      </c>
      <c r="Q360" s="1093">
        <f t="shared" si="522"/>
        <v>0</v>
      </c>
      <c r="R360" s="1093">
        <f t="shared" si="522"/>
        <v>0</v>
      </c>
      <c r="S360" s="1093">
        <f t="shared" si="522"/>
        <v>0</v>
      </c>
      <c r="T360" s="1093">
        <f t="shared" si="522"/>
        <v>0</v>
      </c>
      <c r="U360" s="1093">
        <f t="shared" si="522"/>
        <v>0</v>
      </c>
      <c r="V360" s="1093">
        <f t="shared" si="522"/>
        <v>0</v>
      </c>
      <c r="W360" s="1093">
        <f t="shared" si="522"/>
        <v>0</v>
      </c>
      <c r="X360" s="174"/>
      <c r="Y360" s="206">
        <f>SUMPRODUCT(Z360:AJ360,Z$22:AJ$22,Z$29:AJ$29)/1000</f>
        <v>0</v>
      </c>
      <c r="Z360" s="220"/>
      <c r="AA360" s="1093">
        <f t="shared" ref="AA360:AI360" si="523">AA$345+AA$346+AA$347+IF(OR(AA$19=woning,AA$19=woongebouw),0,AA$348)+AA$349+AA$357</f>
        <v>0</v>
      </c>
      <c r="AB360" s="1093">
        <f t="shared" si="523"/>
        <v>0</v>
      </c>
      <c r="AC360" s="1093">
        <f t="shared" si="523"/>
        <v>0</v>
      </c>
      <c r="AD360" s="1093">
        <f t="shared" si="523"/>
        <v>0</v>
      </c>
      <c r="AE360" s="1093">
        <f t="shared" si="523"/>
        <v>0</v>
      </c>
      <c r="AF360" s="1093">
        <f t="shared" si="523"/>
        <v>0</v>
      </c>
      <c r="AG360" s="1093">
        <f t="shared" si="523"/>
        <v>0</v>
      </c>
      <c r="AH360" s="1093">
        <f t="shared" si="523"/>
        <v>0</v>
      </c>
      <c r="AI360" s="1093">
        <f t="shared" si="523"/>
        <v>0</v>
      </c>
      <c r="AJ360" s="174"/>
      <c r="AK360" s="206">
        <f>SUMPRODUCT(AL360:AV360,AL$22:AV$22,AL$29:AV$29)/1000</f>
        <v>0</v>
      </c>
      <c r="AL360" s="1091"/>
      <c r="AM360" s="1093">
        <f t="shared" ref="AM360:AU360" si="524">AM$345+AM$346+AM$347+IF(OR(AM$19=woning,AM$19=woongebouw),0,AM$348)+AM$349+AM$357</f>
        <v>0</v>
      </c>
      <c r="AN360" s="1093">
        <f t="shared" si="524"/>
        <v>0</v>
      </c>
      <c r="AO360" s="1093">
        <f t="shared" si="524"/>
        <v>0</v>
      </c>
      <c r="AP360" s="1093">
        <f t="shared" si="524"/>
        <v>0</v>
      </c>
      <c r="AQ360" s="1093">
        <f t="shared" si="524"/>
        <v>0</v>
      </c>
      <c r="AR360" s="1093">
        <f t="shared" si="524"/>
        <v>0</v>
      </c>
      <c r="AS360" s="1093">
        <f t="shared" si="524"/>
        <v>0</v>
      </c>
      <c r="AT360" s="1093">
        <f t="shared" si="524"/>
        <v>0</v>
      </c>
      <c r="AU360" s="1093">
        <f t="shared" si="524"/>
        <v>0</v>
      </c>
      <c r="AV360" s="174"/>
      <c r="AW360" s="206">
        <f>SUMPRODUCT(AX360:BH360,AX$22:BH$22,AX$29:BH$29)/1000</f>
        <v>0</v>
      </c>
      <c r="AX360" s="1091"/>
      <c r="AY360" s="1093">
        <f t="shared" ref="AY360:BG360" si="525">AY$345+AY$346+AY$347+IF(OR(AY$19=woning,AY$19=woongebouw),0,AY$348)+AY$349+AY$357</f>
        <v>0</v>
      </c>
      <c r="AZ360" s="1093">
        <f t="shared" si="525"/>
        <v>0</v>
      </c>
      <c r="BA360" s="1093">
        <f t="shared" si="525"/>
        <v>0</v>
      </c>
      <c r="BB360" s="1093">
        <f t="shared" si="525"/>
        <v>0</v>
      </c>
      <c r="BC360" s="1093">
        <f t="shared" si="525"/>
        <v>0</v>
      </c>
      <c r="BD360" s="1093">
        <f t="shared" si="525"/>
        <v>0</v>
      </c>
      <c r="BE360" s="1093">
        <f t="shared" si="525"/>
        <v>0</v>
      </c>
      <c r="BF360" s="1093">
        <f t="shared" si="525"/>
        <v>0</v>
      </c>
      <c r="BG360" s="1093">
        <f t="shared" si="525"/>
        <v>0</v>
      </c>
      <c r="BH360" s="210"/>
    </row>
    <row r="361" spans="1:60">
      <c r="A361" s="1040"/>
      <c r="B361" s="1109" t="s">
        <v>1219</v>
      </c>
      <c r="C361" s="1106" t="s">
        <v>96</v>
      </c>
      <c r="D361" s="638"/>
      <c r="E361" s="79"/>
      <c r="F361" s="79"/>
      <c r="G361" s="79"/>
      <c r="H361" s="85"/>
      <c r="I361" s="79"/>
      <c r="J361" s="113"/>
      <c r="K361" s="79"/>
      <c r="L361" s="79"/>
      <c r="M361" s="113"/>
      <c r="N361" s="79"/>
      <c r="O361" s="81"/>
      <c r="P361" s="1163"/>
      <c r="Q361" s="81"/>
      <c r="R361" s="81"/>
      <c r="S361" s="81"/>
      <c r="T361" s="81"/>
      <c r="U361" s="81"/>
      <c r="V361" s="81"/>
      <c r="W361" s="81"/>
      <c r="X361" s="82"/>
      <c r="Y361" s="82"/>
      <c r="Z361" s="79"/>
      <c r="AA361" s="79"/>
      <c r="AB361" s="79"/>
      <c r="AC361" s="79"/>
      <c r="AD361" s="79"/>
      <c r="AE361" s="79"/>
      <c r="AF361" s="79"/>
      <c r="AG361" s="79"/>
      <c r="AH361" s="79"/>
      <c r="AI361" s="79"/>
      <c r="AJ361" s="79"/>
      <c r="AK361" s="113"/>
      <c r="AL361" s="79"/>
      <c r="AM361" s="82"/>
      <c r="AN361" s="82"/>
      <c r="AO361" s="82"/>
      <c r="AP361" s="82"/>
      <c r="AQ361" s="82"/>
      <c r="AR361" s="82"/>
      <c r="AS361" s="82"/>
      <c r="AT361" s="82"/>
      <c r="AU361" s="82"/>
      <c r="AV361" s="82"/>
      <c r="AW361" s="82"/>
      <c r="AX361" s="79"/>
      <c r="AY361" s="82"/>
      <c r="AZ361" s="82"/>
      <c r="BA361" s="82"/>
      <c r="BB361" s="82"/>
      <c r="BC361" s="82"/>
      <c r="BD361" s="82"/>
      <c r="BE361" s="82"/>
      <c r="BF361" s="82"/>
      <c r="BG361" s="82"/>
      <c r="BH361" s="1"/>
    </row>
    <row r="362" spans="1:60">
      <c r="A362" s="1040"/>
      <c r="B362" s="1109" t="s">
        <v>1221</v>
      </c>
      <c r="C362" s="1106" t="s">
        <v>96</v>
      </c>
      <c r="D362" s="638"/>
      <c r="E362" s="1184"/>
      <c r="F362" s="79"/>
      <c r="G362" s="79"/>
      <c r="H362" s="85"/>
      <c r="I362" s="79"/>
      <c r="J362" s="1088"/>
      <c r="K362" s="79"/>
      <c r="L362" s="79"/>
      <c r="M362" s="113"/>
      <c r="N362" s="79"/>
      <c r="O362" s="1087"/>
      <c r="P362" s="1087"/>
      <c r="Q362" s="1087"/>
      <c r="R362" s="1087"/>
      <c r="S362" s="1087"/>
      <c r="T362" s="1087"/>
      <c r="U362" s="1087"/>
      <c r="V362" s="1087"/>
      <c r="W362" s="1087"/>
      <c r="X362" s="82"/>
      <c r="Y362" s="82"/>
      <c r="Z362" s="79"/>
      <c r="AA362" s="79"/>
      <c r="AB362" s="79"/>
      <c r="AC362" s="79"/>
      <c r="AD362" s="79"/>
      <c r="AE362" s="79"/>
      <c r="AF362" s="79"/>
      <c r="AG362" s="79"/>
      <c r="AH362" s="79"/>
      <c r="AI362" s="79"/>
      <c r="AJ362" s="79"/>
      <c r="AK362" s="113"/>
      <c r="AL362" s="79"/>
      <c r="AM362" s="82"/>
      <c r="AN362" s="82"/>
      <c r="AO362" s="82"/>
      <c r="AP362" s="82"/>
      <c r="AQ362" s="82"/>
      <c r="AR362" s="82"/>
      <c r="AS362" s="82"/>
      <c r="AT362" s="82"/>
      <c r="AU362" s="82"/>
      <c r="AV362" s="82"/>
      <c r="AW362" s="82"/>
      <c r="AX362" s="79"/>
      <c r="AY362" s="82"/>
      <c r="AZ362" s="82"/>
      <c r="BA362" s="82"/>
      <c r="BB362" s="82"/>
      <c r="BC362" s="82"/>
      <c r="BD362" s="82"/>
      <c r="BE362" s="82"/>
      <c r="BF362" s="82"/>
      <c r="BG362" s="82"/>
      <c r="BH362" s="1"/>
    </row>
    <row r="363" spans="1:60" ht="21">
      <c r="A363" s="1040"/>
      <c r="B363" s="1109" t="s">
        <v>1221</v>
      </c>
      <c r="C363" s="1106" t="s">
        <v>96</v>
      </c>
      <c r="D363" s="645" t="s">
        <v>45</v>
      </c>
      <c r="E363" s="209" t="s">
        <v>1362</v>
      </c>
      <c r="F363" s="209"/>
      <c r="G363" s="209"/>
      <c r="H363" s="1188" t="str">
        <f>IF(OR($F$5&lt;&gt;"NTA8800:2026",$F$6&lt;&gt;"EP"),"Voor correcte EP: Kies linksboven 'NTA8800:2026' en 'EP'","")</f>
        <v/>
      </c>
      <c r="I363" s="129"/>
      <c r="J363" s="256"/>
      <c r="K363" s="126"/>
      <c r="L363" s="126"/>
      <c r="M363" s="256" t="str">
        <f>"MWh "&amp;M$8</f>
        <v>MWh locatie 1</v>
      </c>
      <c r="N363" s="182"/>
      <c r="O363" s="955" t="str">
        <f>$E363&amp;" per woning-/gebouwtype"</f>
        <v>primair totaal energiegebruik ZEB per woning-/gebouwtype</v>
      </c>
      <c r="P363" s="945"/>
      <c r="Q363" s="945"/>
      <c r="R363" s="945"/>
      <c r="S363" s="945"/>
      <c r="T363" s="945"/>
      <c r="U363" s="945"/>
      <c r="V363" s="945"/>
      <c r="W363" s="257"/>
      <c r="X363" s="82"/>
      <c r="Y363" s="256" t="str">
        <f>"MWh "&amp;Y$8</f>
        <v>MWh locatie 2</v>
      </c>
      <c r="Z363" s="182"/>
      <c r="AA363" s="955" t="str">
        <f>$E363&amp;" per woning-/gebouwtype"</f>
        <v>primair totaal energiegebruik ZEB per woning-/gebouwtype</v>
      </c>
      <c r="AB363" s="945"/>
      <c r="AC363" s="945"/>
      <c r="AD363" s="945"/>
      <c r="AE363" s="945"/>
      <c r="AF363" s="945"/>
      <c r="AG363" s="945"/>
      <c r="AH363" s="945"/>
      <c r="AI363" s="257"/>
      <c r="AJ363" s="79"/>
      <c r="AK363" s="256" t="str">
        <f>"MWh "&amp;AK$8</f>
        <v>MWh locatie 3</v>
      </c>
      <c r="AL363" s="182"/>
      <c r="AM363" s="955" t="str">
        <f>$E363&amp;" per woning-/gebouwtype"</f>
        <v>primair totaal energiegebruik ZEB per woning-/gebouwtype</v>
      </c>
      <c r="AN363" s="945"/>
      <c r="AO363" s="945"/>
      <c r="AP363" s="945"/>
      <c r="AQ363" s="945"/>
      <c r="AR363" s="945"/>
      <c r="AS363" s="945"/>
      <c r="AT363" s="945"/>
      <c r="AU363" s="257"/>
      <c r="AV363" s="82"/>
      <c r="AW363" s="256" t="str">
        <f>"MWh "&amp;AW$8</f>
        <v>MWh locatie 4</v>
      </c>
      <c r="AX363" s="182"/>
      <c r="AY363" s="955" t="str">
        <f>$E363&amp;" per woning-/gebouwtype"</f>
        <v>primair totaal energiegebruik ZEB per woning-/gebouwtype</v>
      </c>
      <c r="AZ363" s="945"/>
      <c r="BA363" s="945"/>
      <c r="BB363" s="945"/>
      <c r="BC363" s="945"/>
      <c r="BD363" s="945"/>
      <c r="BE363" s="945"/>
      <c r="BF363" s="945"/>
      <c r="BG363" s="257"/>
      <c r="BH363" s="1"/>
    </row>
    <row r="364" spans="1:60">
      <c r="A364" s="1040"/>
      <c r="B364" s="1109" t="s">
        <v>1221</v>
      </c>
      <c r="C364" s="1106" t="s">
        <v>96</v>
      </c>
      <c r="D364" s="645"/>
      <c r="E364" s="942" t="s">
        <v>1330</v>
      </c>
      <c r="F364" s="942"/>
      <c r="G364" s="942"/>
      <c r="H364" s="942"/>
      <c r="I364" s="129"/>
      <c r="J364" s="943"/>
      <c r="K364" s="126"/>
      <c r="L364" s="126"/>
      <c r="M364" s="944"/>
      <c r="N364" s="195"/>
      <c r="O364" s="258" t="str">
        <f>O$17</f>
        <v/>
      </c>
      <c r="P364" s="258" t="str">
        <f t="shared" ref="P364:W364" si="526">P$17</f>
        <v/>
      </c>
      <c r="Q364" s="258" t="str">
        <f t="shared" si="526"/>
        <v/>
      </c>
      <c r="R364" s="258" t="str">
        <f t="shared" si="526"/>
        <v/>
      </c>
      <c r="S364" s="258" t="str">
        <f t="shared" si="526"/>
        <v/>
      </c>
      <c r="T364" s="258" t="str">
        <f t="shared" si="526"/>
        <v/>
      </c>
      <c r="U364" s="258" t="str">
        <f t="shared" si="526"/>
        <v/>
      </c>
      <c r="V364" s="258" t="str">
        <f t="shared" si="526"/>
        <v/>
      </c>
      <c r="W364" s="258" t="str">
        <f t="shared" si="526"/>
        <v/>
      </c>
      <c r="X364" s="82"/>
      <c r="Y364" s="944"/>
      <c r="Z364" s="195"/>
      <c r="AA364" s="258" t="str">
        <f>AA$17</f>
        <v/>
      </c>
      <c r="AB364" s="258" t="str">
        <f t="shared" ref="AB364:AI364" si="527">AB$17</f>
        <v/>
      </c>
      <c r="AC364" s="258" t="str">
        <f t="shared" si="527"/>
        <v/>
      </c>
      <c r="AD364" s="258" t="str">
        <f t="shared" si="527"/>
        <v/>
      </c>
      <c r="AE364" s="258" t="str">
        <f t="shared" si="527"/>
        <v/>
      </c>
      <c r="AF364" s="258" t="str">
        <f t="shared" si="527"/>
        <v/>
      </c>
      <c r="AG364" s="258" t="str">
        <f t="shared" si="527"/>
        <v/>
      </c>
      <c r="AH364" s="258" t="str">
        <f t="shared" si="527"/>
        <v/>
      </c>
      <c r="AI364" s="258" t="str">
        <f t="shared" si="527"/>
        <v/>
      </c>
      <c r="AJ364" s="79"/>
      <c r="AK364" s="944"/>
      <c r="AL364" s="195"/>
      <c r="AM364" s="258" t="str">
        <f>AM$17</f>
        <v/>
      </c>
      <c r="AN364" s="258" t="str">
        <f t="shared" ref="AN364:AU364" si="528">AN$17</f>
        <v/>
      </c>
      <c r="AO364" s="258" t="str">
        <f t="shared" si="528"/>
        <v/>
      </c>
      <c r="AP364" s="258" t="str">
        <f t="shared" si="528"/>
        <v/>
      </c>
      <c r="AQ364" s="258" t="str">
        <f t="shared" si="528"/>
        <v/>
      </c>
      <c r="AR364" s="258" t="str">
        <f t="shared" si="528"/>
        <v/>
      </c>
      <c r="AS364" s="258" t="str">
        <f t="shared" si="528"/>
        <v/>
      </c>
      <c r="AT364" s="258" t="str">
        <f t="shared" si="528"/>
        <v/>
      </c>
      <c r="AU364" s="258" t="str">
        <f t="shared" si="528"/>
        <v/>
      </c>
      <c r="AV364" s="82"/>
      <c r="AW364" s="944"/>
      <c r="AX364" s="195"/>
      <c r="AY364" s="258" t="str">
        <f>AY$17</f>
        <v/>
      </c>
      <c r="AZ364" s="258" t="str">
        <f t="shared" ref="AZ364:BG364" si="529">AZ$17</f>
        <v/>
      </c>
      <c r="BA364" s="258" t="str">
        <f t="shared" si="529"/>
        <v/>
      </c>
      <c r="BB364" s="258" t="str">
        <f t="shared" si="529"/>
        <v/>
      </c>
      <c r="BC364" s="258" t="str">
        <f t="shared" si="529"/>
        <v/>
      </c>
      <c r="BD364" s="258" t="str">
        <f t="shared" si="529"/>
        <v/>
      </c>
      <c r="BE364" s="258" t="str">
        <f t="shared" si="529"/>
        <v/>
      </c>
      <c r="BF364" s="258" t="str">
        <f t="shared" si="529"/>
        <v/>
      </c>
      <c r="BG364" s="258" t="str">
        <f t="shared" si="529"/>
        <v/>
      </c>
      <c r="BH364" s="1"/>
    </row>
    <row r="365" spans="1:60">
      <c r="A365" s="1040"/>
      <c r="B365" s="1109" t="s">
        <v>1221</v>
      </c>
      <c r="C365" s="1107" t="s">
        <v>104</v>
      </c>
      <c r="D365" s="645"/>
      <c r="E365" s="304" t="str">
        <f>$O$10</f>
        <v>verwarming</v>
      </c>
      <c r="F365" s="180"/>
      <c r="G365" s="180"/>
      <c r="H365" s="201" t="s">
        <v>1207</v>
      </c>
      <c r="I365" s="114"/>
      <c r="J365" s="190"/>
      <c r="K365" s="1092"/>
      <c r="L365" s="1092"/>
      <c r="M365" s="190">
        <f>SUMPRODUCT(N365:X365,N$22:X$22,N$29:X$29)/1000</f>
        <v>0</v>
      </c>
      <c r="N365" s="119"/>
      <c r="O365" s="183">
        <f>IF(OR(O$22=0,$O$78=0),0,
(($O$126+$O$157+$O$178)/$O$78)*O$62)</f>
        <v>0</v>
      </c>
      <c r="P365" s="183">
        <f t="shared" ref="P365:W365" si="530">IF(OR(P$22=0,$O$78=0),0,
(($O$126+$O$157+$O$178)/$O$78)*P$62)</f>
        <v>0</v>
      </c>
      <c r="Q365" s="183">
        <f t="shared" si="530"/>
        <v>0</v>
      </c>
      <c r="R365" s="183">
        <f t="shared" si="530"/>
        <v>0</v>
      </c>
      <c r="S365" s="183">
        <f t="shared" si="530"/>
        <v>0</v>
      </c>
      <c r="T365" s="183">
        <f t="shared" si="530"/>
        <v>0</v>
      </c>
      <c r="U365" s="183">
        <f t="shared" si="530"/>
        <v>0</v>
      </c>
      <c r="V365" s="183">
        <f t="shared" si="530"/>
        <v>0</v>
      </c>
      <c r="W365" s="183">
        <f t="shared" si="530"/>
        <v>0</v>
      </c>
      <c r="X365" s="108"/>
      <c r="Y365" s="190">
        <f>SUMPRODUCT(Z365:AJ365,Z$22:AJ$22,Z$29:AJ$29)/1000</f>
        <v>0</v>
      </c>
      <c r="Z365" s="119"/>
      <c r="AA365" s="183">
        <f>IF(OR(AA$22=0,$AA$78=0),0,
(($AA$126+$AA$157+$AA$178)/$AA$78)*AA$62)</f>
        <v>0</v>
      </c>
      <c r="AB365" s="183">
        <f t="shared" ref="AB365:AI365" si="531">IF(OR(AB$22=0,$AA$78=0),0,
(($AA$126+$AA$157+$AA$178)/$AA$78)*AB$62)</f>
        <v>0</v>
      </c>
      <c r="AC365" s="183">
        <f t="shared" si="531"/>
        <v>0</v>
      </c>
      <c r="AD365" s="183">
        <f t="shared" si="531"/>
        <v>0</v>
      </c>
      <c r="AE365" s="183">
        <f t="shared" si="531"/>
        <v>0</v>
      </c>
      <c r="AF365" s="183">
        <f t="shared" si="531"/>
        <v>0</v>
      </c>
      <c r="AG365" s="183">
        <f t="shared" si="531"/>
        <v>0</v>
      </c>
      <c r="AH365" s="183">
        <f t="shared" si="531"/>
        <v>0</v>
      </c>
      <c r="AI365" s="183">
        <f t="shared" si="531"/>
        <v>0</v>
      </c>
      <c r="AJ365" s="1051"/>
      <c r="AK365" s="190">
        <f>SUMPRODUCT(AL365:AV365,AL$22:AV$22,AL$29:AV$29)/1000</f>
        <v>0</v>
      </c>
      <c r="AL365" s="119"/>
      <c r="AM365" s="183">
        <f>IF(OR(AM$22=0,$AM$78=0),0,
(($AM$126+$AM$157+$AM$178)/$AM$78)*AM$62)</f>
        <v>0</v>
      </c>
      <c r="AN365" s="183">
        <f t="shared" ref="AN365:AU365" si="532">IF(OR(AN$22=0,$AM$78=0),0,
(($AM$126+$AM$157+$AM$178)/$AM$78)*AN$62)</f>
        <v>0</v>
      </c>
      <c r="AO365" s="183">
        <f t="shared" si="532"/>
        <v>0</v>
      </c>
      <c r="AP365" s="183">
        <f t="shared" si="532"/>
        <v>0</v>
      </c>
      <c r="AQ365" s="183">
        <f t="shared" si="532"/>
        <v>0</v>
      </c>
      <c r="AR365" s="183">
        <f t="shared" si="532"/>
        <v>0</v>
      </c>
      <c r="AS365" s="183">
        <f t="shared" si="532"/>
        <v>0</v>
      </c>
      <c r="AT365" s="183">
        <f t="shared" si="532"/>
        <v>0</v>
      </c>
      <c r="AU365" s="183">
        <f t="shared" si="532"/>
        <v>0</v>
      </c>
      <c r="AV365" s="108"/>
      <c r="AW365" s="190">
        <f>SUMPRODUCT(AX365:BH365,AX$22:BH$22,AX$29:BH$29)/1000</f>
        <v>0</v>
      </c>
      <c r="AX365" s="119"/>
      <c r="AY365" s="183">
        <f>IF(OR(AY$22=0,$AY$78=0),0,
(($AY$126+$AY$157+$AY$178)/$AY$78)*AY$62)</f>
        <v>0</v>
      </c>
      <c r="AZ365" s="183">
        <f t="shared" ref="AZ365:BG365" si="533">IF(OR(AZ$22=0,$AY$78=0),0,
(($AY$126+$AY$157+$AY$178)/$AY$78)*AZ$62)</f>
        <v>0</v>
      </c>
      <c r="BA365" s="183">
        <f t="shared" si="533"/>
        <v>0</v>
      </c>
      <c r="BB365" s="183">
        <f t="shared" si="533"/>
        <v>0</v>
      </c>
      <c r="BC365" s="183">
        <f t="shared" si="533"/>
        <v>0</v>
      </c>
      <c r="BD365" s="183">
        <f t="shared" si="533"/>
        <v>0</v>
      </c>
      <c r="BE365" s="183">
        <f t="shared" si="533"/>
        <v>0</v>
      </c>
      <c r="BF365" s="183">
        <f t="shared" si="533"/>
        <v>0</v>
      </c>
      <c r="BG365" s="183">
        <f t="shared" si="533"/>
        <v>0</v>
      </c>
      <c r="BH365" s="1"/>
    </row>
    <row r="366" spans="1:60">
      <c r="A366" s="1040"/>
      <c r="B366" s="1109" t="s">
        <v>1221</v>
      </c>
      <c r="C366" s="1107" t="s">
        <v>104</v>
      </c>
      <c r="D366" s="645"/>
      <c r="E366" s="304" t="str">
        <f>$P$10</f>
        <v>koeling</v>
      </c>
      <c r="F366" s="180"/>
      <c r="G366" s="180"/>
      <c r="H366" s="201" t="s">
        <v>1207</v>
      </c>
      <c r="I366" s="114"/>
      <c r="J366" s="190"/>
      <c r="K366" s="1092"/>
      <c r="L366" s="1092"/>
      <c r="M366" s="190">
        <f t="shared" ref="M366:M374" si="534">SUMPRODUCT(N366:X366,N$22:X$22,N$29:X$29)/1000</f>
        <v>0</v>
      </c>
      <c r="N366" s="119"/>
      <c r="O366" s="183">
        <f t="shared" ref="O366:W366" si="535">IF(OR(O$22=0,$P$78=0),0,
(($P$126+$P$157+$P$178)/$P$78)*O64)</f>
        <v>0</v>
      </c>
      <c r="P366" s="183">
        <f t="shared" si="535"/>
        <v>0</v>
      </c>
      <c r="Q366" s="183">
        <f t="shared" si="535"/>
        <v>0</v>
      </c>
      <c r="R366" s="183">
        <f t="shared" si="535"/>
        <v>0</v>
      </c>
      <c r="S366" s="183">
        <f t="shared" si="535"/>
        <v>0</v>
      </c>
      <c r="T366" s="183">
        <f t="shared" si="535"/>
        <v>0</v>
      </c>
      <c r="U366" s="183">
        <f t="shared" si="535"/>
        <v>0</v>
      </c>
      <c r="V366" s="183">
        <f t="shared" si="535"/>
        <v>0</v>
      </c>
      <c r="W366" s="183">
        <f t="shared" si="535"/>
        <v>0</v>
      </c>
      <c r="X366" s="108"/>
      <c r="Y366" s="190">
        <f t="shared" ref="Y366:Y374" si="536">SUMPRODUCT(Z366:AJ366,Z$22:AJ$22,Z$29:AJ$29)/1000</f>
        <v>0</v>
      </c>
      <c r="Z366" s="119"/>
      <c r="AA366" s="183">
        <f t="shared" ref="AA366:AI366" si="537">IF(OR(AA$22=0,$AB$78=0),0,
(($AB$126+$AB$157+$AB$178)/$AB$78)*AA64)</f>
        <v>0</v>
      </c>
      <c r="AB366" s="183">
        <f t="shared" si="537"/>
        <v>0</v>
      </c>
      <c r="AC366" s="183">
        <f t="shared" si="537"/>
        <v>0</v>
      </c>
      <c r="AD366" s="183">
        <f t="shared" si="537"/>
        <v>0</v>
      </c>
      <c r="AE366" s="183">
        <f t="shared" si="537"/>
        <v>0</v>
      </c>
      <c r="AF366" s="183">
        <f t="shared" si="537"/>
        <v>0</v>
      </c>
      <c r="AG366" s="183">
        <f t="shared" si="537"/>
        <v>0</v>
      </c>
      <c r="AH366" s="183">
        <f t="shared" si="537"/>
        <v>0</v>
      </c>
      <c r="AI366" s="183">
        <f t="shared" si="537"/>
        <v>0</v>
      </c>
      <c r="AJ366" s="1051"/>
      <c r="AK366" s="190">
        <f t="shared" ref="AK366:AK374" si="538">SUMPRODUCT(AL366:AV366,AL$22:AV$22,AL$29:AV$29)/1000</f>
        <v>0</v>
      </c>
      <c r="AL366" s="119"/>
      <c r="AM366" s="183">
        <f t="shared" ref="AM366:AU366" si="539">IF(OR(AM$22=0,$AN$78=0),0,
(($AN$126+$AN$157+$AN$178)/$AN$78)*AM64)</f>
        <v>0</v>
      </c>
      <c r="AN366" s="183">
        <f t="shared" si="539"/>
        <v>0</v>
      </c>
      <c r="AO366" s="183">
        <f t="shared" si="539"/>
        <v>0</v>
      </c>
      <c r="AP366" s="183">
        <f t="shared" si="539"/>
        <v>0</v>
      </c>
      <c r="AQ366" s="183">
        <f t="shared" si="539"/>
        <v>0</v>
      </c>
      <c r="AR366" s="183">
        <f t="shared" si="539"/>
        <v>0</v>
      </c>
      <c r="AS366" s="183">
        <f t="shared" si="539"/>
        <v>0</v>
      </c>
      <c r="AT366" s="183">
        <f t="shared" si="539"/>
        <v>0</v>
      </c>
      <c r="AU366" s="183">
        <f t="shared" si="539"/>
        <v>0</v>
      </c>
      <c r="AV366" s="108"/>
      <c r="AW366" s="190">
        <f t="shared" ref="AW366:AW374" si="540">SUMPRODUCT(AX366:BH366,AX$22:BH$22,AX$29:BH$29)/1000</f>
        <v>0</v>
      </c>
      <c r="AX366" s="119"/>
      <c r="AY366" s="183">
        <f t="shared" ref="AY366:BG366" si="541">IF(OR(AY$22=0,$AZ$78=0),0,
(($AZ$126+$AZ$157+$AZ$178)/$AZ$78)*AY64)</f>
        <v>0</v>
      </c>
      <c r="AZ366" s="183">
        <f t="shared" si="541"/>
        <v>0</v>
      </c>
      <c r="BA366" s="183">
        <f t="shared" si="541"/>
        <v>0</v>
      </c>
      <c r="BB366" s="183">
        <f t="shared" si="541"/>
        <v>0</v>
      </c>
      <c r="BC366" s="183">
        <f t="shared" si="541"/>
        <v>0</v>
      </c>
      <c r="BD366" s="183">
        <f t="shared" si="541"/>
        <v>0</v>
      </c>
      <c r="BE366" s="183">
        <f t="shared" si="541"/>
        <v>0</v>
      </c>
      <c r="BF366" s="183">
        <f t="shared" si="541"/>
        <v>0</v>
      </c>
      <c r="BG366" s="183">
        <f t="shared" si="541"/>
        <v>0</v>
      </c>
      <c r="BH366" s="1"/>
    </row>
    <row r="367" spans="1:60">
      <c r="A367" s="1040"/>
      <c r="B367" s="1109" t="s">
        <v>1221</v>
      </c>
      <c r="C367" s="1107" t="s">
        <v>104</v>
      </c>
      <c r="D367" s="645"/>
      <c r="E367" s="304" t="str">
        <f>$Q$10</f>
        <v>tapwater</v>
      </c>
      <c r="F367" s="180"/>
      <c r="G367" s="180"/>
      <c r="H367" s="201" t="s">
        <v>1207</v>
      </c>
      <c r="I367" s="114"/>
      <c r="J367" s="190"/>
      <c r="K367" s="1092"/>
      <c r="L367" s="1092"/>
      <c r="M367" s="190">
        <f t="shared" si="534"/>
        <v>0</v>
      </c>
      <c r="N367" s="119"/>
      <c r="O367" s="183">
        <f>IF(O$22=0,0,
(($Q$126+$Q$157+$Q$178)/$Q$78)*O$65)</f>
        <v>0</v>
      </c>
      <c r="P367" s="183">
        <f t="shared" ref="P367:W367" si="542">IF(P$22=0,0,
(($Q$126+$Q$157+$Q$178)/$Q$78)*P$65)</f>
        <v>0</v>
      </c>
      <c r="Q367" s="183">
        <f t="shared" si="542"/>
        <v>0</v>
      </c>
      <c r="R367" s="183">
        <f t="shared" si="542"/>
        <v>0</v>
      </c>
      <c r="S367" s="183">
        <f t="shared" si="542"/>
        <v>0</v>
      </c>
      <c r="T367" s="183">
        <f t="shared" si="542"/>
        <v>0</v>
      </c>
      <c r="U367" s="183">
        <f t="shared" si="542"/>
        <v>0</v>
      </c>
      <c r="V367" s="183">
        <f t="shared" si="542"/>
        <v>0</v>
      </c>
      <c r="W367" s="183">
        <f t="shared" si="542"/>
        <v>0</v>
      </c>
      <c r="X367" s="108"/>
      <c r="Y367" s="190">
        <f t="shared" si="536"/>
        <v>0</v>
      </c>
      <c r="Z367" s="119"/>
      <c r="AA367" s="183">
        <f>IF(AA$22=0,0,
(($AC$126+$AC$157+$AC$178)/$AC$78)*AA$65)</f>
        <v>0</v>
      </c>
      <c r="AB367" s="183">
        <f t="shared" ref="AB367:AI367" si="543">IF(AB$22=0,0,
(($AC$126+$AC$157+$AC$178)/$AC$78)*AB$65)</f>
        <v>0</v>
      </c>
      <c r="AC367" s="183">
        <f t="shared" si="543"/>
        <v>0</v>
      </c>
      <c r="AD367" s="183">
        <f t="shared" si="543"/>
        <v>0</v>
      </c>
      <c r="AE367" s="183">
        <f t="shared" si="543"/>
        <v>0</v>
      </c>
      <c r="AF367" s="183">
        <f t="shared" si="543"/>
        <v>0</v>
      </c>
      <c r="AG367" s="183">
        <f t="shared" si="543"/>
        <v>0</v>
      </c>
      <c r="AH367" s="183">
        <f t="shared" si="543"/>
        <v>0</v>
      </c>
      <c r="AI367" s="183">
        <f t="shared" si="543"/>
        <v>0</v>
      </c>
      <c r="AJ367" s="1051"/>
      <c r="AK367" s="190">
        <f t="shared" si="538"/>
        <v>0</v>
      </c>
      <c r="AL367" s="119"/>
      <c r="AM367" s="183">
        <f>IF(AM$22=0,0,
(($AO$126+$AO$157+$AO$178)/$AO$78)*AM$65)</f>
        <v>0</v>
      </c>
      <c r="AN367" s="183">
        <f t="shared" ref="AN367:AU367" si="544">IF(AN$22=0,0,
(($AO$126+$AO$157+$AO$178)/$AO$78)*AN$65)</f>
        <v>0</v>
      </c>
      <c r="AO367" s="183">
        <f t="shared" si="544"/>
        <v>0</v>
      </c>
      <c r="AP367" s="183">
        <f t="shared" si="544"/>
        <v>0</v>
      </c>
      <c r="AQ367" s="183">
        <f t="shared" si="544"/>
        <v>0</v>
      </c>
      <c r="AR367" s="183">
        <f t="shared" si="544"/>
        <v>0</v>
      </c>
      <c r="AS367" s="183">
        <f t="shared" si="544"/>
        <v>0</v>
      </c>
      <c r="AT367" s="183">
        <f t="shared" si="544"/>
        <v>0</v>
      </c>
      <c r="AU367" s="183">
        <f t="shared" si="544"/>
        <v>0</v>
      </c>
      <c r="AV367" s="108"/>
      <c r="AW367" s="190">
        <f t="shared" si="540"/>
        <v>0</v>
      </c>
      <c r="AX367" s="119"/>
      <c r="AY367" s="183">
        <f>IF(AY$22=0,0,
(($BA$126+$BA$157+$BA$178)/$BA$78)*AY$65)</f>
        <v>0</v>
      </c>
      <c r="AZ367" s="183">
        <f t="shared" ref="AZ367:BF367" si="545">IF(AZ$22=0,0,
(($BA$126+$BA$157+$BA$178)/$BA$78)*AZ$65)</f>
        <v>0</v>
      </c>
      <c r="BA367" s="183">
        <f t="shared" si="545"/>
        <v>0</v>
      </c>
      <c r="BB367" s="183">
        <f t="shared" si="545"/>
        <v>0</v>
      </c>
      <c r="BC367" s="183">
        <f t="shared" si="545"/>
        <v>0</v>
      </c>
      <c r="BD367" s="183">
        <f t="shared" si="545"/>
        <v>0</v>
      </c>
      <c r="BE367" s="183">
        <f t="shared" si="545"/>
        <v>0</v>
      </c>
      <c r="BF367" s="183">
        <f t="shared" si="545"/>
        <v>0</v>
      </c>
      <c r="BG367" s="183">
        <f>IF(BG$22=0,0,
(($BA$126+$BA$157+$BA$178)/$BA$78)*BG$65)</f>
        <v>0</v>
      </c>
      <c r="BH367" s="1"/>
    </row>
    <row r="368" spans="1:60">
      <c r="A368" s="1040"/>
      <c r="B368" s="1109" t="s">
        <v>1221</v>
      </c>
      <c r="C368" s="1107" t="s">
        <v>104</v>
      </c>
      <c r="D368" s="645"/>
      <c r="E368" s="304" t="str">
        <f>$R$10</f>
        <v>verlichting</v>
      </c>
      <c r="F368" s="180"/>
      <c r="G368" s="180"/>
      <c r="H368" s="201" t="s">
        <v>1207</v>
      </c>
      <c r="I368" s="114"/>
      <c r="J368" s="190"/>
      <c r="K368" s="1092"/>
      <c r="L368" s="1092"/>
      <c r="M368" s="190">
        <f t="shared" si="534"/>
        <v>0</v>
      </c>
      <c r="N368" s="119"/>
      <c r="O368" s="183">
        <f>IF(OR(O$19=woning,O$19=woongebouw,O$22=0),0,O66*bibliotheek!$I$307)</f>
        <v>0</v>
      </c>
      <c r="P368" s="183">
        <f>IF(OR(P$19=woning,P$19=woongebouw,P$22=0),0,P66*bibliotheek!$I$307)</f>
        <v>0</v>
      </c>
      <c r="Q368" s="183">
        <f>IF(OR(Q$19=woning,Q$19=woongebouw,Q$22=0),0,Q66*bibliotheek!$I$307)</f>
        <v>0</v>
      </c>
      <c r="R368" s="183">
        <f>IF(OR(R$19=woning,R$19=woongebouw,R$22=0),0,R66*bibliotheek!$I$307)</f>
        <v>0</v>
      </c>
      <c r="S368" s="183">
        <f>IF(OR(S$19=woning,S$19=woongebouw,S$22=0),0,S66*bibliotheek!$I$307)</f>
        <v>0</v>
      </c>
      <c r="T368" s="183">
        <f>IF(OR(T$19=woning,T$19=woongebouw,T$22=0),0,T66*bibliotheek!$I$307)</f>
        <v>0</v>
      </c>
      <c r="U368" s="183">
        <f>IF(OR(U$19=woning,U$19=woongebouw,U$22=0),0,U66*bibliotheek!$I$307)</f>
        <v>0</v>
      </c>
      <c r="V368" s="183">
        <f>IF(OR(V$19=woning,V$19=woongebouw,V$22=0),0,V66*bibliotheek!$I$307)</f>
        <v>0</v>
      </c>
      <c r="W368" s="183">
        <f>IF(OR(W$19=woning,W$19=woongebouw,W$22=0),0,W66*bibliotheek!$I$307)</f>
        <v>0</v>
      </c>
      <c r="X368" s="108"/>
      <c r="Y368" s="190">
        <f t="shared" si="536"/>
        <v>0</v>
      </c>
      <c r="Z368" s="119"/>
      <c r="AA368" s="183">
        <f>IF(OR(AA$19=woning,AA$19=woongebouw,AA$22=0),0,AA66*bibliotheek!$I$307)</f>
        <v>0</v>
      </c>
      <c r="AB368" s="183">
        <f>IF(OR(AB$19=woning,AB$19=woongebouw,AB$22=0),0,AB66*bibliotheek!$I$307)</f>
        <v>0</v>
      </c>
      <c r="AC368" s="183">
        <f>IF(OR(AC$19=woning,AC$19=woongebouw,AC$22=0),0,AC66*bibliotheek!$I$307)</f>
        <v>0</v>
      </c>
      <c r="AD368" s="183">
        <f>IF(OR(AD$19=woning,AD$19=woongebouw,AD$22=0),0,AD66*bibliotheek!$I$307)</f>
        <v>0</v>
      </c>
      <c r="AE368" s="183">
        <f>IF(OR(AE$19=woning,AE$19=woongebouw,AE$22=0),0,AE66*bibliotheek!$I$307)</f>
        <v>0</v>
      </c>
      <c r="AF368" s="183">
        <f>IF(OR(AF$19=woning,AF$19=woongebouw,AF$22=0),0,AF66*bibliotheek!$I$307)</f>
        <v>0</v>
      </c>
      <c r="AG368" s="183">
        <f>IF(OR(AG$19=woning,AG$19=woongebouw,AG$22=0),0,AG66*bibliotheek!$I$307)</f>
        <v>0</v>
      </c>
      <c r="AH368" s="183">
        <f>IF(OR(AH$19=woning,AH$19=woongebouw,AH$22=0),0,AH66*bibliotheek!$I$307)</f>
        <v>0</v>
      </c>
      <c r="AI368" s="183">
        <f>IF(OR(AI$19=woning,AI$19=woongebouw,AI$22=0),0,AI66*bibliotheek!$I$307)</f>
        <v>0</v>
      </c>
      <c r="AJ368" s="1051"/>
      <c r="AK368" s="190">
        <f t="shared" si="538"/>
        <v>0</v>
      </c>
      <c r="AL368" s="119"/>
      <c r="AM368" s="183">
        <f>IF(OR(AM$19=woning,AM$19=woongebouw,AM$22=0),0,AM66*bibliotheek!$I$307)</f>
        <v>0</v>
      </c>
      <c r="AN368" s="183">
        <f>IF(OR(AN$19=woning,AN$19=woongebouw,AN$22=0),0,AN66*bibliotheek!$I$307)</f>
        <v>0</v>
      </c>
      <c r="AO368" s="183">
        <f>IF(OR(AO$19=woning,AO$19=woongebouw,AO$22=0),0,AO66*bibliotheek!$I$307)</f>
        <v>0</v>
      </c>
      <c r="AP368" s="183">
        <f>IF(OR(AP$19=woning,AP$19=woongebouw,AP$22=0),0,AP66*bibliotheek!$I$307)</f>
        <v>0</v>
      </c>
      <c r="AQ368" s="183">
        <f>IF(OR(AQ$19=woning,AQ$19=woongebouw,AQ$22=0),0,AQ66*bibliotheek!$I$307)</f>
        <v>0</v>
      </c>
      <c r="AR368" s="183">
        <f>IF(OR(AR$19=woning,AR$19=woongebouw,AR$22=0),0,AR66*bibliotheek!$I$307)</f>
        <v>0</v>
      </c>
      <c r="AS368" s="183">
        <f>IF(OR(AS$19=woning,AS$19=woongebouw,AS$22=0),0,AS66*bibliotheek!$I$307)</f>
        <v>0</v>
      </c>
      <c r="AT368" s="183">
        <f>IF(OR(AT$19=woning,AT$19=woongebouw,AT$22=0),0,AT66*bibliotheek!$I$307)</f>
        <v>0</v>
      </c>
      <c r="AU368" s="183">
        <f>IF(OR(AU$19=woning,AU$19=woongebouw,AU$22=0),0,AU66*bibliotheek!$I$307)</f>
        <v>0</v>
      </c>
      <c r="AV368" s="108"/>
      <c r="AW368" s="190">
        <f t="shared" si="540"/>
        <v>0</v>
      </c>
      <c r="AX368" s="119"/>
      <c r="AY368" s="183">
        <f>IF(OR(AY$19=woning,AY$19=woongebouw,AY$22=0),0,AY66*bibliotheek!$I$307)</f>
        <v>0</v>
      </c>
      <c r="AZ368" s="183">
        <f>IF(OR(AZ$19=woning,AZ$19=woongebouw,AZ$22=0),0,AZ66*bibliotheek!$I$307)</f>
        <v>0</v>
      </c>
      <c r="BA368" s="183">
        <f>IF(OR(BA$19=woning,BA$19=woongebouw,BA$22=0),0,BA66*bibliotheek!$I$307)</f>
        <v>0</v>
      </c>
      <c r="BB368" s="183">
        <f>IF(OR(BB$19=woning,BB$19=woongebouw,BB$22=0),0,BB66*bibliotheek!$I$307)</f>
        <v>0</v>
      </c>
      <c r="BC368" s="183">
        <f>IF(OR(BC$19=woning,BC$19=woongebouw,BC$22=0),0,BC66*bibliotheek!$I$307)</f>
        <v>0</v>
      </c>
      <c r="BD368" s="183">
        <f>IF(OR(BD$19=woning,BD$19=woongebouw,BD$22=0),0,BD66*bibliotheek!$I$307)</f>
        <v>0</v>
      </c>
      <c r="BE368" s="183">
        <f>IF(OR(BE$19=woning,BE$19=woongebouw,BE$22=0),0,BE66*bibliotheek!$I$307)</f>
        <v>0</v>
      </c>
      <c r="BF368" s="183">
        <f>IF(OR(BF$19=woning,BF$19=woongebouw,BF$22=0),0,BF66*bibliotheek!$I$307)</f>
        <v>0</v>
      </c>
      <c r="BG368" s="183">
        <f>IF(OR(BG$19=woning,BG$19=woongebouw,BG$22=0),0,BG66*bibliotheek!$I$307)</f>
        <v>0</v>
      </c>
      <c r="BH368" s="1"/>
    </row>
    <row r="369" spans="1:60">
      <c r="A369" s="1040"/>
      <c r="B369" s="1109" t="s">
        <v>1221</v>
      </c>
      <c r="C369" s="1107" t="s">
        <v>104</v>
      </c>
      <c r="D369" s="645"/>
      <c r="E369" s="304" t="str">
        <f>$S$10</f>
        <v>ventilatoren</v>
      </c>
      <c r="F369" s="180"/>
      <c r="G369" s="180"/>
      <c r="H369" s="201" t="s">
        <v>1207</v>
      </c>
      <c r="I369" s="114"/>
      <c r="J369" s="190"/>
      <c r="K369" s="1092"/>
      <c r="L369" s="1092"/>
      <c r="M369" s="190">
        <f t="shared" si="534"/>
        <v>0</v>
      </c>
      <c r="N369" s="119"/>
      <c r="O369" s="183">
        <f>IF(OR(O$22=0,$S$78=0),0,$S$178/$S$78*O$67)</f>
        <v>0</v>
      </c>
      <c r="P369" s="183">
        <f t="shared" ref="P369:W369" si="546">IF(OR(P$22=0,$S$78=0),0,$S$178/$S$78*P$67)</f>
        <v>0</v>
      </c>
      <c r="Q369" s="183">
        <f t="shared" si="546"/>
        <v>0</v>
      </c>
      <c r="R369" s="183">
        <f t="shared" si="546"/>
        <v>0</v>
      </c>
      <c r="S369" s="183">
        <f t="shared" si="546"/>
        <v>0</v>
      </c>
      <c r="T369" s="183">
        <f t="shared" si="546"/>
        <v>0</v>
      </c>
      <c r="U369" s="183">
        <f t="shared" si="546"/>
        <v>0</v>
      </c>
      <c r="V369" s="183">
        <f t="shared" si="546"/>
        <v>0</v>
      </c>
      <c r="W369" s="183">
        <f t="shared" si="546"/>
        <v>0</v>
      </c>
      <c r="X369" s="108"/>
      <c r="Y369" s="190">
        <f t="shared" si="536"/>
        <v>0</v>
      </c>
      <c r="Z369" s="119"/>
      <c r="AA369" s="183">
        <f>IF(OR(AA$22=0,$AE$78=0),0,$AE$178/$AE$78*AA$67)</f>
        <v>0</v>
      </c>
      <c r="AB369" s="183">
        <f t="shared" ref="AB369:AI369" si="547">IF(OR(AB$22=0,$AE$78=0),0,$AE$178/$AE$78*AB$67)</f>
        <v>0</v>
      </c>
      <c r="AC369" s="183">
        <f t="shared" si="547"/>
        <v>0</v>
      </c>
      <c r="AD369" s="183">
        <f t="shared" si="547"/>
        <v>0</v>
      </c>
      <c r="AE369" s="183">
        <f t="shared" si="547"/>
        <v>0</v>
      </c>
      <c r="AF369" s="183">
        <f t="shared" si="547"/>
        <v>0</v>
      </c>
      <c r="AG369" s="183">
        <f t="shared" si="547"/>
        <v>0</v>
      </c>
      <c r="AH369" s="183">
        <f t="shared" si="547"/>
        <v>0</v>
      </c>
      <c r="AI369" s="183">
        <f t="shared" si="547"/>
        <v>0</v>
      </c>
      <c r="AJ369" s="1051"/>
      <c r="AK369" s="190">
        <f t="shared" si="538"/>
        <v>0</v>
      </c>
      <c r="AL369" s="119"/>
      <c r="AM369" s="183">
        <f>IF(OR(AM$22=0,$AQ$78=0),0,$AQ$178/$AQ$78*AM$67)</f>
        <v>0</v>
      </c>
      <c r="AN369" s="183">
        <f t="shared" ref="AN369:AU369" si="548">IF(OR(AN$22=0,$AQ$78=0),0,$AQ$178/$AQ$78*AN$67)</f>
        <v>0</v>
      </c>
      <c r="AO369" s="183">
        <f t="shared" si="548"/>
        <v>0</v>
      </c>
      <c r="AP369" s="183">
        <f t="shared" si="548"/>
        <v>0</v>
      </c>
      <c r="AQ369" s="183">
        <f t="shared" si="548"/>
        <v>0</v>
      </c>
      <c r="AR369" s="183">
        <f t="shared" si="548"/>
        <v>0</v>
      </c>
      <c r="AS369" s="183">
        <f t="shared" si="548"/>
        <v>0</v>
      </c>
      <c r="AT369" s="183">
        <f t="shared" si="548"/>
        <v>0</v>
      </c>
      <c r="AU369" s="183">
        <f t="shared" si="548"/>
        <v>0</v>
      </c>
      <c r="AV369" s="108"/>
      <c r="AW369" s="190">
        <f t="shared" si="540"/>
        <v>0</v>
      </c>
      <c r="AX369" s="119"/>
      <c r="AY369" s="183">
        <f>IF(OR(AY$22=0,$BC$78=0),0,$BC$178/$BC$78*AY$67)</f>
        <v>0</v>
      </c>
      <c r="AZ369" s="183">
        <f t="shared" ref="AZ369:BF369" si="549">IF(OR(AZ$22=0,$BC$78=0),0,$BC$178/$BC$78*AZ$67)</f>
        <v>0</v>
      </c>
      <c r="BA369" s="183">
        <f t="shared" si="549"/>
        <v>0</v>
      </c>
      <c r="BB369" s="183">
        <f t="shared" si="549"/>
        <v>0</v>
      </c>
      <c r="BC369" s="183">
        <f t="shared" si="549"/>
        <v>0</v>
      </c>
      <c r="BD369" s="183">
        <f t="shared" si="549"/>
        <v>0</v>
      </c>
      <c r="BE369" s="183">
        <f t="shared" si="549"/>
        <v>0</v>
      </c>
      <c r="BF369" s="183">
        <f t="shared" si="549"/>
        <v>0</v>
      </c>
      <c r="BG369" s="183">
        <f>IF(OR(BG$22=0,$BC$78=0),0,$BC$178/$BC$78*BG$67)</f>
        <v>0</v>
      </c>
      <c r="BH369" s="1"/>
    </row>
    <row r="370" spans="1:60">
      <c r="A370" s="1040"/>
      <c r="B370" s="1109" t="s">
        <v>1221</v>
      </c>
      <c r="C370" s="1107" t="s">
        <v>104</v>
      </c>
      <c r="D370" s="645"/>
      <c r="E370" s="203" t="s">
        <v>232</v>
      </c>
      <c r="F370" s="203"/>
      <c r="G370" s="180"/>
      <c r="H370" s="201" t="s">
        <v>1207</v>
      </c>
      <c r="I370" s="114"/>
      <c r="J370" s="190"/>
      <c r="K370" s="1092"/>
      <c r="L370" s="1092"/>
      <c r="M370" s="190">
        <f t="shared" si="534"/>
        <v>0</v>
      </c>
      <c r="N370" s="119"/>
      <c r="O370" s="183">
        <f t="shared" ref="O370:W370" si="550">SUM(O365:O369)</f>
        <v>0</v>
      </c>
      <c r="P370" s="183">
        <f t="shared" si="550"/>
        <v>0</v>
      </c>
      <c r="Q370" s="183">
        <f t="shared" si="550"/>
        <v>0</v>
      </c>
      <c r="R370" s="183">
        <f t="shared" si="550"/>
        <v>0</v>
      </c>
      <c r="S370" s="183">
        <f t="shared" si="550"/>
        <v>0</v>
      </c>
      <c r="T370" s="183">
        <f t="shared" si="550"/>
        <v>0</v>
      </c>
      <c r="U370" s="183">
        <f t="shared" si="550"/>
        <v>0</v>
      </c>
      <c r="V370" s="183">
        <f t="shared" si="550"/>
        <v>0</v>
      </c>
      <c r="W370" s="183">
        <f t="shared" si="550"/>
        <v>0</v>
      </c>
      <c r="X370" s="108"/>
      <c r="Y370" s="190">
        <f t="shared" si="536"/>
        <v>0</v>
      </c>
      <c r="Z370" s="119"/>
      <c r="AA370" s="183">
        <f t="shared" ref="AA370:AI370" si="551">SUM(AA365:AA369)</f>
        <v>0</v>
      </c>
      <c r="AB370" s="183">
        <f t="shared" si="551"/>
        <v>0</v>
      </c>
      <c r="AC370" s="183">
        <f t="shared" si="551"/>
        <v>0</v>
      </c>
      <c r="AD370" s="183">
        <f t="shared" si="551"/>
        <v>0</v>
      </c>
      <c r="AE370" s="183">
        <f t="shared" si="551"/>
        <v>0</v>
      </c>
      <c r="AF370" s="183">
        <f t="shared" si="551"/>
        <v>0</v>
      </c>
      <c r="AG370" s="183">
        <f t="shared" si="551"/>
        <v>0</v>
      </c>
      <c r="AH370" s="183">
        <f t="shared" si="551"/>
        <v>0</v>
      </c>
      <c r="AI370" s="183">
        <f t="shared" si="551"/>
        <v>0</v>
      </c>
      <c r="AJ370" s="1051"/>
      <c r="AK370" s="190">
        <f t="shared" si="538"/>
        <v>0</v>
      </c>
      <c r="AL370" s="119"/>
      <c r="AM370" s="183">
        <f t="shared" ref="AM370:AU370" si="552">SUM(AM365:AM369)</f>
        <v>0</v>
      </c>
      <c r="AN370" s="183">
        <f t="shared" si="552"/>
        <v>0</v>
      </c>
      <c r="AO370" s="183">
        <f t="shared" si="552"/>
        <v>0</v>
      </c>
      <c r="AP370" s="183">
        <f t="shared" si="552"/>
        <v>0</v>
      </c>
      <c r="AQ370" s="183">
        <f t="shared" si="552"/>
        <v>0</v>
      </c>
      <c r="AR370" s="183">
        <f t="shared" si="552"/>
        <v>0</v>
      </c>
      <c r="AS370" s="183">
        <f t="shared" si="552"/>
        <v>0</v>
      </c>
      <c r="AT370" s="183">
        <f t="shared" si="552"/>
        <v>0</v>
      </c>
      <c r="AU370" s="183">
        <f t="shared" si="552"/>
        <v>0</v>
      </c>
      <c r="AV370" s="108"/>
      <c r="AW370" s="190">
        <f t="shared" si="540"/>
        <v>0</v>
      </c>
      <c r="AX370" s="119"/>
      <c r="AY370" s="183">
        <f t="shared" ref="AY370:BG370" si="553">SUM(AY365:AY369)</f>
        <v>0</v>
      </c>
      <c r="AZ370" s="183">
        <f t="shared" si="553"/>
        <v>0</v>
      </c>
      <c r="BA370" s="183">
        <f t="shared" si="553"/>
        <v>0</v>
      </c>
      <c r="BB370" s="183">
        <f t="shared" si="553"/>
        <v>0</v>
      </c>
      <c r="BC370" s="183">
        <f t="shared" si="553"/>
        <v>0</v>
      </c>
      <c r="BD370" s="183">
        <f t="shared" si="553"/>
        <v>0</v>
      </c>
      <c r="BE370" s="183">
        <f t="shared" si="553"/>
        <v>0</v>
      </c>
      <c r="BF370" s="183">
        <f t="shared" si="553"/>
        <v>0</v>
      </c>
      <c r="BG370" s="183">
        <f t="shared" si="553"/>
        <v>0</v>
      </c>
      <c r="BH370" s="1"/>
    </row>
    <row r="371" spans="1:60">
      <c r="A371" s="1040"/>
      <c r="B371" s="1109" t="s">
        <v>1221</v>
      </c>
      <c r="C371" s="1106" t="s">
        <v>96</v>
      </c>
      <c r="D371" s="645"/>
      <c r="E371" s="942" t="s">
        <v>1331</v>
      </c>
      <c r="F371" s="942"/>
      <c r="G371" s="942"/>
      <c r="H371" s="942"/>
      <c r="I371" s="129"/>
      <c r="J371" s="943"/>
      <c r="K371" s="126"/>
      <c r="L371" s="126"/>
      <c r="M371" s="944"/>
      <c r="N371" s="195"/>
      <c r="O371" s="258"/>
      <c r="P371" s="258"/>
      <c r="Q371" s="258"/>
      <c r="R371" s="258"/>
      <c r="S371" s="258"/>
      <c r="T371" s="258"/>
      <c r="U371" s="258"/>
      <c r="V371" s="258"/>
      <c r="W371" s="258"/>
      <c r="X371" s="82"/>
      <c r="Y371" s="944"/>
      <c r="Z371" s="195"/>
      <c r="AA371" s="258"/>
      <c r="AB371" s="258"/>
      <c r="AC371" s="258"/>
      <c r="AD371" s="258"/>
      <c r="AE371" s="258"/>
      <c r="AF371" s="258"/>
      <c r="AG371" s="258"/>
      <c r="AH371" s="258"/>
      <c r="AI371" s="258"/>
      <c r="AJ371" s="79"/>
      <c r="AK371" s="944"/>
      <c r="AL371" s="195"/>
      <c r="AM371" s="258"/>
      <c r="AN371" s="258"/>
      <c r="AO371" s="258"/>
      <c r="AP371" s="258"/>
      <c r="AQ371" s="258"/>
      <c r="AR371" s="258"/>
      <c r="AS371" s="258"/>
      <c r="AT371" s="258"/>
      <c r="AU371" s="258"/>
      <c r="AV371" s="82"/>
      <c r="AW371" s="944"/>
      <c r="AX371" s="195"/>
      <c r="AY371" s="258"/>
      <c r="AZ371" s="258"/>
      <c r="BA371" s="258"/>
      <c r="BB371" s="258"/>
      <c r="BC371" s="258"/>
      <c r="BD371" s="258"/>
      <c r="BE371" s="258"/>
      <c r="BF371" s="258"/>
      <c r="BG371" s="258"/>
      <c r="BH371" s="1"/>
    </row>
    <row r="372" spans="1:60">
      <c r="A372" s="1040"/>
      <c r="B372" s="1109" t="s">
        <v>1221</v>
      </c>
      <c r="C372" s="1107" t="s">
        <v>104</v>
      </c>
      <c r="D372" s="645"/>
      <c r="E372" s="203" t="s">
        <v>232</v>
      </c>
      <c r="F372" s="203"/>
      <c r="G372" s="180"/>
      <c r="H372" s="201" t="s">
        <v>1207</v>
      </c>
      <c r="I372" s="114"/>
      <c r="J372" s="190"/>
      <c r="K372" s="1092"/>
      <c r="L372" s="1092"/>
      <c r="M372" s="190" t="e">
        <f t="shared" si="534"/>
        <v>#DIV/0!</v>
      </c>
      <c r="N372" s="119"/>
      <c r="O372" s="183" t="e">
        <f>-$M$220*1000/O$31</f>
        <v>#DIV/0!</v>
      </c>
      <c r="P372" s="183" t="e">
        <f t="shared" ref="P372:W372" si="554">-$M$220*1000/P$31</f>
        <v>#DIV/0!</v>
      </c>
      <c r="Q372" s="183" t="e">
        <f t="shared" si="554"/>
        <v>#DIV/0!</v>
      </c>
      <c r="R372" s="183" t="e">
        <f t="shared" si="554"/>
        <v>#DIV/0!</v>
      </c>
      <c r="S372" s="183" t="e">
        <f t="shared" si="554"/>
        <v>#DIV/0!</v>
      </c>
      <c r="T372" s="183" t="e">
        <f t="shared" si="554"/>
        <v>#DIV/0!</v>
      </c>
      <c r="U372" s="183" t="e">
        <f t="shared" si="554"/>
        <v>#DIV/0!</v>
      </c>
      <c r="V372" s="183" t="e">
        <f t="shared" si="554"/>
        <v>#DIV/0!</v>
      </c>
      <c r="W372" s="183" t="e">
        <f t="shared" si="554"/>
        <v>#DIV/0!</v>
      </c>
      <c r="X372" s="108"/>
      <c r="Y372" s="190" t="e">
        <f t="shared" si="536"/>
        <v>#DIV/0!</v>
      </c>
      <c r="Z372" s="119"/>
      <c r="AA372" s="183" t="e">
        <f t="shared" ref="AA372:AI372" si="555">-$Y$220*1000/AA$31</f>
        <v>#DIV/0!</v>
      </c>
      <c r="AB372" s="183" t="e">
        <f t="shared" si="555"/>
        <v>#DIV/0!</v>
      </c>
      <c r="AC372" s="183" t="e">
        <f t="shared" si="555"/>
        <v>#DIV/0!</v>
      </c>
      <c r="AD372" s="183" t="e">
        <f t="shared" si="555"/>
        <v>#DIV/0!</v>
      </c>
      <c r="AE372" s="183" t="e">
        <f t="shared" si="555"/>
        <v>#DIV/0!</v>
      </c>
      <c r="AF372" s="183" t="e">
        <f t="shared" si="555"/>
        <v>#DIV/0!</v>
      </c>
      <c r="AG372" s="183" t="e">
        <f t="shared" si="555"/>
        <v>#DIV/0!</v>
      </c>
      <c r="AH372" s="183" t="e">
        <f t="shared" si="555"/>
        <v>#DIV/0!</v>
      </c>
      <c r="AI372" s="183" t="e">
        <f t="shared" si="555"/>
        <v>#DIV/0!</v>
      </c>
      <c r="AJ372" s="1051"/>
      <c r="AK372" s="190" t="e">
        <f t="shared" si="538"/>
        <v>#DIV/0!</v>
      </c>
      <c r="AL372" s="119"/>
      <c r="AM372" s="183" t="e">
        <f t="shared" ref="AM372:AU372" si="556">-$AK$220*1000/AM$31</f>
        <v>#DIV/0!</v>
      </c>
      <c r="AN372" s="183" t="e">
        <f t="shared" si="556"/>
        <v>#DIV/0!</v>
      </c>
      <c r="AO372" s="183" t="e">
        <f t="shared" si="556"/>
        <v>#DIV/0!</v>
      </c>
      <c r="AP372" s="183" t="e">
        <f t="shared" si="556"/>
        <v>#DIV/0!</v>
      </c>
      <c r="AQ372" s="183" t="e">
        <f t="shared" si="556"/>
        <v>#DIV/0!</v>
      </c>
      <c r="AR372" s="183" t="e">
        <f t="shared" si="556"/>
        <v>#DIV/0!</v>
      </c>
      <c r="AS372" s="183" t="e">
        <f t="shared" si="556"/>
        <v>#DIV/0!</v>
      </c>
      <c r="AT372" s="183" t="e">
        <f t="shared" si="556"/>
        <v>#DIV/0!</v>
      </c>
      <c r="AU372" s="183" t="e">
        <f t="shared" si="556"/>
        <v>#DIV/0!</v>
      </c>
      <c r="AV372" s="108"/>
      <c r="AW372" s="190" t="e">
        <f t="shared" si="540"/>
        <v>#DIV/0!</v>
      </c>
      <c r="AX372" s="119"/>
      <c r="AY372" s="183" t="e">
        <f t="shared" ref="AY372:BG372" si="557">-$AW$220*1000/AY$31</f>
        <v>#DIV/0!</v>
      </c>
      <c r="AZ372" s="183" t="e">
        <f t="shared" si="557"/>
        <v>#DIV/0!</v>
      </c>
      <c r="BA372" s="183" t="e">
        <f t="shared" si="557"/>
        <v>#DIV/0!</v>
      </c>
      <c r="BB372" s="183" t="e">
        <f t="shared" si="557"/>
        <v>#DIV/0!</v>
      </c>
      <c r="BC372" s="183" t="e">
        <f t="shared" si="557"/>
        <v>#DIV/0!</v>
      </c>
      <c r="BD372" s="183" t="e">
        <f t="shared" si="557"/>
        <v>#DIV/0!</v>
      </c>
      <c r="BE372" s="183" t="e">
        <f t="shared" si="557"/>
        <v>#DIV/0!</v>
      </c>
      <c r="BF372" s="183" t="e">
        <f t="shared" si="557"/>
        <v>#DIV/0!</v>
      </c>
      <c r="BG372" s="183" t="e">
        <f t="shared" si="557"/>
        <v>#DIV/0!</v>
      </c>
    </row>
    <row r="373" spans="1:60">
      <c r="A373" s="1040"/>
      <c r="B373" s="1109" t="s">
        <v>1221</v>
      </c>
      <c r="C373" s="1106" t="s">
        <v>96</v>
      </c>
      <c r="D373" s="645"/>
      <c r="E373" s="942" t="s">
        <v>1200</v>
      </c>
      <c r="F373" s="942"/>
      <c r="G373" s="942"/>
      <c r="H373" s="942"/>
      <c r="I373" s="129"/>
      <c r="J373" s="943"/>
      <c r="K373" s="126"/>
      <c r="L373" s="126"/>
      <c r="M373" s="944"/>
      <c r="N373" s="195"/>
      <c r="O373" s="258"/>
      <c r="P373" s="258"/>
      <c r="Q373" s="258"/>
      <c r="R373" s="258"/>
      <c r="S373" s="258"/>
      <c r="T373" s="258"/>
      <c r="U373" s="258"/>
      <c r="V373" s="258"/>
      <c r="W373" s="258"/>
      <c r="X373" s="82"/>
      <c r="Y373" s="944"/>
      <c r="Z373" s="195"/>
      <c r="AA373" s="258"/>
      <c r="AB373" s="258"/>
      <c r="AC373" s="258"/>
      <c r="AD373" s="258"/>
      <c r="AE373" s="258"/>
      <c r="AF373" s="258"/>
      <c r="AG373" s="258"/>
      <c r="AH373" s="258"/>
      <c r="AI373" s="258"/>
      <c r="AJ373" s="79"/>
      <c r="AK373" s="944"/>
      <c r="AL373" s="195"/>
      <c r="AM373" s="258"/>
      <c r="AN373" s="258"/>
      <c r="AO373" s="258"/>
      <c r="AP373" s="258"/>
      <c r="AQ373" s="258"/>
      <c r="AR373" s="258"/>
      <c r="AS373" s="258"/>
      <c r="AT373" s="258"/>
      <c r="AU373" s="258"/>
      <c r="AV373" s="82"/>
      <c r="AW373" s="944"/>
      <c r="AX373" s="195"/>
      <c r="AY373" s="258"/>
      <c r="AZ373" s="258"/>
      <c r="BA373" s="258"/>
      <c r="BB373" s="258"/>
      <c r="BC373" s="258"/>
      <c r="BD373" s="258"/>
      <c r="BE373" s="258"/>
      <c r="BF373" s="258"/>
      <c r="BG373" s="258"/>
      <c r="BH373" s="1"/>
    </row>
    <row r="374" spans="1:60">
      <c r="A374" s="1040"/>
      <c r="B374" s="1109" t="s">
        <v>1221</v>
      </c>
      <c r="C374" s="1107" t="s">
        <v>104</v>
      </c>
      <c r="D374" s="645"/>
      <c r="E374" s="203" t="s">
        <v>232</v>
      </c>
      <c r="F374" s="203"/>
      <c r="G374" s="180"/>
      <c r="H374" s="201" t="s">
        <v>1207</v>
      </c>
      <c r="I374" s="114"/>
      <c r="J374" s="190"/>
      <c r="K374" s="1092"/>
      <c r="L374" s="1092"/>
      <c r="M374" s="190" t="e">
        <f t="shared" si="534"/>
        <v>#DIV/0!</v>
      </c>
      <c r="N374" s="119"/>
      <c r="O374" s="183" t="e">
        <f>O370+O372</f>
        <v>#DIV/0!</v>
      </c>
      <c r="P374" s="183" t="e">
        <f t="shared" ref="P374:W374" si="558">P370+P372</f>
        <v>#DIV/0!</v>
      </c>
      <c r="Q374" s="183" t="e">
        <f t="shared" si="558"/>
        <v>#DIV/0!</v>
      </c>
      <c r="R374" s="183" t="e">
        <f t="shared" si="558"/>
        <v>#DIV/0!</v>
      </c>
      <c r="S374" s="183" t="e">
        <f t="shared" si="558"/>
        <v>#DIV/0!</v>
      </c>
      <c r="T374" s="183" t="e">
        <f t="shared" si="558"/>
        <v>#DIV/0!</v>
      </c>
      <c r="U374" s="183" t="e">
        <f t="shared" si="558"/>
        <v>#DIV/0!</v>
      </c>
      <c r="V374" s="183" t="e">
        <f t="shared" si="558"/>
        <v>#DIV/0!</v>
      </c>
      <c r="W374" s="183" t="e">
        <f t="shared" si="558"/>
        <v>#DIV/0!</v>
      </c>
      <c r="X374" s="108"/>
      <c r="Y374" s="190" t="e">
        <f t="shared" si="536"/>
        <v>#DIV/0!</v>
      </c>
      <c r="Z374" s="119"/>
      <c r="AA374" s="183" t="e">
        <f t="shared" ref="AA374:AI374" si="559">AA370+AA372</f>
        <v>#DIV/0!</v>
      </c>
      <c r="AB374" s="183" t="e">
        <f t="shared" si="559"/>
        <v>#DIV/0!</v>
      </c>
      <c r="AC374" s="183" t="e">
        <f t="shared" si="559"/>
        <v>#DIV/0!</v>
      </c>
      <c r="AD374" s="183" t="e">
        <f t="shared" si="559"/>
        <v>#DIV/0!</v>
      </c>
      <c r="AE374" s="183" t="e">
        <f t="shared" si="559"/>
        <v>#DIV/0!</v>
      </c>
      <c r="AF374" s="183" t="e">
        <f t="shared" si="559"/>
        <v>#DIV/0!</v>
      </c>
      <c r="AG374" s="183" t="e">
        <f t="shared" si="559"/>
        <v>#DIV/0!</v>
      </c>
      <c r="AH374" s="183" t="e">
        <f t="shared" si="559"/>
        <v>#DIV/0!</v>
      </c>
      <c r="AI374" s="183" t="e">
        <f t="shared" si="559"/>
        <v>#DIV/0!</v>
      </c>
      <c r="AJ374" s="1051"/>
      <c r="AK374" s="190" t="e">
        <f t="shared" si="538"/>
        <v>#DIV/0!</v>
      </c>
      <c r="AL374" s="119"/>
      <c r="AM374" s="183" t="e">
        <f t="shared" ref="AM374:AU374" si="560">AM370+AM372</f>
        <v>#DIV/0!</v>
      </c>
      <c r="AN374" s="183" t="e">
        <f t="shared" si="560"/>
        <v>#DIV/0!</v>
      </c>
      <c r="AO374" s="183" t="e">
        <f t="shared" si="560"/>
        <v>#DIV/0!</v>
      </c>
      <c r="AP374" s="183" t="e">
        <f t="shared" si="560"/>
        <v>#DIV/0!</v>
      </c>
      <c r="AQ374" s="183" t="e">
        <f t="shared" si="560"/>
        <v>#DIV/0!</v>
      </c>
      <c r="AR374" s="183" t="e">
        <f t="shared" si="560"/>
        <v>#DIV/0!</v>
      </c>
      <c r="AS374" s="183" t="e">
        <f t="shared" si="560"/>
        <v>#DIV/0!</v>
      </c>
      <c r="AT374" s="183" t="e">
        <f t="shared" si="560"/>
        <v>#DIV/0!</v>
      </c>
      <c r="AU374" s="183" t="e">
        <f t="shared" si="560"/>
        <v>#DIV/0!</v>
      </c>
      <c r="AV374" s="108"/>
      <c r="AW374" s="190" t="e">
        <f t="shared" si="540"/>
        <v>#DIV/0!</v>
      </c>
      <c r="AX374" s="119"/>
      <c r="AY374" s="183" t="e">
        <f t="shared" ref="AY374:BG374" si="561">AY370+AY372</f>
        <v>#DIV/0!</v>
      </c>
      <c r="AZ374" s="183" t="e">
        <f t="shared" si="561"/>
        <v>#DIV/0!</v>
      </c>
      <c r="BA374" s="183" t="e">
        <f t="shared" si="561"/>
        <v>#DIV/0!</v>
      </c>
      <c r="BB374" s="183" t="e">
        <f t="shared" si="561"/>
        <v>#DIV/0!</v>
      </c>
      <c r="BC374" s="183" t="e">
        <f t="shared" si="561"/>
        <v>#DIV/0!</v>
      </c>
      <c r="BD374" s="183" t="e">
        <f t="shared" si="561"/>
        <v>#DIV/0!</v>
      </c>
      <c r="BE374" s="183" t="e">
        <f t="shared" si="561"/>
        <v>#DIV/0!</v>
      </c>
      <c r="BF374" s="183" t="e">
        <f t="shared" si="561"/>
        <v>#DIV/0!</v>
      </c>
      <c r="BG374" s="183" t="e">
        <f t="shared" si="561"/>
        <v>#DIV/0!</v>
      </c>
      <c r="BH374" s="1"/>
    </row>
    <row r="375" spans="1:60">
      <c r="A375" s="1040"/>
      <c r="B375" s="1109" t="s">
        <v>1224</v>
      </c>
      <c r="C375" s="1106" t="s">
        <v>96</v>
      </c>
      <c r="D375" s="638"/>
      <c r="E375" s="79"/>
      <c r="F375" s="79"/>
      <c r="G375" s="79"/>
      <c r="H375" s="85"/>
      <c r="I375" s="79"/>
      <c r="J375" s="82"/>
      <c r="K375" s="79"/>
      <c r="L375" s="79"/>
      <c r="M375" s="108"/>
      <c r="N375" s="79"/>
      <c r="O375" s="108"/>
      <c r="P375" s="356"/>
      <c r="Q375" s="108"/>
      <c r="R375" s="108"/>
      <c r="S375" s="108"/>
      <c r="T375" s="108"/>
      <c r="U375" s="108"/>
      <c r="V375" s="108"/>
      <c r="W375" s="108"/>
      <c r="X375" s="82"/>
      <c r="Y375" s="82"/>
      <c r="Z375" s="79"/>
      <c r="AA375" s="82"/>
      <c r="AB375" s="82"/>
      <c r="AC375" s="82"/>
      <c r="AD375" s="82"/>
      <c r="AE375" s="82"/>
      <c r="AF375" s="82"/>
      <c r="AG375" s="82"/>
      <c r="AH375" s="82"/>
      <c r="AI375" s="82"/>
      <c r="AJ375" s="82"/>
      <c r="AK375" s="82"/>
      <c r="AL375" s="79"/>
      <c r="AM375" s="82"/>
      <c r="AN375" s="82"/>
      <c r="AO375" s="82"/>
      <c r="AP375" s="82"/>
      <c r="AQ375" s="82"/>
      <c r="AR375" s="82"/>
      <c r="AS375" s="82"/>
      <c r="AT375" s="82"/>
      <c r="AU375" s="82"/>
      <c r="AV375" s="82"/>
      <c r="AW375" s="82"/>
      <c r="AX375" s="79"/>
      <c r="AY375" s="82"/>
      <c r="AZ375" s="82"/>
      <c r="BA375" s="82"/>
      <c r="BB375" s="82"/>
      <c r="BC375" s="82"/>
      <c r="BD375" s="82"/>
      <c r="BE375" s="82"/>
      <c r="BF375" s="82"/>
      <c r="BG375" s="82"/>
      <c r="BH375" s="1"/>
    </row>
    <row r="376" spans="1:60" ht="21">
      <c r="A376" s="1040"/>
      <c r="B376" s="1109" t="s">
        <v>294</v>
      </c>
      <c r="C376" s="1107" t="s">
        <v>96</v>
      </c>
      <c r="D376" s="643" t="s">
        <v>84</v>
      </c>
      <c r="E376" s="1219" t="s">
        <v>82</v>
      </c>
      <c r="F376" s="480"/>
      <c r="G376" s="480"/>
      <c r="H376" s="481"/>
      <c r="I376" s="481"/>
      <c r="J376" s="482"/>
      <c r="K376" s="691"/>
      <c r="L376" s="691"/>
      <c r="M376" s="482"/>
      <c r="N376" s="482"/>
      <c r="O376" s="1167"/>
      <c r="P376" s="482"/>
      <c r="Q376" s="482"/>
      <c r="R376" s="482"/>
      <c r="S376" s="482"/>
      <c r="T376" s="482"/>
      <c r="U376" s="482"/>
      <c r="V376" s="482"/>
      <c r="W376" s="482"/>
      <c r="X376" s="482"/>
      <c r="Y376" s="482"/>
      <c r="Z376" s="482"/>
      <c r="AA376" s="482"/>
      <c r="AB376" s="482"/>
      <c r="AC376" s="482"/>
      <c r="AD376" s="482"/>
      <c r="AE376" s="482"/>
      <c r="AF376" s="482"/>
      <c r="AG376" s="482"/>
      <c r="AH376" s="482"/>
      <c r="AI376" s="482"/>
      <c r="AJ376" s="482"/>
      <c r="AK376" s="482"/>
      <c r="AL376" s="482"/>
      <c r="AM376" s="482"/>
      <c r="AN376" s="482"/>
      <c r="AO376" s="482"/>
      <c r="AP376" s="482"/>
      <c r="AQ376" s="482"/>
      <c r="AR376" s="482"/>
      <c r="AS376" s="482"/>
      <c r="AT376" s="482"/>
      <c r="AU376" s="482"/>
      <c r="AV376" s="482"/>
      <c r="AW376" s="482"/>
      <c r="AX376" s="482"/>
      <c r="AY376" s="483"/>
      <c r="AZ376" s="483"/>
      <c r="BA376" s="483"/>
      <c r="BB376" s="483"/>
      <c r="BC376" s="483"/>
      <c r="BD376" s="483"/>
      <c r="BE376" s="483"/>
      <c r="BF376" s="483"/>
      <c r="BG376" s="483"/>
      <c r="BH376" s="225"/>
    </row>
  </sheetData>
  <sheetProtection algorithmName="SHA-512" hashValue="S/KWiCb3P5EnhgUoG4/iBjQspLC6gWQ/vOY+FX0smeBWRzS9/uZwZgssekgd8/09h7LPe4JrdqBmaf+Mr3A9Ew==" saltValue="+WrVMoq1H2VzxMvBzKwrZA==" spinCount="100000" sheet="1" objects="1" scenarios="1" formatColumns="0" autoFilter="0"/>
  <autoFilter ref="B8:C376" xr:uid="{41D3E58C-B86B-4AE1-8380-FDD6F14E9537}">
    <filterColumn colId="1">
      <filters>
        <filter val="00. kop"/>
        <filter val="01. invoer"/>
        <filter val="04. resultaat"/>
      </filters>
    </filterColumn>
  </autoFilter>
  <dataConsolidate/>
  <mergeCells count="5">
    <mergeCell ref="E3:F3"/>
    <mergeCell ref="F4:H4"/>
    <mergeCell ref="B5:B7"/>
    <mergeCell ref="C5:C7"/>
    <mergeCell ref="E40:G40"/>
  </mergeCells>
  <conditionalFormatting sqref="C10:C24 B15:B24 B25:C42 B44:C360 B363:C376">
    <cfRule type="expression" dxfId="746" priority="167">
      <formula>B10=""</formula>
    </cfRule>
  </conditionalFormatting>
  <conditionalFormatting sqref="E56">
    <cfRule type="expression" dxfId="745" priority="121">
      <formula>$G$6=FALSE</formula>
    </cfRule>
  </conditionalFormatting>
  <conditionalFormatting sqref="F4:F6 H3">
    <cfRule type="expression" dxfId="744" priority="213">
      <formula>F3=""</formula>
    </cfRule>
  </conditionalFormatting>
  <conditionalFormatting sqref="F5">
    <cfRule type="expression" dxfId="743" priority="211">
      <formula>OR($F$5="",ISERROR(MATCH(F5,opwekking_elektriciteit,0))=TRUE)</formula>
    </cfRule>
  </conditionalFormatting>
  <conditionalFormatting sqref="F6">
    <cfRule type="expression" dxfId="742" priority="103">
      <formula>OR($F$5="",ISERROR(MATCH(F6,rekenmethode_EP_MWA,0))=TRUE)</formula>
    </cfRule>
  </conditionalFormatting>
  <conditionalFormatting sqref="F2:H2">
    <cfRule type="expression" dxfId="741" priority="219">
      <formula>$F$2&lt;&gt;""</formula>
    </cfRule>
  </conditionalFormatting>
  <conditionalFormatting sqref="F44:H44">
    <cfRule type="expression" dxfId="740" priority="85">
      <formula>$F$6=EP</formula>
    </cfRule>
  </conditionalFormatting>
  <conditionalFormatting sqref="G61">
    <cfRule type="expression" dxfId="739" priority="116">
      <formula>OR(G61="",ISERROR(MATCH(G61,beschikbare_fitformules_NTA8800,0))=TRUE)</formula>
    </cfRule>
  </conditionalFormatting>
  <conditionalFormatting sqref="G63">
    <cfRule type="expression" dxfId="738" priority="113">
      <formula>OR(G63="",ISERROR(MATCH(G63,beschikbare_fitformules_NTA8800,0))=TRUE)</formula>
    </cfRule>
  </conditionalFormatting>
  <conditionalFormatting sqref="G328">
    <cfRule type="expression" dxfId="737" priority="110">
      <formula>OR(G328="",ISERROR(MATCH(G328,beschikbare_fitformules_NTA8800,0))=TRUE)</formula>
    </cfRule>
  </conditionalFormatting>
  <conditionalFormatting sqref="H320:J320">
    <cfRule type="expression" dxfId="736" priority="109">
      <formula>OR($F$5&lt;&gt;"NTA8800:2026",$F$6=MWA)</formula>
    </cfRule>
  </conditionalFormatting>
  <conditionalFormatting sqref="H363:J363">
    <cfRule type="expression" dxfId="735" priority="1">
      <formula>OR($F$5&lt;&gt;"NTA8800:2026",$F$6=MWA)</formula>
    </cfRule>
  </conditionalFormatting>
  <conditionalFormatting sqref="J30:J31">
    <cfRule type="cellIs" dxfId="734" priority="198" operator="greaterThan">
      <formula>0</formula>
    </cfRule>
  </conditionalFormatting>
  <conditionalFormatting sqref="J38:J40">
    <cfRule type="expression" dxfId="733" priority="166">
      <formula>J38="OK"</formula>
    </cfRule>
  </conditionalFormatting>
  <conditionalFormatting sqref="J46:J47">
    <cfRule type="expression" dxfId="732" priority="165">
      <formula>J46="OK"</formula>
    </cfRule>
  </conditionalFormatting>
  <conditionalFormatting sqref="J50">
    <cfRule type="expression" dxfId="731" priority="20">
      <formula>J50="OK"</formula>
    </cfRule>
  </conditionalFormatting>
  <conditionalFormatting sqref="J52">
    <cfRule type="cellIs" dxfId="730" priority="163" operator="equal">
      <formula>"nee"</formula>
    </cfRule>
  </conditionalFormatting>
  <conditionalFormatting sqref="J83">
    <cfRule type="cellIs" dxfId="729" priority="199" operator="equal">
      <formula>"nee"</formula>
    </cfRule>
  </conditionalFormatting>
  <conditionalFormatting sqref="J144">
    <cfRule type="cellIs" dxfId="728" priority="154" operator="equal">
      <formula>0</formula>
    </cfRule>
  </conditionalFormatting>
  <conditionalFormatting sqref="M30:M31">
    <cfRule type="cellIs" dxfId="727" priority="197" operator="greaterThan">
      <formula>0</formula>
    </cfRule>
  </conditionalFormatting>
  <conditionalFormatting sqref="M50">
    <cfRule type="expression" dxfId="726" priority="19">
      <formula>AND(M$22&gt;0,M50&lt;&gt;"ja",M50&lt;&gt;"nee")</formula>
    </cfRule>
    <cfRule type="expression" dxfId="725" priority="18">
      <formula>M$22=0</formula>
    </cfRule>
  </conditionalFormatting>
  <conditionalFormatting sqref="M52">
    <cfRule type="cellIs" dxfId="724" priority="84" operator="equal">
      <formula>"nee"</formula>
    </cfRule>
  </conditionalFormatting>
  <conditionalFormatting sqref="M83">
    <cfRule type="cellIs" dxfId="723" priority="80" operator="equal">
      <formula>"nee"</formula>
    </cfRule>
  </conditionalFormatting>
  <conditionalFormatting sqref="M140:M147 Y140:Y147 AK140:AK147 AW140:AW147 M149:M157 Y149:Y157 AK149:AK157 AW149:AW157 M159:M161 Y159:Y161 AK159:AK161 AW159:AW161">
    <cfRule type="expression" dxfId="722" priority="216">
      <formula>SUM(M$140:M$161)=0</formula>
    </cfRule>
  </conditionalFormatting>
  <conditionalFormatting sqref="M144 Y144 AK144 AW144 J147 M147 Y147 AK147 AW147 J151:J153 M151:M153 Y151:Y153 AK151:AK153 AW151:AW153 J155 M155 Y155 AK155 AW155 J157 M157 Y157 AK157 AW157 J161 M161 Y161 AK161 AW161">
    <cfRule type="cellIs" dxfId="721" priority="158" operator="equal">
      <formula>0</formula>
    </cfRule>
  </conditionalFormatting>
  <conditionalFormatting sqref="M317 O317:X317 AJ317 AV317 BH317">
    <cfRule type="expression" dxfId="720" priority="221">
      <formula>#REF!&gt;M317</formula>
    </cfRule>
  </conditionalFormatting>
  <conditionalFormatting sqref="O83 AA83 AM83 AY83">
    <cfRule type="expression" dxfId="719" priority="162">
      <formula>OR(AND(O83="",O$22&gt;0),ISERROR(MATCH(O83,toestellen_RV_invoer,0)))</formula>
    </cfRule>
  </conditionalFormatting>
  <conditionalFormatting sqref="O90 Q90 AA90 AC90 AM90 AO90 AY90 BA90">
    <cfRule type="expression" dxfId="718" priority="212">
      <formula>OR(AND(O$78&gt;0,O90=""),AND(O90&lt;&gt;"ja",O90&lt;&gt;"nee",O90&lt;&gt;""))</formula>
    </cfRule>
  </conditionalFormatting>
  <conditionalFormatting sqref="O135 Q135 AA135 AC135 AM135 AO135 AY135 BA135">
    <cfRule type="expression" dxfId="717" priority="226">
      <formula>O$134=0</formula>
    </cfRule>
  </conditionalFormatting>
  <conditionalFormatting sqref="O90:Q91 AA90:AC91 AM90:AO91 AY90:BA91 O86:Q88 AA86:AC88 AM86:AO88 AY86:BA88 O93:Q95 AA93:AC95 AM93:AO95 AY93:BA95 O83:Q84 AA83:AC84 AM83:AO84 AY83:BA84 O97:Q99 AA97:AC99 AM97:AO99 AY97:BA99">
    <cfRule type="expression" dxfId="716" priority="241">
      <formula>O$27=0</formula>
    </cfRule>
    <cfRule type="expression" dxfId="715" priority="242">
      <formula>O$78=0</formula>
    </cfRule>
  </conditionalFormatting>
  <conditionalFormatting sqref="O104:Q104 AA104:AC104 AM104:AO104 AY104:BA104 AA140:AC140 AM140:AO140 AY140:BA140">
    <cfRule type="expression" dxfId="714" priority="208">
      <formula>O$78=0</formula>
    </cfRule>
  </conditionalFormatting>
  <conditionalFormatting sqref="O109:Q109 AA109:AC109 AM109:AO109 O112:Q112 AA112:AC112 AM112:AO112 AY112:BA112 O119:Q119 AA119:AC119 AM119:AO119 AY119:BA119 O129:Q129 AA129:AC129 AM129:AO129 AY129:BA129 O135:Q135 AA135:AC135 AM135:AO135 AY135:BA135 O87 Q87 AA87 AC87 AM87 AO87 AY87 BA87 O94 Q94 AA94 AC94 AM94 AO94 AY94 BA94">
    <cfRule type="expression" dxfId="713" priority="202">
      <formula>AND(O$78&gt;0,O87="")</formula>
    </cfRule>
  </conditionalFormatting>
  <conditionalFormatting sqref="O122:Q125 AA122:AC125 AM122:AO125 AY122:BA125 AA104:AC106 AM104:AO106 AY104:BA106 O105:Q106 O108:Q116 AA108:AC116 AM108:AO116 AY108:BA116 O118:Q119 AA118:AC120 AM118:AO120 AY118:BA120 P120:Q120 O128:Q130 AA128:AC130 AM128:AO130 AY128:BA130 O132:Q135 AA132:AC135 AM132:AO135 AY132:BA135">
    <cfRule type="expression" dxfId="712" priority="155">
      <formula>OR(O$78=0,O$104="geen")</formula>
    </cfRule>
  </conditionalFormatting>
  <conditionalFormatting sqref="O123:Q123">
    <cfRule type="expression" dxfId="711" priority="73">
      <formula>AND(O$78&gt;0,O123="")</formula>
    </cfRule>
  </conditionalFormatting>
  <conditionalFormatting sqref="O125:Q125">
    <cfRule type="expression" dxfId="710" priority="76">
      <formula>AND(O$78&gt;0,O125="")</formula>
    </cfRule>
  </conditionalFormatting>
  <conditionalFormatting sqref="O140:Q140">
    <cfRule type="expression" dxfId="709" priority="205">
      <formula>O$78=0</formula>
    </cfRule>
  </conditionalFormatting>
  <conditionalFormatting sqref="O146:Q146 AA146:AC146 AM146:AO146 AY146:BA146 O150:Q150 AA150:AC150 AM150:AO150 AY150:BA150 O160:Q160 AA160:AC160 AM160:AO160 AY160:BA160">
    <cfRule type="expression" dxfId="708" priority="237">
      <formula>AND(O$78&gt;0,O$140&lt;&gt;"geen",O146="")</formula>
    </cfRule>
  </conditionalFormatting>
  <conditionalFormatting sqref="O153:Q157 AA153:AC157 AM153:AO157 AY153:BA157 O141:Q147 AA141:AC147 AM141:AO147 AY141:BA147 O149:Q151 AA149:AC151 AM149:AO151 AY149:BA151 O159:Q161 AA159:AC161 AM159:AO161 AY159:BA161">
    <cfRule type="expression" dxfId="707" priority="153">
      <formula>OR(O$78=0,O$140="geen")</formula>
    </cfRule>
  </conditionalFormatting>
  <conditionalFormatting sqref="O154:Q154">
    <cfRule type="expression" dxfId="706" priority="75">
      <formula>AND(O$78&gt;0,O$140&lt;&gt;"geen",O154="")</formula>
    </cfRule>
  </conditionalFormatting>
  <conditionalFormatting sqref="O156:Q156">
    <cfRule type="expression" dxfId="705" priority="74">
      <formula>AND(O$78&gt;0,O$140&lt;&gt;"geen",O156="")</formula>
    </cfRule>
  </conditionalFormatting>
  <conditionalFormatting sqref="O166:Q168 AA166:AC168 AM166:AO168 AY166:BA168">
    <cfRule type="expression" dxfId="704" priority="243">
      <formula>OR(O$27=0,O$132=0)</formula>
    </cfRule>
  </conditionalFormatting>
  <conditionalFormatting sqref="O167:Q167 AA167:AC167 AM167:AO167 AY167:BA167">
    <cfRule type="expression" dxfId="703" priority="207">
      <formula>AND(O$132&gt;0,O167="")</formula>
    </cfRule>
  </conditionalFormatting>
  <conditionalFormatting sqref="O186:T188 T229:W231 AF229:AF231 AR229:AR231 BD229:BD231 AA230 AM230 AY230 O251:T258">
    <cfRule type="expression" dxfId="702" priority="188">
      <formula>O$27=0</formula>
    </cfRule>
  </conditionalFormatting>
  <conditionalFormatting sqref="O17:W17">
    <cfRule type="expression" dxfId="701" priority="101">
      <formula>AND(O17&lt;&gt;"",ISERROR(MATCH(O17,woningen_gebouwen_namen,0))=TRUE)</formula>
    </cfRule>
  </conditionalFormatting>
  <conditionalFormatting sqref="O20:W20">
    <cfRule type="expression" dxfId="700" priority="196">
      <formula>OR(O$17="",AND(O$19&lt;&gt;woning,O$19&lt;&gt;woongebouw))</formula>
    </cfRule>
  </conditionalFormatting>
  <conditionalFormatting sqref="O21:W21">
    <cfRule type="expression" dxfId="699" priority="102">
      <formula>AND(O21&lt;&gt;"",ISERROR(MATCH(O21,woningen_gebouwen_namen,0))=TRUE)</formula>
    </cfRule>
  </conditionalFormatting>
  <conditionalFormatting sqref="O22:W23 AA22:BG23">
    <cfRule type="expression" dxfId="698" priority="184">
      <formula>O$17=""</formula>
    </cfRule>
  </conditionalFormatting>
  <conditionalFormatting sqref="O23:W23 AM23:AU23 AY23:BG23">
    <cfRule type="expression" dxfId="697" priority="222">
      <formula>AND(O$17="",O23&gt;0)</formula>
    </cfRule>
    <cfRule type="expression" dxfId="696" priority="223">
      <formula>AND(O$17&lt;&gt;"",O23="")</formula>
    </cfRule>
  </conditionalFormatting>
  <conditionalFormatting sqref="O28:W28">
    <cfRule type="expression" dxfId="695" priority="100">
      <formula>AND(O28&lt;&gt;"",ISERROR(MATCH(O28,woningen_gebouwen_namen,0))=TRUE)</formula>
    </cfRule>
  </conditionalFormatting>
  <conditionalFormatting sqref="O37:W37">
    <cfRule type="expression" dxfId="694" priority="91">
      <formula>AND(O37&lt;&gt;"",ISERROR(MATCH(O37,woningen_gebouwen_namen,0))=TRUE)</formula>
    </cfRule>
  </conditionalFormatting>
  <conditionalFormatting sqref="O38:W43">
    <cfRule type="expression" dxfId="693" priority="11">
      <formula>OR(O$17="",O$22=0)</formula>
    </cfRule>
  </conditionalFormatting>
  <conditionalFormatting sqref="O40:W40 AA40:AI40 AM40:AU40 AY40:BG40">
    <cfRule type="expression" dxfId="692" priority="224">
      <formula>OR(AND(O$17&lt;&gt;"",O$22&gt;0,O40=""),ISERROR(MATCH(O40,ventilatiesystemen_namen,0))=TRUE)</formula>
    </cfRule>
  </conditionalFormatting>
  <conditionalFormatting sqref="O41:W41 AA41:AI41 AM41:AU41 AY41:BG41">
    <cfRule type="expression" dxfId="691" priority="240">
      <formula>OR(O$17="",O$22=0,LEFT(INDEX(ventilatiesystemen_code,MATCH(O$40,ventilatiesystemen_namen,0)),1)="A")</formula>
    </cfRule>
    <cfRule type="expression" dxfId="690" priority="225">
      <formula>OR(AND(O$17&lt;&gt;"",O$22&gt;0,O41=""),ISERROR(MATCH(O41,ventilatoren_typen,0))=TRUE)</formula>
    </cfRule>
  </conditionalFormatting>
  <conditionalFormatting sqref="O42:W42 AA42:AI42 AM42:AU42 AY42:BG42">
    <cfRule type="expression" dxfId="689" priority="156">
      <formula>OR(AND(O$17&lt;&gt;"",O$22&gt;0,O42=""),ISERROR(MATCH(O42,DWTW_namen,0))=TRUE)</formula>
    </cfRule>
  </conditionalFormatting>
  <conditionalFormatting sqref="O44:W44 AA44:AI44 AM44:AU44 AY44:BG44">
    <cfRule type="expression" dxfId="688" priority="86">
      <formula>$F$6=EP</formula>
    </cfRule>
  </conditionalFormatting>
  <conditionalFormatting sqref="O44:W49 AY44:BG49 O24:W27 AM24:AU27 AY24:BG27 O29:W33 AA29:AI33 AM29:AU33 AY29:BG33 O52:W52 O54:W56 AM61:AU69 AY61:BG69 O71:W71 AM71:AU71 AY71:BG71 O73:W73 AM328:AU328 AY328:BG328">
    <cfRule type="expression" dxfId="687" priority="104">
      <formula>OR(O$17="",O$22=0)</formula>
    </cfRule>
  </conditionalFormatting>
  <conditionalFormatting sqref="O45:W46 AA45:AI46 AM45:AU46 AY45:BG46">
    <cfRule type="expression" dxfId="686" priority="164">
      <formula>OR(O$17="",O$26=0)</formula>
    </cfRule>
    <cfRule type="expression" dxfId="685" priority="229">
      <formula>AND(O$17&lt;&gt;"",O$26&gt;0,O45="")</formula>
    </cfRule>
  </conditionalFormatting>
  <conditionalFormatting sqref="O46:W46 AA46:AI46 AM46:AU46 AY46:BG46">
    <cfRule type="expression" dxfId="684" priority="231">
      <formula>AND(O46&lt;&gt;"",ISERROR(MATCH(O46,verlichtingsregeling_namen,0))=TRUE)</formula>
    </cfRule>
  </conditionalFormatting>
  <conditionalFormatting sqref="O47:W47 AA47:AI47 AM47:AU47 AY47:BG47">
    <cfRule type="expression" dxfId="683" priority="174">
      <formula>OR(O$17="",O$24+O$25=0,AND(O$19&lt;&gt;woning,O$19&lt;&gt;woongebouw))</formula>
    </cfRule>
    <cfRule type="expression" dxfId="682" priority="232">
      <formula>OR(AND(O$17&lt;&gt;"",O$22&gt;0,O47=""),AND(O47&lt;&gt;elektriciteit,O47&lt;&gt;aardgas))</formula>
    </cfRule>
  </conditionalFormatting>
  <conditionalFormatting sqref="O49:W49">
    <cfRule type="expression" dxfId="681" priority="118">
      <formula>IF(AND($O$36&lt;&gt;"",$O$49=""),TRUE,FALSE)</formula>
    </cfRule>
  </conditionalFormatting>
  <conditionalFormatting sqref="O51:W51 O53:W53">
    <cfRule type="expression" dxfId="680" priority="99">
      <formula>AND(O51&lt;&gt;"",ISERROR(MATCH(O51,woningen_gebouwen_namen,0))=TRUE)</formula>
    </cfRule>
  </conditionalFormatting>
  <conditionalFormatting sqref="O52:W52 AA52:AI52 AM52:AU52 AY52:BG52">
    <cfRule type="expression" dxfId="679" priority="173">
      <formula>$O17=""</formula>
    </cfRule>
    <cfRule type="cellIs" dxfId="678" priority="236" operator="equal">
      <formula>"nee"</formula>
    </cfRule>
  </conditionalFormatting>
  <conditionalFormatting sqref="O55:W55 AA55:AI55 AM55:AU55 AY55:BG55">
    <cfRule type="cellIs" dxfId="677" priority="127" operator="equal">
      <formula>0</formula>
    </cfRule>
  </conditionalFormatting>
  <conditionalFormatting sqref="O56:W56 AA56:AI56 AM56:AU56 AY56:BG56">
    <cfRule type="expression" dxfId="676" priority="246">
      <formula>AND(O$22&gt;0,O56="",$F$6=MWA)</formula>
    </cfRule>
    <cfRule type="expression" dxfId="675" priority="247">
      <formula>AND(O$22&gt;0,O$56&gt;0,$F$6=MWA)</formula>
    </cfRule>
    <cfRule type="expression" dxfId="674" priority="245">
      <formula>O$22=0</formula>
    </cfRule>
  </conditionalFormatting>
  <conditionalFormatting sqref="O60:W60">
    <cfRule type="expression" dxfId="673" priority="98">
      <formula>AND(O60&lt;&gt;"",ISERROR(MATCH(O60,woningen_gebouwen_namen,0))=TRUE)</formula>
    </cfRule>
  </conditionalFormatting>
  <conditionalFormatting sqref="O61:W69">
    <cfRule type="expression" dxfId="672" priority="114">
      <formula>OR(O$17="",O$22=0)</formula>
    </cfRule>
  </conditionalFormatting>
  <conditionalFormatting sqref="O70:W70">
    <cfRule type="expression" dxfId="671" priority="97">
      <formula>AND(O70&lt;&gt;"",ISERROR(MATCH(O70,woningen_gebouwen_namen,0))=TRUE)</formula>
    </cfRule>
  </conditionalFormatting>
  <conditionalFormatting sqref="O71:W71 AM71:AU71 AY71:BG71 O73:W73">
    <cfRule type="expression" dxfId="670" priority="157">
      <formula>AND(O$17&lt;&gt;"",O71="")</formula>
    </cfRule>
  </conditionalFormatting>
  <conditionalFormatting sqref="O72:W72">
    <cfRule type="expression" dxfId="669" priority="96">
      <formula>AND(O72&lt;&gt;"",ISERROR(MATCH(O72,woningen_gebouwen_namen,0))=TRUE)</formula>
    </cfRule>
  </conditionalFormatting>
  <conditionalFormatting sqref="O78:W78">
    <cfRule type="expression" dxfId="668" priority="206">
      <formula>O$27=0</formula>
    </cfRule>
  </conditionalFormatting>
  <conditionalFormatting sqref="O268:W268">
    <cfRule type="expression" dxfId="667" priority="90">
      <formula>AND(O268&lt;&gt;"",ISERROR(MATCH(O268,woningen_gebouwen_namen,0))=TRUE)</formula>
    </cfRule>
  </conditionalFormatting>
  <conditionalFormatting sqref="O274:W274 O281:W281">
    <cfRule type="expression" dxfId="666" priority="89">
      <formula>AND(O274&lt;&gt;"",ISERROR(MATCH(O274,woningen_gebouwen_namen,0))=TRUE)</formula>
    </cfRule>
  </conditionalFormatting>
  <conditionalFormatting sqref="O291:W291">
    <cfRule type="expression" dxfId="665" priority="7">
      <formula>AND(O291&lt;&gt;"",ISERROR(MATCH(O291,woningen_gebouwen_namen,0))=TRUE)</formula>
    </cfRule>
  </conditionalFormatting>
  <conditionalFormatting sqref="O292:W292 AA292:AI292 AM292:AU292 AY292:BG292 AM364:AU372 O364:W374 AA364:AI374">
    <cfRule type="expression" dxfId="664" priority="6">
      <formula>O$22=0</formula>
    </cfRule>
  </conditionalFormatting>
  <conditionalFormatting sqref="O293:W293 O297:W297">
    <cfRule type="expression" dxfId="663" priority="95">
      <formula>AND(O293&lt;&gt;"",ISERROR(MATCH(O293,woningen_gebouwen_namen,0))=TRUE)</formula>
    </cfRule>
  </conditionalFormatting>
  <conditionalFormatting sqref="O305:W305 O312:W312 O314:W314 O316:W316">
    <cfRule type="expression" dxfId="662" priority="94">
      <formula>AND(O305&lt;&gt;"",ISERROR(MATCH(O305,woningen_gebouwen_namen,0))=TRUE)</formula>
    </cfRule>
  </conditionalFormatting>
  <conditionalFormatting sqref="O321:W321">
    <cfRule type="expression" dxfId="661" priority="88">
      <formula>AND(O321&lt;&gt;"",ISERROR(MATCH(O321,woningen_gebouwen_namen,0))=TRUE)</formula>
    </cfRule>
  </conditionalFormatting>
  <conditionalFormatting sqref="O323:W323 O327:W327 O332:W332 O335:W335 O338:W338">
    <cfRule type="expression" dxfId="660" priority="93">
      <formula>AND(O323&lt;&gt;"",ISERROR(MATCH(O323,woningen_gebouwen_namen,0))=TRUE)</formula>
    </cfRule>
  </conditionalFormatting>
  <conditionalFormatting sqref="O328:W328">
    <cfRule type="expression" dxfId="659" priority="111">
      <formula>OR(O$17="",O$22=0)</formula>
    </cfRule>
  </conditionalFormatting>
  <conditionalFormatting sqref="O329:W330">
    <cfRule type="expression" dxfId="658" priority="217">
      <formula>O329&gt;O324</formula>
    </cfRule>
  </conditionalFormatting>
  <conditionalFormatting sqref="O331:W331 AA331:AI331 AM331:AU331 AY331:BG331">
    <cfRule type="expression" dxfId="657" priority="119">
      <formula>$O$331&lt;$O$326</formula>
    </cfRule>
  </conditionalFormatting>
  <conditionalFormatting sqref="O333:W334 AA333:AI334 O317:W317 O329:W331 O339:W340 AY339:BG340 O269:W270 AA269:AI270 AA275:AI277 AM275:AU277 AY275:BG277 O282:W290 AA282:AI290 AK282:AK290 AM282:AU290 AW282:AW290 AY282:BG290 O298:W299 AA298:AI299 AM298:AU299 AY298:BG299 O304:W304 AA304:AI304 AY304:BG304 O306:W311 AA306:AI311 AY306:BG311 O313:W313 AA313:AI313 AY313:BG313 O315:W315 AA315:AI315 AY315:BG315 AA317:AI317 AY317:BG317 AA322:AI322 AY322:BG322 O324:W326 AA324:AI326 AY324:BG326 O345:W353 AY345:BG353 O355:W357 AA355:AI357 AM355:AU357">
    <cfRule type="expression" dxfId="656" priority="239">
      <formula>O$22=0</formula>
    </cfRule>
  </conditionalFormatting>
  <conditionalFormatting sqref="O336:W337">
    <cfRule type="expression" dxfId="655" priority="176">
      <formula>O$22=0</formula>
    </cfRule>
  </conditionalFormatting>
  <conditionalFormatting sqref="O337:W337">
    <cfRule type="expression" dxfId="654" priority="143">
      <formula>AND(O337&lt;&gt;"nvt",O337&gt;O336)</formula>
    </cfRule>
    <cfRule type="expression" dxfId="653" priority="144">
      <formula>AND(O337&lt;&gt;"nvt",O337&lt;=O336)</formula>
    </cfRule>
  </conditionalFormatting>
  <conditionalFormatting sqref="O340:W340">
    <cfRule type="expression" dxfId="652" priority="141">
      <formula>AND(O340&lt;&gt;"nvt",O340&gt;O339)</formula>
    </cfRule>
    <cfRule type="expression" dxfId="651" priority="142">
      <formula>AND(O340&lt;&gt;"nvt",O340&lt;=O339)</formula>
    </cfRule>
  </conditionalFormatting>
  <conditionalFormatting sqref="O344:W344">
    <cfRule type="expression" dxfId="650" priority="87">
      <formula>AND(O344&lt;&gt;"",ISERROR(MATCH(O344,woningen_gebouwen_namen,0))=TRUE)</formula>
    </cfRule>
  </conditionalFormatting>
  <conditionalFormatting sqref="O354:W354 O358:W358">
    <cfRule type="expression" dxfId="649" priority="92">
      <formula>AND(O354&lt;&gt;"",ISERROR(MATCH(O354,woningen_gebouwen_namen,0))=TRUE)</formula>
    </cfRule>
  </conditionalFormatting>
  <conditionalFormatting sqref="O364:W364">
    <cfRule type="expression" dxfId="648" priority="70">
      <formula>AND(O364&lt;&gt;"",ISERROR(MATCH(O364,woningen_gebouwen_namen,0))=TRUE)</formula>
    </cfRule>
  </conditionalFormatting>
  <conditionalFormatting sqref="O371:W371 O373:W373">
    <cfRule type="expression" dxfId="647" priority="71">
      <formula>AND(O371&lt;&gt;"",ISERROR(MATCH(O371,woningen_gebouwen_namen,0))=TRUE)</formula>
    </cfRule>
  </conditionalFormatting>
  <conditionalFormatting sqref="P83 AB83 AN83 AZ83">
    <cfRule type="expression" dxfId="646" priority="200">
      <formula>OR(AND(P83="",P$22&gt;0),ISERROR(MATCH(P83,toestellen_KOEL_invoer,0)))</formula>
    </cfRule>
  </conditionalFormatting>
  <conditionalFormatting sqref="P84 AB84 AN84 AZ84 P86:P88 AB86:AB88 AN86:AN88 AZ86:AZ88 P90:P91 AB90:AB91 AN90:AN91 AZ90:AZ91 P93:P95 AB93:AB95 AN93:AN95 AZ93:AZ95 P97:P99 AB97:AB99 AN97:AN99 AZ97:AZ99">
    <cfRule type="expression" dxfId="645" priority="148">
      <formula>P$83="geen"</formula>
    </cfRule>
  </conditionalFormatting>
  <conditionalFormatting sqref="Q83 AC83 AO83 BA83">
    <cfRule type="expression" dxfId="644" priority="201">
      <formula>OR(AND(Q83="",Q$22&gt;0),ISERROR(MATCH(Q83,toestellen_TAP_invoer,0)))</formula>
    </cfRule>
  </conditionalFormatting>
  <conditionalFormatting sqref="Q90 AC90 AO90 BA90">
    <cfRule type="expression" dxfId="643" priority="244">
      <formula>OR(AND(Q$22&gt;0,Q$78&gt;0,Q90=""),AND(Q90&lt;&gt;"ja",Q90&lt;&gt;"nee",Q90&lt;&gt;""))</formula>
    </cfRule>
  </conditionalFormatting>
  <conditionalFormatting sqref="T170:T171">
    <cfRule type="expression" dxfId="642" priority="170">
      <formula>T$27=0</formula>
    </cfRule>
  </conditionalFormatting>
  <conditionalFormatting sqref="T173:T174">
    <cfRule type="expression" dxfId="641" priority="169">
      <formula>T$27=0</formula>
    </cfRule>
  </conditionalFormatting>
  <conditionalFormatting sqref="T180">
    <cfRule type="expression" dxfId="640" priority="168">
      <formula>T$27=0</formula>
    </cfRule>
  </conditionalFormatting>
  <conditionalFormatting sqref="T233">
    <cfRule type="expression" dxfId="639" priority="171">
      <formula>T$27=0</formula>
    </cfRule>
  </conditionalFormatting>
  <conditionalFormatting sqref="T246">
    <cfRule type="expression" dxfId="638" priority="192">
      <formula>T$27=0</formula>
    </cfRule>
  </conditionalFormatting>
  <conditionalFormatting sqref="T263:T264">
    <cfRule type="expression" dxfId="637" priority="189">
      <formula>T$27=0</formula>
    </cfRule>
  </conditionalFormatting>
  <conditionalFormatting sqref="U169:W171">
    <cfRule type="expression" dxfId="636" priority="204">
      <formula>U$27=0</formula>
    </cfRule>
  </conditionalFormatting>
  <conditionalFormatting sqref="Y50">
    <cfRule type="expression" dxfId="635" priority="16">
      <formula>Y$22=0</formula>
    </cfRule>
    <cfRule type="expression" dxfId="634" priority="17">
      <formula>AND(Y$22&gt;0,Y50&lt;&gt;"ja",Y50&lt;&gt;"nee")</formula>
    </cfRule>
  </conditionalFormatting>
  <conditionalFormatting sqref="Y52">
    <cfRule type="cellIs" dxfId="633" priority="83" operator="equal">
      <formula>"nee"</formula>
    </cfRule>
  </conditionalFormatting>
  <conditionalFormatting sqref="Y83">
    <cfRule type="cellIs" dxfId="632" priority="79" operator="equal">
      <formula>"nee"</formula>
    </cfRule>
  </conditionalFormatting>
  <conditionalFormatting sqref="Z38:AI39">
    <cfRule type="expression" dxfId="631" priority="120">
      <formula>OR(Z$17="",Z$22=0)</formula>
    </cfRule>
  </conditionalFormatting>
  <conditionalFormatting sqref="AA49:AB49">
    <cfRule type="expression" dxfId="630" priority="105">
      <formula>IF(AND($O$36&lt;&gt;"",$O$49=""),TRUE,FALSE)</formula>
    </cfRule>
  </conditionalFormatting>
  <conditionalFormatting sqref="AA123:AC123">
    <cfRule type="expression" dxfId="629" priority="64">
      <formula>AND(AA$78&gt;0,AA123="")</formula>
    </cfRule>
  </conditionalFormatting>
  <conditionalFormatting sqref="AA125:AC125">
    <cfRule type="expression" dxfId="628" priority="65">
      <formula>AND(AA$78&gt;0,AA125="")</formula>
    </cfRule>
  </conditionalFormatting>
  <conditionalFormatting sqref="AA154:AC154">
    <cfRule type="expression" dxfId="627" priority="27">
      <formula>AND(AA$78&gt;0,AA$140&lt;&gt;"geen",AA154="")</formula>
    </cfRule>
  </conditionalFormatting>
  <conditionalFormatting sqref="AA156:AC156">
    <cfRule type="expression" dxfId="626" priority="26">
      <formula>AND(AA$78&gt;0,AA$140&lt;&gt;"geen",AA156="")</formula>
    </cfRule>
  </conditionalFormatting>
  <conditionalFormatting sqref="AA251:AC251">
    <cfRule type="expression" dxfId="625" priority="147">
      <formula>AA$27=0</formula>
    </cfRule>
  </conditionalFormatting>
  <conditionalFormatting sqref="AA229:AE229">
    <cfRule type="expression" dxfId="624" priority="195">
      <formula>AA$27=0</formula>
    </cfRule>
  </conditionalFormatting>
  <conditionalFormatting sqref="AA258:AE258">
    <cfRule type="expression" dxfId="623" priority="193">
      <formula>AA$27=0</formula>
    </cfRule>
  </conditionalFormatting>
  <conditionalFormatting sqref="AA17:AI17">
    <cfRule type="expression" dxfId="622" priority="59">
      <formula>AND(AA17&lt;&gt;"",ISERROR(MATCH(AA17,woningen_gebouwen_namen,0))=TRUE)</formula>
    </cfRule>
  </conditionalFormatting>
  <conditionalFormatting sqref="AA20:AI20">
    <cfRule type="expression" dxfId="621" priority="161">
      <formula>OR(AA$17="",AND(AA$19&lt;&gt;woning,AA$19&lt;&gt;woongebouw))</formula>
    </cfRule>
  </conditionalFormatting>
  <conditionalFormatting sqref="AA21:AI21">
    <cfRule type="expression" dxfId="620" priority="56">
      <formula>AND(AA21&lt;&gt;"",ISERROR(MATCH(AA21,woningen_gebouwen_namen,0))=TRUE)</formula>
    </cfRule>
  </conditionalFormatting>
  <conditionalFormatting sqref="AA23:AI23">
    <cfRule type="expression" dxfId="619" priority="235">
      <formula>AND(AA$17&lt;&gt;"",AA23="")</formula>
    </cfRule>
    <cfRule type="expression" dxfId="618" priority="234">
      <formula>AND(AA$17="",AA23&gt;0)</formula>
    </cfRule>
  </conditionalFormatting>
  <conditionalFormatting sqref="AA24:AI27">
    <cfRule type="expression" dxfId="617" priority="220">
      <formula>OR(AA$17="",AA$22=0)</formula>
    </cfRule>
  </conditionalFormatting>
  <conditionalFormatting sqref="AA28:AI28">
    <cfRule type="expression" dxfId="616" priority="55">
      <formula>AND(AA28&lt;&gt;"",ISERROR(MATCH(AA28,woningen_gebouwen_namen,0))=TRUE)</formula>
    </cfRule>
  </conditionalFormatting>
  <conditionalFormatting sqref="AA37:AI37">
    <cfRule type="expression" dxfId="615" priority="50">
      <formula>AND(AA37&lt;&gt;"",ISERROR(MATCH(AA37,woningen_gebouwen_namen,0))=TRUE)</formula>
    </cfRule>
  </conditionalFormatting>
  <conditionalFormatting sqref="AA39:AI39 O39:W39 AM39:AU39 AY39:BG39">
    <cfRule type="expression" dxfId="614" priority="123">
      <formula>AND(O$17&lt;&gt;"",O$22&gt;0,O39&lt;&gt;"",ISERROR(MATCH(O39,isolatiepakketten_gebouwschil_namen,0))=TRUE)</formula>
    </cfRule>
  </conditionalFormatting>
  <conditionalFormatting sqref="AA40:AI43">
    <cfRule type="expression" dxfId="613" priority="10">
      <formula>OR(AA$17="",AA$22=0)</formula>
    </cfRule>
  </conditionalFormatting>
  <conditionalFormatting sqref="AA44:AI49">
    <cfRule type="expression" dxfId="612" priority="106">
      <formula>OR(AA$17="",AA$22=0)</formula>
    </cfRule>
  </conditionalFormatting>
  <conditionalFormatting sqref="AA49:AI49">
    <cfRule type="expression" dxfId="611" priority="108">
      <formula>IF(AND($AA$36&lt;&gt;"",$AA$49=""),TRUE,FALSE)</formula>
    </cfRule>
  </conditionalFormatting>
  <conditionalFormatting sqref="AA51:AI51">
    <cfRule type="expression" dxfId="610" priority="49">
      <formula>AND(AA51&lt;&gt;"",ISERROR(MATCH(AA51,woningen_gebouwen_namen,0))=TRUE)</formula>
    </cfRule>
  </conditionalFormatting>
  <conditionalFormatting sqref="AA53:AI53">
    <cfRule type="expression" dxfId="609" priority="48">
      <formula>AND(AA53&lt;&gt;"",ISERROR(MATCH(AA53,woningen_gebouwen_namen,0))=TRUE)</formula>
    </cfRule>
  </conditionalFormatting>
  <conditionalFormatting sqref="AA60:AI60">
    <cfRule type="expression" dxfId="608" priority="41">
      <formula>AND(AA60&lt;&gt;"",ISERROR(MATCH(AA60,woningen_gebouwen_namen,0))=TRUE)</formula>
    </cfRule>
  </conditionalFormatting>
  <conditionalFormatting sqref="AA61:AI69">
    <cfRule type="expression" dxfId="607" priority="115">
      <formula>OR(AA$17="",AA$22=0)</formula>
    </cfRule>
  </conditionalFormatting>
  <conditionalFormatting sqref="AA70:AI70 AM70:AU70 AY70:BG70 AA72:AI72 AM72:AU72 AY72:BG72">
    <cfRule type="expression" dxfId="606" priority="38">
      <formula>AND(AA70&lt;&gt;"",ISERROR(MATCH(AA70,woningen_gebouwen_namen,0))=TRUE)</formula>
    </cfRule>
  </conditionalFormatting>
  <conditionalFormatting sqref="AA71:AI71">
    <cfRule type="expression" dxfId="605" priority="209">
      <formula>OR(AA$17="",AA$22=0)</formula>
    </cfRule>
    <cfRule type="expression" dxfId="604" priority="210">
      <formula>AND(AA$17&lt;&gt;"",AA71="")</formula>
    </cfRule>
  </conditionalFormatting>
  <conditionalFormatting sqref="AA73:AI73">
    <cfRule type="expression" dxfId="603" priority="2">
      <formula>OR(AA$17="",AA$22=0)</formula>
    </cfRule>
    <cfRule type="expression" dxfId="602" priority="3">
      <formula>AND(AA$17&lt;&gt;"",AA73="")</formula>
    </cfRule>
  </conditionalFormatting>
  <conditionalFormatting sqref="AA78:AI78">
    <cfRule type="expression" dxfId="601" priority="191">
      <formula>AA$27=0</formula>
    </cfRule>
  </conditionalFormatting>
  <conditionalFormatting sqref="AA268:AI268 AM268:AU268 AY268:BG268">
    <cfRule type="expression" dxfId="600" priority="29">
      <formula>AND(AA268&lt;&gt;"",ISERROR(MATCH(AA268,woningen_gebouwen_namen,0))=TRUE)</formula>
    </cfRule>
  </conditionalFormatting>
  <conditionalFormatting sqref="AA274:AI274 AM274:AU274 AY274:BG274">
    <cfRule type="expression" dxfId="599" priority="28">
      <formula>AND(AA274&lt;&gt;"",ISERROR(MATCH(AA274,woningen_gebouwen_namen,0))=TRUE)</formula>
    </cfRule>
  </conditionalFormatting>
  <conditionalFormatting sqref="AA281:AI281 AM281:AU281 AY281:BG281">
    <cfRule type="expression" dxfId="598" priority="37">
      <formula>AND(AA281&lt;&gt;"",ISERROR(MATCH(AA281,woningen_gebouwen_namen,0))=TRUE)</formula>
    </cfRule>
  </conditionalFormatting>
  <conditionalFormatting sqref="AA291:AI291 AM291:AU291 AY291:BG291">
    <cfRule type="expression" dxfId="597" priority="5">
      <formula>AND(AA291&lt;&gt;"",ISERROR(MATCH(AA291,woningen_gebouwen_namen,0))=TRUE)</formula>
    </cfRule>
  </conditionalFormatting>
  <conditionalFormatting sqref="AA293:AI293 AM293:AU293 AY293:BG293 AA297:AI297 AM297:AU297 AY297:BG297">
    <cfRule type="expression" dxfId="596" priority="30">
      <formula>AND(AA293&lt;&gt;"",ISERROR(MATCH(AA293,woningen_gebouwen_namen,0))=TRUE)</formula>
    </cfRule>
  </conditionalFormatting>
  <conditionalFormatting sqref="AA305:AI305 AM305:AU305 AY305:BG305 AA312:AI312 AM312:AU312 AY312:BG312 AA314:AI314 AM314:AU314 AY314:BG314 AA316:AI316 AM316:AU316 AY316:BG316">
    <cfRule type="expression" dxfId="595" priority="35">
      <formula>AND(AA305&lt;&gt;"",ISERROR(MATCH(AA305,woningen_gebouwen_namen,0))=TRUE)</formula>
    </cfRule>
  </conditionalFormatting>
  <conditionalFormatting sqref="AA321:AI321 AM321:AU321 AY321:BG321">
    <cfRule type="expression" dxfId="594" priority="34">
      <formula>AND(AA321&lt;&gt;"",ISERROR(MATCH(AA321,woningen_gebouwen_namen,0))=TRUE)</formula>
    </cfRule>
  </conditionalFormatting>
  <conditionalFormatting sqref="AA323:AI323 AM323:AU323 AY323:BG323 AA327:AI327 AM327:AU327 AY327:BG327 AA332:AI332 AM332:AU332 AY332:BG332 AA335:AI335 AM335:AU335 AY335:BG335 AA338:AI338 AM338:AU338 AY338:BG338">
    <cfRule type="expression" dxfId="593" priority="33">
      <formula>AND(AA323&lt;&gt;"",ISERROR(MATCH(AA323,woningen_gebouwen_namen,0))=TRUE)</formula>
    </cfRule>
  </conditionalFormatting>
  <conditionalFormatting sqref="AA328:AI328">
    <cfRule type="expression" dxfId="592" priority="112">
      <formula>OR(AA$17="",AA$22=0)</formula>
    </cfRule>
  </conditionalFormatting>
  <conditionalFormatting sqref="AA329:AI331 AM329:AU331">
    <cfRule type="expression" dxfId="591" priority="126">
      <formula>AA$22=0</formula>
    </cfRule>
  </conditionalFormatting>
  <conditionalFormatting sqref="AA337:AI337">
    <cfRule type="expression" dxfId="590" priority="140">
      <formula>AND(AA337&lt;&gt;"nvt",AA337&lt;=AA336)</formula>
    </cfRule>
    <cfRule type="expression" dxfId="589" priority="139">
      <formula>AND(AA337&lt;&gt;"nvt",AA337&gt;AA336)</formula>
    </cfRule>
  </conditionalFormatting>
  <conditionalFormatting sqref="AA340:AI340">
    <cfRule type="expression" dxfId="588" priority="138">
      <formula>AND(AA340&lt;&gt;"nvt",AA340&lt;=AA339)</formula>
    </cfRule>
    <cfRule type="expression" dxfId="587" priority="137">
      <formula>AND(AA340&lt;&gt;"nvt",AA340&gt;AA339)</formula>
    </cfRule>
  </conditionalFormatting>
  <conditionalFormatting sqref="AA344:AI344 AM344:AU344 AY344:BG344">
    <cfRule type="expression" dxfId="586" priority="32">
      <formula>AND(AA344&lt;&gt;"",ISERROR(MATCH(AA344,woningen_gebouwen_namen,0))=TRUE)</formula>
    </cfRule>
  </conditionalFormatting>
  <conditionalFormatting sqref="AA345:AI353">
    <cfRule type="expression" dxfId="585" priority="178">
      <formula>AA$22=0</formula>
    </cfRule>
  </conditionalFormatting>
  <conditionalFormatting sqref="AA354:AI354 AM354:AU354 AY354:BG354 AA358:AI358 AM358:AU358 AY358:BG358">
    <cfRule type="expression" dxfId="584" priority="31">
      <formula>AND(AA354&lt;&gt;"",ISERROR(MATCH(AA354,woningen_gebouwen_namen,0))=TRUE)</formula>
    </cfRule>
  </conditionalFormatting>
  <conditionalFormatting sqref="AA359:AI360">
    <cfRule type="expression" dxfId="583" priority="69">
      <formula>AA$22=0</formula>
    </cfRule>
  </conditionalFormatting>
  <conditionalFormatting sqref="AA364:AI364 AM364:AU364 AY364:BG364 O303:W303 AA303:AI303 AM303:AU303 AY303:BG303">
    <cfRule type="expression" dxfId="582" priority="36">
      <formula>AND(O303&lt;&gt;"",ISERROR(MATCH(O303,woningen_gebouwen_namen,0))=TRUE)</formula>
    </cfRule>
  </conditionalFormatting>
  <conditionalFormatting sqref="AA371:AI371 AA373:AI373">
    <cfRule type="expression" dxfId="581" priority="68">
      <formula>AND(AA371&lt;&gt;"",ISERROR(MATCH(AA371,woningen_gebouwen_namen,0))=TRUE)</formula>
    </cfRule>
  </conditionalFormatting>
  <conditionalFormatting sqref="AA329:AU330">
    <cfRule type="expression" dxfId="580" priority="215">
      <formula>AA329&gt;AA324</formula>
    </cfRule>
  </conditionalFormatting>
  <conditionalFormatting sqref="AF263:AF264">
    <cfRule type="expression" dxfId="579" priority="187">
      <formula>AF$27=0</formula>
    </cfRule>
  </conditionalFormatting>
  <conditionalFormatting sqref="AF251:AK258">
    <cfRule type="expression" dxfId="578" priority="180">
      <formula>AF$27=0</formula>
    </cfRule>
  </conditionalFormatting>
  <conditionalFormatting sqref="AJ338 AV338">
    <cfRule type="expression" dxfId="577" priority="132">
      <formula>AJ338&lt;AJ333</formula>
    </cfRule>
  </conditionalFormatting>
  <conditionalFormatting sqref="AK50">
    <cfRule type="expression" dxfId="576" priority="14">
      <formula>AK$22=0</formula>
    </cfRule>
    <cfRule type="expression" dxfId="575" priority="15">
      <formula>AND(AK$22&gt;0,AK50&lt;&gt;"ja",AK50&lt;&gt;"nee")</formula>
    </cfRule>
  </conditionalFormatting>
  <conditionalFormatting sqref="AK52">
    <cfRule type="cellIs" dxfId="574" priority="82" operator="equal">
      <formula>"nee"</formula>
    </cfRule>
  </conditionalFormatting>
  <conditionalFormatting sqref="AK83">
    <cfRule type="cellIs" dxfId="573" priority="78" operator="equal">
      <formula>"nee"</formula>
    </cfRule>
  </conditionalFormatting>
  <conditionalFormatting sqref="AM123:AO123">
    <cfRule type="expression" dxfId="572" priority="62">
      <formula>AND(AM$78&gt;0,AM123="")</formula>
    </cfRule>
  </conditionalFormatting>
  <conditionalFormatting sqref="AM125:AO125">
    <cfRule type="expression" dxfId="571" priority="63">
      <formula>AND(AM$78&gt;0,AM125="")</formula>
    </cfRule>
  </conditionalFormatting>
  <conditionalFormatting sqref="AM154:AO154">
    <cfRule type="expression" dxfId="570" priority="25">
      <formula>AND(AM$78&gt;0,AM$140&lt;&gt;"geen",AM154="")</formula>
    </cfRule>
  </conditionalFormatting>
  <conditionalFormatting sqref="AM156:AO156">
    <cfRule type="expression" dxfId="569" priority="24">
      <formula>AND(AM$78&gt;0,AM$140&lt;&gt;"geen",AM156="")</formula>
    </cfRule>
  </conditionalFormatting>
  <conditionalFormatting sqref="AM251:AO251">
    <cfRule type="expression" dxfId="568" priority="146">
      <formula>AM$27=0</formula>
    </cfRule>
  </conditionalFormatting>
  <conditionalFormatting sqref="AM17:AU17">
    <cfRule type="expression" dxfId="567" priority="58">
      <formula>AND(AM17&lt;&gt;"",ISERROR(MATCH(AM17,woningen_gebouwen_namen,0))=TRUE)</formula>
    </cfRule>
  </conditionalFormatting>
  <conditionalFormatting sqref="AM20:AU20">
    <cfRule type="expression" dxfId="566" priority="160">
      <formula>OR(AM$17="",AND(AM$19&lt;&gt;woning,AM$19&lt;&gt;woongebouw))</formula>
    </cfRule>
  </conditionalFormatting>
  <conditionalFormatting sqref="AM21:AU21">
    <cfRule type="expression" dxfId="565" priority="53">
      <formula>AND(AM21&lt;&gt;"",ISERROR(MATCH(AM21,woningen_gebouwen_namen,0))=TRUE)</formula>
    </cfRule>
  </conditionalFormatting>
  <conditionalFormatting sqref="AM28:AU28">
    <cfRule type="expression" dxfId="564" priority="54">
      <formula>AND(AM28&lt;&gt;"",ISERROR(MATCH(AM28,woningen_gebouwen_namen,0))=TRUE)</formula>
    </cfRule>
  </conditionalFormatting>
  <conditionalFormatting sqref="AM37:AU37">
    <cfRule type="expression" dxfId="563" priority="45">
      <formula>AND(AM37&lt;&gt;"",ISERROR(MATCH(AM37,woningen_gebouwen_namen,0))=TRUE)</formula>
    </cfRule>
  </conditionalFormatting>
  <conditionalFormatting sqref="AM38:AU43">
    <cfRule type="expression" dxfId="562" priority="9">
      <formula>OR(AM$17="",AM$22=0)</formula>
    </cfRule>
  </conditionalFormatting>
  <conditionalFormatting sqref="AM44:AU44 AA44:AI44 O44:W44 AY44:BG44">
    <cfRule type="expression" dxfId="561" priority="227">
      <formula>OR(O44&lt;0.5,O44&gt;2,AND(O$17&lt;&gt;"",O44=""))</formula>
    </cfRule>
  </conditionalFormatting>
  <conditionalFormatting sqref="AM44:AU49">
    <cfRule type="expression" dxfId="560" priority="122">
      <formula>OR(AM$17="",AM$22=0)</formula>
    </cfRule>
  </conditionalFormatting>
  <conditionalFormatting sqref="AM48:AU48 AA48:AI48 O48:W48 AY48:BG48">
    <cfRule type="expression" dxfId="559" priority="233">
      <formula>OR(O48&lt;0,O48&gt;1,AND(O$17&lt;&gt;"",O48=""))</formula>
    </cfRule>
  </conditionalFormatting>
  <conditionalFormatting sqref="AM49:AU49">
    <cfRule type="expression" dxfId="558" priority="117">
      <formula>IF(AND($AM$36&lt;&gt;"",$AM$49=""),TRUE,FALSE)</formula>
    </cfRule>
  </conditionalFormatting>
  <conditionalFormatting sqref="AM51:AU51">
    <cfRule type="expression" dxfId="557" priority="47">
      <formula>AND(AM51&lt;&gt;"",ISERROR(MATCH(AM51,woningen_gebouwen_namen,0))=TRUE)</formula>
    </cfRule>
  </conditionalFormatting>
  <conditionalFormatting sqref="AM53:AU53">
    <cfRule type="expression" dxfId="556" priority="46">
      <formula>AND(AM53&lt;&gt;"",ISERROR(MATCH(AM53,woningen_gebouwen_namen,0))=TRUE)</formula>
    </cfRule>
  </conditionalFormatting>
  <conditionalFormatting sqref="AM60:AU60">
    <cfRule type="expression" dxfId="555" priority="40">
      <formula>AND(AM60&lt;&gt;"",ISERROR(MATCH(AM60,woningen_gebouwen_namen,0))=TRUE)</formula>
    </cfRule>
  </conditionalFormatting>
  <conditionalFormatting sqref="AM73:AU73">
    <cfRule type="expression" dxfId="554" priority="151">
      <formula>OR(AM$17="",AM$22=0)</formula>
    </cfRule>
    <cfRule type="expression" dxfId="553" priority="152">
      <formula>AND(AM$17&lt;&gt;"",AM73="")</formula>
    </cfRule>
  </conditionalFormatting>
  <conditionalFormatting sqref="AM78:AU78 AY78:BG78 O240:T245 AM251:AU258 AW251:AW258 AY251:BD258">
    <cfRule type="expression" dxfId="552" priority="190">
      <formula>O$27=0</formula>
    </cfRule>
  </conditionalFormatting>
  <conditionalFormatting sqref="AM269:AU270">
    <cfRule type="expression" dxfId="551" priority="185">
      <formula>AM$22=0</formula>
    </cfRule>
  </conditionalFormatting>
  <conditionalFormatting sqref="AM333:AU334">
    <cfRule type="expression" dxfId="550" priority="125">
      <formula>AM$22=0</formula>
    </cfRule>
  </conditionalFormatting>
  <conditionalFormatting sqref="AM334:AU334 AY334:BG334 O334:W334 AA334:AI334">
    <cfRule type="expression" dxfId="549" priority="238">
      <formula>#REF!&lt;O$330</formula>
    </cfRule>
  </conditionalFormatting>
  <conditionalFormatting sqref="AM337:AU337">
    <cfRule type="expression" dxfId="548" priority="136">
      <formula>AND(AM337&lt;&gt;"nvt",AM337&lt;=AM336)</formula>
    </cfRule>
    <cfRule type="expression" dxfId="547" priority="135">
      <formula>AND(AM337&lt;&gt;"nvt",AM337&gt;AM336)</formula>
    </cfRule>
  </conditionalFormatting>
  <conditionalFormatting sqref="AM340:AU340">
    <cfRule type="expression" dxfId="546" priority="134">
      <formula>AND(AM340&lt;&gt;"nvt",AM340&lt;=AM339)</formula>
    </cfRule>
    <cfRule type="expression" dxfId="545" priority="133">
      <formula>AND(AM340&lt;&gt;"nvt",AM340&gt;AM339)</formula>
    </cfRule>
  </conditionalFormatting>
  <conditionalFormatting sqref="AM345:AU353">
    <cfRule type="expression" dxfId="544" priority="177">
      <formula>AM$22=0</formula>
    </cfRule>
  </conditionalFormatting>
  <conditionalFormatting sqref="AM371:AU371 AM373:AU373">
    <cfRule type="expression" dxfId="543" priority="67">
      <formula>AND(AM371&lt;&gt;"",ISERROR(MATCH(AM371,woningen_gebouwen_namen,0))=TRUE)</formula>
    </cfRule>
  </conditionalFormatting>
  <conditionalFormatting sqref="AM373:AU374 O294:W296 AA294:AI296 AM294:AU296 AY294:BG296 O359:W360 AM359:AU360 AY359:BG360">
    <cfRule type="expression" dxfId="542" priority="72">
      <formula>O$22=0</formula>
    </cfRule>
  </conditionalFormatting>
  <conditionalFormatting sqref="AM374:AU374">
    <cfRule type="expression" dxfId="541" priority="21">
      <formula>AM$22=0</formula>
    </cfRule>
  </conditionalFormatting>
  <conditionalFormatting sqref="AR263:AR264">
    <cfRule type="expression" dxfId="540" priority="186">
      <formula>AR$27=0</formula>
    </cfRule>
  </conditionalFormatting>
  <conditionalFormatting sqref="AW50">
    <cfRule type="expression" dxfId="539" priority="12">
      <formula>AW$22=0</formula>
    </cfRule>
    <cfRule type="expression" dxfId="538" priority="13">
      <formula>AND(AW$22&gt;0,AW50&lt;&gt;"ja",AW50&lt;&gt;"nee")</formula>
    </cfRule>
  </conditionalFormatting>
  <conditionalFormatting sqref="AW52">
    <cfRule type="cellIs" dxfId="537" priority="81" operator="equal">
      <formula>"nee"</formula>
    </cfRule>
  </conditionalFormatting>
  <conditionalFormatting sqref="AW83">
    <cfRule type="cellIs" dxfId="536" priority="77" operator="equal">
      <formula>"nee"</formula>
    </cfRule>
  </conditionalFormatting>
  <conditionalFormatting sqref="AY109:BA109">
    <cfRule type="expression" dxfId="535" priority="230">
      <formula>AND(AY$78&gt;0,AY109="")</formula>
    </cfRule>
  </conditionalFormatting>
  <conditionalFormatting sqref="AY123:BA123">
    <cfRule type="expression" dxfId="534" priority="60">
      <formula>AND(AY$78&gt;0,AY123="")</formula>
    </cfRule>
  </conditionalFormatting>
  <conditionalFormatting sqref="AY125:BA125">
    <cfRule type="expression" dxfId="533" priority="61">
      <formula>AND(AY$78&gt;0,AY125="")</formula>
    </cfRule>
  </conditionalFormatting>
  <conditionalFormatting sqref="AY154:BA154">
    <cfRule type="expression" dxfId="532" priority="23">
      <formula>AND(AY$78&gt;0,AY$140&lt;&gt;"geen",AY154="")</formula>
    </cfRule>
  </conditionalFormatting>
  <conditionalFormatting sqref="AY156:BA156">
    <cfRule type="expression" dxfId="531" priority="22">
      <formula>AND(AY$78&gt;0,AY$140&lt;&gt;"geen",AY156="")</formula>
    </cfRule>
  </conditionalFormatting>
  <conditionalFormatting sqref="AY251:BA251">
    <cfRule type="expression" dxfId="530" priority="145">
      <formula>AY$27=0</formula>
    </cfRule>
  </conditionalFormatting>
  <conditionalFormatting sqref="AY229:BC229">
    <cfRule type="expression" dxfId="529" priority="194">
      <formula>AY$27=0</formula>
    </cfRule>
  </conditionalFormatting>
  <conditionalFormatting sqref="AY17:BG17">
    <cfRule type="expression" dxfId="528" priority="57">
      <formula>AND(AY17&lt;&gt;"",ISERROR(MATCH(AY17,woningen_gebouwen_namen,0))=TRUE)</formula>
    </cfRule>
  </conditionalFormatting>
  <conditionalFormatting sqref="AY20:BG20">
    <cfRule type="expression" dxfId="527" priority="159">
      <formula>OR(AY$17="",AND(AY$19&lt;&gt;woning,AY$19&lt;&gt;woongebouw))</formula>
    </cfRule>
  </conditionalFormatting>
  <conditionalFormatting sqref="AY21:BG21">
    <cfRule type="expression" dxfId="526" priority="52">
      <formula>AND(AY21&lt;&gt;"",ISERROR(MATCH(AY21,woningen_gebouwen_namen,0))=TRUE)</formula>
    </cfRule>
  </conditionalFormatting>
  <conditionalFormatting sqref="AY28:BG28">
    <cfRule type="expression" dxfId="525" priority="51">
      <formula>AND(AY28&lt;&gt;"",ISERROR(MATCH(AY28,woningen_gebouwen_namen,0))=TRUE)</formula>
    </cfRule>
  </conditionalFormatting>
  <conditionalFormatting sqref="AY37:BG37">
    <cfRule type="expression" dxfId="524" priority="44">
      <formula>AND(AY37&lt;&gt;"",ISERROR(MATCH(AY37,woningen_gebouwen_namen,0))=TRUE)</formula>
    </cfRule>
  </conditionalFormatting>
  <conditionalFormatting sqref="AY38:BG43">
    <cfRule type="expression" dxfId="523" priority="8">
      <formula>OR(AY$17="",AY$22=0)</formula>
    </cfRule>
  </conditionalFormatting>
  <conditionalFormatting sqref="AY49:BG49">
    <cfRule type="expression" dxfId="522" priority="107">
      <formula>IF(AND($AY$36&lt;&gt;"",$AY$49=""),TRUE,FALSE)</formula>
    </cfRule>
  </conditionalFormatting>
  <conditionalFormatting sqref="AY51:BG51">
    <cfRule type="expression" dxfId="521" priority="43">
      <formula>AND(AY51&lt;&gt;"",ISERROR(MATCH(AY51,woningen_gebouwen_namen,0))=TRUE)</formula>
    </cfRule>
  </conditionalFormatting>
  <conditionalFormatting sqref="AY53:BG53">
    <cfRule type="expression" dxfId="520" priority="42">
      <formula>AND(AY53&lt;&gt;"",ISERROR(MATCH(AY53,woningen_gebouwen_namen,0))=TRUE)</formula>
    </cfRule>
  </conditionalFormatting>
  <conditionalFormatting sqref="AY60:BG60">
    <cfRule type="expression" dxfId="519" priority="39">
      <formula>AND(AY60&lt;&gt;"",ISERROR(MATCH(AY60,woningen_gebouwen_namen,0))=TRUE)</formula>
    </cfRule>
  </conditionalFormatting>
  <conditionalFormatting sqref="AY73:BG73">
    <cfRule type="expression" dxfId="518" priority="149">
      <formula>OR(AY$17="",AY$22=0)</formula>
    </cfRule>
    <cfRule type="expression" dxfId="517" priority="150">
      <formula>AND(AY$17&lt;&gt;"",AY73="")</formula>
    </cfRule>
  </conditionalFormatting>
  <conditionalFormatting sqref="AY269:BG270">
    <cfRule type="expression" dxfId="516" priority="179">
      <formula>AY$22=0</formula>
    </cfRule>
  </conditionalFormatting>
  <conditionalFormatting sqref="AY329:BG330">
    <cfRule type="expression" dxfId="515" priority="214">
      <formula>AY329&gt;AY324</formula>
    </cfRule>
  </conditionalFormatting>
  <conditionalFormatting sqref="AY329:BG331">
    <cfRule type="expression" dxfId="514" priority="203">
      <formula>AY$22=0</formula>
    </cfRule>
  </conditionalFormatting>
  <conditionalFormatting sqref="AY333:BG334">
    <cfRule type="expression" dxfId="513" priority="124">
      <formula>AY$22=0</formula>
    </cfRule>
  </conditionalFormatting>
  <conditionalFormatting sqref="AY336:BG337">
    <cfRule type="expression" dxfId="512" priority="175">
      <formula>AY$22=0</formula>
    </cfRule>
  </conditionalFormatting>
  <conditionalFormatting sqref="AY337:BG337">
    <cfRule type="expression" dxfId="511" priority="130">
      <formula>AND(AY337&lt;&gt;"nvt",AY337&gt;AY336)</formula>
    </cfRule>
    <cfRule type="expression" dxfId="510" priority="131">
      <formula>AND(AY337&lt;&gt;"nvt",AY337&lt;=AY336)</formula>
    </cfRule>
  </conditionalFormatting>
  <conditionalFormatting sqref="AY340:BG340">
    <cfRule type="expression" dxfId="509" priority="128">
      <formula>AND(AY340&lt;&gt;"nvt",AY340&gt;AY339)</formula>
    </cfRule>
    <cfRule type="expression" dxfId="508" priority="129">
      <formula>AND(AY340&lt;&gt;"nvt",AY340&lt;=AY339)</formula>
    </cfRule>
  </conditionalFormatting>
  <conditionalFormatting sqref="AY355:BG357">
    <cfRule type="expression" dxfId="507" priority="181">
      <formula>AY$22=0</formula>
    </cfRule>
  </conditionalFormatting>
  <conditionalFormatting sqref="AY364:BG374">
    <cfRule type="expression" dxfId="506" priority="4">
      <formula>AY$22=0</formula>
    </cfRule>
  </conditionalFormatting>
  <conditionalFormatting sqref="AY371:BG371 AY373:BG373">
    <cfRule type="expression" dxfId="505" priority="66">
      <formula>AND(AY371&lt;&gt;"",ISERROR(MATCH(AY371,woningen_gebouwen_namen,0))=TRUE)</formula>
    </cfRule>
  </conditionalFormatting>
  <conditionalFormatting sqref="BD180:BD181">
    <cfRule type="expression" dxfId="504" priority="172">
      <formula>BD$27=0</formula>
    </cfRule>
  </conditionalFormatting>
  <conditionalFormatting sqref="BD263:BD264">
    <cfRule type="expression" dxfId="503" priority="182">
      <formula>BD$27=0</formula>
    </cfRule>
  </conditionalFormatting>
  <conditionalFormatting sqref="BD331">
    <cfRule type="expression" dxfId="502" priority="183">
      <formula>BD331&lt;BD326</formula>
    </cfRule>
  </conditionalFormatting>
  <conditionalFormatting sqref="BH229 BH233">
    <cfRule type="expression" dxfId="501" priority="249">
      <formula>AND(BH229&lt;&gt;"-",BH229&gt;#REF!)</formula>
    </cfRule>
  </conditionalFormatting>
  <conditionalFormatting sqref="BH230 BH234">
    <cfRule type="expression" dxfId="500" priority="248">
      <formula>AND(BH230&lt;&gt;"-",BH230&gt;BH232)</formula>
    </cfRule>
  </conditionalFormatting>
  <conditionalFormatting sqref="BH231 BH235">
    <cfRule type="expression" dxfId="499" priority="218">
      <formula>AND(BH231&lt;&gt;"-",BH231&gt;BH232)</formula>
    </cfRule>
  </conditionalFormatting>
  <conditionalFormatting sqref="BH269">
    <cfRule type="expression" dxfId="498" priority="228">
      <formula>AND(BH269&lt;&gt;"-",BH269&gt;#REF!)</formula>
    </cfRule>
  </conditionalFormatting>
  <dataValidations count="111">
    <dataValidation showInputMessage="1" showErrorMessage="1" sqref="G328" xr:uid="{70257832-9258-4106-94ED-D9CF7386C80F}"/>
    <dataValidation allowBlank="1" showInputMessage="1" showErrorMessage="1" promptTitle="Batterij aanwezig?" prompt="Per locatie moet worden aangegeven of er een batterij aanwezig is voor de opslag van door PV opgewekte zonnestroom. Let op: voor de batterijcapaciteit is een ondergrens van minimaal 5kWh van toepassing om meegerekend te kunnen worden in de UMGO." sqref="D50" xr:uid="{906CF5F3-228E-4634-9908-E04CE5430D71}"/>
    <dataValidation allowBlank="1" showInputMessage="1" showErrorMessage="1" promptTitle="vermeden fossiel zonder batterij" prompt="De bijdrage van de batterij wordt verrekend bij het primaire fossiele energiegebruik." sqref="D214" xr:uid="{196B9F4A-543A-41D4-93FA-F2C82808D0C1}"/>
    <dataValidation type="decimal" allowBlank="1" showInputMessage="1" showErrorMessage="1" errorTitle="Bereik 50%-200%" error="De ingevoerde waarde valt buiten het bereik." sqref="O44:W44 AA44:AI44 AM44:AU44 AY44:BG44" xr:uid="{CB7DCBEF-78F3-4339-92EF-B17326264140}">
      <formula1>0.5</formula1>
      <formula2>2</formula2>
    </dataValidation>
    <dataValidation allowBlank="1" showInputMessage="1" showErrorMessage="1" promptTitle="Primair fossiel energiegebruik" prompt="Het primair fossiel energiegebruik in kWh_prim/m2.jaar per woningtype/gebouw, per energiepost en voor het totaal._x000a__x000a_Alleen het gebouwgebonden deel van de primaire fossiele energiegebruiken wordt meegenomen voor BENG 2." sqref="D280" xr:uid="{C1D40489-263E-4AA1-BD8E-1319452C8152}"/>
    <dataValidation allowBlank="1" showInputMessage="1" showErrorMessage="1" promptTitle="geëxporteerde elektriciteit" prompt="geproducreede elektriciteit MIN geproduceerde elektriciteit die gebruikt wordt ter dekking van het gebruik op eigen perceel_x000a__x000a_Volgens formule 5.26 in paragraaf 5.5.4 uit NTA 8800 2026." sqref="D202" xr:uid="{220DD298-1758-452F-AE92-8343E4FF83DA}"/>
    <dataValidation allowBlank="1" showInputMessage="1" showErrorMessage="1" promptTitle="correctiepost waardering opslag" prompt="Correctiepost voor de (beleidsmatige) waardering van opslagsystemen voor hernieuwbare elektriciteit in kWh._x000a__x000a_Deze wordt zonder primaire energiefactor meegenomen in het primair energiegbruik._x000a__x000a_Volgens formule 5.14a in paragraaf 5.5.2 uit NTA 8800 2026." sqref="D201" xr:uid="{BD1E2037-A53D-43C7-A063-31011BA09681}"/>
    <dataValidation type="list" allowBlank="1" showInputMessage="1" showErrorMessage="1" promptTitle="Energiepakket / energiebehoefte" sqref="M50 Y50 AK50 AW50" xr:uid="{AE5FEB2C-FBBD-40C7-A6F7-72E6E0B99566}">
      <formula1>"ja,nee"</formula1>
    </dataValidation>
    <dataValidation allowBlank="1" showInputMessage="1" showErrorMessage="1" promptTitle="direct gebruik elektriciteit PV" prompt="Volgens formule AB.65 in paragraaf AB.2.3.2. uit NTA 8800 2026." sqref="D205" xr:uid="{CE283623-C6C3-4054-A74A-2CD5F290FE8A}"/>
    <dataValidation allowBlank="1" showInputMessage="1" showErrorMessage="1" promptTitle="direct gebruik elektriciteit wkk" prompt="Volgens formule AB.66 in paragraaf AB.2.3.2. uit NTA 8800 2026." sqref="D208" xr:uid="{38077604-B262-47CB-8427-E1AD51BCC02D}"/>
    <dataValidation allowBlank="1" showInputMessage="1" showErrorMessage="1" promptTitle="Primair energiegebruik" prompt="De Uniforme Maatlat rekent op onderwaarde. De EPG rekent echter op bovenwaarde. De berekende primaire energiebruiken in de EPG zijn daarom hoger." sqref="D174" xr:uid="{7CE0757A-A7D9-4251-8991-D1828D54C2D2}"/>
    <dataValidation type="decimal" allowBlank="1" showInputMessage="1" showErrorMessage="1" sqref="O153:P153 AA153:AB153 AM153:AN153 AY153:AZ153" xr:uid="{781C0938-F7E2-48D0-BDB8-4582CF85F360}">
      <formula1>0</formula1>
      <formula2>2</formula2>
    </dataValidation>
    <dataValidation type="list" allowBlank="1" showInputMessage="1" showErrorMessage="1" sqref="F6" xr:uid="{074B80C8-DF01-48A3-96AD-2528D3F1FA4B}">
      <formula1>rekenmethode_EP_MWA</formula1>
    </dataValidation>
    <dataValidation type="list" allowBlank="1" showInputMessage="1" showErrorMessage="1" sqref="AA42:AI42 AM42:AU42 AY42:BG42 O42:W42" xr:uid="{0F50027D-2E9F-482E-9903-30603C09EF3D}">
      <formula1>DWTW_namen</formula1>
    </dataValidation>
    <dataValidation type="list" showInputMessage="1" showErrorMessage="1" sqref="G61 G63" xr:uid="{33C42FA2-E1C1-426E-B7EA-D38CBFF3EB19}">
      <formula1>beschikbare_fitformules_NTA8800</formula1>
    </dataValidation>
    <dataValidation allowBlank="1" showInputMessage="1" showErrorMessage="1" promptTitle="Specifieke interne warmtecapacit" prompt="450 kJ/m2K is een waarde die hoort bij zware gebouwen (steen, beton)_x000a__x000a_055 kJ/m2K hoort bij lichte gebouwen (hout-, staalskeletbouw) met gesloten plafonds." sqref="D49" xr:uid="{2BCFB31E-E050-48CB-9545-0AB724C4452D}"/>
    <dataValidation type="list" allowBlank="1" showInputMessage="1" showErrorMessage="1" sqref="AA49:AI49 AY49:BG49 O49:W49 AM49:AU49" xr:uid="{C91C92F1-7D41-4A41-953D-88E65D0B9924}">
      <formula1>specifieke_interne_warmtecapaciteit</formula1>
    </dataValidation>
    <dataValidation allowBlank="1" showInputMessage="1" showErrorMessage="1" promptTitle="Renocatiestandaard utiliteit" prompt="De renovatiestandaard is een vrijwillige richtlijn voor de energieprestatie van utiliteitsgebouwen. Na 2030 wordt er een verplichte eindnorm bepaald waaraan de energieprestaties van alle gebouwen moeten voldoen in 2050." sqref="D334" xr:uid="{EC2B0879-04C5-4463-9BFE-5BA580BA0B81}"/>
    <dataValidation allowBlank="1" showInputMessage="1" showErrorMessage="1" promptTitle="Energiepakket / energiebehoefte" sqref="O38:W38 Y38:AI38 AY38:BG38 AW38 AK38 AM38:AU38" xr:uid="{3AB1B135-EEEB-4AE9-84B9-98689B000F5A}"/>
    <dataValidation type="list" allowBlank="1" showInputMessage="1" showErrorMessage="1" promptTitle="Energiepakket / energiebehoefte" sqref="AY39:BG39 AA39:AI39 AM39:AU39 O39:W39" xr:uid="{2EDBF084-ADEF-475D-8F45-B1A929A9C4AA}">
      <formula1>isolatiepakketten_gebouwschil_namen</formula1>
    </dataValidation>
    <dataValidation allowBlank="1" showInputMessage="1" showErrorMessage="1" promptTitle="Correctie warmtebehoefte RV" prompt="In slecht geïsoleerde gebouwen berekent NTA8800 gemiddeld té hoge energiegebruiken voor ruimteverwarming._x000a_De correctie corrigeert de NTA berekening op basis van de gemiddelde U-waarde._x000a__x000a_&gt;&gt; energieprestatie-indicatoren zijn alleen geldig ZONDER correctie." sqref="D6" xr:uid="{8D11B1B3-BE6A-4A26-A508-62EA5737B6EA}"/>
    <dataValidation type="whole" allowBlank="1" showInputMessage="1" showErrorMessage="1" errorTitle="Invoer valt buiten bereik" error="De ingevoerde waarde valt buiten het bereik." sqref="AY56:BG56 O56:W56 AA56:AI56 AM56:AU56" xr:uid="{A992DE8A-0085-4B65-B61F-F28AC665C770}">
      <formula1>0</formula1>
      <formula2>1000</formula2>
    </dataValidation>
    <dataValidation allowBlank="1" showInputMessage="1" showErrorMessage="1" promptTitle="Indicatie warmtebehoefte RV" prompt="Indicatie warmtebehoefte ruimteverwarming (RV) NTA8800 cf. energieprestatie (EP) of cf. maatwerkadvies (MWA). Berekend met benaderingsformules op basis van bouwmassa, ventilatiesysteem, gebruiksfunctie, Ugemiddeld en de vormfactor." sqref="D55" xr:uid="{1FD93190-CD11-4E94-A0B6-3A3CA2C79ED7}"/>
    <dataValidation allowBlank="1" showInputMessage="1" showErrorMessage="1" promptTitle="Standaardwaarde" prompt="Deze standaard geeft aan wanneer een woning goed genoeg is geïsoleerd om aardgasvrij te worden. Hij is ontstaan uit het Klimaatakkoord._x000a_" sqref="D335" xr:uid="{65198328-AFDC-4367-B90D-AE2DD996C930}"/>
    <dataValidation allowBlank="1" showInputMessage="1" showErrorMessage="1" promptTitle="CO2 emissiecoëfficiënt" prompt="CO2 emissiecoëfficiënt energiedrager._x000a__x000a_Bij collectieve WKK met/zonder derving, geothermie, etc wordt de CO2 emissiecoëfficiënt uitgerekend cf. NEN7125_2017 paragraaf 7.3.4.5/6/9._x000a__x000a_Bij een EMG-verklaring wordt de waarde voor K_CO2 del overgenomen." sqref="D128" xr:uid="{6E889BC2-5EF8-483E-B106-B005090D6D57}"/>
    <dataValidation allowBlank="1" showInputMessage="1" showErrorMessage="1" promptTitle="Elektriciteitsderving bij WKK" prompt="Bij WKK's waarbij de elektriciteitsproductie afneemt bij onttrekking van warmte, wordt de primaire energiefactor uitgerekend met de verhouding tussen elektriciteitsderving en thermische omzettingsgetal (Δε;chp;el / ε;chp;th)._x000a__x000a_NEN7125_2017 par 7.3.4.6" sqref="D113" xr:uid="{3DE36C48-9AD0-4F1A-AA26-92C7C98744DE}"/>
    <dataValidation allowBlank="1" showInputMessage="1" showErrorMessage="1" promptTitle="Primaire energiefactor" prompt="Primaire energiefactor energiedrager._x000a__x000a_Bij collectieve WKK met/zonder derving, geothermie, etc wordt de primaire energiefactor uitgerekend cf. NEN7125_2017 paragraaf 7.3.4.5/6/9._x000a__x000a_Bij een EMG-verklaring wordt de waarde voor fPdel overgenomen." sqref="D118" xr:uid="{59969990-12DE-4F3E-935A-23F96391E11F}"/>
    <dataValidation type="textLength" allowBlank="1" showInputMessage="1" showErrorMessage="1" errorTitle="Maximaal 65 karakters" error="Maximaal 65 karakters." sqref="F4" xr:uid="{7EE33D73-4FF5-4343-BD76-8945C943A764}">
      <formula1>0</formula1>
      <formula2>65</formula2>
    </dataValidation>
    <dataValidation type="textLength" errorStyle="warning" allowBlank="1" showInputMessage="1" showErrorMessage="1" errorTitle="Maximaal 30 karakters" error="Maximaal 30 karakters" sqref="H3" xr:uid="{DDD3EB10-F54F-4880-8B04-769B94FB2F60}">
      <formula1>0</formula1>
      <formula2>40</formula2>
    </dataValidation>
    <dataValidation type="textLength" errorStyle="warning" allowBlank="1" showInputMessage="1" showErrorMessage="1" errorTitle="Maximaal 30 karakters" error="Maximaal 30 karakters" sqref="E3 F4" xr:uid="{B5368D9A-67CF-41F1-8942-90DBFBC27D3F}">
      <formula1>0</formula1>
      <formula2>30</formula2>
    </dataValidation>
    <dataValidation allowBlank="1" showInputMessage="1" showErrorMessage="1" promptTitle="Elektriciteit 'overig'" prompt="Elektriciteit 'overig' is het elektriciteitsgebruik voor hulpenergie installaties, verlichting, ventilatoren, apparatuur, mobiliteit, elektrisch koken, etcetera." sqref="D169" xr:uid="{E2556229-C91E-4E98-999D-B2ED907E215D}"/>
    <dataValidation allowBlank="1" showInputMessage="1" showErrorMessage="1" promptTitle="Indicatie geïnstalleerd vermogen" prompt="Forfaitaire, conservatieve, waarden in NTA8800, par. 14.3, in W/m2:_x000a_- winkels: 30_x000a_- gezondheid met bed, logies, cellen: 17_x000a_- overige functies: 16_x000a__x000a_Gebruikelijk is 30% lager._x000a_Energiezuinig 50%-60% lager." sqref="D45" xr:uid="{51880D14-5D23-49F0-8E86-209ACA4B205E}"/>
    <dataValidation allowBlank="1" showInputMessage="1" showErrorMessage="1" promptTitle="Bijdrage zonthermisch MWh" prompt="Bijdrage zonthermisch = %bijdrage zonthermisch * (energiebehoefte + intern distributieverlies)_x000a__x000a_Het % bijdrage zonthermisch is verschillend voor RV en TAP en staat in de bibliotheek." sqref="D91" xr:uid="{F259D54E-7F50-40ED-8BC7-37003018C398}"/>
    <dataValidation allowBlank="1" showInputMessage="1" showErrorMessage="1" promptTitle="Aandeel hernieuwbare energie" prompt="Let op: Groen = voldoet aan eis BENG3_x000a__x000a_Aandeel hernieuwbare energie._x000a__x000a_RERPrenTOT = EPrenTot / (EPTot + EPrenTot) * 100%_x000a__x000a_Cf. NTA8800 par. 5.3.1.3, formule 5.3" sqref="D331" xr:uid="{DB10D167-47B6-4A59-8C71-AA544E77B5B7}"/>
    <dataValidation type="list" allowBlank="1" showInputMessage="1" showErrorMessage="1" sqref="O47:W47 AA47:AI47 AY47:BG47 AM47:AU47" xr:uid="{7B1B3921-09FB-4F95-A25F-96D25325463B}">
      <formula1>"elektriciteit,aardgas"</formula1>
    </dataValidation>
    <dataValidation allowBlank="1" showInputMessage="1" showErrorMessage="1" promptTitle="Kookgas" prompt="Gasverbruik voor kookgas." sqref="D68" xr:uid="{95EC61C8-0611-41CC-BE3C-DBC53458693E}"/>
    <dataValidation allowBlank="1" showInputMessage="1" showErrorMessage="1" promptTitle="Hernieuwbare 'primaire' energie" prompt="De totale hernieuwbare 'primaire' energie voor GEBOUWGEBONDEN energiegebruik is berekend cf. NTA8800._x000a__x000a_NTA8800 par. 5.6." sqref="D302" xr:uid="{4F3CD23B-0FC5-4606-8ABD-2927EBAAEFD9}"/>
    <dataValidation allowBlank="1" showInputMessage="1" showErrorMessage="1" promptTitle="Energieprestatie indicatoren" prompt="De energieprestatie indicatoren gaan alleen over GEBOUWGEBONDEN energiegebruik en zijn bepaald cf. paragraaf 5.3.1 van NTA 8800._x000a__x000a_" sqref="D320" xr:uid="{0D1189AA-2DAE-41D9-B713-ABAA8E97D3C4}"/>
    <dataValidation allowBlank="1" showInputMessage="1" showErrorMessage="1" promptTitle="Energielabel" prompt="Het energielabel wordt bepaald op basis van het gebouwgebonden primair energiegebruik in kWh/m2._x000a__x000a_Zie 'Regeling energieprestatie gebouwen', https://wetten.overheid.nl/BWBR0020921/2021-07-01" sqref="D333" xr:uid="{6272CE0E-E472-4BB7-90FC-943C798F312D}"/>
    <dataValidation allowBlank="1" showInputMessage="1" showErrorMessage="1" promptTitle="Besparing warmtevraag TAP (MWA)" prompt="Reductie (of toename) van de warmtevraag voor warmtapwater t.o.v. van de berekende warmtevraag cf. NTA 8800._x000a__x000a_Te denken valt aan waterbesparende kranen, lagere bezetting, bewust energiezuinig gedrag, et cetera." sqref="D44" xr:uid="{2C06E90A-D0DD-4CE4-8C0E-AA9F761686DC}"/>
    <dataValidation allowBlank="1" showInputMessage="1" showErrorMessage="1" promptTitle="Woningen|utiliteitsgebouwen" prompt="De tabel geeft een terugkoppeling van de ingevoerde woningen en utileitsgebouwen in" sqref="D16" xr:uid="{1520C178-C71D-4F70-8758-BA42B469419A}"/>
    <dataValidation allowBlank="1" showInputMessage="1" showErrorMessage="1" promptTitle="Resultaten" prompt="De tabel geeft een samenvatting van het primair energiegebruik, de CO2 emissie en het gasverbruik van de locatie(s) als gevolg van energetische keuzes in deze variant." sqref="D10" xr:uid="{06C66881-779D-4CAA-BC15-13F031AD19C1}"/>
    <dataValidation allowBlank="1" showInputMessage="1" showErrorMessage="1" promptTitle="Niet preferent toestel" prompt="Kenmerken wijzigen van het niet preferente toestel (niet preferent toestel bepaald door type installatie)._x000a_De kenmerken bepalen de te leveren warmte|koude door het niet preferente toestel, het finaal/primair energiegebruik en de CO2 emissie." sqref="D138" xr:uid="{33235F78-B781-4B9E-B977-9A69748D4D4E}"/>
    <dataValidation allowBlank="1" showInputMessage="1" showErrorMessage="1" promptTitle="Preferent toestel" prompt="Hier kunnen de kenmerken van het al eerder gekozen preferente toestel worden gewijzigd._x000a_De kenmerken bepalen welk deel van de te leveren warmte|koude door het preferente toestel geleverd wordt en hoeveel primair energiegebruik en CO2 emissie dat kost." sqref="D102" xr:uid="{5EBF1AAF-90EE-453A-8BD5-676FC19935B7}"/>
    <dataValidation allowBlank="1" showInputMessage="1" showErrorMessage="1" promptTitle="Te leveren warmte en koude" prompt="Aan het distributiesysteem te leveren warmte|koude wordt berekend op basis van de warmte- en koudevraag van woningen en utiliteitsgebouwen (energiebehoefte per energiepost), de verliezen door warmte-/koudedistributie en gebruik van thermische zonnewarmte." sqref="D96" xr:uid="{86BAFC60-21F9-4BC2-BC64-2D9E36D4C02C}"/>
    <dataValidation allowBlank="1" showInputMessage="1" showErrorMessage="1" promptTitle="Keuze preferent toestel" prompt="De keuze van het preferente toestel bepaalt welke forfaitaire waarden voor warmtedistributie, energiedragers en rendementen uit de bibliotheek worden opgehaald." sqref="D82" xr:uid="{9258BF22-4A43-4BDA-A3A7-6CEB2C1EEB47}"/>
    <dataValidation allowBlank="1" showInputMessage="1" showErrorMessage="1" promptTitle="Installatie" prompt="De installatie voor verwarming, koeling en warmtapwater wordt vastgelegd door keuze voor het type preferent toestel, de warmteverliezen door interen en externe warmtedistributie en gebruik van thermische zonne-energie." sqref="D81" xr:uid="{DA02A09E-CA7C-420E-B282-66F805BE085E}"/>
    <dataValidation allowBlank="1" showInputMessage="1" showErrorMessage="1" promptTitle="Thermische zonne-energie" prompt="Het thermisch zonne-energiesysteem levert een % van de warmtevraag inclusief intern distributieverlies._x000a__x000a_In de UMGO worden de volgende forfaitaire waarden aangehouden:_x000a_- ruimteverwarming: 15%;_x000a_- warmtapwater: 50%." sqref="D89" xr:uid="{F759DF02-74B4-4F57-8C6B-552326A15B10}"/>
    <dataValidation allowBlank="1" showInputMessage="1" showErrorMessage="1" promptTitle="Energie niet voor verwarmen/koel" prompt="Elektra en gas NIET voor verwarmen/koelen._x000a_- gebouwgebonden (hulpenergie_x000a_   toestellen, verlichting,_x000a_   ventilatoren);_x000a_- niet gebouwgebonden (apparatuur_x000a_   (tv, computer, elektrisch koken,_x000a_   klusapparatuur, etc), mobiliteit);_x000a_-  kookgas" sqref="D164" xr:uid="{231F53CE-9EC9-485D-A447-65002A822EEC}"/>
    <dataValidation type="decimal" allowBlank="1" showInputMessage="1" showErrorMessage="1" errorTitle="Bereik 0,0-0,5" error="De ingevoerde waarde valt buiten het bereik." sqref="O135:Q135 AA135:AC135 AY135:BA135 AM135:AO135" xr:uid="{4D926BBD-A8EF-466E-B70B-566294B4AD16}">
      <formula1>0</formula1>
      <formula2>0.5</formula2>
    </dataValidation>
    <dataValidation type="decimal" allowBlank="1" showInputMessage="1" showErrorMessage="1" errorTitle="Bereik 0,0-1,0" error="De ingevoerde waarde valt buiten het bereik." sqref="AY167:BA167 AA129:AC129 AY129:BA129 O160:Q160 AA160:AC160 AY160:BA160 O167:Q167 AA167:AC167 P129:Q129 AM167:AO167 AM160:AO160 AM129:AO129" xr:uid="{3219C3FE-EF80-4C93-BE0C-914260CEF494}">
      <formula1>0</formula1>
      <formula2>1</formula2>
    </dataValidation>
    <dataValidation type="decimal" allowBlank="1" showInputMessage="1" showErrorMessage="1" errorTitle="Bereik 0,0-2,0" error="De ingevoerde waarde valt buiten het bereik." sqref="O119:Q119 AA119:AC119 AY119:BA119 O150:Q150 AA150:AC150 AY150:BA150 O129 AM150:AO150 AM119:AO119 O125:Q125 O123:Q123 O156:Q156 O154:Q154 AA125:AC125 AA123:AC123 AM125:AO125 AM123:AO123 AY125:BA125 AY123:BA123 AA156:AC156 AA154:AC154 AM156:AO156 AM154:AO154 AY156:BA156 AY154:BA154" xr:uid="{61FB0D46-FE12-4625-9076-846D800E6599}">
      <formula1>0</formula1>
      <formula2>2</formula2>
    </dataValidation>
    <dataValidation type="decimal" allowBlank="1" showInputMessage="1" showErrorMessage="1" errorTitle="Bereik 0,10-1,00" error="De ingevoerde waarde valt buiten het bereik." sqref="O87 Q87 AA87 AC87 AY87 BA87 AM87 AO87" xr:uid="{8D0802EC-144D-41A1-93AA-EC23DE6B18C8}">
      <formula1>0.1</formula1>
      <formula2>1</formula2>
    </dataValidation>
    <dataValidation type="decimal" operator="greaterThanOrEqual" allowBlank="1" showInputMessage="1" showErrorMessage="1" errorTitle="Bereik ≥0" error="De ingevoerde waarde valt buiten het bereik." promptTitle="Energiepakket / energiebehoefte" sqref="O73:W73 AM73:AU73 AY73:BG73 AA73:AI73" xr:uid="{C16DFDAB-5BE4-4455-832D-53900D8852E0}">
      <formula1>0</formula1>
    </dataValidation>
    <dataValidation type="decimal" operator="greaterThanOrEqual" allowBlank="1" showInputMessage="1" showErrorMessage="1" errorTitle="Bereik ≥0" error="De ingevoerde waarde valt buiten het bereik." sqref="BA94 O71:W71 AA71:AI71 O94 Q94 AA94 AC94 AM94 AO94 AY94 AY71:BG71 AM71:AU71" xr:uid="{DAC190A3-F3AB-4595-93B1-066D361E0DF4}">
      <formula1>0</formula1>
    </dataValidation>
    <dataValidation type="decimal" allowBlank="1" showInputMessage="1" showErrorMessage="1" errorTitle="Bereik 0-30" error="De ingevoerde waarde valt buiten het bereik." sqref="O45:W45 AA45:AI45 AY45:BG45 AM45:AU45 O50:W50 AA50:AI50 AM50:AU50 AY50:BG50" xr:uid="{511CED96-8D34-4484-A6B3-6C56BEC273E7}">
      <formula1>0</formula1>
      <formula2>30</formula2>
    </dataValidation>
    <dataValidation type="decimal" operator="greaterThanOrEqual" allowBlank="1" showInputMessage="1" showErrorMessage="1" errorTitle="Bereik ≥0" error="De ingevulde waarde valt buiten het bereik." sqref="O23:W23 AA23:AI23 AY23:BG23 AM23:AU23" xr:uid="{84CAEACE-EA67-45CF-B5F4-7DCDE26303BA}">
      <formula1>0</formula1>
    </dataValidation>
    <dataValidation type="decimal" allowBlank="1" showInputMessage="1" showErrorMessage="1" errorTitle="Bereik 0%-100%" error="De ingevoerde waarde valt buiten het bereik." sqref="AA48:AI48 O48:W48 AM48:AU48 AY48:BG48" xr:uid="{6B738581-F98D-4409-8D81-EC2CA039870A}">
      <formula1>0</formula1>
      <formula2>1</formula2>
    </dataValidation>
    <dataValidation type="decimal" allowBlank="1" showInputMessage="1" showErrorMessage="1" errorTitle="Bereik 0,1-15,0" error="De ingevoerde waarde valt buiten het bereik." sqref="AA112:AC112 AY112:BA112 AY146:BA146 O146:Q146 AA146:AC146 O112:Q112 AM146:AO146 AM112:AO112" xr:uid="{7D532C32-5AF2-44F4-807E-57CE53C8B4FD}">
      <formula1>0.1</formula1>
      <formula2>15</formula2>
    </dataValidation>
    <dataValidation type="decimal" allowBlank="1" showInputMessage="1" showErrorMessage="1" errorTitle="Bereik 0%-100%" error="De ingevoerde waarde is buiten het bereik." sqref="AY109:BA109 AA109:AC109 O109:Q109 AM109:AO109" xr:uid="{A8182352-4011-48B9-B9BF-951C86913349}">
      <formula1>0</formula1>
      <formula2>1</formula2>
    </dataValidation>
    <dataValidation allowBlank="1" showInputMessage="1" showErrorMessage="1" promptTitle="Hernieuwbaar ext. warmte/koude" prompt="Ingezette hernieuwbare energie door externe warmte-/koudelevering._x000a__x000a_EPren;gen;out = Q[HCW];gen;out * fPren;d[hcw]X_x000a__x000a_X staat voor 'kwal' (kwalteitsverklaring) of 'forf' (forfaitair)._x000a__x000a_Cf. NTA8800 par. 5.6.2." sqref="D254" xr:uid="{66BAF3C6-E7D7-4C30-BB3F-43E8CA323F59}"/>
    <dataValidation allowBlank="1" showInputMessage="1" showErrorMessage="1" promptTitle="primaire energie indicator" prompt="Let op: groen = voldoet aan eis BENG 2._x000a__x000a_Het totale gebouwgebonden primaire (vermeden) energiegebruik (voor woningen ZONDER verlichting) in kWh/m2._x000a__x000a_NTA8800, par. 5.3.1.2_x000a__x000a_" sqref="D330" xr:uid="{405DD15C-705B-447E-8A86-99DE9159D6FD}"/>
    <dataValidation allowBlank="1" showInputMessage="1" showErrorMessage="1" promptTitle="energiebehoefte-indicator" prompt="Let op: groen = voldoet aan eis BENG 1_x000a__x000a_Warmtebehoefte ruimteverwarming + koudebehoefte voor koeling, berekend met ventilatiesysteem C1, in kWh/m2._x000a__x000a_NTA8800, par. 5.3.1.1_x000a__x000a_" sqref="D329" xr:uid="{F6C0E77E-DD0C-44DB-8E37-B179E30CB898}"/>
    <dataValidation allowBlank="1" showInputMessage="1" showErrorMessage="1" promptTitle="Energieprestaties" prompt="De berekende energieprestatie (bestaande bouw EN nieuwbouw) is afgezet tegen de BENG eisen voor NIEUWBOUW._x000a__x000a_GROEN: berekende waarde voldoet WEL aan de eis_x000a_ROOD: berekende waarde voldoet NIET aan de eis_x000a__x000a_" sqref="D327" xr:uid="{601F7B0B-B2FE-4D31-9C01-1F816CA33125}"/>
    <dataValidation allowBlank="1" showInputMessage="1" showErrorMessage="1" promptTitle="BENG eisen 2021" prompt="De BENG eisen zijn overgenomen van:_x000a__x000a_https://zoek.officielebekendmakingen.nl/stb-2019-501.html_x000a__x000a_" sqref="D323" xr:uid="{685F0CF9-D185-4986-8E6E-A090E36E72EB}"/>
    <dataValidation allowBlank="1" showInputMessage="1" showErrorMessage="1" promptTitle="Energiegebruik per energiepost" prompt="Per deellocatie is de energiebehoefte van alle woningen en gebouwen per energiepost gesommeerd." sqref="D78" xr:uid="{69BC5A8C-1755-48B0-8E4F-7E9E3741898E}"/>
    <dataValidation allowBlank="1" showInputMessage="1" showErrorMessage="1" promptTitle="Besparing elektr. apparatuur" prompt="Reductie van het niet gebouwgebonden elektriciteitsgebruik zoals dat in de onderstaande tabel is berekend._x000a__x000a_Een reductie van 100% betekent dat in de UMGO het niet gebouwgebonden elektriciteitsgebruik niet in de berekening wordt meegenomen." sqref="D48" xr:uid="{833E8471-86BB-4AA8-A1A5-78DB138B922F}"/>
    <dataValidation allowBlank="1" showInputMessage="1" showErrorMessage="1" promptTitle="Elektriciteitsgebruik overig" prompt="Het elektriciteitsgebruik binnen het gebouw, niet gerelateerd aan gebouwinstallaties (computers, printers, elektrisch koken, klusapparatuur et cetera)._x000a__x000a_Voor woningen zijn CBS cijfers gebruikt. Voor utiliteitsgebouwen tabel 7.3 uit NTA8800." sqref="D69" xr:uid="{5725CF51-2E7D-4598-9C83-A6DC6FF197E4}"/>
    <dataValidation allowBlank="1" showInputMessage="1" showErrorMessage="1" promptTitle="Elektriciteitsvraag ventilatoren" prompt="De elektriciteitsvraag voor ventilatoren is afgeleid met gebouwen uit de energielabeldatabase (UT) en Voorbeeldgebouwen 2020. Na (her)berekenen met NTA8800 wordt de elektricitetsvraag berekend obv:_x000a_- ventilatiesysteem_x000a_- wissel-gelijkstroom/installatiejaar" sqref="D67" xr:uid="{9F41F456-80F2-4CF7-A3F8-F1163A25520D}"/>
    <dataValidation allowBlank="1" showInputMessage="1" showErrorMessage="1" promptTitle="Elektriciteitsvraag verlichting" prompt="De elektriciteitsvraag voor verlichting is afgeleid met gebouwen uit de energielabeldatabase (UT) en Voorbeeldgebouwen 2020. Na (her)berekenen met NTA8800 wordt de elektricitetsvraag berekend obv:_x000a_- geïnstalleerd vermogen in W/m2_x000a_- verlichtingsregeling" sqref="D66" xr:uid="{CA25DB6B-9657-43C1-B1D7-76621BA47AA0}"/>
    <dataValidation allowBlank="1" showInputMessage="1" showErrorMessage="1" promptTitle="Koudebehoefte koeling" prompt="De koudebehoefte voor koeling is afgeleid met data van gebouwen uit de energielabeldatabase (UT) en Voorbeeldgebouwen 2020. Na (her)berekenen met NTA8800 is een verband afgeleid tussen koudebehoefte en:_x000a_- Als/Ag_x000a_- U gem_x000a_- vent.sys." sqref="D64" xr:uid="{8EEE1EF0-8653-4285-9859-B364B295077D}"/>
    <dataValidation allowBlank="1" showInputMessage="1" showErrorMessage="1" promptTitle="Warmtebehoefte ruimteverwarming" prompt="De warmtebehoefte voor verwarming is afgeleid met data van gebouwen uit de energielabeldatabase (UT) en Voorbeeldgebouwen 2020. Na (her)berekenen met NTA8800 is een verband afgeleid tussen warmtebehoefte en:_x000a_- Als/Ag_x000a_- U gem_x000a_- vent.sys." sqref="D62" xr:uid="{11465178-0400-4514-A2E1-F81AF961009E}"/>
    <dataValidation allowBlank="1" showInputMessage="1" showErrorMessage="1" promptTitle="Hernieuwbaar door vrije koeling" prompt="Geleverde energie door vrije koeling. Mits EER &gt;= 8 (anders EPren;gen;out = 0)_x000a__x000a_EPren;gen;out = QC;gen;out * fPren;rencold_x000a__x000a_Cf. NTA8800 par. 5.6.2.2_x000a_" sqref="D307 D252" xr:uid="{466526E1-D759-458B-A589-9867D477E077}"/>
    <dataValidation allowBlank="1" showInputMessage="1" showErrorMessage="1" promptTitle="Aandeel hernieuwb. prim energie" prompt="Aandeel hernieuwbare energie._x000a__x000a_RERPrenTOT = EPrenTot / (EPTot + EPrenTot) * 100%_x000a__x000a_Cf. NTA8800 par. 5.3.1.3, formule 5.3" sqref="D317" xr:uid="{385DB5CD-46D4-42B4-989E-83F1FB5424DA}"/>
    <dataValidation allowBlank="1" showInputMessage="1" showErrorMessage="1" promptTitle="Hernieuwb. abs. koel ext. warmte" prompt="Geleverde energie door absorptiekoeling op externe warmtelevering._x000a__x000a_EPren;gen;out = QC;gen;out * fPren;dhX_x000a__x000a_Waarbij de X in fPren;dhX staat voor 'kwal' (met) of 'forf' (zonder kwalteitsverklaring)._x000a__x000a_Cf. NTA8800 par. 5.6.2." sqref="D310 D255" xr:uid="{5E3B27A1-4C5B-4BEC-BD41-A04D81A75917}"/>
    <dataValidation allowBlank="1" showInputMessage="1" showErrorMessage="1" promptTitle="Totaal hernieuwbare prim energie" prompt="Hernieuwbare 'primaire' energie van de woning of het gebouw." sqref="D315" xr:uid="{5C0CD6F7-329C-46A4-B9FD-74489CFF82BF}"/>
    <dataValidation allowBlank="1" showInputMessage="1" showErrorMessage="1" promptTitle="Hernieuwbaar opgewekte elek." prompt="Op het eigen perceel opgewekte primaire hernieuwbare elektriciteit._x000a__x000a_EPren;el = Eel;PV/PVT/wind * fPren;renelect_x000a__x000a_Cf. NTA8800 par. 5.6.2.4." sqref="D313 D257" xr:uid="{EEE7E8F5-76DE-4268-83EF-E494454224FD}"/>
    <dataValidation allowBlank="1" showInputMessage="1" showErrorMessage="1" promptTitle="Hernieuwbaar zonne-energie therm" prompt="Onder praktijkomstandigheden aangeleverde hoeveelheid hernieuwbare energie, door thermische zonne-energiesystemen (zonneboiler(combi)s op eigen perceel._x000a__x000a_EPren;sol;prac = QHW;sol;prac * fPren;renheat_x000a__x000a_Cf. NTA8800 par. 5.6.2._x000a_" sqref="D311 D256" xr:uid="{0AFC7398-2D2F-4DBA-ACBF-C8855423DE6F}"/>
    <dataValidation allowBlank="1" showInputMessage="1" showErrorMessage="1" promptTitle="Hernieuwbaar ext. warmte/koude" prompt="Ingezette hernieuwbare energie door externe warmte-/koudelevering. Waarbij de X in fPren;d[hcw]X staat voor 'kwal' (met) of 'forf' (zonder kwalteitsverklaring)._x000a__x000a_EPren;gen;out = Q[HCW];gen;out * fPren;d[hcw]X_x000a__x000a_Cf. NTA8800 par. 5.6.2._x000a_" sqref="D309" xr:uid="{6E9CF97B-B7F0-4D1D-B7F5-48BF404C7D56}"/>
    <dataValidation allowBlank="1" showInputMessage="1" showErrorMessage="1" promptTitle="Hernieuwbare energie biomassa" prompt="Ingezette hernieuwbare energie door biomassatoestel._x000a__x000a_EPren;gen;out = QHW;gen;out * fPren;bmX_x000a__x000a_Waarbij de X in fPren;bmX staat voor A, B of C afhankelijk van het type biomassa._x000a__x000a_Cf. NTA8800 par. 5.6.2._x000a_" sqref="D308 D253" xr:uid="{2136718A-541A-4B51-8943-28509DBFF7BD}"/>
    <dataValidation allowBlank="1" showInputMessage="1" showErrorMessage="1" promptTitle="Hernieuwbare energie warmtepomp" prompt="Ingezette hernieuwbare energie door warmtepompen. Mits EN:_x000a_- COP (of eta) &gt;=1,0;_x000a_- bron is GEEN ventilatieretourlucht_x000a_- warmtepomp GEEN booster-wp._x000a__x000a_EPren;hp = QHW;gen;hp;out * (1-1/COP) * fPren;renheat_x000a__x000a_Cf. NTA8800 par. 5.6.2." sqref="D306 D251" xr:uid="{418405C1-660F-4C17-8EED-509FE87FE9B2}"/>
    <dataValidation allowBlank="1" showInputMessage="1" showErrorMessage="1" promptTitle="Aantal toestellen" prompt="Voor toestellen met geografisch niveau:_x000a_- 'gebouw': aantal woningen en gebouwen in deellocatie._x000a_- 'gebied': totale gebruiksoppervlakte in deelgebied delen door gemiddeld maximaal te verwarmen/koelen oppervlak._x000a_- 'centraal': 1." sqref="D98" xr:uid="{14047FB2-63D3-487B-9AF9-690E67109F32}"/>
    <dataValidation allowBlank="1" showInputMessage="1" showErrorMessage="1" promptTitle="Vermogen verwarming &amp; koeling" prompt="Een indicatie van het verwarmings- en koelvermogen op basis van formules NTA8800. Zie 'bibliotheek' voor meer details." sqref="D99" xr:uid="{EAE67C92-E055-4DE5-8447-BD0F819B6180}"/>
    <dataValidation type="list" allowBlank="1" showInputMessage="1" showErrorMessage="1" sqref="AM46:AU46 AA46:AI46 AY46:BG46 O46:W46" xr:uid="{FA5E8373-77E3-4006-A474-2020DCDDF3B6}">
      <formula1>verlichtingsregeling_namen</formula1>
    </dataValidation>
    <dataValidation type="list" allowBlank="1" showInputMessage="1" showErrorMessage="1" sqref="AM41:AU41 AA41:AI41 AY41:BG41 O41:W41" xr:uid="{3D372E12-C3BD-4A45-B0EC-C7455E5147F4}">
      <formula1>ventilatoren_typen</formula1>
    </dataValidation>
    <dataValidation type="list" allowBlank="1" showInputMessage="1" showErrorMessage="1" sqref="O40:W40 AY40:BG40 AA40:AI40 AM40:AU40" xr:uid="{560F63CC-D109-4833-B3E5-2D4C66BE3EA4}">
      <formula1>ventilatiesystemen_namen</formula1>
    </dataValidation>
    <dataValidation allowBlank="1" showErrorMessage="1" promptTitle="Correctiefactor ruimteverwarming" prompt="Werkelijk energiegebruik voor ruimteverwarming wijkt vaak af van energiegebruik cf. EPG._x000a__x000a_Slecht geïsoleerde woningen verbruiken gemiddeld minder en goed geïsoleerde woningen verbruiken gemiddeld meer dan berekend._x000a__x000a_Deze correctiefactor verrekent dat." sqref="D56" xr:uid="{8FDA4343-7ED8-4701-9EA9-62B7506A576B}"/>
    <dataValidation type="list" allowBlank="1" showInputMessage="1" showErrorMessage="1" errorTitle="Toestel RV" error="Kies een beschikbaar toestel." sqref="Q90 AA90 AC90 AM90 AO90 AY90 BA90 O90" xr:uid="{DF644239-4FBC-4F4F-8360-A13F944B604B}">
      <formula1>"ja,nee"</formula1>
    </dataValidation>
    <dataValidation allowBlank="1" showInputMessage="1" showErrorMessage="1" promptTitle="Isolatiepakket gebouwschil" prompt="De aangeboden isolatiepakketten voor de gebouwschil bepalen de gemiddelde warmtedoorgangscoëfficiënt van de gebouwschil. In de bibliotheek zijn de Rc- en U-waarden per pakket en per bouwdeel aangegeven._x000a__x000a_Eigen pakketten zijn daaraan toe te voegen." sqref="D38" xr:uid="{E6A8CFA2-A23C-45AB-9942-1375121E6C2C}"/>
    <dataValidation allowBlank="1" showInputMessage="1" showErrorMessage="1" promptTitle="Warmtebehoefte warmtapwater" prompt="De energiebehoefte voor warmtapwatergebruik wordt berekend op basis van rekenregels in NTA8800 (paragraaf 13.2)." sqref="D65" xr:uid="{82AF4309-288A-4FCE-9385-5E17D0D02896}"/>
    <dataValidation allowBlank="1" showInputMessage="1" showErrorMessage="1" promptTitle="Gegevensfilter en navigatie" prompt="&lt;-_x000a_Het gegevensfilter biedt de mogelijkheid om (delen van) tabellen in de UMGO te filteren._x000a__x000a_-&gt;_x000a_Navigatieknoppen naar andere tabbladen." sqref="D8" xr:uid="{8B443317-E85B-4E33-87CE-B0703D064A64}"/>
    <dataValidation allowBlank="1" showInputMessage="1" showErrorMessage="1" promptTitle="Distributieverlies binnen gebouw" prompt="Warmtedistributieverlies binnen woning|gebouw voor ruimteverwarming en warmtapwater, en afgifteverlies (radiator, vloerverwarming) voor ruimteverwarming._x000a_(Afgifteverlies voor warmtapwater zit verwerkt in het kengetal voor energiebehoefte warmtapwater.)" sqref="D85" xr:uid="{A0CEB87F-25FC-4610-A02C-A929793B0A94}"/>
    <dataValidation type="list" allowBlank="1" showInputMessage="1" showErrorMessage="1" sqref="Q83 AC83 AO83 BA83" xr:uid="{73474A6F-B5FC-40D9-B6A4-B63335B33A8E}">
      <formula1>toestellen_TAP_invoer</formula1>
    </dataValidation>
    <dataValidation type="list" allowBlank="1" showInputMessage="1" showErrorMessage="1" sqref="P83 AN83 AB83 AZ83" xr:uid="{D907C7F3-2A23-4C1A-87DC-5A6E5126A9D0}">
      <formula1>toestellen_KOEL_invoer</formula1>
    </dataValidation>
    <dataValidation type="list" allowBlank="1" showInputMessage="1" showErrorMessage="1" sqref="F5" xr:uid="{4BBA7BD5-1711-4665-A246-308A2432FA55}">
      <formula1>opwekking_elektriciteit</formula1>
    </dataValidation>
    <dataValidation allowBlank="1" showInputMessage="1" showErrorMessage="1" promptTitle="BENG-eisen" prompt="Als er meer dan één gebruiksfunctie is, dan is de eis gelijk aan het naar gebruiksoppervlakte gewogen gemiddelde over de verschillende functies." sqref="A315" xr:uid="{5B60B1F5-BD26-41EA-B2D0-085E848BD79F}"/>
    <dataValidation allowBlank="1" showInputMessage="1" showErrorMessage="1" promptTitle="Regerenatie WKO" prompt="Indien regeneratie van de WKO wordt voorzien wordt het elektriciteitsverbruik voor regeneratie bepaald als volgt:_x000a_Elektriciteitsverbruik regeneratie = abs (hoeveelheid warmte uit aquifer – hoeveelheid koude uit aquifer) * specifiek vermogen regeneratie_x000a_" sqref="D132" xr:uid="{AA226ECE-DD5A-4C90-B5B0-96400A2AB740}"/>
    <dataValidation type="whole" allowBlank="1" showInputMessage="1" showErrorMessage="1" sqref="AB151:AC151 AZ151:BA151 P151:Q151 AN151:AO151" xr:uid="{DCCA4370-BF74-45D1-B6FF-98F676FAA762}">
      <formula1>0</formula1>
      <formula2>1</formula2>
    </dataValidation>
    <dataValidation type="decimal" allowBlank="1" showInputMessage="1" showErrorMessage="1" sqref="AA151 O151 O155:Q155 AA155:AC155 AM155:AO155 AM151 AY151 AY155:BA155" xr:uid="{40B1F34D-127C-41C0-9D00-182C4F7085B9}">
      <formula1>0</formula1>
      <formula2>1</formula2>
    </dataValidation>
    <dataValidation allowBlank="1" showInputMessage="1" showErrorMessage="1" promptTitle="Primaire energiefactor" prompt="Het is mogelijk een eigen primaire energiefactor in te voeren. _x000a_Let op: Het verrekenen van aftapwarmte gaat via 'gederfde elektriciteit'." sqref="D149" xr:uid="{D3D4D888-B606-42A0-8DDF-81A33BB9DD11}"/>
    <dataValidation allowBlank="1" showInputMessage="1" showErrorMessage="1" promptTitle="Opwekkingsrendement" prompt="Binnen de Uniforme Maatlat wordt het opwekkingsrendement op bovenwaarde gebruikt." sqref="D111" xr:uid="{882D7563-94F0-416C-81F0-7AE7A6D3A6C1}"/>
    <dataValidation allowBlank="1" showInputMessage="1" showErrorMessage="1" promptTitle="Forfaitaire waarden PV" prompt="Forfaitaire waarde voor opbrengst van PV: 875 kWh/kWp._x000a_" sqref="D186" xr:uid="{68683FBC-465F-484F-95B7-5C415B5175F9}"/>
    <dataValidation allowBlank="1" showInputMessage="1" showErrorMessage="1" promptTitle="Distributieverlies extern" prompt="Het warmteverlies bij warmtedistributie buiten het gebouw in MWh per woning en/of utiliteitsgebouw._x000a__x000a_Als hiervoor waarden beschikbaar zijn, kunnen de forfaitaire waarden uit het model worden overschreven." sqref="D92" xr:uid="{7CAE4AC6-FB35-44AD-B3AA-5A02B2D5BAF9}"/>
    <dataValidation allowBlank="1" showInputMessage="1" showErrorMessage="1" promptTitle="Relatieve bijdrage per type" prompt="De relatieve bijdrage per energiepost (verwarming, warmtapwater, ..) wordt per type woning, woongebouw, utiliteitsgebouw bepaald op basis van de primaire energiegebruiken conform EPG/BENG." sqref="D275" xr:uid="{4083F28B-1DCA-4662-9094-9956CB48BDBA}"/>
    <dataValidation allowBlank="1" showInputMessage="1" showErrorMessage="1" promptTitle="Karakteristiek energiegebruik" prompt="Totaal naar primaire energie omgerekend fossiele brandstoffen voor gebouwgebonden energiegebruik (voor woningen ZONDER verlichting), verminderd met primair energiegebruik op eigen perceel geproduceerde energie._x000a__x000a_Cf. NTA8800 par. 5.5." sqref="D304" xr:uid="{90780524-0676-4C6E-8CF4-FF8CBE140CD0}"/>
    <dataValidation allowBlank="1" showInputMessage="1" showErrorMessage="1" promptTitle="PV" prompt="Opbrengst PV op gevel en dak in kWh per woning | utiliteitsgebouw." sqref="D73" xr:uid="{F5B1C342-72CA-4FF9-BA3D-8F36669C4114}"/>
    <dataValidation allowBlank="1" showInputMessage="1" showErrorMessage="1" promptTitle="Mobiliteit" prompt="Het geschatte elektriciteitsgebruik voor mobiliteit, bijvoorbeeld door elektrische auto's, kan worden ingevuld in kWh per woning of per utiliteitsgebouw." sqref="D71" xr:uid="{E75D698F-0DD3-4CEC-9C65-4D140927F898}"/>
    <dataValidation allowBlank="1" showInputMessage="1" showErrorMessage="1" promptTitle="Warmte-/koudebehoefte" prompt="De warmte- en koudebehoefte van de woning of het utiliteitsgebouw is gegeven in kWh/m2._x000a__x000a_Het is geen maat voor BENG 1, omdat het ventilatiesysteem voor BENG 1 per definitie C1 moet zijn. En dat is hier niet het geval." sqref="D267" xr:uid="{7C4DB8DD-EA5D-42E4-B398-E6A0DC4CC1E8}"/>
    <dataValidation allowBlank="1" showInputMessage="1" showErrorMessage="1" promptTitle="Primair totaal energiegebruik" prompt="Het primair totaal energiegebruik in kWh_prim/m2.jaar per woningtype, per energiepost en voor het totaal." sqref="D363" xr:uid="{C3567390-333D-469A-AD1E-3E76F7290ED3}"/>
    <dataValidation type="list" allowBlank="1" showInputMessage="1" showErrorMessage="1" errorTitle="Toestel RV" error="Kies een beschikbaar toestel." sqref="AA83 O83 AM83 AY83" xr:uid="{50DC9921-CC13-4ED0-837F-032307D3B005}">
      <formula1>toestellen_RV_invoer</formula1>
    </dataValidation>
    <dataValidation allowBlank="1" showInputMessage="1" showErrorMessage="1" promptTitle="CO2 emisse" prompt="De CO2 emissie in kg/m2.jaar per woningtype, per energiepost en voor het totaal._x000a__x000a_De CO2 emissie in ton/jaar per (deel)locatie, per energiepost en voor het totaal._x000a__x000a_" sqref="D343" xr:uid="{02438724-1DFC-4DB9-9A9E-0D6408029A07}"/>
  </dataValidations>
  <hyperlinks>
    <hyperlink ref="D323" r:id="rId1" tooltip="verwijzing naar Staatsblad 2019, 501 met BENG-eisen" xr:uid="{5CF279B6-8549-4C87-936F-46E49AAC30DF}"/>
  </hyperlinks>
  <pageMargins left="0.23622047244094491" right="0.23622047244094491" top="0.74803149606299213" bottom="0.74803149606299213" header="0.31496062992125984" footer="0.31496062992125984"/>
  <pageSetup paperSize="9" scale="25" fitToHeight="0" orientation="landscape" r:id="rId2"/>
  <headerFooter alignWithMargins="0">
    <oddFooter>&amp;L_x000D_&amp;1#&amp;"Aptos"&amp;10&amp;K000000 Intern gebruik</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E8DC-DEE2-48BA-AFFC-95C3E262505C}">
  <sheetPr codeName="Blad11" filterMode="1">
    <tabColor theme="6" tint="0.39997558519241921"/>
    <outlinePr showOutlineSymbols="0"/>
    <pageSetUpPr fitToPage="1"/>
  </sheetPr>
  <dimension ref="A1:BH376"/>
  <sheetViews>
    <sheetView showGridLines="0" showRowColHeaders="0" zoomScaleNormal="100" workbookViewId="0">
      <pane xSplit="11" ySplit="14" topLeftCell="L36" activePane="bottomRight" state="frozen"/>
      <selection pane="topRight" activeCell="L1" sqref="L1"/>
      <selection pane="bottomLeft" activeCell="A15" sqref="A15"/>
      <selection pane="bottomRight" activeCell="E3" sqref="E3:F3"/>
    </sheetView>
  </sheetViews>
  <sheetFormatPr defaultRowHeight="17.25"/>
  <cols>
    <col min="1" max="1" width="0.5703125" style="1047" customWidth="1"/>
    <col min="2" max="3" width="2.7109375" style="1113" customWidth="1"/>
    <col min="4" max="4" width="2.7109375" style="192" customWidth="1"/>
    <col min="5" max="5" width="26.7109375" customWidth="1"/>
    <col min="6" max="7" width="17.7109375" customWidth="1"/>
    <col min="8" max="8" width="24.140625" bestFit="1" customWidth="1"/>
    <col min="9" max="9" width="0.28515625" customWidth="1"/>
    <col min="10" max="10" width="16.7109375" customWidth="1"/>
    <col min="11" max="12" width="1.42578125" customWidth="1"/>
    <col min="13" max="13" width="15.7109375" customWidth="1"/>
    <col min="14" max="14" width="0.28515625" customWidth="1"/>
    <col min="15" max="15" width="12.5703125" customWidth="1"/>
    <col min="16" max="23" width="12.7109375" customWidth="1"/>
    <col min="24" max="24" width="2.7109375" customWidth="1"/>
    <col min="25" max="25" width="15.7109375" customWidth="1"/>
    <col min="26" max="26" width="0.28515625" customWidth="1"/>
    <col min="27" max="35" width="12.7109375" customWidth="1"/>
    <col min="36" max="36" width="2.7109375" customWidth="1"/>
    <col min="37" max="37" width="15.7109375" customWidth="1"/>
    <col min="38" max="38" width="0.28515625" customWidth="1"/>
    <col min="39" max="47" width="12.7109375" customWidth="1"/>
    <col min="48" max="48" width="2.7109375" customWidth="1"/>
    <col min="49" max="49" width="15.7109375" customWidth="1"/>
    <col min="50" max="50" width="0.28515625" customWidth="1"/>
    <col min="51" max="59" width="12.7109375" customWidth="1"/>
    <col min="60" max="60" width="1.140625" customWidth="1"/>
    <col min="61" max="65" width="9.140625" customWidth="1"/>
  </cols>
  <sheetData>
    <row r="1" spans="1:60" s="699" customFormat="1" ht="21">
      <c r="A1" s="1036"/>
      <c r="B1" s="989"/>
      <c r="C1" s="989"/>
      <c r="D1" s="694"/>
      <c r="E1" s="1216" t="str">
        <f>disclaimer!$E$7&amp;" - "&amp;"versie "&amp;TEXT(disclaimer!$E$8,"d mmm jjjj")</f>
        <v>Uniforme Maatlat Gebouwde Omgeving 5.3.0 - versie 7 aug 2026</v>
      </c>
      <c r="F1" s="697"/>
      <c r="G1" s="697"/>
      <c r="H1" s="696"/>
      <c r="I1" s="697"/>
      <c r="J1" s="695"/>
      <c r="K1" s="1049"/>
      <c r="L1" s="1049"/>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1:60" s="764" customFormat="1" ht="26.25">
      <c r="A2" s="1037"/>
      <c r="B2" s="1101"/>
      <c r="C2" s="1101"/>
      <c r="D2" s="762"/>
      <c r="E2" s="1048" t="str">
        <f ca="1">IFERROR(MID(CELL("bestandsnaam",A1),SEARCH("]",CELL("bestandsnaam",A1),1)+1,99),"bestand nog niet opgeslagen")</f>
        <v>variant 3</v>
      </c>
      <c r="F2" s="763" t="str">
        <f>IF('woningen|utiliteit'!$G$2&lt;&gt;"","Controleer invoer gebouwen",IF(J52&lt;&gt;"ja","NB  Energiemaatregelen niet correct/volledig ingevuld",IF(J83&lt;&gt;"ja","NB  Vul alle installaties in","")))</f>
        <v/>
      </c>
      <c r="G2" s="763"/>
      <c r="H2" s="763"/>
      <c r="I2" s="710"/>
      <c r="J2" s="710"/>
      <c r="K2" s="1050"/>
      <c r="L2" s="1050"/>
      <c r="M2" s="767" t="s">
        <v>85</v>
      </c>
      <c r="N2" s="766"/>
      <c r="O2" s="771" t="s">
        <v>86</v>
      </c>
      <c r="P2" s="765"/>
      <c r="Q2" s="765"/>
      <c r="R2" s="765"/>
      <c r="S2" s="765"/>
      <c r="T2" s="765"/>
      <c r="U2" s="765"/>
      <c r="V2" s="765"/>
      <c r="W2" s="765"/>
      <c r="X2" s="765"/>
      <c r="Y2" s="767" t="s">
        <v>85</v>
      </c>
      <c r="Z2" s="766"/>
      <c r="AA2" s="771" t="s">
        <v>86</v>
      </c>
      <c r="AB2" s="765"/>
      <c r="AC2" s="765"/>
      <c r="AD2" s="765"/>
      <c r="AE2" s="765"/>
      <c r="AF2" s="765"/>
      <c r="AG2" s="765"/>
      <c r="AH2" s="765"/>
      <c r="AI2" s="765"/>
      <c r="AJ2" s="765"/>
      <c r="AK2" s="767" t="s">
        <v>85</v>
      </c>
      <c r="AL2" s="766"/>
      <c r="AM2" s="771" t="s">
        <v>86</v>
      </c>
      <c r="AN2" s="765"/>
      <c r="AO2" s="765"/>
      <c r="AP2" s="765"/>
      <c r="AQ2" s="765"/>
      <c r="AR2" s="765"/>
      <c r="AS2" s="765"/>
      <c r="AT2" s="765"/>
      <c r="AU2" s="765"/>
      <c r="AV2" s="765"/>
      <c r="AW2" s="767" t="s">
        <v>85</v>
      </c>
      <c r="AX2" s="766"/>
      <c r="AY2" s="771" t="s">
        <v>86</v>
      </c>
      <c r="AZ2" s="765"/>
      <c r="BA2" s="765"/>
      <c r="BB2" s="765"/>
      <c r="BC2" s="765"/>
      <c r="BD2" s="765"/>
      <c r="BE2" s="765"/>
      <c r="BF2" s="765"/>
      <c r="BG2" s="765"/>
      <c r="BH2" s="211"/>
    </row>
    <row r="3" spans="1:60">
      <c r="A3" s="1038"/>
      <c r="B3" s="990" t="s">
        <v>1118</v>
      </c>
      <c r="C3" s="990" t="s">
        <v>1118</v>
      </c>
      <c r="D3" s="638"/>
      <c r="E3" s="1261" t="str">
        <f>"project: "&amp;IF('woningen|utiliteit'!$F$3="","",'woningen|utiliteit'!$F$3)</f>
        <v xml:space="preserve">project: </v>
      </c>
      <c r="F3" s="1262"/>
      <c r="G3" s="713" t="s">
        <v>87</v>
      </c>
      <c r="H3" s="714"/>
      <c r="I3" s="79"/>
      <c r="K3" s="1050"/>
      <c r="L3" s="1050"/>
      <c r="M3" s="751" t="s">
        <v>88</v>
      </c>
      <c r="N3" s="752"/>
      <c r="O3" s="772" t="str">
        <f>IF(M22=0,"-",O104&amp;IF(O108=1,"","   |  "&amp;O140))</f>
        <v>-</v>
      </c>
      <c r="P3" s="753"/>
      <c r="Q3" s="754"/>
      <c r="R3" s="754"/>
      <c r="S3" s="754"/>
      <c r="T3" s="754"/>
      <c r="U3" s="754"/>
      <c r="V3" s="754"/>
      <c r="W3" s="754"/>
      <c r="X3" s="80"/>
      <c r="Y3" s="751" t="s">
        <v>88</v>
      </c>
      <c r="Z3" s="752"/>
      <c r="AA3" s="772" t="str">
        <f>IF(Y22=0,"-",AA104&amp;IF(AA108=1,"","   |  "&amp;AA140))</f>
        <v>-</v>
      </c>
      <c r="AB3" s="753"/>
      <c r="AC3" s="754"/>
      <c r="AD3" s="754"/>
      <c r="AE3" s="754"/>
      <c r="AF3" s="754"/>
      <c r="AG3" s="754"/>
      <c r="AH3" s="754"/>
      <c r="AI3" s="754"/>
      <c r="AJ3" s="80"/>
      <c r="AK3" s="751" t="s">
        <v>88</v>
      </c>
      <c r="AL3" s="752"/>
      <c r="AM3" s="772" t="str">
        <f>IF(AK22=0,"-",AM104&amp;IF(AM108=1,"","   |  "&amp;AM140))</f>
        <v>-</v>
      </c>
      <c r="AN3" s="753"/>
      <c r="AO3" s="754"/>
      <c r="AP3" s="754"/>
      <c r="AQ3" s="754"/>
      <c r="AR3" s="754"/>
      <c r="AS3" s="754"/>
      <c r="AT3" s="754"/>
      <c r="AU3" s="754"/>
      <c r="AV3" s="80"/>
      <c r="AW3" s="751" t="s">
        <v>88</v>
      </c>
      <c r="AX3" s="752"/>
      <c r="AY3" s="772" t="str">
        <f>IF(AW22=0,"-",AY104&amp;IF(AY108=1,"","   |  "&amp;AY140))</f>
        <v>-</v>
      </c>
      <c r="AZ3" s="753"/>
      <c r="BA3" s="754"/>
      <c r="BB3" s="754"/>
      <c r="BC3" s="754"/>
      <c r="BD3" s="754"/>
      <c r="BE3" s="754"/>
      <c r="BF3" s="754"/>
      <c r="BG3" s="754"/>
      <c r="BH3" s="211"/>
    </row>
    <row r="4" spans="1:60">
      <c r="A4" s="1038"/>
      <c r="B4" s="1102"/>
      <c r="C4" s="1102"/>
      <c r="D4" s="638"/>
      <c r="E4" s="715" t="s">
        <v>89</v>
      </c>
      <c r="F4" s="1263"/>
      <c r="G4" s="1263"/>
      <c r="H4" s="1264"/>
      <c r="I4" s="79"/>
      <c r="K4" s="1050"/>
      <c r="L4" s="1050"/>
      <c r="M4" s="755" t="s">
        <v>90</v>
      </c>
      <c r="N4" s="752"/>
      <c r="O4" s="773" t="str">
        <f>IF(M22=0,"-",P104&amp;IF(P108=1,"","   |  "&amp;P140))</f>
        <v>-</v>
      </c>
      <c r="P4" s="756"/>
      <c r="Q4" s="757"/>
      <c r="R4" s="754"/>
      <c r="S4" s="754"/>
      <c r="T4" s="754"/>
      <c r="U4" s="754"/>
      <c r="V4" s="754"/>
      <c r="W4" s="754"/>
      <c r="X4" s="80"/>
      <c r="Y4" s="755" t="s">
        <v>90</v>
      </c>
      <c r="Z4" s="752"/>
      <c r="AA4" s="773" t="str">
        <f>IF(Y22=0,"-",AB104&amp;IF(AB108=1,"","   |  "&amp;AB140))</f>
        <v>-</v>
      </c>
      <c r="AB4" s="756"/>
      <c r="AC4" s="757"/>
      <c r="AD4" s="754"/>
      <c r="AE4" s="754"/>
      <c r="AF4" s="754"/>
      <c r="AG4" s="754"/>
      <c r="AH4" s="754"/>
      <c r="AI4" s="754"/>
      <c r="AJ4" s="80"/>
      <c r="AK4" s="755" t="s">
        <v>90</v>
      </c>
      <c r="AL4" s="752"/>
      <c r="AM4" s="773" t="str">
        <f>IF(AK22=0,"-",AN104&amp;IF(AN108=1,"","   |  "&amp;AN140))</f>
        <v>-</v>
      </c>
      <c r="AN4" s="756"/>
      <c r="AO4" s="757"/>
      <c r="AP4" s="754"/>
      <c r="AQ4" s="754"/>
      <c r="AR4" s="754"/>
      <c r="AS4" s="754"/>
      <c r="AT4" s="754"/>
      <c r="AU4" s="754"/>
      <c r="AV4" s="80"/>
      <c r="AW4" s="755" t="s">
        <v>90</v>
      </c>
      <c r="AX4" s="752"/>
      <c r="AY4" s="773" t="str">
        <f>IF(AW22=0,"-",AZ104&amp;IF(AZ108=1,"","   |  "&amp;AZ140))</f>
        <v>-</v>
      </c>
      <c r="AZ4" s="756"/>
      <c r="BA4" s="757"/>
      <c r="BB4" s="754"/>
      <c r="BC4" s="754"/>
      <c r="BD4" s="754"/>
      <c r="BE4" s="754"/>
      <c r="BF4" s="754"/>
      <c r="BG4" s="754"/>
      <c r="BH4" s="211"/>
    </row>
    <row r="5" spans="1:60">
      <c r="A5" s="1038"/>
      <c r="B5" s="1265" t="s">
        <v>91</v>
      </c>
      <c r="C5" s="1265" t="s">
        <v>92</v>
      </c>
      <c r="D5" s="638"/>
      <c r="E5" s="1187" t="s">
        <v>1370</v>
      </c>
      <c r="F5" s="806" t="s">
        <v>1384</v>
      </c>
      <c r="G5" s="807">
        <f>HLOOKUP($F$5,bibliotheek!$E$304:$R$311,ROWS(bibliotheek!$E$304:$E$305),FALSE)</f>
        <v>1.45</v>
      </c>
      <c r="H5" s="808">
        <f>HLOOKUP($F$5,bibliotheek!$E$304:$R$311,ROWS(bibliotheek!$E$304:$E$311),FALSE)</f>
        <v>0.26800000000000002</v>
      </c>
      <c r="I5" s="79"/>
      <c r="J5" s="701"/>
      <c r="K5" s="80"/>
      <c r="L5" s="80"/>
      <c r="M5" s="751" t="s">
        <v>94</v>
      </c>
      <c r="N5" s="752"/>
      <c r="O5" s="772" t="str">
        <f>IF(M22=0,"-",Q104&amp;IF(Q108=1,"","   |  "&amp;Q140))</f>
        <v>-</v>
      </c>
      <c r="P5" s="754"/>
      <c r="Q5" s="754"/>
      <c r="R5" s="754"/>
      <c r="S5" s="754"/>
      <c r="T5" s="754"/>
      <c r="U5" s="754"/>
      <c r="V5" s="754"/>
      <c r="W5" s="754"/>
      <c r="X5" s="80"/>
      <c r="Y5" s="751" t="s">
        <v>94</v>
      </c>
      <c r="Z5" s="752"/>
      <c r="AA5" s="772" t="str">
        <f>IF(Y22=0,"-",AC104&amp;IF(AC108=1,"","   |  "&amp;AC140))</f>
        <v>-</v>
      </c>
      <c r="AB5" s="754"/>
      <c r="AC5" s="754"/>
      <c r="AD5" s="754"/>
      <c r="AE5" s="754"/>
      <c r="AF5" s="754"/>
      <c r="AG5" s="754"/>
      <c r="AH5" s="754"/>
      <c r="AI5" s="754"/>
      <c r="AJ5" s="80"/>
      <c r="AK5" s="751" t="s">
        <v>94</v>
      </c>
      <c r="AL5" s="752"/>
      <c r="AM5" s="772" t="str">
        <f>IF(AK22=0,"-",AO104&amp;IF(AO108=1,"","   |  "&amp;AO140))</f>
        <v>-</v>
      </c>
      <c r="AN5" s="754"/>
      <c r="AO5" s="754"/>
      <c r="AP5" s="754"/>
      <c r="AQ5" s="754"/>
      <c r="AR5" s="754"/>
      <c r="AS5" s="754"/>
      <c r="AT5" s="754"/>
      <c r="AU5" s="754"/>
      <c r="AV5" s="80"/>
      <c r="AW5" s="751" t="s">
        <v>94</v>
      </c>
      <c r="AX5" s="752"/>
      <c r="AY5" s="772" t="str">
        <f>IF(AW22=0,"-",BA104&amp;IF(BA108=1,"","   |  "&amp;BA140))</f>
        <v>-</v>
      </c>
      <c r="AZ5" s="754"/>
      <c r="BA5" s="754"/>
      <c r="BB5" s="754"/>
      <c r="BC5" s="754"/>
      <c r="BD5" s="754"/>
      <c r="BE5" s="754"/>
      <c r="BF5" s="754"/>
      <c r="BG5" s="754"/>
      <c r="BH5" s="211"/>
    </row>
    <row r="6" spans="1:60">
      <c r="A6" s="1038"/>
      <c r="B6" s="1265"/>
      <c r="C6" s="1265"/>
      <c r="D6" s="639" t="s">
        <v>45</v>
      </c>
      <c r="E6" s="716" t="s">
        <v>1162</v>
      </c>
      <c r="F6" s="806" t="s">
        <v>1119</v>
      </c>
      <c r="G6" s="957" t="str">
        <f>IF(F6=EP,"energieprestatieberekening","maatwerkadvies (geen resultaten EP)")</f>
        <v>energieprestatieberekening</v>
      </c>
      <c r="H6" s="935"/>
      <c r="I6" s="79"/>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1"/>
      <c r="AZ6" s="701"/>
      <c r="BA6" s="701"/>
      <c r="BB6" s="701"/>
      <c r="BC6" s="701"/>
      <c r="BD6" s="701"/>
      <c r="BE6" s="701"/>
      <c r="BF6" s="701"/>
      <c r="BG6" s="701"/>
      <c r="BH6" s="211"/>
    </row>
    <row r="7" spans="1:60" s="761" customFormat="1">
      <c r="A7" s="1039"/>
      <c r="B7" s="1265"/>
      <c r="C7" s="1265"/>
      <c r="D7" s="758"/>
      <c r="E7" s="759"/>
      <c r="F7" s="759"/>
      <c r="G7" s="759"/>
      <c r="H7" s="759"/>
      <c r="I7" s="759"/>
      <c r="J7" s="760"/>
      <c r="K7" s="760"/>
      <c r="L7" s="760"/>
      <c r="M7" s="759"/>
      <c r="N7" s="759"/>
      <c r="O7" s="858"/>
      <c r="P7" s="1168"/>
      <c r="Q7" s="759"/>
      <c r="R7" s="1168"/>
      <c r="S7" s="759"/>
      <c r="T7" s="758"/>
      <c r="U7" s="758"/>
      <c r="V7" s="758"/>
    </row>
    <row r="8" spans="1:60" ht="21">
      <c r="A8" s="1038"/>
      <c r="B8" s="1103"/>
      <c r="C8" s="1103"/>
      <c r="D8" s="639" t="s">
        <v>45</v>
      </c>
      <c r="E8" s="708"/>
      <c r="F8" s="1"/>
      <c r="G8" s="1"/>
      <c r="H8" s="1"/>
      <c r="I8" s="2"/>
      <c r="J8" s="709" t="s">
        <v>1167</v>
      </c>
      <c r="K8" s="710"/>
      <c r="L8" s="710"/>
      <c r="M8" s="709" t="s">
        <v>62</v>
      </c>
      <c r="N8" s="711"/>
      <c r="O8" s="711" t="str">
        <f>IF(M22=0,"[geen gebouwgegevens ingevoerd]",IF('woningen|utiliteit'!$L$17="","[geen naam locatie ingevoerd]",'woningen|utiliteit'!$L$17))</f>
        <v>[geen gebouwgegevens ingevoerd]</v>
      </c>
      <c r="P8" s="711"/>
      <c r="Q8" s="711"/>
      <c r="R8" s="711"/>
      <c r="S8" s="711"/>
      <c r="T8" s="712"/>
      <c r="U8" s="712"/>
      <c r="V8" s="711"/>
      <c r="W8" s="711"/>
      <c r="X8" s="710"/>
      <c r="Y8" s="709" t="s">
        <v>79</v>
      </c>
      <c r="Z8" s="711"/>
      <c r="AA8" s="711" t="str">
        <f>IF(Y22=0,"[geen gebouwgegevens ingevoerd]",IF('woningen|utiliteit'!$L$33="","[geen naam locatie ingevoerd]",'woningen|utiliteit'!$L$33))</f>
        <v>[geen gebouwgegevens ingevoerd]</v>
      </c>
      <c r="AB8" s="711"/>
      <c r="AC8" s="711"/>
      <c r="AD8" s="711"/>
      <c r="AE8" s="711"/>
      <c r="AF8" s="712"/>
      <c r="AG8" s="712"/>
      <c r="AH8" s="711"/>
      <c r="AI8" s="711"/>
      <c r="AJ8" s="710"/>
      <c r="AK8" s="709" t="s">
        <v>80</v>
      </c>
      <c r="AL8" s="711"/>
      <c r="AM8" s="711" t="str">
        <f>IF(AK22=0,"[geen gebouwgegevens ingevoerd]",IF('woningen|utiliteit'!$L$49="","[geen naam locatie ingevoerd]",'woningen|utiliteit'!$L$49))</f>
        <v>[geen gebouwgegevens ingevoerd]</v>
      </c>
      <c r="AN8" s="711"/>
      <c r="AO8" s="711"/>
      <c r="AP8" s="711"/>
      <c r="AQ8" s="711"/>
      <c r="AR8" s="712"/>
      <c r="AS8" s="712"/>
      <c r="AT8" s="711"/>
      <c r="AU8" s="711"/>
      <c r="AV8" s="710"/>
      <c r="AW8" s="709" t="s">
        <v>81</v>
      </c>
      <c r="AX8" s="711"/>
      <c r="AY8" s="711" t="str">
        <f>IF(AW22=0,"[geen gebouwgegevens ingevoerd]",IF('woningen|utiliteit'!$L$65="","[geen naam locatie ingevoerd]",'woningen|utiliteit'!$L$65))</f>
        <v>[geen gebouwgegevens ingevoerd]</v>
      </c>
      <c r="AZ8" s="178"/>
      <c r="BA8" s="178"/>
      <c r="BB8" s="178"/>
      <c r="BC8" s="178"/>
      <c r="BD8" s="179"/>
      <c r="BE8" s="179"/>
      <c r="BF8" s="178"/>
      <c r="BG8" s="178"/>
      <c r="BH8" s="1"/>
    </row>
    <row r="9" spans="1:60" s="591" customFormat="1" ht="5.25">
      <c r="A9" s="1104" t="s">
        <v>95</v>
      </c>
      <c r="B9" s="1104" t="s">
        <v>95</v>
      </c>
      <c r="C9" s="1105" t="s">
        <v>96</v>
      </c>
      <c r="D9" s="588"/>
      <c r="E9" s="589"/>
      <c r="F9" s="589"/>
      <c r="G9" s="589"/>
      <c r="H9" s="589"/>
      <c r="I9" s="589"/>
      <c r="J9" s="590"/>
      <c r="K9" s="590"/>
      <c r="L9" s="590"/>
      <c r="M9" s="589"/>
      <c r="N9" s="589"/>
      <c r="O9" s="589"/>
      <c r="P9" s="589"/>
      <c r="Q9" s="589"/>
      <c r="R9" s="589"/>
      <c r="S9" s="589"/>
      <c r="T9" s="588"/>
      <c r="U9" s="588"/>
      <c r="V9" s="588"/>
    </row>
    <row r="10" spans="1:60" ht="21">
      <c r="A10" s="1040"/>
      <c r="B10" s="1106" t="s">
        <v>95</v>
      </c>
      <c r="C10" s="1107" t="s">
        <v>96</v>
      </c>
      <c r="D10" s="639" t="s">
        <v>45</v>
      </c>
      <c r="E10" s="580" t="s">
        <v>1158</v>
      </c>
      <c r="F10" s="580"/>
      <c r="G10" s="580"/>
      <c r="H10" s="971" t="s">
        <v>1157</v>
      </c>
      <c r="I10" s="77"/>
      <c r="J10" s="176" t="str">
        <f>J$8</f>
        <v>alle locaties</v>
      </c>
      <c r="K10" s="126"/>
      <c r="L10" s="126"/>
      <c r="M10" s="176" t="str">
        <f>M$8</f>
        <v>locatie 1</v>
      </c>
      <c r="N10" s="182"/>
      <c r="O10" s="177" t="s">
        <v>88</v>
      </c>
      <c r="P10" s="177" t="s">
        <v>90</v>
      </c>
      <c r="Q10" s="177" t="s">
        <v>97</v>
      </c>
      <c r="R10" s="177" t="s">
        <v>98</v>
      </c>
      <c r="S10" s="177" t="s">
        <v>99</v>
      </c>
      <c r="T10" s="177" t="s">
        <v>100</v>
      </c>
      <c r="U10" s="177" t="s">
        <v>101</v>
      </c>
      <c r="V10" s="177" t="s">
        <v>102</v>
      </c>
      <c r="W10" s="177" t="s">
        <v>103</v>
      </c>
      <c r="X10" s="174"/>
      <c r="Y10" s="176" t="str">
        <f>Y8</f>
        <v>locatie 2</v>
      </c>
      <c r="Z10" s="182"/>
      <c r="AA10" s="177" t="str">
        <f>$O$10</f>
        <v>verwarming</v>
      </c>
      <c r="AB10" s="177" t="str">
        <f>$P$10</f>
        <v>koeling</v>
      </c>
      <c r="AC10" s="177" t="str">
        <f>$Q$10</f>
        <v>tapwater</v>
      </c>
      <c r="AD10" s="177" t="str">
        <f>$R$10</f>
        <v>verlichting</v>
      </c>
      <c r="AE10" s="177" t="str">
        <f>$S$10</f>
        <v>ventilatoren</v>
      </c>
      <c r="AF10" s="177" t="str">
        <f>$T$10</f>
        <v>kookgas</v>
      </c>
      <c r="AG10" s="177" t="str">
        <f>$U$10</f>
        <v>overig elektra</v>
      </c>
      <c r="AH10" s="177" t="str">
        <f>$V$10</f>
        <v>mobiliteit</v>
      </c>
      <c r="AI10" s="177" t="str">
        <f>$W$10</f>
        <v>zonnepanelen</v>
      </c>
      <c r="AJ10" s="174"/>
      <c r="AK10" s="176" t="str">
        <f>AK8</f>
        <v>locatie 3</v>
      </c>
      <c r="AL10" s="182"/>
      <c r="AM10" s="177" t="str">
        <f>$O$10</f>
        <v>verwarming</v>
      </c>
      <c r="AN10" s="177" t="str">
        <f>$P$10</f>
        <v>koeling</v>
      </c>
      <c r="AO10" s="177" t="str">
        <f>$Q$10</f>
        <v>tapwater</v>
      </c>
      <c r="AP10" s="177" t="str">
        <f>$R$10</f>
        <v>verlichting</v>
      </c>
      <c r="AQ10" s="177" t="str">
        <f>$S$10</f>
        <v>ventilatoren</v>
      </c>
      <c r="AR10" s="177" t="str">
        <f>$T$10</f>
        <v>kookgas</v>
      </c>
      <c r="AS10" s="177" t="str">
        <f>$U$10</f>
        <v>overig elektra</v>
      </c>
      <c r="AT10" s="177" t="str">
        <f>$V$10</f>
        <v>mobiliteit</v>
      </c>
      <c r="AU10" s="177" t="str">
        <f>$W$10</f>
        <v>zonnepanelen</v>
      </c>
      <c r="AV10" s="174"/>
      <c r="AW10" s="176" t="str">
        <f>AW8</f>
        <v>locatie 4</v>
      </c>
      <c r="AX10" s="182"/>
      <c r="AY10" s="177" t="str">
        <f>$O$10</f>
        <v>verwarming</v>
      </c>
      <c r="AZ10" s="177" t="str">
        <f>$P$10</f>
        <v>koeling</v>
      </c>
      <c r="BA10" s="177" t="str">
        <f>$Q$10</f>
        <v>tapwater</v>
      </c>
      <c r="BB10" s="177" t="str">
        <f>$R$10</f>
        <v>verlichting</v>
      </c>
      <c r="BC10" s="177" t="str">
        <f>$S$10</f>
        <v>ventilatoren</v>
      </c>
      <c r="BD10" s="177" t="str">
        <f>$T$10</f>
        <v>kookgas</v>
      </c>
      <c r="BE10" s="177" t="str">
        <f>$U$10</f>
        <v>overig elektra</v>
      </c>
      <c r="BF10" s="177" t="str">
        <f>$V$10</f>
        <v>mobiliteit</v>
      </c>
      <c r="BG10" s="177" t="str">
        <f>$W$10</f>
        <v>zonnepanelen</v>
      </c>
      <c r="BH10" s="1"/>
    </row>
    <row r="11" spans="1:60">
      <c r="A11" s="1040"/>
      <c r="B11" s="1106" t="s">
        <v>95</v>
      </c>
      <c r="C11" s="1107" t="s">
        <v>104</v>
      </c>
      <c r="D11" s="638"/>
      <c r="E11" s="180" t="s">
        <v>1220</v>
      </c>
      <c r="F11" s="180"/>
      <c r="G11" s="180"/>
      <c r="H11" s="181" t="s">
        <v>106</v>
      </c>
      <c r="I11" s="83"/>
      <c r="J11" s="202">
        <f>M11+Y11+AK11+AW11</f>
        <v>0</v>
      </c>
      <c r="K11" s="243"/>
      <c r="L11" s="243"/>
      <c r="M11" s="202">
        <f>SUM(N11:X11)</f>
        <v>0</v>
      </c>
      <c r="N11" s="84"/>
      <c r="O11" s="168">
        <f t="shared" ref="O11:W11" si="0">O120+O151+O174-O214</f>
        <v>0</v>
      </c>
      <c r="P11" s="168">
        <f t="shared" si="0"/>
        <v>0</v>
      </c>
      <c r="Q11" s="168">
        <f t="shared" si="0"/>
        <v>0</v>
      </c>
      <c r="R11" s="168">
        <f t="shared" si="0"/>
        <v>0</v>
      </c>
      <c r="S11" s="168">
        <f t="shared" si="0"/>
        <v>0</v>
      </c>
      <c r="T11" s="168">
        <f t="shared" si="0"/>
        <v>0</v>
      </c>
      <c r="U11" s="168">
        <f t="shared" si="0"/>
        <v>0</v>
      </c>
      <c r="V11" s="168">
        <f t="shared" si="0"/>
        <v>0</v>
      </c>
      <c r="W11" s="168">
        <f t="shared" si="0"/>
        <v>0</v>
      </c>
      <c r="X11" s="262"/>
      <c r="Y11" s="202">
        <f>SUM(Z11:AJ11)</f>
        <v>0</v>
      </c>
      <c r="Z11" s="84"/>
      <c r="AA11" s="168">
        <f t="shared" ref="AA11:AI11" si="1">AA120+AA151+AA174-AA214</f>
        <v>0</v>
      </c>
      <c r="AB11" s="168">
        <f t="shared" si="1"/>
        <v>0</v>
      </c>
      <c r="AC11" s="168">
        <f t="shared" si="1"/>
        <v>0</v>
      </c>
      <c r="AD11" s="168">
        <f t="shared" si="1"/>
        <v>0</v>
      </c>
      <c r="AE11" s="168">
        <f t="shared" si="1"/>
        <v>0</v>
      </c>
      <c r="AF11" s="168">
        <f t="shared" si="1"/>
        <v>0</v>
      </c>
      <c r="AG11" s="168">
        <f t="shared" si="1"/>
        <v>0</v>
      </c>
      <c r="AH11" s="168">
        <f t="shared" si="1"/>
        <v>0</v>
      </c>
      <c r="AI11" s="168">
        <f t="shared" si="1"/>
        <v>0</v>
      </c>
      <c r="AJ11" s="262"/>
      <c r="AK11" s="202">
        <f>SUM(AL11:AV11)</f>
        <v>0</v>
      </c>
      <c r="AL11" s="84"/>
      <c r="AM11" s="168">
        <f t="shared" ref="AM11:AU11" si="2">AM120+AM151+AM174-AM214</f>
        <v>0</v>
      </c>
      <c r="AN11" s="168">
        <f t="shared" si="2"/>
        <v>0</v>
      </c>
      <c r="AO11" s="168">
        <f t="shared" si="2"/>
        <v>0</v>
      </c>
      <c r="AP11" s="168">
        <f t="shared" si="2"/>
        <v>0</v>
      </c>
      <c r="AQ11" s="168">
        <f t="shared" si="2"/>
        <v>0</v>
      </c>
      <c r="AR11" s="168">
        <f t="shared" si="2"/>
        <v>0</v>
      </c>
      <c r="AS11" s="168">
        <f t="shared" si="2"/>
        <v>0</v>
      </c>
      <c r="AT11" s="168">
        <f t="shared" si="2"/>
        <v>0</v>
      </c>
      <c r="AU11" s="168">
        <f t="shared" si="2"/>
        <v>0</v>
      </c>
      <c r="AV11" s="262"/>
      <c r="AW11" s="202">
        <f>SUM(AX11:BH11)</f>
        <v>0</v>
      </c>
      <c r="AX11" s="84"/>
      <c r="AY11" s="168">
        <f t="shared" ref="AY11:BG11" si="3">AY120+AY151+AY174-AY214</f>
        <v>0</v>
      </c>
      <c r="AZ11" s="168">
        <f t="shared" si="3"/>
        <v>0</v>
      </c>
      <c r="BA11" s="168">
        <f t="shared" si="3"/>
        <v>0</v>
      </c>
      <c r="BB11" s="168">
        <f t="shared" si="3"/>
        <v>0</v>
      </c>
      <c r="BC11" s="168">
        <f t="shared" si="3"/>
        <v>0</v>
      </c>
      <c r="BD11" s="168">
        <f t="shared" si="3"/>
        <v>0</v>
      </c>
      <c r="BE11" s="168">
        <f t="shared" si="3"/>
        <v>0</v>
      </c>
      <c r="BF11" s="168">
        <f t="shared" si="3"/>
        <v>0</v>
      </c>
      <c r="BG11" s="168">
        <f t="shared" si="3"/>
        <v>0</v>
      </c>
      <c r="BH11" s="210"/>
    </row>
    <row r="12" spans="1:60">
      <c r="A12" s="1040"/>
      <c r="B12" s="1106" t="s">
        <v>95</v>
      </c>
      <c r="C12" s="1107" t="s">
        <v>104</v>
      </c>
      <c r="D12" s="638"/>
      <c r="E12" s="180" t="s">
        <v>107</v>
      </c>
      <c r="F12" s="180"/>
      <c r="G12" s="180"/>
      <c r="H12" s="181" t="s">
        <v>108</v>
      </c>
      <c r="I12" s="83"/>
      <c r="J12" s="202">
        <f>M12+Y12+AK12+AW12</f>
        <v>0</v>
      </c>
      <c r="K12" s="243"/>
      <c r="L12" s="243"/>
      <c r="M12" s="202">
        <f>SUM(N12:X12)</f>
        <v>0</v>
      </c>
      <c r="N12" s="84"/>
      <c r="O12" s="168">
        <f t="shared" ref="O12:V12" si="4">O130+O161+O181</f>
        <v>0</v>
      </c>
      <c r="P12" s="168">
        <f t="shared" si="4"/>
        <v>0</v>
      </c>
      <c r="Q12" s="168">
        <f t="shared" si="4"/>
        <v>0</v>
      </c>
      <c r="R12" s="168">
        <f t="shared" si="4"/>
        <v>0</v>
      </c>
      <c r="S12" s="168">
        <f t="shared" si="4"/>
        <v>0</v>
      </c>
      <c r="T12" s="168">
        <f t="shared" si="4"/>
        <v>0</v>
      </c>
      <c r="U12" s="168">
        <f t="shared" si="4"/>
        <v>0</v>
      </c>
      <c r="V12" s="168">
        <f t="shared" si="4"/>
        <v>0</v>
      </c>
      <c r="W12" s="168">
        <f>W130+W161+W181-W224</f>
        <v>0</v>
      </c>
      <c r="X12" s="262"/>
      <c r="Y12" s="202">
        <f>SUM(Z12:AJ12)</f>
        <v>0</v>
      </c>
      <c r="Z12" s="84"/>
      <c r="AA12" s="168">
        <f t="shared" ref="AA12:AH12" si="5">AA130+AA161+AA181</f>
        <v>0</v>
      </c>
      <c r="AB12" s="168">
        <f t="shared" si="5"/>
        <v>0</v>
      </c>
      <c r="AC12" s="168">
        <f t="shared" si="5"/>
        <v>0</v>
      </c>
      <c r="AD12" s="168">
        <f t="shared" si="5"/>
        <v>0</v>
      </c>
      <c r="AE12" s="168">
        <f t="shared" si="5"/>
        <v>0</v>
      </c>
      <c r="AF12" s="168">
        <f t="shared" si="5"/>
        <v>0</v>
      </c>
      <c r="AG12" s="168">
        <f t="shared" si="5"/>
        <v>0</v>
      </c>
      <c r="AH12" s="168">
        <f t="shared" si="5"/>
        <v>0</v>
      </c>
      <c r="AI12" s="168">
        <f>AI130+AI161+AI181-AI224</f>
        <v>0</v>
      </c>
      <c r="AJ12" s="262"/>
      <c r="AK12" s="202">
        <f>SUM(AL12:AV12)</f>
        <v>0</v>
      </c>
      <c r="AL12" s="84"/>
      <c r="AM12" s="168">
        <f t="shared" ref="AM12:AT12" si="6">AM130+AM161+AM181</f>
        <v>0</v>
      </c>
      <c r="AN12" s="168">
        <f t="shared" si="6"/>
        <v>0</v>
      </c>
      <c r="AO12" s="168">
        <f t="shared" si="6"/>
        <v>0</v>
      </c>
      <c r="AP12" s="168">
        <f t="shared" si="6"/>
        <v>0</v>
      </c>
      <c r="AQ12" s="168">
        <f t="shared" si="6"/>
        <v>0</v>
      </c>
      <c r="AR12" s="168">
        <f t="shared" si="6"/>
        <v>0</v>
      </c>
      <c r="AS12" s="168">
        <f t="shared" si="6"/>
        <v>0</v>
      </c>
      <c r="AT12" s="168">
        <f t="shared" si="6"/>
        <v>0</v>
      </c>
      <c r="AU12" s="168">
        <f>AU130+AU161+AU181-AU224</f>
        <v>0</v>
      </c>
      <c r="AV12" s="262"/>
      <c r="AW12" s="202">
        <f>SUM(AX12:BH12)</f>
        <v>0</v>
      </c>
      <c r="AX12" s="84"/>
      <c r="AY12" s="168">
        <f t="shared" ref="AY12:BF12" si="7">AY130+AY161+AY181</f>
        <v>0</v>
      </c>
      <c r="AZ12" s="168">
        <f t="shared" si="7"/>
        <v>0</v>
      </c>
      <c r="BA12" s="168">
        <f t="shared" si="7"/>
        <v>0</v>
      </c>
      <c r="BB12" s="168">
        <f t="shared" si="7"/>
        <v>0</v>
      </c>
      <c r="BC12" s="168">
        <f t="shared" si="7"/>
        <v>0</v>
      </c>
      <c r="BD12" s="168">
        <f t="shared" si="7"/>
        <v>0</v>
      </c>
      <c r="BE12" s="168">
        <f t="shared" si="7"/>
        <v>0</v>
      </c>
      <c r="BF12" s="168">
        <f t="shared" si="7"/>
        <v>0</v>
      </c>
      <c r="BG12" s="168">
        <f>BG130+BG161+BG181-BG224</f>
        <v>0</v>
      </c>
      <c r="BH12" s="210"/>
    </row>
    <row r="13" spans="1:60">
      <c r="A13" s="1040"/>
      <c r="B13" s="1106" t="s">
        <v>95</v>
      </c>
      <c r="C13" s="1107" t="s">
        <v>104</v>
      </c>
      <c r="D13" s="638"/>
      <c r="E13" s="180" t="s">
        <v>109</v>
      </c>
      <c r="F13" s="180"/>
      <c r="G13" s="180"/>
      <c r="H13" s="181" t="s">
        <v>110</v>
      </c>
      <c r="I13" s="83"/>
      <c r="J13" s="202">
        <f>M13+Y13+AK13+AW13</f>
        <v>0</v>
      </c>
      <c r="K13" s="243"/>
      <c r="L13" s="243"/>
      <c r="M13" s="202">
        <f>SUM(N13:X13)</f>
        <v>0</v>
      </c>
      <c r="N13" s="84"/>
      <c r="O13" s="168">
        <f t="shared" ref="O13:W13" si="8">O229*O27/1000</f>
        <v>0</v>
      </c>
      <c r="P13" s="168">
        <f t="shared" si="8"/>
        <v>0</v>
      </c>
      <c r="Q13" s="168">
        <f t="shared" si="8"/>
        <v>0</v>
      </c>
      <c r="R13" s="168">
        <f t="shared" si="8"/>
        <v>0</v>
      </c>
      <c r="S13" s="168">
        <f t="shared" si="8"/>
        <v>0</v>
      </c>
      <c r="T13" s="168">
        <f t="shared" si="8"/>
        <v>0</v>
      </c>
      <c r="U13" s="168">
        <f t="shared" si="8"/>
        <v>0</v>
      </c>
      <c r="V13" s="168">
        <f t="shared" si="8"/>
        <v>0</v>
      </c>
      <c r="W13" s="168">
        <f t="shared" si="8"/>
        <v>0</v>
      </c>
      <c r="X13" s="262"/>
      <c r="Y13" s="202">
        <f>SUM(Z13:AJ13)</f>
        <v>0</v>
      </c>
      <c r="Z13" s="84"/>
      <c r="AA13" s="168">
        <f t="shared" ref="AA13:AI13" si="9">AA229*AA27/1000</f>
        <v>0</v>
      </c>
      <c r="AB13" s="168">
        <f t="shared" si="9"/>
        <v>0</v>
      </c>
      <c r="AC13" s="168">
        <f t="shared" si="9"/>
        <v>0</v>
      </c>
      <c r="AD13" s="168">
        <f t="shared" si="9"/>
        <v>0</v>
      </c>
      <c r="AE13" s="168">
        <f t="shared" si="9"/>
        <v>0</v>
      </c>
      <c r="AF13" s="168">
        <f t="shared" si="9"/>
        <v>0</v>
      </c>
      <c r="AG13" s="168">
        <f t="shared" si="9"/>
        <v>0</v>
      </c>
      <c r="AH13" s="168">
        <f t="shared" si="9"/>
        <v>0</v>
      </c>
      <c r="AI13" s="168">
        <f t="shared" si="9"/>
        <v>0</v>
      </c>
      <c r="AJ13" s="262"/>
      <c r="AK13" s="202">
        <f>SUM(AL13:AV13)</f>
        <v>0</v>
      </c>
      <c r="AL13" s="84"/>
      <c r="AM13" s="168">
        <f t="shared" ref="AM13:AU13" si="10">AM229*AM27/1000</f>
        <v>0</v>
      </c>
      <c r="AN13" s="168">
        <f t="shared" si="10"/>
        <v>0</v>
      </c>
      <c r="AO13" s="168">
        <f t="shared" si="10"/>
        <v>0</v>
      </c>
      <c r="AP13" s="168">
        <f t="shared" si="10"/>
        <v>0</v>
      </c>
      <c r="AQ13" s="168">
        <f t="shared" si="10"/>
        <v>0</v>
      </c>
      <c r="AR13" s="168">
        <f t="shared" si="10"/>
        <v>0</v>
      </c>
      <c r="AS13" s="168">
        <f t="shared" si="10"/>
        <v>0</v>
      </c>
      <c r="AT13" s="168">
        <f t="shared" si="10"/>
        <v>0</v>
      </c>
      <c r="AU13" s="168">
        <f t="shared" si="10"/>
        <v>0</v>
      </c>
      <c r="AV13" s="262"/>
      <c r="AW13" s="202">
        <f>SUM(AX13:BH13)</f>
        <v>0</v>
      </c>
      <c r="AX13" s="84"/>
      <c r="AY13" s="168">
        <f t="shared" ref="AY13:BG13" si="11">AY229*AY27/1000</f>
        <v>0</v>
      </c>
      <c r="AZ13" s="168">
        <f t="shared" si="11"/>
        <v>0</v>
      </c>
      <c r="BA13" s="168">
        <f t="shared" si="11"/>
        <v>0</v>
      </c>
      <c r="BB13" s="168">
        <f t="shared" si="11"/>
        <v>0</v>
      </c>
      <c r="BC13" s="168">
        <f t="shared" si="11"/>
        <v>0</v>
      </c>
      <c r="BD13" s="168">
        <f t="shared" si="11"/>
        <v>0</v>
      </c>
      <c r="BE13" s="168">
        <f t="shared" si="11"/>
        <v>0</v>
      </c>
      <c r="BF13" s="168">
        <f t="shared" si="11"/>
        <v>0</v>
      </c>
      <c r="BG13" s="168">
        <f t="shared" si="11"/>
        <v>0</v>
      </c>
      <c r="BH13" s="212"/>
    </row>
    <row r="14" spans="1:60" s="707" customFormat="1" ht="5.25">
      <c r="A14" s="1012" t="s">
        <v>95</v>
      </c>
      <c r="B14" s="1108" t="s">
        <v>95</v>
      </c>
      <c r="C14" s="1104" t="s">
        <v>104</v>
      </c>
      <c r="D14" s="647"/>
      <c r="E14" s="704"/>
      <c r="F14" s="704"/>
      <c r="G14" s="704"/>
      <c r="H14" s="705"/>
      <c r="I14" s="704"/>
      <c r="J14" s="706"/>
      <c r="K14" s="704"/>
      <c r="L14" s="704"/>
      <c r="M14" s="706"/>
      <c r="N14" s="704"/>
      <c r="O14" s="706"/>
      <c r="P14" s="706"/>
      <c r="Q14" s="706"/>
      <c r="R14" s="706"/>
      <c r="S14" s="706"/>
      <c r="T14" s="706"/>
      <c r="U14" s="706"/>
      <c r="V14" s="706"/>
      <c r="W14" s="706"/>
      <c r="X14" s="706"/>
      <c r="Y14" s="706"/>
      <c r="Z14" s="704"/>
      <c r="AA14" s="706"/>
      <c r="AB14" s="706"/>
      <c r="AC14" s="706"/>
      <c r="AD14" s="706"/>
      <c r="AE14" s="706"/>
      <c r="AF14" s="706"/>
      <c r="AG14" s="706"/>
      <c r="AH14" s="706"/>
      <c r="AI14" s="706"/>
      <c r="AJ14" s="706"/>
      <c r="AK14" s="706"/>
      <c r="AL14" s="704"/>
      <c r="AM14" s="706"/>
      <c r="AN14" s="706"/>
      <c r="AO14" s="706"/>
      <c r="AP14" s="706"/>
      <c r="AQ14" s="706"/>
      <c r="AR14" s="706"/>
      <c r="AS14" s="706"/>
      <c r="AT14" s="706"/>
      <c r="AU14" s="706"/>
      <c r="AV14" s="706"/>
      <c r="AW14" s="706"/>
      <c r="AX14" s="704"/>
      <c r="AY14" s="706"/>
      <c r="AZ14" s="706"/>
      <c r="BA14" s="706"/>
      <c r="BB14" s="706"/>
      <c r="BC14" s="706"/>
      <c r="BD14" s="706"/>
      <c r="BE14" s="706"/>
      <c r="BF14" s="706"/>
      <c r="BG14" s="706"/>
      <c r="BH14" s="706"/>
    </row>
    <row r="15" spans="1:60" s="707" customFormat="1" ht="5.25">
      <c r="A15" s="1130"/>
      <c r="B15" s="1108" t="s">
        <v>111</v>
      </c>
      <c r="C15" s="1108" t="s">
        <v>96</v>
      </c>
      <c r="D15" s="647"/>
      <c r="E15" s="1131"/>
      <c r="F15" s="1131"/>
      <c r="G15" s="1131"/>
      <c r="H15" s="1132"/>
      <c r="I15" s="1131"/>
      <c r="J15" s="1133"/>
      <c r="K15" s="1131"/>
      <c r="L15" s="1131"/>
      <c r="M15" s="1133"/>
      <c r="N15" s="1131"/>
      <c r="O15" s="1133"/>
      <c r="P15" s="1133"/>
      <c r="Q15" s="1133"/>
      <c r="R15" s="1133"/>
      <c r="S15" s="1133"/>
      <c r="T15" s="1133"/>
      <c r="U15" s="1133"/>
      <c r="V15" s="1133"/>
      <c r="W15" s="1133"/>
      <c r="X15" s="1133"/>
      <c r="Y15" s="1133"/>
      <c r="Z15" s="1131"/>
      <c r="AA15" s="1133"/>
      <c r="AB15" s="1133"/>
      <c r="AC15" s="1133"/>
      <c r="AD15" s="1133"/>
      <c r="AE15" s="1133"/>
      <c r="AF15" s="1133"/>
      <c r="AG15" s="1133"/>
      <c r="AH15" s="1133"/>
      <c r="AI15" s="1133"/>
      <c r="AJ15" s="1133"/>
      <c r="AK15" s="1133"/>
      <c r="AL15" s="1131"/>
      <c r="AM15" s="1133"/>
      <c r="AN15" s="1133"/>
      <c r="AO15" s="1133"/>
      <c r="AP15" s="1133"/>
      <c r="AQ15" s="1133"/>
      <c r="AR15" s="1133"/>
      <c r="AS15" s="1133"/>
      <c r="AT15" s="1133"/>
      <c r="AU15" s="1133"/>
      <c r="AV15" s="1133"/>
      <c r="AW15" s="1133"/>
      <c r="AX15" s="1131"/>
      <c r="AY15" s="1133"/>
      <c r="AZ15" s="1133"/>
      <c r="BA15" s="1133"/>
      <c r="BB15" s="1133"/>
      <c r="BC15" s="1133"/>
      <c r="BD15" s="1133"/>
      <c r="BE15" s="1133"/>
      <c r="BF15" s="1133"/>
      <c r="BG15" s="1133"/>
      <c r="BH15" s="706"/>
    </row>
    <row r="16" spans="1:60" s="2" customFormat="1" ht="21">
      <c r="A16" s="1038"/>
      <c r="B16" s="1106" t="s">
        <v>111</v>
      </c>
      <c r="C16" s="1106" t="s">
        <v>96</v>
      </c>
      <c r="D16" s="639" t="s">
        <v>45</v>
      </c>
      <c r="E16" s="209" t="s">
        <v>112</v>
      </c>
      <c r="F16" s="209"/>
      <c r="G16" s="209"/>
      <c r="H16" s="209"/>
      <c r="I16" s="129"/>
      <c r="J16" s="256" t="str">
        <f>J$10</f>
        <v>alle locaties</v>
      </c>
      <c r="K16" s="126"/>
      <c r="L16" s="126"/>
      <c r="M16" s="257" t="str">
        <f>M$8</f>
        <v>locatie 1</v>
      </c>
      <c r="N16" s="193"/>
      <c r="O16" s="955" t="str">
        <f>$E16&amp;" per woning-/gebouwtype"</f>
        <v>woningen|utiliteitsgebouwen terugkoppeling invoer per woning-/gebouwtype</v>
      </c>
      <c r="P16" s="945"/>
      <c r="Q16" s="945"/>
      <c r="R16" s="945"/>
      <c r="S16" s="945"/>
      <c r="T16" s="945"/>
      <c r="U16" s="945"/>
      <c r="V16" s="945"/>
      <c r="W16" s="257"/>
      <c r="X16" s="174"/>
      <c r="Y16" s="257" t="str">
        <f>Y$10</f>
        <v>locatie 2</v>
      </c>
      <c r="Z16" s="193"/>
      <c r="AA16" s="955" t="str">
        <f>$E16&amp;" per woning-/gebouwtype"</f>
        <v>woningen|utiliteitsgebouwen terugkoppeling invoer per woning-/gebouwtype</v>
      </c>
      <c r="AB16" s="945"/>
      <c r="AC16" s="945"/>
      <c r="AD16" s="945"/>
      <c r="AE16" s="945"/>
      <c r="AF16" s="945"/>
      <c r="AG16" s="945"/>
      <c r="AH16" s="945"/>
      <c r="AI16" s="257"/>
      <c r="AJ16" s="174"/>
      <c r="AK16" s="257" t="str">
        <f>AK$10</f>
        <v>locatie 3</v>
      </c>
      <c r="AL16" s="193"/>
      <c r="AM16" s="955" t="str">
        <f>$E16&amp;" per woning-/gebouwtype"</f>
        <v>woningen|utiliteitsgebouwen terugkoppeling invoer per woning-/gebouwtype</v>
      </c>
      <c r="AN16" s="945"/>
      <c r="AO16" s="945"/>
      <c r="AP16" s="945"/>
      <c r="AQ16" s="945"/>
      <c r="AR16" s="945"/>
      <c r="AS16" s="945"/>
      <c r="AT16" s="945"/>
      <c r="AU16" s="257"/>
      <c r="AV16" s="174"/>
      <c r="AW16" s="257" t="str">
        <f>AW$10</f>
        <v>locatie 4</v>
      </c>
      <c r="AX16" s="193"/>
      <c r="AY16" s="955" t="str">
        <f>$E16&amp;" per woning-/gebouwtype"</f>
        <v>woningen|utiliteitsgebouwen terugkoppeling invoer per woning-/gebouwtype</v>
      </c>
      <c r="AZ16" s="945"/>
      <c r="BA16" s="945"/>
      <c r="BB16" s="945"/>
      <c r="BC16" s="945"/>
      <c r="BD16" s="945"/>
      <c r="BE16" s="945"/>
      <c r="BF16" s="945"/>
      <c r="BG16" s="257"/>
      <c r="BH16" s="1"/>
    </row>
    <row r="17" spans="1:60">
      <c r="A17" s="1040"/>
      <c r="B17" s="1106" t="s">
        <v>111</v>
      </c>
      <c r="C17" s="1106" t="s">
        <v>96</v>
      </c>
      <c r="D17" s="638"/>
      <c r="E17" s="942" t="s">
        <v>113</v>
      </c>
      <c r="F17" s="942"/>
      <c r="G17" s="942"/>
      <c r="H17" s="942" t="s">
        <v>65</v>
      </c>
      <c r="I17" s="129"/>
      <c r="J17" s="943"/>
      <c r="K17" s="126"/>
      <c r="L17" s="126"/>
      <c r="M17" s="944"/>
      <c r="N17" s="195"/>
      <c r="O17" s="258" t="str">
        <f>IF('woningen|utiliteit'!L18="","",'woningen|utiliteit'!L18)</f>
        <v/>
      </c>
      <c r="P17" s="258" t="str">
        <f>IF('woningen|utiliteit'!M18="","",'woningen|utiliteit'!M18)</f>
        <v/>
      </c>
      <c r="Q17" s="258" t="str">
        <f>IF('woningen|utiliteit'!N18="","",'woningen|utiliteit'!N18)</f>
        <v/>
      </c>
      <c r="R17" s="258" t="str">
        <f>IF('woningen|utiliteit'!O18="","",'woningen|utiliteit'!O18)</f>
        <v/>
      </c>
      <c r="S17" s="258" t="str">
        <f>IF('woningen|utiliteit'!P18="","",'woningen|utiliteit'!P18)</f>
        <v/>
      </c>
      <c r="T17" s="258" t="str">
        <f>IF('woningen|utiliteit'!Q18="","",'woningen|utiliteit'!Q18)</f>
        <v/>
      </c>
      <c r="U17" s="258" t="str">
        <f>IF('woningen|utiliteit'!R18="","",'woningen|utiliteit'!R18)</f>
        <v/>
      </c>
      <c r="V17" s="258" t="str">
        <f>IF('woningen|utiliteit'!S18="","",'woningen|utiliteit'!S18)</f>
        <v/>
      </c>
      <c r="W17" s="258" t="str">
        <f>IF('woningen|utiliteit'!T18="","",'woningen|utiliteit'!T18)</f>
        <v/>
      </c>
      <c r="X17" s="195"/>
      <c r="Y17" s="944"/>
      <c r="Z17" s="195"/>
      <c r="AA17" s="258" t="str">
        <f>IF('woningen|utiliteit'!L34="","",'woningen|utiliteit'!L34)</f>
        <v/>
      </c>
      <c r="AB17" s="258" t="str">
        <f>IF('woningen|utiliteit'!M34="","",'woningen|utiliteit'!M34)</f>
        <v/>
      </c>
      <c r="AC17" s="258" t="str">
        <f>IF('woningen|utiliteit'!N34="","",'woningen|utiliteit'!N34)</f>
        <v/>
      </c>
      <c r="AD17" s="258" t="str">
        <f>IF('woningen|utiliteit'!O34="","",'woningen|utiliteit'!O34)</f>
        <v/>
      </c>
      <c r="AE17" s="258" t="str">
        <f>IF('woningen|utiliteit'!P34="","",'woningen|utiliteit'!P34)</f>
        <v/>
      </c>
      <c r="AF17" s="258" t="str">
        <f>IF('woningen|utiliteit'!Q34="","",'woningen|utiliteit'!Q34)</f>
        <v/>
      </c>
      <c r="AG17" s="258" t="str">
        <f>IF('woningen|utiliteit'!R34="","",'woningen|utiliteit'!R34)</f>
        <v/>
      </c>
      <c r="AH17" s="258" t="str">
        <f>IF('woningen|utiliteit'!S34="","",'woningen|utiliteit'!S34)</f>
        <v/>
      </c>
      <c r="AI17" s="258" t="str">
        <f>IF('woningen|utiliteit'!T34="","",'woningen|utiliteit'!T34)</f>
        <v/>
      </c>
      <c r="AJ17" s="195"/>
      <c r="AK17" s="944"/>
      <c r="AL17" s="195"/>
      <c r="AM17" s="258" t="str">
        <f>IF('woningen|utiliteit'!L50="","",'woningen|utiliteit'!L50)</f>
        <v/>
      </c>
      <c r="AN17" s="258" t="str">
        <f>IF('woningen|utiliteit'!M50="","",'woningen|utiliteit'!M50)</f>
        <v/>
      </c>
      <c r="AO17" s="258" t="str">
        <f>IF('woningen|utiliteit'!N50="","",'woningen|utiliteit'!N50)</f>
        <v/>
      </c>
      <c r="AP17" s="258" t="str">
        <f>IF('woningen|utiliteit'!O50="","",'woningen|utiliteit'!O50)</f>
        <v/>
      </c>
      <c r="AQ17" s="258" t="str">
        <f>IF('woningen|utiliteit'!P50="","",'woningen|utiliteit'!P50)</f>
        <v/>
      </c>
      <c r="AR17" s="258" t="str">
        <f>IF('woningen|utiliteit'!Q50="","",'woningen|utiliteit'!Q50)</f>
        <v/>
      </c>
      <c r="AS17" s="258" t="str">
        <f>IF('woningen|utiliteit'!R50="","",'woningen|utiliteit'!R50)</f>
        <v/>
      </c>
      <c r="AT17" s="258" t="str">
        <f>IF('woningen|utiliteit'!S50="","",'woningen|utiliteit'!S50)</f>
        <v/>
      </c>
      <c r="AU17" s="258" t="str">
        <f>IF('woningen|utiliteit'!T50="","",'woningen|utiliteit'!T50)</f>
        <v/>
      </c>
      <c r="AV17" s="195"/>
      <c r="AW17" s="944"/>
      <c r="AX17" s="195"/>
      <c r="AY17" s="258" t="str">
        <f>IF('woningen|utiliteit'!L66="","",'woningen|utiliteit'!L66)</f>
        <v/>
      </c>
      <c r="AZ17" s="258" t="str">
        <f>IF('woningen|utiliteit'!M66="","",'woningen|utiliteit'!M66)</f>
        <v/>
      </c>
      <c r="BA17" s="258" t="str">
        <f>IF('woningen|utiliteit'!N66="","",'woningen|utiliteit'!N66)</f>
        <v/>
      </c>
      <c r="BB17" s="258" t="str">
        <f>IF('woningen|utiliteit'!O66="","",'woningen|utiliteit'!O66)</f>
        <v/>
      </c>
      <c r="BC17" s="258" t="str">
        <f>IF('woningen|utiliteit'!P66="","",'woningen|utiliteit'!P66)</f>
        <v/>
      </c>
      <c r="BD17" s="258" t="str">
        <f>IF('woningen|utiliteit'!Q66="","",'woningen|utiliteit'!Q66)</f>
        <v/>
      </c>
      <c r="BE17" s="258" t="str">
        <f>IF('woningen|utiliteit'!R66="","",'woningen|utiliteit'!R66)</f>
        <v/>
      </c>
      <c r="BF17" s="258" t="str">
        <f>IF('woningen|utiliteit'!S66="","",'woningen|utiliteit'!S66)</f>
        <v/>
      </c>
      <c r="BG17" s="258" t="str">
        <f>IF('woningen|utiliteit'!T66="","",'woningen|utiliteit'!T66)</f>
        <v/>
      </c>
      <c r="BH17" s="36"/>
    </row>
    <row r="18" spans="1:60" s="36" customFormat="1">
      <c r="A18" s="1040"/>
      <c r="B18" s="1107" t="s">
        <v>111</v>
      </c>
      <c r="C18" s="1107" t="s">
        <v>104</v>
      </c>
      <c r="D18" s="638"/>
      <c r="E18" s="236" t="s">
        <v>114</v>
      </c>
      <c r="F18" s="236"/>
      <c r="G18" s="236"/>
      <c r="H18" s="297" t="s">
        <v>65</v>
      </c>
      <c r="I18" s="621"/>
      <c r="J18" s="186"/>
      <c r="K18" s="1128"/>
      <c r="L18" s="1128"/>
      <c r="M18" s="186"/>
      <c r="N18" s="94"/>
      <c r="O18" s="1129" t="str">
        <f>IF('woningen|utiliteit'!L20="","",'woningen|utiliteit'!L20)</f>
        <v/>
      </c>
      <c r="P18" s="1129" t="str">
        <f>IF('woningen|utiliteit'!M20="","",'woningen|utiliteit'!M20)</f>
        <v/>
      </c>
      <c r="Q18" s="1129" t="str">
        <f>IF('woningen|utiliteit'!N20="","",'woningen|utiliteit'!N20)</f>
        <v/>
      </c>
      <c r="R18" s="1129" t="str">
        <f>IF('woningen|utiliteit'!O20="","",'woningen|utiliteit'!O20)</f>
        <v/>
      </c>
      <c r="S18" s="1129" t="str">
        <f>IF('woningen|utiliteit'!P20="","",'woningen|utiliteit'!P20)</f>
        <v/>
      </c>
      <c r="T18" s="1129" t="str">
        <f>IF('woningen|utiliteit'!Q20="","",'woningen|utiliteit'!Q20)</f>
        <v/>
      </c>
      <c r="U18" s="1129" t="str">
        <f>IF('woningen|utiliteit'!R20="","",'woningen|utiliteit'!R20)</f>
        <v/>
      </c>
      <c r="V18" s="1129" t="str">
        <f>IF('woningen|utiliteit'!S20="","",'woningen|utiliteit'!S20)</f>
        <v/>
      </c>
      <c r="W18" s="1129" t="str">
        <f>IF('woningen|utiliteit'!T20="","",'woningen|utiliteit'!T20)</f>
        <v/>
      </c>
      <c r="X18" s="87"/>
      <c r="Y18" s="186"/>
      <c r="Z18" s="94"/>
      <c r="AA18" s="1129" t="str">
        <f>IF('woningen|utiliteit'!L36="","",'woningen|utiliteit'!L36)</f>
        <v/>
      </c>
      <c r="AB18" s="1129" t="str">
        <f>IF('woningen|utiliteit'!M36="","",'woningen|utiliteit'!M36)</f>
        <v/>
      </c>
      <c r="AC18" s="1129" t="str">
        <f>IF('woningen|utiliteit'!N36="","",'woningen|utiliteit'!N36)</f>
        <v/>
      </c>
      <c r="AD18" s="1129" t="str">
        <f>IF('woningen|utiliteit'!O36="","",'woningen|utiliteit'!O36)</f>
        <v/>
      </c>
      <c r="AE18" s="1129" t="str">
        <f>IF('woningen|utiliteit'!P36="","",'woningen|utiliteit'!P36)</f>
        <v/>
      </c>
      <c r="AF18" s="1129" t="str">
        <f>IF('woningen|utiliteit'!Q36="","",'woningen|utiliteit'!Q36)</f>
        <v/>
      </c>
      <c r="AG18" s="1129" t="str">
        <f>IF('woningen|utiliteit'!R36="","",'woningen|utiliteit'!R36)</f>
        <v/>
      </c>
      <c r="AH18" s="1129" t="str">
        <f>IF('woningen|utiliteit'!S36="","",'woningen|utiliteit'!S36)</f>
        <v/>
      </c>
      <c r="AI18" s="1129" t="str">
        <f>IF('woningen|utiliteit'!T36="","",'woningen|utiliteit'!T36)</f>
        <v/>
      </c>
      <c r="AJ18" s="87"/>
      <c r="AK18" s="186"/>
      <c r="AL18" s="94"/>
      <c r="AM18" s="1129" t="str">
        <f>IF('woningen|utiliteit'!L52="","",'woningen|utiliteit'!L52)</f>
        <v/>
      </c>
      <c r="AN18" s="1129" t="str">
        <f>IF('woningen|utiliteit'!M52="","",'woningen|utiliteit'!M52)</f>
        <v/>
      </c>
      <c r="AO18" s="1129" t="str">
        <f>IF('woningen|utiliteit'!N52="","",'woningen|utiliteit'!N52)</f>
        <v/>
      </c>
      <c r="AP18" s="1129" t="str">
        <f>IF('woningen|utiliteit'!O52="","",'woningen|utiliteit'!O52)</f>
        <v/>
      </c>
      <c r="AQ18" s="1129" t="str">
        <f>IF('woningen|utiliteit'!P52="","",'woningen|utiliteit'!P52)</f>
        <v/>
      </c>
      <c r="AR18" s="1129" t="str">
        <f>IF('woningen|utiliteit'!Q52="","",'woningen|utiliteit'!Q52)</f>
        <v/>
      </c>
      <c r="AS18" s="1129" t="str">
        <f>IF('woningen|utiliteit'!R52="","",'woningen|utiliteit'!R52)</f>
        <v/>
      </c>
      <c r="AT18" s="1129" t="str">
        <f>IF('woningen|utiliteit'!S52="","",'woningen|utiliteit'!S52)</f>
        <v/>
      </c>
      <c r="AU18" s="1129" t="str">
        <f>IF('woningen|utiliteit'!T52="","",'woningen|utiliteit'!T52)</f>
        <v/>
      </c>
      <c r="AV18" s="87"/>
      <c r="AW18" s="186"/>
      <c r="AX18" s="94"/>
      <c r="AY18" s="1129" t="str">
        <f>IF('woningen|utiliteit'!L68="","",'woningen|utiliteit'!L68)</f>
        <v/>
      </c>
      <c r="AZ18" s="1129" t="str">
        <f>IF('woningen|utiliteit'!M68="","",'woningen|utiliteit'!M68)</f>
        <v/>
      </c>
      <c r="BA18" s="1129" t="str">
        <f>IF('woningen|utiliteit'!N68="","",'woningen|utiliteit'!N68)</f>
        <v/>
      </c>
      <c r="BB18" s="1129" t="str">
        <f>IF('woningen|utiliteit'!O68="","",'woningen|utiliteit'!O68)</f>
        <v/>
      </c>
      <c r="BC18" s="1129" t="str">
        <f>IF('woningen|utiliteit'!P68="","",'woningen|utiliteit'!P68)</f>
        <v/>
      </c>
      <c r="BD18" s="1129" t="str">
        <f>IF('woningen|utiliteit'!Q68="","",'woningen|utiliteit'!Q68)</f>
        <v/>
      </c>
      <c r="BE18" s="1129" t="str">
        <f>IF('woningen|utiliteit'!R68="","",'woningen|utiliteit'!R68)</f>
        <v/>
      </c>
      <c r="BF18" s="1129" t="str">
        <f>IF('woningen|utiliteit'!S68="","",'woningen|utiliteit'!S68)</f>
        <v/>
      </c>
      <c r="BG18" s="1129" t="str">
        <f>IF('woningen|utiliteit'!T68="","",'woningen|utiliteit'!T68)</f>
        <v/>
      </c>
      <c r="BH18" s="213"/>
    </row>
    <row r="19" spans="1:60" s="36" customFormat="1">
      <c r="A19" s="1040"/>
      <c r="B19" s="1106" t="s">
        <v>111</v>
      </c>
      <c r="C19" s="1107" t="s">
        <v>104</v>
      </c>
      <c r="D19" s="638"/>
      <c r="E19" s="254" t="s">
        <v>115</v>
      </c>
      <c r="F19" s="618"/>
      <c r="G19" s="618"/>
      <c r="H19" s="298" t="s">
        <v>65</v>
      </c>
      <c r="I19" s="86"/>
      <c r="J19" s="619"/>
      <c r="K19" s="93"/>
      <c r="L19" s="93"/>
      <c r="M19" s="619"/>
      <c r="N19" s="620"/>
      <c r="O19" s="539" t="str">
        <f>IF(O$17="","",HLOOKUP(O$17,woningen_gebouwen_gegevens,ROWS(bibliotheek!$E$20:$E$21),FALSE))</f>
        <v/>
      </c>
      <c r="P19" s="539" t="str">
        <f>IF(P$17="","",HLOOKUP(P$17,woningen_gebouwen_gegevens,ROWS(bibliotheek!$E$20:$E$21),FALSE))</f>
        <v/>
      </c>
      <c r="Q19" s="539" t="str">
        <f>IF(Q$17="","",HLOOKUP(Q$17,woningen_gebouwen_gegevens,ROWS(bibliotheek!$E$20:$E$21),FALSE))</f>
        <v/>
      </c>
      <c r="R19" s="539" t="str">
        <f>IF(R$17="","",HLOOKUP(R$17,woningen_gebouwen_gegevens,ROWS(bibliotheek!$E$20:$E$21),FALSE))</f>
        <v/>
      </c>
      <c r="S19" s="539" t="str">
        <f>IF(S$17="","",HLOOKUP(S$17,woningen_gebouwen_gegevens,ROWS(bibliotheek!$E$20:$E$21),FALSE))</f>
        <v/>
      </c>
      <c r="T19" s="539" t="str">
        <f>IF(T$17="","",HLOOKUP(T$17,woningen_gebouwen_gegevens,ROWS(bibliotheek!$E$20:$E$21),FALSE))</f>
        <v/>
      </c>
      <c r="U19" s="539" t="str">
        <f>IF(U$17="","",HLOOKUP(U$17,woningen_gebouwen_gegevens,ROWS(bibliotheek!$E$20:$E$21),FALSE))</f>
        <v/>
      </c>
      <c r="V19" s="539" t="str">
        <f>IF(V$17="","",HLOOKUP(V$17,woningen_gebouwen_gegevens,ROWS(bibliotheek!$E$20:$E$21),FALSE))</f>
        <v/>
      </c>
      <c r="W19" s="539" t="str">
        <f>IF(W$17="","",HLOOKUP(W$17,woningen_gebouwen_gegevens,ROWS(bibliotheek!$E$20:$E$21),FALSE))</f>
        <v/>
      </c>
      <c r="X19" s="322"/>
      <c r="Y19" s="148"/>
      <c r="Z19" s="323"/>
      <c r="AA19" s="385" t="str">
        <f>IF(AA$17="","",HLOOKUP(AA$17,woningen_gebouwen_gegevens,ROWS(bibliotheek!$E$20:$E$21),FALSE))</f>
        <v/>
      </c>
      <c r="AB19" s="385" t="str">
        <f>IF(AB$17="","",HLOOKUP(AB$17,woningen_gebouwen_gegevens,ROWS(bibliotheek!$E$20:$E$21),FALSE))</f>
        <v/>
      </c>
      <c r="AC19" s="385" t="str">
        <f>IF(AC$17="","",HLOOKUP(AC$17,woningen_gebouwen_gegevens,ROWS(bibliotheek!$E$20:$E$21),FALSE))</f>
        <v/>
      </c>
      <c r="AD19" s="385" t="str">
        <f>IF(AD$17="","",HLOOKUP(AD$17,woningen_gebouwen_gegevens,ROWS(bibliotheek!$E$20:$E$21),FALSE))</f>
        <v/>
      </c>
      <c r="AE19" s="385" t="str">
        <f>IF(AE$17="","",HLOOKUP(AE$17,woningen_gebouwen_gegevens,ROWS(bibliotheek!$E$20:$E$21),FALSE))</f>
        <v/>
      </c>
      <c r="AF19" s="385" t="str">
        <f>IF(AF$17="","",HLOOKUP(AF$17,woningen_gebouwen_gegevens,ROWS(bibliotheek!$E$20:$E$21),FALSE))</f>
        <v/>
      </c>
      <c r="AG19" s="385" t="str">
        <f>IF(AG$17="","",HLOOKUP(AG$17,woningen_gebouwen_gegevens,ROWS(bibliotheek!$E$20:$E$21),FALSE))</f>
        <v/>
      </c>
      <c r="AH19" s="385" t="str">
        <f>IF(AH$17="","",HLOOKUP(AH$17,woningen_gebouwen_gegevens,ROWS(bibliotheek!$E$20:$E$21),FALSE))</f>
        <v/>
      </c>
      <c r="AI19" s="385" t="str">
        <f>IF(AI$17="","",HLOOKUP(AI$17,woningen_gebouwen_gegevens,ROWS(bibliotheek!$E$20:$E$21),FALSE))</f>
        <v/>
      </c>
      <c r="AJ19" s="322"/>
      <c r="AK19" s="148"/>
      <c r="AL19" s="323"/>
      <c r="AM19" s="385" t="str">
        <f>IF(AM$17="","",HLOOKUP(AM$17,woningen_gebouwen_gegevens,ROWS(bibliotheek!$E$20:$E$21),FALSE))</f>
        <v/>
      </c>
      <c r="AN19" s="385" t="str">
        <f>IF(AN$17="","",HLOOKUP(AN$17,woningen_gebouwen_gegevens,ROWS(bibliotheek!$E$20:$E$21),FALSE))</f>
        <v/>
      </c>
      <c r="AO19" s="385" t="str">
        <f>IF(AO$17="","",HLOOKUP(AO$17,woningen_gebouwen_gegevens,ROWS(bibliotheek!$E$20:$E$21),FALSE))</f>
        <v/>
      </c>
      <c r="AP19" s="385" t="str">
        <f>IF(AP$17="","",HLOOKUP(AP$17,woningen_gebouwen_gegevens,ROWS(bibliotheek!$E$20:$E$21),FALSE))</f>
        <v/>
      </c>
      <c r="AQ19" s="385" t="str">
        <f>IF(AQ$17="","",HLOOKUP(AQ$17,woningen_gebouwen_gegevens,ROWS(bibliotheek!$E$20:$E$21),FALSE))</f>
        <v/>
      </c>
      <c r="AR19" s="385" t="str">
        <f>IF(AR$17="","",HLOOKUP(AR$17,woningen_gebouwen_gegevens,ROWS(bibliotheek!$E$20:$E$21),FALSE))</f>
        <v/>
      </c>
      <c r="AS19" s="385" t="str">
        <f>IF(AS$17="","",HLOOKUP(AS$17,woningen_gebouwen_gegevens,ROWS(bibliotheek!$E$20:$E$21),FALSE))</f>
        <v/>
      </c>
      <c r="AT19" s="385" t="str">
        <f>IF(AT$17="","",HLOOKUP(AT$17,woningen_gebouwen_gegevens,ROWS(bibliotheek!$E$20:$E$21),FALSE))</f>
        <v/>
      </c>
      <c r="AU19" s="385" t="str">
        <f>IF(AU$17="","",HLOOKUP(AU$17,woningen_gebouwen_gegevens,ROWS(bibliotheek!$E$20:$E$21),FALSE))</f>
        <v/>
      </c>
      <c r="AV19" s="322"/>
      <c r="AW19" s="148"/>
      <c r="AX19" s="323"/>
      <c r="AY19" s="385" t="str">
        <f>IF(AY$17="","",HLOOKUP(AY$17,woningen_gebouwen_gegevens,ROWS(bibliotheek!$E$20:$E$21),FALSE))</f>
        <v/>
      </c>
      <c r="AZ19" s="385" t="str">
        <f>IF(AZ$17="","",HLOOKUP(AZ$17,woningen_gebouwen_gegevens,ROWS(bibliotheek!$E$20:$E$21),FALSE))</f>
        <v/>
      </c>
      <c r="BA19" s="385" t="str">
        <f>IF(BA$17="","",HLOOKUP(BA$17,woningen_gebouwen_gegevens,ROWS(bibliotheek!$E$20:$E$21),FALSE))</f>
        <v/>
      </c>
      <c r="BB19" s="385" t="str">
        <f>IF(BB$17="","",HLOOKUP(BB$17,woningen_gebouwen_gegevens,ROWS(bibliotheek!$E$20:$E$21),FALSE))</f>
        <v/>
      </c>
      <c r="BC19" s="385" t="str">
        <f>IF(BC$17="","",HLOOKUP(BC$17,woningen_gebouwen_gegevens,ROWS(bibliotheek!$E$20:$E$21),FALSE))</f>
        <v/>
      </c>
      <c r="BD19" s="385" t="str">
        <f>IF(BD$17="","",HLOOKUP(BD$17,woningen_gebouwen_gegevens,ROWS(bibliotheek!$E$20:$E$21),FALSE))</f>
        <v/>
      </c>
      <c r="BE19" s="385" t="str">
        <f>IF(BE$17="","",HLOOKUP(BE$17,woningen_gebouwen_gegevens,ROWS(bibliotheek!$E$20:$E$21),FALSE))</f>
        <v/>
      </c>
      <c r="BF19" s="385" t="str">
        <f>IF(BF$17="","",HLOOKUP(BF$17,woningen_gebouwen_gegevens,ROWS(bibliotheek!$E$20:$E$21),FALSE))</f>
        <v/>
      </c>
      <c r="BG19" s="385" t="str">
        <f>IF(BG$17="","",HLOOKUP(BG$17,woningen_gebouwen_gegevens,ROWS(bibliotheek!$E$20:$E$21),FALSE))</f>
        <v/>
      </c>
      <c r="BH19" s="213"/>
    </row>
    <row r="20" spans="1:60">
      <c r="A20" s="1040"/>
      <c r="B20" s="1106" t="s">
        <v>111</v>
      </c>
      <c r="C20" s="1107" t="s">
        <v>104</v>
      </c>
      <c r="D20" s="638"/>
      <c r="E20" s="180" t="s">
        <v>116</v>
      </c>
      <c r="F20" s="180"/>
      <c r="G20" s="180"/>
      <c r="H20" s="181" t="s">
        <v>65</v>
      </c>
      <c r="I20" s="114"/>
      <c r="J20" s="624"/>
      <c r="K20" s="243"/>
      <c r="L20" s="243"/>
      <c r="M20" s="188"/>
      <c r="N20" s="89"/>
      <c r="O20" s="385" t="str">
        <f>IF(O$17="","",HLOOKUP(O$17,woningen_gebouwen_gegevens,ROWS(bibliotheek!$E$20:$E$22),FALSE))</f>
        <v/>
      </c>
      <c r="P20" s="385" t="str">
        <f>IF(P$17="","",HLOOKUP(P$17,woningen_gebouwen_gegevens,ROWS(bibliotheek!$E$20:$E$22),FALSE))</f>
        <v/>
      </c>
      <c r="Q20" s="385" t="str">
        <f>IF(Q$17="","",HLOOKUP(Q$17,woningen_gebouwen_gegevens,ROWS(bibliotheek!$E$20:$E$22),FALSE))</f>
        <v/>
      </c>
      <c r="R20" s="385" t="str">
        <f>IF(R$17="","",HLOOKUP(R$17,woningen_gebouwen_gegevens,ROWS(bibliotheek!$E$20:$E$22),FALSE))</f>
        <v/>
      </c>
      <c r="S20" s="385" t="str">
        <f>IF(S$17="","",HLOOKUP(S$17,woningen_gebouwen_gegevens,ROWS(bibliotheek!$E$20:$E$22),FALSE))</f>
        <v/>
      </c>
      <c r="T20" s="385" t="str">
        <f>IF(T$17="","",HLOOKUP(T$17,woningen_gebouwen_gegevens,ROWS(bibliotheek!$E$20:$E$22),FALSE))</f>
        <v/>
      </c>
      <c r="U20" s="385" t="str">
        <f>IF(U$17="","",HLOOKUP(U$17,woningen_gebouwen_gegevens,ROWS(bibliotheek!$E$20:$E$22),FALSE))</f>
        <v/>
      </c>
      <c r="V20" s="385" t="str">
        <f>IF(V$17="","",HLOOKUP(V$17,woningen_gebouwen_gegevens,ROWS(bibliotheek!$E$20:$E$22),FALSE))</f>
        <v/>
      </c>
      <c r="W20" s="385" t="str">
        <f>IF(W$17="","",HLOOKUP(W$17,woningen_gebouwen_gegevens,ROWS(bibliotheek!$E$20:$E$22),FALSE))</f>
        <v/>
      </c>
      <c r="X20" s="90"/>
      <c r="Y20" s="188"/>
      <c r="Z20" s="89"/>
      <c r="AA20" s="385" t="str">
        <f>IF(AA$17="","",HLOOKUP(AA$17,woningen_gebouwen_gegevens,ROWS(bibliotheek!$E$20:$E$22),FALSE))</f>
        <v/>
      </c>
      <c r="AB20" s="385" t="str">
        <f>IF(AB$17="","",HLOOKUP(AB$17,woningen_gebouwen_gegevens,ROWS(bibliotheek!$E$20:$E$22),FALSE))</f>
        <v/>
      </c>
      <c r="AC20" s="385" t="str">
        <f>IF(AC$17="","",HLOOKUP(AC$17,woningen_gebouwen_gegevens,ROWS(bibliotheek!$E$20:$E$22),FALSE))</f>
        <v/>
      </c>
      <c r="AD20" s="385" t="str">
        <f>IF(AD$17="","",HLOOKUP(AD$17,woningen_gebouwen_gegevens,ROWS(bibliotheek!$E$20:$E$22),FALSE))</f>
        <v/>
      </c>
      <c r="AE20" s="385" t="str">
        <f>IF(AE$17="","",HLOOKUP(AE$17,woningen_gebouwen_gegevens,ROWS(bibliotheek!$E$20:$E$22),FALSE))</f>
        <v/>
      </c>
      <c r="AF20" s="385" t="str">
        <f>IF(AF$17="","",HLOOKUP(AF$17,woningen_gebouwen_gegevens,ROWS(bibliotheek!$E$20:$E$22),FALSE))</f>
        <v/>
      </c>
      <c r="AG20" s="385" t="str">
        <f>IF(AG$17="","",HLOOKUP(AG$17,woningen_gebouwen_gegevens,ROWS(bibliotheek!$E$20:$E$22),FALSE))</f>
        <v/>
      </c>
      <c r="AH20" s="385" t="str">
        <f>IF(AH$17="","",HLOOKUP(AH$17,woningen_gebouwen_gegevens,ROWS(bibliotheek!$E$20:$E$22),FALSE))</f>
        <v/>
      </c>
      <c r="AI20" s="385" t="str">
        <f>IF(AI$17="","",HLOOKUP(AI$17,woningen_gebouwen_gegevens,ROWS(bibliotheek!$E$20:$E$22),FALSE))</f>
        <v/>
      </c>
      <c r="AJ20" s="90"/>
      <c r="AK20" s="188"/>
      <c r="AL20" s="89"/>
      <c r="AM20" s="385" t="str">
        <f>IF(AM$17="","",HLOOKUP(AM$17,woningen_gebouwen_gegevens,ROWS(bibliotheek!$E$20:$E$22),FALSE))</f>
        <v/>
      </c>
      <c r="AN20" s="385" t="str">
        <f>IF(AN$17="","",HLOOKUP(AN$17,woningen_gebouwen_gegevens,ROWS(bibliotheek!$E$20:$E$22),FALSE))</f>
        <v/>
      </c>
      <c r="AO20" s="385" t="str">
        <f>IF(AO$17="","",HLOOKUP(AO$17,woningen_gebouwen_gegevens,ROWS(bibliotheek!$E$20:$E$22),FALSE))</f>
        <v/>
      </c>
      <c r="AP20" s="385" t="str">
        <f>IF(AP$17="","",HLOOKUP(AP$17,woningen_gebouwen_gegevens,ROWS(bibliotheek!$E$20:$E$22),FALSE))</f>
        <v/>
      </c>
      <c r="AQ20" s="385" t="str">
        <f>IF(AQ$17="","",HLOOKUP(AQ$17,woningen_gebouwen_gegevens,ROWS(bibliotheek!$E$20:$E$22),FALSE))</f>
        <v/>
      </c>
      <c r="AR20" s="385" t="str">
        <f>IF(AR$17="","",HLOOKUP(AR$17,woningen_gebouwen_gegevens,ROWS(bibliotheek!$E$20:$E$22),FALSE))</f>
        <v/>
      </c>
      <c r="AS20" s="385" t="str">
        <f>IF(AS$17="","",HLOOKUP(AS$17,woningen_gebouwen_gegevens,ROWS(bibliotheek!$E$20:$E$22),FALSE))</f>
        <v/>
      </c>
      <c r="AT20" s="385" t="str">
        <f>IF(AT$17="","",HLOOKUP(AT$17,woningen_gebouwen_gegevens,ROWS(bibliotheek!$E$20:$E$22),FALSE))</f>
        <v/>
      </c>
      <c r="AU20" s="385" t="str">
        <f>IF(AU$17="","",HLOOKUP(AU$17,woningen_gebouwen_gegevens,ROWS(bibliotheek!$E$20:$E$22),FALSE))</f>
        <v/>
      </c>
      <c r="AV20" s="90"/>
      <c r="AW20" s="188"/>
      <c r="AX20" s="89"/>
      <c r="AY20" s="385" t="str">
        <f>IF(AY$17="","",HLOOKUP(AY$17,woningen_gebouwen_gegevens,ROWS(bibliotheek!$E$20:$E$22),FALSE))</f>
        <v/>
      </c>
      <c r="AZ20" s="385" t="str">
        <f>IF(AZ$17="","",HLOOKUP(AZ$17,woningen_gebouwen_gegevens,ROWS(bibliotheek!$E$20:$E$22),FALSE))</f>
        <v/>
      </c>
      <c r="BA20" s="385" t="str">
        <f>IF(BA$17="","",HLOOKUP(BA$17,woningen_gebouwen_gegevens,ROWS(bibliotheek!$E$20:$E$22),FALSE))</f>
        <v/>
      </c>
      <c r="BB20" s="385" t="str">
        <f>IF(BB$17="","",HLOOKUP(BB$17,woningen_gebouwen_gegevens,ROWS(bibliotheek!$E$20:$E$22),FALSE))</f>
        <v/>
      </c>
      <c r="BC20" s="385" t="str">
        <f>IF(BC$17="","",HLOOKUP(BC$17,woningen_gebouwen_gegevens,ROWS(bibliotheek!$E$20:$E$22),FALSE))</f>
        <v/>
      </c>
      <c r="BD20" s="385" t="str">
        <f>IF(BD$17="","",HLOOKUP(BD$17,woningen_gebouwen_gegevens,ROWS(bibliotheek!$E$20:$E$22),FALSE))</f>
        <v/>
      </c>
      <c r="BE20" s="385" t="str">
        <f>IF(BE$17="","",HLOOKUP(BE$17,woningen_gebouwen_gegevens,ROWS(bibliotheek!$E$20:$E$22),FALSE))</f>
        <v/>
      </c>
      <c r="BF20" s="385" t="str">
        <f>IF(BF$17="","",HLOOKUP(BF$17,woningen_gebouwen_gegevens,ROWS(bibliotheek!$E$20:$E$22),FALSE))</f>
        <v/>
      </c>
      <c r="BG20" s="385" t="str">
        <f>IF(BG$17="","",HLOOKUP(BG$17,woningen_gebouwen_gegevens,ROWS(bibliotheek!$E$20:$E$22),FALSE))</f>
        <v/>
      </c>
      <c r="BH20" s="214"/>
    </row>
    <row r="21" spans="1:60">
      <c r="A21" s="1040"/>
      <c r="B21" s="1106" t="s">
        <v>111</v>
      </c>
      <c r="C21" s="1106" t="s">
        <v>96</v>
      </c>
      <c r="D21" s="638"/>
      <c r="E21" s="942" t="s">
        <v>117</v>
      </c>
      <c r="F21" s="942"/>
      <c r="G21" s="942"/>
      <c r="H21" s="942"/>
      <c r="I21" s="129"/>
      <c r="J21" s="943"/>
      <c r="K21" s="126"/>
      <c r="L21" s="126"/>
      <c r="M21" s="944"/>
      <c r="N21" s="193"/>
      <c r="O21" s="258" t="str">
        <f>O$17</f>
        <v/>
      </c>
      <c r="P21" s="258" t="str">
        <f t="shared" ref="P21:W21" si="12">P$17</f>
        <v/>
      </c>
      <c r="Q21" s="258" t="str">
        <f t="shared" si="12"/>
        <v/>
      </c>
      <c r="R21" s="258" t="str">
        <f t="shared" si="12"/>
        <v/>
      </c>
      <c r="S21" s="258" t="str">
        <f t="shared" si="12"/>
        <v/>
      </c>
      <c r="T21" s="258" t="str">
        <f t="shared" si="12"/>
        <v/>
      </c>
      <c r="U21" s="258" t="str">
        <f t="shared" si="12"/>
        <v/>
      </c>
      <c r="V21" s="258" t="str">
        <f t="shared" si="12"/>
        <v/>
      </c>
      <c r="W21" s="258" t="str">
        <f t="shared" si="12"/>
        <v/>
      </c>
      <c r="X21" s="195"/>
      <c r="Y21" s="944"/>
      <c r="Z21" s="195"/>
      <c r="AA21" s="258" t="str">
        <f>IF('woningen|utiliteit'!X22="","",'woningen|utiliteit'!X22)</f>
        <v/>
      </c>
      <c r="AB21" s="258" t="str">
        <f>IF('woningen|utiliteit'!Y22="","",'woningen|utiliteit'!Y22)</f>
        <v/>
      </c>
      <c r="AC21" s="258" t="str">
        <f>IF('woningen|utiliteit'!Z22="","",'woningen|utiliteit'!Z22)</f>
        <v/>
      </c>
      <c r="AD21" s="258" t="str">
        <f>IF('woningen|utiliteit'!AA22="","",'woningen|utiliteit'!AA22)</f>
        <v/>
      </c>
      <c r="AE21" s="258" t="str">
        <f>IF('woningen|utiliteit'!AB22="","",'woningen|utiliteit'!AB22)</f>
        <v/>
      </c>
      <c r="AF21" s="258" t="str">
        <f>IF('woningen|utiliteit'!AC22="","",'woningen|utiliteit'!AC22)</f>
        <v/>
      </c>
      <c r="AG21" s="258" t="str">
        <f>IF('woningen|utiliteit'!AD22="","",'woningen|utiliteit'!AD22)</f>
        <v/>
      </c>
      <c r="AH21" s="258" t="str">
        <f>IF('woningen|utiliteit'!AE22="","",'woningen|utiliteit'!AE22)</f>
        <v/>
      </c>
      <c r="AI21" s="258" t="str">
        <f>IF('woningen|utiliteit'!AF22="","",'woningen|utiliteit'!AF22)</f>
        <v/>
      </c>
      <c r="AJ21" s="195"/>
      <c r="AK21" s="944"/>
      <c r="AL21" s="195"/>
      <c r="AM21" s="258" t="str">
        <f>IF('woningen|utiliteit'!AJ22="","",'woningen|utiliteit'!AJ22)</f>
        <v/>
      </c>
      <c r="AN21" s="258" t="str">
        <f>IF('woningen|utiliteit'!AK22="","",'woningen|utiliteit'!AK22)</f>
        <v/>
      </c>
      <c r="AO21" s="258" t="str">
        <f>IF('woningen|utiliteit'!AL22="","",'woningen|utiliteit'!AL22)</f>
        <v/>
      </c>
      <c r="AP21" s="258" t="str">
        <f>IF('woningen|utiliteit'!AM22="","",'woningen|utiliteit'!AM22)</f>
        <v/>
      </c>
      <c r="AQ21" s="258" t="str">
        <f>IF('woningen|utiliteit'!AN22="","",'woningen|utiliteit'!AN22)</f>
        <v/>
      </c>
      <c r="AR21" s="258" t="str">
        <f>IF('woningen|utiliteit'!AO22="","",'woningen|utiliteit'!AO22)</f>
        <v/>
      </c>
      <c r="AS21" s="258" t="str">
        <f>IF('woningen|utiliteit'!AP22="","",'woningen|utiliteit'!AP22)</f>
        <v/>
      </c>
      <c r="AT21" s="258" t="str">
        <f>IF('woningen|utiliteit'!AQ22="","",'woningen|utiliteit'!AQ22)</f>
        <v/>
      </c>
      <c r="AU21" s="258" t="str">
        <f>IF('woningen|utiliteit'!AR22="","",'woningen|utiliteit'!AR22)</f>
        <v/>
      </c>
      <c r="AV21" s="195"/>
      <c r="AW21" s="944"/>
      <c r="AX21" s="195"/>
      <c r="AY21" s="258" t="str">
        <f>IF('woningen|utiliteit'!AV22="","",'woningen|utiliteit'!AV22)</f>
        <v/>
      </c>
      <c r="AZ21" s="258" t="str">
        <f>IF('woningen|utiliteit'!AW22="","",'woningen|utiliteit'!AW22)</f>
        <v/>
      </c>
      <c r="BA21" s="258" t="str">
        <f>IF('woningen|utiliteit'!AX22="","",'woningen|utiliteit'!AX22)</f>
        <v/>
      </c>
      <c r="BB21" s="258" t="str">
        <f>IF('woningen|utiliteit'!AY22="","",'woningen|utiliteit'!AY22)</f>
        <v/>
      </c>
      <c r="BC21" s="258" t="str">
        <f>IF('woningen|utiliteit'!AZ22="","",'woningen|utiliteit'!AZ22)</f>
        <v/>
      </c>
      <c r="BD21" s="258" t="str">
        <f>IF('woningen|utiliteit'!BA22="","",'woningen|utiliteit'!BA22)</f>
        <v/>
      </c>
      <c r="BE21" s="258" t="str">
        <f>IF('woningen|utiliteit'!BB22="","",'woningen|utiliteit'!BB22)</f>
        <v/>
      </c>
      <c r="BF21" s="258" t="str">
        <f>IF('woningen|utiliteit'!BC22="","",'woningen|utiliteit'!BC22)</f>
        <v/>
      </c>
      <c r="BG21" s="258" t="str">
        <f>IF('woningen|utiliteit'!BD22="","",'woningen|utiliteit'!BD22)</f>
        <v/>
      </c>
      <c r="BH21" s="36"/>
    </row>
    <row r="22" spans="1:60">
      <c r="A22" s="1040"/>
      <c r="B22" s="1106" t="s">
        <v>111</v>
      </c>
      <c r="C22" s="1107" t="s">
        <v>118</v>
      </c>
      <c r="D22" s="638"/>
      <c r="E22" s="254" t="s">
        <v>119</v>
      </c>
      <c r="F22" s="254"/>
      <c r="G22" s="254"/>
      <c r="H22" s="298" t="s">
        <v>120</v>
      </c>
      <c r="I22" s="116"/>
      <c r="J22" s="185">
        <f>M22+Y22+AK22+AW22</f>
        <v>0</v>
      </c>
      <c r="K22" s="1051"/>
      <c r="L22" s="1051"/>
      <c r="M22" s="400">
        <f>SUM(N22:X22)</f>
        <v>0</v>
      </c>
      <c r="N22" s="91"/>
      <c r="O22" s="538">
        <f>IF('woningen|utiliteit'!L18="",0,IF(O23&lt;&gt;"",O23,'woningen|utiliteit'!L21))</f>
        <v>0</v>
      </c>
      <c r="P22" s="538">
        <f>IF('woningen|utiliteit'!M18="",0,IF(P23&lt;&gt;"",P23,'woningen|utiliteit'!M21))</f>
        <v>0</v>
      </c>
      <c r="Q22" s="539">
        <f>IF('woningen|utiliteit'!N18="",0,IF(Q23&lt;&gt;"",Q23,'woningen|utiliteit'!N21))</f>
        <v>0</v>
      </c>
      <c r="R22" s="539">
        <f>IF('woningen|utiliteit'!O18="",0,IF(R23&lt;&gt;"",R23,'woningen|utiliteit'!O21))</f>
        <v>0</v>
      </c>
      <c r="S22" s="539">
        <f>IF('woningen|utiliteit'!P18="",0,IF(S23&lt;&gt;"",S23,'woningen|utiliteit'!P21))</f>
        <v>0</v>
      </c>
      <c r="T22" s="539">
        <f>IF('woningen|utiliteit'!Q18="",0,IF(T23&lt;&gt;"",T23,'woningen|utiliteit'!Q21))</f>
        <v>0</v>
      </c>
      <c r="U22" s="539">
        <f>IF('woningen|utiliteit'!R18="",0,IF(U23&lt;&gt;"",U23,'woningen|utiliteit'!R21))</f>
        <v>0</v>
      </c>
      <c r="V22" s="539">
        <f>IF('woningen|utiliteit'!S18="",0,IF(V23&lt;&gt;"",V23,'woningen|utiliteit'!S21))</f>
        <v>0</v>
      </c>
      <c r="W22" s="538">
        <f>IF('woningen|utiliteit'!T18="",0,IF(W23&lt;&gt;"",W23,'woningen|utiliteit'!T21))</f>
        <v>0</v>
      </c>
      <c r="X22" s="92"/>
      <c r="Y22" s="189">
        <f>SUM(Z22:AJ22)</f>
        <v>0</v>
      </c>
      <c r="Z22" s="91"/>
      <c r="AA22" s="538">
        <f>IF('woningen|utiliteit'!L34="",0,IF(AA23&lt;&gt;"",AA23,'woningen|utiliteit'!L37))</f>
        <v>0</v>
      </c>
      <c r="AB22" s="538">
        <f>IF('woningen|utiliteit'!M34="",0,IF(AB23&lt;&gt;"",AB23,'woningen|utiliteit'!M37))</f>
        <v>0</v>
      </c>
      <c r="AC22" s="539">
        <f>IF('woningen|utiliteit'!N34="",0,IF(AC23&lt;&gt;"",AC23,'woningen|utiliteit'!N37))</f>
        <v>0</v>
      </c>
      <c r="AD22" s="539">
        <f>IF('woningen|utiliteit'!O34="",0,IF(AD23&lt;&gt;"",AD23,'woningen|utiliteit'!O37))</f>
        <v>0</v>
      </c>
      <c r="AE22" s="539">
        <f>IF('woningen|utiliteit'!P34="",0,IF(AE23&lt;&gt;"",AE23,'woningen|utiliteit'!P37))</f>
        <v>0</v>
      </c>
      <c r="AF22" s="539">
        <f>IF('woningen|utiliteit'!Q34="",0,IF(AF23&lt;&gt;"",AF23,'woningen|utiliteit'!Q37))</f>
        <v>0</v>
      </c>
      <c r="AG22" s="539">
        <f>IF('woningen|utiliteit'!R34="",0,IF(AG23&lt;&gt;"",AG23,'woningen|utiliteit'!R37))</f>
        <v>0</v>
      </c>
      <c r="AH22" s="539">
        <f>IF('woningen|utiliteit'!S34="",0,IF(AH23&lt;&gt;"",AH23,'woningen|utiliteit'!S37))</f>
        <v>0</v>
      </c>
      <c r="AI22" s="538">
        <f>IF('woningen|utiliteit'!T34="",0,IF(AI23&lt;&gt;"",AI23,'woningen|utiliteit'!T37))</f>
        <v>0</v>
      </c>
      <c r="AJ22" s="92"/>
      <c r="AK22" s="189">
        <f>SUM(AL22:AV22)</f>
        <v>0</v>
      </c>
      <c r="AL22" s="91"/>
      <c r="AM22" s="538">
        <f>IF('woningen|utiliteit'!L50="",0,IF(AM23&lt;&gt;"",AM23,'woningen|utiliteit'!L53))</f>
        <v>0</v>
      </c>
      <c r="AN22" s="538">
        <f>IF('woningen|utiliteit'!M50="",0,IF(AN23&lt;&gt;"",AN23,'woningen|utiliteit'!M53))</f>
        <v>0</v>
      </c>
      <c r="AO22" s="539">
        <f>IF('woningen|utiliteit'!N50="",0,IF(AO23&lt;&gt;"",AO23,'woningen|utiliteit'!N53))</f>
        <v>0</v>
      </c>
      <c r="AP22" s="539">
        <f>IF('woningen|utiliteit'!O50="",0,IF(AP23&lt;&gt;"",AP23,'woningen|utiliteit'!O53))</f>
        <v>0</v>
      </c>
      <c r="AQ22" s="539">
        <f>IF('woningen|utiliteit'!P50="",0,IF(AQ23&lt;&gt;"",AQ23,'woningen|utiliteit'!P53))</f>
        <v>0</v>
      </c>
      <c r="AR22" s="539">
        <f>IF('woningen|utiliteit'!Q50="",0,IF(AR23&lt;&gt;"",AR23,'woningen|utiliteit'!Q53))</f>
        <v>0</v>
      </c>
      <c r="AS22" s="539">
        <f>IF('woningen|utiliteit'!R50="",0,IF(AS23&lt;&gt;"",AS23,'woningen|utiliteit'!R53))</f>
        <v>0</v>
      </c>
      <c r="AT22" s="539">
        <f>IF('woningen|utiliteit'!S50="",0,IF(AT23&lt;&gt;"",AT23,'woningen|utiliteit'!S53))</f>
        <v>0</v>
      </c>
      <c r="AU22" s="538">
        <f>IF('woningen|utiliteit'!T50="",0,IF(AU23&lt;&gt;"",AU23,'woningen|utiliteit'!T53))</f>
        <v>0</v>
      </c>
      <c r="AV22" s="92"/>
      <c r="AW22" s="189">
        <f>SUM(AX22:BH22)</f>
        <v>0</v>
      </c>
      <c r="AX22" s="91"/>
      <c r="AY22" s="538">
        <f>IF('woningen|utiliteit'!L66="",0,IF(AY23&lt;&gt;"",AY23,'woningen|utiliteit'!L69))</f>
        <v>0</v>
      </c>
      <c r="AZ22" s="538">
        <f>IF('woningen|utiliteit'!M66="",0,IF(AZ23&lt;&gt;"",AZ23,'woningen|utiliteit'!M69))</f>
        <v>0</v>
      </c>
      <c r="BA22" s="539">
        <f>IF('woningen|utiliteit'!N66="",0,IF(BA23&lt;&gt;"",BA23,'woningen|utiliteit'!N69))</f>
        <v>0</v>
      </c>
      <c r="BB22" s="539">
        <f>IF('woningen|utiliteit'!O66="",0,IF(BB23&lt;&gt;"",BB23,'woningen|utiliteit'!O69))</f>
        <v>0</v>
      </c>
      <c r="BC22" s="539">
        <f>IF('woningen|utiliteit'!P66="",0,IF(BC23&lt;&gt;"",BC23,'woningen|utiliteit'!P69))</f>
        <v>0</v>
      </c>
      <c r="BD22" s="539">
        <f>IF('woningen|utiliteit'!Q66="",0,IF(BD23&lt;&gt;"",BD23,'woningen|utiliteit'!Q69))</f>
        <v>0</v>
      </c>
      <c r="BE22" s="539">
        <f>IF('woningen|utiliteit'!R66="",0,IF(BE23&lt;&gt;"",BE23,'woningen|utiliteit'!R69))</f>
        <v>0</v>
      </c>
      <c r="BF22" s="539">
        <f>IF('woningen|utiliteit'!S66="",0,IF(BF23&lt;&gt;"",BF23,'woningen|utiliteit'!S69))</f>
        <v>0</v>
      </c>
      <c r="BG22" s="538">
        <f>IF('woningen|utiliteit'!T66="",0,IF(BG23&lt;&gt;"",BG23,'woningen|utiliteit'!T69))</f>
        <v>0</v>
      </c>
      <c r="BH22" s="213"/>
    </row>
    <row r="23" spans="1:60">
      <c r="A23" s="1040"/>
      <c r="B23" s="1106" t="s">
        <v>111</v>
      </c>
      <c r="C23" s="1107" t="s">
        <v>118</v>
      </c>
      <c r="D23" s="638"/>
      <c r="E23" s="1218" t="s">
        <v>77</v>
      </c>
      <c r="F23" s="255"/>
      <c r="G23" s="255"/>
      <c r="H23" s="297"/>
      <c r="I23" s="86"/>
      <c r="J23" s="299"/>
      <c r="K23" s="93"/>
      <c r="L23" s="93"/>
      <c r="M23" s="398"/>
      <c r="N23" s="94"/>
      <c r="O23" s="263"/>
      <c r="P23" s="263"/>
      <c r="Q23" s="263"/>
      <c r="R23" s="263"/>
      <c r="S23" s="263"/>
      <c r="T23" s="263"/>
      <c r="U23" s="263"/>
      <c r="V23" s="263"/>
      <c r="W23" s="263"/>
      <c r="X23" s="87"/>
      <c r="Y23" s="197"/>
      <c r="Z23" s="94"/>
      <c r="AA23" s="263"/>
      <c r="AB23" s="263"/>
      <c r="AC23" s="263"/>
      <c r="AD23" s="263"/>
      <c r="AE23" s="263"/>
      <c r="AF23" s="263"/>
      <c r="AG23" s="263"/>
      <c r="AH23" s="263"/>
      <c r="AI23" s="263"/>
      <c r="AJ23" s="87"/>
      <c r="AK23" s="197"/>
      <c r="AL23" s="94"/>
      <c r="AM23" s="263"/>
      <c r="AN23" s="263"/>
      <c r="AO23" s="263"/>
      <c r="AP23" s="263"/>
      <c r="AQ23" s="263"/>
      <c r="AR23" s="263"/>
      <c r="AS23" s="263"/>
      <c r="AT23" s="263"/>
      <c r="AU23" s="263"/>
      <c r="AV23" s="87"/>
      <c r="AW23" s="197"/>
      <c r="AX23" s="94"/>
      <c r="AY23" s="263"/>
      <c r="AZ23" s="263"/>
      <c r="BA23" s="263"/>
      <c r="BB23" s="263"/>
      <c r="BC23" s="263"/>
      <c r="BD23" s="263"/>
      <c r="BE23" s="263"/>
      <c r="BF23" s="263"/>
      <c r="BG23" s="263"/>
      <c r="BH23" s="174"/>
    </row>
    <row r="24" spans="1:60">
      <c r="A24" s="1040"/>
      <c r="B24" s="1106" t="s">
        <v>111</v>
      </c>
      <c r="C24" s="1107" t="s">
        <v>104</v>
      </c>
      <c r="D24" s="638"/>
      <c r="E24" s="254" t="s">
        <v>121</v>
      </c>
      <c r="F24" s="180"/>
      <c r="G24" s="180"/>
      <c r="H24" s="150" t="s">
        <v>72</v>
      </c>
      <c r="I24" s="95"/>
      <c r="J24" s="185">
        <f>M24+Y24+AK24+AW24</f>
        <v>0</v>
      </c>
      <c r="K24" s="1051"/>
      <c r="L24" s="1051"/>
      <c r="M24" s="206">
        <f>SUM(N24:X24)</f>
        <v>0</v>
      </c>
      <c r="N24" s="96"/>
      <c r="O24" s="540">
        <f t="shared" ref="O24:W24" si="13">IF(O$19=woning,O$22,0)</f>
        <v>0</v>
      </c>
      <c r="P24" s="540">
        <f t="shared" si="13"/>
        <v>0</v>
      </c>
      <c r="Q24" s="540">
        <f t="shared" si="13"/>
        <v>0</v>
      </c>
      <c r="R24" s="540">
        <f t="shared" si="13"/>
        <v>0</v>
      </c>
      <c r="S24" s="540">
        <f t="shared" si="13"/>
        <v>0</v>
      </c>
      <c r="T24" s="540">
        <f t="shared" si="13"/>
        <v>0</v>
      </c>
      <c r="U24" s="540">
        <f t="shared" si="13"/>
        <v>0</v>
      </c>
      <c r="V24" s="540">
        <f t="shared" si="13"/>
        <v>0</v>
      </c>
      <c r="W24" s="540">
        <f t="shared" si="13"/>
        <v>0</v>
      </c>
      <c r="X24" s="97"/>
      <c r="Y24" s="400">
        <f>SUM(Z24:AJ24)</f>
        <v>0</v>
      </c>
      <c r="Z24" s="96"/>
      <c r="AA24" s="540">
        <f t="shared" ref="AA24:AI24" si="14">IF(AA$19=woning,AA$22,0)</f>
        <v>0</v>
      </c>
      <c r="AB24" s="540">
        <f t="shared" si="14"/>
        <v>0</v>
      </c>
      <c r="AC24" s="540">
        <f t="shared" si="14"/>
        <v>0</v>
      </c>
      <c r="AD24" s="540">
        <f t="shared" si="14"/>
        <v>0</v>
      </c>
      <c r="AE24" s="540">
        <f t="shared" si="14"/>
        <v>0</v>
      </c>
      <c r="AF24" s="540">
        <f t="shared" si="14"/>
        <v>0</v>
      </c>
      <c r="AG24" s="540">
        <f t="shared" si="14"/>
        <v>0</v>
      </c>
      <c r="AH24" s="540">
        <f t="shared" si="14"/>
        <v>0</v>
      </c>
      <c r="AI24" s="540">
        <f t="shared" si="14"/>
        <v>0</v>
      </c>
      <c r="AJ24" s="97"/>
      <c r="AK24" s="189">
        <f>SUM(AL24:AV24)</f>
        <v>0</v>
      </c>
      <c r="AL24" s="96"/>
      <c r="AM24" s="540">
        <f>IF(AM$19=woning,AM$22,0)</f>
        <v>0</v>
      </c>
      <c r="AN24" s="540">
        <f t="shared" ref="AN24:AU24" si="15">IF(AN$19=woning,AN$22,0)</f>
        <v>0</v>
      </c>
      <c r="AO24" s="540">
        <f t="shared" si="15"/>
        <v>0</v>
      </c>
      <c r="AP24" s="540">
        <f t="shared" si="15"/>
        <v>0</v>
      </c>
      <c r="AQ24" s="540">
        <f t="shared" si="15"/>
        <v>0</v>
      </c>
      <c r="AR24" s="540">
        <f t="shared" si="15"/>
        <v>0</v>
      </c>
      <c r="AS24" s="540">
        <f t="shared" si="15"/>
        <v>0</v>
      </c>
      <c r="AT24" s="540">
        <f t="shared" si="15"/>
        <v>0</v>
      </c>
      <c r="AU24" s="540">
        <f t="shared" si="15"/>
        <v>0</v>
      </c>
      <c r="AV24" s="97"/>
      <c r="AW24" s="400">
        <f>SUM(AX24:BH24)</f>
        <v>0</v>
      </c>
      <c r="AX24" s="96"/>
      <c r="AY24" s="540">
        <f t="shared" ref="AY24:BG24" si="16">IF(AY$19=woning,AY$22,0)</f>
        <v>0</v>
      </c>
      <c r="AZ24" s="540">
        <f t="shared" si="16"/>
        <v>0</v>
      </c>
      <c r="BA24" s="540">
        <f t="shared" si="16"/>
        <v>0</v>
      </c>
      <c r="BB24" s="540">
        <f t="shared" si="16"/>
        <v>0</v>
      </c>
      <c r="BC24" s="540">
        <f t="shared" si="16"/>
        <v>0</v>
      </c>
      <c r="BD24" s="540">
        <f t="shared" si="16"/>
        <v>0</v>
      </c>
      <c r="BE24" s="540">
        <f t="shared" si="16"/>
        <v>0</v>
      </c>
      <c r="BF24" s="540">
        <f t="shared" si="16"/>
        <v>0</v>
      </c>
      <c r="BG24" s="540">
        <f t="shared" si="16"/>
        <v>0</v>
      </c>
      <c r="BH24" s="174"/>
    </row>
    <row r="25" spans="1:60">
      <c r="A25" s="1040"/>
      <c r="B25" s="1106" t="s">
        <v>111</v>
      </c>
      <c r="C25" s="1107" t="s">
        <v>104</v>
      </c>
      <c r="D25" s="638"/>
      <c r="E25" s="254" t="s">
        <v>122</v>
      </c>
      <c r="F25" s="180"/>
      <c r="G25" s="180"/>
      <c r="H25" s="150" t="s">
        <v>72</v>
      </c>
      <c r="I25" s="95"/>
      <c r="J25" s="185">
        <f>M25+Y25+AK25+AW25</f>
        <v>0</v>
      </c>
      <c r="K25" s="1051"/>
      <c r="L25" s="1051"/>
      <c r="M25" s="206">
        <f>SUM(N25:X25)</f>
        <v>0</v>
      </c>
      <c r="N25" s="96"/>
      <c r="O25" s="540">
        <f t="shared" ref="O25:W25" si="17">IF(O$19=woongebouw,O$22,0)</f>
        <v>0</v>
      </c>
      <c r="P25" s="540">
        <f t="shared" si="17"/>
        <v>0</v>
      </c>
      <c r="Q25" s="540">
        <f t="shared" si="17"/>
        <v>0</v>
      </c>
      <c r="R25" s="540">
        <f t="shared" si="17"/>
        <v>0</v>
      </c>
      <c r="S25" s="540">
        <f t="shared" si="17"/>
        <v>0</v>
      </c>
      <c r="T25" s="540">
        <f t="shared" si="17"/>
        <v>0</v>
      </c>
      <c r="U25" s="540">
        <f t="shared" si="17"/>
        <v>0</v>
      </c>
      <c r="V25" s="540">
        <f t="shared" si="17"/>
        <v>0</v>
      </c>
      <c r="W25" s="540">
        <f t="shared" si="17"/>
        <v>0</v>
      </c>
      <c r="X25" s="97"/>
      <c r="Y25" s="400">
        <f>SUM(Z25:AJ25)</f>
        <v>0</v>
      </c>
      <c r="Z25" s="96"/>
      <c r="AA25" s="540">
        <f t="shared" ref="AA25:AI25" si="18">IF(AA$19=woongebouw,AA$22,0)</f>
        <v>0</v>
      </c>
      <c r="AB25" s="540">
        <f t="shared" si="18"/>
        <v>0</v>
      </c>
      <c r="AC25" s="540">
        <f t="shared" si="18"/>
        <v>0</v>
      </c>
      <c r="AD25" s="540">
        <f t="shared" si="18"/>
        <v>0</v>
      </c>
      <c r="AE25" s="540">
        <f t="shared" si="18"/>
        <v>0</v>
      </c>
      <c r="AF25" s="540">
        <f t="shared" si="18"/>
        <v>0</v>
      </c>
      <c r="AG25" s="540">
        <f t="shared" si="18"/>
        <v>0</v>
      </c>
      <c r="AH25" s="540">
        <f t="shared" si="18"/>
        <v>0</v>
      </c>
      <c r="AI25" s="540">
        <f t="shared" si="18"/>
        <v>0</v>
      </c>
      <c r="AJ25" s="97"/>
      <c r="AK25" s="189">
        <f>SUM(AL25:AV25)</f>
        <v>0</v>
      </c>
      <c r="AL25" s="96"/>
      <c r="AM25" s="540">
        <f>IF(AM$19=woongebouw,AM$22,0)</f>
        <v>0</v>
      </c>
      <c r="AN25" s="540">
        <f t="shared" ref="AN25:AU25" si="19">IF(AN$19=woongebouw,AN$22,0)</f>
        <v>0</v>
      </c>
      <c r="AO25" s="540">
        <f t="shared" si="19"/>
        <v>0</v>
      </c>
      <c r="AP25" s="540">
        <f t="shared" si="19"/>
        <v>0</v>
      </c>
      <c r="AQ25" s="540">
        <f t="shared" si="19"/>
        <v>0</v>
      </c>
      <c r="AR25" s="540">
        <f t="shared" si="19"/>
        <v>0</v>
      </c>
      <c r="AS25" s="540">
        <f t="shared" si="19"/>
        <v>0</v>
      </c>
      <c r="AT25" s="540">
        <f t="shared" si="19"/>
        <v>0</v>
      </c>
      <c r="AU25" s="540">
        <f t="shared" si="19"/>
        <v>0</v>
      </c>
      <c r="AV25" s="97"/>
      <c r="AW25" s="400">
        <f>SUM(AX25:BH25)</f>
        <v>0</v>
      </c>
      <c r="AX25" s="96"/>
      <c r="AY25" s="540">
        <f t="shared" ref="AY25:BG25" si="20">IF(AY$19=woongebouw,AY$22,0)</f>
        <v>0</v>
      </c>
      <c r="AZ25" s="540">
        <f t="shared" si="20"/>
        <v>0</v>
      </c>
      <c r="BA25" s="540">
        <f t="shared" si="20"/>
        <v>0</v>
      </c>
      <c r="BB25" s="540">
        <f t="shared" si="20"/>
        <v>0</v>
      </c>
      <c r="BC25" s="540">
        <f t="shared" si="20"/>
        <v>0</v>
      </c>
      <c r="BD25" s="540">
        <f t="shared" si="20"/>
        <v>0</v>
      </c>
      <c r="BE25" s="540">
        <f t="shared" si="20"/>
        <v>0</v>
      </c>
      <c r="BF25" s="540">
        <f t="shared" si="20"/>
        <v>0</v>
      </c>
      <c r="BG25" s="540">
        <f t="shared" si="20"/>
        <v>0</v>
      </c>
      <c r="BH25" s="174"/>
    </row>
    <row r="26" spans="1:60">
      <c r="A26" s="1040"/>
      <c r="B26" s="1106" t="s">
        <v>111</v>
      </c>
      <c r="C26" s="1107" t="s">
        <v>104</v>
      </c>
      <c r="D26" s="638"/>
      <c r="E26" s="254" t="s">
        <v>73</v>
      </c>
      <c r="F26" s="180"/>
      <c r="G26" s="180"/>
      <c r="H26" s="150" t="s">
        <v>74</v>
      </c>
      <c r="I26" s="95"/>
      <c r="J26" s="185">
        <f>M26+Y26+AK26+AW26</f>
        <v>0</v>
      </c>
      <c r="K26" s="1051"/>
      <c r="L26" s="1051"/>
      <c r="M26" s="399">
        <f>SUM(N26:X26)</f>
        <v>0</v>
      </c>
      <c r="N26" s="96"/>
      <c r="O26" s="540">
        <f>O22-O25-O24</f>
        <v>0</v>
      </c>
      <c r="P26" s="540">
        <f t="shared" ref="P26:W26" si="21">P22-P25-P24</f>
        <v>0</v>
      </c>
      <c r="Q26" s="540">
        <f t="shared" si="21"/>
        <v>0</v>
      </c>
      <c r="R26" s="540">
        <f t="shared" si="21"/>
        <v>0</v>
      </c>
      <c r="S26" s="540">
        <f t="shared" si="21"/>
        <v>0</v>
      </c>
      <c r="T26" s="540">
        <f t="shared" si="21"/>
        <v>0</v>
      </c>
      <c r="U26" s="540">
        <f t="shared" si="21"/>
        <v>0</v>
      </c>
      <c r="V26" s="540">
        <f t="shared" si="21"/>
        <v>0</v>
      </c>
      <c r="W26" s="540">
        <f t="shared" si="21"/>
        <v>0</v>
      </c>
      <c r="X26" s="97"/>
      <c r="Y26" s="206">
        <f>SUM(Z26:AJ26)</f>
        <v>0</v>
      </c>
      <c r="Z26" s="96"/>
      <c r="AA26" s="540">
        <f t="shared" ref="AA26:AI26" si="22">AA22-AA25-AA24</f>
        <v>0</v>
      </c>
      <c r="AB26" s="540">
        <f t="shared" si="22"/>
        <v>0</v>
      </c>
      <c r="AC26" s="540">
        <f t="shared" si="22"/>
        <v>0</v>
      </c>
      <c r="AD26" s="540">
        <f t="shared" si="22"/>
        <v>0</v>
      </c>
      <c r="AE26" s="540">
        <f t="shared" si="22"/>
        <v>0</v>
      </c>
      <c r="AF26" s="540">
        <f t="shared" si="22"/>
        <v>0</v>
      </c>
      <c r="AG26" s="540">
        <f t="shared" si="22"/>
        <v>0</v>
      </c>
      <c r="AH26" s="540">
        <f t="shared" si="22"/>
        <v>0</v>
      </c>
      <c r="AI26" s="540">
        <f t="shared" si="22"/>
        <v>0</v>
      </c>
      <c r="AJ26" s="97"/>
      <c r="AK26" s="400">
        <f>SUM(AL26:AV26)</f>
        <v>0</v>
      </c>
      <c r="AL26" s="96"/>
      <c r="AM26" s="540">
        <f t="shared" ref="AM26:AU26" si="23">AM22-AM25-AM24</f>
        <v>0</v>
      </c>
      <c r="AN26" s="540">
        <f t="shared" si="23"/>
        <v>0</v>
      </c>
      <c r="AO26" s="540">
        <f t="shared" si="23"/>
        <v>0</v>
      </c>
      <c r="AP26" s="540">
        <f t="shared" si="23"/>
        <v>0</v>
      </c>
      <c r="AQ26" s="540">
        <f t="shared" si="23"/>
        <v>0</v>
      </c>
      <c r="AR26" s="540">
        <f t="shared" si="23"/>
        <v>0</v>
      </c>
      <c r="AS26" s="540">
        <f t="shared" si="23"/>
        <v>0</v>
      </c>
      <c r="AT26" s="540">
        <f t="shared" si="23"/>
        <v>0</v>
      </c>
      <c r="AU26" s="540">
        <f t="shared" si="23"/>
        <v>0</v>
      </c>
      <c r="AV26" s="97"/>
      <c r="AW26" s="206">
        <f>SUM(AX26:BH26)</f>
        <v>0</v>
      </c>
      <c r="AX26" s="96"/>
      <c r="AY26" s="540">
        <f t="shared" ref="AY26:BG26" si="24">AY22-AY25-AY24</f>
        <v>0</v>
      </c>
      <c r="AZ26" s="540">
        <f t="shared" si="24"/>
        <v>0</v>
      </c>
      <c r="BA26" s="540">
        <f t="shared" si="24"/>
        <v>0</v>
      </c>
      <c r="BB26" s="540">
        <f t="shared" si="24"/>
        <v>0</v>
      </c>
      <c r="BC26" s="540">
        <f t="shared" si="24"/>
        <v>0</v>
      </c>
      <c r="BD26" s="540">
        <f t="shared" si="24"/>
        <v>0</v>
      </c>
      <c r="BE26" s="540">
        <f t="shared" si="24"/>
        <v>0</v>
      </c>
      <c r="BF26" s="540">
        <f t="shared" si="24"/>
        <v>0</v>
      </c>
      <c r="BG26" s="540">
        <f t="shared" si="24"/>
        <v>0</v>
      </c>
      <c r="BH26" s="174"/>
    </row>
    <row r="27" spans="1:60">
      <c r="A27" s="1040"/>
      <c r="B27" s="1106" t="s">
        <v>111</v>
      </c>
      <c r="C27" s="1107" t="s">
        <v>104</v>
      </c>
      <c r="D27" s="638"/>
      <c r="E27" s="180" t="s">
        <v>123</v>
      </c>
      <c r="F27" s="180"/>
      <c r="G27" s="180"/>
      <c r="H27" s="150" t="s">
        <v>59</v>
      </c>
      <c r="I27" s="95"/>
      <c r="J27" s="559"/>
      <c r="K27" s="1052"/>
      <c r="L27" s="1052"/>
      <c r="M27" s="559">
        <f>SUM(M24:M26)</f>
        <v>0</v>
      </c>
      <c r="N27" s="96"/>
      <c r="O27" s="540">
        <f>$M22</f>
        <v>0</v>
      </c>
      <c r="P27" s="540">
        <f t="shared" ref="P27:W27" si="25">$M22</f>
        <v>0</v>
      </c>
      <c r="Q27" s="540">
        <f t="shared" si="25"/>
        <v>0</v>
      </c>
      <c r="R27" s="540">
        <f t="shared" si="25"/>
        <v>0</v>
      </c>
      <c r="S27" s="540">
        <f t="shared" si="25"/>
        <v>0</v>
      </c>
      <c r="T27" s="540">
        <f t="shared" si="25"/>
        <v>0</v>
      </c>
      <c r="U27" s="540">
        <f t="shared" si="25"/>
        <v>0</v>
      </c>
      <c r="V27" s="540">
        <f t="shared" si="25"/>
        <v>0</v>
      </c>
      <c r="W27" s="540">
        <f t="shared" si="25"/>
        <v>0</v>
      </c>
      <c r="X27" s="97"/>
      <c r="Y27" s="559">
        <f>SUM(Y24:Y26)</f>
        <v>0</v>
      </c>
      <c r="Z27" s="96"/>
      <c r="AA27" s="540">
        <f>$Y22</f>
        <v>0</v>
      </c>
      <c r="AB27" s="540">
        <f t="shared" ref="AB27:AI27" si="26">$Y22</f>
        <v>0</v>
      </c>
      <c r="AC27" s="540">
        <f t="shared" si="26"/>
        <v>0</v>
      </c>
      <c r="AD27" s="540">
        <f t="shared" si="26"/>
        <v>0</v>
      </c>
      <c r="AE27" s="540">
        <f t="shared" si="26"/>
        <v>0</v>
      </c>
      <c r="AF27" s="540">
        <f t="shared" si="26"/>
        <v>0</v>
      </c>
      <c r="AG27" s="540">
        <f t="shared" si="26"/>
        <v>0</v>
      </c>
      <c r="AH27" s="540">
        <f t="shared" si="26"/>
        <v>0</v>
      </c>
      <c r="AI27" s="540">
        <f t="shared" si="26"/>
        <v>0</v>
      </c>
      <c r="AJ27" s="97"/>
      <c r="AK27" s="559">
        <f>SUM(AK24:AK26)</f>
        <v>0</v>
      </c>
      <c r="AL27" s="96"/>
      <c r="AM27" s="540">
        <f t="shared" ref="AM27:AU27" si="27">$AK22</f>
        <v>0</v>
      </c>
      <c r="AN27" s="540">
        <f t="shared" si="27"/>
        <v>0</v>
      </c>
      <c r="AO27" s="540">
        <f t="shared" si="27"/>
        <v>0</v>
      </c>
      <c r="AP27" s="540">
        <f t="shared" si="27"/>
        <v>0</v>
      </c>
      <c r="AQ27" s="540">
        <f t="shared" si="27"/>
        <v>0</v>
      </c>
      <c r="AR27" s="540">
        <f t="shared" si="27"/>
        <v>0</v>
      </c>
      <c r="AS27" s="540">
        <f t="shared" si="27"/>
        <v>0</v>
      </c>
      <c r="AT27" s="540">
        <f t="shared" si="27"/>
        <v>0</v>
      </c>
      <c r="AU27" s="540">
        <f t="shared" si="27"/>
        <v>0</v>
      </c>
      <c r="AV27" s="97"/>
      <c r="AW27" s="559"/>
      <c r="AX27" s="559">
        <f>SUM(AX24:AX26)</f>
        <v>0</v>
      </c>
      <c r="AY27" s="540">
        <f>$AW22</f>
        <v>0</v>
      </c>
      <c r="AZ27" s="540">
        <f t="shared" ref="AZ27:BG27" si="28">$AW22</f>
        <v>0</v>
      </c>
      <c r="BA27" s="540">
        <f t="shared" si="28"/>
        <v>0</v>
      </c>
      <c r="BB27" s="540">
        <f t="shared" si="28"/>
        <v>0</v>
      </c>
      <c r="BC27" s="540">
        <f t="shared" si="28"/>
        <v>0</v>
      </c>
      <c r="BD27" s="540">
        <f t="shared" si="28"/>
        <v>0</v>
      </c>
      <c r="BE27" s="540">
        <f t="shared" si="28"/>
        <v>0</v>
      </c>
      <c r="BF27" s="540">
        <f t="shared" si="28"/>
        <v>0</v>
      </c>
      <c r="BG27" s="540">
        <f t="shared" si="28"/>
        <v>0</v>
      </c>
      <c r="BH27" s="174"/>
    </row>
    <row r="28" spans="1:60">
      <c r="A28" s="1040"/>
      <c r="B28" s="1106" t="s">
        <v>111</v>
      </c>
      <c r="C28" s="1106" t="s">
        <v>96</v>
      </c>
      <c r="D28" s="638"/>
      <c r="E28" s="942" t="s">
        <v>124</v>
      </c>
      <c r="F28" s="942"/>
      <c r="G28" s="942"/>
      <c r="H28" s="942"/>
      <c r="I28" s="129"/>
      <c r="J28" s="943"/>
      <c r="K28" s="126"/>
      <c r="L28" s="126"/>
      <c r="M28" s="944"/>
      <c r="N28" s="195"/>
      <c r="O28" s="258" t="str">
        <f>O$17</f>
        <v/>
      </c>
      <c r="P28" s="258" t="str">
        <f t="shared" ref="P28:W28" si="29">P$17</f>
        <v/>
      </c>
      <c r="Q28" s="258" t="str">
        <f t="shared" si="29"/>
        <v/>
      </c>
      <c r="R28" s="258" t="str">
        <f t="shared" si="29"/>
        <v/>
      </c>
      <c r="S28" s="258" t="str">
        <f t="shared" si="29"/>
        <v/>
      </c>
      <c r="T28" s="258" t="str">
        <f t="shared" si="29"/>
        <v/>
      </c>
      <c r="U28" s="258" t="str">
        <f t="shared" si="29"/>
        <v/>
      </c>
      <c r="V28" s="258" t="str">
        <f t="shared" si="29"/>
        <v/>
      </c>
      <c r="W28" s="258" t="str">
        <f t="shared" si="29"/>
        <v/>
      </c>
      <c r="X28" s="195"/>
      <c r="Y28" s="944"/>
      <c r="Z28" s="195"/>
      <c r="AA28" s="258" t="str">
        <f>IF('woningen|utiliteit'!X31="","",'woningen|utiliteit'!X31)</f>
        <v/>
      </c>
      <c r="AB28" s="258" t="str">
        <f>IF('woningen|utiliteit'!Y31="","",'woningen|utiliteit'!Y31)</f>
        <v/>
      </c>
      <c r="AC28" s="258" t="str">
        <f>IF('woningen|utiliteit'!Z31="","",'woningen|utiliteit'!Z31)</f>
        <v/>
      </c>
      <c r="AD28" s="258" t="str">
        <f>IF('woningen|utiliteit'!AA31="","",'woningen|utiliteit'!AA31)</f>
        <v/>
      </c>
      <c r="AE28" s="258" t="str">
        <f>IF('woningen|utiliteit'!AB31="","",'woningen|utiliteit'!AB31)</f>
        <v/>
      </c>
      <c r="AF28" s="258" t="str">
        <f>IF('woningen|utiliteit'!AC31="","",'woningen|utiliteit'!AC31)</f>
        <v/>
      </c>
      <c r="AG28" s="258" t="str">
        <f>IF('woningen|utiliteit'!AD31="","",'woningen|utiliteit'!AD31)</f>
        <v/>
      </c>
      <c r="AH28" s="258" t="str">
        <f>IF('woningen|utiliteit'!AE31="","",'woningen|utiliteit'!AE31)</f>
        <v/>
      </c>
      <c r="AI28" s="258" t="str">
        <f>IF('woningen|utiliteit'!AF31="","",'woningen|utiliteit'!AF31)</f>
        <v/>
      </c>
      <c r="AJ28" s="195"/>
      <c r="AK28" s="944"/>
      <c r="AL28" s="195"/>
      <c r="AM28" s="258" t="str">
        <f>IF('woningen|utiliteit'!AJ31="","",'woningen|utiliteit'!AJ31)</f>
        <v/>
      </c>
      <c r="AN28" s="258" t="str">
        <f>IF('woningen|utiliteit'!AK31="","",'woningen|utiliteit'!AK31)</f>
        <v/>
      </c>
      <c r="AO28" s="258" t="str">
        <f>IF('woningen|utiliteit'!AL31="","",'woningen|utiliteit'!AL31)</f>
        <v/>
      </c>
      <c r="AP28" s="258" t="str">
        <f>IF('woningen|utiliteit'!AM31="","",'woningen|utiliteit'!AM31)</f>
        <v/>
      </c>
      <c r="AQ28" s="258" t="str">
        <f>IF('woningen|utiliteit'!AN31="","",'woningen|utiliteit'!AN31)</f>
        <v/>
      </c>
      <c r="AR28" s="258" t="str">
        <f>IF('woningen|utiliteit'!AO31="","",'woningen|utiliteit'!AO31)</f>
        <v/>
      </c>
      <c r="AS28" s="258" t="str">
        <f>IF('woningen|utiliteit'!AP31="","",'woningen|utiliteit'!AP31)</f>
        <v/>
      </c>
      <c r="AT28" s="258" t="str">
        <f>IF('woningen|utiliteit'!AQ31="","",'woningen|utiliteit'!AQ31)</f>
        <v/>
      </c>
      <c r="AU28" s="258" t="str">
        <f>IF('woningen|utiliteit'!AR31="","",'woningen|utiliteit'!AR31)</f>
        <v/>
      </c>
      <c r="AV28" s="195"/>
      <c r="AW28" s="944"/>
      <c r="AX28" s="195"/>
      <c r="AY28" s="258" t="str">
        <f>IF('woningen|utiliteit'!AV31="","",'woningen|utiliteit'!AV31)</f>
        <v/>
      </c>
      <c r="AZ28" s="258" t="str">
        <f>IF('woningen|utiliteit'!AW31="","",'woningen|utiliteit'!AW31)</f>
        <v/>
      </c>
      <c r="BA28" s="258" t="str">
        <f>IF('woningen|utiliteit'!AX31="","",'woningen|utiliteit'!AX31)</f>
        <v/>
      </c>
      <c r="BB28" s="258" t="str">
        <f>IF('woningen|utiliteit'!AY31="","",'woningen|utiliteit'!AY31)</f>
        <v/>
      </c>
      <c r="BC28" s="258" t="str">
        <f>IF('woningen|utiliteit'!AZ31="","",'woningen|utiliteit'!AZ31)</f>
        <v/>
      </c>
      <c r="BD28" s="258" t="str">
        <f>IF('woningen|utiliteit'!BA31="","",'woningen|utiliteit'!BA31)</f>
        <v/>
      </c>
      <c r="BE28" s="258" t="str">
        <f>IF('woningen|utiliteit'!BB31="","",'woningen|utiliteit'!BB31)</f>
        <v/>
      </c>
      <c r="BF28" s="258" t="str">
        <f>IF('woningen|utiliteit'!BC31="","",'woningen|utiliteit'!BC31)</f>
        <v/>
      </c>
      <c r="BG28" s="258" t="str">
        <f>IF('woningen|utiliteit'!BD31="","",'woningen|utiliteit'!BD31)</f>
        <v/>
      </c>
      <c r="BH28" s="36"/>
    </row>
    <row r="29" spans="1:60">
      <c r="A29" s="1040"/>
      <c r="B29" s="1106" t="s">
        <v>111</v>
      </c>
      <c r="C29" s="1107" t="s">
        <v>104</v>
      </c>
      <c r="D29" s="638"/>
      <c r="E29" s="254" t="s">
        <v>75</v>
      </c>
      <c r="F29" s="180" t="s">
        <v>125</v>
      </c>
      <c r="G29" s="180"/>
      <c r="H29" s="181" t="s">
        <v>76</v>
      </c>
      <c r="I29" s="79"/>
      <c r="J29" s="187">
        <f>M29+Y29+AK29+AW29</f>
        <v>0</v>
      </c>
      <c r="K29" s="243"/>
      <c r="L29" s="243"/>
      <c r="M29" s="187">
        <f>SUMPRODUCT(N$22:X$22,N29:X29)</f>
        <v>0</v>
      </c>
      <c r="N29" s="89"/>
      <c r="O29" s="385">
        <f>IF(O$17="",0,'woningen|utiliteit'!L24)</f>
        <v>0</v>
      </c>
      <c r="P29" s="385">
        <f>IF(P$17="",0,'woningen|utiliteit'!M24)</f>
        <v>0</v>
      </c>
      <c r="Q29" s="385">
        <f>IF(Q$17="",0,'woningen|utiliteit'!N24)</f>
        <v>0</v>
      </c>
      <c r="R29" s="385">
        <f>IF(R$17="",0,'woningen|utiliteit'!O24)</f>
        <v>0</v>
      </c>
      <c r="S29" s="385">
        <f>IF(S$17="",0,'woningen|utiliteit'!P24)</f>
        <v>0</v>
      </c>
      <c r="T29" s="385">
        <f>IF(T$17="",0,'woningen|utiliteit'!Q24)</f>
        <v>0</v>
      </c>
      <c r="U29" s="385">
        <f>IF(U$17="",0,'woningen|utiliteit'!R24)</f>
        <v>0</v>
      </c>
      <c r="V29" s="385">
        <f>IF(V$17="",0,'woningen|utiliteit'!S24)</f>
        <v>0</v>
      </c>
      <c r="W29" s="385">
        <f>IF(W$17="",0,'woningen|utiliteit'!T24)</f>
        <v>0</v>
      </c>
      <c r="X29" s="98"/>
      <c r="Y29" s="187">
        <f>SUMPRODUCT(Z$22:AJ$22,Z29:AJ29)</f>
        <v>0</v>
      </c>
      <c r="Z29" s="119"/>
      <c r="AA29" s="385">
        <f>IF(AA$17="",0,'woningen|utiliteit'!L40)</f>
        <v>0</v>
      </c>
      <c r="AB29" s="385">
        <f>IF(AB$17="",0,'woningen|utiliteit'!M40)</f>
        <v>0</v>
      </c>
      <c r="AC29" s="385">
        <f>IF(AC$17="",0,'woningen|utiliteit'!N40)</f>
        <v>0</v>
      </c>
      <c r="AD29" s="385">
        <f>IF(AD$17="",0,'woningen|utiliteit'!O40)</f>
        <v>0</v>
      </c>
      <c r="AE29" s="385">
        <f>IF(AE$17="",0,'woningen|utiliteit'!P40)</f>
        <v>0</v>
      </c>
      <c r="AF29" s="385">
        <f>IF(AF$17="",0,'woningen|utiliteit'!Q40)</f>
        <v>0</v>
      </c>
      <c r="AG29" s="385">
        <f>IF(AG$17="",0,'woningen|utiliteit'!R40)</f>
        <v>0</v>
      </c>
      <c r="AH29" s="385">
        <f>IF(AH$17="",0,'woningen|utiliteit'!S40)</f>
        <v>0</v>
      </c>
      <c r="AI29" s="385">
        <f>IF(AI$17="",0,'woningen|utiliteit'!T40)</f>
        <v>0</v>
      </c>
      <c r="AJ29" s="98"/>
      <c r="AK29" s="187">
        <f>SUMPRODUCT(AL$22:AV$22,AL29:AV29)</f>
        <v>0</v>
      </c>
      <c r="AL29" s="119"/>
      <c r="AM29" s="385">
        <f>IF(AM$17="",0,'woningen|utiliteit'!L56)</f>
        <v>0</v>
      </c>
      <c r="AN29" s="385">
        <f>IF(AN$17="",0,'woningen|utiliteit'!M56)</f>
        <v>0</v>
      </c>
      <c r="AO29" s="385">
        <f>IF(AO$17="",0,'woningen|utiliteit'!N56)</f>
        <v>0</v>
      </c>
      <c r="AP29" s="385">
        <f>IF(AP$17="",0,'woningen|utiliteit'!O56)</f>
        <v>0</v>
      </c>
      <c r="AQ29" s="385">
        <f>IF(AQ$17="",0,'woningen|utiliteit'!P56)</f>
        <v>0</v>
      </c>
      <c r="AR29" s="385">
        <f>IF(AR$17="",0,'woningen|utiliteit'!Q56)</f>
        <v>0</v>
      </c>
      <c r="AS29" s="385">
        <f>IF(AS$17="",0,'woningen|utiliteit'!R56)</f>
        <v>0</v>
      </c>
      <c r="AT29" s="385">
        <f>IF(AT$17="",0,'woningen|utiliteit'!S56)</f>
        <v>0</v>
      </c>
      <c r="AU29" s="385">
        <f>IF(AU$17="",0,'woningen|utiliteit'!T56)</f>
        <v>0</v>
      </c>
      <c r="AV29" s="98"/>
      <c r="AW29" s="187">
        <f>SUMPRODUCT(AX$22:BH$22,AX29:BH29)</f>
        <v>0</v>
      </c>
      <c r="AX29" s="119"/>
      <c r="AY29" s="385">
        <f>IF(AY$17="",0,'woningen|utiliteit'!L72)</f>
        <v>0</v>
      </c>
      <c r="AZ29" s="385">
        <f>IF(AZ$17="",0,'woningen|utiliteit'!M72)</f>
        <v>0</v>
      </c>
      <c r="BA29" s="385">
        <f>IF(BA$17="",0,'woningen|utiliteit'!N72)</f>
        <v>0</v>
      </c>
      <c r="BB29" s="385">
        <f>IF(BB$17="",0,'woningen|utiliteit'!O72)</f>
        <v>0</v>
      </c>
      <c r="BC29" s="385">
        <f>IF(BC$17="",0,'woningen|utiliteit'!P72)</f>
        <v>0</v>
      </c>
      <c r="BD29" s="385">
        <f>IF(BD$17="",0,'woningen|utiliteit'!Q72)</f>
        <v>0</v>
      </c>
      <c r="BE29" s="385">
        <f>IF(BE$17="",0,'woningen|utiliteit'!R72)</f>
        <v>0</v>
      </c>
      <c r="BF29" s="385">
        <f>IF(BF$17="",0,'woningen|utiliteit'!S72)</f>
        <v>0</v>
      </c>
      <c r="BG29" s="385">
        <f>IF(BG$17="",0,'woningen|utiliteit'!T72)</f>
        <v>0</v>
      </c>
      <c r="BH29" s="174"/>
    </row>
    <row r="30" spans="1:60">
      <c r="A30" s="1041"/>
      <c r="B30" s="1106" t="s">
        <v>111</v>
      </c>
      <c r="C30" s="1107" t="s">
        <v>104</v>
      </c>
      <c r="D30" s="638"/>
      <c r="E30" s="595"/>
      <c r="F30" s="180" t="s">
        <v>126</v>
      </c>
      <c r="G30" s="180"/>
      <c r="H30" s="181" t="s">
        <v>127</v>
      </c>
      <c r="I30" s="99"/>
      <c r="J30" s="187"/>
      <c r="K30" s="1053"/>
      <c r="L30" s="1053"/>
      <c r="M30" s="622"/>
      <c r="N30" s="623"/>
      <c r="O30" s="557">
        <f>O22*O29</f>
        <v>0</v>
      </c>
      <c r="P30" s="557">
        <f t="shared" ref="P30:W30" si="30">P22*P29</f>
        <v>0</v>
      </c>
      <c r="Q30" s="557">
        <f t="shared" si="30"/>
        <v>0</v>
      </c>
      <c r="R30" s="557">
        <f t="shared" si="30"/>
        <v>0</v>
      </c>
      <c r="S30" s="557">
        <f t="shared" si="30"/>
        <v>0</v>
      </c>
      <c r="T30" s="557">
        <f>T22*T29</f>
        <v>0</v>
      </c>
      <c r="U30" s="557">
        <f t="shared" si="30"/>
        <v>0</v>
      </c>
      <c r="V30" s="557">
        <f t="shared" si="30"/>
        <v>0</v>
      </c>
      <c r="W30" s="557">
        <f t="shared" si="30"/>
        <v>0</v>
      </c>
      <c r="X30" s="101"/>
      <c r="Y30" s="622"/>
      <c r="Z30" s="937"/>
      <c r="AA30" s="557">
        <f t="shared" ref="AA30:AI30" si="31">AA22*AA29</f>
        <v>0</v>
      </c>
      <c r="AB30" s="557">
        <f t="shared" si="31"/>
        <v>0</v>
      </c>
      <c r="AC30" s="557">
        <f t="shared" si="31"/>
        <v>0</v>
      </c>
      <c r="AD30" s="557">
        <f t="shared" si="31"/>
        <v>0</v>
      </c>
      <c r="AE30" s="557">
        <f t="shared" si="31"/>
        <v>0</v>
      </c>
      <c r="AF30" s="557">
        <f t="shared" si="31"/>
        <v>0</v>
      </c>
      <c r="AG30" s="557">
        <f t="shared" si="31"/>
        <v>0</v>
      </c>
      <c r="AH30" s="557">
        <f t="shared" si="31"/>
        <v>0</v>
      </c>
      <c r="AI30" s="557">
        <f t="shared" si="31"/>
        <v>0</v>
      </c>
      <c r="AJ30" s="101"/>
      <c r="AK30" s="622"/>
      <c r="AL30" s="937"/>
      <c r="AM30" s="557">
        <f t="shared" ref="AM30:AU30" si="32">AM22*AM29</f>
        <v>0</v>
      </c>
      <c r="AN30" s="557">
        <f t="shared" si="32"/>
        <v>0</v>
      </c>
      <c r="AO30" s="557">
        <f t="shared" si="32"/>
        <v>0</v>
      </c>
      <c r="AP30" s="557">
        <f t="shared" si="32"/>
        <v>0</v>
      </c>
      <c r="AQ30" s="557">
        <f t="shared" si="32"/>
        <v>0</v>
      </c>
      <c r="AR30" s="557">
        <f t="shared" si="32"/>
        <v>0</v>
      </c>
      <c r="AS30" s="557">
        <f t="shared" si="32"/>
        <v>0</v>
      </c>
      <c r="AT30" s="557">
        <f t="shared" si="32"/>
        <v>0</v>
      </c>
      <c r="AU30" s="557">
        <f t="shared" si="32"/>
        <v>0</v>
      </c>
      <c r="AV30" s="101"/>
      <c r="AW30" s="622"/>
      <c r="AX30" s="937"/>
      <c r="AY30" s="557">
        <f t="shared" ref="AY30:BG30" si="33">AY22*AY29</f>
        <v>0</v>
      </c>
      <c r="AZ30" s="557">
        <f t="shared" si="33"/>
        <v>0</v>
      </c>
      <c r="BA30" s="557">
        <f t="shared" si="33"/>
        <v>0</v>
      </c>
      <c r="BB30" s="557">
        <f t="shared" si="33"/>
        <v>0</v>
      </c>
      <c r="BC30" s="557">
        <f t="shared" si="33"/>
        <v>0</v>
      </c>
      <c r="BD30" s="557">
        <f t="shared" si="33"/>
        <v>0</v>
      </c>
      <c r="BE30" s="557">
        <f t="shared" si="33"/>
        <v>0</v>
      </c>
      <c r="BF30" s="557">
        <f t="shared" si="33"/>
        <v>0</v>
      </c>
      <c r="BG30" s="557">
        <f t="shared" si="33"/>
        <v>0</v>
      </c>
      <c r="BH30" s="174"/>
    </row>
    <row r="31" spans="1:60">
      <c r="A31" s="1041"/>
      <c r="B31" s="1106" t="s">
        <v>111</v>
      </c>
      <c r="C31" s="1107" t="s">
        <v>104</v>
      </c>
      <c r="D31" s="638"/>
      <c r="E31" s="255"/>
      <c r="F31" s="180" t="s">
        <v>128</v>
      </c>
      <c r="G31" s="180"/>
      <c r="H31" s="181" t="s">
        <v>127</v>
      </c>
      <c r="I31" s="99"/>
      <c r="J31" s="187"/>
      <c r="K31" s="1053"/>
      <c r="L31" s="1053"/>
      <c r="M31" s="187"/>
      <c r="N31" s="100"/>
      <c r="O31" s="385">
        <f>SUMPRODUCT($N22:$X22,$N29:$X29)</f>
        <v>0</v>
      </c>
      <c r="P31" s="385">
        <f t="shared" ref="P31:W31" si="34">SUMPRODUCT($N22:$X22,$N29:$X29)</f>
        <v>0</v>
      </c>
      <c r="Q31" s="385">
        <f t="shared" si="34"/>
        <v>0</v>
      </c>
      <c r="R31" s="385">
        <f t="shared" si="34"/>
        <v>0</v>
      </c>
      <c r="S31" s="385">
        <f t="shared" si="34"/>
        <v>0</v>
      </c>
      <c r="T31" s="385">
        <f t="shared" si="34"/>
        <v>0</v>
      </c>
      <c r="U31" s="385">
        <f t="shared" si="34"/>
        <v>0</v>
      </c>
      <c r="V31" s="385">
        <f t="shared" si="34"/>
        <v>0</v>
      </c>
      <c r="W31" s="385">
        <f t="shared" si="34"/>
        <v>0</v>
      </c>
      <c r="X31" s="101"/>
      <c r="Y31" s="187"/>
      <c r="Z31" s="100"/>
      <c r="AA31" s="385">
        <f t="shared" ref="AA31:AI31" si="35">SUMPRODUCT($Z$22:$AJ$22,$Z$29:$AJ$29)</f>
        <v>0</v>
      </c>
      <c r="AB31" s="385">
        <f t="shared" si="35"/>
        <v>0</v>
      </c>
      <c r="AC31" s="385">
        <f t="shared" si="35"/>
        <v>0</v>
      </c>
      <c r="AD31" s="385">
        <f t="shared" si="35"/>
        <v>0</v>
      </c>
      <c r="AE31" s="385">
        <f t="shared" si="35"/>
        <v>0</v>
      </c>
      <c r="AF31" s="385">
        <f t="shared" si="35"/>
        <v>0</v>
      </c>
      <c r="AG31" s="385">
        <f t="shared" si="35"/>
        <v>0</v>
      </c>
      <c r="AH31" s="385">
        <f t="shared" si="35"/>
        <v>0</v>
      </c>
      <c r="AI31" s="385">
        <f t="shared" si="35"/>
        <v>0</v>
      </c>
      <c r="AJ31" s="101"/>
      <c r="AK31" s="187"/>
      <c r="AL31" s="100"/>
      <c r="AM31" s="385">
        <f>SUMPRODUCT($AL$22:$AV$22,$AL$29:$AV$29)</f>
        <v>0</v>
      </c>
      <c r="AN31" s="385">
        <f t="shared" ref="AN31:AU31" si="36">SUMPRODUCT($AL$22:$AV$22,$AL$29:$AV$29)</f>
        <v>0</v>
      </c>
      <c r="AO31" s="385">
        <f t="shared" si="36"/>
        <v>0</v>
      </c>
      <c r="AP31" s="385">
        <f t="shared" si="36"/>
        <v>0</v>
      </c>
      <c r="AQ31" s="385">
        <f t="shared" si="36"/>
        <v>0</v>
      </c>
      <c r="AR31" s="385">
        <f t="shared" si="36"/>
        <v>0</v>
      </c>
      <c r="AS31" s="385">
        <f t="shared" si="36"/>
        <v>0</v>
      </c>
      <c r="AT31" s="385">
        <f t="shared" si="36"/>
        <v>0</v>
      </c>
      <c r="AU31" s="385">
        <f t="shared" si="36"/>
        <v>0</v>
      </c>
      <c r="AV31" s="101"/>
      <c r="AW31" s="187"/>
      <c r="AX31" s="100"/>
      <c r="AY31" s="385">
        <f>SUMPRODUCT($AX$22:$BH$22,$AX$29:$BH$29)</f>
        <v>0</v>
      </c>
      <c r="AZ31" s="385">
        <f t="shared" ref="AZ31:BG31" si="37">SUMPRODUCT($AX$22:$BH$22,$AX$29:$BH$29)</f>
        <v>0</v>
      </c>
      <c r="BA31" s="385">
        <f t="shared" si="37"/>
        <v>0</v>
      </c>
      <c r="BB31" s="385">
        <f t="shared" si="37"/>
        <v>0</v>
      </c>
      <c r="BC31" s="385">
        <f t="shared" si="37"/>
        <v>0</v>
      </c>
      <c r="BD31" s="385">
        <f t="shared" si="37"/>
        <v>0</v>
      </c>
      <c r="BE31" s="385">
        <f t="shared" si="37"/>
        <v>0</v>
      </c>
      <c r="BF31" s="385">
        <f t="shared" si="37"/>
        <v>0</v>
      </c>
      <c r="BG31" s="385">
        <f t="shared" si="37"/>
        <v>0</v>
      </c>
      <c r="BH31" s="174"/>
    </row>
    <row r="32" spans="1:60">
      <c r="A32" s="1041"/>
      <c r="B32" s="1106" t="s">
        <v>111</v>
      </c>
      <c r="C32" s="1107" t="s">
        <v>104</v>
      </c>
      <c r="D32" s="638"/>
      <c r="E32" s="180" t="s">
        <v>129</v>
      </c>
      <c r="F32" s="180"/>
      <c r="G32" s="180"/>
      <c r="H32" s="181" t="s">
        <v>130</v>
      </c>
      <c r="I32" s="79"/>
      <c r="J32" s="187"/>
      <c r="K32" s="243"/>
      <c r="L32" s="243"/>
      <c r="M32" s="187"/>
      <c r="N32" s="89"/>
      <c r="O32" s="151" t="str">
        <f>IF('woningen|utiliteit'!L28="","",'woningen|utiliteit'!L28)</f>
        <v/>
      </c>
      <c r="P32" s="151" t="str">
        <f>IF('woningen|utiliteit'!M28="","",'woningen|utiliteit'!M28)</f>
        <v/>
      </c>
      <c r="Q32" s="151" t="str">
        <f>IF('woningen|utiliteit'!N28="","",'woningen|utiliteit'!N28)</f>
        <v/>
      </c>
      <c r="R32" s="151" t="str">
        <f>IF('woningen|utiliteit'!O28="","",'woningen|utiliteit'!O28)</f>
        <v/>
      </c>
      <c r="S32" s="151" t="str">
        <f>IF('woningen|utiliteit'!P28="","",'woningen|utiliteit'!P28)</f>
        <v/>
      </c>
      <c r="T32" s="151" t="str">
        <f>IF('woningen|utiliteit'!Q28="","",'woningen|utiliteit'!Q28)</f>
        <v/>
      </c>
      <c r="U32" s="151" t="str">
        <f>IF('woningen|utiliteit'!R28="","",'woningen|utiliteit'!R28)</f>
        <v/>
      </c>
      <c r="V32" s="151" t="str">
        <f>IF('woningen|utiliteit'!S28="","",'woningen|utiliteit'!S28)</f>
        <v/>
      </c>
      <c r="W32" s="151" t="str">
        <f>IF('woningen|utiliteit'!T28="","",'woningen|utiliteit'!T28)</f>
        <v/>
      </c>
      <c r="X32" s="98"/>
      <c r="Y32" s="187"/>
      <c r="Z32" s="89"/>
      <c r="AA32" s="151" t="str">
        <f>IF('woningen|utiliteit'!L44="","",'woningen|utiliteit'!L44)</f>
        <v/>
      </c>
      <c r="AB32" s="151" t="str">
        <f>IF('woningen|utiliteit'!M44="","",'woningen|utiliteit'!M44)</f>
        <v/>
      </c>
      <c r="AC32" s="151" t="str">
        <f>IF('woningen|utiliteit'!N44="","",'woningen|utiliteit'!N44)</f>
        <v/>
      </c>
      <c r="AD32" s="151" t="str">
        <f>IF('woningen|utiliteit'!O44="","",'woningen|utiliteit'!O44)</f>
        <v/>
      </c>
      <c r="AE32" s="151" t="str">
        <f>IF('woningen|utiliteit'!P44="","",'woningen|utiliteit'!P44)</f>
        <v/>
      </c>
      <c r="AF32" s="151" t="str">
        <f>IF('woningen|utiliteit'!Q44="","",'woningen|utiliteit'!Q44)</f>
        <v/>
      </c>
      <c r="AG32" s="151" t="str">
        <f>IF('woningen|utiliteit'!R44="","",'woningen|utiliteit'!R44)</f>
        <v/>
      </c>
      <c r="AH32" s="151" t="str">
        <f>IF('woningen|utiliteit'!S44="","",'woningen|utiliteit'!S44)</f>
        <v/>
      </c>
      <c r="AI32" s="151" t="str">
        <f>IF('woningen|utiliteit'!T44="","",'woningen|utiliteit'!T44)</f>
        <v/>
      </c>
      <c r="AJ32" s="98"/>
      <c r="AK32" s="187"/>
      <c r="AL32" s="89"/>
      <c r="AM32" s="151" t="str">
        <f>IF('woningen|utiliteit'!L60="","",'woningen|utiliteit'!L60)</f>
        <v/>
      </c>
      <c r="AN32" s="151" t="str">
        <f>IF('woningen|utiliteit'!M60="","",'woningen|utiliteit'!M60)</f>
        <v/>
      </c>
      <c r="AO32" s="151" t="str">
        <f>IF('woningen|utiliteit'!N60="","",'woningen|utiliteit'!N60)</f>
        <v/>
      </c>
      <c r="AP32" s="151" t="str">
        <f>IF('woningen|utiliteit'!O60="","",'woningen|utiliteit'!O60)</f>
        <v/>
      </c>
      <c r="AQ32" s="151" t="str">
        <f>IF('woningen|utiliteit'!P60="","",'woningen|utiliteit'!P60)</f>
        <v/>
      </c>
      <c r="AR32" s="151" t="str">
        <f>IF('woningen|utiliteit'!Q60="","",'woningen|utiliteit'!Q60)</f>
        <v/>
      </c>
      <c r="AS32" s="151" t="str">
        <f>IF('woningen|utiliteit'!R60="","",'woningen|utiliteit'!R60)</f>
        <v/>
      </c>
      <c r="AT32" s="151" t="str">
        <f>IF('woningen|utiliteit'!S60="","",'woningen|utiliteit'!S60)</f>
        <v/>
      </c>
      <c r="AU32" s="151" t="str">
        <f>IF('woningen|utiliteit'!T60="","",'woningen|utiliteit'!T60)</f>
        <v/>
      </c>
      <c r="AV32" s="98"/>
      <c r="AW32" s="187"/>
      <c r="AX32" s="89"/>
      <c r="AY32" s="151" t="str">
        <f>IF('woningen|utiliteit'!L76="","",'woningen|utiliteit'!L76)</f>
        <v/>
      </c>
      <c r="AZ32" s="151" t="str">
        <f>IF('woningen|utiliteit'!M76="","",'woningen|utiliteit'!M76)</f>
        <v/>
      </c>
      <c r="BA32" s="151" t="str">
        <f>IF('woningen|utiliteit'!N76="","",'woningen|utiliteit'!N76)</f>
        <v/>
      </c>
      <c r="BB32" s="151" t="str">
        <f>IF('woningen|utiliteit'!O76="","",'woningen|utiliteit'!O76)</f>
        <v/>
      </c>
      <c r="BC32" s="151" t="str">
        <f>IF('woningen|utiliteit'!P76="","",'woningen|utiliteit'!P76)</f>
        <v/>
      </c>
      <c r="BD32" s="151" t="str">
        <f>IF('woningen|utiliteit'!Q76="","",'woningen|utiliteit'!Q76)</f>
        <v/>
      </c>
      <c r="BE32" s="151" t="str">
        <f>IF('woningen|utiliteit'!R76="","",'woningen|utiliteit'!R76)</f>
        <v/>
      </c>
      <c r="BF32" s="151" t="str">
        <f>IF('woningen|utiliteit'!S76="","",'woningen|utiliteit'!S76)</f>
        <v/>
      </c>
      <c r="BG32" s="151" t="str">
        <f>IF('woningen|utiliteit'!T76="","",'woningen|utiliteit'!T76)</f>
        <v/>
      </c>
      <c r="BH32" s="174"/>
    </row>
    <row r="33" spans="1:60">
      <c r="A33" s="1041"/>
      <c r="B33" s="1106" t="s">
        <v>111</v>
      </c>
      <c r="C33" s="1107" t="s">
        <v>104</v>
      </c>
      <c r="D33" s="638"/>
      <c r="E33" s="180" t="s">
        <v>131</v>
      </c>
      <c r="F33" s="180"/>
      <c r="G33" s="180"/>
      <c r="H33" s="181" t="s">
        <v>130</v>
      </c>
      <c r="I33" s="79"/>
      <c r="J33" s="187"/>
      <c r="K33" s="243"/>
      <c r="L33" s="243"/>
      <c r="M33" s="187"/>
      <c r="N33" s="89"/>
      <c r="O33" s="151" t="str">
        <f>IF(O$17="","",HLOOKUP(O$17,woningen_gebouwen_gegevens,ROWS(bibliotheek!$E$20:$E$34),FALSE))</f>
        <v/>
      </c>
      <c r="P33" s="151" t="str">
        <f>IF(P$17="","",HLOOKUP(P$17,woningen_gebouwen_gegevens,ROWS(bibliotheek!$E$20:$E$34),FALSE))</f>
        <v/>
      </c>
      <c r="Q33" s="151" t="str">
        <f>IF(Q$17="","",HLOOKUP(Q$17,woningen_gebouwen_gegevens,ROWS(bibliotheek!$E$20:$E$34),FALSE))</f>
        <v/>
      </c>
      <c r="R33" s="151" t="str">
        <f>IF(R$17="","",HLOOKUP(R$17,woningen_gebouwen_gegevens,ROWS(bibliotheek!$E$20:$E$34),FALSE))</f>
        <v/>
      </c>
      <c r="S33" s="151" t="str">
        <f>IF(S$17="","",HLOOKUP(S$17,woningen_gebouwen_gegevens,ROWS(bibliotheek!$E$20:$E$34),FALSE))</f>
        <v/>
      </c>
      <c r="T33" s="151" t="str">
        <f>IF(T$17="","",HLOOKUP(T$17,woningen_gebouwen_gegevens,ROWS(bibliotheek!$E$20:$E$34),FALSE))</f>
        <v/>
      </c>
      <c r="U33" s="151" t="str">
        <f>IF(U$17="","",HLOOKUP(U$17,woningen_gebouwen_gegevens,ROWS(bibliotheek!$E$20:$E$34),FALSE))</f>
        <v/>
      </c>
      <c r="V33" s="151" t="str">
        <f>IF(V$17="","",HLOOKUP(V$17,woningen_gebouwen_gegevens,ROWS(bibliotheek!$E$20:$E$34),FALSE))</f>
        <v/>
      </c>
      <c r="W33" s="151" t="str">
        <f>IF(W$17="","",HLOOKUP(W$17,woningen_gebouwen_gegevens,ROWS(bibliotheek!$E$20:$E$34),FALSE))</f>
        <v/>
      </c>
      <c r="X33" s="98"/>
      <c r="Y33" s="187"/>
      <c r="Z33" s="89"/>
      <c r="AA33" s="151" t="str">
        <f>IF(AA$17="","",HLOOKUP(AA$17,woningen_gebouwen_gegevens,ROWS(bibliotheek!$E$20:$E$34),FALSE))</f>
        <v/>
      </c>
      <c r="AB33" s="151" t="str">
        <f>IF(AB$17="","",HLOOKUP(AB$17,woningen_gebouwen_gegevens,ROWS(bibliotheek!$E$20:$E$34),FALSE))</f>
        <v/>
      </c>
      <c r="AC33" s="151" t="str">
        <f>IF(AC$17="","",HLOOKUP(AC$17,woningen_gebouwen_gegevens,ROWS(bibliotheek!$E$20:$E$34),FALSE))</f>
        <v/>
      </c>
      <c r="AD33" s="151" t="str">
        <f>IF(AD$17="","",HLOOKUP(AD$17,woningen_gebouwen_gegevens,ROWS(bibliotheek!$E$20:$E$34),FALSE))</f>
        <v/>
      </c>
      <c r="AE33" s="151" t="str">
        <f>IF(AE$17="","",HLOOKUP(AE$17,woningen_gebouwen_gegevens,ROWS(bibliotheek!$E$20:$E$34),FALSE))</f>
        <v/>
      </c>
      <c r="AF33" s="151" t="str">
        <f>IF(AF$17="","",HLOOKUP(AF$17,woningen_gebouwen_gegevens,ROWS(bibliotheek!$E$20:$E$34),FALSE))</f>
        <v/>
      </c>
      <c r="AG33" s="151" t="str">
        <f>IF(AG$17="","",HLOOKUP(AG$17,woningen_gebouwen_gegevens,ROWS(bibliotheek!$E$20:$E$34),FALSE))</f>
        <v/>
      </c>
      <c r="AH33" s="151" t="str">
        <f>IF(AH$17="","",HLOOKUP(AH$17,woningen_gebouwen_gegevens,ROWS(bibliotheek!$E$20:$E$34),FALSE))</f>
        <v/>
      </c>
      <c r="AI33" s="151" t="str">
        <f>IF(AI$17="","",HLOOKUP(AI$17,woningen_gebouwen_gegevens,ROWS(bibliotheek!$E$20:$E$34),FALSE))</f>
        <v/>
      </c>
      <c r="AJ33" s="98"/>
      <c r="AK33" s="187"/>
      <c r="AL33" s="89"/>
      <c r="AM33" s="151" t="str">
        <f>IF(AM$17="","",HLOOKUP(AM$17,woningen_gebouwen_gegevens,ROWS(bibliotheek!$E$20:$E$34),FALSE))</f>
        <v/>
      </c>
      <c r="AN33" s="151" t="str">
        <f>IF(AN$17="","",HLOOKUP(AN$17,woningen_gebouwen_gegevens,ROWS(bibliotheek!$E$20:$E$34),FALSE))</f>
        <v/>
      </c>
      <c r="AO33" s="151" t="str">
        <f>IF(AO$17="","",HLOOKUP(AO$17,woningen_gebouwen_gegevens,ROWS(bibliotheek!$E$20:$E$34),FALSE))</f>
        <v/>
      </c>
      <c r="AP33" s="151" t="str">
        <f>IF(AP$17="","",HLOOKUP(AP$17,woningen_gebouwen_gegevens,ROWS(bibliotheek!$E$20:$E$34),FALSE))</f>
        <v/>
      </c>
      <c r="AQ33" s="151" t="str">
        <f>IF(AQ$17="","",HLOOKUP(AQ$17,woningen_gebouwen_gegevens,ROWS(bibliotheek!$E$20:$E$34),FALSE))</f>
        <v/>
      </c>
      <c r="AR33" s="151" t="str">
        <f>IF(AR$17="","",HLOOKUP(AR$17,woningen_gebouwen_gegevens,ROWS(bibliotheek!$E$20:$E$34),FALSE))</f>
        <v/>
      </c>
      <c r="AS33" s="151" t="str">
        <f>IF(AS$17="","",HLOOKUP(AS$17,woningen_gebouwen_gegevens,ROWS(bibliotheek!$E$20:$E$34),FALSE))</f>
        <v/>
      </c>
      <c r="AT33" s="151" t="str">
        <f>IF(AT$17="","",HLOOKUP(AT$17,woningen_gebouwen_gegevens,ROWS(bibliotheek!$E$20:$E$34),FALSE))</f>
        <v/>
      </c>
      <c r="AU33" s="151" t="str">
        <f>IF(AU$17="","",HLOOKUP(AU$17,woningen_gebouwen_gegevens,ROWS(bibliotheek!$E$20:$E$34),FALSE))</f>
        <v/>
      </c>
      <c r="AV33" s="98"/>
      <c r="AW33" s="187"/>
      <c r="AX33" s="89"/>
      <c r="AY33" s="151" t="str">
        <f>IF(AY$17="","",HLOOKUP(AY$17,woningen_gebouwen_gegevens,ROWS(bibliotheek!$E$20:$E$34),FALSE))</f>
        <v/>
      </c>
      <c r="AZ33" s="151" t="str">
        <f>IF(AZ$17="","",HLOOKUP(AZ$17,woningen_gebouwen_gegevens,ROWS(bibliotheek!$E$20:$E$34),FALSE))</f>
        <v/>
      </c>
      <c r="BA33" s="151" t="str">
        <f>IF(BA$17="","",HLOOKUP(BA$17,woningen_gebouwen_gegevens,ROWS(bibliotheek!$E$20:$E$34),FALSE))</f>
        <v/>
      </c>
      <c r="BB33" s="151" t="str">
        <f>IF(BB$17="","",HLOOKUP(BB$17,woningen_gebouwen_gegevens,ROWS(bibliotheek!$E$20:$E$34),FALSE))</f>
        <v/>
      </c>
      <c r="BC33" s="151" t="str">
        <f>IF(BC$17="","",HLOOKUP(BC$17,woningen_gebouwen_gegevens,ROWS(bibliotheek!$E$20:$E$34),FALSE))</f>
        <v/>
      </c>
      <c r="BD33" s="151" t="str">
        <f>IF(BD$17="","",HLOOKUP(BD$17,woningen_gebouwen_gegevens,ROWS(bibliotheek!$E$20:$E$34),FALSE))</f>
        <v/>
      </c>
      <c r="BE33" s="151" t="str">
        <f>IF(BE$17="","",HLOOKUP(BE$17,woningen_gebouwen_gegevens,ROWS(bibliotheek!$E$20:$E$34),FALSE))</f>
        <v/>
      </c>
      <c r="BF33" s="151" t="str">
        <f>IF(BF$17="","",HLOOKUP(BF$17,woningen_gebouwen_gegevens,ROWS(bibliotheek!$E$20:$E$34),FALSE))</f>
        <v/>
      </c>
      <c r="BG33" s="151" t="str">
        <f>IF(BG$17="","",HLOOKUP(BG$17,woningen_gebouwen_gegevens,ROWS(bibliotheek!$E$20:$E$34),FALSE))</f>
        <v/>
      </c>
      <c r="BH33" s="174"/>
    </row>
    <row r="34" spans="1:60">
      <c r="A34" s="1041"/>
      <c r="B34" s="1106" t="s">
        <v>111</v>
      </c>
      <c r="C34" s="1107" t="s">
        <v>104</v>
      </c>
      <c r="D34" s="638"/>
      <c r="E34" s="79"/>
      <c r="F34" s="79"/>
      <c r="G34" s="79"/>
      <c r="H34" s="85"/>
      <c r="I34" s="79"/>
      <c r="J34" s="82"/>
      <c r="K34" s="79"/>
      <c r="L34" s="79"/>
      <c r="M34" s="82"/>
      <c r="N34" s="82"/>
      <c r="O34" s="82"/>
      <c r="P34" s="82"/>
      <c r="Q34" s="82"/>
      <c r="R34" s="82"/>
      <c r="S34" s="82"/>
      <c r="T34" s="82"/>
      <c r="U34" s="82"/>
      <c r="V34" s="82"/>
      <c r="W34" s="82"/>
      <c r="X34" s="82"/>
      <c r="Y34" s="82"/>
      <c r="Z34" s="79"/>
      <c r="AA34" s="82"/>
      <c r="AB34" s="82"/>
      <c r="AC34" s="82"/>
      <c r="AD34" s="82"/>
      <c r="AE34" s="82"/>
      <c r="AF34" s="82"/>
      <c r="AG34" s="82"/>
      <c r="AH34" s="82"/>
      <c r="AI34" s="82"/>
      <c r="AJ34" s="82"/>
      <c r="AK34" s="82"/>
      <c r="AL34" s="79"/>
      <c r="AM34" s="82"/>
      <c r="AN34" s="82"/>
      <c r="AO34" s="82"/>
      <c r="AP34" s="82"/>
      <c r="AQ34" s="82"/>
      <c r="AR34" s="82"/>
      <c r="AS34" s="82"/>
      <c r="AT34" s="82"/>
      <c r="AU34" s="82"/>
      <c r="AV34" s="82"/>
      <c r="AW34" s="82"/>
      <c r="AX34" s="79"/>
      <c r="AY34" s="82"/>
      <c r="AZ34" s="82"/>
      <c r="BA34" s="82"/>
      <c r="BB34" s="82"/>
      <c r="BC34" s="82"/>
      <c r="BD34" s="82"/>
      <c r="BE34" s="82"/>
      <c r="BF34" s="82"/>
      <c r="BG34" s="82"/>
      <c r="BH34" s="1"/>
    </row>
    <row r="35" spans="1:60">
      <c r="A35" s="1041"/>
      <c r="B35" s="1109" t="s">
        <v>132</v>
      </c>
      <c r="C35" s="1107" t="s">
        <v>96</v>
      </c>
      <c r="D35" s="638"/>
      <c r="E35" s="79"/>
      <c r="F35" s="79"/>
      <c r="G35" s="79"/>
      <c r="H35" s="85"/>
      <c r="I35" s="79"/>
      <c r="J35" s="82"/>
      <c r="K35" s="79"/>
      <c r="L35" s="79"/>
      <c r="M35" s="82"/>
      <c r="N35" s="82"/>
      <c r="O35" s="82"/>
      <c r="P35" s="82"/>
      <c r="Q35" s="82"/>
      <c r="R35" s="82"/>
      <c r="S35" s="82"/>
      <c r="T35" s="82"/>
      <c r="U35" s="82"/>
      <c r="V35" s="82"/>
      <c r="W35" s="82"/>
      <c r="X35" s="82"/>
      <c r="Y35" s="82"/>
      <c r="Z35" s="79"/>
      <c r="AA35" s="82"/>
      <c r="AB35" s="82"/>
      <c r="AC35" s="82"/>
      <c r="AD35" s="82"/>
      <c r="AE35" s="82"/>
      <c r="AF35" s="82"/>
      <c r="AG35" s="82"/>
      <c r="AH35" s="82"/>
      <c r="AI35" s="82"/>
      <c r="AJ35" s="82"/>
      <c r="AK35" s="82"/>
      <c r="AL35" s="79"/>
      <c r="AM35" s="82"/>
      <c r="AN35" s="82"/>
      <c r="AO35" s="82"/>
      <c r="AP35" s="82"/>
      <c r="AQ35" s="82"/>
      <c r="AR35" s="82"/>
      <c r="AS35" s="82"/>
      <c r="AT35" s="82"/>
      <c r="AU35" s="82"/>
      <c r="AV35" s="82"/>
      <c r="AW35" s="82"/>
      <c r="AX35" s="79"/>
      <c r="AY35" s="82"/>
      <c r="AZ35" s="82"/>
      <c r="BA35" s="82"/>
      <c r="BB35" s="82"/>
      <c r="BC35" s="82"/>
      <c r="BD35" s="82"/>
      <c r="BE35" s="82"/>
      <c r="BF35" s="82"/>
      <c r="BG35" s="82"/>
      <c r="BH35" s="1"/>
    </row>
    <row r="36" spans="1:60" s="2" customFormat="1" ht="21">
      <c r="A36" s="1042"/>
      <c r="B36" s="1109" t="s">
        <v>132</v>
      </c>
      <c r="C36" s="1106" t="s">
        <v>96</v>
      </c>
      <c r="D36" s="640"/>
      <c r="E36" s="209" t="s">
        <v>133</v>
      </c>
      <c r="F36" s="209"/>
      <c r="G36" s="209"/>
      <c r="H36" s="209"/>
      <c r="I36" s="129"/>
      <c r="J36" s="257" t="str">
        <f>J$8</f>
        <v>alle locaties</v>
      </c>
      <c r="K36" s="126"/>
      <c r="L36" s="126"/>
      <c r="M36" s="257" t="str">
        <f>M$8</f>
        <v>locatie 1</v>
      </c>
      <c r="N36" s="193"/>
      <c r="O36" s="955" t="str">
        <f>$E36&amp;" per woning-/gebouwtype"</f>
        <v>energiemaatregelen met effect op energiebehoefte per woning-/gebouwtype</v>
      </c>
      <c r="P36" s="945"/>
      <c r="Q36" s="945"/>
      <c r="R36" s="945"/>
      <c r="S36" s="945"/>
      <c r="T36" s="945"/>
      <c r="U36" s="945"/>
      <c r="V36" s="945"/>
      <c r="W36" s="257"/>
      <c r="X36" s="174"/>
      <c r="Y36" s="257" t="str">
        <f>Y$10</f>
        <v>locatie 2</v>
      </c>
      <c r="Z36" s="193"/>
      <c r="AA36" s="955" t="str">
        <f>$E36&amp;" per woning-/gebouwtype"</f>
        <v>energiemaatregelen met effect op energiebehoefte per woning-/gebouwtype</v>
      </c>
      <c r="AB36" s="945"/>
      <c r="AC36" s="945"/>
      <c r="AD36" s="945"/>
      <c r="AE36" s="945"/>
      <c r="AF36" s="945"/>
      <c r="AG36" s="945"/>
      <c r="AH36" s="945"/>
      <c r="AI36" s="257"/>
      <c r="AJ36" s="174"/>
      <c r="AK36" s="257" t="str">
        <f>AK$10</f>
        <v>locatie 3</v>
      </c>
      <c r="AL36" s="193"/>
      <c r="AM36" s="955" t="str">
        <f>$E36&amp;" per woning-/gebouwtype"</f>
        <v>energiemaatregelen met effect op energiebehoefte per woning-/gebouwtype</v>
      </c>
      <c r="AN36" s="945"/>
      <c r="AO36" s="945"/>
      <c r="AP36" s="945"/>
      <c r="AQ36" s="945"/>
      <c r="AR36" s="945"/>
      <c r="AS36" s="945"/>
      <c r="AT36" s="945"/>
      <c r="AU36" s="257"/>
      <c r="AV36" s="174"/>
      <c r="AW36" s="257" t="str">
        <f>AW$10</f>
        <v>locatie 4</v>
      </c>
      <c r="AX36" s="193"/>
      <c r="AY36" s="955" t="str">
        <f>$E36&amp;" per woning-/gebouwtype"</f>
        <v>energiemaatregelen met effect op energiebehoefte per woning-/gebouwtype</v>
      </c>
      <c r="AZ36" s="945"/>
      <c r="BA36" s="945"/>
      <c r="BB36" s="945"/>
      <c r="BC36" s="945"/>
      <c r="BD36" s="945"/>
      <c r="BE36" s="945"/>
      <c r="BF36" s="945"/>
      <c r="BG36" s="257"/>
      <c r="BH36" s="1"/>
    </row>
    <row r="37" spans="1:60">
      <c r="A37" s="1041"/>
      <c r="B37" s="1109" t="s">
        <v>132</v>
      </c>
      <c r="C37" s="1107" t="s">
        <v>118</v>
      </c>
      <c r="D37" s="638"/>
      <c r="E37" s="942" t="s">
        <v>134</v>
      </c>
      <c r="F37" s="942"/>
      <c r="G37" s="942"/>
      <c r="H37" s="942"/>
      <c r="I37" s="129"/>
      <c r="J37" s="943"/>
      <c r="K37" s="126"/>
      <c r="L37" s="126"/>
      <c r="M37" s="944"/>
      <c r="N37" s="195"/>
      <c r="O37" s="258" t="str">
        <f>O$17</f>
        <v/>
      </c>
      <c r="P37" s="258" t="str">
        <f t="shared" ref="P37:W37" si="38">P$17</f>
        <v/>
      </c>
      <c r="Q37" s="258" t="str">
        <f t="shared" si="38"/>
        <v/>
      </c>
      <c r="R37" s="258" t="str">
        <f t="shared" si="38"/>
        <v/>
      </c>
      <c r="S37" s="258" t="str">
        <f t="shared" si="38"/>
        <v/>
      </c>
      <c r="T37" s="258" t="str">
        <f t="shared" si="38"/>
        <v/>
      </c>
      <c r="U37" s="258" t="str">
        <f t="shared" si="38"/>
        <v/>
      </c>
      <c r="V37" s="258" t="str">
        <f t="shared" si="38"/>
        <v/>
      </c>
      <c r="W37" s="258" t="str">
        <f t="shared" si="38"/>
        <v/>
      </c>
      <c r="X37" s="195"/>
      <c r="Y37" s="944"/>
      <c r="Z37" s="195"/>
      <c r="AA37" s="258" t="str">
        <f>AA$17</f>
        <v/>
      </c>
      <c r="AB37" s="258" t="str">
        <f t="shared" ref="AB37:AI37" si="39">AB$17</f>
        <v/>
      </c>
      <c r="AC37" s="258" t="str">
        <f t="shared" si="39"/>
        <v/>
      </c>
      <c r="AD37" s="258" t="str">
        <f t="shared" si="39"/>
        <v/>
      </c>
      <c r="AE37" s="258" t="str">
        <f t="shared" si="39"/>
        <v/>
      </c>
      <c r="AF37" s="258" t="str">
        <f t="shared" si="39"/>
        <v/>
      </c>
      <c r="AG37" s="258" t="str">
        <f t="shared" si="39"/>
        <v/>
      </c>
      <c r="AH37" s="258" t="str">
        <f t="shared" si="39"/>
        <v/>
      </c>
      <c r="AI37" s="258" t="str">
        <f t="shared" si="39"/>
        <v/>
      </c>
      <c r="AJ37" s="195"/>
      <c r="AK37" s="944"/>
      <c r="AL37" s="195"/>
      <c r="AM37" s="258" t="str">
        <f>AM$17</f>
        <v/>
      </c>
      <c r="AN37" s="258" t="str">
        <f t="shared" ref="AN37:AU37" si="40">AN$17</f>
        <v/>
      </c>
      <c r="AO37" s="258" t="str">
        <f t="shared" si="40"/>
        <v/>
      </c>
      <c r="AP37" s="258" t="str">
        <f t="shared" si="40"/>
        <v/>
      </c>
      <c r="AQ37" s="258" t="str">
        <f t="shared" si="40"/>
        <v/>
      </c>
      <c r="AR37" s="258" t="str">
        <f t="shared" si="40"/>
        <v/>
      </c>
      <c r="AS37" s="258" t="str">
        <f t="shared" si="40"/>
        <v/>
      </c>
      <c r="AT37" s="258" t="str">
        <f t="shared" si="40"/>
        <v/>
      </c>
      <c r="AU37" s="258" t="str">
        <f t="shared" si="40"/>
        <v/>
      </c>
      <c r="AV37" s="195"/>
      <c r="AW37" s="944"/>
      <c r="AX37" s="195"/>
      <c r="AY37" s="258" t="str">
        <f>AY$17</f>
        <v/>
      </c>
      <c r="AZ37" s="258" t="str">
        <f t="shared" ref="AZ37:BG37" si="41">AZ$17</f>
        <v/>
      </c>
      <c r="BA37" s="258" t="str">
        <f t="shared" si="41"/>
        <v/>
      </c>
      <c r="BB37" s="258" t="str">
        <f t="shared" si="41"/>
        <v/>
      </c>
      <c r="BC37" s="258" t="str">
        <f t="shared" si="41"/>
        <v/>
      </c>
      <c r="BD37" s="258" t="str">
        <f t="shared" si="41"/>
        <v/>
      </c>
      <c r="BE37" s="258" t="str">
        <f t="shared" si="41"/>
        <v/>
      </c>
      <c r="BF37" s="258" t="str">
        <f t="shared" si="41"/>
        <v/>
      </c>
      <c r="BG37" s="258" t="str">
        <f t="shared" si="41"/>
        <v/>
      </c>
      <c r="BH37" s="36"/>
    </row>
    <row r="38" spans="1:60" s="2" customFormat="1">
      <c r="A38" s="1042"/>
      <c r="B38" s="1110" t="s">
        <v>132</v>
      </c>
      <c r="C38" s="1106" t="s">
        <v>118</v>
      </c>
      <c r="D38" s="645" t="s">
        <v>45</v>
      </c>
      <c r="E38" s="254" t="s">
        <v>135</v>
      </c>
      <c r="F38" s="254"/>
      <c r="G38" s="254"/>
      <c r="H38" s="181" t="s">
        <v>65</v>
      </c>
      <c r="I38" s="171"/>
      <c r="J38" s="1124"/>
      <c r="K38" s="79"/>
      <c r="L38" s="79"/>
      <c r="M38" s="554"/>
      <c r="N38" s="1120"/>
      <c r="O38" s="151" t="str">
        <f t="shared" ref="O38:W38" si="42">IF(O$17="","",IF(AND(O39&lt;&gt;"",
ISERROR(MATCH(O39,isolatiepakketten_gebouwschil_namen,0))=FALSE),O39,
INDEX(referentiepakketten_bij_gebouwen,MATCH(O$17,woningen_gebouwen_namen,0))))</f>
        <v/>
      </c>
      <c r="P38" s="151" t="str">
        <f t="shared" si="42"/>
        <v/>
      </c>
      <c r="Q38" s="151" t="str">
        <f t="shared" si="42"/>
        <v/>
      </c>
      <c r="R38" s="151" t="str">
        <f t="shared" si="42"/>
        <v/>
      </c>
      <c r="S38" s="151" t="str">
        <f t="shared" si="42"/>
        <v/>
      </c>
      <c r="T38" s="151" t="str">
        <f t="shared" si="42"/>
        <v/>
      </c>
      <c r="U38" s="151" t="str">
        <f t="shared" si="42"/>
        <v/>
      </c>
      <c r="V38" s="151" t="str">
        <f t="shared" si="42"/>
        <v/>
      </c>
      <c r="W38" s="151" t="str">
        <f t="shared" si="42"/>
        <v/>
      </c>
      <c r="X38" s="1120"/>
      <c r="Y38" s="554"/>
      <c r="Z38" s="1120"/>
      <c r="AA38" s="151" t="str">
        <f t="shared" ref="AA38:AI38" si="43">IF(AA$17="","",IF(AND(AA39&lt;&gt;"",
ISERROR(MATCH(AA39,isolatiepakketten_gebouwschil_namen,0))=FALSE),AA39,
INDEX(referentiepakketten_bij_gebouwen,MATCH(AA$17,woningen_gebouwen_namen,0))))</f>
        <v/>
      </c>
      <c r="AB38" s="151" t="str">
        <f t="shared" si="43"/>
        <v/>
      </c>
      <c r="AC38" s="151" t="str">
        <f t="shared" si="43"/>
        <v/>
      </c>
      <c r="AD38" s="151" t="str">
        <f t="shared" si="43"/>
        <v/>
      </c>
      <c r="AE38" s="151" t="str">
        <f t="shared" si="43"/>
        <v/>
      </c>
      <c r="AF38" s="151" t="str">
        <f t="shared" si="43"/>
        <v/>
      </c>
      <c r="AG38" s="151" t="str">
        <f t="shared" si="43"/>
        <v/>
      </c>
      <c r="AH38" s="151" t="str">
        <f t="shared" si="43"/>
        <v/>
      </c>
      <c r="AI38" s="151" t="str">
        <f t="shared" si="43"/>
        <v/>
      </c>
      <c r="AJ38" s="1120"/>
      <c r="AK38" s="554"/>
      <c r="AL38" s="195"/>
      <c r="AM38" s="151" t="str">
        <f t="shared" ref="AM38:AU38" si="44">IF(AM$17="","",IF(AND(AM39&lt;&gt;"",
ISERROR(MATCH(AM39,isolatiepakketten_gebouwschil_namen,0))=FALSE),AM39,
INDEX(referentiepakketten_bij_gebouwen,MATCH(AM$17,woningen_gebouwen_namen,0))))</f>
        <v/>
      </c>
      <c r="AN38" s="151" t="str">
        <f t="shared" si="44"/>
        <v/>
      </c>
      <c r="AO38" s="151" t="str">
        <f t="shared" si="44"/>
        <v/>
      </c>
      <c r="AP38" s="151" t="str">
        <f t="shared" si="44"/>
        <v/>
      </c>
      <c r="AQ38" s="151" t="str">
        <f t="shared" si="44"/>
        <v/>
      </c>
      <c r="AR38" s="151" t="str">
        <f t="shared" si="44"/>
        <v/>
      </c>
      <c r="AS38" s="151" t="str">
        <f t="shared" si="44"/>
        <v/>
      </c>
      <c r="AT38" s="151" t="str">
        <f t="shared" si="44"/>
        <v/>
      </c>
      <c r="AU38" s="151" t="str">
        <f t="shared" si="44"/>
        <v/>
      </c>
      <c r="AV38" s="195"/>
      <c r="AW38" s="554"/>
      <c r="AX38" s="195"/>
      <c r="AY38" s="151" t="str">
        <f t="shared" ref="AY38:BG38" si="45">IF(AY$17="","",IF(AND(AY39&lt;&gt;"",
ISERROR(MATCH(AY39,isolatiepakketten_gebouwschil_namen,0))=FALSE),AY39,
INDEX(referentiepakketten_bij_gebouwen,MATCH(AY$17,woningen_gebouwen_namen,0))))</f>
        <v/>
      </c>
      <c r="AZ38" s="151" t="str">
        <f t="shared" si="45"/>
        <v/>
      </c>
      <c r="BA38" s="151" t="str">
        <f t="shared" si="45"/>
        <v/>
      </c>
      <c r="BB38" s="151" t="str">
        <f t="shared" si="45"/>
        <v/>
      </c>
      <c r="BC38" s="151" t="str">
        <f t="shared" si="45"/>
        <v/>
      </c>
      <c r="BD38" s="151" t="str">
        <f t="shared" si="45"/>
        <v/>
      </c>
      <c r="BE38" s="151" t="str">
        <f t="shared" si="45"/>
        <v/>
      </c>
      <c r="BF38" s="151" t="str">
        <f t="shared" si="45"/>
        <v/>
      </c>
      <c r="BG38" s="151" t="str">
        <f t="shared" si="45"/>
        <v/>
      </c>
      <c r="BH38" s="215"/>
    </row>
    <row r="39" spans="1:60">
      <c r="A39" s="1041"/>
      <c r="B39" s="1109" t="s">
        <v>132</v>
      </c>
      <c r="C39" s="1106" t="s">
        <v>118</v>
      </c>
      <c r="D39" s="638"/>
      <c r="E39" s="1218" t="s">
        <v>951</v>
      </c>
      <c r="F39" s="236"/>
      <c r="G39" s="236"/>
      <c r="H39" s="150" t="s">
        <v>65</v>
      </c>
      <c r="I39" s="171"/>
      <c r="J39" s="616"/>
      <c r="K39" s="79"/>
      <c r="L39" s="79"/>
      <c r="M39" s="184"/>
      <c r="N39" s="195"/>
      <c r="O39" s="871"/>
      <c r="P39" s="871"/>
      <c r="Q39" s="871"/>
      <c r="R39" s="871"/>
      <c r="S39" s="871"/>
      <c r="T39" s="871"/>
      <c r="U39" s="871"/>
      <c r="V39" s="871"/>
      <c r="W39" s="871"/>
      <c r="X39" s="195"/>
      <c r="Y39" s="184"/>
      <c r="Z39" s="195"/>
      <c r="AA39" s="871"/>
      <c r="AB39" s="871"/>
      <c r="AC39" s="871"/>
      <c r="AD39" s="871"/>
      <c r="AE39" s="871"/>
      <c r="AF39" s="871"/>
      <c r="AG39" s="871"/>
      <c r="AH39" s="871"/>
      <c r="AI39" s="871"/>
      <c r="AJ39" s="195"/>
      <c r="AK39" s="184"/>
      <c r="AL39" s="195"/>
      <c r="AM39" s="871"/>
      <c r="AN39" s="871"/>
      <c r="AO39" s="871"/>
      <c r="AP39" s="871"/>
      <c r="AQ39" s="871"/>
      <c r="AR39" s="871"/>
      <c r="AS39" s="871"/>
      <c r="AT39" s="871"/>
      <c r="AU39" s="871"/>
      <c r="AV39" s="195"/>
      <c r="AW39" s="184"/>
      <c r="AX39" s="195"/>
      <c r="AY39" s="871"/>
      <c r="AZ39" s="871"/>
      <c r="BA39" s="871"/>
      <c r="BB39" s="871"/>
      <c r="BC39" s="871"/>
      <c r="BD39" s="871"/>
      <c r="BE39" s="871"/>
      <c r="BF39" s="871"/>
      <c r="BG39" s="871"/>
      <c r="BH39" s="215"/>
    </row>
    <row r="40" spans="1:60" s="36" customFormat="1" ht="17.25" customHeight="1">
      <c r="A40" s="1043"/>
      <c r="B40" s="1109" t="s">
        <v>132</v>
      </c>
      <c r="C40" s="1107" t="s">
        <v>118</v>
      </c>
      <c r="D40" s="642"/>
      <c r="E40" s="1266" t="s">
        <v>1291</v>
      </c>
      <c r="F40" s="1266"/>
      <c r="G40" s="1266"/>
      <c r="H40" s="150" t="s">
        <v>65</v>
      </c>
      <c r="I40" s="102"/>
      <c r="J40" s="616"/>
      <c r="K40" s="86"/>
      <c r="L40" s="86"/>
      <c r="M40" s="184"/>
      <c r="N40" s="88"/>
      <c r="O40" s="738" t="s">
        <v>1294</v>
      </c>
      <c r="P40" s="738" t="s">
        <v>1294</v>
      </c>
      <c r="Q40" s="738" t="s">
        <v>1294</v>
      </c>
      <c r="R40" s="738" t="s">
        <v>1294</v>
      </c>
      <c r="S40" s="738" t="s">
        <v>1294</v>
      </c>
      <c r="T40" s="738" t="s">
        <v>1294</v>
      </c>
      <c r="U40" s="738" t="s">
        <v>1294</v>
      </c>
      <c r="V40" s="738" t="s">
        <v>1294</v>
      </c>
      <c r="W40" s="738" t="s">
        <v>1294</v>
      </c>
      <c r="X40" s="659"/>
      <c r="Y40" s="184"/>
      <c r="Z40" s="660"/>
      <c r="AA40" s="738" t="s">
        <v>1294</v>
      </c>
      <c r="AB40" s="738" t="s">
        <v>1294</v>
      </c>
      <c r="AC40" s="738" t="s">
        <v>1294</v>
      </c>
      <c r="AD40" s="738" t="s">
        <v>1294</v>
      </c>
      <c r="AE40" s="738" t="s">
        <v>1294</v>
      </c>
      <c r="AF40" s="738" t="s">
        <v>1294</v>
      </c>
      <c r="AG40" s="738" t="s">
        <v>1294</v>
      </c>
      <c r="AH40" s="738" t="s">
        <v>1294</v>
      </c>
      <c r="AI40" s="738" t="s">
        <v>1294</v>
      </c>
      <c r="AJ40" s="659"/>
      <c r="AK40" s="184"/>
      <c r="AL40" s="661"/>
      <c r="AM40" s="738" t="s">
        <v>1294</v>
      </c>
      <c r="AN40" s="738" t="s">
        <v>1294</v>
      </c>
      <c r="AO40" s="738" t="s">
        <v>1294</v>
      </c>
      <c r="AP40" s="738" t="s">
        <v>1294</v>
      </c>
      <c r="AQ40" s="738" t="s">
        <v>1294</v>
      </c>
      <c r="AR40" s="738" t="s">
        <v>1294</v>
      </c>
      <c r="AS40" s="738" t="s">
        <v>1294</v>
      </c>
      <c r="AT40" s="738" t="s">
        <v>1294</v>
      </c>
      <c r="AU40" s="738" t="s">
        <v>1294</v>
      </c>
      <c r="AV40" s="659"/>
      <c r="AW40" s="184"/>
      <c r="AX40" s="661"/>
      <c r="AY40" s="738" t="s">
        <v>1294</v>
      </c>
      <c r="AZ40" s="738" t="s">
        <v>1294</v>
      </c>
      <c r="BA40" s="738" t="s">
        <v>1294</v>
      </c>
      <c r="BB40" s="738" t="s">
        <v>1294</v>
      </c>
      <c r="BC40" s="738" t="s">
        <v>1294</v>
      </c>
      <c r="BD40" s="738" t="s">
        <v>1294</v>
      </c>
      <c r="BE40" s="738" t="s">
        <v>1294</v>
      </c>
      <c r="BF40" s="738" t="s">
        <v>1294</v>
      </c>
      <c r="BG40" s="738" t="s">
        <v>1294</v>
      </c>
      <c r="BH40" s="217"/>
    </row>
    <row r="41" spans="1:60" ht="25.5">
      <c r="A41" s="1043"/>
      <c r="B41" s="1109" t="s">
        <v>132</v>
      </c>
      <c r="C41" s="1106" t="s">
        <v>118</v>
      </c>
      <c r="D41" s="642"/>
      <c r="E41" s="149" t="s">
        <v>137</v>
      </c>
      <c r="F41" s="149"/>
      <c r="G41" s="149"/>
      <c r="H41" s="150" t="s">
        <v>65</v>
      </c>
      <c r="I41" s="102"/>
      <c r="J41" s="184"/>
      <c r="K41" s="86"/>
      <c r="L41" s="86"/>
      <c r="M41" s="184"/>
      <c r="N41" s="88"/>
      <c r="O41" s="738" t="s">
        <v>138</v>
      </c>
      <c r="P41" s="738" t="s">
        <v>138</v>
      </c>
      <c r="Q41" s="738" t="s">
        <v>138</v>
      </c>
      <c r="R41" s="738" t="s">
        <v>138</v>
      </c>
      <c r="S41" s="738" t="s">
        <v>138</v>
      </c>
      <c r="T41" s="738" t="s">
        <v>138</v>
      </c>
      <c r="U41" s="738" t="s">
        <v>138</v>
      </c>
      <c r="V41" s="738" t="s">
        <v>138</v>
      </c>
      <c r="W41" s="738" t="s">
        <v>138</v>
      </c>
      <c r="X41" s="659"/>
      <c r="Y41" s="184"/>
      <c r="Z41" s="195"/>
      <c r="AA41" s="738" t="s">
        <v>138</v>
      </c>
      <c r="AB41" s="738" t="s">
        <v>138</v>
      </c>
      <c r="AC41" s="738" t="s">
        <v>138</v>
      </c>
      <c r="AD41" s="738" t="s">
        <v>138</v>
      </c>
      <c r="AE41" s="738" t="s">
        <v>138</v>
      </c>
      <c r="AF41" s="738" t="s">
        <v>138</v>
      </c>
      <c r="AG41" s="738" t="s">
        <v>138</v>
      </c>
      <c r="AH41" s="738" t="s">
        <v>138</v>
      </c>
      <c r="AI41" s="738" t="s">
        <v>138</v>
      </c>
      <c r="AJ41" s="659"/>
      <c r="AK41" s="184"/>
      <c r="AL41" s="661"/>
      <c r="AM41" s="738" t="s">
        <v>138</v>
      </c>
      <c r="AN41" s="738" t="s">
        <v>138</v>
      </c>
      <c r="AO41" s="738" t="s">
        <v>138</v>
      </c>
      <c r="AP41" s="738" t="s">
        <v>138</v>
      </c>
      <c r="AQ41" s="738" t="s">
        <v>138</v>
      </c>
      <c r="AR41" s="738" t="s">
        <v>138</v>
      </c>
      <c r="AS41" s="738" t="s">
        <v>138</v>
      </c>
      <c r="AT41" s="738" t="s">
        <v>138</v>
      </c>
      <c r="AU41" s="738" t="s">
        <v>138</v>
      </c>
      <c r="AV41" s="659"/>
      <c r="AW41" s="184"/>
      <c r="AX41" s="661"/>
      <c r="AY41" s="738" t="s">
        <v>138</v>
      </c>
      <c r="AZ41" s="738" t="s">
        <v>138</v>
      </c>
      <c r="BA41" s="738" t="s">
        <v>138</v>
      </c>
      <c r="BB41" s="738" t="s">
        <v>138</v>
      </c>
      <c r="BC41" s="738" t="s">
        <v>138</v>
      </c>
      <c r="BD41" s="738" t="s">
        <v>138</v>
      </c>
      <c r="BE41" s="738" t="s">
        <v>138</v>
      </c>
      <c r="BF41" s="738" t="s">
        <v>138</v>
      </c>
      <c r="BG41" s="738" t="s">
        <v>138</v>
      </c>
      <c r="BH41" s="217"/>
    </row>
    <row r="42" spans="1:60">
      <c r="A42" s="1043"/>
      <c r="B42" s="1109" t="s">
        <v>132</v>
      </c>
      <c r="C42" s="1106" t="s">
        <v>118</v>
      </c>
      <c r="D42" s="642"/>
      <c r="E42" s="149" t="s">
        <v>1126</v>
      </c>
      <c r="F42" s="149"/>
      <c r="G42" s="149"/>
      <c r="H42" s="150" t="s">
        <v>65</v>
      </c>
      <c r="I42" s="102"/>
      <c r="J42" s="184"/>
      <c r="K42" s="86"/>
      <c r="L42" s="86"/>
      <c r="M42" s="184"/>
      <c r="N42" s="88"/>
      <c r="O42" s="738" t="s">
        <v>166</v>
      </c>
      <c r="P42" s="738" t="s">
        <v>166</v>
      </c>
      <c r="Q42" s="738" t="s">
        <v>166</v>
      </c>
      <c r="R42" s="738" t="s">
        <v>166</v>
      </c>
      <c r="S42" s="738" t="s">
        <v>166</v>
      </c>
      <c r="T42" s="738" t="s">
        <v>166</v>
      </c>
      <c r="U42" s="738" t="s">
        <v>166</v>
      </c>
      <c r="V42" s="738" t="s">
        <v>166</v>
      </c>
      <c r="W42" s="738" t="s">
        <v>166</v>
      </c>
      <c r="X42" s="659"/>
      <c r="Y42" s="184"/>
      <c r="Z42" s="195"/>
      <c r="AA42" s="738" t="s">
        <v>166</v>
      </c>
      <c r="AB42" s="738" t="s">
        <v>166</v>
      </c>
      <c r="AC42" s="738" t="s">
        <v>166</v>
      </c>
      <c r="AD42" s="738" t="s">
        <v>166</v>
      </c>
      <c r="AE42" s="738" t="s">
        <v>166</v>
      </c>
      <c r="AF42" s="738" t="s">
        <v>166</v>
      </c>
      <c r="AG42" s="738" t="s">
        <v>166</v>
      </c>
      <c r="AH42" s="738" t="s">
        <v>166</v>
      </c>
      <c r="AI42" s="738" t="s">
        <v>166</v>
      </c>
      <c r="AJ42" s="659"/>
      <c r="AK42" s="184"/>
      <c r="AL42" s="661"/>
      <c r="AM42" s="738" t="s">
        <v>166</v>
      </c>
      <c r="AN42" s="738" t="s">
        <v>166</v>
      </c>
      <c r="AO42" s="738" t="s">
        <v>166</v>
      </c>
      <c r="AP42" s="738" t="s">
        <v>166</v>
      </c>
      <c r="AQ42" s="738" t="s">
        <v>166</v>
      </c>
      <c r="AR42" s="738" t="s">
        <v>166</v>
      </c>
      <c r="AS42" s="738" t="s">
        <v>166</v>
      </c>
      <c r="AT42" s="738" t="s">
        <v>166</v>
      </c>
      <c r="AU42" s="738" t="s">
        <v>166</v>
      </c>
      <c r="AV42" s="659"/>
      <c r="AW42" s="184"/>
      <c r="AX42" s="661"/>
      <c r="AY42" s="738" t="s">
        <v>166</v>
      </c>
      <c r="AZ42" s="738" t="s">
        <v>166</v>
      </c>
      <c r="BA42" s="738" t="s">
        <v>166</v>
      </c>
      <c r="BB42" s="738" t="s">
        <v>166</v>
      </c>
      <c r="BC42" s="738" t="s">
        <v>166</v>
      </c>
      <c r="BD42" s="738" t="s">
        <v>166</v>
      </c>
      <c r="BE42" s="738" t="s">
        <v>166</v>
      </c>
      <c r="BF42" s="738" t="s">
        <v>166</v>
      </c>
      <c r="BG42" s="738" t="s">
        <v>166</v>
      </c>
      <c r="BH42" s="217"/>
    </row>
    <row r="43" spans="1:60" s="2" customFormat="1" hidden="1">
      <c r="A43" s="1044"/>
      <c r="B43" s="1110" t="s">
        <v>132</v>
      </c>
      <c r="C43" s="1106" t="s">
        <v>181</v>
      </c>
      <c r="D43" s="639"/>
      <c r="E43" s="255" t="s">
        <v>1304</v>
      </c>
      <c r="F43" s="180"/>
      <c r="G43" s="180"/>
      <c r="H43" s="181" t="s">
        <v>65</v>
      </c>
      <c r="I43" s="171"/>
      <c r="J43" s="554"/>
      <c r="K43" s="79"/>
      <c r="L43" s="79"/>
      <c r="M43" s="554"/>
      <c r="N43" s="89"/>
      <c r="O43" s="1182"/>
      <c r="P43" s="1182"/>
      <c r="Q43" s="1182"/>
      <c r="R43" s="1182"/>
      <c r="S43" s="1182"/>
      <c r="T43" s="1182"/>
      <c r="U43" s="1182"/>
      <c r="V43" s="1182"/>
      <c r="W43" s="1182"/>
      <c r="X43" s="658"/>
      <c r="Y43" s="554"/>
      <c r="Z43" s="1120"/>
      <c r="AA43" s="1182"/>
      <c r="AB43" s="1182"/>
      <c r="AC43" s="1182"/>
      <c r="AD43" s="1182"/>
      <c r="AE43" s="1182"/>
      <c r="AF43" s="1182"/>
      <c r="AG43" s="1182"/>
      <c r="AH43" s="1182"/>
      <c r="AI43" s="1182"/>
      <c r="AJ43" s="658"/>
      <c r="AK43" s="554"/>
      <c r="AL43" s="662"/>
      <c r="AM43" s="1182"/>
      <c r="AN43" s="1182"/>
      <c r="AO43" s="1182"/>
      <c r="AP43" s="1182"/>
      <c r="AQ43" s="1182"/>
      <c r="AR43" s="1182"/>
      <c r="AS43" s="1182"/>
      <c r="AT43" s="1182"/>
      <c r="AU43" s="1182"/>
      <c r="AV43" s="658"/>
      <c r="AW43" s="554"/>
      <c r="AX43" s="662"/>
      <c r="AY43" s="1182"/>
      <c r="AZ43" s="1182"/>
      <c r="BA43" s="1182"/>
      <c r="BB43" s="1182"/>
      <c r="BC43" s="1182"/>
      <c r="BD43" s="1182"/>
      <c r="BE43" s="1182"/>
      <c r="BF43" s="1182"/>
      <c r="BG43" s="1182"/>
      <c r="BH43" s="216"/>
    </row>
    <row r="44" spans="1:60" s="2" customFormat="1">
      <c r="A44" s="1044"/>
      <c r="B44" s="1110" t="s">
        <v>132</v>
      </c>
      <c r="C44" s="1106" t="s">
        <v>118</v>
      </c>
      <c r="D44" s="645" t="s">
        <v>45</v>
      </c>
      <c r="E44" s="1220" t="s">
        <v>1378</v>
      </c>
      <c r="F44" s="180"/>
      <c r="G44" s="180"/>
      <c r="H44" s="181" t="s">
        <v>1165</v>
      </c>
      <c r="I44" s="171"/>
      <c r="J44" s="554"/>
      <c r="K44" s="79"/>
      <c r="L44" s="79"/>
      <c r="M44" s="554"/>
      <c r="N44" s="89"/>
      <c r="O44" s="739">
        <v>1</v>
      </c>
      <c r="P44" s="739">
        <v>1</v>
      </c>
      <c r="Q44" s="739">
        <v>1</v>
      </c>
      <c r="R44" s="739">
        <v>1</v>
      </c>
      <c r="S44" s="739">
        <v>1</v>
      </c>
      <c r="T44" s="739">
        <v>1</v>
      </c>
      <c r="U44" s="739">
        <v>1</v>
      </c>
      <c r="V44" s="739">
        <v>1</v>
      </c>
      <c r="W44" s="739">
        <v>1</v>
      </c>
      <c r="X44" s="658"/>
      <c r="Y44" s="554"/>
      <c r="Z44" s="1120"/>
      <c r="AA44" s="739">
        <v>1</v>
      </c>
      <c r="AB44" s="739">
        <v>1</v>
      </c>
      <c r="AC44" s="739">
        <v>1</v>
      </c>
      <c r="AD44" s="739">
        <v>1</v>
      </c>
      <c r="AE44" s="739">
        <v>1</v>
      </c>
      <c r="AF44" s="739">
        <v>1</v>
      </c>
      <c r="AG44" s="739">
        <v>1</v>
      </c>
      <c r="AH44" s="739">
        <v>1</v>
      </c>
      <c r="AI44" s="739">
        <v>1</v>
      </c>
      <c r="AJ44" s="658"/>
      <c r="AK44" s="554"/>
      <c r="AL44" s="662"/>
      <c r="AM44" s="739">
        <v>1</v>
      </c>
      <c r="AN44" s="739">
        <v>1</v>
      </c>
      <c r="AO44" s="739">
        <v>1</v>
      </c>
      <c r="AP44" s="739">
        <v>1</v>
      </c>
      <c r="AQ44" s="739">
        <v>1</v>
      </c>
      <c r="AR44" s="739">
        <v>1</v>
      </c>
      <c r="AS44" s="739">
        <v>1</v>
      </c>
      <c r="AT44" s="739">
        <v>1</v>
      </c>
      <c r="AU44" s="739">
        <v>1</v>
      </c>
      <c r="AV44" s="658"/>
      <c r="AW44" s="554"/>
      <c r="AX44" s="662"/>
      <c r="AY44" s="739">
        <v>1</v>
      </c>
      <c r="AZ44" s="739">
        <v>1</v>
      </c>
      <c r="BA44" s="739">
        <v>1</v>
      </c>
      <c r="BB44" s="739">
        <v>1</v>
      </c>
      <c r="BC44" s="739">
        <v>1</v>
      </c>
      <c r="BD44" s="739">
        <v>1</v>
      </c>
      <c r="BE44" s="739">
        <v>1</v>
      </c>
      <c r="BF44" s="739">
        <v>1</v>
      </c>
      <c r="BG44" s="739">
        <v>1</v>
      </c>
      <c r="BH44" s="216"/>
    </row>
    <row r="45" spans="1:60" s="2" customFormat="1">
      <c r="A45" s="1044"/>
      <c r="B45" s="1110" t="s">
        <v>132</v>
      </c>
      <c r="C45" s="1106" t="s">
        <v>118</v>
      </c>
      <c r="D45" s="645" t="s">
        <v>45</v>
      </c>
      <c r="E45" s="180" t="s">
        <v>140</v>
      </c>
      <c r="F45" s="180"/>
      <c r="G45" s="180"/>
      <c r="H45" s="181" t="s">
        <v>141</v>
      </c>
      <c r="I45" s="171"/>
      <c r="J45" s="202"/>
      <c r="K45" s="243"/>
      <c r="L45" s="243"/>
      <c r="M45" s="202"/>
      <c r="N45" s="89"/>
      <c r="O45" s="740"/>
      <c r="P45" s="740"/>
      <c r="Q45" s="740"/>
      <c r="R45" s="740"/>
      <c r="S45" s="740"/>
      <c r="T45" s="740"/>
      <c r="U45" s="740"/>
      <c r="V45" s="740"/>
      <c r="W45" s="740"/>
      <c r="X45" s="663"/>
      <c r="Y45" s="202"/>
      <c r="Z45" s="362"/>
      <c r="AA45" s="740"/>
      <c r="AB45" s="740"/>
      <c r="AC45" s="740"/>
      <c r="AD45" s="740"/>
      <c r="AE45" s="740"/>
      <c r="AF45" s="740"/>
      <c r="AG45" s="740"/>
      <c r="AH45" s="740"/>
      <c r="AI45" s="740"/>
      <c r="AJ45" s="663"/>
      <c r="AK45" s="202"/>
      <c r="AL45" s="664"/>
      <c r="AM45" s="740"/>
      <c r="AN45" s="740"/>
      <c r="AO45" s="740"/>
      <c r="AP45" s="740"/>
      <c r="AQ45" s="740"/>
      <c r="AR45" s="740"/>
      <c r="AS45" s="740"/>
      <c r="AT45" s="740"/>
      <c r="AU45" s="740"/>
      <c r="AV45" s="663"/>
      <c r="AW45" s="202"/>
      <c r="AX45" s="664"/>
      <c r="AY45" s="740"/>
      <c r="AZ45" s="740"/>
      <c r="BA45" s="740"/>
      <c r="BB45" s="740"/>
      <c r="BC45" s="740"/>
      <c r="BD45" s="740"/>
      <c r="BE45" s="740"/>
      <c r="BF45" s="740"/>
      <c r="BG45" s="740"/>
      <c r="BH45" s="216"/>
    </row>
    <row r="46" spans="1:60">
      <c r="A46" s="1043"/>
      <c r="B46" s="1109" t="s">
        <v>132</v>
      </c>
      <c r="C46" s="1106" t="s">
        <v>118</v>
      </c>
      <c r="D46" s="642"/>
      <c r="E46" s="149" t="s">
        <v>142</v>
      </c>
      <c r="F46" s="149"/>
      <c r="G46" s="149"/>
      <c r="H46" s="150" t="s">
        <v>65</v>
      </c>
      <c r="I46" s="102"/>
      <c r="J46" s="616"/>
      <c r="K46" s="86"/>
      <c r="L46" s="86"/>
      <c r="M46" s="184"/>
      <c r="N46" s="88"/>
      <c r="O46" s="738"/>
      <c r="P46" s="738"/>
      <c r="Q46" s="738"/>
      <c r="R46" s="738"/>
      <c r="S46" s="738"/>
      <c r="T46" s="738"/>
      <c r="U46" s="738"/>
      <c r="V46" s="738"/>
      <c r="W46" s="738"/>
      <c r="X46" s="659"/>
      <c r="Y46" s="184"/>
      <c r="Z46" s="195"/>
      <c r="AA46" s="738"/>
      <c r="AB46" s="738"/>
      <c r="AC46" s="738"/>
      <c r="AD46" s="738"/>
      <c r="AE46" s="738"/>
      <c r="AF46" s="738"/>
      <c r="AG46" s="738"/>
      <c r="AH46" s="738"/>
      <c r="AI46" s="738"/>
      <c r="AJ46" s="659"/>
      <c r="AK46" s="184"/>
      <c r="AL46" s="661"/>
      <c r="AM46" s="738"/>
      <c r="AN46" s="738"/>
      <c r="AO46" s="738"/>
      <c r="AP46" s="738"/>
      <c r="AQ46" s="738"/>
      <c r="AR46" s="738"/>
      <c r="AS46" s="738"/>
      <c r="AT46" s="738"/>
      <c r="AU46" s="738"/>
      <c r="AV46" s="659"/>
      <c r="AW46" s="184"/>
      <c r="AX46" s="661"/>
      <c r="AY46" s="738"/>
      <c r="AZ46" s="738"/>
      <c r="BA46" s="738"/>
      <c r="BB46" s="738"/>
      <c r="BC46" s="738"/>
      <c r="BD46" s="738"/>
      <c r="BE46" s="738"/>
      <c r="BF46" s="738"/>
      <c r="BG46" s="738"/>
      <c r="BH46" s="217"/>
    </row>
    <row r="47" spans="1:60" s="2" customFormat="1">
      <c r="A47" s="1044"/>
      <c r="B47" s="1110" t="s">
        <v>132</v>
      </c>
      <c r="C47" s="1106" t="s">
        <v>118</v>
      </c>
      <c r="D47" s="639"/>
      <c r="E47" s="180" t="s">
        <v>144</v>
      </c>
      <c r="F47" s="180"/>
      <c r="G47" s="180"/>
      <c r="H47" s="181" t="s">
        <v>65</v>
      </c>
      <c r="I47" s="171"/>
      <c r="J47" s="1124"/>
      <c r="K47" s="79"/>
      <c r="L47" s="79"/>
      <c r="M47" s="554"/>
      <c r="N47" s="89"/>
      <c r="O47" s="1084" t="s">
        <v>145</v>
      </c>
      <c r="P47" s="1084" t="s">
        <v>145</v>
      </c>
      <c r="Q47" s="1084" t="s">
        <v>145</v>
      </c>
      <c r="R47" s="1084" t="s">
        <v>145</v>
      </c>
      <c r="S47" s="1084" t="s">
        <v>145</v>
      </c>
      <c r="T47" s="1084" t="s">
        <v>145</v>
      </c>
      <c r="U47" s="1084" t="s">
        <v>145</v>
      </c>
      <c r="V47" s="1084" t="s">
        <v>145</v>
      </c>
      <c r="W47" s="1084" t="s">
        <v>145</v>
      </c>
      <c r="X47" s="658"/>
      <c r="Y47" s="554"/>
      <c r="Z47" s="1120"/>
      <c r="AA47" s="1084" t="s">
        <v>145</v>
      </c>
      <c r="AB47" s="1084" t="s">
        <v>145</v>
      </c>
      <c r="AC47" s="1084" t="s">
        <v>145</v>
      </c>
      <c r="AD47" s="1084" t="s">
        <v>145</v>
      </c>
      <c r="AE47" s="1084" t="s">
        <v>145</v>
      </c>
      <c r="AF47" s="1084" t="s">
        <v>145</v>
      </c>
      <c r="AG47" s="1084" t="s">
        <v>145</v>
      </c>
      <c r="AH47" s="1084" t="s">
        <v>145</v>
      </c>
      <c r="AI47" s="1084" t="s">
        <v>145</v>
      </c>
      <c r="AJ47" s="658"/>
      <c r="AK47" s="554"/>
      <c r="AL47" s="662"/>
      <c r="AM47" s="1084" t="s">
        <v>145</v>
      </c>
      <c r="AN47" s="1084" t="s">
        <v>145</v>
      </c>
      <c r="AO47" s="1084" t="s">
        <v>145</v>
      </c>
      <c r="AP47" s="1084" t="s">
        <v>145</v>
      </c>
      <c r="AQ47" s="1084" t="s">
        <v>145</v>
      </c>
      <c r="AR47" s="1084" t="s">
        <v>145</v>
      </c>
      <c r="AS47" s="1084" t="s">
        <v>145</v>
      </c>
      <c r="AT47" s="1084" t="s">
        <v>145</v>
      </c>
      <c r="AU47" s="1084" t="s">
        <v>145</v>
      </c>
      <c r="AV47" s="658"/>
      <c r="AW47" s="554"/>
      <c r="AX47" s="662"/>
      <c r="AY47" s="1084" t="s">
        <v>145</v>
      </c>
      <c r="AZ47" s="1084" t="s">
        <v>145</v>
      </c>
      <c r="BA47" s="1084" t="s">
        <v>145</v>
      </c>
      <c r="BB47" s="1084" t="s">
        <v>145</v>
      </c>
      <c r="BC47" s="1084" t="s">
        <v>145</v>
      </c>
      <c r="BD47" s="1084" t="s">
        <v>145</v>
      </c>
      <c r="BE47" s="1084" t="s">
        <v>145</v>
      </c>
      <c r="BF47" s="1084" t="s">
        <v>145</v>
      </c>
      <c r="BG47" s="1084" t="s">
        <v>145</v>
      </c>
      <c r="BH47" s="216"/>
    </row>
    <row r="48" spans="1:60" s="2" customFormat="1">
      <c r="A48" s="1044"/>
      <c r="B48" s="1110" t="s">
        <v>132</v>
      </c>
      <c r="C48" s="1106" t="s">
        <v>118</v>
      </c>
      <c r="D48" s="645" t="s">
        <v>45</v>
      </c>
      <c r="E48" s="180" t="s">
        <v>146</v>
      </c>
      <c r="F48" s="180"/>
      <c r="G48" s="180"/>
      <c r="H48" s="181" t="s">
        <v>139</v>
      </c>
      <c r="I48" s="171"/>
      <c r="J48" s="554"/>
      <c r="K48" s="79"/>
      <c r="L48" s="79"/>
      <c r="M48" s="554"/>
      <c r="N48" s="89"/>
      <c r="O48" s="739">
        <v>0</v>
      </c>
      <c r="P48" s="739">
        <v>0</v>
      </c>
      <c r="Q48" s="739">
        <v>0</v>
      </c>
      <c r="R48" s="739">
        <v>0</v>
      </c>
      <c r="S48" s="739">
        <v>0</v>
      </c>
      <c r="T48" s="739">
        <v>0</v>
      </c>
      <c r="U48" s="739">
        <v>0</v>
      </c>
      <c r="V48" s="739">
        <v>0</v>
      </c>
      <c r="W48" s="739">
        <v>0</v>
      </c>
      <c r="X48" s="658"/>
      <c r="Y48" s="554"/>
      <c r="Z48" s="1120"/>
      <c r="AA48" s="739">
        <v>0</v>
      </c>
      <c r="AB48" s="739">
        <v>0</v>
      </c>
      <c r="AC48" s="739">
        <v>0</v>
      </c>
      <c r="AD48" s="739">
        <v>0</v>
      </c>
      <c r="AE48" s="739">
        <v>0</v>
      </c>
      <c r="AF48" s="739">
        <v>0</v>
      </c>
      <c r="AG48" s="739">
        <v>0</v>
      </c>
      <c r="AH48" s="739">
        <v>0</v>
      </c>
      <c r="AI48" s="739">
        <v>0</v>
      </c>
      <c r="AJ48" s="658"/>
      <c r="AK48" s="554"/>
      <c r="AL48" s="662"/>
      <c r="AM48" s="739">
        <v>0</v>
      </c>
      <c r="AN48" s="739">
        <v>0</v>
      </c>
      <c r="AO48" s="739">
        <v>0</v>
      </c>
      <c r="AP48" s="739">
        <v>0</v>
      </c>
      <c r="AQ48" s="739">
        <v>0</v>
      </c>
      <c r="AR48" s="739">
        <v>0</v>
      </c>
      <c r="AS48" s="739">
        <v>0</v>
      </c>
      <c r="AT48" s="739">
        <v>0</v>
      </c>
      <c r="AU48" s="739">
        <v>0</v>
      </c>
      <c r="AV48" s="658"/>
      <c r="AW48" s="554"/>
      <c r="AX48" s="662"/>
      <c r="AY48" s="739">
        <v>0</v>
      </c>
      <c r="AZ48" s="739">
        <v>0</v>
      </c>
      <c r="BA48" s="739">
        <v>0</v>
      </c>
      <c r="BB48" s="739">
        <v>0</v>
      </c>
      <c r="BC48" s="739">
        <v>0</v>
      </c>
      <c r="BD48" s="739">
        <v>0</v>
      </c>
      <c r="BE48" s="739">
        <v>0</v>
      </c>
      <c r="BF48" s="739">
        <v>0</v>
      </c>
      <c r="BG48" s="739">
        <v>0</v>
      </c>
      <c r="BH48" s="216"/>
    </row>
    <row r="49" spans="1:60" s="2" customFormat="1">
      <c r="A49" s="1044"/>
      <c r="B49" s="1110" t="s">
        <v>132</v>
      </c>
      <c r="C49" s="1106" t="s">
        <v>118</v>
      </c>
      <c r="D49" s="645" t="s">
        <v>45</v>
      </c>
      <c r="E49" s="595" t="s">
        <v>1055</v>
      </c>
      <c r="F49" s="595"/>
      <c r="G49" s="595"/>
      <c r="H49" s="1013" t="s">
        <v>1056</v>
      </c>
      <c r="I49" s="171"/>
      <c r="J49" s="769"/>
      <c r="K49" s="79"/>
      <c r="L49" s="79"/>
      <c r="M49" s="769"/>
      <c r="N49" s="243"/>
      <c r="O49" s="1125">
        <v>450</v>
      </c>
      <c r="P49" s="1125">
        <v>450</v>
      </c>
      <c r="Q49" s="1125">
        <v>450</v>
      </c>
      <c r="R49" s="1125">
        <v>450</v>
      </c>
      <c r="S49" s="1125">
        <v>450</v>
      </c>
      <c r="T49" s="1125">
        <v>450</v>
      </c>
      <c r="U49" s="1125">
        <v>450</v>
      </c>
      <c r="V49" s="1125">
        <v>450</v>
      </c>
      <c r="W49" s="1125">
        <v>450</v>
      </c>
      <c r="X49" s="658"/>
      <c r="Y49" s="769"/>
      <c r="Z49" s="1120"/>
      <c r="AA49" s="1125">
        <v>450</v>
      </c>
      <c r="AB49" s="1125">
        <v>450</v>
      </c>
      <c r="AC49" s="1125">
        <v>450</v>
      </c>
      <c r="AD49" s="1125">
        <v>450</v>
      </c>
      <c r="AE49" s="1125">
        <v>450</v>
      </c>
      <c r="AF49" s="1125">
        <v>450</v>
      </c>
      <c r="AG49" s="1125">
        <v>450</v>
      </c>
      <c r="AH49" s="1125">
        <v>450</v>
      </c>
      <c r="AI49" s="1125">
        <v>450</v>
      </c>
      <c r="AJ49" s="658"/>
      <c r="AK49" s="769"/>
      <c r="AL49" s="658"/>
      <c r="AM49" s="1125">
        <v>450</v>
      </c>
      <c r="AN49" s="1125">
        <v>450</v>
      </c>
      <c r="AO49" s="1125">
        <v>450</v>
      </c>
      <c r="AP49" s="1125">
        <v>450</v>
      </c>
      <c r="AQ49" s="1125">
        <v>450</v>
      </c>
      <c r="AR49" s="1125">
        <v>450</v>
      </c>
      <c r="AS49" s="1125">
        <v>450</v>
      </c>
      <c r="AT49" s="1125">
        <v>450</v>
      </c>
      <c r="AU49" s="1125">
        <v>450</v>
      </c>
      <c r="AV49" s="658"/>
      <c r="AW49" s="769"/>
      <c r="AX49" s="658"/>
      <c r="AY49" s="1125">
        <v>450</v>
      </c>
      <c r="AZ49" s="1125">
        <v>450</v>
      </c>
      <c r="BA49" s="1125">
        <v>450</v>
      </c>
      <c r="BB49" s="1125">
        <v>450</v>
      </c>
      <c r="BC49" s="1125">
        <v>450</v>
      </c>
      <c r="BD49" s="1125"/>
      <c r="BE49" s="1125"/>
      <c r="BF49" s="1125"/>
      <c r="BG49" s="1125"/>
      <c r="BH49" s="216"/>
    </row>
    <row r="50" spans="1:60" s="2" customFormat="1">
      <c r="A50" s="1044"/>
      <c r="B50" s="1110" t="s">
        <v>132</v>
      </c>
      <c r="C50" s="1106" t="s">
        <v>118</v>
      </c>
      <c r="D50" s="645" t="s">
        <v>45</v>
      </c>
      <c r="E50" s="1162" t="s">
        <v>1280</v>
      </c>
      <c r="F50" s="180"/>
      <c r="G50" s="180"/>
      <c r="H50" s="181" t="s">
        <v>65</v>
      </c>
      <c r="I50" s="171"/>
      <c r="J50" s="1124"/>
      <c r="K50" s="79"/>
      <c r="L50" s="79"/>
      <c r="M50" s="1084" t="s">
        <v>174</v>
      </c>
      <c r="N50" s="89"/>
      <c r="O50" s="1085"/>
      <c r="P50" s="1085"/>
      <c r="Q50" s="1085"/>
      <c r="R50" s="1085"/>
      <c r="S50" s="1085"/>
      <c r="T50" s="1085"/>
      <c r="U50" s="1085"/>
      <c r="V50" s="1085"/>
      <c r="W50" s="1085"/>
      <c r="X50" s="658"/>
      <c r="Y50" s="1084" t="s">
        <v>174</v>
      </c>
      <c r="Z50" s="89"/>
      <c r="AA50" s="1085"/>
      <c r="AB50" s="1085"/>
      <c r="AC50" s="1085"/>
      <c r="AD50" s="1085"/>
      <c r="AE50" s="1085"/>
      <c r="AF50" s="1085"/>
      <c r="AG50" s="1085"/>
      <c r="AH50" s="1085"/>
      <c r="AI50" s="1085"/>
      <c r="AJ50" s="658"/>
      <c r="AK50" s="1084" t="s">
        <v>174</v>
      </c>
      <c r="AL50" s="89"/>
      <c r="AM50" s="1085"/>
      <c r="AN50" s="1085"/>
      <c r="AO50" s="1085"/>
      <c r="AP50" s="1085"/>
      <c r="AQ50" s="1085"/>
      <c r="AR50" s="1085"/>
      <c r="AS50" s="1085"/>
      <c r="AT50" s="1085"/>
      <c r="AU50" s="1085"/>
      <c r="AV50" s="658"/>
      <c r="AW50" s="1084" t="s">
        <v>174</v>
      </c>
      <c r="AX50" s="89"/>
      <c r="AY50" s="1085"/>
      <c r="AZ50" s="1085"/>
      <c r="BA50" s="1085"/>
      <c r="BB50" s="1085"/>
      <c r="BC50" s="1085"/>
      <c r="BD50" s="1085"/>
      <c r="BE50" s="1085"/>
      <c r="BF50" s="1085"/>
      <c r="BG50" s="1085"/>
      <c r="BH50" s="216"/>
    </row>
    <row r="51" spans="1:60" s="2" customFormat="1">
      <c r="A51" s="1042"/>
      <c r="B51" s="1110" t="s">
        <v>147</v>
      </c>
      <c r="C51" s="1106" t="s">
        <v>96</v>
      </c>
      <c r="D51" s="640"/>
      <c r="E51" s="942" t="s">
        <v>148</v>
      </c>
      <c r="F51" s="942"/>
      <c r="G51" s="942"/>
      <c r="H51" s="942"/>
      <c r="I51" s="129"/>
      <c r="J51" s="943"/>
      <c r="K51" s="126"/>
      <c r="L51" s="126"/>
      <c r="M51" s="944"/>
      <c r="N51" s="153"/>
      <c r="O51" s="258" t="str">
        <f>O$17</f>
        <v/>
      </c>
      <c r="P51" s="258" t="str">
        <f t="shared" ref="P51:W51" si="46">P$17</f>
        <v/>
      </c>
      <c r="Q51" s="258" t="str">
        <f t="shared" si="46"/>
        <v/>
      </c>
      <c r="R51" s="258" t="str">
        <f t="shared" si="46"/>
        <v/>
      </c>
      <c r="S51" s="258" t="str">
        <f t="shared" si="46"/>
        <v/>
      </c>
      <c r="T51" s="258" t="str">
        <f t="shared" si="46"/>
        <v/>
      </c>
      <c r="U51" s="258" t="str">
        <f t="shared" si="46"/>
        <v/>
      </c>
      <c r="V51" s="258" t="str">
        <f t="shared" si="46"/>
        <v/>
      </c>
      <c r="W51" s="258" t="str">
        <f t="shared" si="46"/>
        <v/>
      </c>
      <c r="X51" s="1126"/>
      <c r="Y51" s="944"/>
      <c r="Z51" s="1120"/>
      <c r="AA51" s="258" t="str">
        <f>AA$17</f>
        <v/>
      </c>
      <c r="AB51" s="258" t="str">
        <f t="shared" ref="AB51:AI51" si="47">AB$17</f>
        <v/>
      </c>
      <c r="AC51" s="258" t="str">
        <f t="shared" si="47"/>
        <v/>
      </c>
      <c r="AD51" s="258" t="str">
        <f t="shared" si="47"/>
        <v/>
      </c>
      <c r="AE51" s="258" t="str">
        <f t="shared" si="47"/>
        <v/>
      </c>
      <c r="AF51" s="258" t="str">
        <f t="shared" si="47"/>
        <v/>
      </c>
      <c r="AG51" s="258" t="str">
        <f t="shared" si="47"/>
        <v/>
      </c>
      <c r="AH51" s="258" t="str">
        <f t="shared" si="47"/>
        <v/>
      </c>
      <c r="AI51" s="258" t="str">
        <f t="shared" si="47"/>
        <v/>
      </c>
      <c r="AJ51" s="1126"/>
      <c r="AK51" s="944"/>
      <c r="AL51" s="1120"/>
      <c r="AM51" s="258" t="str">
        <f>AM$17</f>
        <v/>
      </c>
      <c r="AN51" s="258" t="str">
        <f t="shared" ref="AN51:AU51" si="48">AN$17</f>
        <v/>
      </c>
      <c r="AO51" s="258" t="str">
        <f t="shared" si="48"/>
        <v/>
      </c>
      <c r="AP51" s="258" t="str">
        <f t="shared" si="48"/>
        <v/>
      </c>
      <c r="AQ51" s="258" t="str">
        <f t="shared" si="48"/>
        <v/>
      </c>
      <c r="AR51" s="258" t="str">
        <f t="shared" si="48"/>
        <v/>
      </c>
      <c r="AS51" s="258" t="str">
        <f t="shared" si="48"/>
        <v/>
      </c>
      <c r="AT51" s="258" t="str">
        <f t="shared" si="48"/>
        <v/>
      </c>
      <c r="AU51" s="258" t="str">
        <f t="shared" si="48"/>
        <v/>
      </c>
      <c r="AV51" s="1126"/>
      <c r="AW51" s="944"/>
      <c r="AX51" s="1120"/>
      <c r="AY51" s="258" t="str">
        <f>AY$17</f>
        <v/>
      </c>
      <c r="AZ51" s="258" t="str">
        <f t="shared" ref="AZ51:BG51" si="49">AZ$17</f>
        <v/>
      </c>
      <c r="BA51" s="258" t="str">
        <f t="shared" si="49"/>
        <v/>
      </c>
      <c r="BB51" s="258" t="str">
        <f t="shared" si="49"/>
        <v/>
      </c>
      <c r="BC51" s="258" t="str">
        <f t="shared" si="49"/>
        <v/>
      </c>
      <c r="BD51" s="258" t="str">
        <f t="shared" si="49"/>
        <v/>
      </c>
      <c r="BE51" s="258" t="str">
        <f t="shared" si="49"/>
        <v/>
      </c>
      <c r="BF51" s="258" t="str">
        <f t="shared" si="49"/>
        <v/>
      </c>
      <c r="BG51" s="258" t="str">
        <f t="shared" si="49"/>
        <v/>
      </c>
      <c r="BH51" s="174"/>
    </row>
    <row r="52" spans="1:60" s="2" customFormat="1">
      <c r="A52" s="1044"/>
      <c r="B52" s="1110" t="s">
        <v>132</v>
      </c>
      <c r="C52" s="1106" t="s">
        <v>118</v>
      </c>
      <c r="D52" s="639"/>
      <c r="E52" s="180" t="s">
        <v>149</v>
      </c>
      <c r="F52" s="180"/>
      <c r="G52" s="180"/>
      <c r="H52" s="181" t="s">
        <v>65</v>
      </c>
      <c r="I52" s="104"/>
      <c r="J52" s="1222" t="str">
        <f>IF(COUNTIF(N52:X52,"nee")&gt;0,"nee: locatie 1",
IF(COUNTIF(Z52:AJ52,"nee")&gt;0,"nee: locatie 2",
IF(COUNTIF(AL52:AV52,"nee")&gt;0,"nee: locatie 3",
IF(COUNTIF(AX52:BH52,"nee")&gt;0,"nee: locatie 4",
"ja"))))</f>
        <v>ja</v>
      </c>
      <c r="K52" s="1054"/>
      <c r="L52" s="1054"/>
      <c r="M52" s="1222" t="str">
        <f>IF(COUNTIF(N52:X52,"nee")&gt;0,"nee","ja")</f>
        <v>ja</v>
      </c>
      <c r="N52" s="1127"/>
      <c r="O52" s="665" t="str">
        <f t="shared" ref="O52:W52" si="50">IF(OR(O$17="",O$22=0),"",IF(OR(O$38="",O$40="",AND(O$40&lt;&gt;ventilatie_A,O$41=""),AND(O49=""),O$44="",AND(O$19&lt;&gt;woning,O$19&lt;&gt;woongebouw,O$45=""),AND(O$19&lt;&gt;woning,O$19&lt;&gt;woongebouw,O$46=""),AND(OR(O$19=woning,O$19=woongebouw),O$47=""),O$48=""),"nee","ja"))</f>
        <v/>
      </c>
      <c r="P52" s="665" t="str">
        <f t="shared" si="50"/>
        <v/>
      </c>
      <c r="Q52" s="665" t="str">
        <f t="shared" si="50"/>
        <v/>
      </c>
      <c r="R52" s="665" t="str">
        <f t="shared" si="50"/>
        <v/>
      </c>
      <c r="S52" s="665" t="str">
        <f t="shared" si="50"/>
        <v/>
      </c>
      <c r="T52" s="665" t="str">
        <f t="shared" si="50"/>
        <v/>
      </c>
      <c r="U52" s="665" t="str">
        <f t="shared" si="50"/>
        <v/>
      </c>
      <c r="V52" s="665" t="str">
        <f t="shared" si="50"/>
        <v/>
      </c>
      <c r="W52" s="665" t="str">
        <f t="shared" si="50"/>
        <v/>
      </c>
      <c r="X52" s="666"/>
      <c r="Y52" s="1222" t="str">
        <f>IF(COUNTIF(Z52:AJ52,"nee")&gt;0,"nee","ja")</f>
        <v>ja</v>
      </c>
      <c r="Z52" s="1120"/>
      <c r="AA52" s="665" t="str">
        <f t="shared" ref="AA52:AI52" si="51">IF(OR(AA$17="",AA$22=0),"",IF(OR(AA$38="",AA$40="",AND(AA$40&lt;&gt;ventilatie_A,AA$41=""),AND(AA$49=""),AA$44="",AND(AA$19&lt;&gt;woning,AA$19&lt;&gt;woongebouw,AA$45=""),AND(AA$19&lt;&gt;woning,AA$19&lt;&gt;woongebouw,AA$46=""),AND(OR(AA$19=woning,AA$19=woongebouw),AA$47=""),AA$48=""),"nee","ja"))</f>
        <v/>
      </c>
      <c r="AB52" s="665" t="str">
        <f t="shared" si="51"/>
        <v/>
      </c>
      <c r="AC52" s="665" t="str">
        <f t="shared" si="51"/>
        <v/>
      </c>
      <c r="AD52" s="665" t="str">
        <f t="shared" si="51"/>
        <v/>
      </c>
      <c r="AE52" s="665" t="str">
        <f t="shared" si="51"/>
        <v/>
      </c>
      <c r="AF52" s="665" t="str">
        <f t="shared" si="51"/>
        <v/>
      </c>
      <c r="AG52" s="665" t="str">
        <f t="shared" si="51"/>
        <v/>
      </c>
      <c r="AH52" s="665" t="str">
        <f t="shared" si="51"/>
        <v/>
      </c>
      <c r="AI52" s="665" t="str">
        <f t="shared" si="51"/>
        <v/>
      </c>
      <c r="AJ52" s="666"/>
      <c r="AK52" s="1222" t="str">
        <f>IF(COUNTIF(AL52:AV52,"nee")&gt;0,"nee","ja")</f>
        <v>ja</v>
      </c>
      <c r="AL52" s="667"/>
      <c r="AM52" s="665" t="str">
        <f t="shared" ref="AM52:AU52" si="52">IF(OR(AM$17="",AM$22=0),"",IF(OR(AM$38="",AM$40="",AND(AM$40&lt;&gt;ventilatie_A,AM$41=""),AND(AM$49=""),AM$44="",AND(AM$19&lt;&gt;woning,AM$19&lt;&gt;woongebouw,AM$45=""),AND(AM$19&lt;&gt;woning,AM$19&lt;&gt;woongebouw,AM$46=""),AND(OR(AM$19=woning,AM$19=woongebouw),AM$47=""),AM$48=""),"nee","ja"))</f>
        <v/>
      </c>
      <c r="AN52" s="665" t="str">
        <f t="shared" si="52"/>
        <v/>
      </c>
      <c r="AO52" s="665" t="str">
        <f t="shared" si="52"/>
        <v/>
      </c>
      <c r="AP52" s="665" t="str">
        <f t="shared" si="52"/>
        <v/>
      </c>
      <c r="AQ52" s="665" t="str">
        <f t="shared" si="52"/>
        <v/>
      </c>
      <c r="AR52" s="665" t="str">
        <f t="shared" si="52"/>
        <v/>
      </c>
      <c r="AS52" s="665" t="str">
        <f t="shared" si="52"/>
        <v/>
      </c>
      <c r="AT52" s="665" t="str">
        <f t="shared" si="52"/>
        <v/>
      </c>
      <c r="AU52" s="665" t="str">
        <f t="shared" si="52"/>
        <v/>
      </c>
      <c r="AV52" s="666"/>
      <c r="AW52" s="1222" t="str">
        <f>IF(COUNTIF(AX52:BH52,"nee")&gt;0,"nee","ja")</f>
        <v>ja</v>
      </c>
      <c r="AX52" s="667"/>
      <c r="AY52" s="665" t="str">
        <f t="shared" ref="AY52:BG52" si="53">IF(OR(AY$17="",AY$22=0),"",IF(OR(AY$38="",AY$40="",AND(AY$40&lt;&gt;ventilatie_A,AY$41=""),AND(AY$49=""),AY$44="",AND(AY$19&lt;&gt;woning,AY$19&lt;&gt;woongebouw,AY$45=""),AND(AY$19&lt;&gt;woning,AY$19&lt;&gt;woongebouw,AY$46=""),AND(OR(AY$19=woning,AY$19=woongebouw),AY$47=""),AY$48=""),"nee","ja"))</f>
        <v/>
      </c>
      <c r="AZ52" s="665" t="str">
        <f t="shared" si="53"/>
        <v/>
      </c>
      <c r="BA52" s="665" t="str">
        <f t="shared" si="53"/>
        <v/>
      </c>
      <c r="BB52" s="665" t="str">
        <f t="shared" si="53"/>
        <v/>
      </c>
      <c r="BC52" s="665" t="str">
        <f t="shared" si="53"/>
        <v/>
      </c>
      <c r="BD52" s="665" t="str">
        <f t="shared" si="53"/>
        <v/>
      </c>
      <c r="BE52" s="665" t="str">
        <f t="shared" si="53"/>
        <v/>
      </c>
      <c r="BF52" s="665" t="str">
        <f t="shared" si="53"/>
        <v/>
      </c>
      <c r="BG52" s="665" t="str">
        <f t="shared" si="53"/>
        <v/>
      </c>
      <c r="BH52" s="216"/>
    </row>
    <row r="53" spans="1:60" s="2" customFormat="1">
      <c r="A53" s="1042"/>
      <c r="B53" s="1110" t="s">
        <v>147</v>
      </c>
      <c r="C53" s="1106" t="s">
        <v>96</v>
      </c>
      <c r="D53" s="640"/>
      <c r="E53" s="942" t="s">
        <v>150</v>
      </c>
      <c r="F53" s="942"/>
      <c r="G53" s="942"/>
      <c r="H53" s="942"/>
      <c r="I53" s="129"/>
      <c r="J53" s="943"/>
      <c r="K53" s="126"/>
      <c r="L53" s="126"/>
      <c r="M53" s="944"/>
      <c r="N53" s="153"/>
      <c r="O53" s="258" t="str">
        <f>O$17</f>
        <v/>
      </c>
      <c r="P53" s="258" t="str">
        <f t="shared" ref="P53:W53" si="54">P$17</f>
        <v/>
      </c>
      <c r="Q53" s="258" t="str">
        <f t="shared" si="54"/>
        <v/>
      </c>
      <c r="R53" s="258" t="str">
        <f t="shared" si="54"/>
        <v/>
      </c>
      <c r="S53" s="258" t="str">
        <f t="shared" si="54"/>
        <v/>
      </c>
      <c r="T53" s="258" t="str">
        <f t="shared" si="54"/>
        <v/>
      </c>
      <c r="U53" s="258" t="str">
        <f t="shared" si="54"/>
        <v/>
      </c>
      <c r="V53" s="258" t="str">
        <f t="shared" si="54"/>
        <v/>
      </c>
      <c r="W53" s="258" t="str">
        <f t="shared" si="54"/>
        <v/>
      </c>
      <c r="X53" s="153"/>
      <c r="Y53" s="944"/>
      <c r="Z53" s="1120"/>
      <c r="AA53" s="258" t="str">
        <f>AA$17</f>
        <v/>
      </c>
      <c r="AB53" s="258" t="str">
        <f t="shared" ref="AB53:AI53" si="55">AB$17</f>
        <v/>
      </c>
      <c r="AC53" s="258" t="str">
        <f t="shared" si="55"/>
        <v/>
      </c>
      <c r="AD53" s="258" t="str">
        <f t="shared" si="55"/>
        <v/>
      </c>
      <c r="AE53" s="258" t="str">
        <f t="shared" si="55"/>
        <v/>
      </c>
      <c r="AF53" s="258" t="str">
        <f t="shared" si="55"/>
        <v/>
      </c>
      <c r="AG53" s="258" t="str">
        <f t="shared" si="55"/>
        <v/>
      </c>
      <c r="AH53" s="258" t="str">
        <f t="shared" si="55"/>
        <v/>
      </c>
      <c r="AI53" s="258" t="str">
        <f t="shared" si="55"/>
        <v/>
      </c>
      <c r="AJ53" s="1126"/>
      <c r="AK53" s="944"/>
      <c r="AL53" s="1120"/>
      <c r="AM53" s="258" t="str">
        <f>AM$17</f>
        <v/>
      </c>
      <c r="AN53" s="258" t="str">
        <f t="shared" ref="AN53:AU53" si="56">AN$17</f>
        <v/>
      </c>
      <c r="AO53" s="258" t="str">
        <f t="shared" si="56"/>
        <v/>
      </c>
      <c r="AP53" s="258" t="str">
        <f t="shared" si="56"/>
        <v/>
      </c>
      <c r="AQ53" s="258" t="str">
        <f t="shared" si="56"/>
        <v/>
      </c>
      <c r="AR53" s="258" t="str">
        <f t="shared" si="56"/>
        <v/>
      </c>
      <c r="AS53" s="258" t="str">
        <f t="shared" si="56"/>
        <v/>
      </c>
      <c r="AT53" s="258" t="str">
        <f t="shared" si="56"/>
        <v/>
      </c>
      <c r="AU53" s="258" t="str">
        <f t="shared" si="56"/>
        <v/>
      </c>
      <c r="AV53" s="1126"/>
      <c r="AW53" s="944"/>
      <c r="AX53" s="1120"/>
      <c r="AY53" s="258" t="str">
        <f>AY$17</f>
        <v/>
      </c>
      <c r="AZ53" s="258" t="str">
        <f t="shared" ref="AZ53:BG53" si="57">AZ$17</f>
        <v/>
      </c>
      <c r="BA53" s="258" t="str">
        <f t="shared" si="57"/>
        <v/>
      </c>
      <c r="BB53" s="258" t="str">
        <f t="shared" si="57"/>
        <v/>
      </c>
      <c r="BC53" s="258" t="str">
        <f t="shared" si="57"/>
        <v/>
      </c>
      <c r="BD53" s="258" t="str">
        <f t="shared" si="57"/>
        <v/>
      </c>
      <c r="BE53" s="258" t="str">
        <f t="shared" si="57"/>
        <v/>
      </c>
      <c r="BF53" s="258" t="str">
        <f t="shared" si="57"/>
        <v/>
      </c>
      <c r="BG53" s="258" t="str">
        <f t="shared" si="57"/>
        <v/>
      </c>
      <c r="BH53" s="174"/>
    </row>
    <row r="54" spans="1:60" s="2" customFormat="1">
      <c r="A54" s="1044"/>
      <c r="B54" s="1110" t="s">
        <v>132</v>
      </c>
      <c r="C54" s="1106" t="s">
        <v>118</v>
      </c>
      <c r="D54" s="639"/>
      <c r="E54" s="180" t="s">
        <v>151</v>
      </c>
      <c r="F54" s="180"/>
      <c r="G54" s="180"/>
      <c r="H54" s="181" t="s">
        <v>152</v>
      </c>
      <c r="I54" s="104"/>
      <c r="J54" s="554"/>
      <c r="K54" s="1055"/>
      <c r="L54" s="1055"/>
      <c r="M54" s="554"/>
      <c r="N54" s="89"/>
      <c r="O54" s="872" t="str">
        <f ca="1">IF(OR(O$17="",O$38=""),"",
SUMPRODUCT(
OFFSET(bibliotheek!$H$26,0,MATCH(O$17,woningen_gebouwen_namen,0)-1,ROWS(bibliotheek!$I$26:$I$31),1),
OFFSET(bibliotheek!$H$47,0,MATCH(O$38,isolatiepakketten_gebouwschil_namen,0)-1,ROWS(bibliotheek!$I$26:$I$31),1)) /
HLOOKUP(O$17,woningen_gebouwen_gegevens,ROWS(bibliotheek!$E$20:$E$32),FALSE))</f>
        <v/>
      </c>
      <c r="P54" s="872" t="str">
        <f ca="1">IF(OR(P$17="",P$38=""),"",
SUMPRODUCT(
OFFSET(bibliotheek!$H$26,0,MATCH(P$17,woningen_gebouwen_namen,0)-1,ROWS(bibliotheek!$I$26:$I$31),1),
OFFSET(bibliotheek!$H$47,0,MATCH(P$38,isolatiepakketten_gebouwschil_namen,0)-1,ROWS(bibliotheek!$I$26:$I$31),1)) /
HLOOKUP(P$17,woningen_gebouwen_gegevens,ROWS(bibliotheek!$E$20:$E$32),FALSE))</f>
        <v/>
      </c>
      <c r="Q54" s="872" t="str">
        <f ca="1">IF(OR(Q$17="",Q$38=""),"",
SUMPRODUCT(
OFFSET(bibliotheek!$H$26,0,MATCH(Q$17,woningen_gebouwen_namen,0)-1,ROWS(bibliotheek!$I$26:$I$31),1),
OFFSET(bibliotheek!$H$47,0,MATCH(Q$38,isolatiepakketten_gebouwschil_namen,0)-1,ROWS(bibliotheek!$I$26:$I$31),1)) /
HLOOKUP(Q$17,woningen_gebouwen_gegevens,ROWS(bibliotheek!$E$20:$E$32),FALSE))</f>
        <v/>
      </c>
      <c r="R54" s="872" t="str">
        <f ca="1">IF(OR(R$17="",R$38=""),"",
SUMPRODUCT(
OFFSET(bibliotheek!$H$26,0,MATCH(R$17,woningen_gebouwen_namen,0)-1,ROWS(bibliotheek!$I$26:$I$31),1),
OFFSET(bibliotheek!$H$47,0,MATCH(R$38,isolatiepakketten_gebouwschil_namen,0)-1,ROWS(bibliotheek!$I$26:$I$31),1)) /
HLOOKUP(R$17,woningen_gebouwen_gegevens,ROWS(bibliotheek!$E$20:$E$32),FALSE))</f>
        <v/>
      </c>
      <c r="S54" s="872" t="str">
        <f ca="1">IF(OR(S$17="",S$38=""),"",
SUMPRODUCT(
OFFSET(bibliotheek!$H$26,0,MATCH(S$17,woningen_gebouwen_namen,0)-1,ROWS(bibliotheek!$I$26:$I$31),1),
OFFSET(bibliotheek!$H$47,0,MATCH(S$38,isolatiepakketten_gebouwschil_namen,0)-1,ROWS(bibliotheek!$I$26:$I$31),1)) /
HLOOKUP(S$17,woningen_gebouwen_gegevens,ROWS(bibliotheek!$E$20:$E$32),FALSE))</f>
        <v/>
      </c>
      <c r="T54" s="872" t="str">
        <f ca="1">IF(OR(T$17="",T$38=""),"",
SUMPRODUCT(
OFFSET(bibliotheek!$H$26,0,MATCH(T$17,woningen_gebouwen_namen,0)-1,ROWS(bibliotheek!$I$26:$I$31),1),
OFFSET(bibliotheek!$H$47,0,MATCH(T$38,isolatiepakketten_gebouwschil_namen,0)-1,ROWS(bibliotheek!$I$26:$I$31),1)) /
HLOOKUP(T$17,woningen_gebouwen_gegevens,ROWS(bibliotheek!$E$20:$E$32),FALSE))</f>
        <v/>
      </c>
      <c r="U54" s="872" t="str">
        <f ca="1">IF(OR(U$17="",U$38=""),"",
SUMPRODUCT(
OFFSET(bibliotheek!$H$26,0,MATCH(U$17,woningen_gebouwen_namen,0)-1,ROWS(bibliotheek!$I$26:$I$31),1),
OFFSET(bibliotheek!$H$47,0,MATCH(U$38,isolatiepakketten_gebouwschil_namen,0)-1,ROWS(bibliotheek!$I$26:$I$31),1)) /
HLOOKUP(U$17,woningen_gebouwen_gegevens,ROWS(bibliotheek!$E$20:$E$32),FALSE))</f>
        <v/>
      </c>
      <c r="V54" s="872" t="str">
        <f ca="1">IF(OR(V$17="",V$38=""),"",
SUMPRODUCT(
OFFSET(bibliotheek!$H$26,0,MATCH(V$17,woningen_gebouwen_namen,0)-1,ROWS(bibliotheek!$I$26:$I$31),1),
OFFSET(bibliotheek!$H$47,0,MATCH(V$38,isolatiepakketten_gebouwschil_namen,0)-1,ROWS(bibliotheek!$I$26:$I$31),1)) /
HLOOKUP(V$17,woningen_gebouwen_gegevens,ROWS(bibliotheek!$E$20:$E$32),FALSE))</f>
        <v/>
      </c>
      <c r="W54" s="872" t="str">
        <f ca="1">IF(OR(W$17="",W$38=""),"",
SUMPRODUCT(
OFFSET(bibliotheek!$H$26,0,MATCH(W$17,woningen_gebouwen_namen,0)-1,ROWS(bibliotheek!$I$26:$I$31),1),
OFFSET(bibliotheek!$H$47,0,MATCH(W$38,isolatiepakketten_gebouwschil_namen,0)-1,ROWS(bibliotheek!$I$26:$I$31),1)) /
HLOOKUP(W$17,woningen_gebouwen_gegevens,ROWS(bibliotheek!$E$20:$E$32),FALSE))</f>
        <v/>
      </c>
      <c r="X54" s="172"/>
      <c r="Y54" s="554"/>
      <c r="Z54" s="1120"/>
      <c r="AA54" s="196" t="str">
        <f ca="1">IF(OR(AA$17="",AA$38=""),"",
SUMPRODUCT(
OFFSET(bibliotheek!$H$26,0,MATCH(AA$17,woningen_gebouwen_namen,0)-1,ROWS(bibliotheek!$I$26:$I$31),1),
OFFSET(bibliotheek!$H$47,0,MATCH(AA$38,isolatiepakketten_gebouwschil_namen,0)-1,ROWS(bibliotheek!$I$26:$I$31),1)) /
HLOOKUP(AA$17,woningen_gebouwen_gegevens,ROWS(bibliotheek!$E$20:$E$32),FALSE))</f>
        <v/>
      </c>
      <c r="AB54" s="196" t="str">
        <f ca="1">IF(OR(AB$17="",AB$38=""),"",
SUMPRODUCT(
OFFSET(bibliotheek!$H$26,0,MATCH(AB$17,woningen_gebouwen_namen,0)-1,ROWS(bibliotheek!$I$26:$I$31),1),
OFFSET(bibliotheek!$H$47,0,MATCH(AB$38,isolatiepakketten_gebouwschil_namen,0)-1,ROWS(bibliotheek!$I$26:$I$31),1)) /
HLOOKUP(AB$17,woningen_gebouwen_gegevens,ROWS(bibliotheek!$E$20:$E$32),FALSE))</f>
        <v/>
      </c>
      <c r="AC54" s="196" t="str">
        <f ca="1">IF(OR(AC$17="",AC$38=""),"",
SUMPRODUCT(
OFFSET(bibliotheek!$H$26,0,MATCH(AC$17,woningen_gebouwen_namen,0)-1,ROWS(bibliotheek!$I$26:$I$31),1),
OFFSET(bibliotheek!$H$47,0,MATCH(AC$38,isolatiepakketten_gebouwschil_namen,0)-1,ROWS(bibliotheek!$I$26:$I$31),1)) /
HLOOKUP(AC$17,woningen_gebouwen_gegevens,ROWS(bibliotheek!$E$20:$E$32),FALSE))</f>
        <v/>
      </c>
      <c r="AD54" s="196" t="str">
        <f ca="1">IF(OR(AD$17="",AD$38=""),"",
SUMPRODUCT(
OFFSET(bibliotheek!$H$26,0,MATCH(AD$17,woningen_gebouwen_namen,0)-1,ROWS(bibliotheek!$I$26:$I$31),1),
OFFSET(bibliotheek!$H$47,0,MATCH(AD$38,isolatiepakketten_gebouwschil_namen,0)-1,ROWS(bibliotheek!$I$26:$I$31),1)) /
HLOOKUP(AD$17,woningen_gebouwen_gegevens,ROWS(bibliotheek!$E$20:$E$32),FALSE))</f>
        <v/>
      </c>
      <c r="AE54" s="196" t="str">
        <f ca="1">IF(OR(AE$17="",AE$38=""),"",
SUMPRODUCT(
OFFSET(bibliotheek!$H$26,0,MATCH(AE$17,woningen_gebouwen_namen,0)-1,ROWS(bibliotheek!$I$26:$I$31),1),
OFFSET(bibliotheek!$H$47,0,MATCH(AE$38,isolatiepakketten_gebouwschil_namen,0)-1,ROWS(bibliotheek!$I$26:$I$31),1)) /
HLOOKUP(AE$17,woningen_gebouwen_gegevens,ROWS(bibliotheek!$E$20:$E$32),FALSE))</f>
        <v/>
      </c>
      <c r="AF54" s="196" t="str">
        <f ca="1">IF(OR(AF$17="",AF$38=""),"",
SUMPRODUCT(
OFFSET(bibliotheek!$H$26,0,MATCH(AF$17,woningen_gebouwen_namen,0)-1,ROWS(bibliotheek!$I$26:$I$31),1),
OFFSET(bibliotheek!$H$47,0,MATCH(AF$38,isolatiepakketten_gebouwschil_namen,0)-1,ROWS(bibliotheek!$I$26:$I$31),1)) /
HLOOKUP(AF$17,woningen_gebouwen_gegevens,ROWS(bibliotheek!$E$20:$E$32),FALSE))</f>
        <v/>
      </c>
      <c r="AG54" s="196" t="str">
        <f ca="1">IF(OR(AG$17="",AG$38=""),"",
SUMPRODUCT(
OFFSET(bibliotheek!$H$26,0,MATCH(AG$17,woningen_gebouwen_namen,0)-1,ROWS(bibliotheek!$I$26:$I$31),1),
OFFSET(bibliotheek!$H$47,0,MATCH(AG$38,isolatiepakketten_gebouwschil_namen,0)-1,ROWS(bibliotheek!$I$26:$I$31),1)) /
HLOOKUP(AG$17,woningen_gebouwen_gegevens,ROWS(bibliotheek!$E$20:$E$32),FALSE))</f>
        <v/>
      </c>
      <c r="AH54" s="196" t="str">
        <f ca="1">IF(OR(AH$17="",AH$38=""),"",
SUMPRODUCT(
OFFSET(bibliotheek!$H$26,0,MATCH(AH$17,woningen_gebouwen_namen,0)-1,ROWS(bibliotheek!$I$26:$I$31),1),
OFFSET(bibliotheek!$H$47,0,MATCH(AH$38,isolatiepakketten_gebouwschil_namen,0)-1,ROWS(bibliotheek!$I$26:$I$31),1)) /
HLOOKUP(AH$17,woningen_gebouwen_gegevens,ROWS(bibliotheek!$E$20:$E$32),FALSE))</f>
        <v/>
      </c>
      <c r="AI54" s="196" t="str">
        <f ca="1">IF(OR(AI$17="",AI$38=""),"",
SUMPRODUCT(
OFFSET(bibliotheek!$H$26,0,MATCH(AI$17,woningen_gebouwen_namen,0)-1,ROWS(bibliotheek!$I$26:$I$31),1),
OFFSET(bibliotheek!$H$47,0,MATCH(AI$38,isolatiepakketten_gebouwschil_namen,0)-1,ROWS(bibliotheek!$I$26:$I$31),1)) /
HLOOKUP(AI$17,woningen_gebouwen_gegevens,ROWS(bibliotheek!$E$20:$E$32),FALSE))</f>
        <v/>
      </c>
      <c r="AJ54" s="172"/>
      <c r="AK54" s="554"/>
      <c r="AL54" s="173"/>
      <c r="AM54" s="196" t="str">
        <f ca="1">IF(OR(AM$17="",AM$38=""),"",
SUMPRODUCT(
OFFSET(bibliotheek!$H$26,0,MATCH(AM$17,woningen_gebouwen_namen,0)-1,ROWS(bibliotheek!$I$26:$I$31),1),
OFFSET(bibliotheek!$H$47,0,MATCH(AM$38,isolatiepakketten_gebouwschil_namen,0)-1,ROWS(bibliotheek!$I$26:$I$31),1)) /
HLOOKUP(AM$17,woningen_gebouwen_gegevens,ROWS(bibliotheek!$E$20:$E$32),FALSE))</f>
        <v/>
      </c>
      <c r="AN54" s="196" t="str">
        <f ca="1">IF(OR(AN$17="",AN$38=""),"",
SUMPRODUCT(
OFFSET(bibliotheek!$H$26,0,MATCH(AN$17,woningen_gebouwen_namen,0)-1,ROWS(bibliotheek!$I$26:$I$31),1),
OFFSET(bibliotheek!$H$47,0,MATCH(AN$38,isolatiepakketten_gebouwschil_namen,0)-1,ROWS(bibliotheek!$I$26:$I$31),1)) /
HLOOKUP(AN$17,woningen_gebouwen_gegevens,ROWS(bibliotheek!$E$20:$E$32),FALSE))</f>
        <v/>
      </c>
      <c r="AO54" s="196" t="str">
        <f ca="1">IF(OR(AO$17="",AO$38=""),"",
SUMPRODUCT(
OFFSET(bibliotheek!$H$26,0,MATCH(AO$17,woningen_gebouwen_namen,0)-1,ROWS(bibliotheek!$I$26:$I$31),1),
OFFSET(bibliotheek!$H$47,0,MATCH(AO$38,isolatiepakketten_gebouwschil_namen,0)-1,ROWS(bibliotheek!$I$26:$I$31),1)) /
HLOOKUP(AO$17,woningen_gebouwen_gegevens,ROWS(bibliotheek!$E$20:$E$32),FALSE))</f>
        <v/>
      </c>
      <c r="AP54" s="196" t="str">
        <f ca="1">IF(OR(AP$17="",AP$38=""),"",
SUMPRODUCT(
OFFSET(bibliotheek!$H$26,0,MATCH(AP$17,woningen_gebouwen_namen,0)-1,ROWS(bibliotheek!$I$26:$I$31),1),
OFFSET(bibliotheek!$H$47,0,MATCH(AP$38,isolatiepakketten_gebouwschil_namen,0)-1,ROWS(bibliotheek!$I$26:$I$31),1)) /
HLOOKUP(AP$17,woningen_gebouwen_gegevens,ROWS(bibliotheek!$E$20:$E$32),FALSE))</f>
        <v/>
      </c>
      <c r="AQ54" s="196" t="str">
        <f ca="1">IF(OR(AQ$17="",AQ$38=""),"",
SUMPRODUCT(
OFFSET(bibliotheek!$H$26,0,MATCH(AQ$17,woningen_gebouwen_namen,0)-1,ROWS(bibliotheek!$I$26:$I$31),1),
OFFSET(bibliotheek!$H$47,0,MATCH(AQ$38,isolatiepakketten_gebouwschil_namen,0)-1,ROWS(bibliotheek!$I$26:$I$31),1)) /
HLOOKUP(AQ$17,woningen_gebouwen_gegevens,ROWS(bibliotheek!$E$20:$E$32),FALSE))</f>
        <v/>
      </c>
      <c r="AR54" s="196" t="str">
        <f ca="1">IF(OR(AR$17="",AR$38=""),"",
SUMPRODUCT(
OFFSET(bibliotheek!$H$26,0,MATCH(AR$17,woningen_gebouwen_namen,0)-1,ROWS(bibliotheek!$I$26:$I$31),1),
OFFSET(bibliotheek!$H$47,0,MATCH(AR$38,isolatiepakketten_gebouwschil_namen,0)-1,ROWS(bibliotheek!$I$26:$I$31),1)) /
HLOOKUP(AR$17,woningen_gebouwen_gegevens,ROWS(bibliotheek!$E$20:$E$32),FALSE))</f>
        <v/>
      </c>
      <c r="AS54" s="196" t="str">
        <f ca="1">IF(OR(AS$17="",AS$38=""),"",
SUMPRODUCT(
OFFSET(bibliotheek!$H$26,0,MATCH(AS$17,woningen_gebouwen_namen,0)-1,ROWS(bibliotheek!$I$26:$I$31),1),
OFFSET(bibliotheek!$H$47,0,MATCH(AS$38,isolatiepakketten_gebouwschil_namen,0)-1,ROWS(bibliotheek!$I$26:$I$31),1)) /
HLOOKUP(AS$17,woningen_gebouwen_gegevens,ROWS(bibliotheek!$E$20:$E$32),FALSE))</f>
        <v/>
      </c>
      <c r="AT54" s="196" t="str">
        <f ca="1">IF(OR(AT$17="",AT$38=""),"",
SUMPRODUCT(
OFFSET(bibliotheek!$H$26,0,MATCH(AT$17,woningen_gebouwen_namen,0)-1,ROWS(bibliotheek!$I$26:$I$31),1),
OFFSET(bibliotheek!$H$47,0,MATCH(AT$38,isolatiepakketten_gebouwschil_namen,0)-1,ROWS(bibliotheek!$I$26:$I$31),1)) /
HLOOKUP(AT$17,woningen_gebouwen_gegevens,ROWS(bibliotheek!$E$20:$E$32),FALSE))</f>
        <v/>
      </c>
      <c r="AU54" s="196" t="str">
        <f ca="1">IF(OR(AU$17="",AU$38=""),"",
SUMPRODUCT(
OFFSET(bibliotheek!$H$26,0,MATCH(AU$17,woningen_gebouwen_namen,0)-1,ROWS(bibliotheek!$I$26:$I$31),1),
OFFSET(bibliotheek!$H$47,0,MATCH(AU$38,isolatiepakketten_gebouwschil_namen,0)-1,ROWS(bibliotheek!$I$26:$I$31),1)) /
HLOOKUP(AU$17,woningen_gebouwen_gegevens,ROWS(bibliotheek!$E$20:$E$32),FALSE))</f>
        <v/>
      </c>
      <c r="AV54" s="172"/>
      <c r="AW54" s="554"/>
      <c r="AX54" s="173"/>
      <c r="AY54" s="196" t="str">
        <f ca="1">IF(OR(AY$17="",AY$38=""),"",
SUMPRODUCT(
OFFSET(bibliotheek!$H$26,0,MATCH(AY$17,woningen_gebouwen_namen,0)-1,ROWS(bibliotheek!$I$26:$I$31),1),
OFFSET(bibliotheek!$H$47,0,MATCH(AY$38,isolatiepakketten_gebouwschil_namen,0)-1,ROWS(bibliotheek!$I$26:$I$31),1)) /
HLOOKUP(AY$17,woningen_gebouwen_gegevens,ROWS(bibliotheek!$E$20:$E$32),FALSE))</f>
        <v/>
      </c>
      <c r="AZ54" s="196" t="str">
        <f ca="1">IF(OR(AZ$17="",AZ$38=""),"",
SUMPRODUCT(
OFFSET(bibliotheek!$H$26,0,MATCH(AZ$17,woningen_gebouwen_namen,0)-1,ROWS(bibliotheek!$I$26:$I$31),1),
OFFSET(bibliotheek!$H$47,0,MATCH(AZ$38,isolatiepakketten_gebouwschil_namen,0)-1,ROWS(bibliotheek!$I$26:$I$31),1)) /
HLOOKUP(AZ$17,woningen_gebouwen_gegevens,ROWS(bibliotheek!$E$20:$E$32),FALSE))</f>
        <v/>
      </c>
      <c r="BA54" s="196" t="str">
        <f ca="1">IF(OR(BA$17="",BA$38=""),"",
SUMPRODUCT(
OFFSET(bibliotheek!$H$26,0,MATCH(BA$17,woningen_gebouwen_namen,0)-1,ROWS(bibliotheek!$I$26:$I$31),1),
OFFSET(bibliotheek!$H$47,0,MATCH(BA$38,isolatiepakketten_gebouwschil_namen,0)-1,ROWS(bibliotheek!$I$26:$I$31),1)) /
HLOOKUP(BA$17,woningen_gebouwen_gegevens,ROWS(bibliotheek!$E$20:$E$32),FALSE))</f>
        <v/>
      </c>
      <c r="BB54" s="196" t="str">
        <f ca="1">IF(OR(BB$17="",BB$38=""),"",
SUMPRODUCT(
OFFSET(bibliotheek!$H$26,0,MATCH(BB$17,woningen_gebouwen_namen,0)-1,ROWS(bibliotheek!$I$26:$I$31),1),
OFFSET(bibliotheek!$H$47,0,MATCH(BB$38,isolatiepakketten_gebouwschil_namen,0)-1,ROWS(bibliotheek!$I$26:$I$31),1)) /
HLOOKUP(BB$17,woningen_gebouwen_gegevens,ROWS(bibliotheek!$E$20:$E$32),FALSE))</f>
        <v/>
      </c>
      <c r="BC54" s="196" t="str">
        <f ca="1">IF(OR(BC$17="",BC$38=""),"",
SUMPRODUCT(
OFFSET(bibliotheek!$H$26,0,MATCH(BC$17,woningen_gebouwen_namen,0)-1,ROWS(bibliotheek!$I$26:$I$31),1),
OFFSET(bibliotheek!$H$47,0,MATCH(BC$38,isolatiepakketten_gebouwschil_namen,0)-1,ROWS(bibliotheek!$I$26:$I$31),1)) /
HLOOKUP(BC$17,woningen_gebouwen_gegevens,ROWS(bibliotheek!$E$20:$E$32),FALSE))</f>
        <v/>
      </c>
      <c r="BD54" s="196" t="str">
        <f ca="1">IF(OR(BD$17="",BD$38=""),"",
SUMPRODUCT(
OFFSET(bibliotheek!$H$26,0,MATCH(BD$17,woningen_gebouwen_namen,0)-1,ROWS(bibliotheek!$I$26:$I$31),1),
OFFSET(bibliotheek!$H$47,0,MATCH(BD$38,isolatiepakketten_gebouwschil_namen,0)-1,ROWS(bibliotheek!$I$26:$I$31),1)) /
HLOOKUP(BD$17,woningen_gebouwen_gegevens,ROWS(bibliotheek!$E$20:$E$32),FALSE))</f>
        <v/>
      </c>
      <c r="BE54" s="196" t="str">
        <f ca="1">IF(OR(BE$17="",BE$38=""),"",
SUMPRODUCT(
OFFSET(bibliotheek!$H$26,0,MATCH(BE$17,woningen_gebouwen_namen,0)-1,ROWS(bibliotheek!$I$26:$I$31),1),
OFFSET(bibliotheek!$H$47,0,MATCH(BE$38,isolatiepakketten_gebouwschil_namen,0)-1,ROWS(bibliotheek!$I$26:$I$31),1)) /
HLOOKUP(BE$17,woningen_gebouwen_gegevens,ROWS(bibliotheek!$E$20:$E$32),FALSE))</f>
        <v/>
      </c>
      <c r="BF54" s="196" t="str">
        <f ca="1">IF(OR(BF$17="",BF$38=""),"",
SUMPRODUCT(
OFFSET(bibliotheek!$H$26,0,MATCH(BF$17,woningen_gebouwen_namen,0)-1,ROWS(bibliotheek!$I$26:$I$31),1),
OFFSET(bibliotheek!$H$47,0,MATCH(BF$38,isolatiepakketten_gebouwschil_namen,0)-1,ROWS(bibliotheek!$I$26:$I$31),1)) /
HLOOKUP(BF$17,woningen_gebouwen_gegevens,ROWS(bibliotheek!$E$20:$E$32),FALSE))</f>
        <v/>
      </c>
      <c r="BG54" s="196" t="str">
        <f ca="1">IF(OR(BG$17="",BG$38=""),"",
SUMPRODUCT(
OFFSET(bibliotheek!$H$26,0,MATCH(BG$17,woningen_gebouwen_namen,0)-1,ROWS(bibliotheek!$I$26:$I$31),1),
OFFSET(bibliotheek!$H$47,0,MATCH(BG$38,isolatiepakketten_gebouwschil_namen,0)-1,ROWS(bibliotheek!$I$26:$I$31),1)) /
HLOOKUP(BG$17,woningen_gebouwen_gegevens,ROWS(bibliotheek!$E$20:$E$32),FALSE))</f>
        <v/>
      </c>
      <c r="BH54" s="216"/>
    </row>
    <row r="55" spans="1:60" s="2" customFormat="1">
      <c r="A55" s="1044"/>
      <c r="B55" s="1110" t="s">
        <v>132</v>
      </c>
      <c r="C55" s="1106" t="s">
        <v>118</v>
      </c>
      <c r="D55" s="639" t="s">
        <v>45</v>
      </c>
      <c r="E55" s="254" t="s">
        <v>1149</v>
      </c>
      <c r="F55" s="254"/>
      <c r="G55" s="180"/>
      <c r="H55" s="291" t="s">
        <v>154</v>
      </c>
      <c r="I55" s="104"/>
      <c r="J55" s="768"/>
      <c r="K55" s="1055"/>
      <c r="L55" s="1055"/>
      <c r="M55" s="873"/>
      <c r="N55" s="91"/>
      <c r="O55" s="929">
        <f t="shared" ref="O55:W55" si="58">IFERROR(IF(AND($F$6=MWA,O56&lt;&gt;""),O56,
IF(OR(O$17="",O$38="",O$40=""),0,MAX(warmtebehoefte_verwarming_ondergrens,
HLOOKUP(O$61,fitcurves_NTA8800,MATCH(fit_a0,parameters_fitformule,0),FALSE)
+HLOOKUP(O$61,fitcurves_NTA8800,MATCH(fit_a1,parameters_fitformule,0),FALSE)
*O$54*O$32^HLOOKUP(O$61,fitcurves_NTA8800,MATCH(fit_n1,parameters_fitformule,0),FALSE)
))),0)</f>
        <v>0</v>
      </c>
      <c r="P55" s="929">
        <f t="shared" si="58"/>
        <v>0</v>
      </c>
      <c r="Q55" s="929">
        <f t="shared" si="58"/>
        <v>0</v>
      </c>
      <c r="R55" s="929">
        <f t="shared" si="58"/>
        <v>0</v>
      </c>
      <c r="S55" s="929">
        <f t="shared" si="58"/>
        <v>0</v>
      </c>
      <c r="T55" s="929">
        <f t="shared" si="58"/>
        <v>0</v>
      </c>
      <c r="U55" s="929">
        <f t="shared" si="58"/>
        <v>0</v>
      </c>
      <c r="V55" s="929">
        <f t="shared" si="58"/>
        <v>0</v>
      </c>
      <c r="W55" s="929">
        <f t="shared" si="58"/>
        <v>0</v>
      </c>
      <c r="X55" s="930"/>
      <c r="Y55" s="931"/>
      <c r="Z55" s="932"/>
      <c r="AA55" s="933">
        <f t="shared" ref="AA55:AI55" si="59">IFERROR(IF(AND($F$6=MWA,AA56&lt;&gt;""),AA56,
IF(OR(AA$17="",AA$38="",AA$40=""),0,MAX(warmtebehoefte_verwarming_ondergrens,
HLOOKUP(AA$61,fitcurves_NTA8800,MATCH(fit_a0,parameters_fitformule,0),FALSE)
+HLOOKUP(AA$61,fitcurves_NTA8800,MATCH(fit_a1,parameters_fitformule,0),FALSE)
*AA$54*AA$32^HLOOKUP(AA$61,fitcurves_NTA8800,MATCH(fit_n1,parameters_fitformule,0),FALSE)
))),0)</f>
        <v>0</v>
      </c>
      <c r="AB55" s="933">
        <f t="shared" si="59"/>
        <v>0</v>
      </c>
      <c r="AC55" s="933">
        <f t="shared" si="59"/>
        <v>0</v>
      </c>
      <c r="AD55" s="933">
        <f t="shared" si="59"/>
        <v>0</v>
      </c>
      <c r="AE55" s="933">
        <f t="shared" si="59"/>
        <v>0</v>
      </c>
      <c r="AF55" s="933">
        <f t="shared" si="59"/>
        <v>0</v>
      </c>
      <c r="AG55" s="933">
        <f t="shared" si="59"/>
        <v>0</v>
      </c>
      <c r="AH55" s="933">
        <f t="shared" si="59"/>
        <v>0</v>
      </c>
      <c r="AI55" s="933">
        <f t="shared" si="59"/>
        <v>0</v>
      </c>
      <c r="AJ55" s="930"/>
      <c r="AK55" s="931"/>
      <c r="AL55" s="932"/>
      <c r="AM55" s="933">
        <f t="shared" ref="AM55:AU55" si="60">IFERROR(IF(AND($F$6=MWA,AM56&lt;&gt;""),AM56,
IF(OR(AM$17="",AM$38="",AM$40=""),0,MAX(warmtebehoefte_verwarming_ondergrens,
HLOOKUP(AM$61,fitcurves_NTA8800,MATCH(fit_a0,parameters_fitformule,0),FALSE)
+HLOOKUP(AM$61,fitcurves_NTA8800,MATCH(fit_a1,parameters_fitformule,0),FALSE)
*AM$54*AM$32^HLOOKUP(AM$61,fitcurves_NTA8800,MATCH(fit_n1,parameters_fitformule,0),FALSE)
))),0)</f>
        <v>0</v>
      </c>
      <c r="AN55" s="933">
        <f t="shared" si="60"/>
        <v>0</v>
      </c>
      <c r="AO55" s="933">
        <f t="shared" si="60"/>
        <v>0</v>
      </c>
      <c r="AP55" s="933">
        <f t="shared" si="60"/>
        <v>0</v>
      </c>
      <c r="AQ55" s="933">
        <f t="shared" si="60"/>
        <v>0</v>
      </c>
      <c r="AR55" s="933">
        <f t="shared" si="60"/>
        <v>0</v>
      </c>
      <c r="AS55" s="933">
        <f t="shared" si="60"/>
        <v>0</v>
      </c>
      <c r="AT55" s="933">
        <f t="shared" si="60"/>
        <v>0</v>
      </c>
      <c r="AU55" s="933">
        <f t="shared" si="60"/>
        <v>0</v>
      </c>
      <c r="AV55" s="930"/>
      <c r="AW55" s="931"/>
      <c r="AX55" s="932"/>
      <c r="AY55" s="933">
        <f t="shared" ref="AY55:BG55" si="61">IFERROR(IF(AND($F$6=MWA,AY56&lt;&gt;""),AY56,
IF(OR(AY$17="",AY$38="",AY$40=""),0,MAX(warmtebehoefte_verwarming_ondergrens,
HLOOKUP(AY$61,fitcurves_NTA8800,MATCH(fit_a0,parameters_fitformule,0),FALSE)
+HLOOKUP(AY$61,fitcurves_NTA8800,MATCH(fit_a1,parameters_fitformule,0),FALSE)
*AY$54*AY$32^HLOOKUP(AY$61,fitcurves_NTA8800,MATCH(fit_n1,parameters_fitformule,0),FALSE)
))),0)</f>
        <v>0</v>
      </c>
      <c r="AZ55" s="933">
        <f t="shared" si="61"/>
        <v>0</v>
      </c>
      <c r="BA55" s="933">
        <f t="shared" si="61"/>
        <v>0</v>
      </c>
      <c r="BB55" s="933">
        <f t="shared" si="61"/>
        <v>0</v>
      </c>
      <c r="BC55" s="933">
        <f t="shared" si="61"/>
        <v>0</v>
      </c>
      <c r="BD55" s="933">
        <f t="shared" si="61"/>
        <v>0</v>
      </c>
      <c r="BE55" s="933">
        <f t="shared" si="61"/>
        <v>0</v>
      </c>
      <c r="BF55" s="933">
        <f t="shared" si="61"/>
        <v>0</v>
      </c>
      <c r="BG55" s="933">
        <f t="shared" si="61"/>
        <v>0</v>
      </c>
      <c r="BH55" s="216"/>
    </row>
    <row r="56" spans="1:60" s="2" customFormat="1">
      <c r="A56" s="1044"/>
      <c r="B56" s="1110" t="s">
        <v>132</v>
      </c>
      <c r="C56" s="1106" t="s">
        <v>118</v>
      </c>
      <c r="D56" s="639"/>
      <c r="E56" s="1221" t="s">
        <v>1185</v>
      </c>
      <c r="F56" s="595"/>
      <c r="G56" s="595"/>
      <c r="H56" s="291" t="s">
        <v>154</v>
      </c>
      <c r="I56" s="104"/>
      <c r="J56" s="769"/>
      <c r="K56" s="1055"/>
      <c r="L56" s="1055"/>
      <c r="M56" s="770"/>
      <c r="N56" s="243"/>
      <c r="O56" s="958"/>
      <c r="P56" s="958"/>
      <c r="Q56" s="958"/>
      <c r="R56" s="958"/>
      <c r="S56" s="958"/>
      <c r="T56" s="958"/>
      <c r="U56" s="958"/>
      <c r="V56" s="958"/>
      <c r="W56" s="958"/>
      <c r="X56" s="172"/>
      <c r="Y56" s="770"/>
      <c r="Z56" s="243"/>
      <c r="AA56" s="958"/>
      <c r="AB56" s="958"/>
      <c r="AC56" s="958"/>
      <c r="AD56" s="958"/>
      <c r="AE56" s="958"/>
      <c r="AF56" s="958"/>
      <c r="AG56" s="958"/>
      <c r="AH56" s="958"/>
      <c r="AI56" s="958"/>
      <c r="AJ56" s="172"/>
      <c r="AK56" s="770"/>
      <c r="AL56" s="243"/>
      <c r="AM56" s="958"/>
      <c r="AN56" s="958"/>
      <c r="AO56" s="958"/>
      <c r="AP56" s="958"/>
      <c r="AQ56" s="958"/>
      <c r="AR56" s="958"/>
      <c r="AS56" s="958"/>
      <c r="AT56" s="958"/>
      <c r="AU56" s="958"/>
      <c r="AV56" s="172"/>
      <c r="AW56" s="770"/>
      <c r="AX56" s="243"/>
      <c r="AY56" s="958"/>
      <c r="AZ56" s="958"/>
      <c r="BA56" s="958"/>
      <c r="BB56" s="958"/>
      <c r="BC56" s="958"/>
      <c r="BD56" s="958"/>
      <c r="BE56" s="958"/>
      <c r="BF56" s="958"/>
      <c r="BG56" s="958"/>
      <c r="BH56" s="216"/>
    </row>
    <row r="57" spans="1:60">
      <c r="A57" s="1041"/>
      <c r="B57" s="1109" t="s">
        <v>147</v>
      </c>
      <c r="C57" s="1107" t="s">
        <v>96</v>
      </c>
      <c r="D57" s="638"/>
      <c r="E57" s="79"/>
      <c r="F57" s="79"/>
      <c r="G57" s="79"/>
      <c r="H57" s="85"/>
      <c r="I57" s="104"/>
      <c r="J57" s="82"/>
      <c r="K57" s="1055"/>
      <c r="L57" s="1055"/>
      <c r="M57" s="82"/>
      <c r="N57" s="82"/>
      <c r="O57" s="82"/>
      <c r="P57" s="82"/>
      <c r="Q57" s="82"/>
      <c r="R57" s="82"/>
      <c r="S57" s="82"/>
      <c r="T57" s="82"/>
      <c r="U57" s="82"/>
      <c r="V57" s="82"/>
      <c r="W57" s="82"/>
      <c r="X57" s="82"/>
      <c r="Y57" s="82"/>
      <c r="Z57" s="79"/>
      <c r="AA57" s="82"/>
      <c r="AB57" s="82"/>
      <c r="AC57" s="82"/>
      <c r="AD57" s="82"/>
      <c r="AE57" s="82"/>
      <c r="AF57" s="82"/>
      <c r="AG57" s="82"/>
      <c r="AH57" s="82"/>
      <c r="AI57" s="82"/>
      <c r="AJ57" s="82"/>
      <c r="AK57" s="82"/>
      <c r="AL57" s="79"/>
      <c r="AM57" s="82"/>
      <c r="AN57" s="82"/>
      <c r="AO57" s="82"/>
      <c r="AP57" s="82"/>
      <c r="AQ57" s="82"/>
      <c r="AR57" s="82"/>
      <c r="AS57" s="82"/>
      <c r="AT57" s="82"/>
      <c r="AU57" s="82"/>
      <c r="AV57" s="82"/>
      <c r="AW57" s="82"/>
      <c r="AX57" s="79"/>
      <c r="AY57" s="82"/>
      <c r="AZ57" s="82"/>
      <c r="BA57" s="82"/>
      <c r="BB57" s="82"/>
      <c r="BC57" s="82"/>
      <c r="BD57" s="82"/>
      <c r="BE57" s="82"/>
      <c r="BF57" s="82"/>
      <c r="BG57" s="82"/>
      <c r="BH57" s="1"/>
    </row>
    <row r="58" spans="1:60">
      <c r="A58" s="1041"/>
      <c r="B58" s="1109" t="s">
        <v>147</v>
      </c>
      <c r="C58" s="1106" t="s">
        <v>96</v>
      </c>
      <c r="D58" s="638"/>
      <c r="E58" s="230"/>
      <c r="F58" s="79"/>
      <c r="G58" s="79"/>
      <c r="H58" s="85"/>
      <c r="I58" s="79"/>
      <c r="J58" s="82"/>
      <c r="K58" s="79"/>
      <c r="L58" s="79"/>
      <c r="M58" s="82"/>
      <c r="N58" s="82"/>
      <c r="O58" s="82"/>
      <c r="P58" s="82"/>
      <c r="Q58" s="82"/>
      <c r="R58" s="82"/>
      <c r="S58" s="82"/>
      <c r="T58" s="82"/>
      <c r="U58" s="82"/>
      <c r="V58" s="82"/>
      <c r="W58" s="82"/>
      <c r="X58" s="82"/>
      <c r="Y58" s="82"/>
      <c r="Z58" s="79"/>
      <c r="AA58" s="82"/>
      <c r="AB58" s="82"/>
      <c r="AC58" s="82"/>
      <c r="AD58" s="82"/>
      <c r="AE58" s="82"/>
      <c r="AF58" s="82"/>
      <c r="AG58" s="82"/>
      <c r="AH58" s="82"/>
      <c r="AI58" s="82"/>
      <c r="AJ58" s="82"/>
      <c r="AK58" s="82"/>
      <c r="AL58" s="79"/>
      <c r="AM58" s="82"/>
      <c r="AN58" s="82"/>
      <c r="AO58" s="82"/>
      <c r="AP58" s="82"/>
      <c r="AQ58" s="82"/>
      <c r="AR58" s="82"/>
      <c r="AS58" s="82"/>
      <c r="AT58" s="82"/>
      <c r="AU58" s="82"/>
      <c r="AV58" s="82"/>
      <c r="AW58" s="82"/>
      <c r="AX58" s="79"/>
      <c r="AY58" s="82"/>
      <c r="AZ58" s="82"/>
      <c r="BA58" s="82"/>
      <c r="BB58" s="82"/>
      <c r="BC58" s="82"/>
      <c r="BD58" s="82"/>
      <c r="BE58" s="82"/>
      <c r="BF58" s="82"/>
      <c r="BG58" s="82"/>
      <c r="BH58" s="1"/>
    </row>
    <row r="59" spans="1:60" s="2" customFormat="1" ht="21">
      <c r="A59" s="1042"/>
      <c r="B59" s="1109" t="s">
        <v>147</v>
      </c>
      <c r="C59" s="1106" t="s">
        <v>96</v>
      </c>
      <c r="D59" s="640"/>
      <c r="E59" s="209" t="s">
        <v>1150</v>
      </c>
      <c r="F59" s="209"/>
      <c r="G59" s="209"/>
      <c r="H59" s="209"/>
      <c r="I59" s="129"/>
      <c r="J59" s="256" t="str">
        <f>"MWh "&amp;J$8</f>
        <v>MWh alle locaties</v>
      </c>
      <c r="K59" s="126"/>
      <c r="L59" s="126"/>
      <c r="M59" s="256" t="str">
        <f>"MWh "&amp;M$8</f>
        <v>MWh locatie 1</v>
      </c>
      <c r="N59" s="193"/>
      <c r="O59" s="955" t="str">
        <f>$E59&amp;" per woning-/gebouwtype"</f>
        <v>indicatie energiebehoefte per woning | utiliteitsgebouw per woning-/gebouwtype</v>
      </c>
      <c r="P59" s="945"/>
      <c r="Q59" s="945"/>
      <c r="R59" s="945"/>
      <c r="S59" s="945"/>
      <c r="T59" s="945"/>
      <c r="U59" s="945"/>
      <c r="V59" s="945"/>
      <c r="W59" s="257"/>
      <c r="X59" s="174"/>
      <c r="Y59" s="257" t="str">
        <f>Y$10&amp;" MWh"</f>
        <v>locatie 2 MWh</v>
      </c>
      <c r="Z59" s="193"/>
      <c r="AA59" s="955" t="str">
        <f>$E59&amp;" per woning-/gebouwtype"</f>
        <v>indicatie energiebehoefte per woning | utiliteitsgebouw per woning-/gebouwtype</v>
      </c>
      <c r="AB59" s="945"/>
      <c r="AC59" s="945"/>
      <c r="AD59" s="945"/>
      <c r="AE59" s="945"/>
      <c r="AF59" s="945"/>
      <c r="AG59" s="945"/>
      <c r="AH59" s="945"/>
      <c r="AI59" s="257"/>
      <c r="AJ59" s="174"/>
      <c r="AK59" s="257" t="str">
        <f>AK$10&amp;" MWh"</f>
        <v>locatie 3 MWh</v>
      </c>
      <c r="AL59" s="193"/>
      <c r="AM59" s="955" t="str">
        <f>$E59&amp;" per woning-/gebouwtype"</f>
        <v>indicatie energiebehoefte per woning | utiliteitsgebouw per woning-/gebouwtype</v>
      </c>
      <c r="AN59" s="945"/>
      <c r="AO59" s="945"/>
      <c r="AP59" s="945"/>
      <c r="AQ59" s="945"/>
      <c r="AR59" s="945"/>
      <c r="AS59" s="945"/>
      <c r="AT59" s="945"/>
      <c r="AU59" s="257"/>
      <c r="AV59" s="174"/>
      <c r="AW59" s="257" t="str">
        <f>AW$10&amp;" MWh"</f>
        <v>locatie 4 MWh</v>
      </c>
      <c r="AX59" s="193"/>
      <c r="AY59" s="955" t="str">
        <f>$E59&amp;" per woning-/gebouwtype"</f>
        <v>indicatie energiebehoefte per woning | utiliteitsgebouw per woning-/gebouwtype</v>
      </c>
      <c r="AZ59" s="945"/>
      <c r="BA59" s="945"/>
      <c r="BB59" s="945"/>
      <c r="BC59" s="945"/>
      <c r="BD59" s="945"/>
      <c r="BE59" s="945"/>
      <c r="BF59" s="945"/>
      <c r="BG59" s="257"/>
      <c r="BH59" s="1"/>
    </row>
    <row r="60" spans="1:60">
      <c r="A60" s="1041"/>
      <c r="B60" s="1109" t="s">
        <v>147</v>
      </c>
      <c r="C60" s="1106" t="s">
        <v>96</v>
      </c>
      <c r="D60" s="640"/>
      <c r="E60" s="942" t="s">
        <v>153</v>
      </c>
      <c r="F60" s="942"/>
      <c r="G60" s="942"/>
      <c r="H60" s="942"/>
      <c r="I60" s="129"/>
      <c r="J60" s="943"/>
      <c r="K60" s="126"/>
      <c r="L60" s="126"/>
      <c r="M60" s="944"/>
      <c r="N60" s="153"/>
      <c r="O60" s="258" t="str">
        <f>O$17</f>
        <v/>
      </c>
      <c r="P60" s="258" t="str">
        <f t="shared" ref="P60:W60" si="62">P$17</f>
        <v/>
      </c>
      <c r="Q60" s="258" t="str">
        <f t="shared" si="62"/>
        <v/>
      </c>
      <c r="R60" s="258" t="str">
        <f t="shared" si="62"/>
        <v/>
      </c>
      <c r="S60" s="258" t="str">
        <f t="shared" si="62"/>
        <v/>
      </c>
      <c r="T60" s="258" t="str">
        <f t="shared" si="62"/>
        <v/>
      </c>
      <c r="U60" s="258" t="str">
        <f t="shared" si="62"/>
        <v/>
      </c>
      <c r="V60" s="258" t="str">
        <f t="shared" si="62"/>
        <v/>
      </c>
      <c r="W60" s="258" t="str">
        <f t="shared" si="62"/>
        <v/>
      </c>
      <c r="X60" s="146"/>
      <c r="Y60" s="944"/>
      <c r="Z60" s="145"/>
      <c r="AA60" s="258" t="str">
        <f>AA$17</f>
        <v/>
      </c>
      <c r="AB60" s="258" t="str">
        <f t="shared" ref="AB60:AI60" si="63">AB$17</f>
        <v/>
      </c>
      <c r="AC60" s="258" t="str">
        <f t="shared" si="63"/>
        <v/>
      </c>
      <c r="AD60" s="258" t="str">
        <f t="shared" si="63"/>
        <v/>
      </c>
      <c r="AE60" s="258" t="str">
        <f t="shared" si="63"/>
        <v/>
      </c>
      <c r="AF60" s="258" t="str">
        <f t="shared" si="63"/>
        <v/>
      </c>
      <c r="AG60" s="258" t="str">
        <f t="shared" si="63"/>
        <v/>
      </c>
      <c r="AH60" s="258" t="str">
        <f t="shared" si="63"/>
        <v/>
      </c>
      <c r="AI60" s="258" t="str">
        <f t="shared" si="63"/>
        <v/>
      </c>
      <c r="AJ60" s="146"/>
      <c r="AK60" s="944"/>
      <c r="AL60" s="145"/>
      <c r="AM60" s="258" t="str">
        <f>AM$17</f>
        <v/>
      </c>
      <c r="AN60" s="258" t="str">
        <f t="shared" ref="AN60:AU60" si="64">AN$17</f>
        <v/>
      </c>
      <c r="AO60" s="258" t="str">
        <f t="shared" si="64"/>
        <v/>
      </c>
      <c r="AP60" s="258" t="str">
        <f t="shared" si="64"/>
        <v/>
      </c>
      <c r="AQ60" s="258" t="str">
        <f t="shared" si="64"/>
        <v/>
      </c>
      <c r="AR60" s="258" t="str">
        <f t="shared" si="64"/>
        <v/>
      </c>
      <c r="AS60" s="258" t="str">
        <f t="shared" si="64"/>
        <v/>
      </c>
      <c r="AT60" s="258" t="str">
        <f t="shared" si="64"/>
        <v/>
      </c>
      <c r="AU60" s="258" t="str">
        <f t="shared" si="64"/>
        <v/>
      </c>
      <c r="AV60" s="146"/>
      <c r="AW60" s="944"/>
      <c r="AX60" s="145"/>
      <c r="AY60" s="258" t="str">
        <f>AY$17</f>
        <v/>
      </c>
      <c r="AZ60" s="258" t="str">
        <f t="shared" ref="AZ60:BG60" si="65">AZ$17</f>
        <v/>
      </c>
      <c r="BA60" s="258" t="str">
        <f t="shared" si="65"/>
        <v/>
      </c>
      <c r="BB60" s="258" t="str">
        <f t="shared" si="65"/>
        <v/>
      </c>
      <c r="BC60" s="258" t="str">
        <f t="shared" si="65"/>
        <v/>
      </c>
      <c r="BD60" s="258" t="str">
        <f t="shared" si="65"/>
        <v/>
      </c>
      <c r="BE60" s="258" t="str">
        <f t="shared" si="65"/>
        <v/>
      </c>
      <c r="BF60" s="258" t="str">
        <f t="shared" si="65"/>
        <v/>
      </c>
      <c r="BG60" s="258" t="str">
        <f t="shared" si="65"/>
        <v/>
      </c>
      <c r="BH60" s="218"/>
    </row>
    <row r="61" spans="1:60" s="671" customFormat="1" ht="25.5" hidden="1">
      <c r="A61" s="1045"/>
      <c r="B61" s="1109" t="s">
        <v>147</v>
      </c>
      <c r="C61" s="1106" t="s">
        <v>262</v>
      </c>
      <c r="D61" s="946"/>
      <c r="E61" s="947" t="s">
        <v>1151</v>
      </c>
      <c r="F61" s="948"/>
      <c r="G61" s="949" t="s">
        <v>803</v>
      </c>
      <c r="H61" s="950" t="s">
        <v>65</v>
      </c>
      <c r="I61" s="951"/>
      <c r="J61" s="952"/>
      <c r="K61" s="953"/>
      <c r="L61" s="953"/>
      <c r="M61" s="952"/>
      <c r="N61" s="954" t="s">
        <v>84</v>
      </c>
      <c r="O61" s="934" t="e">
        <f t="shared" ref="O61:W61" si="66">$F$6
&amp;INDEX(gebruiksfuncties_fitcurve_NTA8800,MATCH(O$19,gebruiksfuncties_namen,0))
&amp;INDEX(ventilatiesystemen_code,MATCH(O$40,ventilatiesystemen_namen,0))
&amp;O$49
&amp;$G61</f>
        <v>#N/A</v>
      </c>
      <c r="P61" s="934" t="e">
        <f t="shared" si="66"/>
        <v>#N/A</v>
      </c>
      <c r="Q61" s="934" t="e">
        <f t="shared" si="66"/>
        <v>#N/A</v>
      </c>
      <c r="R61" s="934" t="e">
        <f t="shared" si="66"/>
        <v>#N/A</v>
      </c>
      <c r="S61" s="934" t="e">
        <f t="shared" si="66"/>
        <v>#N/A</v>
      </c>
      <c r="T61" s="934" t="e">
        <f t="shared" si="66"/>
        <v>#N/A</v>
      </c>
      <c r="U61" s="934" t="e">
        <f t="shared" si="66"/>
        <v>#N/A</v>
      </c>
      <c r="V61" s="934" t="e">
        <f t="shared" si="66"/>
        <v>#N/A</v>
      </c>
      <c r="W61" s="934" t="e">
        <f t="shared" si="66"/>
        <v>#N/A</v>
      </c>
      <c r="X61" s="953"/>
      <c r="Y61" s="952"/>
      <c r="Z61" s="954" t="s">
        <v>84</v>
      </c>
      <c r="AA61" s="934" t="e">
        <f>$F$6
&amp;INDEX(gebruiksfuncties_fitcurve_NTA8800,MATCH(AA$19,gebruiksfuncties_namen,0))
&amp;INDEX(ventilatiesystemen_code,MATCH(AA$40,ventilatiesystemen_namen,0))
&amp;AA$49
&amp;$G61</f>
        <v>#N/A</v>
      </c>
      <c r="AB61" s="934" t="e">
        <f t="shared" ref="AB61:AI61" si="67">$F$6
&amp;INDEX(gebruiksfuncties_fitcurve_NTA8800,MATCH(AB$19,gebruiksfuncties_namen,0))
&amp;INDEX(ventilatiesystemen_code,MATCH(AB$40,ventilatiesystemen_namen,0))
&amp;AB$49
&amp;$G61</f>
        <v>#N/A</v>
      </c>
      <c r="AC61" s="934" t="e">
        <f t="shared" si="67"/>
        <v>#N/A</v>
      </c>
      <c r="AD61" s="934" t="e">
        <f t="shared" si="67"/>
        <v>#N/A</v>
      </c>
      <c r="AE61" s="934" t="e">
        <f t="shared" si="67"/>
        <v>#N/A</v>
      </c>
      <c r="AF61" s="934" t="e">
        <f t="shared" si="67"/>
        <v>#N/A</v>
      </c>
      <c r="AG61" s="934" t="e">
        <f t="shared" si="67"/>
        <v>#N/A</v>
      </c>
      <c r="AH61" s="934" t="e">
        <f t="shared" si="67"/>
        <v>#N/A</v>
      </c>
      <c r="AI61" s="934" t="e">
        <f t="shared" si="67"/>
        <v>#N/A</v>
      </c>
      <c r="AJ61" s="953"/>
      <c r="AK61" s="952"/>
      <c r="AL61" s="954" t="s">
        <v>84</v>
      </c>
      <c r="AM61" s="934" t="e">
        <f t="shared" ref="AM61:AU61" si="68">$F$6
&amp;INDEX(gebruiksfuncties_fitcurve_NTA8800,MATCH(AM$19,gebruiksfuncties_namen,0))
&amp;INDEX(ventilatiesystemen_code,MATCH(AM$40,ventilatiesystemen_namen,0))
&amp;AM$49
&amp;$G61</f>
        <v>#N/A</v>
      </c>
      <c r="AN61" s="934" t="e">
        <f t="shared" si="68"/>
        <v>#N/A</v>
      </c>
      <c r="AO61" s="934" t="e">
        <f t="shared" si="68"/>
        <v>#N/A</v>
      </c>
      <c r="AP61" s="934" t="e">
        <f t="shared" si="68"/>
        <v>#N/A</v>
      </c>
      <c r="AQ61" s="934" t="e">
        <f t="shared" si="68"/>
        <v>#N/A</v>
      </c>
      <c r="AR61" s="934" t="e">
        <f t="shared" si="68"/>
        <v>#N/A</v>
      </c>
      <c r="AS61" s="934" t="e">
        <f t="shared" si="68"/>
        <v>#N/A</v>
      </c>
      <c r="AT61" s="934" t="e">
        <f t="shared" si="68"/>
        <v>#N/A</v>
      </c>
      <c r="AU61" s="934" t="e">
        <f t="shared" si="68"/>
        <v>#N/A</v>
      </c>
      <c r="AV61" s="953"/>
      <c r="AW61" s="952"/>
      <c r="AX61" s="954" t="s">
        <v>84</v>
      </c>
      <c r="AY61" s="934" t="e">
        <f t="shared" ref="AY61:BG61" si="69">$F$6
&amp;INDEX(gebruiksfuncties_fitcurve_NTA8800,MATCH(AY$19,gebruiksfuncties_namen,0))
&amp;INDEX(ventilatiesystemen_code,MATCH(AY$40,ventilatiesystemen_namen,0))
&amp;AY$49
&amp;$G61</f>
        <v>#N/A</v>
      </c>
      <c r="AZ61" s="934" t="e">
        <f t="shared" si="69"/>
        <v>#N/A</v>
      </c>
      <c r="BA61" s="934" t="e">
        <f t="shared" si="69"/>
        <v>#N/A</v>
      </c>
      <c r="BB61" s="934" t="e">
        <f t="shared" si="69"/>
        <v>#N/A</v>
      </c>
      <c r="BC61" s="934" t="e">
        <f t="shared" si="69"/>
        <v>#N/A</v>
      </c>
      <c r="BD61" s="934" t="e">
        <f t="shared" si="69"/>
        <v>#N/A</v>
      </c>
      <c r="BE61" s="934" t="e">
        <f t="shared" si="69"/>
        <v>#N/A</v>
      </c>
      <c r="BF61" s="934" t="e">
        <f t="shared" si="69"/>
        <v>#N/A</v>
      </c>
      <c r="BG61" s="934" t="e">
        <f t="shared" si="69"/>
        <v>#N/A</v>
      </c>
      <c r="BH61" s="223"/>
    </row>
    <row r="62" spans="1:60">
      <c r="A62" s="1041"/>
      <c r="B62" s="1109" t="s">
        <v>147</v>
      </c>
      <c r="C62" s="1107" t="s">
        <v>104</v>
      </c>
      <c r="D62" s="641" t="s">
        <v>45</v>
      </c>
      <c r="E62" s="413" t="str">
        <f>$O$10</f>
        <v>verwarming</v>
      </c>
      <c r="F62" s="296"/>
      <c r="G62" s="296"/>
      <c r="H62" s="295" t="s">
        <v>154</v>
      </c>
      <c r="I62" s="259"/>
      <c r="J62" s="261">
        <f t="shared" ref="J62:J69" si="70">M62+Y62+AK62+AW62</f>
        <v>0</v>
      </c>
      <c r="K62" s="126"/>
      <c r="L62" s="126"/>
      <c r="M62" s="261">
        <f t="shared" ref="M62:M69" si="71">SUMPRODUCT(N$22:X$22,N$29:X$29,N62:X62)/1000</f>
        <v>0</v>
      </c>
      <c r="N62" s="259"/>
      <c r="O62" s="260">
        <f t="shared" ref="O62:W62" si="72">IFERROR(IF(OR(O$17="",O$38="",O$40=""),0,MAX(warmtebehoefte_verwarming_ondergrens,O55)),0)</f>
        <v>0</v>
      </c>
      <c r="P62" s="260">
        <f t="shared" si="72"/>
        <v>0</v>
      </c>
      <c r="Q62" s="260">
        <f t="shared" si="72"/>
        <v>0</v>
      </c>
      <c r="R62" s="260">
        <f t="shared" si="72"/>
        <v>0</v>
      </c>
      <c r="S62" s="260">
        <f t="shared" si="72"/>
        <v>0</v>
      </c>
      <c r="T62" s="260">
        <f t="shared" si="72"/>
        <v>0</v>
      </c>
      <c r="U62" s="260">
        <f t="shared" si="72"/>
        <v>0</v>
      </c>
      <c r="V62" s="260">
        <f t="shared" si="72"/>
        <v>0</v>
      </c>
      <c r="W62" s="260">
        <f t="shared" si="72"/>
        <v>0</v>
      </c>
      <c r="X62" s="126"/>
      <c r="Y62" s="261">
        <f>SUMPRODUCT(Z$22:AJ$22,Z$29:AJ$29,Z62:AJ62)/1000</f>
        <v>0</v>
      </c>
      <c r="Z62" s="259"/>
      <c r="AA62" s="260">
        <f>IFERROR(IF(OR(AA$17="",AA$38="",AA$40=""),0,MAX(warmtebehoefte_verwarming_ondergrens,AA55)),0)</f>
        <v>0</v>
      </c>
      <c r="AB62" s="260">
        <f t="shared" ref="AB62:AI62" si="73">IFERROR(IF(OR(AB$17="",AB$38="",AB$40=""),0,MAX(warmtebehoefte_verwarming_ondergrens,AB55)),0)</f>
        <v>0</v>
      </c>
      <c r="AC62" s="260">
        <f t="shared" si="73"/>
        <v>0</v>
      </c>
      <c r="AD62" s="260">
        <f t="shared" si="73"/>
        <v>0</v>
      </c>
      <c r="AE62" s="260">
        <f t="shared" si="73"/>
        <v>0</v>
      </c>
      <c r="AF62" s="260">
        <f t="shared" si="73"/>
        <v>0</v>
      </c>
      <c r="AG62" s="260">
        <f t="shared" si="73"/>
        <v>0</v>
      </c>
      <c r="AH62" s="260">
        <f t="shared" si="73"/>
        <v>0</v>
      </c>
      <c r="AI62" s="260">
        <f t="shared" si="73"/>
        <v>0</v>
      </c>
      <c r="AJ62" s="126"/>
      <c r="AK62" s="261">
        <f>SUMPRODUCT(AL$22:AV$22,AL$29:AV$29,AL62:AV62)/1000</f>
        <v>0</v>
      </c>
      <c r="AL62" s="259"/>
      <c r="AM62" s="260">
        <f t="shared" ref="AM62:AU62" si="74">IFERROR(IF(OR(AM$17="",AM$38="",AM$40=""),0,MAX(warmtebehoefte_verwarming_ondergrens,AM55)),0)</f>
        <v>0</v>
      </c>
      <c r="AN62" s="260">
        <f t="shared" si="74"/>
        <v>0</v>
      </c>
      <c r="AO62" s="260">
        <f t="shared" si="74"/>
        <v>0</v>
      </c>
      <c r="AP62" s="260">
        <f t="shared" si="74"/>
        <v>0</v>
      </c>
      <c r="AQ62" s="260">
        <f t="shared" si="74"/>
        <v>0</v>
      </c>
      <c r="AR62" s="260">
        <f t="shared" si="74"/>
        <v>0</v>
      </c>
      <c r="AS62" s="260">
        <f t="shared" si="74"/>
        <v>0</v>
      </c>
      <c r="AT62" s="260">
        <f t="shared" si="74"/>
        <v>0</v>
      </c>
      <c r="AU62" s="260">
        <f t="shared" si="74"/>
        <v>0</v>
      </c>
      <c r="AV62" s="126"/>
      <c r="AW62" s="261">
        <f>SUMPRODUCT(AX$22:BH$22,AX$29:BH$29,AX62:BH62)/1000</f>
        <v>0</v>
      </c>
      <c r="AX62" s="259"/>
      <c r="AY62" s="260">
        <f t="shared" ref="AY62:BG62" si="75">IFERROR(IF(OR(AY$17="",AY$38="",AY$40=""),0,MAX(warmtebehoefte_verwarming_ondergrens,AY55)),0)</f>
        <v>0</v>
      </c>
      <c r="AZ62" s="260">
        <f t="shared" si="75"/>
        <v>0</v>
      </c>
      <c r="BA62" s="260">
        <f t="shared" si="75"/>
        <v>0</v>
      </c>
      <c r="BB62" s="260">
        <f t="shared" si="75"/>
        <v>0</v>
      </c>
      <c r="BC62" s="260">
        <f t="shared" si="75"/>
        <v>0</v>
      </c>
      <c r="BD62" s="260">
        <f t="shared" si="75"/>
        <v>0</v>
      </c>
      <c r="BE62" s="260">
        <f t="shared" si="75"/>
        <v>0</v>
      </c>
      <c r="BF62" s="260">
        <f t="shared" si="75"/>
        <v>0</v>
      </c>
      <c r="BG62" s="260">
        <f t="shared" si="75"/>
        <v>0</v>
      </c>
      <c r="BH62" s="210"/>
    </row>
    <row r="63" spans="1:60" s="671" customFormat="1" ht="25.5" hidden="1">
      <c r="A63" s="1045"/>
      <c r="B63" s="1109" t="s">
        <v>147</v>
      </c>
      <c r="C63" s="1106" t="s">
        <v>262</v>
      </c>
      <c r="D63" s="946"/>
      <c r="E63" s="947" t="s">
        <v>1152</v>
      </c>
      <c r="F63" s="948"/>
      <c r="G63" s="949" t="s">
        <v>804</v>
      </c>
      <c r="H63" s="950" t="s">
        <v>65</v>
      </c>
      <c r="I63" s="951"/>
      <c r="J63" s="952"/>
      <c r="K63" s="953"/>
      <c r="L63" s="953"/>
      <c r="M63" s="952"/>
      <c r="N63" s="954" t="s">
        <v>84</v>
      </c>
      <c r="O63" s="934" t="e">
        <f t="shared" ref="O63:W63" si="76">$F$6
&amp;INDEX(gebruiksfuncties_fitcurve_NTA8800,MATCH(O$19,gebruiksfuncties_namen,0))
&amp;INDEX(ventilatiesystemen_code,MATCH(O$40,ventilatiesystemen_namen,0))
&amp;O$49
&amp;$G63</f>
        <v>#N/A</v>
      </c>
      <c r="P63" s="934" t="e">
        <f t="shared" si="76"/>
        <v>#N/A</v>
      </c>
      <c r="Q63" s="934" t="e">
        <f t="shared" si="76"/>
        <v>#N/A</v>
      </c>
      <c r="R63" s="934" t="e">
        <f t="shared" si="76"/>
        <v>#N/A</v>
      </c>
      <c r="S63" s="934" t="e">
        <f t="shared" si="76"/>
        <v>#N/A</v>
      </c>
      <c r="T63" s="934" t="e">
        <f t="shared" si="76"/>
        <v>#N/A</v>
      </c>
      <c r="U63" s="934" t="e">
        <f t="shared" si="76"/>
        <v>#N/A</v>
      </c>
      <c r="V63" s="934" t="e">
        <f t="shared" si="76"/>
        <v>#N/A</v>
      </c>
      <c r="W63" s="934" t="e">
        <f t="shared" si="76"/>
        <v>#N/A</v>
      </c>
      <c r="X63" s="953"/>
      <c r="Y63" s="952"/>
      <c r="Z63" s="954" t="s">
        <v>84</v>
      </c>
      <c r="AA63" s="934" t="e">
        <f t="shared" ref="AA63:AI63" si="77">$F$6
&amp;INDEX(gebruiksfuncties_fitcurve_NTA8800,MATCH(AA$19,gebruiksfuncties_namen,0))
&amp;INDEX(ventilatiesystemen_code,MATCH(AA$40,ventilatiesystemen_namen,0))
&amp;AA$49
&amp;$G63</f>
        <v>#N/A</v>
      </c>
      <c r="AB63" s="934" t="e">
        <f t="shared" si="77"/>
        <v>#N/A</v>
      </c>
      <c r="AC63" s="934" t="e">
        <f t="shared" si="77"/>
        <v>#N/A</v>
      </c>
      <c r="AD63" s="934" t="e">
        <f t="shared" si="77"/>
        <v>#N/A</v>
      </c>
      <c r="AE63" s="934" t="e">
        <f t="shared" si="77"/>
        <v>#N/A</v>
      </c>
      <c r="AF63" s="934" t="e">
        <f t="shared" si="77"/>
        <v>#N/A</v>
      </c>
      <c r="AG63" s="934" t="e">
        <f t="shared" si="77"/>
        <v>#N/A</v>
      </c>
      <c r="AH63" s="934" t="e">
        <f t="shared" si="77"/>
        <v>#N/A</v>
      </c>
      <c r="AI63" s="934" t="e">
        <f t="shared" si="77"/>
        <v>#N/A</v>
      </c>
      <c r="AJ63" s="953"/>
      <c r="AK63" s="952"/>
      <c r="AL63" s="954" t="s">
        <v>84</v>
      </c>
      <c r="AM63" s="934" t="e">
        <f t="shared" ref="AM63:AU63" si="78">$F$6
&amp;INDEX(gebruiksfuncties_fitcurve_NTA8800,MATCH(AM$19,gebruiksfuncties_namen,0))
&amp;INDEX(ventilatiesystemen_code,MATCH(AM$40,ventilatiesystemen_namen,0))
&amp;AM$49
&amp;$G63</f>
        <v>#N/A</v>
      </c>
      <c r="AN63" s="934" t="e">
        <f t="shared" si="78"/>
        <v>#N/A</v>
      </c>
      <c r="AO63" s="934" t="e">
        <f t="shared" si="78"/>
        <v>#N/A</v>
      </c>
      <c r="AP63" s="934" t="e">
        <f t="shared" si="78"/>
        <v>#N/A</v>
      </c>
      <c r="AQ63" s="934" t="e">
        <f t="shared" si="78"/>
        <v>#N/A</v>
      </c>
      <c r="AR63" s="934" t="e">
        <f t="shared" si="78"/>
        <v>#N/A</v>
      </c>
      <c r="AS63" s="934" t="e">
        <f t="shared" si="78"/>
        <v>#N/A</v>
      </c>
      <c r="AT63" s="934" t="e">
        <f t="shared" si="78"/>
        <v>#N/A</v>
      </c>
      <c r="AU63" s="934" t="e">
        <f t="shared" si="78"/>
        <v>#N/A</v>
      </c>
      <c r="AV63" s="953"/>
      <c r="AW63" s="952"/>
      <c r="AX63" s="954" t="s">
        <v>84</v>
      </c>
      <c r="AY63" s="934" t="e">
        <f t="shared" ref="AY63:BG63" si="79">$F$6
&amp;INDEX(gebruiksfuncties_fitcurve_NTA8800,MATCH(AY$19,gebruiksfuncties_namen,0))
&amp;INDEX(ventilatiesystemen_code,MATCH(AY$40,ventilatiesystemen_namen,0))
&amp;AY$49
&amp;$G63</f>
        <v>#N/A</v>
      </c>
      <c r="AZ63" s="934" t="e">
        <f t="shared" si="79"/>
        <v>#N/A</v>
      </c>
      <c r="BA63" s="934" t="e">
        <f t="shared" si="79"/>
        <v>#N/A</v>
      </c>
      <c r="BB63" s="934" t="e">
        <f t="shared" si="79"/>
        <v>#N/A</v>
      </c>
      <c r="BC63" s="934" t="e">
        <f t="shared" si="79"/>
        <v>#N/A</v>
      </c>
      <c r="BD63" s="934" t="e">
        <f t="shared" si="79"/>
        <v>#N/A</v>
      </c>
      <c r="BE63" s="934" t="e">
        <f t="shared" si="79"/>
        <v>#N/A</v>
      </c>
      <c r="BF63" s="934" t="e">
        <f t="shared" si="79"/>
        <v>#N/A</v>
      </c>
      <c r="BG63" s="934" t="e">
        <f t="shared" si="79"/>
        <v>#N/A</v>
      </c>
      <c r="BH63" s="223"/>
    </row>
    <row r="64" spans="1:60">
      <c r="A64" s="1041"/>
      <c r="B64" s="1109" t="s">
        <v>147</v>
      </c>
      <c r="C64" s="1107" t="s">
        <v>104</v>
      </c>
      <c r="D64" s="641" t="s">
        <v>45</v>
      </c>
      <c r="E64" s="295" t="str">
        <f>$P$10</f>
        <v>koeling</v>
      </c>
      <c r="F64" s="296"/>
      <c r="G64" s="296"/>
      <c r="H64" s="295" t="s">
        <v>154</v>
      </c>
      <c r="I64" s="259"/>
      <c r="J64" s="261">
        <f t="shared" si="70"/>
        <v>0</v>
      </c>
      <c r="K64" s="126"/>
      <c r="L64" s="126"/>
      <c r="M64" s="261">
        <f t="shared" si="71"/>
        <v>0</v>
      </c>
      <c r="N64" s="259"/>
      <c r="O64" s="260">
        <f>IFERROR(IF(OR(O$17="",O$38="",O$40=""),0,MAX(koudebehoefte_koeling_ondergrens,
HLOOKUP(O$63,fitcurves_NTA8800,MATCH(fit_a0,parameters_fitformule,0),FALSE)
+HLOOKUP(O$63,fitcurves_NTA8800,MATCH(fit_a1,parameters_fitformule,0),FALSE)
*(O$33*O$29)^HLOOKUP(O$63,fitcurves_NTA8800,MATCH(fit_n1,parameters_fitformule,0),FALSE)
+HLOOKUP(O$63,fitcurves_NTA8800,MATCH(fit_a2,parameters_fitformule,0),FALSE)
*O$32^HLOOKUP(O$63,fitcurves_NTA8800,MATCH(fit_n2,parameters_fitformule,0),FALSE)
+HLOOKUP(O$63,fitcurves_NTA8800,MATCH(fit_a3,parameters_fitformule,0),FALSE)
*O$54^HLOOKUP(O$63,fitcurves_NTA8800,MATCH(fit_n3,parameters_fitformule,0),FALSE)
+HLOOKUP(O$63,fitcurves_NTA8800,MATCH(fit_a4,parameters_fitformule,0),FALSE)
*O$33^HLOOKUP(O$63,fitcurves_NTA8800,MATCH(fit_n4,parameters_fitformule,0),FALSE)
)),0)</f>
        <v>0</v>
      </c>
      <c r="P64" s="260">
        <f t="shared" ref="P64:W64" si="80">IFERROR(IF(OR(P$17="",P$38="",P$40=""),0,MAX(koudebehoefte_koeling_ondergrens,
HLOOKUP(P$63,fitcurves_NTA8800,MATCH(fit_a0,parameters_fitformule,0),FALSE)
+HLOOKUP(P$63,fitcurves_NTA8800,MATCH(fit_a1,parameters_fitformule,0),FALSE)
*(P$33*P$29)^HLOOKUP(P$63,fitcurves_NTA8800,MATCH(fit_n1,parameters_fitformule,0),FALSE)
+HLOOKUP(P$63,fitcurves_NTA8800,MATCH(fit_a2,parameters_fitformule,0),FALSE)
*P$32^HLOOKUP(P$63,fitcurves_NTA8800,MATCH(fit_n2,parameters_fitformule,0),FALSE)
+HLOOKUP(P$63,fitcurves_NTA8800,MATCH(fit_a3,parameters_fitformule,0),FALSE)
*P$54^HLOOKUP(P$63,fitcurves_NTA8800,MATCH(fit_n3,parameters_fitformule,0),FALSE)
+HLOOKUP(P$63,fitcurves_NTA8800,MATCH(fit_a4,parameters_fitformule,0),FALSE)
*P$33^HLOOKUP(P$63,fitcurves_NTA8800,MATCH(fit_n4,parameters_fitformule,0),FALSE)
)),0)</f>
        <v>0</v>
      </c>
      <c r="Q64" s="260">
        <f t="shared" si="80"/>
        <v>0</v>
      </c>
      <c r="R64" s="260">
        <f t="shared" si="80"/>
        <v>0</v>
      </c>
      <c r="S64" s="260">
        <f t="shared" si="80"/>
        <v>0</v>
      </c>
      <c r="T64" s="260">
        <f t="shared" si="80"/>
        <v>0</v>
      </c>
      <c r="U64" s="260">
        <f t="shared" si="80"/>
        <v>0</v>
      </c>
      <c r="V64" s="260">
        <f t="shared" si="80"/>
        <v>0</v>
      </c>
      <c r="W64" s="260">
        <f t="shared" si="80"/>
        <v>0</v>
      </c>
      <c r="X64" s="126"/>
      <c r="Y64" s="261">
        <f t="shared" ref="Y64:Y69" si="81">SUMPRODUCT(Z$22:AJ$22,Z$29:AJ$29,Z64:AJ64)/1000</f>
        <v>0</v>
      </c>
      <c r="Z64" s="259"/>
      <c r="AA64" s="260">
        <f t="shared" ref="AA64:AI64" si="82">IFERROR(IF(OR(AA$17="",AA$38="",AA$40=""),0,MAX(koudebehoefte_koeling_ondergrens,
HLOOKUP(AA$63,fitcurves_NTA8800,MATCH(fit_a0,parameters_fitformule,0),FALSE)
+HLOOKUP(AA$63,fitcurves_NTA8800,MATCH(fit_a1,parameters_fitformule,0),FALSE)
*(AA$33*AA$29)^HLOOKUP(AA$63,fitcurves_NTA8800,MATCH(fit_n1,parameters_fitformule,0),FALSE)
+HLOOKUP(AA$63,fitcurves_NTA8800,MATCH(fit_a2,parameters_fitformule,0),FALSE)
*AA$32^HLOOKUP(AA$63,fitcurves_NTA8800,MATCH(fit_n2,parameters_fitformule,0),FALSE)
+HLOOKUP(AA$63,fitcurves_NTA8800,MATCH(fit_a3,parameters_fitformule,0),FALSE)
*AA$54^HLOOKUP(AA$63,fitcurves_NTA8800,MATCH(fit_n3,parameters_fitformule,0),FALSE)
+HLOOKUP(AA$63,fitcurves_NTA8800,MATCH(fit_a4,parameters_fitformule,0),FALSE)
*AA$33^HLOOKUP(AA$63,fitcurves_NTA8800,MATCH(fit_n4,parameters_fitformule,0),FALSE)
)),0)</f>
        <v>0</v>
      </c>
      <c r="AB64" s="260">
        <f t="shared" si="82"/>
        <v>0</v>
      </c>
      <c r="AC64" s="260">
        <f t="shared" si="82"/>
        <v>0</v>
      </c>
      <c r="AD64" s="260">
        <f t="shared" si="82"/>
        <v>0</v>
      </c>
      <c r="AE64" s="260">
        <f t="shared" si="82"/>
        <v>0</v>
      </c>
      <c r="AF64" s="260">
        <f t="shared" si="82"/>
        <v>0</v>
      </c>
      <c r="AG64" s="260">
        <f t="shared" si="82"/>
        <v>0</v>
      </c>
      <c r="AH64" s="260">
        <f t="shared" si="82"/>
        <v>0</v>
      </c>
      <c r="AI64" s="260">
        <f t="shared" si="82"/>
        <v>0</v>
      </c>
      <c r="AJ64" s="126"/>
      <c r="AK64" s="261">
        <f t="shared" ref="AK64:AK69" si="83">SUMPRODUCT(AL$22:AV$22,AL$29:AV$29,AL64:AV64)/1000</f>
        <v>0</v>
      </c>
      <c r="AL64" s="259"/>
      <c r="AM64" s="260">
        <f t="shared" ref="AM64:AU64" si="84">IFERROR(IF(OR(AM$17="",AM$38="",AM$40=""),0,MAX(koudebehoefte_koeling_ondergrens,
HLOOKUP(AM$63,fitcurves_NTA8800,MATCH(fit_a0,parameters_fitformule,0),FALSE)
+HLOOKUP(AM$63,fitcurves_NTA8800,MATCH(fit_a1,parameters_fitformule,0),FALSE)
*(AM$33*AM$29)^HLOOKUP(AM$63,fitcurves_NTA8800,MATCH(fit_n1,parameters_fitformule,0),FALSE)
+HLOOKUP(AM$63,fitcurves_NTA8800,MATCH(fit_a2,parameters_fitformule,0),FALSE)
*AM$32^HLOOKUP(AM$63,fitcurves_NTA8800,MATCH(fit_n2,parameters_fitformule,0),FALSE)
+HLOOKUP(AM$63,fitcurves_NTA8800,MATCH(fit_a3,parameters_fitformule,0),FALSE)
*AM$54^HLOOKUP(AM$63,fitcurves_NTA8800,MATCH(fit_n3,parameters_fitformule,0),FALSE)
+HLOOKUP(AM$63,fitcurves_NTA8800,MATCH(fit_a4,parameters_fitformule,0),FALSE)
*AM$33^HLOOKUP(AM$63,fitcurves_NTA8800,MATCH(fit_n4,parameters_fitformule,0),FALSE)
)),0)</f>
        <v>0</v>
      </c>
      <c r="AN64" s="260">
        <f t="shared" si="84"/>
        <v>0</v>
      </c>
      <c r="AO64" s="260">
        <f t="shared" si="84"/>
        <v>0</v>
      </c>
      <c r="AP64" s="260">
        <f t="shared" si="84"/>
        <v>0</v>
      </c>
      <c r="AQ64" s="260">
        <f t="shared" si="84"/>
        <v>0</v>
      </c>
      <c r="AR64" s="260">
        <f t="shared" si="84"/>
        <v>0</v>
      </c>
      <c r="AS64" s="260">
        <f t="shared" si="84"/>
        <v>0</v>
      </c>
      <c r="AT64" s="260">
        <f t="shared" si="84"/>
        <v>0</v>
      </c>
      <c r="AU64" s="260">
        <f t="shared" si="84"/>
        <v>0</v>
      </c>
      <c r="AV64" s="126"/>
      <c r="AW64" s="261">
        <f t="shared" ref="AW64:AW69" si="85">SUMPRODUCT(AX$22:BH$22,AX$29:BH$29,AX64:BH64)/1000</f>
        <v>0</v>
      </c>
      <c r="AX64" s="259"/>
      <c r="AY64" s="260">
        <f t="shared" ref="AY64:BG64" si="86">IFERROR(IF(OR(AY$17="",AY$38="",AY$40=""),0,MAX(koudebehoefte_koeling_ondergrens,
HLOOKUP(AY$63,fitcurves_NTA8800,MATCH(fit_a0,parameters_fitformule,0),FALSE)
+HLOOKUP(AY$63,fitcurves_NTA8800,MATCH(fit_a1,parameters_fitformule,0),FALSE)
*(AY$33*AY$29)^HLOOKUP(AY$63,fitcurves_NTA8800,MATCH(fit_n1,parameters_fitformule,0),FALSE)
+HLOOKUP(AY$63,fitcurves_NTA8800,MATCH(fit_a2,parameters_fitformule,0),FALSE)
*AY$32^HLOOKUP(AY$63,fitcurves_NTA8800,MATCH(fit_n2,parameters_fitformule,0),FALSE)
+HLOOKUP(AY$63,fitcurves_NTA8800,MATCH(fit_a3,parameters_fitformule,0),FALSE)
*AY$54^HLOOKUP(AY$63,fitcurves_NTA8800,MATCH(fit_n3,parameters_fitformule,0),FALSE)
+HLOOKUP(AY$63,fitcurves_NTA8800,MATCH(fit_a4,parameters_fitformule,0),FALSE)
*AY$33^HLOOKUP(AY$63,fitcurves_NTA8800,MATCH(fit_n4,parameters_fitformule,0),FALSE)
)),0)</f>
        <v>0</v>
      </c>
      <c r="AZ64" s="260">
        <f t="shared" si="86"/>
        <v>0</v>
      </c>
      <c r="BA64" s="260">
        <f t="shared" si="86"/>
        <v>0</v>
      </c>
      <c r="BB64" s="260">
        <f t="shared" si="86"/>
        <v>0</v>
      </c>
      <c r="BC64" s="260">
        <f t="shared" si="86"/>
        <v>0</v>
      </c>
      <c r="BD64" s="260">
        <f t="shared" si="86"/>
        <v>0</v>
      </c>
      <c r="BE64" s="260">
        <f t="shared" si="86"/>
        <v>0</v>
      </c>
      <c r="BF64" s="260">
        <f t="shared" si="86"/>
        <v>0</v>
      </c>
      <c r="BG64" s="260">
        <f t="shared" si="86"/>
        <v>0</v>
      </c>
      <c r="BH64" s="210"/>
    </row>
    <row r="65" spans="1:60">
      <c r="A65" s="1041"/>
      <c r="B65" s="1109" t="s">
        <v>147</v>
      </c>
      <c r="C65" s="1107" t="s">
        <v>104</v>
      </c>
      <c r="D65" s="641" t="s">
        <v>45</v>
      </c>
      <c r="E65" s="295" t="str">
        <f>$Q$10</f>
        <v>tapwater</v>
      </c>
      <c r="F65" s="296"/>
      <c r="G65" s="296"/>
      <c r="H65" s="295" t="s">
        <v>154</v>
      </c>
      <c r="I65" s="259"/>
      <c r="J65" s="261">
        <f t="shared" si="70"/>
        <v>0</v>
      </c>
      <c r="K65" s="126"/>
      <c r="L65" s="126"/>
      <c r="M65" s="261">
        <f t="shared" si="71"/>
        <v>0</v>
      </c>
      <c r="N65" s="259"/>
      <c r="O65" s="260">
        <f t="shared" ref="O65:W65" si="87">(1-O$43)*IF(OR(O$17="",O$29=0),0,IF($F$6=EP,1,INDEX(factor_warmtapwaterbehoefte_MWA,MATCH(O$19,gebruiksfuncties_namen_MWA_warmtapwater,0)))*
IF(OR(O$19=woning,O$19=woongebouw),IF(O$29&gt;100,1.28+0.01*O$29,MAX(1,2.28-1.28/70*(100-O$29)))*856/O$29,
INDEX(warmtapwater_specifieke_warmtebehoefte_waarden,MATCH(O$19,warmtapwater_specifieke_warmtebehoefte_gebruiksfuncties,0)))*IF($F$6=EP,1,O$44))</f>
        <v>0</v>
      </c>
      <c r="P65" s="260">
        <f t="shared" si="87"/>
        <v>0</v>
      </c>
      <c r="Q65" s="260">
        <f t="shared" si="87"/>
        <v>0</v>
      </c>
      <c r="R65" s="260">
        <f t="shared" si="87"/>
        <v>0</v>
      </c>
      <c r="S65" s="260">
        <f t="shared" si="87"/>
        <v>0</v>
      </c>
      <c r="T65" s="260">
        <f t="shared" si="87"/>
        <v>0</v>
      </c>
      <c r="U65" s="260">
        <f t="shared" si="87"/>
        <v>0</v>
      </c>
      <c r="V65" s="260">
        <f t="shared" si="87"/>
        <v>0</v>
      </c>
      <c r="W65" s="260">
        <f t="shared" si="87"/>
        <v>0</v>
      </c>
      <c r="X65" s="126"/>
      <c r="Y65" s="261">
        <f t="shared" si="81"/>
        <v>0</v>
      </c>
      <c r="Z65" s="259"/>
      <c r="AA65" s="260">
        <f t="shared" ref="AA65:AI65" si="88">(1-AA$43)*IF(OR(AA$17="",AA$29=0),0,IF($F$6=EP,1,INDEX(factor_warmtapwaterbehoefte_MWA,MATCH(AA$19,gebruiksfuncties_namen_MWA_warmtapwater,0)))*
IF(OR(AA$19=woning,AA$19=woongebouw),IF(AA$29&gt;100,1.28+0.01*AA$29,MAX(1,2.28-1.28/70*(100-AA$29)))*856/AA$29,
INDEX(warmtapwater_specifieke_warmtebehoefte_waarden,MATCH(AA$19,warmtapwater_specifieke_warmtebehoefte_gebruiksfuncties,0)))*IF($F$6=EP,1,AA$44))</f>
        <v>0</v>
      </c>
      <c r="AB65" s="260">
        <f t="shared" si="88"/>
        <v>0</v>
      </c>
      <c r="AC65" s="260">
        <f t="shared" si="88"/>
        <v>0</v>
      </c>
      <c r="AD65" s="260">
        <f t="shared" si="88"/>
        <v>0</v>
      </c>
      <c r="AE65" s="260">
        <f t="shared" si="88"/>
        <v>0</v>
      </c>
      <c r="AF65" s="260">
        <f t="shared" si="88"/>
        <v>0</v>
      </c>
      <c r="AG65" s="260">
        <f t="shared" si="88"/>
        <v>0</v>
      </c>
      <c r="AH65" s="260">
        <f t="shared" si="88"/>
        <v>0</v>
      </c>
      <c r="AI65" s="260">
        <f t="shared" si="88"/>
        <v>0</v>
      </c>
      <c r="AJ65" s="126"/>
      <c r="AK65" s="261">
        <f t="shared" si="83"/>
        <v>0</v>
      </c>
      <c r="AL65" s="259"/>
      <c r="AM65" s="260">
        <f t="shared" ref="AM65:AU65" si="89">(1-AM$43)*IF(OR(AM$17="",AM$29=0),0,IF($F$6=EP,1,INDEX(factor_warmtapwaterbehoefte_MWA,MATCH(AM$19,gebruiksfuncties_namen_MWA_warmtapwater,0)))*
IF(OR(AM$19=woning,AM$19=woongebouw),IF(AM$29&gt;100,1.28+0.01*AM$29,MAX(1,2.28-1.28/70*(100-AM$29)))*856/AM$29,
INDEX(warmtapwater_specifieke_warmtebehoefte_waarden,MATCH(AM$19,warmtapwater_specifieke_warmtebehoefte_gebruiksfuncties,0)))*IF($F$6=EP,1,AM$44))</f>
        <v>0</v>
      </c>
      <c r="AN65" s="260">
        <f t="shared" si="89"/>
        <v>0</v>
      </c>
      <c r="AO65" s="260">
        <f t="shared" si="89"/>
        <v>0</v>
      </c>
      <c r="AP65" s="260">
        <f t="shared" si="89"/>
        <v>0</v>
      </c>
      <c r="AQ65" s="260">
        <f t="shared" si="89"/>
        <v>0</v>
      </c>
      <c r="AR65" s="260">
        <f t="shared" si="89"/>
        <v>0</v>
      </c>
      <c r="AS65" s="260">
        <f t="shared" si="89"/>
        <v>0</v>
      </c>
      <c r="AT65" s="260">
        <f t="shared" si="89"/>
        <v>0</v>
      </c>
      <c r="AU65" s="260">
        <f t="shared" si="89"/>
        <v>0</v>
      </c>
      <c r="AV65" s="126"/>
      <c r="AW65" s="261">
        <f t="shared" si="85"/>
        <v>0</v>
      </c>
      <c r="AX65" s="259"/>
      <c r="AY65" s="260">
        <f t="shared" ref="AY65:BG65" si="90">(1-AY$43)*IF(OR(AY$17="",AY$29=0),0,IF($F$6=EP,1,INDEX(factor_warmtapwaterbehoefte_MWA,MATCH(AY$19,gebruiksfuncties_namen_MWA_warmtapwater,0)))*
IF(OR(AY$19=woning,AY$19=woongebouw),IF(AY$29&gt;100,1.28+0.01*AY$29,MAX(1,2.28-1.28/70*(100-AY$29)))*856/AY$29,
INDEX(warmtapwater_specifieke_warmtebehoefte_waarden,MATCH(AY$19,warmtapwater_specifieke_warmtebehoefte_gebruiksfuncties,0)))*IF($F$6=EP,1,AY$44))</f>
        <v>0</v>
      </c>
      <c r="AZ65" s="260">
        <f t="shared" si="90"/>
        <v>0</v>
      </c>
      <c r="BA65" s="260">
        <f t="shared" si="90"/>
        <v>0</v>
      </c>
      <c r="BB65" s="260">
        <f t="shared" si="90"/>
        <v>0</v>
      </c>
      <c r="BC65" s="260">
        <f t="shared" si="90"/>
        <v>0</v>
      </c>
      <c r="BD65" s="260">
        <f t="shared" si="90"/>
        <v>0</v>
      </c>
      <c r="BE65" s="260">
        <f t="shared" si="90"/>
        <v>0</v>
      </c>
      <c r="BF65" s="260">
        <f t="shared" si="90"/>
        <v>0</v>
      </c>
      <c r="BG65" s="260">
        <f t="shared" si="90"/>
        <v>0</v>
      </c>
      <c r="BH65" s="210"/>
    </row>
    <row r="66" spans="1:60">
      <c r="A66" s="1041"/>
      <c r="B66" s="1109" t="s">
        <v>147</v>
      </c>
      <c r="C66" s="1107" t="s">
        <v>104</v>
      </c>
      <c r="D66" s="641" t="s">
        <v>45</v>
      </c>
      <c r="E66" s="295" t="str">
        <f>$R$10</f>
        <v>verlichting</v>
      </c>
      <c r="F66" s="296"/>
      <c r="G66" s="296"/>
      <c r="H66" s="295" t="s">
        <v>154</v>
      </c>
      <c r="I66" s="259"/>
      <c r="J66" s="261">
        <f t="shared" si="70"/>
        <v>0</v>
      </c>
      <c r="K66" s="126"/>
      <c r="L66" s="126"/>
      <c r="M66" s="261">
        <f t="shared" si="71"/>
        <v>0</v>
      </c>
      <c r="N66" s="259"/>
      <c r="O66" s="260">
        <f t="shared" ref="O66:W66" si="91">IF(OR(O$17="",AND(O$19&lt;&gt;woning,O$19&lt;&gt;woongebouw,O$46="")),0,
(INDEX(verlichting_parameters_a,MATCH(O$19,verlichting_parameters_gebruiksfuncties,0))+
INDEX(verlichting_parameters_b,MATCH(O$19,verlichting_parameters_gebruiksfuncties,0))*IF(O$45="",INDEX(verlichting_vermogen_forfaitair,MATCH(O$19,verlichting_parameters_gebruiksfuncties,0)),O$45))*
IF(OR(O$19=woning,O$19=woongebouw),1,INDEX(verlichtingsregeling_waarden,MATCH(O$46,verlichtingsregeling_kopregel,0))))</f>
        <v>0</v>
      </c>
      <c r="P66" s="260">
        <f t="shared" si="91"/>
        <v>0</v>
      </c>
      <c r="Q66" s="260">
        <f t="shared" si="91"/>
        <v>0</v>
      </c>
      <c r="R66" s="260">
        <f t="shared" si="91"/>
        <v>0</v>
      </c>
      <c r="S66" s="260">
        <f t="shared" si="91"/>
        <v>0</v>
      </c>
      <c r="T66" s="260">
        <f t="shared" si="91"/>
        <v>0</v>
      </c>
      <c r="U66" s="260">
        <f t="shared" si="91"/>
        <v>0</v>
      </c>
      <c r="V66" s="260">
        <f t="shared" si="91"/>
        <v>0</v>
      </c>
      <c r="W66" s="260">
        <f t="shared" si="91"/>
        <v>0</v>
      </c>
      <c r="X66" s="126"/>
      <c r="Y66" s="261">
        <f t="shared" si="81"/>
        <v>0</v>
      </c>
      <c r="Z66" s="259"/>
      <c r="AA66" s="260">
        <f t="shared" ref="AA66:AI66" si="92">IF(OR(AA$17="",AND(AA$19&lt;&gt;woning,AA$19&lt;&gt;woongebouw,AA$46="")),0,
(INDEX(verlichting_parameters_a,MATCH(AA$19,verlichting_parameters_gebruiksfuncties,0))+
INDEX(verlichting_parameters_b,MATCH(AA$19,verlichting_parameters_gebruiksfuncties,0))*IF(AA$45="",INDEX(verlichting_vermogen_forfaitair,MATCH(AA$19,verlichting_parameters_gebruiksfuncties,0)),AA$45))*
IF(OR(AA$19=woning,AA$19=woongebouw),1,INDEX(verlichtingsregeling_waarden,MATCH(AA$46,verlichtingsregeling_kopregel,0))))</f>
        <v>0</v>
      </c>
      <c r="AB66" s="260">
        <f t="shared" si="92"/>
        <v>0</v>
      </c>
      <c r="AC66" s="260">
        <f t="shared" si="92"/>
        <v>0</v>
      </c>
      <c r="AD66" s="260">
        <f t="shared" si="92"/>
        <v>0</v>
      </c>
      <c r="AE66" s="260">
        <f t="shared" si="92"/>
        <v>0</v>
      </c>
      <c r="AF66" s="260">
        <f t="shared" si="92"/>
        <v>0</v>
      </c>
      <c r="AG66" s="260">
        <f t="shared" si="92"/>
        <v>0</v>
      </c>
      <c r="AH66" s="260">
        <f t="shared" si="92"/>
        <v>0</v>
      </c>
      <c r="AI66" s="260">
        <f t="shared" si="92"/>
        <v>0</v>
      </c>
      <c r="AJ66" s="126"/>
      <c r="AK66" s="261">
        <f t="shared" si="83"/>
        <v>0</v>
      </c>
      <c r="AL66" s="259"/>
      <c r="AM66" s="260">
        <f t="shared" ref="AM66:AU66" si="93">IF(OR(AM$17="",AND(AM$19&lt;&gt;woning,AM$19&lt;&gt;woongebouw,AM$46="")),0,
(INDEX(verlichting_parameters_a,MATCH(AM$19,verlichting_parameters_gebruiksfuncties,0))+
INDEX(verlichting_parameters_b,MATCH(AM$19,verlichting_parameters_gebruiksfuncties,0))*IF(AM$45="",INDEX(verlichting_vermogen_forfaitair,MATCH(AM$19,verlichting_parameters_gebruiksfuncties,0)),AM$45))*
IF(OR(AM$19=woning,AM$19=woongebouw),1,INDEX(verlichtingsregeling_waarden,MATCH(AM$46,verlichtingsregeling_kopregel,0))))</f>
        <v>0</v>
      </c>
      <c r="AN66" s="260">
        <f t="shared" si="93"/>
        <v>0</v>
      </c>
      <c r="AO66" s="260">
        <f t="shared" si="93"/>
        <v>0</v>
      </c>
      <c r="AP66" s="260">
        <f t="shared" si="93"/>
        <v>0</v>
      </c>
      <c r="AQ66" s="260">
        <f t="shared" si="93"/>
        <v>0</v>
      </c>
      <c r="AR66" s="260">
        <f t="shared" si="93"/>
        <v>0</v>
      </c>
      <c r="AS66" s="260">
        <f t="shared" si="93"/>
        <v>0</v>
      </c>
      <c r="AT66" s="260">
        <f t="shared" si="93"/>
        <v>0</v>
      </c>
      <c r="AU66" s="260">
        <f t="shared" si="93"/>
        <v>0</v>
      </c>
      <c r="AV66" s="126"/>
      <c r="AW66" s="261">
        <f t="shared" si="85"/>
        <v>0</v>
      </c>
      <c r="AX66" s="259"/>
      <c r="AY66" s="260">
        <f t="shared" ref="AY66:BG66" si="94">IF(OR(AY$17="",AND(AY$19&lt;&gt;woning,AY$19&lt;&gt;woongebouw,AY$46="")),0,
(INDEX(verlichting_parameters_a,MATCH(AY$19,verlichting_parameters_gebruiksfuncties,0))+
INDEX(verlichting_parameters_b,MATCH(AY$19,verlichting_parameters_gebruiksfuncties,0))*IF(AY$45="",INDEX(verlichting_vermogen_forfaitair,MATCH(AY$19,verlichting_parameters_gebruiksfuncties,0)),AY$45))*
IF(OR(AY$19=woning,AY$19=woongebouw),1,INDEX(verlichtingsregeling_waarden,MATCH(AY$46,verlichtingsregeling_kopregel,0))))</f>
        <v>0</v>
      </c>
      <c r="AZ66" s="260">
        <f t="shared" si="94"/>
        <v>0</v>
      </c>
      <c r="BA66" s="260">
        <f t="shared" si="94"/>
        <v>0</v>
      </c>
      <c r="BB66" s="260">
        <f t="shared" si="94"/>
        <v>0</v>
      </c>
      <c r="BC66" s="260">
        <f t="shared" si="94"/>
        <v>0</v>
      </c>
      <c r="BD66" s="260">
        <f t="shared" si="94"/>
        <v>0</v>
      </c>
      <c r="BE66" s="260">
        <f t="shared" si="94"/>
        <v>0</v>
      </c>
      <c r="BF66" s="260">
        <f t="shared" si="94"/>
        <v>0</v>
      </c>
      <c r="BG66" s="260">
        <f t="shared" si="94"/>
        <v>0</v>
      </c>
      <c r="BH66" s="210"/>
    </row>
    <row r="67" spans="1:60">
      <c r="A67" s="1041"/>
      <c r="B67" s="1109" t="s">
        <v>147</v>
      </c>
      <c r="C67" s="1107" t="s">
        <v>104</v>
      </c>
      <c r="D67" s="641" t="s">
        <v>45</v>
      </c>
      <c r="E67" s="295" t="str">
        <f>$S$10</f>
        <v>ventilatoren</v>
      </c>
      <c r="F67" s="296"/>
      <c r="G67" s="296"/>
      <c r="H67" s="295" t="s">
        <v>154</v>
      </c>
      <c r="I67" s="259"/>
      <c r="J67" s="261">
        <f t="shared" si="70"/>
        <v>0</v>
      </c>
      <c r="K67" s="126"/>
      <c r="L67" s="126"/>
      <c r="M67" s="261">
        <f t="shared" si="71"/>
        <v>0</v>
      </c>
      <c r="N67" s="259"/>
      <c r="O67" s="260">
        <f t="shared" ref="O67:W67" si="95">IFERROR(IF(OR(O$17="",O$40=""),0,
IF(LEFT(INDEX(ventilatiesystemen_code,MATCH(O$40,ventilatiesystemen_namen,0)),1)="A",0,
IF(LEFT(INDEX(ventilatiesystemen_code,MATCH(O$40,ventilatiesystemen_namen,0)),1)="C",VLOOKUP(O$41,ventilatorenergie_ventilatiesysteem_B_C,MATCH(O$19,ventilatorenergie_ventilatiesysteem_B_C_kopregel,0),FALSE),
VLOOKUP(O$41,ventilatorenergie_ventilatiesysteem_D,MATCH(O$19,ventilatorenergie_ventilatiesysteem_D_kopregel,0),FALSE)  ))),0)</f>
        <v>0</v>
      </c>
      <c r="P67" s="260">
        <f t="shared" si="95"/>
        <v>0</v>
      </c>
      <c r="Q67" s="260">
        <f t="shared" si="95"/>
        <v>0</v>
      </c>
      <c r="R67" s="260">
        <f t="shared" si="95"/>
        <v>0</v>
      </c>
      <c r="S67" s="260">
        <f t="shared" si="95"/>
        <v>0</v>
      </c>
      <c r="T67" s="260">
        <f t="shared" si="95"/>
        <v>0</v>
      </c>
      <c r="U67" s="260">
        <f t="shared" si="95"/>
        <v>0</v>
      </c>
      <c r="V67" s="260">
        <f t="shared" si="95"/>
        <v>0</v>
      </c>
      <c r="W67" s="260">
        <f t="shared" si="95"/>
        <v>0</v>
      </c>
      <c r="X67" s="126"/>
      <c r="Y67" s="261">
        <f t="shared" si="81"/>
        <v>0</v>
      </c>
      <c r="Z67" s="259"/>
      <c r="AA67" s="260">
        <f t="shared" ref="AA67:AI67" si="96">IFERROR(IF(OR(AA$17="",AA$40=""),0,
IF(LEFT(INDEX(ventilatiesystemen_code,MATCH(AA$40,ventilatiesystemen_namen,0)),1)="A",0,
IF(LEFT(INDEX(ventilatiesystemen_code,MATCH(AA$40,ventilatiesystemen_namen,0)),1)="C",VLOOKUP(AA$41,ventilatorenergie_ventilatiesysteem_B_C,MATCH(AA$19,ventilatorenergie_ventilatiesysteem_B_C_kopregel,0),FALSE),
VLOOKUP(AA$41,ventilatorenergie_ventilatiesysteem_D,MATCH(AA$19,ventilatorenergie_ventilatiesysteem_D_kopregel,0),FALSE)  ))),0)</f>
        <v>0</v>
      </c>
      <c r="AB67" s="260">
        <f t="shared" si="96"/>
        <v>0</v>
      </c>
      <c r="AC67" s="260">
        <f t="shared" si="96"/>
        <v>0</v>
      </c>
      <c r="AD67" s="260">
        <f t="shared" si="96"/>
        <v>0</v>
      </c>
      <c r="AE67" s="260">
        <f t="shared" si="96"/>
        <v>0</v>
      </c>
      <c r="AF67" s="260">
        <f t="shared" si="96"/>
        <v>0</v>
      </c>
      <c r="AG67" s="260">
        <f t="shared" si="96"/>
        <v>0</v>
      </c>
      <c r="AH67" s="260">
        <f t="shared" si="96"/>
        <v>0</v>
      </c>
      <c r="AI67" s="260">
        <f t="shared" si="96"/>
        <v>0</v>
      </c>
      <c r="AJ67" s="126"/>
      <c r="AK67" s="261">
        <f t="shared" si="83"/>
        <v>0</v>
      </c>
      <c r="AL67" s="259"/>
      <c r="AM67" s="260">
        <f t="shared" ref="AM67:AU67" si="97">IFERROR(IF(OR(AM$17="",AM$40=""),0,
IF(LEFT(INDEX(ventilatiesystemen_code,MATCH(AM$40,ventilatiesystemen_namen,0)),1)="A",0,
IF(LEFT(INDEX(ventilatiesystemen_code,MATCH(AM$40,ventilatiesystemen_namen,0)),1)="C",VLOOKUP(AM$41,ventilatorenergie_ventilatiesysteem_B_C,MATCH(AM$19,ventilatorenergie_ventilatiesysteem_B_C_kopregel,0),FALSE),
VLOOKUP(AM$41,ventilatorenergie_ventilatiesysteem_D,MATCH(AM$19,ventilatorenergie_ventilatiesysteem_D_kopregel,0),FALSE)  ))),0)</f>
        <v>0</v>
      </c>
      <c r="AN67" s="260">
        <f t="shared" si="97"/>
        <v>0</v>
      </c>
      <c r="AO67" s="260">
        <f t="shared" si="97"/>
        <v>0</v>
      </c>
      <c r="AP67" s="260">
        <f t="shared" si="97"/>
        <v>0</v>
      </c>
      <c r="AQ67" s="260">
        <f t="shared" si="97"/>
        <v>0</v>
      </c>
      <c r="AR67" s="260">
        <f t="shared" si="97"/>
        <v>0</v>
      </c>
      <c r="AS67" s="260">
        <f t="shared" si="97"/>
        <v>0</v>
      </c>
      <c r="AT67" s="260">
        <f t="shared" si="97"/>
        <v>0</v>
      </c>
      <c r="AU67" s="260">
        <f t="shared" si="97"/>
        <v>0</v>
      </c>
      <c r="AV67" s="126"/>
      <c r="AW67" s="261">
        <f t="shared" si="85"/>
        <v>0</v>
      </c>
      <c r="AX67" s="259"/>
      <c r="AY67" s="260">
        <f t="shared" ref="AY67:BG67" si="98">IFERROR(IF(OR(AY$17="",AY$40=""),0,
IF(LEFT(INDEX(ventilatiesystemen_code,MATCH(AY$40,ventilatiesystemen_namen,0)),1)="A",0,
IF(LEFT(INDEX(ventilatiesystemen_code,MATCH(AY$40,ventilatiesystemen_namen,0)),1)="C",VLOOKUP(AY$41,ventilatorenergie_ventilatiesysteem_B_C,MATCH(AY$19,ventilatorenergie_ventilatiesysteem_B_C_kopregel,0),FALSE),
VLOOKUP(AY$41,ventilatorenergie_ventilatiesysteem_D,MATCH(AY$19,ventilatorenergie_ventilatiesysteem_D_kopregel,0),FALSE)  ))),0)</f>
        <v>0</v>
      </c>
      <c r="AZ67" s="260">
        <f t="shared" si="98"/>
        <v>0</v>
      </c>
      <c r="BA67" s="260">
        <f t="shared" si="98"/>
        <v>0</v>
      </c>
      <c r="BB67" s="260">
        <f t="shared" si="98"/>
        <v>0</v>
      </c>
      <c r="BC67" s="260">
        <f t="shared" si="98"/>
        <v>0</v>
      </c>
      <c r="BD67" s="260">
        <f t="shared" si="98"/>
        <v>0</v>
      </c>
      <c r="BE67" s="260">
        <f t="shared" si="98"/>
        <v>0</v>
      </c>
      <c r="BF67" s="260">
        <f t="shared" si="98"/>
        <v>0</v>
      </c>
      <c r="BG67" s="260">
        <f t="shared" si="98"/>
        <v>0</v>
      </c>
      <c r="BH67" s="210"/>
    </row>
    <row r="68" spans="1:60">
      <c r="A68" s="1041"/>
      <c r="B68" s="1109" t="s">
        <v>147</v>
      </c>
      <c r="C68" s="1107" t="s">
        <v>104</v>
      </c>
      <c r="D68" s="641" t="s">
        <v>45</v>
      </c>
      <c r="E68" s="413" t="str">
        <f>$T$10</f>
        <v>kookgas</v>
      </c>
      <c r="F68" s="296"/>
      <c r="G68" s="296"/>
      <c r="H68" s="295" t="s">
        <v>154</v>
      </c>
      <c r="I68" s="259"/>
      <c r="J68" s="261">
        <f t="shared" si="70"/>
        <v>0</v>
      </c>
      <c r="K68" s="126"/>
      <c r="L68" s="126"/>
      <c r="M68" s="261">
        <f t="shared" si="71"/>
        <v>0</v>
      </c>
      <c r="N68" s="259"/>
      <c r="O68" s="260">
        <f t="shared" ref="O68:W68" si="99">IF(OR(O$17="",O$29=0,O$47=elektriciteit,AND(O$19&lt;&gt;woning,O$19&lt;&gt;woongebouw)),0,koken_gas/O$29)</f>
        <v>0</v>
      </c>
      <c r="P68" s="260">
        <f t="shared" si="99"/>
        <v>0</v>
      </c>
      <c r="Q68" s="260">
        <f t="shared" si="99"/>
        <v>0</v>
      </c>
      <c r="R68" s="260">
        <f t="shared" si="99"/>
        <v>0</v>
      </c>
      <c r="S68" s="260">
        <f t="shared" si="99"/>
        <v>0</v>
      </c>
      <c r="T68" s="260">
        <f t="shared" si="99"/>
        <v>0</v>
      </c>
      <c r="U68" s="260">
        <f t="shared" si="99"/>
        <v>0</v>
      </c>
      <c r="V68" s="260">
        <f t="shared" si="99"/>
        <v>0</v>
      </c>
      <c r="W68" s="260">
        <f t="shared" si="99"/>
        <v>0</v>
      </c>
      <c r="X68" s="126"/>
      <c r="Y68" s="261">
        <f t="shared" si="81"/>
        <v>0</v>
      </c>
      <c r="Z68" s="259"/>
      <c r="AA68" s="260">
        <f t="shared" ref="AA68:AI68" si="100">IF(OR(AA$17="",AA$29=0,AA$47=elektriciteit,AND(AA$19&lt;&gt;woning,AA$19&lt;&gt;woongebouw)),0,koken_gas/AA$29)</f>
        <v>0</v>
      </c>
      <c r="AB68" s="260">
        <f t="shared" si="100"/>
        <v>0</v>
      </c>
      <c r="AC68" s="260">
        <f t="shared" si="100"/>
        <v>0</v>
      </c>
      <c r="AD68" s="260">
        <f t="shared" si="100"/>
        <v>0</v>
      </c>
      <c r="AE68" s="260">
        <f t="shared" si="100"/>
        <v>0</v>
      </c>
      <c r="AF68" s="260">
        <f t="shared" si="100"/>
        <v>0</v>
      </c>
      <c r="AG68" s="260">
        <f t="shared" si="100"/>
        <v>0</v>
      </c>
      <c r="AH68" s="260">
        <f t="shared" si="100"/>
        <v>0</v>
      </c>
      <c r="AI68" s="260">
        <f t="shared" si="100"/>
        <v>0</v>
      </c>
      <c r="AJ68" s="126"/>
      <c r="AK68" s="261">
        <f t="shared" si="83"/>
        <v>0</v>
      </c>
      <c r="AL68" s="259"/>
      <c r="AM68" s="260">
        <f t="shared" ref="AM68:AU68" si="101">IF(OR(AM$17="",AM$29=0,AM$47=elektriciteit,AND(AM$19&lt;&gt;woning,AM$19&lt;&gt;woongebouw)),0,koken_gas/AM$29)</f>
        <v>0</v>
      </c>
      <c r="AN68" s="260">
        <f t="shared" si="101"/>
        <v>0</v>
      </c>
      <c r="AO68" s="260">
        <f t="shared" si="101"/>
        <v>0</v>
      </c>
      <c r="AP68" s="260">
        <f t="shared" si="101"/>
        <v>0</v>
      </c>
      <c r="AQ68" s="260">
        <f t="shared" si="101"/>
        <v>0</v>
      </c>
      <c r="AR68" s="260">
        <f t="shared" si="101"/>
        <v>0</v>
      </c>
      <c r="AS68" s="260">
        <f t="shared" si="101"/>
        <v>0</v>
      </c>
      <c r="AT68" s="260">
        <f t="shared" si="101"/>
        <v>0</v>
      </c>
      <c r="AU68" s="260">
        <f t="shared" si="101"/>
        <v>0</v>
      </c>
      <c r="AV68" s="126"/>
      <c r="AW68" s="261">
        <f t="shared" si="85"/>
        <v>0</v>
      </c>
      <c r="AX68" s="259"/>
      <c r="AY68" s="260">
        <f t="shared" ref="AY68:BG68" si="102">IF(OR(AY$17="",AY$29=0,AY$47=elektriciteit,AND(AY$19&lt;&gt;woning,AY$19&lt;&gt;woongebouw)),0,koken_gas/AY$29)</f>
        <v>0</v>
      </c>
      <c r="AZ68" s="260">
        <f t="shared" si="102"/>
        <v>0</v>
      </c>
      <c r="BA68" s="260">
        <f t="shared" si="102"/>
        <v>0</v>
      </c>
      <c r="BB68" s="260">
        <f t="shared" si="102"/>
        <v>0</v>
      </c>
      <c r="BC68" s="260">
        <f t="shared" si="102"/>
        <v>0</v>
      </c>
      <c r="BD68" s="260">
        <f t="shared" si="102"/>
        <v>0</v>
      </c>
      <c r="BE68" s="260">
        <f t="shared" si="102"/>
        <v>0</v>
      </c>
      <c r="BF68" s="260">
        <f t="shared" si="102"/>
        <v>0</v>
      </c>
      <c r="BG68" s="260">
        <f t="shared" si="102"/>
        <v>0</v>
      </c>
      <c r="BH68" s="210"/>
    </row>
    <row r="69" spans="1:60">
      <c r="A69" s="1041"/>
      <c r="B69" s="1109" t="s">
        <v>147</v>
      </c>
      <c r="C69" s="1107" t="s">
        <v>104</v>
      </c>
      <c r="D69" s="641" t="s">
        <v>45</v>
      </c>
      <c r="E69" s="295" t="str">
        <f>$U$10</f>
        <v>overig elektra</v>
      </c>
      <c r="F69" s="296"/>
      <c r="G69" s="296"/>
      <c r="H69" s="295" t="s">
        <v>154</v>
      </c>
      <c r="I69" s="259"/>
      <c r="J69" s="261">
        <f t="shared" si="70"/>
        <v>0</v>
      </c>
      <c r="K69" s="126"/>
      <c r="L69" s="126"/>
      <c r="M69" s="261">
        <f t="shared" si="71"/>
        <v>0</v>
      </c>
      <c r="N69" s="259"/>
      <c r="O69" s="260">
        <f t="shared" ref="O69:W69" si="103">IF(O$17="",0,
IF(OR(O$19=woning,O$19=woongebouw),(1-O$48)*niet_gebouwgebonden_elektriciteitgebruik_woningen_per_m2+IF(O$47=elektriciteit,koken_elektriciteit/O$29,0),
(1-O$48)*INDEX(specifiek_niet_gebouwgebonden_elektriciteitsgebruik_waarden,MATCH(O$19,specifiek_niet_gebouwgebonden_elektriciteitsgebruik_gebruiksfuncties,0))))</f>
        <v>0</v>
      </c>
      <c r="P69" s="260">
        <f t="shared" si="103"/>
        <v>0</v>
      </c>
      <c r="Q69" s="260">
        <f t="shared" si="103"/>
        <v>0</v>
      </c>
      <c r="R69" s="260">
        <f t="shared" si="103"/>
        <v>0</v>
      </c>
      <c r="S69" s="260">
        <f t="shared" si="103"/>
        <v>0</v>
      </c>
      <c r="T69" s="260">
        <f t="shared" si="103"/>
        <v>0</v>
      </c>
      <c r="U69" s="260">
        <f t="shared" si="103"/>
        <v>0</v>
      </c>
      <c r="V69" s="260">
        <f t="shared" si="103"/>
        <v>0</v>
      </c>
      <c r="W69" s="260">
        <f t="shared" si="103"/>
        <v>0</v>
      </c>
      <c r="X69" s="126"/>
      <c r="Y69" s="261">
        <f t="shared" si="81"/>
        <v>0</v>
      </c>
      <c r="Z69" s="259"/>
      <c r="AA69" s="260">
        <f t="shared" ref="AA69:AI69" si="104">IF(AA$17="",0,
IF(OR(AA$19=woning,AA$19=woongebouw),(1-AA$48)*niet_gebouwgebonden_elektriciteitgebruik_woningen_per_m2+IF(AA$47=elektriciteit,koken_elektriciteit/AA$29,0),
(1-AA$48)*INDEX(specifiek_niet_gebouwgebonden_elektriciteitsgebruik_waarden,MATCH(AA$19,specifiek_niet_gebouwgebonden_elektriciteitsgebruik_gebruiksfuncties,0))))</f>
        <v>0</v>
      </c>
      <c r="AB69" s="260">
        <f t="shared" si="104"/>
        <v>0</v>
      </c>
      <c r="AC69" s="260">
        <f t="shared" si="104"/>
        <v>0</v>
      </c>
      <c r="AD69" s="260">
        <f t="shared" si="104"/>
        <v>0</v>
      </c>
      <c r="AE69" s="260">
        <f t="shared" si="104"/>
        <v>0</v>
      </c>
      <c r="AF69" s="260">
        <f t="shared" si="104"/>
        <v>0</v>
      </c>
      <c r="AG69" s="260">
        <f t="shared" si="104"/>
        <v>0</v>
      </c>
      <c r="AH69" s="260">
        <f t="shared" si="104"/>
        <v>0</v>
      </c>
      <c r="AI69" s="260">
        <f t="shared" si="104"/>
        <v>0</v>
      </c>
      <c r="AJ69" s="126"/>
      <c r="AK69" s="261">
        <f t="shared" si="83"/>
        <v>0</v>
      </c>
      <c r="AL69" s="259"/>
      <c r="AM69" s="260">
        <f t="shared" ref="AM69:AU69" si="105">IF(AM$17="",0,
IF(OR(AM$19=woning,AM$19=woongebouw),(1-AM$48)*niet_gebouwgebonden_elektriciteitgebruik_woningen_per_m2+IF(AM$47=elektriciteit,koken_elektriciteit/AM$29,0),
(1-AM$48)*INDEX(specifiek_niet_gebouwgebonden_elektriciteitsgebruik_waarden,MATCH(AM$19,specifiek_niet_gebouwgebonden_elektriciteitsgebruik_gebruiksfuncties,0))))</f>
        <v>0</v>
      </c>
      <c r="AN69" s="260">
        <f t="shared" si="105"/>
        <v>0</v>
      </c>
      <c r="AO69" s="260">
        <f t="shared" si="105"/>
        <v>0</v>
      </c>
      <c r="AP69" s="260">
        <f t="shared" si="105"/>
        <v>0</v>
      </c>
      <c r="AQ69" s="260">
        <f t="shared" si="105"/>
        <v>0</v>
      </c>
      <c r="AR69" s="260">
        <f t="shared" si="105"/>
        <v>0</v>
      </c>
      <c r="AS69" s="260">
        <f t="shared" si="105"/>
        <v>0</v>
      </c>
      <c r="AT69" s="260">
        <f t="shared" si="105"/>
        <v>0</v>
      </c>
      <c r="AU69" s="260">
        <f t="shared" si="105"/>
        <v>0</v>
      </c>
      <c r="AV69" s="126"/>
      <c r="AW69" s="261">
        <f t="shared" si="85"/>
        <v>0</v>
      </c>
      <c r="AX69" s="259"/>
      <c r="AY69" s="260">
        <f t="shared" ref="AY69:BG69" si="106">IF(AY$17="",0,
IF(OR(AY$19=woning,AY$19=woongebouw),(1-AY$48)*niet_gebouwgebonden_elektriciteitgebruik_woningen_per_m2+IF(AY$47=elektriciteit,koken_elektriciteit/AY$29,0),
(1-AY$48)*INDEX(specifiek_niet_gebouwgebonden_elektriciteitsgebruik_waarden,MATCH(AY$19,specifiek_niet_gebouwgebonden_elektriciteitsgebruik_gebruiksfuncties,0))))</f>
        <v>0</v>
      </c>
      <c r="AZ69" s="260">
        <f t="shared" si="106"/>
        <v>0</v>
      </c>
      <c r="BA69" s="260">
        <f t="shared" si="106"/>
        <v>0</v>
      </c>
      <c r="BB69" s="260">
        <f t="shared" si="106"/>
        <v>0</v>
      </c>
      <c r="BC69" s="260">
        <f t="shared" si="106"/>
        <v>0</v>
      </c>
      <c r="BD69" s="260">
        <f t="shared" si="106"/>
        <v>0</v>
      </c>
      <c r="BE69" s="260">
        <f t="shared" si="106"/>
        <v>0</v>
      </c>
      <c r="BF69" s="260">
        <f t="shared" si="106"/>
        <v>0</v>
      </c>
      <c r="BG69" s="260">
        <f t="shared" si="106"/>
        <v>0</v>
      </c>
      <c r="BH69" s="210"/>
    </row>
    <row r="70" spans="1:60">
      <c r="A70" s="1041"/>
      <c r="B70" s="1109" t="s">
        <v>147</v>
      </c>
      <c r="C70" s="1106" t="s">
        <v>96</v>
      </c>
      <c r="D70" s="641"/>
      <c r="E70" s="942" t="s">
        <v>155</v>
      </c>
      <c r="F70" s="942"/>
      <c r="G70" s="942"/>
      <c r="H70" s="942"/>
      <c r="I70" s="129"/>
      <c r="J70" s="943"/>
      <c r="K70" s="126"/>
      <c r="L70" s="126"/>
      <c r="M70" s="944"/>
      <c r="N70" s="145"/>
      <c r="O70" s="258" t="str">
        <f>O$17</f>
        <v/>
      </c>
      <c r="P70" s="258" t="str">
        <f t="shared" ref="P70:W70" si="107">P$17</f>
        <v/>
      </c>
      <c r="Q70" s="258" t="str">
        <f t="shared" si="107"/>
        <v/>
      </c>
      <c r="R70" s="258" t="str">
        <f t="shared" si="107"/>
        <v/>
      </c>
      <c r="S70" s="258" t="str">
        <f t="shared" si="107"/>
        <v/>
      </c>
      <c r="T70" s="258" t="str">
        <f t="shared" si="107"/>
        <v/>
      </c>
      <c r="U70" s="258" t="str">
        <f t="shared" si="107"/>
        <v/>
      </c>
      <c r="V70" s="258" t="str">
        <f t="shared" si="107"/>
        <v/>
      </c>
      <c r="W70" s="258" t="str">
        <f t="shared" si="107"/>
        <v/>
      </c>
      <c r="X70" s="146"/>
      <c r="Y70" s="944"/>
      <c r="Z70" s="145"/>
      <c r="AA70" s="258" t="str">
        <f>AA$17</f>
        <v/>
      </c>
      <c r="AB70" s="258" t="str">
        <f t="shared" ref="AB70:AI70" si="108">AB$17</f>
        <v/>
      </c>
      <c r="AC70" s="258" t="str">
        <f t="shared" si="108"/>
        <v/>
      </c>
      <c r="AD70" s="258" t="str">
        <f t="shared" si="108"/>
        <v/>
      </c>
      <c r="AE70" s="258" t="str">
        <f t="shared" si="108"/>
        <v/>
      </c>
      <c r="AF70" s="258" t="str">
        <f t="shared" si="108"/>
        <v/>
      </c>
      <c r="AG70" s="258" t="str">
        <f t="shared" si="108"/>
        <v/>
      </c>
      <c r="AH70" s="258" t="str">
        <f t="shared" si="108"/>
        <v/>
      </c>
      <c r="AI70" s="258" t="str">
        <f t="shared" si="108"/>
        <v/>
      </c>
      <c r="AJ70" s="146"/>
      <c r="AK70" s="944"/>
      <c r="AL70" s="145"/>
      <c r="AM70" s="258" t="str">
        <f>AM$17</f>
        <v/>
      </c>
      <c r="AN70" s="258" t="str">
        <f t="shared" ref="AN70:AU70" si="109">AN$17</f>
        <v/>
      </c>
      <c r="AO70" s="258" t="str">
        <f t="shared" si="109"/>
        <v/>
      </c>
      <c r="AP70" s="258" t="str">
        <f t="shared" si="109"/>
        <v/>
      </c>
      <c r="AQ70" s="258" t="str">
        <f t="shared" si="109"/>
        <v/>
      </c>
      <c r="AR70" s="258" t="str">
        <f t="shared" si="109"/>
        <v/>
      </c>
      <c r="AS70" s="258" t="str">
        <f t="shared" si="109"/>
        <v/>
      </c>
      <c r="AT70" s="258" t="str">
        <f t="shared" si="109"/>
        <v/>
      </c>
      <c r="AU70" s="258" t="str">
        <f t="shared" si="109"/>
        <v/>
      </c>
      <c r="AV70" s="146"/>
      <c r="AW70" s="944"/>
      <c r="AX70" s="145"/>
      <c r="AY70" s="258" t="str">
        <f>AY$17</f>
        <v/>
      </c>
      <c r="AZ70" s="258" t="str">
        <f t="shared" ref="AZ70:BG70" si="110">AZ$17</f>
        <v/>
      </c>
      <c r="BA70" s="258" t="str">
        <f t="shared" si="110"/>
        <v/>
      </c>
      <c r="BB70" s="258" t="str">
        <f t="shared" si="110"/>
        <v/>
      </c>
      <c r="BC70" s="258" t="str">
        <f t="shared" si="110"/>
        <v/>
      </c>
      <c r="BD70" s="258" t="str">
        <f t="shared" si="110"/>
        <v/>
      </c>
      <c r="BE70" s="258" t="str">
        <f t="shared" si="110"/>
        <v/>
      </c>
      <c r="BF70" s="258" t="str">
        <f t="shared" si="110"/>
        <v/>
      </c>
      <c r="BG70" s="258" t="str">
        <f t="shared" si="110"/>
        <v/>
      </c>
      <c r="BH70" s="218"/>
    </row>
    <row r="71" spans="1:60">
      <c r="A71" s="1041"/>
      <c r="B71" s="1109" t="s">
        <v>147</v>
      </c>
      <c r="C71" s="1107" t="s">
        <v>118</v>
      </c>
      <c r="D71" s="641" t="s">
        <v>45</v>
      </c>
      <c r="E71" s="295" t="str">
        <f>$V$10</f>
        <v>mobiliteit</v>
      </c>
      <c r="F71" s="296"/>
      <c r="G71" s="296"/>
      <c r="H71" s="295" t="s">
        <v>156</v>
      </c>
      <c r="I71" s="259"/>
      <c r="J71" s="261">
        <f>M71+Y71+AK71+AW71</f>
        <v>0</v>
      </c>
      <c r="K71" s="126"/>
      <c r="L71" s="126"/>
      <c r="M71" s="261">
        <f>SUMPRODUCT(N$22:X$22,N71:X71)/1000</f>
        <v>0</v>
      </c>
      <c r="N71" s="259"/>
      <c r="O71" s="381"/>
      <c r="P71" s="381"/>
      <c r="Q71" s="381"/>
      <c r="R71" s="381"/>
      <c r="S71" s="381"/>
      <c r="T71" s="381"/>
      <c r="U71" s="381"/>
      <c r="V71" s="381"/>
      <c r="W71" s="381"/>
      <c r="X71" s="126"/>
      <c r="Y71" s="261">
        <f>SUMPRODUCT(Z$22:AJ$22,Z71:AJ71)/1000</f>
        <v>0</v>
      </c>
      <c r="Z71" s="259"/>
      <c r="AA71" s="381"/>
      <c r="AB71" s="381"/>
      <c r="AC71" s="381"/>
      <c r="AD71" s="381"/>
      <c r="AE71" s="381"/>
      <c r="AF71" s="381"/>
      <c r="AG71" s="381"/>
      <c r="AH71" s="381"/>
      <c r="AI71" s="381"/>
      <c r="AJ71" s="126"/>
      <c r="AK71" s="261">
        <f>SUMPRODUCT(AL$22:AV$22,AL71:AV71)/1000</f>
        <v>0</v>
      </c>
      <c r="AL71" s="259"/>
      <c r="AM71" s="381"/>
      <c r="AN71" s="381"/>
      <c r="AO71" s="381"/>
      <c r="AP71" s="381"/>
      <c r="AQ71" s="381"/>
      <c r="AR71" s="381"/>
      <c r="AS71" s="381"/>
      <c r="AT71" s="381"/>
      <c r="AU71" s="381"/>
      <c r="AV71" s="126"/>
      <c r="AW71" s="261">
        <f>SUMPRODUCT(AX$22:BH$22,AX71:BH71)/1000</f>
        <v>0</v>
      </c>
      <c r="AX71" s="259"/>
      <c r="AY71" s="381"/>
      <c r="AZ71" s="381"/>
      <c r="BA71" s="381"/>
      <c r="BB71" s="381"/>
      <c r="BC71" s="381"/>
      <c r="BD71" s="381"/>
      <c r="BE71" s="381"/>
      <c r="BF71" s="381"/>
      <c r="BG71" s="381"/>
      <c r="BH71" s="210"/>
    </row>
    <row r="72" spans="1:60">
      <c r="A72" s="1040"/>
      <c r="B72" s="1109" t="s">
        <v>147</v>
      </c>
      <c r="C72" s="1106" t="s">
        <v>96</v>
      </c>
      <c r="D72" s="641"/>
      <c r="E72" s="942" t="s">
        <v>157</v>
      </c>
      <c r="F72" s="942"/>
      <c r="G72" s="942"/>
      <c r="H72" s="942"/>
      <c r="I72" s="129"/>
      <c r="J72" s="943"/>
      <c r="K72" s="126"/>
      <c r="L72" s="126"/>
      <c r="M72" s="944"/>
      <c r="N72" s="145"/>
      <c r="O72" s="258" t="str">
        <f>O$17</f>
        <v/>
      </c>
      <c r="P72" s="258" t="str">
        <f t="shared" ref="P72:W72" si="111">P$17</f>
        <v/>
      </c>
      <c r="Q72" s="258" t="str">
        <f t="shared" si="111"/>
        <v/>
      </c>
      <c r="R72" s="258" t="str">
        <f t="shared" si="111"/>
        <v/>
      </c>
      <c r="S72" s="258" t="str">
        <f t="shared" si="111"/>
        <v/>
      </c>
      <c r="T72" s="258" t="str">
        <f t="shared" si="111"/>
        <v/>
      </c>
      <c r="U72" s="258" t="str">
        <f t="shared" si="111"/>
        <v/>
      </c>
      <c r="V72" s="258" t="str">
        <f t="shared" si="111"/>
        <v/>
      </c>
      <c r="W72" s="258" t="str">
        <f t="shared" si="111"/>
        <v/>
      </c>
      <c r="X72" s="146"/>
      <c r="Y72" s="944"/>
      <c r="Z72" s="145"/>
      <c r="AA72" s="258" t="str">
        <f>AA$17</f>
        <v/>
      </c>
      <c r="AB72" s="258" t="str">
        <f t="shared" ref="AB72:AI72" si="112">AB$17</f>
        <v/>
      </c>
      <c r="AC72" s="258" t="str">
        <f t="shared" si="112"/>
        <v/>
      </c>
      <c r="AD72" s="258" t="str">
        <f t="shared" si="112"/>
        <v/>
      </c>
      <c r="AE72" s="258" t="str">
        <f t="shared" si="112"/>
        <v/>
      </c>
      <c r="AF72" s="258" t="str">
        <f t="shared" si="112"/>
        <v/>
      </c>
      <c r="AG72" s="258" t="str">
        <f t="shared" si="112"/>
        <v/>
      </c>
      <c r="AH72" s="258" t="str">
        <f t="shared" si="112"/>
        <v/>
      </c>
      <c r="AI72" s="258" t="str">
        <f t="shared" si="112"/>
        <v/>
      </c>
      <c r="AJ72" s="146"/>
      <c r="AK72" s="944"/>
      <c r="AL72" s="145"/>
      <c r="AM72" s="258" t="str">
        <f>AM$17</f>
        <v/>
      </c>
      <c r="AN72" s="258" t="str">
        <f t="shared" ref="AN72:AU72" si="113">AN$17</f>
        <v/>
      </c>
      <c r="AO72" s="258" t="str">
        <f t="shared" si="113"/>
        <v/>
      </c>
      <c r="AP72" s="258" t="str">
        <f t="shared" si="113"/>
        <v/>
      </c>
      <c r="AQ72" s="258" t="str">
        <f t="shared" si="113"/>
        <v/>
      </c>
      <c r="AR72" s="258" t="str">
        <f t="shared" si="113"/>
        <v/>
      </c>
      <c r="AS72" s="258" t="str">
        <f t="shared" si="113"/>
        <v/>
      </c>
      <c r="AT72" s="258" t="str">
        <f t="shared" si="113"/>
        <v/>
      </c>
      <c r="AU72" s="258" t="str">
        <f t="shared" si="113"/>
        <v/>
      </c>
      <c r="AV72" s="146"/>
      <c r="AW72" s="944"/>
      <c r="AX72" s="145"/>
      <c r="AY72" s="258" t="str">
        <f>AY$17</f>
        <v/>
      </c>
      <c r="AZ72" s="258" t="str">
        <f t="shared" ref="AZ72:BG72" si="114">AZ$17</f>
        <v/>
      </c>
      <c r="BA72" s="258" t="str">
        <f t="shared" si="114"/>
        <v/>
      </c>
      <c r="BB72" s="258" t="str">
        <f t="shared" si="114"/>
        <v/>
      </c>
      <c r="BC72" s="258" t="str">
        <f t="shared" si="114"/>
        <v/>
      </c>
      <c r="BD72" s="258" t="str">
        <f t="shared" si="114"/>
        <v/>
      </c>
      <c r="BE72" s="258" t="str">
        <f t="shared" si="114"/>
        <v/>
      </c>
      <c r="BF72" s="258" t="str">
        <f t="shared" si="114"/>
        <v/>
      </c>
      <c r="BG72" s="258" t="str">
        <f t="shared" si="114"/>
        <v/>
      </c>
      <c r="BH72" s="218"/>
    </row>
    <row r="73" spans="1:60">
      <c r="A73" s="1040"/>
      <c r="B73" s="1109" t="s">
        <v>147</v>
      </c>
      <c r="C73" s="1107" t="s">
        <v>118</v>
      </c>
      <c r="D73" s="641" t="s">
        <v>45</v>
      </c>
      <c r="E73" s="295" t="s">
        <v>1367</v>
      </c>
      <c r="F73" s="296"/>
      <c r="G73" s="296"/>
      <c r="H73" s="295" t="s">
        <v>156</v>
      </c>
      <c r="I73" s="259"/>
      <c r="J73" s="261">
        <f>M73+Y73+AK73+AW73</f>
        <v>0</v>
      </c>
      <c r="K73" s="126"/>
      <c r="L73" s="126"/>
      <c r="M73" s="261">
        <f>SUMPRODUCT(N$22:X$22,N73:X73)/1000</f>
        <v>0</v>
      </c>
      <c r="N73" s="259"/>
      <c r="O73" s="381"/>
      <c r="P73" s="381"/>
      <c r="Q73" s="381"/>
      <c r="R73" s="381"/>
      <c r="S73" s="381"/>
      <c r="T73" s="381"/>
      <c r="U73" s="381"/>
      <c r="V73" s="381"/>
      <c r="W73" s="381"/>
      <c r="X73" s="126"/>
      <c r="Y73" s="261">
        <f>SUMPRODUCT(Z$22:AJ$22,Z73:AJ73)/1000</f>
        <v>0</v>
      </c>
      <c r="Z73" s="259"/>
      <c r="AA73" s="381"/>
      <c r="AB73" s="381"/>
      <c r="AC73" s="381"/>
      <c r="AD73" s="381"/>
      <c r="AE73" s="381"/>
      <c r="AF73" s="381"/>
      <c r="AG73" s="381"/>
      <c r="AH73" s="381"/>
      <c r="AI73" s="381"/>
      <c r="AJ73" s="126"/>
      <c r="AK73" s="261">
        <f>SUMPRODUCT(AL$22:AV$22,AL73:AV73)/1000</f>
        <v>0</v>
      </c>
      <c r="AL73" s="259"/>
      <c r="AM73" s="381"/>
      <c r="AN73" s="381"/>
      <c r="AO73" s="381"/>
      <c r="AP73" s="381"/>
      <c r="AQ73" s="381"/>
      <c r="AR73" s="381"/>
      <c r="AS73" s="381"/>
      <c r="AT73" s="381"/>
      <c r="AU73" s="381"/>
      <c r="AV73" s="126"/>
      <c r="AW73" s="261">
        <f>SUMPRODUCT(AX$22:BH$22,AX73:BH73)/1000</f>
        <v>0</v>
      </c>
      <c r="AX73" s="259"/>
      <c r="AY73" s="381"/>
      <c r="AZ73" s="381"/>
      <c r="BA73" s="381"/>
      <c r="BB73" s="381"/>
      <c r="BC73" s="381"/>
      <c r="BD73" s="381"/>
      <c r="BE73" s="381"/>
      <c r="BF73" s="381"/>
      <c r="BG73" s="381"/>
      <c r="BH73" s="210"/>
    </row>
    <row r="74" spans="1:60">
      <c r="A74" s="1040"/>
      <c r="B74" s="1109" t="s">
        <v>147</v>
      </c>
      <c r="C74" s="1107" t="s">
        <v>118</v>
      </c>
      <c r="D74" s="638"/>
      <c r="E74" s="79"/>
      <c r="F74" s="79"/>
      <c r="G74" s="79"/>
      <c r="H74" s="85"/>
      <c r="I74" s="79"/>
      <c r="J74" s="82"/>
      <c r="K74" s="79"/>
      <c r="L74" s="79"/>
      <c r="M74" s="82"/>
      <c r="N74" s="79"/>
      <c r="O74" s="82"/>
      <c r="P74" s="82"/>
      <c r="Q74" s="105"/>
      <c r="R74" s="105"/>
      <c r="S74" s="105"/>
      <c r="T74" s="105"/>
      <c r="U74" s="105"/>
      <c r="V74" s="105"/>
      <c r="W74" s="105"/>
      <c r="X74" s="82"/>
      <c r="Y74" s="82"/>
      <c r="Z74" s="79"/>
      <c r="AA74" s="105"/>
      <c r="AB74" s="82"/>
      <c r="AC74" s="105"/>
      <c r="AD74" s="105"/>
      <c r="AE74" s="105"/>
      <c r="AF74" s="105"/>
      <c r="AG74" s="105"/>
      <c r="AH74" s="105"/>
      <c r="AI74" s="105"/>
      <c r="AJ74" s="82"/>
      <c r="AK74" s="82"/>
      <c r="AL74" s="79"/>
      <c r="AM74" s="105"/>
      <c r="AN74" s="82"/>
      <c r="AO74" s="105"/>
      <c r="AP74" s="105"/>
      <c r="AQ74" s="105"/>
      <c r="AR74" s="105"/>
      <c r="AS74" s="105"/>
      <c r="AT74" s="105"/>
      <c r="AU74" s="105"/>
      <c r="AV74" s="82"/>
      <c r="AW74" s="82"/>
      <c r="AX74" s="79"/>
      <c r="AY74" s="82"/>
      <c r="AZ74" s="82"/>
      <c r="BA74" s="82"/>
      <c r="BB74" s="82"/>
      <c r="BC74" s="82"/>
      <c r="BD74" s="82"/>
      <c r="BE74" s="82"/>
      <c r="BF74" s="82"/>
      <c r="BG74" s="82"/>
      <c r="BH74" s="1"/>
    </row>
    <row r="75" spans="1:60">
      <c r="A75" s="1040"/>
      <c r="B75" s="1109" t="s">
        <v>147</v>
      </c>
      <c r="C75" s="1107" t="s">
        <v>96</v>
      </c>
      <c r="D75" s="638"/>
      <c r="E75" s="79"/>
      <c r="F75" s="79"/>
      <c r="G75" s="79"/>
      <c r="H75" s="85"/>
      <c r="I75" s="79"/>
      <c r="J75" s="82"/>
      <c r="K75" s="79"/>
      <c r="L75" s="79"/>
      <c r="M75" s="82"/>
      <c r="N75" s="79"/>
      <c r="O75" s="105"/>
      <c r="P75" s="82"/>
      <c r="Q75" s="105"/>
      <c r="R75" s="105"/>
      <c r="S75" s="105"/>
      <c r="T75" s="105"/>
      <c r="U75" s="105"/>
      <c r="V75" s="105"/>
      <c r="W75" s="105"/>
      <c r="X75" s="82"/>
      <c r="Y75" s="82"/>
      <c r="Z75" s="79"/>
      <c r="AA75" s="105"/>
      <c r="AB75" s="82"/>
      <c r="AC75" s="105"/>
      <c r="AD75" s="105"/>
      <c r="AE75" s="105"/>
      <c r="AF75" s="105"/>
      <c r="AG75" s="105"/>
      <c r="AH75" s="105"/>
      <c r="AI75" s="105"/>
      <c r="AJ75" s="82"/>
      <c r="AK75" s="82"/>
      <c r="AL75" s="79"/>
      <c r="AM75" s="105"/>
      <c r="AN75" s="82"/>
      <c r="AO75" s="105"/>
      <c r="AP75" s="105"/>
      <c r="AQ75" s="105"/>
      <c r="AR75" s="105"/>
      <c r="AS75" s="105"/>
      <c r="AT75" s="105"/>
      <c r="AU75" s="105"/>
      <c r="AV75" s="82"/>
      <c r="AW75" s="82"/>
      <c r="AX75" s="79"/>
      <c r="AY75" s="82"/>
      <c r="AZ75" s="82"/>
      <c r="BA75" s="82"/>
      <c r="BB75" s="82"/>
      <c r="BC75" s="82"/>
      <c r="BD75" s="82"/>
      <c r="BE75" s="82"/>
      <c r="BF75" s="82"/>
      <c r="BG75" s="82"/>
      <c r="BH75" s="1"/>
    </row>
    <row r="76" spans="1:60" ht="21">
      <c r="A76" s="1040"/>
      <c r="B76" s="1109" t="s">
        <v>147</v>
      </c>
      <c r="C76" s="1106" t="s">
        <v>96</v>
      </c>
      <c r="D76" s="643"/>
      <c r="E76" s="199" t="s">
        <v>1168</v>
      </c>
      <c r="F76" s="199"/>
      <c r="G76" s="199"/>
      <c r="H76" s="199"/>
      <c r="I76" s="77"/>
      <c r="J76" s="200" t="str">
        <f>J$10</f>
        <v>alle locaties</v>
      </c>
      <c r="K76" s="126"/>
      <c r="L76" s="126"/>
      <c r="M76" s="200" t="str">
        <f>M$10</f>
        <v>locatie 1</v>
      </c>
      <c r="N76" s="182"/>
      <c r="O76" s="966" t="str">
        <f>$E76&amp;" per energiepost"</f>
        <v>energiebehoefte per energiepost</v>
      </c>
      <c r="P76" s="941"/>
      <c r="Q76" s="941"/>
      <c r="R76" s="941"/>
      <c r="S76" s="941"/>
      <c r="T76" s="941"/>
      <c r="U76" s="941"/>
      <c r="V76" s="941"/>
      <c r="W76" s="956"/>
      <c r="X76" s="174"/>
      <c r="Y76" s="176" t="str">
        <f>Y$10&amp;" MWh"</f>
        <v>locatie 2 MWh</v>
      </c>
      <c r="Z76" s="182"/>
      <c r="AA76" s="177" t="str">
        <f t="shared" ref="AA76:AI76" si="115">AA$10</f>
        <v>verwarming</v>
      </c>
      <c r="AB76" s="177" t="str">
        <f t="shared" si="115"/>
        <v>koeling</v>
      </c>
      <c r="AC76" s="177" t="str">
        <f t="shared" si="115"/>
        <v>tapwater</v>
      </c>
      <c r="AD76" s="177" t="str">
        <f t="shared" si="115"/>
        <v>verlichting</v>
      </c>
      <c r="AE76" s="177" t="str">
        <f t="shared" si="115"/>
        <v>ventilatoren</v>
      </c>
      <c r="AF76" s="177" t="str">
        <f t="shared" si="115"/>
        <v>kookgas</v>
      </c>
      <c r="AG76" s="177" t="str">
        <f t="shared" si="115"/>
        <v>overig elektra</v>
      </c>
      <c r="AH76" s="177" t="str">
        <f t="shared" si="115"/>
        <v>mobiliteit</v>
      </c>
      <c r="AI76" s="177" t="str">
        <f t="shared" si="115"/>
        <v>zonnepanelen</v>
      </c>
      <c r="AJ76" s="174"/>
      <c r="AK76" s="176" t="str">
        <f>AK$10&amp;" MWh"</f>
        <v>locatie 3 MWh</v>
      </c>
      <c r="AL76" s="182"/>
      <c r="AM76" s="177" t="str">
        <f>AM$10</f>
        <v>verwarming</v>
      </c>
      <c r="AN76" s="177" t="str">
        <f t="shared" ref="AN76:AU76" si="116">AN$10</f>
        <v>koeling</v>
      </c>
      <c r="AO76" s="177" t="str">
        <f t="shared" si="116"/>
        <v>tapwater</v>
      </c>
      <c r="AP76" s="177" t="str">
        <f t="shared" si="116"/>
        <v>verlichting</v>
      </c>
      <c r="AQ76" s="177" t="str">
        <f t="shared" si="116"/>
        <v>ventilatoren</v>
      </c>
      <c r="AR76" s="177" t="str">
        <f t="shared" si="116"/>
        <v>kookgas</v>
      </c>
      <c r="AS76" s="177" t="str">
        <f t="shared" si="116"/>
        <v>overig elektra</v>
      </c>
      <c r="AT76" s="177" t="str">
        <f t="shared" si="116"/>
        <v>mobiliteit</v>
      </c>
      <c r="AU76" s="177" t="str">
        <f t="shared" si="116"/>
        <v>zonnepanelen</v>
      </c>
      <c r="AV76" s="174"/>
      <c r="AW76" s="176" t="str">
        <f>AW$10&amp;" MWh"</f>
        <v>locatie 4 MWh</v>
      </c>
      <c r="AX76" s="182"/>
      <c r="AY76" s="177" t="str">
        <f>AY$10</f>
        <v>verwarming</v>
      </c>
      <c r="AZ76" s="177" t="str">
        <f t="shared" ref="AZ76:BG76" si="117">AZ$10</f>
        <v>koeling</v>
      </c>
      <c r="BA76" s="177" t="str">
        <f t="shared" si="117"/>
        <v>tapwater</v>
      </c>
      <c r="BB76" s="177" t="str">
        <f t="shared" si="117"/>
        <v>verlichting</v>
      </c>
      <c r="BC76" s="177" t="str">
        <f t="shared" si="117"/>
        <v>ventilatoren</v>
      </c>
      <c r="BD76" s="177" t="str">
        <f t="shared" si="117"/>
        <v>kookgas</v>
      </c>
      <c r="BE76" s="177" t="str">
        <f t="shared" si="117"/>
        <v>overig elektra</v>
      </c>
      <c r="BF76" s="177" t="str">
        <f t="shared" si="117"/>
        <v>mobiliteit</v>
      </c>
      <c r="BG76" s="177" t="str">
        <f t="shared" si="117"/>
        <v>zonnepanelen</v>
      </c>
      <c r="BH76" s="1"/>
    </row>
    <row r="77" spans="1:60">
      <c r="A77" s="1040"/>
      <c r="B77" s="1109" t="s">
        <v>147</v>
      </c>
      <c r="C77" s="1106" t="s">
        <v>96</v>
      </c>
      <c r="D77" s="641"/>
      <c r="E77" s="940" t="s">
        <v>158</v>
      </c>
      <c r="F77" s="940"/>
      <c r="G77" s="940"/>
      <c r="H77" s="940"/>
      <c r="I77" s="77"/>
      <c r="J77" s="939"/>
      <c r="K77" s="126"/>
      <c r="L77" s="126"/>
      <c r="M77" s="938"/>
      <c r="N77" s="182"/>
      <c r="O77" s="177" t="str">
        <f t="shared" ref="O77:W77" si="118">O$10</f>
        <v>verwarming</v>
      </c>
      <c r="P77" s="177" t="str">
        <f t="shared" si="118"/>
        <v>koeling</v>
      </c>
      <c r="Q77" s="177" t="str">
        <f t="shared" si="118"/>
        <v>tapwater</v>
      </c>
      <c r="R77" s="177" t="str">
        <f t="shared" si="118"/>
        <v>verlichting</v>
      </c>
      <c r="S77" s="177" t="str">
        <f t="shared" si="118"/>
        <v>ventilatoren</v>
      </c>
      <c r="T77" s="177" t="str">
        <f t="shared" si="118"/>
        <v>kookgas</v>
      </c>
      <c r="U77" s="177" t="str">
        <f t="shared" si="118"/>
        <v>overig elektra</v>
      </c>
      <c r="V77" s="177" t="str">
        <f t="shared" si="118"/>
        <v>mobiliteit</v>
      </c>
      <c r="W77" s="177" t="str">
        <f t="shared" si="118"/>
        <v>zonnepanelen</v>
      </c>
      <c r="X77" s="147"/>
      <c r="Y77" s="125"/>
      <c r="Z77" s="125"/>
      <c r="AA77" s="125"/>
      <c r="AB77" s="125"/>
      <c r="AC77" s="125"/>
      <c r="AD77" s="125"/>
      <c r="AE77" s="125"/>
      <c r="AF77" s="125"/>
      <c r="AG77" s="125"/>
      <c r="AH77" s="125"/>
      <c r="AI77" s="125"/>
      <c r="AJ77" s="147"/>
      <c r="AK77" s="125"/>
      <c r="AL77" s="125"/>
      <c r="AM77" s="125"/>
      <c r="AN77" s="125"/>
      <c r="AO77" s="125"/>
      <c r="AP77" s="125"/>
      <c r="AQ77" s="125"/>
      <c r="AR77" s="125"/>
      <c r="AS77" s="125"/>
      <c r="AT77" s="125"/>
      <c r="AU77" s="125"/>
      <c r="AV77" s="147"/>
      <c r="AW77" s="125"/>
      <c r="AX77" s="125"/>
      <c r="AY77" s="125"/>
      <c r="AZ77" s="125"/>
      <c r="BA77" s="125"/>
      <c r="BB77" s="125"/>
      <c r="BC77" s="125"/>
      <c r="BD77" s="125"/>
      <c r="BE77" s="125"/>
      <c r="BF77" s="125"/>
      <c r="BG77" s="125"/>
      <c r="BH77" s="218"/>
    </row>
    <row r="78" spans="1:60">
      <c r="A78" s="1040"/>
      <c r="B78" s="1109" t="s">
        <v>147</v>
      </c>
      <c r="C78" s="1107" t="s">
        <v>104</v>
      </c>
      <c r="D78" s="641" t="s">
        <v>45</v>
      </c>
      <c r="E78" s="295" t="s">
        <v>159</v>
      </c>
      <c r="F78" s="296"/>
      <c r="G78" s="296"/>
      <c r="H78" s="295" t="s">
        <v>160</v>
      </c>
      <c r="I78" s="259"/>
      <c r="J78" s="261">
        <f>M78+Y78+AK78+AW78</f>
        <v>0</v>
      </c>
      <c r="K78" s="126"/>
      <c r="L78" s="126"/>
      <c r="M78" s="261">
        <f>SUM(N78:X78)</f>
        <v>0</v>
      </c>
      <c r="N78" s="259"/>
      <c r="O78" s="260">
        <f>SUMPRODUCT(N22:X22,N29:X29,N62:X62)/1000</f>
        <v>0</v>
      </c>
      <c r="P78" s="260">
        <f>SUMPRODUCT(N22:X22,N29:X29,N64:X64)/1000</f>
        <v>0</v>
      </c>
      <c r="Q78" s="260">
        <f>SUMPRODUCT(N22:X22,N29:X29,N65:X65)/1000</f>
        <v>0</v>
      </c>
      <c r="R78" s="260">
        <f>SUMPRODUCT(N22:X22,N29:X29,N66:X66)/1000</f>
        <v>0</v>
      </c>
      <c r="S78" s="260">
        <f>SUMPRODUCT(N22:X22,N29:X29,N67:X67)/1000</f>
        <v>0</v>
      </c>
      <c r="T78" s="260">
        <f>SUMPRODUCT(N22:X22,N29:X29,N68:X68)/1000</f>
        <v>0</v>
      </c>
      <c r="U78" s="260">
        <f>SUMPRODUCT(N22:X22,N29:X29,N69:X69)/1000</f>
        <v>0</v>
      </c>
      <c r="V78" s="260">
        <f>SUMPRODUCT(N22:X22,N71:X71)/1000</f>
        <v>0</v>
      </c>
      <c r="W78" s="260">
        <f>-SUMPRODUCT(N22:X22,N73:X73)/1000</f>
        <v>0</v>
      </c>
      <c r="X78" s="126"/>
      <c r="Y78" s="261">
        <f>SUM(Z78:AJ78)</f>
        <v>0</v>
      </c>
      <c r="Z78" s="259"/>
      <c r="AA78" s="260">
        <f>SUMPRODUCT(Z22:AJ22,Z29:AJ29,Z62:AJ62)/1000</f>
        <v>0</v>
      </c>
      <c r="AB78" s="260">
        <f>SUMPRODUCT(Z22:AJ22,Z29:AJ29,Z64:AJ64)/1000</f>
        <v>0</v>
      </c>
      <c r="AC78" s="260">
        <f>SUMPRODUCT(Z22:AJ22,Z29:AJ29,Z65:AJ65)/1000</f>
        <v>0</v>
      </c>
      <c r="AD78" s="260">
        <f>SUMPRODUCT(Z22:AJ22,Z29:AJ29,Z66:AJ66)/1000</f>
        <v>0</v>
      </c>
      <c r="AE78" s="260">
        <f>SUMPRODUCT(Z22:AJ22,Z29:AJ29,Z67:AJ67)/1000</f>
        <v>0</v>
      </c>
      <c r="AF78" s="260">
        <f>SUMPRODUCT(Z22:AJ22,Z29:AJ29,Z68:AJ68)/1000</f>
        <v>0</v>
      </c>
      <c r="AG78" s="260">
        <f>SUMPRODUCT(Z22:AJ22,Z29:AJ29,Z69:AJ69)/1000</f>
        <v>0</v>
      </c>
      <c r="AH78" s="260">
        <f>SUMPRODUCT(Z22:AJ22,Z71:AJ71)/1000</f>
        <v>0</v>
      </c>
      <c r="AI78" s="260">
        <f>-SUMPRODUCT(Z22:AJ22,Z73:AJ73)/1000</f>
        <v>0</v>
      </c>
      <c r="AJ78" s="126"/>
      <c r="AK78" s="261">
        <f>SUM(AL78:AV78)</f>
        <v>0</v>
      </c>
      <c r="AL78" s="259"/>
      <c r="AM78" s="260">
        <f>SUMPRODUCT(AL22:AV22,AL29:AV29,AL62:AV62)/1000</f>
        <v>0</v>
      </c>
      <c r="AN78" s="260">
        <f>SUMPRODUCT(AL22:AV22,AL29:AV29,AL64:AV64)/1000</f>
        <v>0</v>
      </c>
      <c r="AO78" s="260">
        <f>SUMPRODUCT(AL22:AV22,AL29:AV29,AL65:AV65)/1000</f>
        <v>0</v>
      </c>
      <c r="AP78" s="260">
        <f>SUMPRODUCT(AL22:AV22,AL29:AV29,AL66:AV66)/1000</f>
        <v>0</v>
      </c>
      <c r="AQ78" s="260">
        <f>SUMPRODUCT(AL22:AV22,AL29:AV29,AL67:AV67)/1000</f>
        <v>0</v>
      </c>
      <c r="AR78" s="260">
        <f>SUMPRODUCT(AL22:AV22,AL29:AV29,AL68:AV68)/1000</f>
        <v>0</v>
      </c>
      <c r="AS78" s="260">
        <f>SUMPRODUCT(AL22:AV22,AL29:AV29,AL69:AV69)/1000</f>
        <v>0</v>
      </c>
      <c r="AT78" s="260">
        <f>SUMPRODUCT(AL22:AV22,AL71:AV71)/1000</f>
        <v>0</v>
      </c>
      <c r="AU78" s="260">
        <f>-SUMPRODUCT(AL22:AV22,AL73:AV73)/1000</f>
        <v>0</v>
      </c>
      <c r="AV78" s="126"/>
      <c r="AW78" s="261">
        <f>SUM(AX78:BH78)</f>
        <v>0</v>
      </c>
      <c r="AX78" s="259"/>
      <c r="AY78" s="260">
        <f>SUMPRODUCT(AX22:BH22,AX29:BH29,AX62:BH62)/1000</f>
        <v>0</v>
      </c>
      <c r="AZ78" s="260">
        <f>SUMPRODUCT(AX22:BH22,AX29:BH29,AX64:BH64)/1000</f>
        <v>0</v>
      </c>
      <c r="BA78" s="260">
        <f>SUMPRODUCT(AX22:BH22,AX29:BH29,AX65:BH65)/1000</f>
        <v>0</v>
      </c>
      <c r="BB78" s="260">
        <f>SUMPRODUCT(AX22:BH22,AX29:BH29,AX66:BH66)/1000</f>
        <v>0</v>
      </c>
      <c r="BC78" s="260">
        <f>SUMPRODUCT(AX22:BH22,AX29:BH29,AX67:BH67)/1000</f>
        <v>0</v>
      </c>
      <c r="BD78" s="260">
        <f>SUMPRODUCT(AX22:BH22,AX29:BH29,AX68:BH68)/1000</f>
        <v>0</v>
      </c>
      <c r="BE78" s="260">
        <f>SUMPRODUCT(AX22:BH22,AX29:BH29,AX69:BH69)/1000</f>
        <v>0</v>
      </c>
      <c r="BF78" s="260">
        <f>SUMPRODUCT(AX22:BH22,AX71:BH71)/1000</f>
        <v>0</v>
      </c>
      <c r="BG78" s="260">
        <f>-SUMPRODUCT(AX22:BH22,AX73:BH73)/1000</f>
        <v>0</v>
      </c>
      <c r="BH78" s="210"/>
    </row>
    <row r="79" spans="1:60">
      <c r="A79" s="1040"/>
      <c r="B79" s="1109" t="s">
        <v>147</v>
      </c>
      <c r="C79" s="1106" t="s">
        <v>96</v>
      </c>
      <c r="D79" s="638"/>
      <c r="E79" s="79"/>
      <c r="F79" s="79"/>
      <c r="G79" s="79"/>
      <c r="H79" s="85"/>
      <c r="I79" s="79"/>
      <c r="J79" s="82"/>
      <c r="K79" s="79"/>
      <c r="L79" s="79"/>
      <c r="M79" s="82"/>
      <c r="N79" s="79"/>
      <c r="O79" s="82"/>
      <c r="P79" s="82"/>
      <c r="Q79" s="82"/>
      <c r="R79" s="82"/>
      <c r="S79" s="82"/>
      <c r="T79" s="82"/>
      <c r="U79" s="82"/>
      <c r="V79" s="82"/>
      <c r="W79" s="82"/>
      <c r="X79" s="82"/>
      <c r="Y79" s="82"/>
      <c r="Z79" s="79"/>
      <c r="AA79" s="108"/>
      <c r="AB79" s="82"/>
      <c r="AC79" s="108"/>
      <c r="AD79" s="82"/>
      <c r="AE79" s="82"/>
      <c r="AF79" s="82"/>
      <c r="AG79" s="82"/>
      <c r="AH79" s="82"/>
      <c r="AI79" s="82"/>
      <c r="AJ79" s="82"/>
      <c r="AK79" s="82"/>
      <c r="AL79" s="79"/>
      <c r="AM79" s="82"/>
      <c r="AN79" s="82"/>
      <c r="AO79" s="82"/>
      <c r="AP79" s="82"/>
      <c r="AQ79" s="82"/>
      <c r="AR79" s="82"/>
      <c r="AS79" s="82"/>
      <c r="AT79" s="82"/>
      <c r="AU79" s="82"/>
      <c r="AV79" s="82"/>
      <c r="AW79" s="82"/>
      <c r="AX79" s="79"/>
      <c r="AY79" s="82"/>
      <c r="AZ79" s="82"/>
      <c r="BA79" s="82"/>
      <c r="BB79" s="82"/>
      <c r="BC79" s="82"/>
      <c r="BD79" s="82"/>
      <c r="BE79" s="82"/>
      <c r="BF79" s="82"/>
      <c r="BG79" s="82"/>
      <c r="BH79" s="1"/>
    </row>
    <row r="80" spans="1:60">
      <c r="A80" s="1040"/>
      <c r="B80" s="1109" t="s">
        <v>161</v>
      </c>
      <c r="C80" s="1107" t="s">
        <v>96</v>
      </c>
      <c r="D80" s="638"/>
      <c r="E80" s="79"/>
      <c r="F80" s="79"/>
      <c r="G80" s="79"/>
      <c r="H80" s="85"/>
      <c r="I80" s="79"/>
      <c r="J80" s="82"/>
      <c r="K80" s="79"/>
      <c r="L80" s="79"/>
      <c r="M80" s="82"/>
      <c r="N80" s="79"/>
      <c r="O80" s="82"/>
      <c r="P80" s="82"/>
      <c r="Q80" s="82"/>
      <c r="R80" s="82"/>
      <c r="S80" s="82"/>
      <c r="T80" s="82"/>
      <c r="U80" s="82"/>
      <c r="V80" s="82"/>
      <c r="W80" s="82"/>
      <c r="X80" s="82"/>
      <c r="Y80" s="82"/>
      <c r="Z80" s="79"/>
      <c r="AA80" s="108"/>
      <c r="AB80" s="108"/>
      <c r="AC80" s="82"/>
      <c r="AD80" s="82"/>
      <c r="AE80" s="82"/>
      <c r="AF80" s="82"/>
      <c r="AG80" s="82"/>
      <c r="AH80" s="82"/>
      <c r="AI80" s="82"/>
      <c r="AJ80" s="82"/>
      <c r="AK80" s="82"/>
      <c r="AL80" s="79"/>
      <c r="AM80" s="82"/>
      <c r="AN80" s="82"/>
      <c r="AO80" s="82"/>
      <c r="AP80" s="82"/>
      <c r="AQ80" s="82"/>
      <c r="AR80" s="82"/>
      <c r="AS80" s="82"/>
      <c r="AT80" s="82"/>
      <c r="AU80" s="82"/>
      <c r="AV80" s="82"/>
      <c r="AW80" s="82"/>
      <c r="AX80" s="79"/>
      <c r="AY80" s="82"/>
      <c r="AZ80" s="82"/>
      <c r="BA80" s="82"/>
      <c r="BB80" s="82"/>
      <c r="BC80" s="82"/>
      <c r="BD80" s="82"/>
      <c r="BE80" s="82"/>
      <c r="BF80" s="82"/>
      <c r="BG80" s="82"/>
      <c r="BH80" s="1"/>
    </row>
    <row r="81" spans="1:60" ht="21">
      <c r="A81" s="1040"/>
      <c r="B81" s="1109" t="s">
        <v>161</v>
      </c>
      <c r="C81" s="1106" t="s">
        <v>96</v>
      </c>
      <c r="D81" s="641" t="s">
        <v>45</v>
      </c>
      <c r="E81" s="199" t="s">
        <v>162</v>
      </c>
      <c r="F81" s="199"/>
      <c r="G81" s="199"/>
      <c r="H81" s="199"/>
      <c r="I81" s="77"/>
      <c r="J81" s="200" t="str">
        <f>J$10</f>
        <v>alle locaties</v>
      </c>
      <c r="K81" s="126"/>
      <c r="L81" s="126"/>
      <c r="M81" s="200" t="str">
        <f>M$10</f>
        <v>locatie 1</v>
      </c>
      <c r="N81" s="182"/>
      <c r="O81" s="966" t="str">
        <f>$E81&amp;" per energiepost"</f>
        <v>installatie systeem per energiepost</v>
      </c>
      <c r="P81" s="941"/>
      <c r="Q81" s="941"/>
      <c r="R81" s="941"/>
      <c r="S81" s="941"/>
      <c r="T81" s="941"/>
      <c r="U81" s="941"/>
      <c r="V81" s="941"/>
      <c r="W81" s="956"/>
      <c r="X81" s="174"/>
      <c r="Y81" s="176"/>
      <c r="Z81" s="182"/>
      <c r="AA81" s="966" t="str">
        <f>$E81&amp;" per energiepost"</f>
        <v>installatie systeem per energiepost</v>
      </c>
      <c r="AB81" s="941"/>
      <c r="AC81" s="941"/>
      <c r="AD81" s="941"/>
      <c r="AE81" s="941"/>
      <c r="AF81" s="941"/>
      <c r="AG81" s="941"/>
      <c r="AH81" s="941"/>
      <c r="AI81" s="956"/>
      <c r="AJ81" s="174"/>
      <c r="AK81" s="176"/>
      <c r="AL81" s="182"/>
      <c r="AM81" s="966" t="str">
        <f>$E81&amp;" per energiepost"</f>
        <v>installatie systeem per energiepost</v>
      </c>
      <c r="AN81" s="941"/>
      <c r="AO81" s="941"/>
      <c r="AP81" s="941"/>
      <c r="AQ81" s="941"/>
      <c r="AR81" s="941"/>
      <c r="AS81" s="941"/>
      <c r="AT81" s="941"/>
      <c r="AU81" s="956"/>
      <c r="AV81" s="174"/>
      <c r="AW81" s="176"/>
      <c r="AX81" s="182"/>
      <c r="AY81" s="966" t="str">
        <f>$E81&amp;" per energiepost"</f>
        <v>installatie systeem per energiepost</v>
      </c>
      <c r="AZ81" s="941"/>
      <c r="BA81" s="941"/>
      <c r="BB81" s="941"/>
      <c r="BC81" s="941"/>
      <c r="BD81" s="941"/>
      <c r="BE81" s="941"/>
      <c r="BF81" s="941"/>
      <c r="BG81" s="956"/>
      <c r="BH81" s="1"/>
    </row>
    <row r="82" spans="1:60">
      <c r="A82" s="1040"/>
      <c r="B82" s="1109" t="s">
        <v>161</v>
      </c>
      <c r="C82" s="1106" t="s">
        <v>96</v>
      </c>
      <c r="D82" s="641" t="s">
        <v>45</v>
      </c>
      <c r="E82" s="940" t="s">
        <v>163</v>
      </c>
      <c r="F82" s="940"/>
      <c r="G82" s="940"/>
      <c r="H82" s="940"/>
      <c r="I82" s="77"/>
      <c r="J82" s="939"/>
      <c r="K82" s="126"/>
      <c r="L82" s="126"/>
      <c r="M82" s="938"/>
      <c r="N82" s="125"/>
      <c r="O82" s="177" t="str">
        <f>O$10</f>
        <v>verwarming</v>
      </c>
      <c r="P82" s="177" t="str">
        <f>P$10</f>
        <v>koeling</v>
      </c>
      <c r="Q82" s="177" t="str">
        <f>Q$10</f>
        <v>tapwater</v>
      </c>
      <c r="R82" s="177"/>
      <c r="S82" s="177"/>
      <c r="T82" s="177"/>
      <c r="U82" s="177"/>
      <c r="V82" s="177"/>
      <c r="W82" s="177"/>
      <c r="X82" s="147"/>
      <c r="Y82" s="938"/>
      <c r="Z82" s="125"/>
      <c r="AA82" s="177" t="str">
        <f>AA$10</f>
        <v>verwarming</v>
      </c>
      <c r="AB82" s="177" t="str">
        <f>AB$10</f>
        <v>koeling</v>
      </c>
      <c r="AC82" s="177" t="str">
        <f>AC$10</f>
        <v>tapwater</v>
      </c>
      <c r="AD82" s="177"/>
      <c r="AE82" s="177"/>
      <c r="AF82" s="177"/>
      <c r="AG82" s="177"/>
      <c r="AH82" s="177"/>
      <c r="AI82" s="177"/>
      <c r="AJ82" s="147"/>
      <c r="AK82" s="938"/>
      <c r="AL82" s="125"/>
      <c r="AM82" s="177" t="str">
        <f>AM$10</f>
        <v>verwarming</v>
      </c>
      <c r="AN82" s="177" t="str">
        <f>AN$10</f>
        <v>koeling</v>
      </c>
      <c r="AO82" s="177" t="str">
        <f>AO$10</f>
        <v>tapwater</v>
      </c>
      <c r="AP82" s="177"/>
      <c r="AQ82" s="177"/>
      <c r="AR82" s="177"/>
      <c r="AS82" s="177"/>
      <c r="AT82" s="177"/>
      <c r="AU82" s="177"/>
      <c r="AV82" s="147"/>
      <c r="AW82" s="938"/>
      <c r="AX82" s="125"/>
      <c r="AY82" s="177" t="str">
        <f>AY$10</f>
        <v>verwarming</v>
      </c>
      <c r="AZ82" s="177" t="str">
        <f>AZ$10</f>
        <v>koeling</v>
      </c>
      <c r="BA82" s="177" t="str">
        <f>BA$10</f>
        <v>tapwater</v>
      </c>
      <c r="BB82" s="177"/>
      <c r="BC82" s="177"/>
      <c r="BD82" s="177"/>
      <c r="BE82" s="177"/>
      <c r="BF82" s="177"/>
      <c r="BG82" s="177"/>
      <c r="BH82" s="218"/>
    </row>
    <row r="83" spans="1:60" ht="38.25">
      <c r="A83" s="1040"/>
      <c r="B83" s="1109" t="s">
        <v>161</v>
      </c>
      <c r="C83" s="1107" t="s">
        <v>118</v>
      </c>
      <c r="D83" s="638"/>
      <c r="E83" s="150" t="s">
        <v>164</v>
      </c>
      <c r="F83" s="294"/>
      <c r="G83" s="294"/>
      <c r="H83" s="150" t="s">
        <v>65</v>
      </c>
      <c r="I83" s="155"/>
      <c r="J83" s="268" t="str">
        <f>IF(AND(M$29&gt;0,COUNTBLANK(O83:Q83)&gt;0),"kies installatie locatie 1",
IF(AND(Y$29&gt;0,COUNTBLANK(AA83:AC83)&gt;0),"kies installatie locatie 2",
IF(AND(AK$29&gt;0,COUNTBLANK(AM83:AO83)&gt;0),"kies installatie locatie 3",
IF(AND(AW$29&gt;0,COUNTBLANK(AY83:BA83)&gt;0),"kies installatie locatie 4",
"ja"))))</f>
        <v>ja</v>
      </c>
      <c r="K83" s="1056"/>
      <c r="L83" s="1056"/>
      <c r="M83" s="268" t="str" cm="1">
        <f t="array" ref="M83">IF(M78=0,"",IF(SUMPRODUCT((O78:Q78&gt;0)*1,(O83:Q83="")*1)&gt;0,"nee","ja"))</f>
        <v/>
      </c>
      <c r="N83" s="120"/>
      <c r="O83" s="859" t="s">
        <v>473</v>
      </c>
      <c r="P83" s="859" t="s">
        <v>166</v>
      </c>
      <c r="Q83" s="859" t="s">
        <v>473</v>
      </c>
      <c r="R83" s="156"/>
      <c r="S83" s="156"/>
      <c r="T83" s="156"/>
      <c r="U83" s="156"/>
      <c r="V83" s="156"/>
      <c r="W83" s="156"/>
      <c r="X83" s="147"/>
      <c r="Y83" s="268" t="str" cm="1">
        <f t="array" ref="Y83">IF(Y78=0,"",IF(SUMPRODUCT((AA78:AC78&gt;0)*1,(AA83:AC83="")*1)&gt;0,"nee","ja"))</f>
        <v/>
      </c>
      <c r="Z83" s="120"/>
      <c r="AA83" s="859" t="s">
        <v>473</v>
      </c>
      <c r="AB83" s="859" t="s">
        <v>166</v>
      </c>
      <c r="AC83" s="859" t="s">
        <v>473</v>
      </c>
      <c r="AD83" s="156"/>
      <c r="AE83" s="156"/>
      <c r="AF83" s="156"/>
      <c r="AG83" s="156"/>
      <c r="AH83" s="156"/>
      <c r="AI83" s="156"/>
      <c r="AJ83" s="147"/>
      <c r="AK83" s="268" t="str" cm="1">
        <f t="array" ref="AK83">IF(AK78=0,"",IF(SUMPRODUCT((AM78:AO78&gt;0)*1,(AM83:AO83="")*1)&gt;0,"nee","ja"))</f>
        <v/>
      </c>
      <c r="AL83" s="120"/>
      <c r="AM83" s="859" t="s">
        <v>473</v>
      </c>
      <c r="AN83" s="859" t="s">
        <v>166</v>
      </c>
      <c r="AO83" s="859" t="s">
        <v>473</v>
      </c>
      <c r="AP83" s="156"/>
      <c r="AQ83" s="156"/>
      <c r="AR83" s="156"/>
      <c r="AS83" s="156"/>
      <c r="AT83" s="156"/>
      <c r="AU83" s="156"/>
      <c r="AV83" s="147"/>
      <c r="AW83" s="268" t="str" cm="1">
        <f t="array" ref="AW83">IF(AW78=0,"",IF(SUMPRODUCT((AY78:BA78&gt;0)*1,(AY83:BA83="")*1)&gt;0,"nee","ja"))</f>
        <v/>
      </c>
      <c r="AX83" s="125"/>
      <c r="AY83" s="859" t="s">
        <v>473</v>
      </c>
      <c r="AZ83" s="859" t="s">
        <v>166</v>
      </c>
      <c r="BA83" s="859" t="s">
        <v>473</v>
      </c>
      <c r="BB83" s="156"/>
      <c r="BC83" s="156"/>
      <c r="BD83" s="156"/>
      <c r="BE83" s="156"/>
      <c r="BF83" s="156"/>
      <c r="BG83" s="156"/>
      <c r="BH83" s="218"/>
    </row>
    <row r="84" spans="1:60">
      <c r="A84" s="1040"/>
      <c r="B84" s="1109" t="s">
        <v>161</v>
      </c>
      <c r="C84" s="1107" t="s">
        <v>118</v>
      </c>
      <c r="D84" s="638"/>
      <c r="E84" s="181" t="str">
        <f>bibliotheek!$E$85</f>
        <v>geografisch niveau installatie [keuzelijst]</v>
      </c>
      <c r="F84" s="180"/>
      <c r="G84" s="180"/>
      <c r="H84" s="181" t="s">
        <v>65</v>
      </c>
      <c r="I84" s="129"/>
      <c r="J84" s="190"/>
      <c r="K84" s="107"/>
      <c r="L84" s="107"/>
      <c r="M84" s="190"/>
      <c r="N84" s="114"/>
      <c r="O84" s="285" t="str">
        <f>HLOOKUP(IF(O$83="",referentie_verwarming,O$83),toestellen_RV,ROWS(bibliotheek!$E$83:$E$85),FALSE)</f>
        <v>gebouw</v>
      </c>
      <c r="P84" s="285" t="str">
        <f>HLOOKUP(IF(P$83="",referentie_koeling,P$83),toestellen_KOEL,ROWS(bibliotheek!$E$190:$E$192),FALSE)</f>
        <v>gebouw</v>
      </c>
      <c r="Q84" s="285" t="str">
        <f>HLOOKUP(IF(Q$83="",referentie_warmtapwater,Q$83),toestellen_TAP,ROWS(bibliotheek!$E$139:$E$141),FALSE)</f>
        <v>gebouw</v>
      </c>
      <c r="R84" s="159"/>
      <c r="S84" s="159"/>
      <c r="T84" s="159"/>
      <c r="U84" s="159"/>
      <c r="V84" s="159"/>
      <c r="W84" s="159"/>
      <c r="X84" s="147"/>
      <c r="Y84" s="128"/>
      <c r="Z84" s="114"/>
      <c r="AA84" s="285" t="str">
        <f>HLOOKUP(IF(AA$83="",referentie_verwarming,AA$83),toestellen_RV,ROWS(bibliotheek!$E$83:$E$85),FALSE)</f>
        <v>gebouw</v>
      </c>
      <c r="AB84" s="285" t="str">
        <f>HLOOKUP(IF(AB$83="",referentie_koeling,AB$83),toestellen_KOEL,ROWS(bibliotheek!$E$190:$E$192),FALSE)</f>
        <v>gebouw</v>
      </c>
      <c r="AC84" s="285" t="str">
        <f>HLOOKUP(IF(AC$83="",referentie_warmtapwater,AC$83),toestellen_TAP,ROWS(bibliotheek!$E$139:$E$141),FALSE)</f>
        <v>gebouw</v>
      </c>
      <c r="AD84" s="159"/>
      <c r="AE84" s="159"/>
      <c r="AF84" s="159"/>
      <c r="AG84" s="159"/>
      <c r="AH84" s="159"/>
      <c r="AI84" s="159"/>
      <c r="AJ84" s="147"/>
      <c r="AK84" s="128"/>
      <c r="AL84" s="120"/>
      <c r="AM84" s="285" t="str">
        <f>HLOOKUP(IF(AM$83="",referentie_verwarming,AM$83),toestellen_RV,ROWS(bibliotheek!$E$83:$E$85),FALSE)</f>
        <v>gebouw</v>
      </c>
      <c r="AN84" s="285" t="str">
        <f>HLOOKUP(IF(AN$83="",referentie_koeling,AN$83),toestellen_KOEL,ROWS(bibliotheek!$E$190:$E$192),FALSE)</f>
        <v>gebouw</v>
      </c>
      <c r="AO84" s="285" t="str">
        <f>HLOOKUP(IF(AO$83="",referentie_warmtapwater,AO$83),toestellen_TAP,ROWS(bibliotheek!$E$139:$E$141),FALSE)</f>
        <v>gebouw</v>
      </c>
      <c r="AP84" s="159"/>
      <c r="AQ84" s="159"/>
      <c r="AR84" s="159"/>
      <c r="AS84" s="159"/>
      <c r="AT84" s="159"/>
      <c r="AU84" s="159"/>
      <c r="AV84" s="147"/>
      <c r="AW84" s="128"/>
      <c r="AX84" s="125"/>
      <c r="AY84" s="285" t="str">
        <f>HLOOKUP(IF(AY$83="",referentie_verwarming,AY$83),toestellen_RV,ROWS(bibliotheek!$E$83:$E$85),FALSE)</f>
        <v>gebouw</v>
      </c>
      <c r="AZ84" s="285" t="str">
        <f>HLOOKUP(IF(AZ$83="",referentie_koeling,AZ$83),toestellen_KOEL,ROWS(bibliotheek!$E$190:$E$192),FALSE)</f>
        <v>gebouw</v>
      </c>
      <c r="BA84" s="285" t="str">
        <f>HLOOKUP(IF(BA$83="",referentie_warmtapwater,BA$83),toestellen_TAP,ROWS(bibliotheek!$E$139:$E$141),FALSE)</f>
        <v>gebouw</v>
      </c>
      <c r="BB84" s="159"/>
      <c r="BC84" s="159"/>
      <c r="BD84" s="159"/>
      <c r="BE84" s="159"/>
      <c r="BF84" s="159"/>
      <c r="BG84" s="159"/>
      <c r="BH84" s="174"/>
    </row>
    <row r="85" spans="1:60">
      <c r="A85" s="1040"/>
      <c r="B85" s="1109" t="s">
        <v>161</v>
      </c>
      <c r="C85" s="1106" t="s">
        <v>96</v>
      </c>
      <c r="D85" s="641" t="s">
        <v>45</v>
      </c>
      <c r="E85" s="940" t="s">
        <v>169</v>
      </c>
      <c r="F85" s="940"/>
      <c r="G85" s="940"/>
      <c r="H85" s="940"/>
      <c r="I85" s="77"/>
      <c r="J85" s="939"/>
      <c r="K85" s="126"/>
      <c r="L85" s="126"/>
      <c r="M85" s="938"/>
      <c r="N85" s="125"/>
      <c r="O85" s="177" t="str">
        <f>O$10</f>
        <v>verwarming</v>
      </c>
      <c r="P85" s="177" t="str">
        <f>P$10</f>
        <v>koeling</v>
      </c>
      <c r="Q85" s="177" t="str">
        <f>Q$10</f>
        <v>tapwater</v>
      </c>
      <c r="R85" s="177"/>
      <c r="S85" s="177"/>
      <c r="T85" s="177"/>
      <c r="U85" s="177"/>
      <c r="V85" s="177"/>
      <c r="W85" s="177"/>
      <c r="X85" s="147"/>
      <c r="Y85" s="938"/>
      <c r="Z85" s="125"/>
      <c r="AA85" s="177" t="str">
        <f>AA$10</f>
        <v>verwarming</v>
      </c>
      <c r="AB85" s="177" t="str">
        <f>AB$10</f>
        <v>koeling</v>
      </c>
      <c r="AC85" s="177" t="str">
        <f>AC$10</f>
        <v>tapwater</v>
      </c>
      <c r="AD85" s="177"/>
      <c r="AE85" s="177"/>
      <c r="AF85" s="177"/>
      <c r="AG85" s="177"/>
      <c r="AH85" s="177"/>
      <c r="AI85" s="177"/>
      <c r="AJ85" s="147"/>
      <c r="AK85" s="938"/>
      <c r="AL85" s="125"/>
      <c r="AM85" s="177" t="str">
        <f>AM$10</f>
        <v>verwarming</v>
      </c>
      <c r="AN85" s="177" t="str">
        <f>AN$10</f>
        <v>koeling</v>
      </c>
      <c r="AO85" s="177" t="str">
        <f>AO$10</f>
        <v>tapwater</v>
      </c>
      <c r="AP85" s="177"/>
      <c r="AQ85" s="177"/>
      <c r="AR85" s="177"/>
      <c r="AS85" s="177"/>
      <c r="AT85" s="177"/>
      <c r="AU85" s="177"/>
      <c r="AV85" s="147"/>
      <c r="AW85" s="938"/>
      <c r="AX85" s="125"/>
      <c r="AY85" s="177" t="str">
        <f>AY$10</f>
        <v>verwarming</v>
      </c>
      <c r="AZ85" s="177" t="str">
        <f>AZ$10</f>
        <v>koeling</v>
      </c>
      <c r="BA85" s="177" t="str">
        <f>BA$10</f>
        <v>tapwater</v>
      </c>
      <c r="BB85" s="177"/>
      <c r="BC85" s="177"/>
      <c r="BD85" s="177"/>
      <c r="BE85" s="177"/>
      <c r="BF85" s="177"/>
      <c r="BG85" s="177"/>
      <c r="BH85" s="174"/>
    </row>
    <row r="86" spans="1:60">
      <c r="A86" s="1040"/>
      <c r="B86" s="1109" t="s">
        <v>161</v>
      </c>
      <c r="C86" s="1106" t="s">
        <v>118</v>
      </c>
      <c r="D86" s="638"/>
      <c r="E86" s="291" t="s">
        <v>170</v>
      </c>
      <c r="F86" s="254"/>
      <c r="G86" s="254"/>
      <c r="H86" s="291" t="s">
        <v>65</v>
      </c>
      <c r="I86" s="134"/>
      <c r="J86" s="189"/>
      <c r="K86" s="107"/>
      <c r="L86" s="107"/>
      <c r="M86" s="189"/>
      <c r="N86" s="116"/>
      <c r="O86" s="384">
        <f>IF(O87&lt;&gt;"",O87,HLOOKUP(IF(O$83="",referentie_verwarming,O$83),toestellen_RV,ROWS(bibliotheek!$E$83:$E$90),FALSE))</f>
        <v>1</v>
      </c>
      <c r="P86" s="138">
        <v>1</v>
      </c>
      <c r="Q86" s="384">
        <f>IF(Q87&lt;&gt;"",Q87,HLOOKUP(IF(Q$83="",referentie_warmtapwater,Q$83),toestellen_TAP,ROWS(bibliotheek!$E$139:$E$146),FALSE))</f>
        <v>0.85</v>
      </c>
      <c r="R86" s="139"/>
      <c r="S86" s="139"/>
      <c r="T86" s="139"/>
      <c r="U86" s="139"/>
      <c r="V86" s="139"/>
      <c r="W86" s="139"/>
      <c r="X86" s="76"/>
      <c r="Y86" s="133"/>
      <c r="Z86" s="134"/>
      <c r="AA86" s="384">
        <f>IF(AA87&lt;&gt;"",AA87,HLOOKUP(IF(AA$83="",referentie_verwarming,AA$83),toestellen_RV,ROWS(bibliotheek!$E$83:$E$90),FALSE))</f>
        <v>1</v>
      </c>
      <c r="AB86" s="138">
        <f>1</f>
        <v>1</v>
      </c>
      <c r="AC86" s="384">
        <f>IF(AC87&lt;&gt;"",AC87,HLOOKUP(IF(AC$83="",referentie_warmtapwater,AC$83),toestellen_TAP,ROWS(bibliotheek!$E$139:$E$146),FALSE))</f>
        <v>0.85</v>
      </c>
      <c r="AD86" s="139"/>
      <c r="AE86" s="139"/>
      <c r="AF86" s="139"/>
      <c r="AG86" s="139"/>
      <c r="AH86" s="139"/>
      <c r="AI86" s="139"/>
      <c r="AJ86" s="76"/>
      <c r="AK86" s="133"/>
      <c r="AL86" s="134"/>
      <c r="AM86" s="384">
        <f>IF(AM87&lt;&gt;"",AM87,HLOOKUP(IF(AM$83="",referentie_verwarming,AM$83),toestellen_RV,ROWS(bibliotheek!$E$83:$E$90),FALSE))</f>
        <v>1</v>
      </c>
      <c r="AN86" s="138">
        <f>1</f>
        <v>1</v>
      </c>
      <c r="AO86" s="384">
        <f>IF(AO87&lt;&gt;"",AO87,HLOOKUP(IF(AO$83="",referentie_warmtapwater,AO$83),toestellen_TAP,ROWS(bibliotheek!$E$139:$E$146),FALSE))</f>
        <v>0.85</v>
      </c>
      <c r="AP86" s="139"/>
      <c r="AQ86" s="139"/>
      <c r="AR86" s="139"/>
      <c r="AS86" s="139"/>
      <c r="AT86" s="139"/>
      <c r="AU86" s="139"/>
      <c r="AV86" s="76"/>
      <c r="AW86" s="133"/>
      <c r="AX86" s="134"/>
      <c r="AY86" s="384">
        <f>IF(AY87&lt;&gt;"",AY87,HLOOKUP(IF(AY$83="",referentie_verwarming,AY$83),toestellen_RV,ROWS(bibliotheek!$E$83:$E$90),FALSE))</f>
        <v>1</v>
      </c>
      <c r="AZ86" s="138">
        <f>1</f>
        <v>1</v>
      </c>
      <c r="BA86" s="384">
        <f>IF(BA87&lt;&gt;"",BA87,HLOOKUP(IF(BA$83="",referentie_warmtapwater,BA$83),toestellen_TAP,ROWS(bibliotheek!$E$139:$E$146),FALSE))</f>
        <v>0.85</v>
      </c>
      <c r="BB86" s="160"/>
      <c r="BC86" s="160"/>
      <c r="BD86" s="160"/>
      <c r="BE86" s="160"/>
      <c r="BF86" s="160"/>
      <c r="BG86" s="160"/>
      <c r="BH86" s="210"/>
    </row>
    <row r="87" spans="1:60">
      <c r="A87" s="1040"/>
      <c r="B87" s="1109" t="s">
        <v>161</v>
      </c>
      <c r="C87" s="1106" t="s">
        <v>118</v>
      </c>
      <c r="D87" s="638"/>
      <c r="E87" s="1218" t="s">
        <v>171</v>
      </c>
      <c r="F87" s="255"/>
      <c r="G87" s="255"/>
      <c r="H87" s="292" t="s">
        <v>65</v>
      </c>
      <c r="I87" s="136"/>
      <c r="J87" s="299"/>
      <c r="K87" s="107"/>
      <c r="L87" s="107"/>
      <c r="M87" s="198"/>
      <c r="N87" s="161"/>
      <c r="O87" s="275"/>
      <c r="P87" s="280"/>
      <c r="Q87" s="275"/>
      <c r="R87" s="162"/>
      <c r="S87" s="162"/>
      <c r="T87" s="162"/>
      <c r="U87" s="162"/>
      <c r="V87" s="162"/>
      <c r="W87" s="162"/>
      <c r="X87" s="110"/>
      <c r="Y87" s="286"/>
      <c r="Z87" s="161"/>
      <c r="AA87" s="275"/>
      <c r="AB87" s="280"/>
      <c r="AC87" s="275"/>
      <c r="AD87" s="162"/>
      <c r="AE87" s="162"/>
      <c r="AF87" s="162"/>
      <c r="AG87" s="162"/>
      <c r="AH87" s="162"/>
      <c r="AI87" s="162"/>
      <c r="AJ87" s="110"/>
      <c r="AK87" s="286"/>
      <c r="AL87" s="161"/>
      <c r="AM87" s="275"/>
      <c r="AN87" s="280"/>
      <c r="AO87" s="275"/>
      <c r="AP87" s="162"/>
      <c r="AQ87" s="162"/>
      <c r="AR87" s="162"/>
      <c r="AS87" s="162"/>
      <c r="AT87" s="162"/>
      <c r="AU87" s="162"/>
      <c r="AV87" s="110"/>
      <c r="AW87" s="286"/>
      <c r="AX87" s="161"/>
      <c r="AY87" s="275"/>
      <c r="AZ87" s="280"/>
      <c r="BA87" s="275"/>
      <c r="BB87" s="162"/>
      <c r="BC87" s="162"/>
      <c r="BD87" s="162"/>
      <c r="BE87" s="162"/>
      <c r="BF87" s="162"/>
      <c r="BG87" s="162"/>
      <c r="BH87" s="210"/>
    </row>
    <row r="88" spans="1:60">
      <c r="A88" s="1040"/>
      <c r="B88" s="1109" t="s">
        <v>161</v>
      </c>
      <c r="C88" s="1106" t="s">
        <v>118</v>
      </c>
      <c r="D88" s="641"/>
      <c r="E88" s="181" t="s">
        <v>172</v>
      </c>
      <c r="F88" s="180"/>
      <c r="G88" s="180"/>
      <c r="H88" s="181" t="s">
        <v>160</v>
      </c>
      <c r="I88" s="129"/>
      <c r="J88" s="190"/>
      <c r="K88" s="107"/>
      <c r="L88" s="107"/>
      <c r="M88" s="190"/>
      <c r="N88" s="114"/>
      <c r="O88" s="208">
        <f>IF(O$78=0,0,O$78/O$86-O$78)</f>
        <v>0</v>
      </c>
      <c r="P88" s="208">
        <f>IF(P$78=0,0,P$78/P$86-P$78)</f>
        <v>0</v>
      </c>
      <c r="Q88" s="208">
        <f>IF(Q$78=0,0,Q$78/Q$86-Q$78)</f>
        <v>0</v>
      </c>
      <c r="R88" s="130"/>
      <c r="S88" s="130"/>
      <c r="T88" s="130"/>
      <c r="U88" s="130"/>
      <c r="V88" s="130"/>
      <c r="W88" s="130"/>
      <c r="X88" s="110"/>
      <c r="Y88" s="132"/>
      <c r="Z88" s="114"/>
      <c r="AA88" s="208">
        <f>IF(AA$78=0,0,AA$78/AA$86-AA$78)</f>
        <v>0</v>
      </c>
      <c r="AB88" s="208">
        <f>IF(AB$78=0,0,AB$78/AB$86-AB$78)</f>
        <v>0</v>
      </c>
      <c r="AC88" s="208">
        <f>IF(AC$78=0,0,AC$78/AC$86-AC$78)</f>
        <v>0</v>
      </c>
      <c r="AD88" s="130"/>
      <c r="AE88" s="130"/>
      <c r="AF88" s="130"/>
      <c r="AG88" s="130"/>
      <c r="AH88" s="130"/>
      <c r="AI88" s="130"/>
      <c r="AJ88" s="110"/>
      <c r="AK88" s="132"/>
      <c r="AL88" s="114"/>
      <c r="AM88" s="208">
        <f>IF(AM$78=0,0,AM$78/AM$86-AM$78)</f>
        <v>0</v>
      </c>
      <c r="AN88" s="208">
        <f>IF(AN$78=0,0,AN$78/AN$86-AN$78)</f>
        <v>0</v>
      </c>
      <c r="AO88" s="208">
        <f>IF(AO$78=0,0,AO$78/AO$86-AO$78)</f>
        <v>0</v>
      </c>
      <c r="AP88" s="130"/>
      <c r="AQ88" s="130"/>
      <c r="AR88" s="130"/>
      <c r="AS88" s="130"/>
      <c r="AT88" s="130"/>
      <c r="AU88" s="130"/>
      <c r="AV88" s="110"/>
      <c r="AW88" s="132"/>
      <c r="AX88" s="114"/>
      <c r="AY88" s="208">
        <f>IF(AY$78=0,0,AY$78/AY$86-AY$78)</f>
        <v>0</v>
      </c>
      <c r="AZ88" s="208">
        <f>IF(AZ$78=0,0,AZ$78/AZ$86-AZ$78)</f>
        <v>0</v>
      </c>
      <c r="BA88" s="208">
        <f>IF(BA$78=0,0,BA$78/BA$86-BA$78)</f>
        <v>0</v>
      </c>
      <c r="BB88" s="130"/>
      <c r="BC88" s="130"/>
      <c r="BD88" s="130"/>
      <c r="BE88" s="130"/>
      <c r="BF88" s="130"/>
      <c r="BG88" s="130"/>
      <c r="BH88" s="210"/>
    </row>
    <row r="89" spans="1:60">
      <c r="A89" s="1040"/>
      <c r="B89" s="1109" t="s">
        <v>161</v>
      </c>
      <c r="C89" s="1106" t="s">
        <v>96</v>
      </c>
      <c r="D89" s="641" t="s">
        <v>45</v>
      </c>
      <c r="E89" s="940" t="s">
        <v>173</v>
      </c>
      <c r="F89" s="940"/>
      <c r="G89" s="940"/>
      <c r="H89" s="940"/>
      <c r="I89" s="77"/>
      <c r="J89" s="939"/>
      <c r="K89" s="126"/>
      <c r="L89" s="126"/>
      <c r="M89" s="938"/>
      <c r="N89" s="125"/>
      <c r="O89" s="177" t="str">
        <f>O$10</f>
        <v>verwarming</v>
      </c>
      <c r="P89" s="177" t="str">
        <f>P$10</f>
        <v>koeling</v>
      </c>
      <c r="Q89" s="177" t="str">
        <f>Q$10</f>
        <v>tapwater</v>
      </c>
      <c r="R89" s="177"/>
      <c r="S89" s="177"/>
      <c r="T89" s="177"/>
      <c r="U89" s="177"/>
      <c r="V89" s="177"/>
      <c r="W89" s="177"/>
      <c r="X89" s="143"/>
      <c r="Y89" s="938"/>
      <c r="Z89" s="125"/>
      <c r="AA89" s="177" t="str">
        <f>AA$10</f>
        <v>verwarming</v>
      </c>
      <c r="AB89" s="177" t="str">
        <f>AB$10</f>
        <v>koeling</v>
      </c>
      <c r="AC89" s="177" t="str">
        <f>AC$10</f>
        <v>tapwater</v>
      </c>
      <c r="AD89" s="177"/>
      <c r="AE89" s="177"/>
      <c r="AF89" s="177"/>
      <c r="AG89" s="177"/>
      <c r="AH89" s="177"/>
      <c r="AI89" s="177"/>
      <c r="AJ89" s="143"/>
      <c r="AK89" s="938"/>
      <c r="AL89" s="125"/>
      <c r="AM89" s="177" t="str">
        <f>AM$10</f>
        <v>verwarming</v>
      </c>
      <c r="AN89" s="177" t="str">
        <f>AN$10</f>
        <v>koeling</v>
      </c>
      <c r="AO89" s="177" t="str">
        <f>AO$10</f>
        <v>tapwater</v>
      </c>
      <c r="AP89" s="177"/>
      <c r="AQ89" s="177"/>
      <c r="AR89" s="177"/>
      <c r="AS89" s="177"/>
      <c r="AT89" s="177"/>
      <c r="AU89" s="177"/>
      <c r="AV89" s="143"/>
      <c r="AW89" s="938"/>
      <c r="AX89" s="125"/>
      <c r="AY89" s="177" t="str">
        <f>AY$10</f>
        <v>verwarming</v>
      </c>
      <c r="AZ89" s="177" t="str">
        <f>AZ$10</f>
        <v>koeling</v>
      </c>
      <c r="BA89" s="177" t="str">
        <f>BA$10</f>
        <v>tapwater</v>
      </c>
      <c r="BB89" s="177"/>
      <c r="BC89" s="177"/>
      <c r="BD89" s="177"/>
      <c r="BE89" s="177"/>
      <c r="BF89" s="177"/>
      <c r="BG89" s="177"/>
      <c r="BH89" s="174"/>
    </row>
    <row r="90" spans="1:60">
      <c r="A90" s="1040"/>
      <c r="B90" s="1109" t="s">
        <v>161</v>
      </c>
      <c r="C90" s="1106" t="s">
        <v>118</v>
      </c>
      <c r="D90" s="638"/>
      <c r="E90" s="181" t="s">
        <v>173</v>
      </c>
      <c r="F90" s="180"/>
      <c r="G90" s="180"/>
      <c r="H90" s="181" t="s">
        <v>65</v>
      </c>
      <c r="I90" s="129"/>
      <c r="J90" s="190"/>
      <c r="K90" s="107"/>
      <c r="L90" s="107"/>
      <c r="M90" s="190"/>
      <c r="N90" s="114"/>
      <c r="O90" s="860" t="s">
        <v>174</v>
      </c>
      <c r="P90" s="158"/>
      <c r="Q90" s="860" t="s">
        <v>174</v>
      </c>
      <c r="R90" s="159"/>
      <c r="S90" s="159"/>
      <c r="T90" s="159"/>
      <c r="U90" s="159"/>
      <c r="V90" s="159"/>
      <c r="W90" s="159"/>
      <c r="X90" s="76"/>
      <c r="Y90" s="128"/>
      <c r="Z90" s="114"/>
      <c r="AA90" s="860" t="s">
        <v>174</v>
      </c>
      <c r="AB90" s="158"/>
      <c r="AC90" s="860" t="s">
        <v>174</v>
      </c>
      <c r="AD90" s="159"/>
      <c r="AE90" s="159"/>
      <c r="AF90" s="159"/>
      <c r="AG90" s="159"/>
      <c r="AH90" s="159"/>
      <c r="AI90" s="159"/>
      <c r="AJ90" s="76"/>
      <c r="AK90" s="128"/>
      <c r="AL90" s="114"/>
      <c r="AM90" s="860" t="s">
        <v>174</v>
      </c>
      <c r="AN90" s="158"/>
      <c r="AO90" s="860" t="s">
        <v>174</v>
      </c>
      <c r="AP90" s="159"/>
      <c r="AQ90" s="159"/>
      <c r="AR90" s="159"/>
      <c r="AS90" s="159"/>
      <c r="AT90" s="159"/>
      <c r="AU90" s="159"/>
      <c r="AV90" s="76"/>
      <c r="AW90" s="128"/>
      <c r="AX90" s="114"/>
      <c r="AY90" s="860" t="s">
        <v>174</v>
      </c>
      <c r="AZ90" s="158"/>
      <c r="BA90" s="860" t="s">
        <v>174</v>
      </c>
      <c r="BB90" s="159"/>
      <c r="BC90" s="159"/>
      <c r="BD90" s="159"/>
      <c r="BE90" s="159"/>
      <c r="BF90" s="159"/>
      <c r="BG90" s="159"/>
      <c r="BH90" s="174"/>
    </row>
    <row r="91" spans="1:60">
      <c r="A91" s="1040"/>
      <c r="B91" s="1109" t="s">
        <v>161</v>
      </c>
      <c r="C91" s="1106" t="s">
        <v>118</v>
      </c>
      <c r="D91" s="641" t="s">
        <v>45</v>
      </c>
      <c r="E91" s="181" t="s">
        <v>175</v>
      </c>
      <c r="F91" s="180"/>
      <c r="G91" s="180"/>
      <c r="H91" s="181" t="s">
        <v>160</v>
      </c>
      <c r="I91" s="129"/>
      <c r="J91" s="190"/>
      <c r="K91" s="107"/>
      <c r="L91" s="107"/>
      <c r="M91" s="190"/>
      <c r="N91" s="114"/>
      <c r="O91" s="168">
        <f>IF(O90="nee",0,(O78+O88)*bijdrage_thermische_zonne_energie_RV)</f>
        <v>0</v>
      </c>
      <c r="P91" s="168"/>
      <c r="Q91" s="168">
        <f>IF(Q90="nee",0,(Q78+Q88)*bijdrage_thermische_zonne_energie_TAP)</f>
        <v>0</v>
      </c>
      <c r="R91" s="130"/>
      <c r="S91" s="130"/>
      <c r="T91" s="130"/>
      <c r="U91" s="130"/>
      <c r="V91" s="130"/>
      <c r="W91" s="130"/>
      <c r="X91" s="592"/>
      <c r="Y91" s="130"/>
      <c r="Z91" s="89"/>
      <c r="AA91" s="168">
        <f>IF(AA90="nee",0,(AA78+AA88)*bijdrage_thermische_zonne_energie_RV)</f>
        <v>0</v>
      </c>
      <c r="AB91" s="168"/>
      <c r="AC91" s="168">
        <f>IF(AC90="nee",0,(AC78+AC88)*bijdrage_thermische_zonne_energie_TAP)</f>
        <v>0</v>
      </c>
      <c r="AD91" s="130"/>
      <c r="AE91" s="130"/>
      <c r="AF91" s="130"/>
      <c r="AG91" s="130"/>
      <c r="AH91" s="130"/>
      <c r="AI91" s="130"/>
      <c r="AJ91" s="592"/>
      <c r="AK91" s="130"/>
      <c r="AL91" s="593"/>
      <c r="AM91" s="168">
        <f>IF(AM90="nee",0,(AM78+AM88)*bijdrage_thermische_zonne_energie_RV)</f>
        <v>0</v>
      </c>
      <c r="AN91" s="168"/>
      <c r="AO91" s="168">
        <f>IF(AO90="nee",0,(AO78+AO88)*bijdrage_thermische_zonne_energie_TAP)</f>
        <v>0</v>
      </c>
      <c r="AP91" s="130"/>
      <c r="AQ91" s="130"/>
      <c r="AR91" s="130"/>
      <c r="AS91" s="130"/>
      <c r="AT91" s="130"/>
      <c r="AU91" s="130"/>
      <c r="AV91" s="592"/>
      <c r="AW91" s="130"/>
      <c r="AX91" s="594"/>
      <c r="AY91" s="168">
        <f>IF(AY90="nee",0,(AY78+AY88)*bijdrage_thermische_zonne_energie_RV)</f>
        <v>0</v>
      </c>
      <c r="AZ91" s="168"/>
      <c r="BA91" s="168">
        <f>IF(BA90="nee",0,(BA78+BA88)*bijdrage_thermische_zonne_energie_TAP)</f>
        <v>0</v>
      </c>
      <c r="BB91" s="159"/>
      <c r="BC91" s="159"/>
      <c r="BD91" s="159"/>
      <c r="BE91" s="159"/>
      <c r="BF91" s="159"/>
      <c r="BG91" s="159"/>
      <c r="BH91" s="174"/>
    </row>
    <row r="92" spans="1:60">
      <c r="A92" s="1040"/>
      <c r="B92" s="1109" t="s">
        <v>161</v>
      </c>
      <c r="C92" s="1106" t="s">
        <v>96</v>
      </c>
      <c r="D92" s="641" t="s">
        <v>45</v>
      </c>
      <c r="E92" s="940" t="s">
        <v>176</v>
      </c>
      <c r="F92" s="940"/>
      <c r="G92" s="940"/>
      <c r="H92" s="940"/>
      <c r="I92" s="77"/>
      <c r="J92" s="939"/>
      <c r="K92" s="126"/>
      <c r="L92" s="126"/>
      <c r="M92" s="938"/>
      <c r="N92" s="125"/>
      <c r="O92" s="177" t="str">
        <f>O$10</f>
        <v>verwarming</v>
      </c>
      <c r="P92" s="177" t="str">
        <f>P$10</f>
        <v>koeling</v>
      </c>
      <c r="Q92" s="177" t="str">
        <f>Q$10</f>
        <v>tapwater</v>
      </c>
      <c r="R92" s="177"/>
      <c r="S92" s="177"/>
      <c r="T92" s="177"/>
      <c r="U92" s="177"/>
      <c r="V92" s="177"/>
      <c r="W92" s="177"/>
      <c r="X92" s="167"/>
      <c r="Y92" s="938"/>
      <c r="Z92" s="125"/>
      <c r="AA92" s="177" t="str">
        <f>AA$10</f>
        <v>verwarming</v>
      </c>
      <c r="AB92" s="177" t="str">
        <f>AB$10</f>
        <v>koeling</v>
      </c>
      <c r="AC92" s="177" t="str">
        <f>AC$10</f>
        <v>tapwater</v>
      </c>
      <c r="AD92" s="177"/>
      <c r="AE92" s="177"/>
      <c r="AF92" s="177"/>
      <c r="AG92" s="177"/>
      <c r="AH92" s="177"/>
      <c r="AI92" s="177"/>
      <c r="AJ92" s="167"/>
      <c r="AK92" s="938"/>
      <c r="AL92" s="125"/>
      <c r="AM92" s="177" t="str">
        <f>AM$10</f>
        <v>verwarming</v>
      </c>
      <c r="AN92" s="177" t="str">
        <f>AN$10</f>
        <v>koeling</v>
      </c>
      <c r="AO92" s="177" t="str">
        <f>AO$10</f>
        <v>tapwater</v>
      </c>
      <c r="AP92" s="177"/>
      <c r="AQ92" s="177"/>
      <c r="AR92" s="177"/>
      <c r="AS92" s="177"/>
      <c r="AT92" s="177"/>
      <c r="AU92" s="177"/>
      <c r="AV92" s="167"/>
      <c r="AW92" s="938"/>
      <c r="AX92" s="125"/>
      <c r="AY92" s="177" t="str">
        <f>AY$10</f>
        <v>verwarming</v>
      </c>
      <c r="AZ92" s="177" t="str">
        <f>AZ$10</f>
        <v>koeling</v>
      </c>
      <c r="BA92" s="177" t="str">
        <f>BA$10</f>
        <v>tapwater</v>
      </c>
      <c r="BB92" s="177"/>
      <c r="BC92" s="177"/>
      <c r="BD92" s="177"/>
      <c r="BE92" s="177"/>
      <c r="BF92" s="177"/>
      <c r="BG92" s="177"/>
      <c r="BH92" s="174"/>
    </row>
    <row r="93" spans="1:60">
      <c r="A93" s="1040"/>
      <c r="B93" s="1109" t="s">
        <v>161</v>
      </c>
      <c r="C93" s="1106" t="s">
        <v>118</v>
      </c>
      <c r="D93" s="638"/>
      <c r="E93" s="291" t="s">
        <v>177</v>
      </c>
      <c r="F93" s="254"/>
      <c r="G93" s="254"/>
      <c r="H93" s="291" t="s">
        <v>178</v>
      </c>
      <c r="I93" s="134"/>
      <c r="J93" s="189"/>
      <c r="K93" s="107"/>
      <c r="L93" s="107"/>
      <c r="M93" s="189"/>
      <c r="N93" s="116"/>
      <c r="O93" s="541">
        <f>IF(M22=0,0,IF(O94&lt;&gt;"",O94,
(HLOOKUP(O83,toestellen_RV,ROWS(bibliotheek!$E$83:$E$92),FALSE)*M24+
HLOOKUP(O83,toestellen_RV,ROWS(bibliotheek!$E$83:$E$93),FALSE)*M25+
HLOOKUP(O83,toestellen_RV,ROWS(bibliotheek!$E$83:$E$94),FALSE)*M26)/M22))</f>
        <v>0</v>
      </c>
      <c r="P93" s="415"/>
      <c r="Q93" s="541">
        <f>IF(M22=0,0,IF(Q94&lt;&gt;"",Q94,
(HLOOKUP(Q83,toestellen_TAP,ROWS(bibliotheek!$E$139:$E$148),FALSE)*M24+
HLOOKUP(Q83,toestellen_TAP,ROWS(bibliotheek!$E$139:$E$149),FALSE)*M25+
HLOOKUP(Q83,toestellen_TAP,ROWS(bibliotheek!$E$139:$E$150),FALSE)*M26)/M22))</f>
        <v>0</v>
      </c>
      <c r="R93" s="160"/>
      <c r="S93" s="160"/>
      <c r="T93" s="160"/>
      <c r="U93" s="160"/>
      <c r="V93" s="160"/>
      <c r="W93" s="160"/>
      <c r="X93" s="112"/>
      <c r="Y93" s="160"/>
      <c r="Z93" s="416"/>
      <c r="AA93" s="541">
        <f>IF(Y22=0,0,IF(AA94&lt;&gt;"",AA94,
(HLOOKUP(AA83,toestellen_RV,ROWS(bibliotheek!$E$83:$E$92),FALSE)*Y24+
HLOOKUP(AA83,toestellen_RV,ROWS(bibliotheek!$E$83:$E$93),FALSE)*Y25+
HLOOKUP(AA83,toestellen_RV,ROWS(bibliotheek!$E$83:$E$94),FALSE)*Y26)/Y22))</f>
        <v>0</v>
      </c>
      <c r="AB93" s="415"/>
      <c r="AC93" s="541">
        <f>IF(Y22=0,0,IF(AC94&lt;&gt;"",AC94,
(HLOOKUP(AC83,toestellen_TAP,ROWS(bibliotheek!$E$139:$E$148),FALSE)*Y24+
HLOOKUP(AC83,toestellen_TAP,ROWS(bibliotheek!$E$139:$E$149),FALSE)*Y25+
HLOOKUP(AC83,toestellen_TAP,ROWS(bibliotheek!$E$139:$E$150),FALSE)*Y26)/Y22))</f>
        <v>0</v>
      </c>
      <c r="AD93" s="160"/>
      <c r="AE93" s="160"/>
      <c r="AF93" s="160"/>
      <c r="AG93" s="160"/>
      <c r="AH93" s="160"/>
      <c r="AI93" s="160"/>
      <c r="AJ93" s="112"/>
      <c r="AK93" s="160"/>
      <c r="AL93" s="416"/>
      <c r="AM93" s="541">
        <f>IF(AK22=0,0,IF(AM94&lt;&gt;"",AM94,
(HLOOKUP(AM83,toestellen_RV,ROWS(bibliotheek!$E$83:$E$92),FALSE)*AK24+
HLOOKUP(AM83,toestellen_RV,ROWS(bibliotheek!$E$83:$E$93),FALSE)*AK25+
HLOOKUP(AM83,toestellen_RV,ROWS(bibliotheek!$E$83:$E$94),FALSE)*AK26)/AK22))</f>
        <v>0</v>
      </c>
      <c r="AN93" s="415"/>
      <c r="AO93" s="541">
        <f>IF(AK22=0,0,IF(AO94&lt;&gt;"",AO94,
(HLOOKUP(AO83,toestellen_TAP,ROWS(bibliotheek!$E$139:$E$148),FALSE)*AK24+
HLOOKUP(AO83,toestellen_TAP,ROWS(bibliotheek!$E$139:$E$149),FALSE)*AK25+
HLOOKUP(AO83,toestellen_TAP,ROWS(bibliotheek!$E$139:$E$150),FALSE)*AK26)/AK22))</f>
        <v>0</v>
      </c>
      <c r="AP93" s="160"/>
      <c r="AQ93" s="160"/>
      <c r="AR93" s="160"/>
      <c r="AS93" s="160"/>
      <c r="AT93" s="160"/>
      <c r="AU93" s="160"/>
      <c r="AV93" s="112"/>
      <c r="AW93" s="160"/>
      <c r="AX93" s="416"/>
      <c r="AY93" s="541">
        <f>IF(AW22=0,0,IF(AY94&lt;&gt;"",AY94,
(HLOOKUP(AY83,toestellen_RV,ROWS(bibliotheek!$E$83:$E$92),FALSE)*AW24+
HLOOKUP(AY83,toestellen_RV,ROWS(bibliotheek!$E$83:$E$93),FALSE)*AW25+
HLOOKUP(AY83,toestellen_RV,ROWS(bibliotheek!$E$83:$E$94),FALSE)*AW26)/AW22))</f>
        <v>0</v>
      </c>
      <c r="AZ93" s="415"/>
      <c r="BA93" s="541">
        <f>IF(AW22=0,0,IF(BA94&lt;&gt;"",BA94,
(HLOOKUP(BA83,toestellen_TAP,ROWS(bibliotheek!$E$139:$E$148),FALSE)*AW24+
HLOOKUP(BA83,toestellen_TAP,ROWS(bibliotheek!$E$139:$E$149),FALSE)*AW25+
HLOOKUP(BA83,toestellen_TAP,ROWS(bibliotheek!$E$139:$E$150),FALSE)*AW26)/AW22))</f>
        <v>0</v>
      </c>
      <c r="BB93" s="160"/>
      <c r="BC93" s="160"/>
      <c r="BD93" s="160"/>
      <c r="BE93" s="160"/>
      <c r="BF93" s="160"/>
      <c r="BG93" s="160"/>
      <c r="BH93" s="210"/>
    </row>
    <row r="94" spans="1:60">
      <c r="A94" s="1040"/>
      <c r="B94" s="1109" t="s">
        <v>161</v>
      </c>
      <c r="C94" s="1106" t="s">
        <v>118</v>
      </c>
      <c r="D94" s="638"/>
      <c r="E94" s="1218" t="s">
        <v>1388</v>
      </c>
      <c r="F94" s="255"/>
      <c r="G94" s="255"/>
      <c r="H94" s="292" t="s">
        <v>178</v>
      </c>
      <c r="I94" s="136"/>
      <c r="J94" s="299"/>
      <c r="K94" s="107"/>
      <c r="L94" s="107"/>
      <c r="M94" s="198"/>
      <c r="N94" s="161"/>
      <c r="O94" s="276"/>
      <c r="P94" s="281"/>
      <c r="Q94" s="276"/>
      <c r="R94" s="163"/>
      <c r="S94" s="163"/>
      <c r="T94" s="163"/>
      <c r="U94" s="163"/>
      <c r="V94" s="163"/>
      <c r="W94" s="163"/>
      <c r="X94" s="110"/>
      <c r="Y94" s="386"/>
      <c r="Z94" s="308"/>
      <c r="AA94" s="276"/>
      <c r="AB94" s="281"/>
      <c r="AC94" s="276"/>
      <c r="AD94" s="163"/>
      <c r="AE94" s="163"/>
      <c r="AF94" s="163"/>
      <c r="AG94" s="163"/>
      <c r="AH94" s="163"/>
      <c r="AI94" s="163"/>
      <c r="AJ94" s="110"/>
      <c r="AK94" s="386"/>
      <c r="AL94" s="308"/>
      <c r="AM94" s="276"/>
      <c r="AN94" s="281"/>
      <c r="AO94" s="276"/>
      <c r="AP94" s="163"/>
      <c r="AQ94" s="163"/>
      <c r="AR94" s="163"/>
      <c r="AS94" s="163"/>
      <c r="AT94" s="163"/>
      <c r="AU94" s="163"/>
      <c r="AV94" s="110"/>
      <c r="AW94" s="386"/>
      <c r="AX94" s="308"/>
      <c r="AY94" s="276"/>
      <c r="AZ94" s="281"/>
      <c r="BA94" s="276"/>
      <c r="BB94" s="164"/>
      <c r="BC94" s="164"/>
      <c r="BD94" s="164"/>
      <c r="BE94" s="164"/>
      <c r="BF94" s="164"/>
      <c r="BG94" s="164"/>
      <c r="BH94" s="210"/>
    </row>
    <row r="95" spans="1:60">
      <c r="A95" s="1040"/>
      <c r="B95" s="1109" t="s">
        <v>161</v>
      </c>
      <c r="C95" s="1106" t="s">
        <v>118</v>
      </c>
      <c r="D95" s="638"/>
      <c r="E95" s="181" t="s">
        <v>179</v>
      </c>
      <c r="F95" s="180"/>
      <c r="G95" s="180"/>
      <c r="H95" s="181" t="s">
        <v>160</v>
      </c>
      <c r="I95" s="129"/>
      <c r="J95" s="190"/>
      <c r="K95" s="107"/>
      <c r="L95" s="107"/>
      <c r="M95" s="190"/>
      <c r="N95" s="89"/>
      <c r="O95" s="208">
        <f>O$93*M$22</f>
        <v>0</v>
      </c>
      <c r="P95" s="130"/>
      <c r="Q95" s="208">
        <f>Q$93*M$22</f>
        <v>0</v>
      </c>
      <c r="R95" s="130"/>
      <c r="S95" s="130"/>
      <c r="T95" s="130"/>
      <c r="U95" s="130"/>
      <c r="V95" s="130"/>
      <c r="W95" s="130"/>
      <c r="X95" s="110"/>
      <c r="Y95" s="132"/>
      <c r="Z95" s="114"/>
      <c r="AA95" s="208">
        <f>AA$93*Y$22</f>
        <v>0</v>
      </c>
      <c r="AB95" s="130"/>
      <c r="AC95" s="208">
        <f>AC$93*Y$22</f>
        <v>0</v>
      </c>
      <c r="AD95" s="130"/>
      <c r="AE95" s="130"/>
      <c r="AF95" s="130"/>
      <c r="AG95" s="130"/>
      <c r="AH95" s="130"/>
      <c r="AI95" s="130"/>
      <c r="AJ95" s="110"/>
      <c r="AK95" s="132"/>
      <c r="AL95" s="114"/>
      <c r="AM95" s="208">
        <f>AM$93*AK$22</f>
        <v>0</v>
      </c>
      <c r="AN95" s="130"/>
      <c r="AO95" s="208">
        <f>AO$93*AK$22</f>
        <v>0</v>
      </c>
      <c r="AP95" s="130"/>
      <c r="AQ95" s="130"/>
      <c r="AR95" s="130"/>
      <c r="AS95" s="130"/>
      <c r="AT95" s="130"/>
      <c r="AU95" s="130"/>
      <c r="AV95" s="110"/>
      <c r="AW95" s="132"/>
      <c r="AX95" s="114"/>
      <c r="AY95" s="208">
        <f>AY$93*AW$22</f>
        <v>0</v>
      </c>
      <c r="AZ95" s="130"/>
      <c r="BA95" s="208">
        <f>BA$93*AW$22</f>
        <v>0</v>
      </c>
      <c r="BB95" s="130"/>
      <c r="BC95" s="130"/>
      <c r="BD95" s="130"/>
      <c r="BE95" s="130"/>
      <c r="BF95" s="130"/>
      <c r="BG95" s="130"/>
      <c r="BH95" s="210"/>
    </row>
    <row r="96" spans="1:60">
      <c r="A96" s="1040"/>
      <c r="B96" s="1109" t="s">
        <v>161</v>
      </c>
      <c r="C96" s="1106" t="s">
        <v>96</v>
      </c>
      <c r="D96" s="641" t="s">
        <v>45</v>
      </c>
      <c r="E96" s="940" t="s">
        <v>180</v>
      </c>
      <c r="F96" s="940"/>
      <c r="G96" s="940"/>
      <c r="H96" s="940"/>
      <c r="I96" s="77"/>
      <c r="J96" s="939"/>
      <c r="K96" s="126"/>
      <c r="L96" s="126"/>
      <c r="M96" s="938"/>
      <c r="N96" s="125"/>
      <c r="O96" s="177" t="str">
        <f>O$10</f>
        <v>verwarming</v>
      </c>
      <c r="P96" s="177" t="str">
        <f>P$10</f>
        <v>koeling</v>
      </c>
      <c r="Q96" s="177" t="str">
        <f>Q$10</f>
        <v>tapwater</v>
      </c>
      <c r="R96" s="177"/>
      <c r="S96" s="177"/>
      <c r="T96" s="177"/>
      <c r="U96" s="177"/>
      <c r="V96" s="177"/>
      <c r="W96" s="177"/>
      <c r="X96" s="167"/>
      <c r="Y96" s="938"/>
      <c r="Z96" s="125"/>
      <c r="AA96" s="177" t="str">
        <f>AA$10</f>
        <v>verwarming</v>
      </c>
      <c r="AB96" s="177" t="str">
        <f>AB$10</f>
        <v>koeling</v>
      </c>
      <c r="AC96" s="177" t="str">
        <f>AC$10</f>
        <v>tapwater</v>
      </c>
      <c r="AD96" s="177"/>
      <c r="AE96" s="177"/>
      <c r="AF96" s="177"/>
      <c r="AG96" s="177"/>
      <c r="AH96" s="177"/>
      <c r="AI96" s="177"/>
      <c r="AJ96" s="167"/>
      <c r="AK96" s="938"/>
      <c r="AL96" s="125"/>
      <c r="AM96" s="177" t="str">
        <f>AM$10</f>
        <v>verwarming</v>
      </c>
      <c r="AN96" s="177" t="str">
        <f>AN$10</f>
        <v>koeling</v>
      </c>
      <c r="AO96" s="177" t="str">
        <f>AO$10</f>
        <v>tapwater</v>
      </c>
      <c r="AP96" s="177"/>
      <c r="AQ96" s="177"/>
      <c r="AR96" s="177"/>
      <c r="AS96" s="177"/>
      <c r="AT96" s="177"/>
      <c r="AU96" s="177"/>
      <c r="AV96" s="167"/>
      <c r="AW96" s="938"/>
      <c r="AX96" s="125"/>
      <c r="AY96" s="177" t="str">
        <f>AY$10</f>
        <v>verwarming</v>
      </c>
      <c r="AZ96" s="177" t="str">
        <f>AZ$10</f>
        <v>koeling</v>
      </c>
      <c r="BA96" s="177" t="str">
        <f>BA$10</f>
        <v>tapwater</v>
      </c>
      <c r="BB96" s="177"/>
      <c r="BC96" s="177"/>
      <c r="BD96" s="177"/>
      <c r="BE96" s="177"/>
      <c r="BF96" s="177"/>
      <c r="BG96" s="177"/>
      <c r="BH96" s="174"/>
    </row>
    <row r="97" spans="1:60" hidden="1">
      <c r="A97" s="1040"/>
      <c r="B97" s="1109" t="s">
        <v>161</v>
      </c>
      <c r="C97" s="1106" t="s">
        <v>181</v>
      </c>
      <c r="D97" s="638"/>
      <c r="E97" s="181" t="s">
        <v>182</v>
      </c>
      <c r="F97" s="180"/>
      <c r="G97" s="180"/>
      <c r="H97" s="181" t="s">
        <v>160</v>
      </c>
      <c r="I97" s="129"/>
      <c r="J97" s="190"/>
      <c r="K97" s="107"/>
      <c r="L97" s="107"/>
      <c r="M97" s="190"/>
      <c r="N97" s="114"/>
      <c r="O97" s="208">
        <f>IF(O$83="geen",0,O78+O88-O91+O95)</f>
        <v>0</v>
      </c>
      <c r="P97" s="208">
        <f>IF(P$83="geen",0,P78+P88-P91+P95)</f>
        <v>0</v>
      </c>
      <c r="Q97" s="208">
        <f>IF(Q$83="geen",0,Q78+Q88-Q91+Q95)</f>
        <v>0</v>
      </c>
      <c r="R97" s="130"/>
      <c r="S97" s="130"/>
      <c r="T97" s="130"/>
      <c r="U97" s="130"/>
      <c r="V97" s="130"/>
      <c r="W97" s="130"/>
      <c r="X97" s="110"/>
      <c r="Y97" s="132"/>
      <c r="Z97" s="114"/>
      <c r="AA97" s="208">
        <f>IF(AA$83="geen",0,AA78+AA88-AA91+AA95)</f>
        <v>0</v>
      </c>
      <c r="AB97" s="208">
        <f>IF(AB$83="geen",0,AB78+AB88-AB91+AB95)</f>
        <v>0</v>
      </c>
      <c r="AC97" s="208">
        <f>IF(AC$83="geen",0,AC78+AC88-AC91+AC95)</f>
        <v>0</v>
      </c>
      <c r="AD97" s="130"/>
      <c r="AE97" s="130"/>
      <c r="AF97" s="130"/>
      <c r="AG97" s="130"/>
      <c r="AH97" s="130"/>
      <c r="AI97" s="130"/>
      <c r="AJ97" s="110"/>
      <c r="AK97" s="132"/>
      <c r="AL97" s="114"/>
      <c r="AM97" s="208">
        <f>IF(AM$83="geen",0,AM78+AM88-AM91+AM95)</f>
        <v>0</v>
      </c>
      <c r="AN97" s="208">
        <f>IF(AN$83="geen",0,AN78+AN88-AN91+AN95)</f>
        <v>0</v>
      </c>
      <c r="AO97" s="208">
        <f>IF(AO$83="geen",0,AO78+AO88-AO91+AO95)</f>
        <v>0</v>
      </c>
      <c r="AP97" s="130"/>
      <c r="AQ97" s="130"/>
      <c r="AR97" s="130"/>
      <c r="AS97" s="130"/>
      <c r="AT97" s="130"/>
      <c r="AU97" s="130"/>
      <c r="AV97" s="110"/>
      <c r="AW97" s="132"/>
      <c r="AX97" s="114"/>
      <c r="AY97" s="208">
        <f>IF(AY$83="geen",0,AY78+AY88-AY91+AY95)</f>
        <v>0</v>
      </c>
      <c r="AZ97" s="208">
        <f>IF(AZ$83="geen",0,AZ78+AZ88-AZ91+AZ95)</f>
        <v>0</v>
      </c>
      <c r="BA97" s="208">
        <f>IF(BA$83="geen",0,BA78+BA88-BA91+BA95)</f>
        <v>0</v>
      </c>
      <c r="BB97" s="130"/>
      <c r="BC97" s="130"/>
      <c r="BD97" s="130"/>
      <c r="BE97" s="130"/>
      <c r="BF97" s="130"/>
      <c r="BG97" s="130"/>
      <c r="BH97" s="210"/>
    </row>
    <row r="98" spans="1:60" hidden="1">
      <c r="A98" s="1040"/>
      <c r="B98" s="1109" t="s">
        <v>161</v>
      </c>
      <c r="C98" s="1106" t="s">
        <v>181</v>
      </c>
      <c r="D98" s="641" t="s">
        <v>45</v>
      </c>
      <c r="E98" s="181" t="s">
        <v>183</v>
      </c>
      <c r="F98" s="180"/>
      <c r="G98" s="180"/>
      <c r="H98" s="181" t="s">
        <v>184</v>
      </c>
      <c r="I98" s="129"/>
      <c r="J98" s="190"/>
      <c r="K98" s="107"/>
      <c r="L98" s="107"/>
      <c r="M98" s="190"/>
      <c r="N98" s="114"/>
      <c r="O98" s="542">
        <f>IF(OR(O83="geen",O97=0),0,IF(O84=gebouw,O$27,1))</f>
        <v>0</v>
      </c>
      <c r="P98" s="542">
        <f>IF(OR(P83="geen",P97=0),0,IF(P84=gebouw,P$27,1))</f>
        <v>0</v>
      </c>
      <c r="Q98" s="542" t="s">
        <v>65</v>
      </c>
      <c r="R98" s="128"/>
      <c r="S98" s="128"/>
      <c r="T98" s="128"/>
      <c r="U98" s="128"/>
      <c r="V98" s="128"/>
      <c r="W98" s="128"/>
      <c r="X98" s="417"/>
      <c r="Y98" s="132"/>
      <c r="Z98" s="119"/>
      <c r="AA98" s="542">
        <f>IF(OR(AA83="geen",AA97=0),0,IF(AA84=gebouw,AA$27,1))</f>
        <v>0</v>
      </c>
      <c r="AB98" s="542">
        <f>IF(OR(AB83="geen",AB97=0),0,IF(AB84=gebouw,AB$27,1))</f>
        <v>0</v>
      </c>
      <c r="AC98" s="542" t="s">
        <v>65</v>
      </c>
      <c r="AD98" s="128"/>
      <c r="AE98" s="128"/>
      <c r="AF98" s="128"/>
      <c r="AG98" s="128"/>
      <c r="AH98" s="128"/>
      <c r="AI98" s="128"/>
      <c r="AJ98" s="417"/>
      <c r="AK98" s="132"/>
      <c r="AL98" s="119"/>
      <c r="AM98" s="542">
        <f>IF(OR(AM83="geen",AM97=0),0,IF(AM84=gebouw,AM$27,1))</f>
        <v>0</v>
      </c>
      <c r="AN98" s="542">
        <f>IF(OR(AN83="geen",AN97=0),0,IF(AN84=gebouw,AN$27,1))</f>
        <v>0</v>
      </c>
      <c r="AO98" s="542" t="s">
        <v>65</v>
      </c>
      <c r="AP98" s="128"/>
      <c r="AQ98" s="128"/>
      <c r="AR98" s="128"/>
      <c r="AS98" s="128"/>
      <c r="AT98" s="128"/>
      <c r="AU98" s="128"/>
      <c r="AV98" s="417"/>
      <c r="AW98" s="132"/>
      <c r="AX98" s="119"/>
      <c r="AY98" s="542">
        <f>IF(OR(AY83="geen",AY97=0),0,IF(AY84=gebouw,AY$27,1))</f>
        <v>0</v>
      </c>
      <c r="AZ98" s="542">
        <f>IF(OR(AZ83="geen",AZ97=0),0,IF(AZ84=gebouw,AZ$27,1))</f>
        <v>0</v>
      </c>
      <c r="BA98" s="542" t="s">
        <v>65</v>
      </c>
      <c r="BB98" s="130"/>
      <c r="BC98" s="130"/>
      <c r="BD98" s="130"/>
      <c r="BE98" s="130"/>
      <c r="BF98" s="130"/>
      <c r="BG98" s="130"/>
      <c r="BH98" s="210"/>
    </row>
    <row r="99" spans="1:60" hidden="1">
      <c r="A99" s="1040"/>
      <c r="B99" s="1109" t="s">
        <v>161</v>
      </c>
      <c r="C99" s="1106" t="s">
        <v>181</v>
      </c>
      <c r="D99" s="641" t="s">
        <v>45</v>
      </c>
      <c r="E99" s="181" t="s">
        <v>185</v>
      </c>
      <c r="F99" s="180"/>
      <c r="G99" s="180"/>
      <c r="H99" s="181" t="s">
        <v>186</v>
      </c>
      <c r="I99" s="129"/>
      <c r="J99" s="190"/>
      <c r="K99" s="107"/>
      <c r="L99" s="107"/>
      <c r="M99" s="190"/>
      <c r="N99" s="114"/>
      <c r="O99" s="542">
        <f>MROUND(((bibliotheek!$I$124*(O97*1000))/(0.001*bibliotheek!$I$125)*((bibliotheek!$I$126-bibliotheek!$I$128)/(bibliotheek!$I$126-bibliotheek!$I$127))+(O29^0.5*4*3+O29)*bibliotheek!$I$129)/1000,50)</f>
        <v>0</v>
      </c>
      <c r="P99" s="542">
        <f>IF(P83="geen",0,MROUND((P97*1000)*bibliotheek!$I$216,1))</f>
        <v>0</v>
      </c>
      <c r="Q99" s="542" t="s">
        <v>65</v>
      </c>
      <c r="R99" s="128"/>
      <c r="S99" s="128"/>
      <c r="T99" s="128"/>
      <c r="U99" s="128"/>
      <c r="V99" s="128"/>
      <c r="W99" s="128"/>
      <c r="X99" s="417"/>
      <c r="Y99" s="132"/>
      <c r="Z99" s="119"/>
      <c r="AA99" s="542">
        <f>MROUND(((bibliotheek!$I$124*(AA97*1000))/(0.001*bibliotheek!$I$125)*((bibliotheek!$I$126-bibliotheek!$I$128)/(bibliotheek!$I$126-bibliotheek!$I$127))+(AA29^0.5*4*3+AA29)*bibliotheek!$I$129)/1000,50)</f>
        <v>0</v>
      </c>
      <c r="AB99" s="542">
        <f>IF(AB83="geen",0,MROUND((AB97*1000)*bibliotheek!$I$216,1))</f>
        <v>0</v>
      </c>
      <c r="AC99" s="542" t="s">
        <v>65</v>
      </c>
      <c r="AD99" s="128"/>
      <c r="AE99" s="128"/>
      <c r="AF99" s="128"/>
      <c r="AG99" s="128"/>
      <c r="AH99" s="128"/>
      <c r="AI99" s="128"/>
      <c r="AJ99" s="417"/>
      <c r="AK99" s="132"/>
      <c r="AL99" s="119"/>
      <c r="AM99" s="542">
        <f>MROUND(((bibliotheek!$I$124*(AM97*1000))/(0.001*bibliotheek!$I$125)*((bibliotheek!$I$126-bibliotheek!$I$128)/(bibliotheek!$I$126-bibliotheek!$I$127))+(AM29^0.5*4*3+AM29)*bibliotheek!$I$129)/1000,50)</f>
        <v>0</v>
      </c>
      <c r="AN99" s="542">
        <f>IF(AN83="geen",0,MROUND((AN97*1000)*bibliotheek!$I$216,1))</f>
        <v>0</v>
      </c>
      <c r="AO99" s="542" t="s">
        <v>65</v>
      </c>
      <c r="AP99" s="128"/>
      <c r="AQ99" s="128"/>
      <c r="AR99" s="128"/>
      <c r="AS99" s="128"/>
      <c r="AT99" s="128"/>
      <c r="AU99" s="128"/>
      <c r="AV99" s="417"/>
      <c r="AW99" s="132"/>
      <c r="AX99" s="119"/>
      <c r="AY99" s="542">
        <f>MROUND(((bibliotheek!$I$124*(AY97*1000))/(0.001*bibliotheek!$I$125)*((bibliotheek!$I$126-bibliotheek!$I$128)/(bibliotheek!$I$126-bibliotheek!$I$127))+(AY29^0.5*4*3+AY29)*bibliotheek!$I$129)/1000,50)</f>
        <v>0</v>
      </c>
      <c r="AZ99" s="542">
        <f>IF(AZ83="geen",0,MROUND((AZ97*1000)*bibliotheek!$I$216,1))</f>
        <v>0</v>
      </c>
      <c r="BA99" s="542" t="s">
        <v>65</v>
      </c>
      <c r="BB99" s="130"/>
      <c r="BC99" s="130"/>
      <c r="BD99" s="130"/>
      <c r="BE99" s="130"/>
      <c r="BF99" s="130"/>
      <c r="BG99" s="130"/>
      <c r="BH99" s="210"/>
    </row>
    <row r="100" spans="1:60" hidden="1">
      <c r="A100" s="1040"/>
      <c r="B100" s="1109" t="s">
        <v>161</v>
      </c>
      <c r="C100" s="1107" t="s">
        <v>181</v>
      </c>
      <c r="D100" s="638"/>
      <c r="E100" s="79"/>
      <c r="F100" s="79"/>
      <c r="G100" s="79"/>
      <c r="H100" s="85"/>
      <c r="I100" s="79"/>
      <c r="J100" s="82"/>
      <c r="K100" s="79"/>
      <c r="L100" s="79"/>
      <c r="M100" s="82"/>
      <c r="N100" s="79"/>
      <c r="O100" s="82"/>
      <c r="P100" s="82"/>
      <c r="Q100" s="82"/>
      <c r="R100" s="82"/>
      <c r="S100" s="82"/>
      <c r="T100" s="82"/>
      <c r="U100" s="82"/>
      <c r="V100" s="82"/>
      <c r="W100" s="82"/>
      <c r="X100" s="82"/>
      <c r="Y100" s="82"/>
      <c r="Z100" s="79"/>
      <c r="AA100" s="108"/>
      <c r="AB100" s="105"/>
      <c r="AC100" s="108"/>
      <c r="AD100" s="82"/>
      <c r="AE100" s="82"/>
      <c r="AF100" s="82"/>
      <c r="AG100" s="82"/>
      <c r="AH100" s="82"/>
      <c r="AI100" s="82"/>
      <c r="AJ100" s="82"/>
      <c r="AK100" s="82"/>
      <c r="AL100" s="79"/>
      <c r="AM100" s="82"/>
      <c r="AN100" s="105"/>
      <c r="AO100" s="82"/>
      <c r="AP100" s="82"/>
      <c r="AQ100" s="82"/>
      <c r="AR100" s="82"/>
      <c r="AS100" s="82"/>
      <c r="AT100" s="82"/>
      <c r="AU100" s="82"/>
      <c r="AV100" s="82"/>
      <c r="AW100" s="82"/>
      <c r="AX100" s="79"/>
      <c r="AY100" s="82"/>
      <c r="AZ100" s="105"/>
      <c r="BA100" s="82"/>
      <c r="BB100" s="82"/>
      <c r="BC100" s="82"/>
      <c r="BD100" s="82"/>
      <c r="BE100" s="82"/>
      <c r="BF100" s="82"/>
      <c r="BG100" s="82"/>
      <c r="BH100" s="1"/>
    </row>
    <row r="101" spans="1:60">
      <c r="A101" s="1040"/>
      <c r="B101" s="1109" t="s">
        <v>187</v>
      </c>
      <c r="C101" s="1107" t="s">
        <v>96</v>
      </c>
      <c r="D101" s="638"/>
      <c r="E101" s="79"/>
      <c r="F101" s="79"/>
      <c r="G101" s="79"/>
      <c r="H101" s="85"/>
      <c r="I101" s="79"/>
      <c r="J101" s="82"/>
      <c r="K101" s="79"/>
      <c r="L101" s="79"/>
      <c r="M101" s="82"/>
      <c r="N101" s="79"/>
      <c r="O101" s="1018"/>
      <c r="P101" s="1019"/>
      <c r="Q101" s="1019"/>
      <c r="R101" s="82"/>
      <c r="S101" s="82"/>
      <c r="T101" s="82"/>
      <c r="U101" s="82"/>
      <c r="V101" s="82"/>
      <c r="W101" s="82"/>
      <c r="X101" s="82"/>
      <c r="Y101" s="82"/>
      <c r="Z101" s="79"/>
      <c r="AA101" s="82"/>
      <c r="AB101" s="82"/>
      <c r="AC101" s="82"/>
      <c r="AD101" s="82"/>
      <c r="AE101" s="82"/>
      <c r="AF101" s="82"/>
      <c r="AG101" s="82"/>
      <c r="AH101" s="82"/>
      <c r="AI101" s="82"/>
      <c r="AJ101" s="82"/>
      <c r="AK101" s="82"/>
      <c r="AL101" s="79"/>
      <c r="AM101" s="82"/>
      <c r="AN101" s="82"/>
      <c r="AO101" s="82"/>
      <c r="AP101" s="82"/>
      <c r="AQ101" s="82"/>
      <c r="AR101" s="82"/>
      <c r="AS101" s="82"/>
      <c r="AT101" s="82"/>
      <c r="AU101" s="82"/>
      <c r="AV101" s="82"/>
      <c r="AW101" s="82"/>
      <c r="AX101" s="79"/>
      <c r="AY101" s="82"/>
      <c r="AZ101" s="82"/>
      <c r="BA101" s="82"/>
      <c r="BB101" s="82"/>
      <c r="BC101" s="82"/>
      <c r="BD101" s="82"/>
      <c r="BE101" s="82"/>
      <c r="BF101" s="82"/>
      <c r="BG101" s="82"/>
      <c r="BH101" s="1"/>
    </row>
    <row r="102" spans="1:60" ht="21">
      <c r="A102" s="1040"/>
      <c r="B102" s="1109" t="s">
        <v>187</v>
      </c>
      <c r="C102" s="1106" t="s">
        <v>96</v>
      </c>
      <c r="D102" s="641" t="s">
        <v>45</v>
      </c>
      <c r="E102" s="199" t="s">
        <v>188</v>
      </c>
      <c r="F102" s="199"/>
      <c r="G102" s="199"/>
      <c r="H102" s="199"/>
      <c r="I102" s="77"/>
      <c r="J102" s="200" t="str">
        <f>J$10</f>
        <v>alle locaties</v>
      </c>
      <c r="K102" s="126"/>
      <c r="L102" s="126"/>
      <c r="M102" s="200" t="str">
        <f>M$10</f>
        <v>locatie 1</v>
      </c>
      <c r="N102" s="182"/>
      <c r="O102" s="966" t="str">
        <f>$E102&amp;" per energiepost"</f>
        <v>installatie preferent toestel per energiepost</v>
      </c>
      <c r="P102" s="941"/>
      <c r="Q102" s="941"/>
      <c r="R102" s="941"/>
      <c r="S102" s="941"/>
      <c r="T102" s="941"/>
      <c r="U102" s="941"/>
      <c r="V102" s="941"/>
      <c r="W102" s="956"/>
      <c r="X102" s="174"/>
      <c r="Y102" s="176" t="str">
        <f>Y$10</f>
        <v>locatie 2</v>
      </c>
      <c r="Z102" s="182"/>
      <c r="AA102" s="966" t="str">
        <f>$E102&amp;" per energiepost"</f>
        <v>installatie preferent toestel per energiepost</v>
      </c>
      <c r="AB102" s="941"/>
      <c r="AC102" s="941"/>
      <c r="AD102" s="941"/>
      <c r="AE102" s="941"/>
      <c r="AF102" s="941"/>
      <c r="AG102" s="941"/>
      <c r="AH102" s="941"/>
      <c r="AI102" s="956"/>
      <c r="AJ102" s="174"/>
      <c r="AK102" s="176" t="str">
        <f>AK$10</f>
        <v>locatie 3</v>
      </c>
      <c r="AL102" s="182"/>
      <c r="AM102" s="966" t="str">
        <f>$E102&amp;" per energiepost"</f>
        <v>installatie preferent toestel per energiepost</v>
      </c>
      <c r="AN102" s="941"/>
      <c r="AO102" s="941"/>
      <c r="AP102" s="941"/>
      <c r="AQ102" s="941"/>
      <c r="AR102" s="941"/>
      <c r="AS102" s="941"/>
      <c r="AT102" s="941"/>
      <c r="AU102" s="956"/>
      <c r="AV102" s="174"/>
      <c r="AW102" s="176" t="str">
        <f>AW$10</f>
        <v>locatie 4</v>
      </c>
      <c r="AX102" s="182"/>
      <c r="AY102" s="966" t="str">
        <f>$E102&amp;" per energiepost"</f>
        <v>installatie preferent toestel per energiepost</v>
      </c>
      <c r="AZ102" s="941"/>
      <c r="BA102" s="941"/>
      <c r="BB102" s="941"/>
      <c r="BC102" s="941"/>
      <c r="BD102" s="941"/>
      <c r="BE102" s="941"/>
      <c r="BF102" s="941"/>
      <c r="BG102" s="956"/>
      <c r="BH102" s="1"/>
    </row>
    <row r="103" spans="1:60">
      <c r="A103" s="1040"/>
      <c r="B103" s="1109" t="s">
        <v>187</v>
      </c>
      <c r="C103" s="1106" t="s">
        <v>96</v>
      </c>
      <c r="D103" s="641"/>
      <c r="E103" s="940" t="s">
        <v>189</v>
      </c>
      <c r="F103" s="940"/>
      <c r="G103" s="940"/>
      <c r="H103" s="940"/>
      <c r="I103" s="77"/>
      <c r="J103" s="939"/>
      <c r="K103" s="126"/>
      <c r="L103" s="126"/>
      <c r="M103" s="938"/>
      <c r="N103" s="125"/>
      <c r="O103" s="177" t="str">
        <f>O$10</f>
        <v>verwarming</v>
      </c>
      <c r="P103" s="177" t="str">
        <f>P$10</f>
        <v>koeling</v>
      </c>
      <c r="Q103" s="177" t="str">
        <f>Q$10</f>
        <v>tapwater</v>
      </c>
      <c r="R103" s="177"/>
      <c r="S103" s="177"/>
      <c r="T103" s="177"/>
      <c r="U103" s="177"/>
      <c r="V103" s="177"/>
      <c r="W103" s="177"/>
      <c r="X103" s="147"/>
      <c r="Y103" s="938"/>
      <c r="Z103" s="125"/>
      <c r="AA103" s="177" t="str">
        <f>AA$10</f>
        <v>verwarming</v>
      </c>
      <c r="AB103" s="177" t="str">
        <f>AB$10</f>
        <v>koeling</v>
      </c>
      <c r="AC103" s="177" t="str">
        <f>AC$10</f>
        <v>tapwater</v>
      </c>
      <c r="AD103" s="177"/>
      <c r="AE103" s="177"/>
      <c r="AF103" s="177"/>
      <c r="AG103" s="177"/>
      <c r="AH103" s="177"/>
      <c r="AI103" s="177"/>
      <c r="AJ103" s="147"/>
      <c r="AK103" s="938"/>
      <c r="AL103" s="125"/>
      <c r="AM103" s="177" t="str">
        <f>AM$10</f>
        <v>verwarming</v>
      </c>
      <c r="AN103" s="177" t="str">
        <f>AN$10</f>
        <v>koeling</v>
      </c>
      <c r="AO103" s="177" t="str">
        <f>AO$10</f>
        <v>tapwater</v>
      </c>
      <c r="AP103" s="177"/>
      <c r="AQ103" s="177"/>
      <c r="AR103" s="177"/>
      <c r="AS103" s="177"/>
      <c r="AT103" s="177"/>
      <c r="AU103" s="177"/>
      <c r="AV103" s="147"/>
      <c r="AW103" s="938"/>
      <c r="AX103" s="125"/>
      <c r="AY103" s="177" t="str">
        <f>AY$10</f>
        <v>verwarming</v>
      </c>
      <c r="AZ103" s="177" t="str">
        <f>AZ$10</f>
        <v>koeling</v>
      </c>
      <c r="BA103" s="177" t="str">
        <f>BA$10</f>
        <v>tapwater</v>
      </c>
      <c r="BB103" s="177"/>
      <c r="BC103" s="177"/>
      <c r="BD103" s="177"/>
      <c r="BE103" s="177"/>
      <c r="BF103" s="177"/>
      <c r="BG103" s="177"/>
      <c r="BH103" s="218"/>
    </row>
    <row r="104" spans="1:60" ht="38.25">
      <c r="A104" s="1040"/>
      <c r="B104" s="1109" t="s">
        <v>187</v>
      </c>
      <c r="C104" s="1107" t="s">
        <v>118</v>
      </c>
      <c r="D104" s="638"/>
      <c r="E104" s="150" t="s">
        <v>164</v>
      </c>
      <c r="F104" s="294"/>
      <c r="G104" s="294"/>
      <c r="H104" s="150" t="s">
        <v>65</v>
      </c>
      <c r="I104" s="155"/>
      <c r="J104" s="268"/>
      <c r="K104" s="1056"/>
      <c r="L104" s="1056"/>
      <c r="M104" s="268"/>
      <c r="N104" s="120"/>
      <c r="O104" s="324" t="str">
        <f>O83</f>
        <v>ind WP, ind bodem, elek bijstook</v>
      </c>
      <c r="P104" s="324" t="str">
        <f>P83</f>
        <v>geen</v>
      </c>
      <c r="Q104" s="324" t="str">
        <f>Q83</f>
        <v>ind WP, ind bodem, elek bijstook</v>
      </c>
      <c r="R104" s="156"/>
      <c r="S104" s="156"/>
      <c r="T104" s="156"/>
      <c r="U104" s="156"/>
      <c r="V104" s="156"/>
      <c r="W104" s="156"/>
      <c r="X104" s="157"/>
      <c r="Y104" s="268"/>
      <c r="Z104" s="120"/>
      <c r="AA104" s="324" t="str">
        <f>AA83</f>
        <v>ind WP, ind bodem, elek bijstook</v>
      </c>
      <c r="AB104" s="324" t="str">
        <f>AB83</f>
        <v>geen</v>
      </c>
      <c r="AC104" s="324" t="str">
        <f>AC83</f>
        <v>ind WP, ind bodem, elek bijstook</v>
      </c>
      <c r="AD104" s="156"/>
      <c r="AE104" s="156"/>
      <c r="AF104" s="156"/>
      <c r="AG104" s="156"/>
      <c r="AH104" s="156"/>
      <c r="AI104" s="156"/>
      <c r="AJ104" s="157"/>
      <c r="AK104" s="268"/>
      <c r="AL104" s="120"/>
      <c r="AM104" s="324" t="str">
        <f>AM83</f>
        <v>ind WP, ind bodem, elek bijstook</v>
      </c>
      <c r="AN104" s="324" t="str">
        <f>AN83</f>
        <v>geen</v>
      </c>
      <c r="AO104" s="324" t="str">
        <f>AO83</f>
        <v>ind WP, ind bodem, elek bijstook</v>
      </c>
      <c r="AP104" s="156"/>
      <c r="AQ104" s="156"/>
      <c r="AR104" s="156"/>
      <c r="AS104" s="156"/>
      <c r="AT104" s="156"/>
      <c r="AU104" s="156"/>
      <c r="AV104" s="157"/>
      <c r="AW104" s="268"/>
      <c r="AX104" s="120"/>
      <c r="AY104" s="324" t="str">
        <f>AY83</f>
        <v>ind WP, ind bodem, elek bijstook</v>
      </c>
      <c r="AZ104" s="324" t="str">
        <f>AZ83</f>
        <v>geen</v>
      </c>
      <c r="BA104" s="324" t="str">
        <f>BA83</f>
        <v>ind WP, ind bodem, elek bijstook</v>
      </c>
      <c r="BB104" s="156"/>
      <c r="BC104" s="156"/>
      <c r="BD104" s="156"/>
      <c r="BE104" s="156"/>
      <c r="BF104" s="156"/>
      <c r="BG104" s="156"/>
      <c r="BH104" s="218"/>
    </row>
    <row r="105" spans="1:60" s="36" customFormat="1" ht="80.25" hidden="1" customHeight="1">
      <c r="A105" s="1040"/>
      <c r="B105" s="1109" t="s">
        <v>187</v>
      </c>
      <c r="C105" s="1107" t="s">
        <v>181</v>
      </c>
      <c r="D105" s="638"/>
      <c r="E105" s="150" t="s">
        <v>190</v>
      </c>
      <c r="F105" s="149"/>
      <c r="G105" s="149"/>
      <c r="H105" s="150" t="s">
        <v>65</v>
      </c>
      <c r="I105" s="277"/>
      <c r="J105" s="287"/>
      <c r="K105" s="1057"/>
      <c r="L105" s="1057"/>
      <c r="M105" s="287"/>
      <c r="N105" s="194"/>
      <c r="O105" s="324" t="str">
        <f>HLOOKUP(IF(O$83="",referentie_verwarming,O$83),toestellen_RV,ROWS(bibliotheek!$E$83:$E$96),FALSE)</f>
        <v>elektriciteit</v>
      </c>
      <c r="P105" s="324" t="str">
        <f>HLOOKUP(IF(P$83="",referentie_koeling,P$83),toestellen_KOEL,ROWS(bibliotheek!$E$190:$E$197),FALSE)</f>
        <v>nvt</v>
      </c>
      <c r="Q105" s="324" t="str">
        <f>HLOOKUP(IF(Q$83="",referentie_warmtapwater,Q$83),toestellen_TAP,ROWS(bibliotheek!$E$139:$E$152),FALSE)</f>
        <v>elektriciteit</v>
      </c>
      <c r="R105" s="278"/>
      <c r="S105" s="278"/>
      <c r="T105" s="278"/>
      <c r="U105" s="278"/>
      <c r="V105" s="278"/>
      <c r="W105" s="278"/>
      <c r="X105" s="279"/>
      <c r="Y105" s="287"/>
      <c r="Z105" s="194"/>
      <c r="AA105" s="324" t="str">
        <f>HLOOKUP(IF(AA$83="",referentie_verwarming,AA$83),toestellen_RV,ROWS(bibliotheek!$E$83:$E$96),FALSE)</f>
        <v>elektriciteit</v>
      </c>
      <c r="AB105" s="324" t="str">
        <f>HLOOKUP(IF(AB$83="",referentie_koeling,AB$83),toestellen_KOEL,ROWS(bibliotheek!$E$190:$E$197),FALSE)</f>
        <v>nvt</v>
      </c>
      <c r="AC105" s="324" t="str">
        <f>HLOOKUP(IF(AC$83="",referentie_warmtapwater,AC$83),toestellen_TAP,ROWS(bibliotheek!$E$139:$E$152),FALSE)</f>
        <v>elektriciteit</v>
      </c>
      <c r="AD105" s="278"/>
      <c r="AE105" s="278"/>
      <c r="AF105" s="278"/>
      <c r="AG105" s="278"/>
      <c r="AH105" s="278"/>
      <c r="AI105" s="278"/>
      <c r="AJ105" s="279"/>
      <c r="AK105" s="287"/>
      <c r="AL105" s="194"/>
      <c r="AM105" s="324" t="str">
        <f>HLOOKUP(IF(AM$83="",referentie_verwarming,AM$83),toestellen_RV,ROWS(bibliotheek!$E$83:$E$96),FALSE)</f>
        <v>elektriciteit</v>
      </c>
      <c r="AN105" s="324" t="str">
        <f>HLOOKUP(IF(AN$83="",referentie_koeling,AN$83),toestellen_KOEL,ROWS(bibliotheek!$E$190:$E$197),FALSE)</f>
        <v>nvt</v>
      </c>
      <c r="AO105" s="324" t="str">
        <f>HLOOKUP(IF(AO$83="",referentie_warmtapwater,AO$83),toestellen_TAP,ROWS(bibliotheek!$E$139:$E$152),FALSE)</f>
        <v>elektriciteit</v>
      </c>
      <c r="AP105" s="278"/>
      <c r="AQ105" s="278"/>
      <c r="AR105" s="278"/>
      <c r="AS105" s="278"/>
      <c r="AT105" s="278"/>
      <c r="AU105" s="278"/>
      <c r="AV105" s="279"/>
      <c r="AW105" s="287"/>
      <c r="AX105" s="194"/>
      <c r="AY105" s="324" t="str">
        <f>HLOOKUP(IF(AY$83="",referentie_verwarming,AY$83),toestellen_RV,ROWS(bibliotheek!$E$83:$E$96),FALSE)</f>
        <v>elektriciteit</v>
      </c>
      <c r="AZ105" s="324" t="str">
        <f>HLOOKUP(IF(AZ$83="",referentie_koeling,AZ$83),toestellen_KOEL,ROWS(bibliotheek!$E$190:$E$197),FALSE)</f>
        <v>nvt</v>
      </c>
      <c r="BA105" s="324" t="str">
        <f>HLOOKUP(IF(BA$83="",referentie_warmtapwater,BA$83),toestellen_TAP,ROWS(bibliotheek!$E$139:$E$152),FALSE)</f>
        <v>elektriciteit</v>
      </c>
      <c r="BB105" s="278"/>
      <c r="BC105" s="278"/>
      <c r="BD105" s="278"/>
      <c r="BE105" s="278"/>
      <c r="BF105" s="278"/>
      <c r="BG105" s="278"/>
      <c r="BH105" s="223"/>
    </row>
    <row r="106" spans="1:60" hidden="1">
      <c r="A106" s="1040"/>
      <c r="B106" s="1109" t="s">
        <v>187</v>
      </c>
      <c r="C106" s="1106" t="s">
        <v>181</v>
      </c>
      <c r="D106" s="638"/>
      <c r="E106" s="181" t="s">
        <v>191</v>
      </c>
      <c r="F106" s="180"/>
      <c r="G106" s="180"/>
      <c r="H106" s="181" t="s">
        <v>65</v>
      </c>
      <c r="I106" s="129"/>
      <c r="J106" s="190"/>
      <c r="K106" s="1058"/>
      <c r="L106" s="1058"/>
      <c r="M106" s="190"/>
      <c r="N106" s="114"/>
      <c r="O106" s="543" t="str">
        <f>INDEX(energiedragers_index_fPren,MATCH(O105,energiedragers_namen,0))</f>
        <v>nren</v>
      </c>
      <c r="P106" s="543" t="str">
        <f>INDEX(energiedragers_index_fPren,MATCH(P105,energiedragers_namen,0))</f>
        <v>nren</v>
      </c>
      <c r="Q106" s="543" t="str">
        <f>INDEX(energiedragers_index_fPren,MATCH(Q105,energiedragers_namen,0))</f>
        <v>nren</v>
      </c>
      <c r="R106" s="165"/>
      <c r="S106" s="165"/>
      <c r="T106" s="165"/>
      <c r="U106" s="165"/>
      <c r="V106" s="165"/>
      <c r="W106" s="165"/>
      <c r="X106" s="166"/>
      <c r="Y106" s="190"/>
      <c r="Z106" s="114"/>
      <c r="AA106" s="543" t="str">
        <f>INDEX(energiedragers_index_fPren,MATCH(AA105,energiedragers_namen,0))</f>
        <v>nren</v>
      </c>
      <c r="AB106" s="543" t="str">
        <f>INDEX(energiedragers_index_fPren,MATCH(AB105,energiedragers_namen,0))</f>
        <v>nren</v>
      </c>
      <c r="AC106" s="543" t="str">
        <f>INDEX(energiedragers_index_fPren,MATCH(AC105,energiedragers_namen,0))</f>
        <v>nren</v>
      </c>
      <c r="AD106" s="165"/>
      <c r="AE106" s="165"/>
      <c r="AF106" s="165"/>
      <c r="AG106" s="165"/>
      <c r="AH106" s="165"/>
      <c r="AI106" s="165"/>
      <c r="AJ106" s="166"/>
      <c r="AK106" s="190"/>
      <c r="AL106" s="114"/>
      <c r="AM106" s="543" t="str">
        <f>INDEX(energiedragers_index_fPren,MATCH(AM105,energiedragers_namen,0))</f>
        <v>nren</v>
      </c>
      <c r="AN106" s="543" t="str">
        <f>INDEX(energiedragers_index_fPren,MATCH(AN105,energiedragers_namen,0))</f>
        <v>nren</v>
      </c>
      <c r="AO106" s="543" t="str">
        <f>INDEX(energiedragers_index_fPren,MATCH(AO105,energiedragers_namen,0))</f>
        <v>nren</v>
      </c>
      <c r="AP106" s="165"/>
      <c r="AQ106" s="165"/>
      <c r="AR106" s="165"/>
      <c r="AS106" s="165"/>
      <c r="AT106" s="165"/>
      <c r="AU106" s="165"/>
      <c r="AV106" s="166"/>
      <c r="AW106" s="190"/>
      <c r="AX106" s="114"/>
      <c r="AY106" s="543" t="str">
        <f>INDEX(energiedragers_index_fPren,MATCH(AY105,energiedragers_namen,0))</f>
        <v>nren</v>
      </c>
      <c r="AZ106" s="543" t="str">
        <f>INDEX(energiedragers_index_fPren,MATCH(AZ105,energiedragers_namen,0))</f>
        <v>nren</v>
      </c>
      <c r="BA106" s="543" t="str">
        <f>INDEX(energiedragers_index_fPren,MATCH(BA105,energiedragers_namen,0))</f>
        <v>nren</v>
      </c>
      <c r="BB106" s="165"/>
      <c r="BC106" s="165"/>
      <c r="BD106" s="165"/>
      <c r="BE106" s="165"/>
      <c r="BF106" s="165"/>
      <c r="BG106" s="165"/>
      <c r="BH106" s="219"/>
    </row>
    <row r="107" spans="1:60">
      <c r="A107" s="1040"/>
      <c r="B107" s="1109" t="s">
        <v>187</v>
      </c>
      <c r="C107" s="1106" t="s">
        <v>96</v>
      </c>
      <c r="D107" s="638"/>
      <c r="E107" s="940" t="s">
        <v>192</v>
      </c>
      <c r="F107" s="940"/>
      <c r="G107" s="940"/>
      <c r="H107" s="940"/>
      <c r="I107" s="77"/>
      <c r="J107" s="939"/>
      <c r="K107" s="126"/>
      <c r="L107" s="126"/>
      <c r="M107" s="938"/>
      <c r="N107" s="125"/>
      <c r="O107" s="177" t="str">
        <f>O$10</f>
        <v>verwarming</v>
      </c>
      <c r="P107" s="177" t="str">
        <f>P$10</f>
        <v>koeling</v>
      </c>
      <c r="Q107" s="177" t="str">
        <f>Q$10</f>
        <v>tapwater</v>
      </c>
      <c r="R107" s="177"/>
      <c r="S107" s="177"/>
      <c r="T107" s="177"/>
      <c r="U107" s="177"/>
      <c r="V107" s="177"/>
      <c r="W107" s="177"/>
      <c r="X107" s="127"/>
      <c r="Y107" s="938"/>
      <c r="Z107" s="125"/>
      <c r="AA107" s="177" t="str">
        <f>AA$10</f>
        <v>verwarming</v>
      </c>
      <c r="AB107" s="177" t="str">
        <f>AB$10</f>
        <v>koeling</v>
      </c>
      <c r="AC107" s="177" t="str">
        <f>AC$10</f>
        <v>tapwater</v>
      </c>
      <c r="AD107" s="177"/>
      <c r="AE107" s="177"/>
      <c r="AF107" s="177"/>
      <c r="AG107" s="177"/>
      <c r="AH107" s="177"/>
      <c r="AI107" s="177"/>
      <c r="AJ107" s="127"/>
      <c r="AK107" s="938"/>
      <c r="AL107" s="125"/>
      <c r="AM107" s="177" t="str">
        <f>AM$10</f>
        <v>verwarming</v>
      </c>
      <c r="AN107" s="177" t="str">
        <f>AN$10</f>
        <v>koeling</v>
      </c>
      <c r="AO107" s="177" t="str">
        <f>AO$10</f>
        <v>tapwater</v>
      </c>
      <c r="AP107" s="177"/>
      <c r="AQ107" s="177"/>
      <c r="AR107" s="177"/>
      <c r="AS107" s="177"/>
      <c r="AT107" s="177"/>
      <c r="AU107" s="177"/>
      <c r="AV107" s="127"/>
      <c r="AW107" s="938"/>
      <c r="AX107" s="125"/>
      <c r="AY107" s="177" t="str">
        <f>AY$10</f>
        <v>verwarming</v>
      </c>
      <c r="AZ107" s="177" t="str">
        <f>AZ$10</f>
        <v>koeling</v>
      </c>
      <c r="BA107" s="177" t="str">
        <f>BA$10</f>
        <v>tapwater</v>
      </c>
      <c r="BB107" s="177"/>
      <c r="BC107" s="177"/>
      <c r="BD107" s="177"/>
      <c r="BE107" s="177"/>
      <c r="BF107" s="177"/>
      <c r="BG107" s="177"/>
      <c r="BH107" s="218"/>
    </row>
    <row r="108" spans="1:60">
      <c r="A108" s="1040"/>
      <c r="B108" s="1109" t="s">
        <v>187</v>
      </c>
      <c r="C108" s="1107" t="s">
        <v>118</v>
      </c>
      <c r="D108" s="638"/>
      <c r="E108" s="291" t="s">
        <v>193</v>
      </c>
      <c r="F108" s="254"/>
      <c r="G108" s="254"/>
      <c r="H108" s="291" t="s">
        <v>139</v>
      </c>
      <c r="I108" s="77"/>
      <c r="J108" s="189"/>
      <c r="K108" s="107"/>
      <c r="L108" s="107"/>
      <c r="M108" s="189"/>
      <c r="N108" s="79"/>
      <c r="O108" s="544">
        <f>IF(HLOOKUP(IF(O$83="",referentie_verwarming,O$83),toestellen_RV,ROWS(bibliotheek!$E$83:$E$98),FALSE)=1,1,IF(O109&lt;&gt;"",O109,HLOOKUP(IF(O$83="",referentie_verwarming,O$83),toestellen_RV,ROWS(bibliotheek!$E$83:$E$98),FALSE)))</f>
        <v>0.9</v>
      </c>
      <c r="P108" s="544">
        <f>IF(HLOOKUP(IF(P$83="",referentie_koeling,P$83),toestellen_KOEL,ROWS(bibliotheek!$E$190:$E$199),FALSE)=1,1,IF(P109&lt;&gt;"",P109,HLOOKUP(IF(P$83="",referentie_koeling,P$83),toestellen_KOEL,ROWS(bibliotheek!$E$190:$E$199),FALSE)))</f>
        <v>1</v>
      </c>
      <c r="Q108" s="544">
        <f>IF(HLOOKUP(IF(Q$83="",referentie_warmtapwater,Q$83),toestellen_TAP,ROWS(bibliotheek!$E$139:$E$154),FALSE)=1,1,IF(Q109&lt;&gt;"",Q109,HLOOKUP(IF(Q$83="",referentie_warmtapwater,Q$83),toestellen_TAP,ROWS(bibliotheek!$E$139:$E$154),FALSE)))</f>
        <v>0.9</v>
      </c>
      <c r="R108" s="135"/>
      <c r="S108" s="135"/>
      <c r="T108" s="135"/>
      <c r="U108" s="135"/>
      <c r="V108" s="135"/>
      <c r="W108" s="135"/>
      <c r="X108" s="76"/>
      <c r="Y108" s="189"/>
      <c r="Z108" s="79"/>
      <c r="AA108" s="544">
        <f>IF(HLOOKUP(IF(AA$83="",referentie_verwarming,AA$83),toestellen_RV,ROWS(bibliotheek!$E$83:$E$98),FALSE)=1,1,IF(AA109&lt;&gt;"",AA109,HLOOKUP(IF(AA$83="",referentie_verwarming,AA$83),toestellen_RV,ROWS(bibliotheek!$E$83:$E$98),FALSE)))</f>
        <v>0.9</v>
      </c>
      <c r="AB108" s="544">
        <f>IF(HLOOKUP(IF(AB$83="",referentie_koeling,AB$83),toestellen_KOEL,ROWS(bibliotheek!$E$190:$E$199),FALSE)=1,1,IF(AB109&lt;&gt;"",AB109,HLOOKUP(IF(AB$83="",referentie_koeling,AB$83),toestellen_KOEL,ROWS(bibliotheek!$E$190:$E$199),FALSE)))</f>
        <v>1</v>
      </c>
      <c r="AC108" s="544">
        <f>IF(HLOOKUP(IF(AC$83="",referentie_warmtapwater,AC$83),toestellen_TAP,ROWS(bibliotheek!$E$139:$E$154),FALSE)=1,1,IF(AC109&lt;&gt;"",AC109,HLOOKUP(IF(AC$83="",referentie_warmtapwater,AC$83),toestellen_TAP,ROWS(bibliotheek!$E$139:$E$154),FALSE)))</f>
        <v>0.9</v>
      </c>
      <c r="AD108" s="135"/>
      <c r="AE108" s="135"/>
      <c r="AF108" s="135"/>
      <c r="AG108" s="135"/>
      <c r="AH108" s="135"/>
      <c r="AI108" s="135"/>
      <c r="AJ108" s="76"/>
      <c r="AK108" s="189"/>
      <c r="AL108" s="79"/>
      <c r="AM108" s="544">
        <f>IF(HLOOKUP(IF(AM$83="",referentie_verwarming,AM$83),toestellen_RV,ROWS(bibliotheek!$E$83:$E$98),FALSE)=1,1,IF(AM109&lt;&gt;"",AM109,HLOOKUP(IF(AM$83="",referentie_verwarming,AM$83),toestellen_RV,ROWS(bibliotheek!$E$83:$E$98),FALSE)))</f>
        <v>0.9</v>
      </c>
      <c r="AN108" s="544">
        <f>IF(HLOOKUP(IF(AN$83="",referentie_koeling,AN$83),toestellen_KOEL,ROWS(bibliotheek!$E$190:$E$199),FALSE)=1,1,IF(AN109&lt;&gt;"",AN109,HLOOKUP(IF(AN$83="",referentie_koeling,AN$83),toestellen_KOEL,ROWS(bibliotheek!$E$190:$E$199),FALSE)))</f>
        <v>1</v>
      </c>
      <c r="AO108" s="544">
        <f>IF(HLOOKUP(IF(AO$83="",referentie_warmtapwater,AO$83),toestellen_TAP,ROWS(bibliotheek!$E$139:$E$154),FALSE)=1,1,IF(AO109&lt;&gt;"",AO109,HLOOKUP(IF(AO$83="",referentie_warmtapwater,AO$83),toestellen_TAP,ROWS(bibliotheek!$E$139:$E$154),FALSE)))</f>
        <v>0.9</v>
      </c>
      <c r="AP108" s="135"/>
      <c r="AQ108" s="135"/>
      <c r="AR108" s="135"/>
      <c r="AS108" s="135"/>
      <c r="AT108" s="135"/>
      <c r="AU108" s="135"/>
      <c r="AV108" s="76"/>
      <c r="AW108" s="189"/>
      <c r="AX108" s="79"/>
      <c r="AY108" s="544">
        <f>IF(HLOOKUP(IF(AY$83="",referentie_verwarming,AY$83),toestellen_RV,ROWS(bibliotheek!$E$83:$E$98),FALSE)=1,1,IF(AY109&lt;&gt;"",AY109,HLOOKUP(IF(AY$83="",referentie_verwarming,AY$83),toestellen_RV,ROWS(bibliotheek!$E$83:$E$98),FALSE)))</f>
        <v>0.9</v>
      </c>
      <c r="AZ108" s="544">
        <f>IF(HLOOKUP(IF(AZ$83="",referentie_koeling,AZ$83),toestellen_KOEL,ROWS(bibliotheek!$E$190:$E$199),FALSE)=1,1,IF(AZ109&lt;&gt;"",AZ109,HLOOKUP(IF(AZ$83="",referentie_koeling,AZ$83),toestellen_KOEL,ROWS(bibliotheek!$E$190:$E$199),FALSE)))</f>
        <v>1</v>
      </c>
      <c r="BA108" s="544">
        <f>IF(HLOOKUP(IF(BA$83="",referentie_warmtapwater,BA$83),toestellen_TAP,ROWS(bibliotheek!$E$139:$E$154),FALSE)=1,1,IF(BA109&lt;&gt;"",BA109,HLOOKUP(IF(BA$83="",referentie_warmtapwater,BA$83),toestellen_TAP,ROWS(bibliotheek!$E$139:$E$154),FALSE)))</f>
        <v>0.9</v>
      </c>
      <c r="BB108" s="135"/>
      <c r="BC108" s="135"/>
      <c r="BD108" s="135"/>
      <c r="BE108" s="135"/>
      <c r="BF108" s="135"/>
      <c r="BG108" s="135"/>
      <c r="BH108" s="174"/>
    </row>
    <row r="109" spans="1:60">
      <c r="A109" s="1040"/>
      <c r="B109" s="1109" t="s">
        <v>187</v>
      </c>
      <c r="C109" s="1107" t="s">
        <v>118</v>
      </c>
      <c r="D109" s="638"/>
      <c r="E109" s="1218" t="s">
        <v>194</v>
      </c>
      <c r="F109" s="255"/>
      <c r="G109" s="255"/>
      <c r="H109" s="292"/>
      <c r="I109" s="77"/>
      <c r="J109" s="299"/>
      <c r="K109" s="107"/>
      <c r="L109" s="107"/>
      <c r="M109" s="198"/>
      <c r="N109" s="79"/>
      <c r="O109" s="282"/>
      <c r="P109" s="282"/>
      <c r="Q109" s="282"/>
      <c r="R109" s="137"/>
      <c r="S109" s="137"/>
      <c r="T109" s="137"/>
      <c r="U109" s="137"/>
      <c r="V109" s="137"/>
      <c r="W109" s="137"/>
      <c r="X109" s="76"/>
      <c r="Y109" s="198"/>
      <c r="Z109" s="79"/>
      <c r="AA109" s="282"/>
      <c r="AB109" s="282"/>
      <c r="AC109" s="282"/>
      <c r="AD109" s="137"/>
      <c r="AE109" s="137"/>
      <c r="AF109" s="137"/>
      <c r="AG109" s="137"/>
      <c r="AH109" s="137"/>
      <c r="AI109" s="137"/>
      <c r="AJ109" s="76"/>
      <c r="AK109" s="198"/>
      <c r="AL109" s="79"/>
      <c r="AM109" s="282"/>
      <c r="AN109" s="282"/>
      <c r="AO109" s="282"/>
      <c r="AP109" s="137"/>
      <c r="AQ109" s="137"/>
      <c r="AR109" s="137"/>
      <c r="AS109" s="137"/>
      <c r="AT109" s="137"/>
      <c r="AU109" s="137"/>
      <c r="AV109" s="76"/>
      <c r="AW109" s="198"/>
      <c r="AX109" s="79"/>
      <c r="AY109" s="282"/>
      <c r="AZ109" s="282"/>
      <c r="BA109" s="282"/>
      <c r="BB109" s="137"/>
      <c r="BC109" s="137"/>
      <c r="BD109" s="137"/>
      <c r="BE109" s="137"/>
      <c r="BF109" s="137"/>
      <c r="BG109" s="137"/>
      <c r="BH109" s="220"/>
    </row>
    <row r="110" spans="1:60" hidden="1">
      <c r="A110" s="1046"/>
      <c r="B110" s="1109" t="s">
        <v>187</v>
      </c>
      <c r="C110" s="1111" t="s">
        <v>181</v>
      </c>
      <c r="D110" s="643"/>
      <c r="E110" s="201" t="s">
        <v>195</v>
      </c>
      <c r="F110" s="245"/>
      <c r="G110" s="245"/>
      <c r="H110" s="201" t="s">
        <v>160</v>
      </c>
      <c r="I110" s="107"/>
      <c r="J110" s="202">
        <f>M110+Y110+AK110+AW110</f>
        <v>0</v>
      </c>
      <c r="K110" s="1059"/>
      <c r="L110" s="1059"/>
      <c r="M110" s="202">
        <f>SUM(O110:X110)</f>
        <v>0</v>
      </c>
      <c r="N110" s="243"/>
      <c r="O110" s="168">
        <f>O$97*O108</f>
        <v>0</v>
      </c>
      <c r="P110" s="168">
        <f>P$97*P108</f>
        <v>0</v>
      </c>
      <c r="Q110" s="168">
        <f>Q$97*Q108</f>
        <v>0</v>
      </c>
      <c r="R110" s="130"/>
      <c r="S110" s="130"/>
      <c r="T110" s="130"/>
      <c r="U110" s="130"/>
      <c r="V110" s="130"/>
      <c r="W110" s="130"/>
      <c r="X110" s="110"/>
      <c r="Y110" s="202">
        <f>SUM(AA110:AJ110)</f>
        <v>0</v>
      </c>
      <c r="Z110" s="243"/>
      <c r="AA110" s="168">
        <f>AA$97*AA108</f>
        <v>0</v>
      </c>
      <c r="AB110" s="168">
        <f>AB$97*AB108</f>
        <v>0</v>
      </c>
      <c r="AC110" s="168">
        <f>AC$97*AC108</f>
        <v>0</v>
      </c>
      <c r="AD110" s="130"/>
      <c r="AE110" s="130"/>
      <c r="AF110" s="130"/>
      <c r="AG110" s="130"/>
      <c r="AH110" s="130"/>
      <c r="AI110" s="130"/>
      <c r="AJ110" s="110"/>
      <c r="AK110" s="202">
        <f>SUM(AM110:AV110)</f>
        <v>0</v>
      </c>
      <c r="AL110" s="243"/>
      <c r="AM110" s="168">
        <f>AM$97*AM108</f>
        <v>0</v>
      </c>
      <c r="AN110" s="168">
        <f>AN$97*AN108</f>
        <v>0</v>
      </c>
      <c r="AO110" s="168">
        <f>AO$97*AO108</f>
        <v>0</v>
      </c>
      <c r="AP110" s="130"/>
      <c r="AQ110" s="130"/>
      <c r="AR110" s="130"/>
      <c r="AS110" s="130"/>
      <c r="AT110" s="130"/>
      <c r="AU110" s="130"/>
      <c r="AV110" s="110"/>
      <c r="AW110" s="202">
        <f>SUM(AY110:BH110)</f>
        <v>0</v>
      </c>
      <c r="AX110" s="243"/>
      <c r="AY110" s="168">
        <f>AY$97*AY108</f>
        <v>0</v>
      </c>
      <c r="AZ110" s="168">
        <f>AZ$97*AZ108</f>
        <v>0</v>
      </c>
      <c r="BA110" s="168">
        <f>BA$97*BA108</f>
        <v>0</v>
      </c>
      <c r="BB110" s="130"/>
      <c r="BC110" s="130"/>
      <c r="BD110" s="130"/>
      <c r="BE110" s="130"/>
      <c r="BF110" s="130"/>
      <c r="BG110" s="130"/>
      <c r="BH110" s="174"/>
    </row>
    <row r="111" spans="1:60">
      <c r="A111" s="1040"/>
      <c r="B111" s="1109" t="s">
        <v>187</v>
      </c>
      <c r="C111" s="1107" t="s">
        <v>118</v>
      </c>
      <c r="D111" s="641" t="s">
        <v>45</v>
      </c>
      <c r="E111" s="291" t="s">
        <v>196</v>
      </c>
      <c r="F111" s="254"/>
      <c r="G111" s="254"/>
      <c r="H111" s="291" t="s">
        <v>65</v>
      </c>
      <c r="I111" s="77"/>
      <c r="J111" s="288"/>
      <c r="K111" s="1060"/>
      <c r="L111" s="1060"/>
      <c r="M111" s="288"/>
      <c r="N111" s="244"/>
      <c r="O111" s="377">
        <f>IF(O112&lt;&gt;"",O112,HLOOKUP(IF(O$83="",referentie_verwarming,O$83),toestellen_RV,ROWS(bibliotheek!$E$83:$E$99),FALSE))</f>
        <v>4.55</v>
      </c>
      <c r="P111" s="377">
        <f>IF(P112&lt;&gt;"",P112,HLOOKUP(IF(P$83="",referentie_koeling,P$83),toestellen_KOEL,ROWS(bibliotheek!$E$190:$E$200),FALSE))</f>
        <v>0</v>
      </c>
      <c r="Q111" s="377">
        <f>IF(Q112&lt;&gt;"",Q112,HLOOKUP(IF(Q$83="",referentie_warmtapwater,Q$83),toestellen_TAP,ROWS(bibliotheek!$E$139:$E$155),FALSE))</f>
        <v>2.4</v>
      </c>
      <c r="R111" s="141"/>
      <c r="S111" s="141"/>
      <c r="T111" s="141"/>
      <c r="U111" s="141"/>
      <c r="V111" s="141"/>
      <c r="W111" s="141"/>
      <c r="X111" s="348"/>
      <c r="Y111" s="288"/>
      <c r="Z111" s="244"/>
      <c r="AA111" s="377">
        <f>IF(AA112&lt;&gt;"",AA112,HLOOKUP(IF(AA$83="",referentie_verwarming,AA$83),toestellen_RV,ROWS(bibliotheek!$E$83:$E$99),FALSE))</f>
        <v>4.55</v>
      </c>
      <c r="AB111" s="377">
        <f>IF(AB112&lt;&gt;"",AB112,HLOOKUP(IF(AB$83="",referentie_koeling,AB$83),toestellen_KOEL,ROWS(bibliotheek!$E$190:$E$200),FALSE))</f>
        <v>0</v>
      </c>
      <c r="AC111" s="377">
        <f>IF(AC112&lt;&gt;"",AC112,HLOOKUP(IF(AC$83="",referentie_warmtapwater,AC$83),toestellen_TAP,ROWS(bibliotheek!$E$139:$E$155),FALSE))</f>
        <v>2.4</v>
      </c>
      <c r="AD111" s="141"/>
      <c r="AE111" s="141"/>
      <c r="AF111" s="141"/>
      <c r="AG111" s="141"/>
      <c r="AH111" s="141"/>
      <c r="AI111" s="141"/>
      <c r="AJ111" s="348"/>
      <c r="AK111" s="288"/>
      <c r="AL111" s="244"/>
      <c r="AM111" s="377">
        <f>IF(AM112&lt;&gt;"",AM112,HLOOKUP(IF(AM$83="",referentie_verwarming,AM$83),toestellen_RV,ROWS(bibliotheek!$E$83:$E$99),FALSE))</f>
        <v>4.55</v>
      </c>
      <c r="AN111" s="377">
        <f>IF(AN112&lt;&gt;"",AN112,HLOOKUP(IF(AN$83="",referentie_koeling,AN$83),toestellen_KOEL,ROWS(bibliotheek!$E$190:$E$200),FALSE))</f>
        <v>0</v>
      </c>
      <c r="AO111" s="377">
        <f>IF(AO112&lt;&gt;"",AO112,HLOOKUP(IF(AO$83="",referentie_warmtapwater,AO$83),toestellen_TAP,ROWS(bibliotheek!$E$139:$E$155),FALSE))</f>
        <v>2.4</v>
      </c>
      <c r="AP111" s="141"/>
      <c r="AQ111" s="141"/>
      <c r="AR111" s="141"/>
      <c r="AS111" s="141"/>
      <c r="AT111" s="141"/>
      <c r="AU111" s="141"/>
      <c r="AV111" s="348"/>
      <c r="AW111" s="288"/>
      <c r="AX111" s="244"/>
      <c r="AY111" s="377">
        <f>IF(AY112&lt;&gt;"",AY112,HLOOKUP(IF(AY$83="",referentie_verwarming,AY$83),toestellen_RV,ROWS(bibliotheek!$E$83:$E$99),FALSE))</f>
        <v>4.55</v>
      </c>
      <c r="AZ111" s="377">
        <f>IF(AZ112&lt;&gt;"",AZ112,HLOOKUP(IF(AZ$83="",referentie_koeling,AZ$83),toestellen_KOEL,ROWS(bibliotheek!$E$190:$E$200),FALSE))</f>
        <v>0</v>
      </c>
      <c r="BA111" s="377">
        <f>IF(BA112&lt;&gt;"",BA112,HLOOKUP(IF(BA$83="",referentie_warmtapwater,BA$83),toestellen_TAP,ROWS(bibliotheek!$E$139:$E$155),FALSE))</f>
        <v>2.4</v>
      </c>
      <c r="BB111" s="141"/>
      <c r="BC111" s="141"/>
      <c r="BD111" s="141"/>
      <c r="BE111" s="141"/>
      <c r="BF111" s="141"/>
      <c r="BG111" s="141"/>
      <c r="BH111" s="174"/>
    </row>
    <row r="112" spans="1:60">
      <c r="A112" s="1040"/>
      <c r="B112" s="1109" t="s">
        <v>187</v>
      </c>
      <c r="C112" s="1107" t="s">
        <v>118</v>
      </c>
      <c r="D112" s="638"/>
      <c r="E112" s="1218" t="s">
        <v>197</v>
      </c>
      <c r="F112" s="292"/>
      <c r="G112" s="292"/>
      <c r="H112" s="292"/>
      <c r="I112" s="77"/>
      <c r="J112" s="299"/>
      <c r="K112" s="1060"/>
      <c r="L112" s="1060"/>
      <c r="M112" s="198"/>
      <c r="N112" s="244"/>
      <c r="O112" s="354"/>
      <c r="P112" s="354"/>
      <c r="Q112" s="354"/>
      <c r="R112" s="414"/>
      <c r="S112" s="414"/>
      <c r="T112" s="414"/>
      <c r="U112" s="414"/>
      <c r="V112" s="414"/>
      <c r="W112" s="414"/>
      <c r="X112" s="380"/>
      <c r="Y112" s="198"/>
      <c r="Z112" s="244"/>
      <c r="AA112" s="354"/>
      <c r="AB112" s="354"/>
      <c r="AC112" s="354"/>
      <c r="AD112" s="414"/>
      <c r="AE112" s="414"/>
      <c r="AF112" s="414"/>
      <c r="AG112" s="414"/>
      <c r="AH112" s="414"/>
      <c r="AI112" s="414"/>
      <c r="AJ112" s="380"/>
      <c r="AK112" s="198"/>
      <c r="AL112" s="244"/>
      <c r="AM112" s="354"/>
      <c r="AN112" s="354"/>
      <c r="AO112" s="354"/>
      <c r="AP112" s="414"/>
      <c r="AQ112" s="414"/>
      <c r="AR112" s="414"/>
      <c r="AS112" s="414"/>
      <c r="AT112" s="414"/>
      <c r="AU112" s="414"/>
      <c r="AV112" s="380"/>
      <c r="AW112" s="198"/>
      <c r="AX112" s="244"/>
      <c r="AY112" s="354"/>
      <c r="AZ112" s="354"/>
      <c r="BA112" s="354"/>
      <c r="BB112" s="414"/>
      <c r="BC112" s="414"/>
      <c r="BD112" s="414"/>
      <c r="BE112" s="414"/>
      <c r="BF112" s="414"/>
      <c r="BG112" s="414"/>
      <c r="BH112" s="220"/>
    </row>
    <row r="113" spans="1:60" hidden="1">
      <c r="A113" s="1040"/>
      <c r="B113" s="1109" t="s">
        <v>187</v>
      </c>
      <c r="C113" s="1107" t="s">
        <v>181</v>
      </c>
      <c r="D113" s="641" t="s">
        <v>45</v>
      </c>
      <c r="E113" s="181" t="s">
        <v>198</v>
      </c>
      <c r="F113" s="180"/>
      <c r="G113" s="180"/>
      <c r="H113" s="181" t="s">
        <v>65</v>
      </c>
      <c r="I113" s="77"/>
      <c r="J113" s="190"/>
      <c r="K113" s="107"/>
      <c r="L113" s="107"/>
      <c r="M113" s="190"/>
      <c r="N113" s="79"/>
      <c r="O113" s="228">
        <f>INDEX(installaties_RV_verlies_elek_prod_aftapwarmte,MATCH(IF(O104="",referentie_verwarming,O104),toestellen_RV_kopregel,0))</f>
        <v>0</v>
      </c>
      <c r="P113" s="625"/>
      <c r="Q113" s="228">
        <f>INDEX(installaties_TAP_verlies_elek_prod_aftapwarmte,MATCH(IF(Q104="",referentie_verwarming,Q104),toestellen_TAP_kopregel,0))</f>
        <v>0</v>
      </c>
      <c r="R113" s="625"/>
      <c r="S113" s="625"/>
      <c r="T113" s="625"/>
      <c r="U113" s="625"/>
      <c r="V113" s="625"/>
      <c r="W113" s="625"/>
      <c r="X113" s="626"/>
      <c r="Y113" s="357"/>
      <c r="Z113" s="627"/>
      <c r="AA113" s="228">
        <f>INDEX(installaties_RV_verlies_elek_prod_aftapwarmte,MATCH(IF(AA104="",referentie_verwarming,AA104),toestellen_RV_kopregel,0))</f>
        <v>0</v>
      </c>
      <c r="AB113" s="625"/>
      <c r="AC113" s="228">
        <f>INDEX(installaties_TAP_verlies_elek_prod_aftapwarmte,MATCH(IF(AC104="",referentie_verwarming,AC104),toestellen_TAP_kopregel,0))</f>
        <v>0</v>
      </c>
      <c r="AD113" s="625"/>
      <c r="AE113" s="625"/>
      <c r="AF113" s="625"/>
      <c r="AG113" s="625"/>
      <c r="AH113" s="625"/>
      <c r="AI113" s="625"/>
      <c r="AJ113" s="626"/>
      <c r="AK113" s="357"/>
      <c r="AL113" s="627"/>
      <c r="AM113" s="228">
        <f>INDEX(installaties_RV_verlies_elek_prod_aftapwarmte,MATCH(IF(AM104="",referentie_verwarming,AM104),toestellen_RV_kopregel,0))</f>
        <v>0</v>
      </c>
      <c r="AN113" s="625"/>
      <c r="AO113" s="228">
        <f>INDEX(installaties_TAP_verlies_elek_prod_aftapwarmte,MATCH(IF(AO104="",referentie_verwarming,AO104),toestellen_TAP_kopregel,0))</f>
        <v>0</v>
      </c>
      <c r="AP113" s="625"/>
      <c r="AQ113" s="625"/>
      <c r="AR113" s="625"/>
      <c r="AS113" s="625"/>
      <c r="AT113" s="625"/>
      <c r="AU113" s="625"/>
      <c r="AV113" s="626"/>
      <c r="AW113" s="357"/>
      <c r="AX113" s="627"/>
      <c r="AY113" s="228">
        <f>INDEX(installaties_RV_verlies_elek_prod_aftapwarmte,MATCH(IF(AY104="",referentie_verwarming,AY104),toestellen_RV_kopregel,0))</f>
        <v>0</v>
      </c>
      <c r="AZ113" s="625"/>
      <c r="BA113" s="228">
        <f>INDEX(installaties_TAP_verlies_elek_prod_aftapwarmte,MATCH(IF(BA104="",referentie_verwarming,BA104),toestellen_TAP_kopregel,0))</f>
        <v>0</v>
      </c>
      <c r="BB113" s="131"/>
      <c r="BC113" s="131"/>
      <c r="BD113" s="131"/>
      <c r="BE113" s="131"/>
      <c r="BF113" s="131"/>
      <c r="BG113" s="131"/>
      <c r="BH113" s="210"/>
    </row>
    <row r="114" spans="1:60" hidden="1">
      <c r="A114" s="1040"/>
      <c r="B114" s="1109" t="s">
        <v>187</v>
      </c>
      <c r="C114" s="1107" t="s">
        <v>181</v>
      </c>
      <c r="D114" s="638"/>
      <c r="E114" s="181" t="s">
        <v>199</v>
      </c>
      <c r="F114" s="180"/>
      <c r="G114" s="180"/>
      <c r="H114" s="181" t="s">
        <v>65</v>
      </c>
      <c r="I114" s="77"/>
      <c r="J114" s="190"/>
      <c r="K114" s="107"/>
      <c r="L114" s="107"/>
      <c r="M114" s="190"/>
      <c r="N114" s="79"/>
      <c r="O114" s="228">
        <f>HLOOKUP(IF(O$83="",referentie_verwarming,O$83),toestellen_RV,ROWS(bibliotheek!$E$83:$E$100),FALSE)</f>
        <v>0</v>
      </c>
      <c r="P114" s="625"/>
      <c r="Q114" s="228">
        <f>HLOOKUP(IF(Q$83="",referentie_warmtapwater,Q$83),toestellen_TAP,ROWS(bibliotheek!$E$139:$E$156),FALSE)</f>
        <v>0</v>
      </c>
      <c r="R114" s="625"/>
      <c r="S114" s="625"/>
      <c r="T114" s="625"/>
      <c r="U114" s="625"/>
      <c r="V114" s="625"/>
      <c r="W114" s="625"/>
      <c r="X114" s="626"/>
      <c r="Y114" s="357"/>
      <c r="Z114" s="627"/>
      <c r="AA114" s="228">
        <f>HLOOKUP(IF(AA$83="",referentie_verwarming,AA$83),toestellen_RV,ROWS(bibliotheek!$E$83:$E$100),FALSE)</f>
        <v>0</v>
      </c>
      <c r="AB114" s="625"/>
      <c r="AC114" s="228">
        <f>HLOOKUP(IF(AC$83="",referentie_warmtapwater,AC$83),toestellen_TAP,ROWS(bibliotheek!$E$139:$E$156),FALSE)</f>
        <v>0</v>
      </c>
      <c r="AD114" s="625"/>
      <c r="AE114" s="625"/>
      <c r="AF114" s="625"/>
      <c r="AG114" s="625"/>
      <c r="AH114" s="625"/>
      <c r="AI114" s="625"/>
      <c r="AJ114" s="626"/>
      <c r="AK114" s="357"/>
      <c r="AL114" s="627"/>
      <c r="AM114" s="228">
        <f>HLOOKUP(IF(AM$83="",referentie_verwarming,AM$83),toestellen_RV,ROWS(bibliotheek!$E$83:$E$100),FALSE)</f>
        <v>0</v>
      </c>
      <c r="AN114" s="625"/>
      <c r="AO114" s="228">
        <f>HLOOKUP(IF(AO$83="",referentie_warmtapwater,AO$83),toestellen_TAP,ROWS(bibliotheek!$E$139:$E$156),FALSE)</f>
        <v>0</v>
      </c>
      <c r="AP114" s="625"/>
      <c r="AQ114" s="625"/>
      <c r="AR114" s="625"/>
      <c r="AS114" s="625"/>
      <c r="AT114" s="625"/>
      <c r="AU114" s="625"/>
      <c r="AV114" s="626"/>
      <c r="AW114" s="357"/>
      <c r="AX114" s="627"/>
      <c r="AY114" s="228">
        <f>HLOOKUP(IF(AY$83="",referentie_verwarming,AY$83),toestellen_RV,ROWS(bibliotheek!$E$83:$E$100),FALSE)</f>
        <v>0</v>
      </c>
      <c r="AZ114" s="625"/>
      <c r="BA114" s="228">
        <f>HLOOKUP(IF(BA$83="",referentie_warmtapwater,BA$83),toestellen_TAP,ROWS(bibliotheek!$E$139:$E$156),FALSE)</f>
        <v>0</v>
      </c>
      <c r="BB114" s="131"/>
      <c r="BC114" s="131"/>
      <c r="BD114" s="131"/>
      <c r="BE114" s="131"/>
      <c r="BF114" s="131"/>
      <c r="BG114" s="131"/>
      <c r="BH114" s="210"/>
    </row>
    <row r="115" spans="1:60" hidden="1">
      <c r="A115" s="1040"/>
      <c r="B115" s="1109" t="s">
        <v>187</v>
      </c>
      <c r="C115" s="1107" t="s">
        <v>181</v>
      </c>
      <c r="D115" s="638"/>
      <c r="E115" s="181" t="s">
        <v>200</v>
      </c>
      <c r="F115" s="180"/>
      <c r="G115" s="180"/>
      <c r="H115" s="181" t="s">
        <v>160</v>
      </c>
      <c r="I115" s="77"/>
      <c r="J115" s="202">
        <f>M115+Y115+AK115+AW115</f>
        <v>0</v>
      </c>
      <c r="K115" s="1059"/>
      <c r="L115" s="1059"/>
      <c r="M115" s="202">
        <f>SUM(O115:X115)</f>
        <v>0</v>
      </c>
      <c r="N115" s="243"/>
      <c r="O115" s="168">
        <f>IF(HLOOKUP(IF(O$83="",referentie_verwarming,O$83),toestellen_RV,ROWS(bibliotheek!$E$83:$E$88),FALSE)=1,O$97*O$108*((O$111-1)/O$111),0)</f>
        <v>0</v>
      </c>
      <c r="P115" s="168">
        <f>IF(HLOOKUP(IF(P$83="",referentie_koeling,P$83),toestellen_KOEL,ROWS(bibliotheek!$E$190:$E$194),FALSE)=1,P$97*P$108*((P$111-1)/P$111),0)</f>
        <v>0</v>
      </c>
      <c r="Q115" s="168">
        <f>IF(HLOOKUP(IF(Q$83="",referentie_warmtapwater,Q$83),toestellen_TAP,ROWS(bibliotheek!$E$139:$E$144),FALSE)=1,Q$97*Q$108*((Q$111-1)/Q$111),0)</f>
        <v>0</v>
      </c>
      <c r="R115" s="130"/>
      <c r="S115" s="130"/>
      <c r="T115" s="130"/>
      <c r="U115" s="130"/>
      <c r="V115" s="130"/>
      <c r="W115" s="130"/>
      <c r="X115" s="110"/>
      <c r="Y115" s="202">
        <f>SUM(AA115:AJ115)</f>
        <v>0</v>
      </c>
      <c r="Z115" s="243"/>
      <c r="AA115" s="168">
        <f>IF(HLOOKUP(IF(AA$83="",referentie_verwarming,AA$83),toestellen_RV,ROWS(bibliotheek!$E$83:$E$88),FALSE)=1,AA$97*AA$108*((AA$111-1)/AA$111),0)</f>
        <v>0</v>
      </c>
      <c r="AB115" s="168">
        <f>IF(HLOOKUP(IF(AB$83="",referentie_koeling,AB$83),toestellen_KOEL,ROWS(bibliotheek!$E$190:$E$194),FALSE)=1,AB$97*AB$108*((AB$111-1)/AB$111),0)</f>
        <v>0</v>
      </c>
      <c r="AC115" s="168">
        <f>IF(HLOOKUP(IF(AC$83="",referentie_warmtapwater,AC$83),toestellen_TAP,ROWS(bibliotheek!$E$139:$E$144),FALSE)=1,AC$97*AC$108*((AC$111-1)/AC$111),0)</f>
        <v>0</v>
      </c>
      <c r="AD115" s="130"/>
      <c r="AE115" s="130"/>
      <c r="AF115" s="130"/>
      <c r="AG115" s="130"/>
      <c r="AH115" s="130"/>
      <c r="AI115" s="130"/>
      <c r="AJ115" s="110"/>
      <c r="AK115" s="202">
        <f>SUM(AM115:AV115)</f>
        <v>0</v>
      </c>
      <c r="AL115" s="243"/>
      <c r="AM115" s="168">
        <f>IF(HLOOKUP(IF(AM$83="",referentie_verwarming,AM$83),toestellen_RV,ROWS(bibliotheek!$E$83:$E$88),FALSE)=1,AM$97*AM$108*((AM$111-1)/AM$111),0)</f>
        <v>0</v>
      </c>
      <c r="AN115" s="168">
        <f>IF(HLOOKUP(IF(AN$83="",referentie_koeling,AN$83),toestellen_KOEL,ROWS(bibliotheek!$E$190:$E$194),FALSE)=1,AN$97*AN$108*((AN$111-1)/AN$111),0)</f>
        <v>0</v>
      </c>
      <c r="AO115" s="168">
        <f>IF(HLOOKUP(IF(AO$83="",referentie_warmtapwater,AO$83),toestellen_TAP,ROWS(bibliotheek!$E$139:$E$144),FALSE)=1,AO$97*AO$108*((AO$111-1)/AO$111),0)</f>
        <v>0</v>
      </c>
      <c r="AP115" s="130"/>
      <c r="AQ115" s="130"/>
      <c r="AR115" s="130"/>
      <c r="AS115" s="130"/>
      <c r="AT115" s="130"/>
      <c r="AU115" s="130"/>
      <c r="AV115" s="110"/>
      <c r="AW115" s="202">
        <f>SUM(AY115:BH115)</f>
        <v>0</v>
      </c>
      <c r="AX115" s="243"/>
      <c r="AY115" s="168">
        <f>IF(HLOOKUP(IF(AY$83="",referentie_verwarming,AY$83),toestellen_RV,ROWS(bibliotheek!$E$83:$E$88),FALSE)=1,AY$97*AY$108*((AY$111-1)/AY$111),0)</f>
        <v>0</v>
      </c>
      <c r="AZ115" s="168">
        <f>IF(HLOOKUP(IF(AZ$83="",referentie_koeling,AZ$83),toestellen_KOEL,ROWS(bibliotheek!$E$190:$E$194),FALSE)=1,AZ$97*AZ$108*((AZ$111-1)/AZ$111),0)</f>
        <v>0</v>
      </c>
      <c r="BA115" s="168">
        <f>IF(HLOOKUP(IF(BA$83="",referentie_warmtapwater,BA$83),toestellen_TAP,ROWS(bibliotheek!$E$139:$E$144),FALSE)=1,BA$97*BA$108*((BA$111-1)/BA$111),0)</f>
        <v>0</v>
      </c>
      <c r="BB115" s="130"/>
      <c r="BC115" s="130"/>
      <c r="BD115" s="130"/>
      <c r="BE115" s="130"/>
      <c r="BF115" s="130"/>
      <c r="BG115" s="130"/>
      <c r="BH115" s="210"/>
    </row>
    <row r="116" spans="1:60" hidden="1">
      <c r="A116" s="1040"/>
      <c r="B116" s="1109" t="s">
        <v>187</v>
      </c>
      <c r="C116" s="1107" t="s">
        <v>181</v>
      </c>
      <c r="D116" s="638"/>
      <c r="E116" s="181" t="s">
        <v>201</v>
      </c>
      <c r="F116" s="180"/>
      <c r="G116" s="180"/>
      <c r="H116" s="181" t="s">
        <v>202</v>
      </c>
      <c r="I116" s="77"/>
      <c r="J116" s="202">
        <f>M116+Y116+AK116+AW116</f>
        <v>0</v>
      </c>
      <c r="K116" s="1059"/>
      <c r="L116" s="1059"/>
      <c r="M116" s="202">
        <f>SUM(O116:X116)</f>
        <v>0</v>
      </c>
      <c r="N116" s="243"/>
      <c r="O116" s="168">
        <f>IF(O$111=0,0,O$110/O$111)</f>
        <v>0</v>
      </c>
      <c r="P116" s="168">
        <f>IF(P$111=0,0,P$110/P$111)</f>
        <v>0</v>
      </c>
      <c r="Q116" s="168">
        <f>IF(Q$111=0,0,Q$110/Q$111)</f>
        <v>0</v>
      </c>
      <c r="R116" s="130"/>
      <c r="S116" s="130"/>
      <c r="T116" s="130"/>
      <c r="U116" s="130"/>
      <c r="V116" s="130"/>
      <c r="W116" s="130"/>
      <c r="X116" s="110"/>
      <c r="Y116" s="202">
        <f>SUM(AA116:AJ116)</f>
        <v>0</v>
      </c>
      <c r="Z116" s="243"/>
      <c r="AA116" s="168">
        <f>IF(AA$111=0,0,AA$110/AA$111)</f>
        <v>0</v>
      </c>
      <c r="AB116" s="168">
        <f>IF(AB$111=0,0,AB$110/AB$111)</f>
        <v>0</v>
      </c>
      <c r="AC116" s="168">
        <f>IF(AC$111=0,0,AC$110/AC$111)</f>
        <v>0</v>
      </c>
      <c r="AD116" s="130"/>
      <c r="AE116" s="130"/>
      <c r="AF116" s="130"/>
      <c r="AG116" s="130"/>
      <c r="AH116" s="130"/>
      <c r="AI116" s="130"/>
      <c r="AJ116" s="110"/>
      <c r="AK116" s="202">
        <f>SUM(AM116:AV116)</f>
        <v>0</v>
      </c>
      <c r="AL116" s="243"/>
      <c r="AM116" s="168">
        <f>IF(AM$111=0,0,AM$110/AM$111)</f>
        <v>0</v>
      </c>
      <c r="AN116" s="168">
        <f>IF(AN$111=0,0,AN$110/AN$111)</f>
        <v>0</v>
      </c>
      <c r="AO116" s="168">
        <f>IF(AO$111=0,0,AO$110/AO$111)</f>
        <v>0</v>
      </c>
      <c r="AP116" s="130"/>
      <c r="AQ116" s="130"/>
      <c r="AR116" s="130"/>
      <c r="AS116" s="130"/>
      <c r="AT116" s="130"/>
      <c r="AU116" s="130"/>
      <c r="AV116" s="110"/>
      <c r="AW116" s="202">
        <f>SUM(AY116:BH116)</f>
        <v>0</v>
      </c>
      <c r="AX116" s="243"/>
      <c r="AY116" s="168">
        <f>IF(AY$111=0,0,AY$110/AY$111)</f>
        <v>0</v>
      </c>
      <c r="AZ116" s="168">
        <f>IF(AZ$111=0,0,AZ$110/AZ$111)</f>
        <v>0</v>
      </c>
      <c r="BA116" s="168">
        <f>IF(BA$111=0,0,BA$110/BA$111)</f>
        <v>0</v>
      </c>
      <c r="BB116" s="130"/>
      <c r="BC116" s="130"/>
      <c r="BD116" s="130"/>
      <c r="BE116" s="130"/>
      <c r="BF116" s="130"/>
      <c r="BG116" s="130"/>
      <c r="BH116" s="210"/>
    </row>
    <row r="117" spans="1:60">
      <c r="A117" s="1040"/>
      <c r="B117" s="1109" t="s">
        <v>187</v>
      </c>
      <c r="C117" s="1106" t="s">
        <v>96</v>
      </c>
      <c r="D117" s="641"/>
      <c r="E117" s="940" t="s">
        <v>1220</v>
      </c>
      <c r="F117" s="940"/>
      <c r="G117" s="940"/>
      <c r="H117" s="993"/>
      <c r="I117" s="77"/>
      <c r="J117" s="939"/>
      <c r="K117" s="126"/>
      <c r="L117" s="126"/>
      <c r="M117" s="938"/>
      <c r="N117" s="143"/>
      <c r="O117" s="177" t="str">
        <f>O$10</f>
        <v>verwarming</v>
      </c>
      <c r="P117" s="177" t="str">
        <f>P$10</f>
        <v>koeling</v>
      </c>
      <c r="Q117" s="177" t="str">
        <f>Q$10</f>
        <v>tapwater</v>
      </c>
      <c r="R117" s="177"/>
      <c r="S117" s="177"/>
      <c r="T117" s="177"/>
      <c r="U117" s="177"/>
      <c r="V117" s="177"/>
      <c r="W117" s="177"/>
      <c r="X117" s="144"/>
      <c r="Y117" s="938"/>
      <c r="Z117" s="143"/>
      <c r="AA117" s="177" t="str">
        <f>AA$10</f>
        <v>verwarming</v>
      </c>
      <c r="AB117" s="177" t="str">
        <f>AB$10</f>
        <v>koeling</v>
      </c>
      <c r="AC117" s="177" t="str">
        <f>AC$10</f>
        <v>tapwater</v>
      </c>
      <c r="AD117" s="177"/>
      <c r="AE117" s="177"/>
      <c r="AF117" s="177"/>
      <c r="AG117" s="177"/>
      <c r="AH117" s="177"/>
      <c r="AI117" s="177"/>
      <c r="AJ117" s="144"/>
      <c r="AK117" s="938"/>
      <c r="AL117" s="143"/>
      <c r="AM117" s="177" t="str">
        <f>AM$10</f>
        <v>verwarming</v>
      </c>
      <c r="AN117" s="177" t="str">
        <f>AN$10</f>
        <v>koeling</v>
      </c>
      <c r="AO117" s="177" t="str">
        <f>AO$10</f>
        <v>tapwater</v>
      </c>
      <c r="AP117" s="177"/>
      <c r="AQ117" s="177"/>
      <c r="AR117" s="177"/>
      <c r="AS117" s="177"/>
      <c r="AT117" s="177"/>
      <c r="AU117" s="177"/>
      <c r="AV117" s="144"/>
      <c r="AW117" s="938"/>
      <c r="AX117" s="143"/>
      <c r="AY117" s="177" t="str">
        <f>AY$10</f>
        <v>verwarming</v>
      </c>
      <c r="AZ117" s="177" t="str">
        <f>AZ$10</f>
        <v>koeling</v>
      </c>
      <c r="BA117" s="177" t="str">
        <f>BA$10</f>
        <v>tapwater</v>
      </c>
      <c r="BB117" s="177"/>
      <c r="BC117" s="177"/>
      <c r="BD117" s="177"/>
      <c r="BE117" s="177"/>
      <c r="BF117" s="177"/>
      <c r="BG117" s="177"/>
      <c r="BH117" s="218"/>
    </row>
    <row r="118" spans="1:60" hidden="1">
      <c r="A118" s="1040"/>
      <c r="B118" s="1109" t="s">
        <v>187</v>
      </c>
      <c r="C118" s="1107" t="s">
        <v>203</v>
      </c>
      <c r="D118" s="641" t="s">
        <v>45</v>
      </c>
      <c r="E118" s="1171" t="s">
        <v>1348</v>
      </c>
      <c r="F118" s="254"/>
      <c r="G118" s="254"/>
      <c r="H118" s="291" t="s">
        <v>204</v>
      </c>
      <c r="I118" s="77"/>
      <c r="J118" s="189"/>
      <c r="K118" s="107"/>
      <c r="L118" s="107"/>
      <c r="M118" s="189"/>
      <c r="N118" s="79"/>
      <c r="O118" s="377">
        <f>IF(O119&lt;&gt;"",O119,
IF(O$105=elektriciteit,$G$5,
INDEX(energiedragers_primaire_energiefactor,MATCH(O105,energiedragers_kopregel,0))
*IF(O113=0,1,
$G$5*INDEX(installaties_RV_verlies_elek_prod_aftapwarmte,MATCH(O104,toestellen_RV_kopregel,0)))))</f>
        <v>1.45</v>
      </c>
      <c r="P118" s="377">
        <f>IF(P119&lt;&gt;"",P119,IF(HLOOKUP(P105,ENERGIEDRAGERS,ROWS(bibliotheek!$E$259:$E$260),FALSE)=0,$G$5,HLOOKUP(P105,ENERGIEDRAGERS,ROWS(bibliotheek!$E$259:$E$261),FALSE)))</f>
        <v>1.45</v>
      </c>
      <c r="Q118" s="377">
        <f>IF(Q119&lt;&gt;"",Q119,
IF(Q$105=elektriciteit,$G$5,
INDEX(energiedragers_primaire_energiefactor,MATCH(Q105,energiedragers_kopregel,0))
*IF(Q113=0,1,
$G$5*INDEX(installaties_TAP_verlies_elek_prod_aftapwarmte,MATCH(Q104,toestellen_TAP_kopregel,0)))))</f>
        <v>1.45</v>
      </c>
      <c r="R118" s="141"/>
      <c r="S118" s="141"/>
      <c r="T118" s="141"/>
      <c r="U118" s="141"/>
      <c r="V118" s="141"/>
      <c r="W118" s="141"/>
      <c r="X118" s="348"/>
      <c r="Y118" s="289"/>
      <c r="Z118" s="627"/>
      <c r="AA118" s="377">
        <f>IF(AA119&lt;&gt;"",AA119,
IF(AA$105=elektriciteit,$G$5,
INDEX(energiedragers_primaire_energiefactor,MATCH(AA105,energiedragers_kopregel,0))
*IF(AA113=0,1,
$G$5*INDEX(installaties_RV_verlies_elek_prod_aftapwarmte,MATCH(AA104,toestellen_RV_kopregel,0)))))</f>
        <v>1.45</v>
      </c>
      <c r="AB118" s="377">
        <f>IF(AB119&lt;&gt;"",AB119,IF(HLOOKUP(AB105,ENERGIEDRAGERS,ROWS(bibliotheek!$E$259:$E$260),FALSE)=0,$G$5,HLOOKUP(AB105,ENERGIEDRAGERS,ROWS(bibliotheek!$E$259:$E$261),FALSE)))</f>
        <v>1.45</v>
      </c>
      <c r="AC118" s="377">
        <f>IF(AC119&lt;&gt;"",AC119,
IF(AC$105=elektriciteit,$G$5,
INDEX(energiedragers_primaire_energiefactor,MATCH(AC105,energiedragers_kopregel,0))
*IF(AC113=0,1,
$G$5*INDEX(installaties_TAP_verlies_elek_prod_aftapwarmte,MATCH(AC104,toestellen_TAP_kopregel,0)))))</f>
        <v>1.45</v>
      </c>
      <c r="AD118" s="141"/>
      <c r="AE118" s="141"/>
      <c r="AF118" s="141"/>
      <c r="AG118" s="141"/>
      <c r="AH118" s="141"/>
      <c r="AI118" s="141"/>
      <c r="AJ118" s="348"/>
      <c r="AK118" s="289"/>
      <c r="AL118" s="627"/>
      <c r="AM118" s="377">
        <f>IF(AM119&lt;&gt;"",AM119,
IF(AM$105=elektriciteit,$G$5,
INDEX(energiedragers_primaire_energiefactor,MATCH(AM105,energiedragers_kopregel,0))
*IF(AM113=0,1,
$G$5*INDEX(installaties_RV_verlies_elek_prod_aftapwarmte,MATCH(AM104,toestellen_RV_kopregel,0)))))</f>
        <v>1.45</v>
      </c>
      <c r="AN118" s="377">
        <f>IF(AN119&lt;&gt;"",AN119,IF(HLOOKUP(AN105,ENERGIEDRAGERS,ROWS(bibliotheek!$E$259:$E$260),FALSE)=0,$G$5,HLOOKUP(AN105,ENERGIEDRAGERS,ROWS(bibliotheek!$E$259:$E$261),FALSE)))</f>
        <v>1.45</v>
      </c>
      <c r="AO118" s="377">
        <f>IF(AO119&lt;&gt;"",AO119,
IF(AO$105=elektriciteit,$G$5,
INDEX(energiedragers_primaire_energiefactor,MATCH(AO105,energiedragers_kopregel,0))
*IF(AO113=0,1,
$G$5*INDEX(installaties_TAP_verlies_elek_prod_aftapwarmte,MATCH(AO104,toestellen_TAP_kopregel,0)))))</f>
        <v>1.45</v>
      </c>
      <c r="AP118" s="141"/>
      <c r="AQ118" s="141"/>
      <c r="AR118" s="141"/>
      <c r="AS118" s="141"/>
      <c r="AT118" s="141"/>
      <c r="AU118" s="141"/>
      <c r="AV118" s="348"/>
      <c r="AW118" s="289"/>
      <c r="AX118" s="627"/>
      <c r="AY118" s="377">
        <f>IF(AY119&lt;&gt;"",AY119,
IF(AY$105=elektriciteit,$G$5,
INDEX(energiedragers_primaire_energiefactor,MATCH(AY105,energiedragers_kopregel,0))
*IF(AY113=0,1,
$G$5*INDEX(installaties_RV_verlies_elek_prod_aftapwarmte,MATCH(AY104,toestellen_RV_kopregel,0)))))</f>
        <v>1.45</v>
      </c>
      <c r="AZ118" s="377">
        <f>IF(AZ119&lt;&gt;"",AZ119,IF(HLOOKUP(AZ105,ENERGIEDRAGERS,ROWS(bibliotheek!$E$259:$E$260),FALSE)=0,$G$5,HLOOKUP(AZ105,ENERGIEDRAGERS,ROWS(bibliotheek!$E$259:$E$261),FALSE)))</f>
        <v>1.45</v>
      </c>
      <c r="BA118" s="377">
        <f>IF(BA119&lt;&gt;"",BA119,
IF(BA$105=elektriciteit,$G$5,
INDEX(energiedragers_primaire_energiefactor,MATCH(BA105,energiedragers_kopregel,0))
*IF(BA113=0,1,
$G$5*INDEX(installaties_TAP_verlies_elek_prod_aftapwarmte,MATCH(BA104,toestellen_TAP_kopregel,0)))))</f>
        <v>1.45</v>
      </c>
      <c r="BB118" s="139"/>
      <c r="BC118" s="139"/>
      <c r="BD118" s="139"/>
      <c r="BE118" s="139"/>
      <c r="BF118" s="139"/>
      <c r="BG118" s="139"/>
      <c r="BH118" s="174"/>
    </row>
    <row r="119" spans="1:60" hidden="1">
      <c r="A119" s="1040"/>
      <c r="B119" s="1109" t="s">
        <v>187</v>
      </c>
      <c r="C119" s="1107" t="s">
        <v>203</v>
      </c>
      <c r="D119" s="641"/>
      <c r="E119" s="346" t="s">
        <v>205</v>
      </c>
      <c r="F119" s="255"/>
      <c r="G119" s="255"/>
      <c r="H119" s="292"/>
      <c r="I119" s="77"/>
      <c r="J119" s="299"/>
      <c r="K119" s="107"/>
      <c r="L119" s="107"/>
      <c r="M119" s="198"/>
      <c r="N119" s="79"/>
      <c r="O119" s="275"/>
      <c r="P119" s="617"/>
      <c r="Q119" s="275"/>
      <c r="R119" s="140"/>
      <c r="S119" s="140"/>
      <c r="T119" s="140"/>
      <c r="U119" s="140"/>
      <c r="V119" s="140"/>
      <c r="W119" s="140"/>
      <c r="X119" s="76"/>
      <c r="Y119" s="198"/>
      <c r="Z119" s="79"/>
      <c r="AA119" s="275"/>
      <c r="AB119" s="617"/>
      <c r="AC119" s="275"/>
      <c r="AD119" s="140"/>
      <c r="AE119" s="140"/>
      <c r="AF119" s="140"/>
      <c r="AG119" s="140"/>
      <c r="AH119" s="140"/>
      <c r="AI119" s="140"/>
      <c r="AJ119" s="76"/>
      <c r="AK119" s="198"/>
      <c r="AL119" s="79"/>
      <c r="AM119" s="275"/>
      <c r="AN119" s="617"/>
      <c r="AO119" s="275"/>
      <c r="AP119" s="140"/>
      <c r="AQ119" s="140"/>
      <c r="AR119" s="140"/>
      <c r="AS119" s="140"/>
      <c r="AT119" s="140"/>
      <c r="AU119" s="140"/>
      <c r="AV119" s="76"/>
      <c r="AW119" s="198"/>
      <c r="AX119" s="79"/>
      <c r="AY119" s="275"/>
      <c r="AZ119" s="617"/>
      <c r="BA119" s="275"/>
      <c r="BB119" s="140"/>
      <c r="BC119" s="140"/>
      <c r="BD119" s="140"/>
      <c r="BE119" s="140"/>
      <c r="BF119" s="140"/>
      <c r="BG119" s="140"/>
      <c r="BH119" s="174"/>
    </row>
    <row r="120" spans="1:60">
      <c r="A120" s="1040"/>
      <c r="B120" s="1109" t="s">
        <v>187</v>
      </c>
      <c r="C120" s="1107" t="s">
        <v>104</v>
      </c>
      <c r="D120" s="641"/>
      <c r="E120" s="291" t="s">
        <v>232</v>
      </c>
      <c r="F120" s="181"/>
      <c r="G120" s="181"/>
      <c r="H120" s="181" t="s">
        <v>106</v>
      </c>
      <c r="I120" s="77"/>
      <c r="J120" s="202">
        <f>M120+Y120+AK120+AW120</f>
        <v>0</v>
      </c>
      <c r="K120" s="1061"/>
      <c r="L120" s="1061"/>
      <c r="M120" s="202">
        <f>SUM(O120:X120)</f>
        <v>0</v>
      </c>
      <c r="N120" s="243"/>
      <c r="O120" s="168">
        <f>O$116*O$118</f>
        <v>0</v>
      </c>
      <c r="P120" s="168">
        <f>P$116*P$118</f>
        <v>0</v>
      </c>
      <c r="Q120" s="168">
        <f>Q$116*Q$118</f>
        <v>0</v>
      </c>
      <c r="R120" s="130"/>
      <c r="S120" s="130"/>
      <c r="T120" s="130"/>
      <c r="U120" s="130"/>
      <c r="V120" s="130"/>
      <c r="W120" s="130"/>
      <c r="X120" s="110"/>
      <c r="Y120" s="202">
        <f>SUM(AA120:AJ120)</f>
        <v>0</v>
      </c>
      <c r="Z120" s="243"/>
      <c r="AA120" s="168">
        <f>AA$116*AA$118</f>
        <v>0</v>
      </c>
      <c r="AB120" s="168">
        <f>AB$116*AB$118</f>
        <v>0</v>
      </c>
      <c r="AC120" s="168">
        <f>AC$116*AC$118</f>
        <v>0</v>
      </c>
      <c r="AD120" s="130"/>
      <c r="AE120" s="130"/>
      <c r="AF120" s="130"/>
      <c r="AG120" s="130"/>
      <c r="AH120" s="130"/>
      <c r="AI120" s="130"/>
      <c r="AJ120" s="110"/>
      <c r="AK120" s="202">
        <f>SUM(AM120:AV120)</f>
        <v>0</v>
      </c>
      <c r="AL120" s="243"/>
      <c r="AM120" s="168">
        <f>AM$116*AM$118</f>
        <v>0</v>
      </c>
      <c r="AN120" s="168">
        <f>AN$116*AN$118</f>
        <v>0</v>
      </c>
      <c r="AO120" s="168">
        <f>AO$116*AO$118</f>
        <v>0</v>
      </c>
      <c r="AP120" s="130"/>
      <c r="AQ120" s="130"/>
      <c r="AR120" s="130"/>
      <c r="AS120" s="130"/>
      <c r="AT120" s="130"/>
      <c r="AU120" s="130"/>
      <c r="AV120" s="110"/>
      <c r="AW120" s="202">
        <f>SUM(AY120:BH120)</f>
        <v>0</v>
      </c>
      <c r="AX120" s="243"/>
      <c r="AY120" s="168">
        <f>AY$116*AY$118</f>
        <v>0</v>
      </c>
      <c r="AZ120" s="168">
        <f>AZ$116*AZ$118</f>
        <v>0</v>
      </c>
      <c r="BA120" s="168">
        <f>BA$116*BA$118</f>
        <v>0</v>
      </c>
      <c r="BB120" s="130"/>
      <c r="BC120" s="130"/>
      <c r="BD120" s="130"/>
      <c r="BE120" s="130"/>
      <c r="BF120" s="130"/>
      <c r="BG120" s="130"/>
      <c r="BH120" s="210"/>
    </row>
    <row r="121" spans="1:60">
      <c r="A121" s="1040"/>
      <c r="B121" s="1109" t="s">
        <v>187</v>
      </c>
      <c r="C121" s="1106" t="s">
        <v>96</v>
      </c>
      <c r="D121" s="641"/>
      <c r="E121" s="940" t="s">
        <v>1200</v>
      </c>
      <c r="F121" s="940"/>
      <c r="G121" s="940"/>
      <c r="H121" s="993"/>
      <c r="I121" s="77"/>
      <c r="J121" s="939"/>
      <c r="K121" s="126"/>
      <c r="L121" s="126"/>
      <c r="M121" s="1025"/>
      <c r="N121" s="143"/>
      <c r="O121" s="1026" t="str">
        <f>O$10</f>
        <v>verwarming</v>
      </c>
      <c r="P121" s="1026" t="str">
        <f>P$10</f>
        <v>koeling</v>
      </c>
      <c r="Q121" s="1026" t="str">
        <f>Q$10</f>
        <v>tapwater</v>
      </c>
      <c r="R121" s="1026"/>
      <c r="S121" s="1026"/>
      <c r="T121" s="1026"/>
      <c r="U121" s="1026"/>
      <c r="V121" s="1026"/>
      <c r="W121" s="1026"/>
      <c r="X121" s="110"/>
      <c r="Y121" s="1025"/>
      <c r="Z121" s="143"/>
      <c r="AA121" s="1026" t="str">
        <f>AA$10</f>
        <v>verwarming</v>
      </c>
      <c r="AB121" s="1026" t="str">
        <f>AB$10</f>
        <v>koeling</v>
      </c>
      <c r="AC121" s="1026" t="str">
        <f>AC$10</f>
        <v>tapwater</v>
      </c>
      <c r="AD121" s="1026"/>
      <c r="AE121" s="1026"/>
      <c r="AF121" s="1026"/>
      <c r="AG121" s="1026"/>
      <c r="AH121" s="1026"/>
      <c r="AI121" s="1026"/>
      <c r="AJ121" s="110"/>
      <c r="AK121" s="1025"/>
      <c r="AL121" s="143"/>
      <c r="AM121" s="1026" t="str">
        <f>AM$10</f>
        <v>verwarming</v>
      </c>
      <c r="AN121" s="1026" t="str">
        <f>AN$10</f>
        <v>koeling</v>
      </c>
      <c r="AO121" s="1026" t="str">
        <f>AO$10</f>
        <v>tapwater</v>
      </c>
      <c r="AP121" s="1026"/>
      <c r="AQ121" s="1026"/>
      <c r="AR121" s="1026"/>
      <c r="AS121" s="1026"/>
      <c r="AT121" s="1026"/>
      <c r="AU121" s="1026"/>
      <c r="AV121" s="110"/>
      <c r="AW121" s="1025"/>
      <c r="AX121" s="143"/>
      <c r="AY121" s="1026" t="str">
        <f>AY$10</f>
        <v>verwarming</v>
      </c>
      <c r="AZ121" s="1026" t="str">
        <f>AZ$10</f>
        <v>koeling</v>
      </c>
      <c r="BA121" s="1026" t="str">
        <f>BA$10</f>
        <v>tapwater</v>
      </c>
      <c r="BB121" s="1026"/>
      <c r="BC121" s="1026"/>
      <c r="BD121" s="1026"/>
      <c r="BE121" s="1026"/>
      <c r="BF121" s="1026"/>
      <c r="BG121" s="1026"/>
      <c r="BH121" s="210"/>
    </row>
    <row r="122" spans="1:60" hidden="1">
      <c r="A122" s="1040"/>
      <c r="B122" s="1109" t="s">
        <v>187</v>
      </c>
      <c r="C122" s="1107" t="s">
        <v>203</v>
      </c>
      <c r="D122" s="641"/>
      <c r="E122" s="1171" t="s">
        <v>1349</v>
      </c>
      <c r="F122" s="254"/>
      <c r="G122" s="254"/>
      <c r="H122" s="1034" t="s">
        <v>1206</v>
      </c>
      <c r="I122" s="77"/>
      <c r="J122" s="189"/>
      <c r="K122" s="107"/>
      <c r="L122" s="107"/>
      <c r="M122" s="190"/>
      <c r="N122" s="114"/>
      <c r="O122" s="228">
        <f>IF(O123&lt;&gt;"",O123,
INDEX(primaire_totale_energiefactor,MATCH(O105,energiedragers_kopregel,0))
*IF(O113=0,1,
$G$5*INDEX(installaties_RV_verlies_elek_prod_aftapwarmte,MATCH(O104,toestellen_RV_kopregel,0))))</f>
        <v>1.35</v>
      </c>
      <c r="P122" s="228">
        <f>IF(P123&lt;&gt;"",P123,
IF(HLOOKUP(P105,ENERGIEDRAGERS,ROWS(bibliotheek!$E$259:$E$262),FALSE)=0,$G$5,
HLOOKUP(P105,ENERGIEDRAGERS,ROWS(bibliotheek!$E$259:$E$262),FALSE)))</f>
        <v>1.45</v>
      </c>
      <c r="Q122" s="228">
        <f>IF(Q123&lt;&gt;"",Q123,
INDEX(primaire_totale_energiefactor,MATCH(Q105,energiedragers_kopregel,0))
*IF(Q113=0,1,
$G$5*INDEX(installaties_RV_verlies_elek_prod_aftapwarmte,MATCH(Q104,toestellen_RV_kopregel,0))))</f>
        <v>1.35</v>
      </c>
      <c r="R122" s="625"/>
      <c r="S122" s="625"/>
      <c r="T122" s="625"/>
      <c r="U122" s="625"/>
      <c r="V122" s="625"/>
      <c r="W122" s="625"/>
      <c r="X122" s="110"/>
      <c r="Y122" s="202"/>
      <c r="Z122" s="89"/>
      <c r="AA122" s="228">
        <f>IF(AA123&lt;&gt;"",AA123,
INDEX(primaire_totale_energiefactor,MATCH(AA105,energiedragers_kopregel,0))
*IF(AA113=0,1,
$G$5*INDEX(installaties_RV_verlies_elek_prod_aftapwarmte,MATCH(AA104,toestellen_RV_kopregel,0))))</f>
        <v>1.35</v>
      </c>
      <c r="AB122" s="228">
        <f>IF(AB123&lt;&gt;"",AB123,
IF(HLOOKUP(AB105,ENERGIEDRAGERS,ROWS(bibliotheek!$E$259:$E$262),FALSE)=0,$G$5,
HLOOKUP(AB105,ENERGIEDRAGERS,ROWS(bibliotheek!$E$259:$E$262),FALSE)))</f>
        <v>1.45</v>
      </c>
      <c r="AC122" s="228">
        <f>IF(AC123&lt;&gt;"",AC123,
INDEX(primaire_totale_energiefactor,MATCH(AC105,energiedragers_kopregel,0))
*IF(AC113=0,1,
$G$5*INDEX(installaties_RV_verlies_elek_prod_aftapwarmte,MATCH(AC104,toestellen_RV_kopregel,0))))</f>
        <v>1.35</v>
      </c>
      <c r="AD122" s="130"/>
      <c r="AE122" s="130"/>
      <c r="AF122" s="130"/>
      <c r="AG122" s="130"/>
      <c r="AH122" s="130"/>
      <c r="AI122" s="130"/>
      <c r="AJ122" s="110"/>
      <c r="AK122" s="202"/>
      <c r="AL122" s="89"/>
      <c r="AM122" s="228">
        <f>IF(AM123&lt;&gt;"",AM123,
INDEX(primaire_totale_energiefactor,MATCH(AM105,energiedragers_kopregel,0))
*IF(AM113=0,1,
$G$5*INDEX(installaties_RV_verlies_elek_prod_aftapwarmte,MATCH(AM104,toestellen_RV_kopregel,0))))</f>
        <v>1.35</v>
      </c>
      <c r="AN122" s="228">
        <f>IF(AN123&lt;&gt;"",AN123,
IF(HLOOKUP(AN105,ENERGIEDRAGERS,ROWS(bibliotheek!$E$259:$E$262),FALSE)=0,$G$5,
HLOOKUP(AN105,ENERGIEDRAGERS,ROWS(bibliotheek!$E$259:$E$262),FALSE)))</f>
        <v>1.45</v>
      </c>
      <c r="AO122" s="228">
        <f>IF(AO123&lt;&gt;"",AO123,
INDEX(primaire_totale_energiefactor,MATCH(AO105,energiedragers_kopregel,0))
*IF(AO113=0,1,
$G$5*INDEX(installaties_RV_verlies_elek_prod_aftapwarmte,MATCH(AO104,toestellen_RV_kopregel,0))))</f>
        <v>1.35</v>
      </c>
      <c r="AP122" s="130"/>
      <c r="AQ122" s="130"/>
      <c r="AR122" s="130"/>
      <c r="AS122" s="130"/>
      <c r="AT122" s="130"/>
      <c r="AU122" s="130"/>
      <c r="AV122" s="110"/>
      <c r="AW122" s="202"/>
      <c r="AX122" s="89"/>
      <c r="AY122" s="228">
        <f>IF(AY123&lt;&gt;"",AY123,
INDEX(primaire_totale_energiefactor,MATCH(AY105,energiedragers_kopregel,0))
*IF(AY113=0,1,
$G$5*INDEX(installaties_RV_verlies_elek_prod_aftapwarmte,MATCH(AY104,toestellen_RV_kopregel,0))))</f>
        <v>1.35</v>
      </c>
      <c r="AZ122" s="228">
        <f>IF(AZ123&lt;&gt;"",AZ123,
IF(HLOOKUP(AZ105,ENERGIEDRAGERS,ROWS(bibliotheek!$E$259:$E$262),FALSE)=0,$G$5,
HLOOKUP(AZ105,ENERGIEDRAGERS,ROWS(bibliotheek!$E$259:$E$262),FALSE)))</f>
        <v>1.45</v>
      </c>
      <c r="BA122" s="228">
        <f>IF(BA123&lt;&gt;"",BA123,
INDEX(primaire_totale_energiefactor,MATCH(BA105,energiedragers_kopregel,0))
*IF(BA113=0,1,
$G$5*INDEX(installaties_RV_verlies_elek_prod_aftapwarmte,MATCH(BA104,toestellen_RV_kopregel,0))))</f>
        <v>1.35</v>
      </c>
      <c r="BB122" s="130"/>
      <c r="BC122" s="130"/>
      <c r="BD122" s="130"/>
      <c r="BE122" s="130"/>
      <c r="BF122" s="130"/>
      <c r="BG122" s="130"/>
      <c r="BH122" s="210"/>
    </row>
    <row r="123" spans="1:60" hidden="1">
      <c r="A123" s="1040"/>
      <c r="B123" s="1109" t="s">
        <v>187</v>
      </c>
      <c r="C123" s="1107" t="s">
        <v>203</v>
      </c>
      <c r="D123" s="641"/>
      <c r="E123" s="346" t="s">
        <v>205</v>
      </c>
      <c r="F123" s="255"/>
      <c r="G123" s="255"/>
      <c r="H123" s="292"/>
      <c r="I123" s="77"/>
      <c r="J123" s="299"/>
      <c r="K123" s="107"/>
      <c r="L123" s="107"/>
      <c r="M123" s="190"/>
      <c r="N123" s="114"/>
      <c r="O123" s="1029"/>
      <c r="P123" s="1030"/>
      <c r="Q123" s="1029"/>
      <c r="R123" s="131"/>
      <c r="S123" s="131"/>
      <c r="T123" s="131"/>
      <c r="U123" s="131"/>
      <c r="V123" s="131"/>
      <c r="W123" s="131"/>
      <c r="X123" s="110"/>
      <c r="Y123" s="202"/>
      <c r="Z123" s="89"/>
      <c r="AA123" s="1029"/>
      <c r="AB123" s="1030"/>
      <c r="AC123" s="1029"/>
      <c r="AD123" s="130"/>
      <c r="AE123" s="130"/>
      <c r="AF123" s="130"/>
      <c r="AG123" s="130"/>
      <c r="AH123" s="130"/>
      <c r="AI123" s="130"/>
      <c r="AJ123" s="110"/>
      <c r="AK123" s="202"/>
      <c r="AL123" s="89"/>
      <c r="AM123" s="1029"/>
      <c r="AN123" s="1030"/>
      <c r="AO123" s="1029"/>
      <c r="AP123" s="130"/>
      <c r="AQ123" s="130"/>
      <c r="AR123" s="130"/>
      <c r="AS123" s="130"/>
      <c r="AT123" s="130"/>
      <c r="AU123" s="130"/>
      <c r="AV123" s="110"/>
      <c r="AW123" s="202"/>
      <c r="AX123" s="89"/>
      <c r="AY123" s="1029"/>
      <c r="AZ123" s="1030"/>
      <c r="BA123" s="1029"/>
      <c r="BB123" s="130"/>
      <c r="BC123" s="130"/>
      <c r="BD123" s="130"/>
      <c r="BE123" s="130"/>
      <c r="BF123" s="130"/>
      <c r="BG123" s="130"/>
      <c r="BH123" s="210"/>
    </row>
    <row r="124" spans="1:60" hidden="1">
      <c r="A124" s="1040"/>
      <c r="B124" s="1109" t="s">
        <v>187</v>
      </c>
      <c r="C124" s="1107" t="s">
        <v>203</v>
      </c>
      <c r="D124" s="641"/>
      <c r="E124" s="291" t="s">
        <v>1314</v>
      </c>
      <c r="F124" s="595"/>
      <c r="G124" s="595"/>
      <c r="H124" s="1013" t="s">
        <v>65</v>
      </c>
      <c r="I124" s="77"/>
      <c r="J124" s="1015"/>
      <c r="K124" s="107"/>
      <c r="L124" s="107"/>
      <c r="M124" s="190"/>
      <c r="N124" s="114"/>
      <c r="O124" s="228">
        <f>IF(O125&lt;&gt;"",O125,
INDEX(weegfactor_primaire_totale_energiefactor,MATCH(O105,energiedragers_kopregel,0))
*IF(O113=0,1,
$G$5*INDEX(installaties_RV_verlies_elek_prod_aftapwarmte,MATCH(O104,toestellen_RV_kopregel,0))))</f>
        <v>1</v>
      </c>
      <c r="P124" s="228">
        <f>IF(P125&lt;&gt;"",P125,
IF(HLOOKUP(P105,ENERGIEDRAGERS,ROWS(bibliotheek!$E$259:$E$263),FALSE)=0,$G$5,
HLOOKUP(P105,ENERGIEDRAGERS,ROWS(bibliotheek!$E$259:$E$263),FALSE)))</f>
        <v>1.45</v>
      </c>
      <c r="Q124" s="228">
        <f>IF(Q125&lt;&gt;"",Q125,
INDEX(weegfactor_primaire_totale_energiefactor,MATCH(Q105,energiedragers_kopregel,0))
*IF(Q113=0,1,
$G$5*INDEX(installaties_RV_verlies_elek_prod_aftapwarmte,MATCH(Q104,toestellen_RV_kopregel,0))))</f>
        <v>1</v>
      </c>
      <c r="R124" s="625"/>
      <c r="S124" s="625"/>
      <c r="T124" s="625"/>
      <c r="U124" s="625"/>
      <c r="V124" s="625"/>
      <c r="W124" s="625"/>
      <c r="X124" s="110"/>
      <c r="Y124" s="202"/>
      <c r="Z124" s="89"/>
      <c r="AA124" s="228">
        <f>IF(AA125&lt;&gt;"",AA125,
INDEX(weegfactor_primaire_totale_energiefactor,MATCH(AA105,energiedragers_kopregel,0))
*IF(AA113=0,1,
$G$5*INDEX(installaties_RV_verlies_elek_prod_aftapwarmte,MATCH(AA104,toestellen_RV_kopregel,0))))</f>
        <v>1</v>
      </c>
      <c r="AB124" s="228">
        <f>IF(AB125&lt;&gt;"",AB125,
IF(HLOOKUP(AB105,ENERGIEDRAGERS,ROWS(bibliotheek!$E$259:$E$263),FALSE)=0,$G$5,
HLOOKUP(AB105,ENERGIEDRAGERS,ROWS(bibliotheek!$E$259:$E$263),FALSE)))</f>
        <v>1.45</v>
      </c>
      <c r="AC124" s="228">
        <f>IF(AC125&lt;&gt;"",AC125,
INDEX(weegfactor_primaire_totale_energiefactor,MATCH(AC105,energiedragers_kopregel,0))
*IF(AC113=0,1,
$G$5*INDEX(installaties_RV_verlies_elek_prod_aftapwarmte,MATCH(AC104,toestellen_RV_kopregel,0))))</f>
        <v>1</v>
      </c>
      <c r="AD124" s="130"/>
      <c r="AE124" s="130"/>
      <c r="AF124" s="130"/>
      <c r="AG124" s="130"/>
      <c r="AH124" s="130"/>
      <c r="AI124" s="130"/>
      <c r="AJ124" s="110"/>
      <c r="AK124" s="202"/>
      <c r="AL124" s="89"/>
      <c r="AM124" s="228">
        <f>IF(AM125&lt;&gt;"",AM125,
INDEX(weegfactor_primaire_totale_energiefactor,MATCH(AM105,energiedragers_kopregel,0))
*IF(AM113=0,1,
$G$5*INDEX(installaties_RV_verlies_elek_prod_aftapwarmte,MATCH(AM104,toestellen_RV_kopregel,0))))</f>
        <v>1</v>
      </c>
      <c r="AN124" s="228">
        <f>IF(AN125&lt;&gt;"",AN125,
IF(HLOOKUP(AN105,ENERGIEDRAGERS,ROWS(bibliotheek!$E$259:$E$263),FALSE)=0,$G$5,
HLOOKUP(AN105,ENERGIEDRAGERS,ROWS(bibliotheek!$E$259:$E$263),FALSE)))</f>
        <v>1.45</v>
      </c>
      <c r="AO124" s="228">
        <f>IF(AO125&lt;&gt;"",AO125,
INDEX(weegfactor_primaire_totale_energiefactor,MATCH(AO105,energiedragers_kopregel,0))
*IF(AO113=0,1,
$G$5*INDEX(installaties_RV_verlies_elek_prod_aftapwarmte,MATCH(AO104,toestellen_RV_kopregel,0))))</f>
        <v>1</v>
      </c>
      <c r="AP124" s="130"/>
      <c r="AQ124" s="130"/>
      <c r="AR124" s="130"/>
      <c r="AS124" s="130"/>
      <c r="AT124" s="130"/>
      <c r="AU124" s="130"/>
      <c r="AV124" s="110"/>
      <c r="AW124" s="202"/>
      <c r="AX124" s="89"/>
      <c r="AY124" s="228">
        <f>IF(AY125&lt;&gt;"",AY125,
INDEX(weegfactor_primaire_totale_energiefactor,MATCH(AY105,energiedragers_kopregel,0))
*IF(AY113=0,1,
$G$5*INDEX(installaties_RV_verlies_elek_prod_aftapwarmte,MATCH(AY104,toestellen_RV_kopregel,0))))</f>
        <v>1</v>
      </c>
      <c r="AZ124" s="228">
        <f>IF(AZ125&lt;&gt;"",AZ125,
IF(HLOOKUP(AZ105,ENERGIEDRAGERS,ROWS(bibliotheek!$E$259:$E$263),FALSE)=0,$G$5,
HLOOKUP(AZ105,ENERGIEDRAGERS,ROWS(bibliotheek!$E$259:$E$263),FALSE)))</f>
        <v>1.45</v>
      </c>
      <c r="BA124" s="228">
        <f>IF(BA125&lt;&gt;"",BA125,
INDEX(weegfactor_primaire_totale_energiefactor,MATCH(BA105,energiedragers_kopregel,0))
*IF(BA113=0,1,
$G$5*INDEX(installaties_RV_verlies_elek_prod_aftapwarmte,MATCH(BA104,toestellen_RV_kopregel,0))))</f>
        <v>1</v>
      </c>
      <c r="BB124" s="130"/>
      <c r="BC124" s="130"/>
      <c r="BD124" s="130"/>
      <c r="BE124" s="130"/>
      <c r="BF124" s="130"/>
      <c r="BG124" s="130"/>
      <c r="BH124" s="210"/>
    </row>
    <row r="125" spans="1:60" hidden="1">
      <c r="A125" s="1040"/>
      <c r="B125" s="1109" t="s">
        <v>187</v>
      </c>
      <c r="C125" s="1107" t="s">
        <v>203</v>
      </c>
      <c r="D125" s="641"/>
      <c r="E125" s="346" t="s">
        <v>205</v>
      </c>
      <c r="F125" s="255"/>
      <c r="G125" s="255"/>
      <c r="H125" s="292"/>
      <c r="I125" s="77"/>
      <c r="J125" s="299"/>
      <c r="K125" s="107"/>
      <c r="L125" s="107"/>
      <c r="M125" s="190"/>
      <c r="N125" s="114"/>
      <c r="O125" s="1029"/>
      <c r="P125" s="1030"/>
      <c r="Q125" s="1029"/>
      <c r="R125" s="131"/>
      <c r="S125" s="131"/>
      <c r="T125" s="131"/>
      <c r="U125" s="131"/>
      <c r="V125" s="131"/>
      <c r="W125" s="131"/>
      <c r="X125" s="110"/>
      <c r="Y125" s="202"/>
      <c r="Z125" s="89"/>
      <c r="AA125" s="1029"/>
      <c r="AB125" s="1030"/>
      <c r="AC125" s="1029"/>
      <c r="AD125" s="130"/>
      <c r="AE125" s="130"/>
      <c r="AF125" s="130"/>
      <c r="AG125" s="130"/>
      <c r="AH125" s="130"/>
      <c r="AI125" s="130"/>
      <c r="AJ125" s="110"/>
      <c r="AK125" s="202"/>
      <c r="AL125" s="89"/>
      <c r="AM125" s="1029"/>
      <c r="AN125" s="1030"/>
      <c r="AO125" s="1029"/>
      <c r="AP125" s="130"/>
      <c r="AQ125" s="130"/>
      <c r="AR125" s="130"/>
      <c r="AS125" s="130"/>
      <c r="AT125" s="130"/>
      <c r="AU125" s="130"/>
      <c r="AV125" s="110"/>
      <c r="AW125" s="202"/>
      <c r="AX125" s="89"/>
      <c r="AY125" s="1029"/>
      <c r="AZ125" s="1030"/>
      <c r="BA125" s="1029"/>
      <c r="BB125" s="130"/>
      <c r="BC125" s="130"/>
      <c r="BD125" s="130"/>
      <c r="BE125" s="130"/>
      <c r="BF125" s="130"/>
      <c r="BG125" s="130"/>
      <c r="BH125" s="210"/>
    </row>
    <row r="126" spans="1:60">
      <c r="A126" s="1040"/>
      <c r="B126" s="1109" t="s">
        <v>187</v>
      </c>
      <c r="C126" s="1107" t="s">
        <v>104</v>
      </c>
      <c r="D126" s="641"/>
      <c r="E126" s="291" t="s">
        <v>232</v>
      </c>
      <c r="F126" s="181"/>
      <c r="G126" s="181"/>
      <c r="H126" s="181" t="s">
        <v>106</v>
      </c>
      <c r="I126" s="77"/>
      <c r="J126" s="202">
        <f>M126+Y126+AK126+AW126</f>
        <v>0</v>
      </c>
      <c r="K126" s="1061"/>
      <c r="L126" s="1061"/>
      <c r="M126" s="202">
        <f>SUM(O126:X126)</f>
        <v>0</v>
      </c>
      <c r="N126" s="89"/>
      <c r="O126" s="168">
        <f>O$116*O$122*O124</f>
        <v>0</v>
      </c>
      <c r="P126" s="168">
        <f>P$116*P$122*P124</f>
        <v>0</v>
      </c>
      <c r="Q126" s="168">
        <f>Q$116*Q$122*Q124</f>
        <v>0</v>
      </c>
      <c r="R126" s="130"/>
      <c r="S126" s="130"/>
      <c r="T126" s="130"/>
      <c r="U126" s="130"/>
      <c r="V126" s="130"/>
      <c r="W126" s="130"/>
      <c r="X126" s="110"/>
      <c r="Y126" s="202">
        <f>SUM(AA126:AJ126)</f>
        <v>0</v>
      </c>
      <c r="Z126" s="89"/>
      <c r="AA126" s="168">
        <f>AA$116*AA$122*AA124</f>
        <v>0</v>
      </c>
      <c r="AB126" s="168">
        <f>AB$116*AB$122*AB124</f>
        <v>0</v>
      </c>
      <c r="AC126" s="168">
        <f>AC$116*AC$122*AC124</f>
        <v>0</v>
      </c>
      <c r="AD126" s="130"/>
      <c r="AE126" s="130"/>
      <c r="AF126" s="130"/>
      <c r="AG126" s="130"/>
      <c r="AH126" s="130"/>
      <c r="AI126" s="130"/>
      <c r="AJ126" s="110"/>
      <c r="AK126" s="202">
        <f>SUM(AM126:AV126)</f>
        <v>0</v>
      </c>
      <c r="AL126" s="89"/>
      <c r="AM126" s="168">
        <f>AM$116*AM$122*AM124</f>
        <v>0</v>
      </c>
      <c r="AN126" s="168">
        <f>AN$116*AN$122*AN124</f>
        <v>0</v>
      </c>
      <c r="AO126" s="168">
        <f>AO$116*AO$122*AO124</f>
        <v>0</v>
      </c>
      <c r="AP126" s="130"/>
      <c r="AQ126" s="130"/>
      <c r="AR126" s="130"/>
      <c r="AS126" s="130"/>
      <c r="AT126" s="130"/>
      <c r="AU126" s="130"/>
      <c r="AV126" s="110"/>
      <c r="AW126" s="202">
        <f>SUM(AY126:BH126)</f>
        <v>0</v>
      </c>
      <c r="AX126" s="89"/>
      <c r="AY126" s="168">
        <f>AY$116*AY$122*AY124</f>
        <v>0</v>
      </c>
      <c r="AZ126" s="168">
        <f>AZ$116*AZ$122*AZ124</f>
        <v>0</v>
      </c>
      <c r="BA126" s="168">
        <f>BA$116*BA$122*BA124</f>
        <v>0</v>
      </c>
      <c r="BB126" s="130"/>
      <c r="BC126" s="130"/>
      <c r="BD126" s="130"/>
      <c r="BE126" s="130"/>
      <c r="BF126" s="130"/>
      <c r="BG126" s="130"/>
      <c r="BH126" s="210"/>
    </row>
    <row r="127" spans="1:60">
      <c r="A127" s="1040"/>
      <c r="B127" s="1109" t="s">
        <v>187</v>
      </c>
      <c r="C127" s="1106" t="s">
        <v>96</v>
      </c>
      <c r="D127" s="641"/>
      <c r="E127" s="940" t="s">
        <v>107</v>
      </c>
      <c r="F127" s="940"/>
      <c r="G127" s="940"/>
      <c r="H127" s="940"/>
      <c r="I127" s="77"/>
      <c r="J127" s="939"/>
      <c r="K127" s="126"/>
      <c r="L127" s="126"/>
      <c r="M127" s="1027"/>
      <c r="N127" s="143"/>
      <c r="O127" s="1028" t="str">
        <f>O$10</f>
        <v>verwarming</v>
      </c>
      <c r="P127" s="1028" t="str">
        <f>P$10</f>
        <v>koeling</v>
      </c>
      <c r="Q127" s="1028" t="str">
        <f>Q$10</f>
        <v>tapwater</v>
      </c>
      <c r="R127" s="1028"/>
      <c r="S127" s="1028"/>
      <c r="T127" s="1028"/>
      <c r="U127" s="1028"/>
      <c r="V127" s="1028"/>
      <c r="W127" s="1028"/>
      <c r="X127" s="144"/>
      <c r="Y127" s="1027"/>
      <c r="Z127" s="143"/>
      <c r="AA127" s="1028" t="str">
        <f>AA$10</f>
        <v>verwarming</v>
      </c>
      <c r="AB127" s="1028" t="str">
        <f>AB$10</f>
        <v>koeling</v>
      </c>
      <c r="AC127" s="1028" t="str">
        <f>AC$10</f>
        <v>tapwater</v>
      </c>
      <c r="AD127" s="1028"/>
      <c r="AE127" s="1028"/>
      <c r="AF127" s="1028"/>
      <c r="AG127" s="1028"/>
      <c r="AH127" s="1028"/>
      <c r="AI127" s="1028"/>
      <c r="AJ127" s="144"/>
      <c r="AK127" s="1027"/>
      <c r="AL127" s="143"/>
      <c r="AM127" s="1028" t="str">
        <f>AM$10</f>
        <v>verwarming</v>
      </c>
      <c r="AN127" s="1028" t="str">
        <f>AN$10</f>
        <v>koeling</v>
      </c>
      <c r="AO127" s="1028" t="str">
        <f>AO$10</f>
        <v>tapwater</v>
      </c>
      <c r="AP127" s="1028"/>
      <c r="AQ127" s="1028"/>
      <c r="AR127" s="1028"/>
      <c r="AS127" s="1028"/>
      <c r="AT127" s="1028"/>
      <c r="AU127" s="1028"/>
      <c r="AV127" s="144"/>
      <c r="AW127" s="1027"/>
      <c r="AX127" s="143"/>
      <c r="AY127" s="1028" t="str">
        <f>AY$10</f>
        <v>verwarming</v>
      </c>
      <c r="AZ127" s="1028" t="str">
        <f>AZ$10</f>
        <v>koeling</v>
      </c>
      <c r="BA127" s="1028" t="str">
        <f>BA$10</f>
        <v>tapwater</v>
      </c>
      <c r="BB127" s="1028"/>
      <c r="BC127" s="1028"/>
      <c r="BD127" s="1028"/>
      <c r="BE127" s="1028"/>
      <c r="BF127" s="1028"/>
      <c r="BG127" s="1028"/>
      <c r="BH127" s="218"/>
    </row>
    <row r="128" spans="1:60" hidden="1">
      <c r="A128" s="1040"/>
      <c r="B128" s="1109" t="s">
        <v>187</v>
      </c>
      <c r="C128" s="1107" t="s">
        <v>203</v>
      </c>
      <c r="D128" s="641" t="s">
        <v>45</v>
      </c>
      <c r="E128" s="293" t="s">
        <v>206</v>
      </c>
      <c r="F128" s="254"/>
      <c r="G128" s="254"/>
      <c r="H128" s="291" t="s">
        <v>207</v>
      </c>
      <c r="I128" s="77"/>
      <c r="J128" s="189"/>
      <c r="K128" s="107"/>
      <c r="L128" s="107"/>
      <c r="M128" s="189"/>
      <c r="N128" s="79"/>
      <c r="O128" s="377">
        <f>IF(O129&lt;&gt;"",O129,
IF(O$105=elektriciteit,$H$5,
INDEX(energiedragers_CO2_emissiefactor,MATCH(O105,energiedragers_kopregel,0))
*IF(O113=0,1,
$G$5*INDEX(installaties_RV_verlies_elek_prod_aftapwarmte,MATCH(O104,toestellen_RV_kopregel,0)))))</f>
        <v>0.26800000000000002</v>
      </c>
      <c r="P128" s="377">
        <f>IF(P129&lt;&gt;"",P129,
IF(P105=elektriciteit,$H$5,
HLOOKUP(P105,ENERGIEDRAGERS,ROWS(bibliotheek!$E$259:$E$264),FALSE)))</f>
        <v>0</v>
      </c>
      <c r="Q128" s="377">
        <f>IF(Q119&lt;&gt;"",Q119,
IF(Q$105=elektriciteit,$H$5,
INDEX(energiedragers_CO2_emissiefactor,MATCH(Q105,energiedragers_kopregel,0))
*IF(Q113=0,1,
$G$5*INDEX(installaties_TAP_verlies_elek_prod_aftapwarmte,MATCH(Q104,toestellen_TAP_kopregel,0)))))</f>
        <v>0.26800000000000002</v>
      </c>
      <c r="R128" s="141"/>
      <c r="S128" s="141"/>
      <c r="T128" s="141"/>
      <c r="U128" s="141"/>
      <c r="V128" s="141"/>
      <c r="W128" s="141"/>
      <c r="X128" s="348"/>
      <c r="Y128" s="189"/>
      <c r="Z128" s="79"/>
      <c r="AA128" s="377">
        <f>IF(AA129&lt;&gt;"",AA129,
IF(AA$105=elektriciteit,$H$5,
INDEX(energiedragers_CO2_emissiefactor,MATCH(AA105,energiedragers_kopregel,0))
*IF(AA113=0,1,
$G$5*INDEX(installaties_RV_verlies_elek_prod_aftapwarmte,MATCH(AA104,toestellen_RV_kopregel,0)))))</f>
        <v>0.26800000000000002</v>
      </c>
      <c r="AB128" s="377">
        <f>IF(AB129&lt;&gt;"",AB129,
IF(AB105=elektriciteit,$H$5,
HLOOKUP(AB105,ENERGIEDRAGERS,ROWS(bibliotheek!$E$259:$E$264),FALSE)))</f>
        <v>0</v>
      </c>
      <c r="AC128" s="377">
        <f>IF(AC119&lt;&gt;"",AC119,
IF(AC$105=elektriciteit,$H$5,
INDEX(energiedragers_CO2_emissiefactor,MATCH(AC105,energiedragers_kopregel,0))
*IF(AC113=0,1,
$G$5*INDEX(installaties_TAP_verlies_elek_prod_aftapwarmte,MATCH(AC104,toestellen_TAP_kopregel,0)))))</f>
        <v>0.26800000000000002</v>
      </c>
      <c r="AD128" s="141"/>
      <c r="AE128" s="141"/>
      <c r="AF128" s="141"/>
      <c r="AG128" s="141"/>
      <c r="AH128" s="141"/>
      <c r="AI128" s="141"/>
      <c r="AJ128" s="348"/>
      <c r="AK128" s="189"/>
      <c r="AL128" s="79"/>
      <c r="AM128" s="377">
        <f>IF(AM129&lt;&gt;"",AM129,
IF(AM$105=elektriciteit,$H$5,
INDEX(energiedragers_CO2_emissiefactor,MATCH(AM105,energiedragers_kopregel,0))
*IF(AM113=0,1,
$G$5*INDEX(installaties_RV_verlies_elek_prod_aftapwarmte,MATCH(AM104,toestellen_RV_kopregel,0)))))</f>
        <v>0.26800000000000002</v>
      </c>
      <c r="AN128" s="377">
        <f>IF(AN129&lt;&gt;"",AN129,
IF(AN105=elektriciteit,$H$5,
HLOOKUP(AN105,ENERGIEDRAGERS,ROWS(bibliotheek!$E$259:$E$264),FALSE)))</f>
        <v>0</v>
      </c>
      <c r="AO128" s="377">
        <f>IF(AO119&lt;&gt;"",AO119,
IF(AO$105=elektriciteit,$H$5,
INDEX(energiedragers_CO2_emissiefactor,MATCH(AO105,energiedragers_kopregel,0))
*IF(AO113=0,1,
$G$5*INDEX(installaties_TAP_verlies_elek_prod_aftapwarmte,MATCH(AO104,toestellen_TAP_kopregel,0)))))</f>
        <v>0.26800000000000002</v>
      </c>
      <c r="AP128" s="141"/>
      <c r="AQ128" s="141"/>
      <c r="AR128" s="141"/>
      <c r="AS128" s="141"/>
      <c r="AT128" s="141"/>
      <c r="AU128" s="141"/>
      <c r="AV128" s="348"/>
      <c r="AW128" s="189"/>
      <c r="AX128" s="79"/>
      <c r="AY128" s="377">
        <f>IF(AY129&lt;&gt;"",AY129,
IF(AY$105=elektriciteit,$H$5,
INDEX(energiedragers_CO2_emissiefactor,MATCH(AY105,energiedragers_kopregel,0))
*IF(AY113=0,1,
$G$5*INDEX(installaties_RV_verlies_elek_prod_aftapwarmte,MATCH(AY104,toestellen_RV_kopregel,0)))))</f>
        <v>0.26800000000000002</v>
      </c>
      <c r="AZ128" s="377">
        <f>IF(AZ129&lt;&gt;"",AZ129,
IF(AZ105=elektriciteit,$H$5,
HLOOKUP(AZ105,ENERGIEDRAGERS,ROWS(bibliotheek!$E$259:$E$264),FALSE)))</f>
        <v>0</v>
      </c>
      <c r="BA128" s="377">
        <f>IF(BA119&lt;&gt;"",BA119,
IF(BA$105=elektriciteit,$H$5,
INDEX(energiedragers_CO2_emissiefactor,MATCH(BA105,energiedragers_kopregel,0))
*IF(BA113=0,1,
$G$5*INDEX(installaties_TAP_verlies_elek_prod_aftapwarmte,MATCH(BA104,toestellen_TAP_kopregel,0)))))</f>
        <v>0.26800000000000002</v>
      </c>
      <c r="BB128" s="141"/>
      <c r="BC128" s="141"/>
      <c r="BD128" s="141"/>
      <c r="BE128" s="141"/>
      <c r="BF128" s="141"/>
      <c r="BG128" s="141"/>
      <c r="BH128" s="174"/>
    </row>
    <row r="129" spans="1:60" hidden="1">
      <c r="A129" s="1040"/>
      <c r="B129" s="1109" t="s">
        <v>187</v>
      </c>
      <c r="C129" s="1107" t="s">
        <v>203</v>
      </c>
      <c r="D129" s="638"/>
      <c r="E129" s="346" t="s">
        <v>208</v>
      </c>
      <c r="F129" s="292"/>
      <c r="G129" s="292"/>
      <c r="H129" s="292"/>
      <c r="I129" s="77"/>
      <c r="J129" s="299"/>
      <c r="K129" s="107"/>
      <c r="L129" s="107"/>
      <c r="M129" s="198"/>
      <c r="N129" s="79"/>
      <c r="O129" s="275"/>
      <c r="P129" s="354"/>
      <c r="Q129" s="354"/>
      <c r="R129" s="414"/>
      <c r="S129" s="414"/>
      <c r="T129" s="414"/>
      <c r="U129" s="414"/>
      <c r="V129" s="414"/>
      <c r="W129" s="414"/>
      <c r="X129" s="380"/>
      <c r="Y129" s="198"/>
      <c r="Z129" s="79"/>
      <c r="AA129" s="354"/>
      <c r="AB129" s="354"/>
      <c r="AC129" s="354"/>
      <c r="AD129" s="414"/>
      <c r="AE129" s="414"/>
      <c r="AF129" s="414"/>
      <c r="AG129" s="414"/>
      <c r="AH129" s="414"/>
      <c r="AI129" s="414"/>
      <c r="AJ129" s="380"/>
      <c r="AK129" s="198"/>
      <c r="AL129" s="79"/>
      <c r="AM129" s="354"/>
      <c r="AN129" s="354"/>
      <c r="AO129" s="354"/>
      <c r="AP129" s="414"/>
      <c r="AQ129" s="414"/>
      <c r="AR129" s="414"/>
      <c r="AS129" s="414"/>
      <c r="AT129" s="414"/>
      <c r="AU129" s="414"/>
      <c r="AV129" s="380"/>
      <c r="AW129" s="198"/>
      <c r="AX129" s="79"/>
      <c r="AY129" s="354"/>
      <c r="AZ129" s="354"/>
      <c r="BA129" s="354"/>
      <c r="BB129" s="414"/>
      <c r="BC129" s="414"/>
      <c r="BD129" s="414"/>
      <c r="BE129" s="414"/>
      <c r="BF129" s="414"/>
      <c r="BG129" s="414"/>
      <c r="BH129" s="174"/>
    </row>
    <row r="130" spans="1:60">
      <c r="A130" s="1040"/>
      <c r="B130" s="1109" t="s">
        <v>187</v>
      </c>
      <c r="C130" s="1107" t="s">
        <v>104</v>
      </c>
      <c r="D130" s="638"/>
      <c r="E130" s="181" t="s">
        <v>107</v>
      </c>
      <c r="F130" s="181"/>
      <c r="G130" s="181"/>
      <c r="H130" s="181" t="s">
        <v>209</v>
      </c>
      <c r="I130" s="77"/>
      <c r="J130" s="202">
        <f>M130+Y130+AK130+AW130</f>
        <v>0</v>
      </c>
      <c r="K130" s="1061"/>
      <c r="L130" s="1061"/>
      <c r="M130" s="202">
        <f>SUM(O130:X130)</f>
        <v>0</v>
      </c>
      <c r="N130" s="243"/>
      <c r="O130" s="168">
        <f>O$116*O$128</f>
        <v>0</v>
      </c>
      <c r="P130" s="168">
        <f>P$116*P$128</f>
        <v>0</v>
      </c>
      <c r="Q130" s="168">
        <f>Q$116*Q$128</f>
        <v>0</v>
      </c>
      <c r="R130" s="130"/>
      <c r="S130" s="130"/>
      <c r="T130" s="130"/>
      <c r="U130" s="130"/>
      <c r="V130" s="130"/>
      <c r="W130" s="130"/>
      <c r="X130" s="110"/>
      <c r="Y130" s="202">
        <f>SUM(AA130:AJ130)</f>
        <v>0</v>
      </c>
      <c r="Z130" s="243"/>
      <c r="AA130" s="168">
        <f>AA$116*AA$128</f>
        <v>0</v>
      </c>
      <c r="AB130" s="168">
        <f>AB$116*AB$128</f>
        <v>0</v>
      </c>
      <c r="AC130" s="168">
        <f>AC$116*AC$128</f>
        <v>0</v>
      </c>
      <c r="AD130" s="130"/>
      <c r="AE130" s="130"/>
      <c r="AF130" s="130"/>
      <c r="AG130" s="130"/>
      <c r="AH130" s="130"/>
      <c r="AI130" s="130"/>
      <c r="AJ130" s="110"/>
      <c r="AK130" s="202">
        <f>SUM(AM130:AV130)</f>
        <v>0</v>
      </c>
      <c r="AL130" s="243"/>
      <c r="AM130" s="168">
        <f>AM$116*AM$128</f>
        <v>0</v>
      </c>
      <c r="AN130" s="168">
        <f>AN$116*AN$128</f>
        <v>0</v>
      </c>
      <c r="AO130" s="168">
        <f>AO$116*AO$128</f>
        <v>0</v>
      </c>
      <c r="AP130" s="130"/>
      <c r="AQ130" s="130"/>
      <c r="AR130" s="130"/>
      <c r="AS130" s="130"/>
      <c r="AT130" s="130"/>
      <c r="AU130" s="130"/>
      <c r="AV130" s="110"/>
      <c r="AW130" s="202">
        <f>SUM(AY130:BH130)</f>
        <v>0</v>
      </c>
      <c r="AX130" s="243"/>
      <c r="AY130" s="168">
        <f>AY$116*AY$128</f>
        <v>0</v>
      </c>
      <c r="AZ130" s="168">
        <f>AZ$116*AZ$128</f>
        <v>0</v>
      </c>
      <c r="BA130" s="168">
        <f>BA$116*BA$128</f>
        <v>0</v>
      </c>
      <c r="BB130" s="130"/>
      <c r="BC130" s="130"/>
      <c r="BD130" s="130"/>
      <c r="BE130" s="130"/>
      <c r="BF130" s="130"/>
      <c r="BG130" s="130"/>
      <c r="BH130" s="210"/>
    </row>
    <row r="131" spans="1:60">
      <c r="A131" s="1040"/>
      <c r="B131" s="1109" t="s">
        <v>187</v>
      </c>
      <c r="C131" s="1106" t="s">
        <v>96</v>
      </c>
      <c r="D131" s="638"/>
      <c r="E131" s="940" t="s">
        <v>210</v>
      </c>
      <c r="F131" s="940"/>
      <c r="G131" s="940"/>
      <c r="H131" s="940"/>
      <c r="I131" s="77"/>
      <c r="J131" s="939"/>
      <c r="K131" s="126"/>
      <c r="L131" s="126"/>
      <c r="M131" s="938"/>
      <c r="N131" s="143"/>
      <c r="O131" s="177" t="str">
        <f>O$10</f>
        <v>verwarming</v>
      </c>
      <c r="P131" s="177" t="str">
        <f>P$10</f>
        <v>koeling</v>
      </c>
      <c r="Q131" s="177" t="str">
        <f>Q$10</f>
        <v>tapwater</v>
      </c>
      <c r="R131" s="177"/>
      <c r="S131" s="177"/>
      <c r="T131" s="177"/>
      <c r="U131" s="177"/>
      <c r="V131" s="177"/>
      <c r="W131" s="177"/>
      <c r="X131" s="144"/>
      <c r="Y131" s="938"/>
      <c r="Z131" s="143"/>
      <c r="AA131" s="177" t="str">
        <f>AA$10</f>
        <v>verwarming</v>
      </c>
      <c r="AB131" s="177" t="str">
        <f>AB$10</f>
        <v>koeling</v>
      </c>
      <c r="AC131" s="177" t="str">
        <f>AC$10</f>
        <v>tapwater</v>
      </c>
      <c r="AD131" s="177"/>
      <c r="AE131" s="177"/>
      <c r="AF131" s="177"/>
      <c r="AG131" s="177"/>
      <c r="AH131" s="177"/>
      <c r="AI131" s="177"/>
      <c r="AJ131" s="144"/>
      <c r="AK131" s="938"/>
      <c r="AL131" s="143"/>
      <c r="AM131" s="177" t="str">
        <f>AM$10</f>
        <v>verwarming</v>
      </c>
      <c r="AN131" s="177" t="str">
        <f>AN$10</f>
        <v>koeling</v>
      </c>
      <c r="AO131" s="177" t="str">
        <f>AO$10</f>
        <v>tapwater</v>
      </c>
      <c r="AP131" s="177"/>
      <c r="AQ131" s="177"/>
      <c r="AR131" s="177"/>
      <c r="AS131" s="177"/>
      <c r="AT131" s="177"/>
      <c r="AU131" s="177"/>
      <c r="AV131" s="144"/>
      <c r="AW131" s="938"/>
      <c r="AX131" s="143"/>
      <c r="AY131" s="177" t="str">
        <f>AY$10</f>
        <v>verwarming</v>
      </c>
      <c r="AZ131" s="177" t="str">
        <f>AZ$10</f>
        <v>koeling</v>
      </c>
      <c r="BA131" s="177" t="str">
        <f>BA$10</f>
        <v>tapwater</v>
      </c>
      <c r="BB131" s="177"/>
      <c r="BC131" s="177"/>
      <c r="BD131" s="177"/>
      <c r="BE131" s="177"/>
      <c r="BF131" s="177"/>
      <c r="BG131" s="177"/>
      <c r="BH131" s="218"/>
    </row>
    <row r="132" spans="1:60">
      <c r="A132" s="1040"/>
      <c r="B132" s="1109" t="s">
        <v>187</v>
      </c>
      <c r="C132" s="1107" t="s">
        <v>118</v>
      </c>
      <c r="D132" s="638" t="s">
        <v>45</v>
      </c>
      <c r="E132" s="181" t="s">
        <v>211</v>
      </c>
      <c r="F132" s="181"/>
      <c r="G132" s="181"/>
      <c r="H132" s="181" t="s">
        <v>160</v>
      </c>
      <c r="I132" s="129"/>
      <c r="J132" s="202">
        <f>M132+Y132+AK132+AW132</f>
        <v>0</v>
      </c>
      <c r="K132" s="1059"/>
      <c r="L132" s="1059"/>
      <c r="M132" s="202">
        <f>SUM(O132:X132)</f>
        <v>0</v>
      </c>
      <c r="N132" s="243"/>
      <c r="O132" s="168">
        <f>IF(   AND(   HLOOKUP(IF(O$83="",referentie_verwarming,O$83),toestellen_RV,ROWS(bibliotheek!$E$83:$E$88),FALSE)=1,   O115+Q115&gt;P115   ),
ABS(O115+Q115-P115)*O$115/(O115+Q115),
0)</f>
        <v>0</v>
      </c>
      <c r="P132" s="168">
        <f>IF(AND(HLOOKUP(IF(P$83="",referentie_koeling,P$83),toestellen_KOEL,ROWS(bibliotheek!$E$190:$E$194),FALSE)=1,O115+Q115&lt;P115),ABS(O115+Q115-P115),0)</f>
        <v>0</v>
      </c>
      <c r="Q132" s="168">
        <f>IF(AND(HLOOKUP(IF(Q$83="",referentie_warmtapwater,Q$83),toestellen_TAP,ROWS(bibliotheek!$E$139:$E$144),FALSE)=1,O115+Q115&gt;P115),ABS(O115+Q115-P115)*Q$115/(O115+Q115),0)</f>
        <v>0</v>
      </c>
      <c r="R132" s="130"/>
      <c r="S132" s="130"/>
      <c r="T132" s="130"/>
      <c r="U132" s="130"/>
      <c r="V132" s="130"/>
      <c r="W132" s="130"/>
      <c r="X132" s="110"/>
      <c r="Y132" s="202">
        <f>SUM(AA132:AJ132)</f>
        <v>0</v>
      </c>
      <c r="Z132" s="243"/>
      <c r="AA132" s="168">
        <f>IF(   AND(   HLOOKUP(IF(AA$83="",referentie_verwarming,AA$83),toestellen_RV,ROWS(bibliotheek!$E$83:$E$88),FALSE)=1,   AA115+AC115&gt;AB115   ),
ABS(AA115+AC115-AB115)*AA$115/(AA115+AC115),
0)</f>
        <v>0</v>
      </c>
      <c r="AB132" s="168">
        <f>IF(AND(HLOOKUP(IF(AB$83="",referentie_koeling,AB$83),toestellen_KOEL,ROWS(bibliotheek!$E$190:$E$194),FALSE)=1,AA115+AC115&lt;AB115),ABS(AA115+AC115-AB115),0)</f>
        <v>0</v>
      </c>
      <c r="AC132" s="168">
        <f>IF(AND(HLOOKUP(IF(AC$83="",referentie_warmtapwater,AC$83),toestellen_TAP,ROWS(bibliotheek!$E$139:$E$144),FALSE)=1,AA115+AC115&gt;AB115),ABS(AA115+AC115-AB115)*AC$115/(AA115+AC115),0)</f>
        <v>0</v>
      </c>
      <c r="AD132" s="130"/>
      <c r="AE132" s="130"/>
      <c r="AF132" s="130"/>
      <c r="AG132" s="130"/>
      <c r="AH132" s="130"/>
      <c r="AI132" s="130"/>
      <c r="AJ132" s="110"/>
      <c r="AK132" s="202">
        <f>SUM(AM132:AV132)</f>
        <v>0</v>
      </c>
      <c r="AL132" s="243"/>
      <c r="AM132" s="168">
        <f>IF(   AND(   HLOOKUP(IF(AM$83="",referentie_verwarming,AM$83),toestellen_RV,ROWS(bibliotheek!$E$83:$E$88),FALSE)=1,   AM115+AO115&gt;AN115   ),
ABS(AM115+AO115-AN115)*AM$115/(AM115+AO115),
0)</f>
        <v>0</v>
      </c>
      <c r="AN132" s="168">
        <f>IF(AND(HLOOKUP(IF(AN$83="",referentie_koeling,AN$83),toestellen_KOEL,ROWS(bibliotheek!$E$190:$E$194),FALSE)=1,AM115+AO115&lt;AN115),ABS(AM115+AO115-AN115),0)</f>
        <v>0</v>
      </c>
      <c r="AO132" s="168">
        <f>IF(AND(HLOOKUP(IF(AO$83="",referentie_warmtapwater,AO$83),toestellen_TAP,ROWS(bibliotheek!$E$139:$E$144),FALSE)=1,AM115+AO115&gt;AN115),ABS(AM115+AO115-AN115)*AO$115/(AM115+AO115),0)</f>
        <v>0</v>
      </c>
      <c r="AP132" s="130"/>
      <c r="AQ132" s="130"/>
      <c r="AR132" s="130"/>
      <c r="AS132" s="130"/>
      <c r="AT132" s="130"/>
      <c r="AU132" s="130"/>
      <c r="AV132" s="110"/>
      <c r="AW132" s="202">
        <f>SUM(AY132:BH132)</f>
        <v>0</v>
      </c>
      <c r="AX132" s="243"/>
      <c r="AY132" s="168">
        <f>IF(   AND(   HLOOKUP(IF(AY$83="",referentie_verwarming,AY$83),toestellen_RV,ROWS(bibliotheek!$E$83:$E$88),FALSE)=1,   AY115+BA115&gt;AZ115   ),
ABS(AY115+BA115-AZ115)*AY$115/(AY115+BA115),
0)</f>
        <v>0</v>
      </c>
      <c r="AZ132" s="168">
        <f>IF(AND(HLOOKUP(IF(AZ$83="",referentie_koeling,AZ$83),toestellen_KOEL,ROWS(bibliotheek!$E$190:$E$194),FALSE)=1,AY115+BA115&lt;AZ115),ABS(AY115+BA115-AZ115),0)</f>
        <v>0</v>
      </c>
      <c r="BA132" s="168">
        <f>IF(AND(HLOOKUP(IF(BA$83="",referentie_warmtapwater,BA$83),toestellen_TAP,ROWS(bibliotheek!$E$139:$E$144),FALSE)=1,AY115+BA115&gt;AZ115),ABS(AY115+BA115-AZ115)*BA$115/(AY115+BA115),0)</f>
        <v>0</v>
      </c>
      <c r="BB132" s="130"/>
      <c r="BC132" s="130"/>
      <c r="BD132" s="130"/>
      <c r="BE132" s="130"/>
      <c r="BF132" s="130"/>
      <c r="BG132" s="130"/>
      <c r="BH132" s="210"/>
    </row>
    <row r="133" spans="1:60" hidden="1">
      <c r="A133" s="1040"/>
      <c r="B133" s="1109" t="s">
        <v>187</v>
      </c>
      <c r="C133" s="1107" t="s">
        <v>181</v>
      </c>
      <c r="D133" s="638"/>
      <c r="E133" s="181" t="s">
        <v>212</v>
      </c>
      <c r="F133" s="180"/>
      <c r="G133" s="180"/>
      <c r="H133" s="181" t="s">
        <v>213</v>
      </c>
      <c r="I133" s="129"/>
      <c r="J133" s="190"/>
      <c r="K133" s="107"/>
      <c r="L133" s="107"/>
      <c r="M133" s="190"/>
      <c r="N133" s="79"/>
      <c r="O133" s="545">
        <f>HLOOKUP(IF(O$83="",referentie_verwarming,O$83),toestellen_RV,ROWS(bibliotheek!$E$83:$E$117),FALSE)</f>
        <v>0</v>
      </c>
      <c r="P133" s="545">
        <f>HLOOKUP(IF(P$83="",referentie_koeling,P$83),toestellen_KOEL,ROWS(bibliotheek!$E$190:$E$208),FALSE)</f>
        <v>0</v>
      </c>
      <c r="Q133" s="545">
        <f>HLOOKUP(IF(Q$83="",referentie_warmtapwater,Q$83),toestellen_TAP,ROWS(bibliotheek!$E$139:$E$165),FALSE)</f>
        <v>0</v>
      </c>
      <c r="R133" s="379"/>
      <c r="S133" s="379"/>
      <c r="T133" s="379"/>
      <c r="U133" s="379"/>
      <c r="V133" s="379"/>
      <c r="W133" s="379"/>
      <c r="X133" s="418"/>
      <c r="Y133" s="190"/>
      <c r="Z133" s="79"/>
      <c r="AA133" s="545">
        <f>HLOOKUP(IF(AA$83="",referentie_verwarming,AA$83),toestellen_RV,ROWS(bibliotheek!$E$83:$E$117),FALSE)</f>
        <v>0</v>
      </c>
      <c r="AB133" s="545">
        <f>HLOOKUP(IF(AB$83="",referentie_koeling,AB$83),toestellen_KOEL,ROWS(bibliotheek!$E$190:$E$208),FALSE)</f>
        <v>0</v>
      </c>
      <c r="AC133" s="545">
        <f>HLOOKUP(IF(AC$83="",referentie_warmtapwater,AC$83),toestellen_TAP,ROWS(bibliotheek!$E$139:$E$165),FALSE)</f>
        <v>0</v>
      </c>
      <c r="AD133" s="379"/>
      <c r="AE133" s="379"/>
      <c r="AF133" s="379"/>
      <c r="AG133" s="379"/>
      <c r="AH133" s="379"/>
      <c r="AI133" s="379"/>
      <c r="AJ133" s="418"/>
      <c r="AK133" s="190"/>
      <c r="AL133" s="79"/>
      <c r="AM133" s="545">
        <f>HLOOKUP(IF(AM$83="",referentie_verwarming,AM$83),toestellen_RV,ROWS(bibliotheek!$E$83:$E$117),FALSE)</f>
        <v>0</v>
      </c>
      <c r="AN133" s="545">
        <f>HLOOKUP(IF(AN$83="",referentie_koeling,AN$83),toestellen_KOEL,ROWS(bibliotheek!$E$190:$E$208),FALSE)</f>
        <v>0</v>
      </c>
      <c r="AO133" s="545">
        <f>HLOOKUP(IF(AO$83="",referentie_warmtapwater,AO$83),toestellen_TAP,ROWS(bibliotheek!$E$139:$E$165),FALSE)</f>
        <v>0</v>
      </c>
      <c r="AP133" s="379"/>
      <c r="AQ133" s="379"/>
      <c r="AR133" s="379"/>
      <c r="AS133" s="379"/>
      <c r="AT133" s="379"/>
      <c r="AU133" s="379"/>
      <c r="AV133" s="418"/>
      <c r="AW133" s="190"/>
      <c r="AX133" s="79"/>
      <c r="AY133" s="545">
        <f>HLOOKUP(IF(AY$83="",referentie_verwarming,AY$83),toestellen_RV,ROWS(bibliotheek!$E$83:$E$117),FALSE)</f>
        <v>0</v>
      </c>
      <c r="AZ133" s="545">
        <f>HLOOKUP(IF(AZ$83="",referentie_koeling,AZ$83),toestellen_KOEL,ROWS(bibliotheek!$E$190:$E$208),FALSE)</f>
        <v>0</v>
      </c>
      <c r="BA133" s="545">
        <f>HLOOKUP(IF(BA$83="",referentie_warmtapwater,BA$83),toestellen_TAP,ROWS(bibliotheek!$E$139:$E$165),FALSE)</f>
        <v>0</v>
      </c>
      <c r="BB133" s="379"/>
      <c r="BC133" s="379"/>
      <c r="BD133" s="379"/>
      <c r="BE133" s="379"/>
      <c r="BF133" s="379"/>
      <c r="BG133" s="379"/>
      <c r="BH133" s="210"/>
    </row>
    <row r="134" spans="1:60">
      <c r="A134" s="1040"/>
      <c r="B134" s="1109" t="s">
        <v>187</v>
      </c>
      <c r="C134" s="1107" t="s">
        <v>118</v>
      </c>
      <c r="D134" s="638"/>
      <c r="E134" s="291" t="s">
        <v>214</v>
      </c>
      <c r="F134" s="254"/>
      <c r="G134" s="254"/>
      <c r="H134" s="291" t="s">
        <v>65</v>
      </c>
      <c r="I134" s="77"/>
      <c r="J134" s="289"/>
      <c r="K134" s="77"/>
      <c r="L134" s="77"/>
      <c r="M134" s="289"/>
      <c r="N134" s="79"/>
      <c r="O134" s="384">
        <f>IF(HLOOKUP(IF(O$83="",referentie_verwarming,O$83),toestellen_RV,ROWS(bibliotheek!$E$83:$E$101),FALSE)=0,0,IF(O135&lt;&gt;"",O135,HLOOKUP(IF(O$83="",referentie_verwarming,O$83),toestellen_RV,ROWS(bibliotheek!$E$83:$E$101),FALSE)))</f>
        <v>0</v>
      </c>
      <c r="P134" s="384">
        <f>IF(HLOOKUP(IF(P$83="",referentie_koeling,P$83),toestellen_KOEL,ROWS(bibliotheek!$E$190:$E$201),FALSE)=0,0,IF(P135&lt;&gt;"",P135,HLOOKUP(IF(P$83="",referentie_koeling,P$83),toestellen_KOEL,ROWS(bibliotheek!$E$190:$E$201),FALSE)))</f>
        <v>0</v>
      </c>
      <c r="Q134" s="384">
        <f>IF(HLOOKUP(IF(Q$83="",referentie_warmtapwater,Q$83),toestellen_TAP,ROWS(bibliotheek!$E$139:$E$157),FALSE)=0,0,IF(Q135&lt;&gt;"",Q135,HLOOKUP(IF(Q$83="",referentie_warmtapwater,Q$83),toestellen_TAP,ROWS(bibliotheek!$E$139:$E$157),FALSE)))</f>
        <v>0</v>
      </c>
      <c r="R134" s="139"/>
      <c r="S134" s="139"/>
      <c r="T134" s="139"/>
      <c r="U134" s="139"/>
      <c r="V134" s="139"/>
      <c r="W134" s="139"/>
      <c r="X134" s="111"/>
      <c r="Y134" s="289"/>
      <c r="Z134" s="79"/>
      <c r="AA134" s="384">
        <f>IF(HLOOKUP(IF(AA$83="",referentie_verwarming,AA$83),toestellen_RV,ROWS(bibliotheek!$E$83:$E$101),FALSE)=0,0,IF(AA135&lt;&gt;"",AA135,HLOOKUP(IF(AA$83="",referentie_verwarming,AA$83),toestellen_RV,ROWS(bibliotheek!$E$83:$E$101),FALSE)))</f>
        <v>0</v>
      </c>
      <c r="AB134" s="384">
        <f>IF(HLOOKUP(IF(AB$83="",referentie_koeling,AB$83),toestellen_KOEL,ROWS(bibliotheek!$E$190:$E$201),FALSE)=0,0,IF(AB135&lt;&gt;"",AB135,HLOOKUP(IF(AB$83="",referentie_koeling,AB$83),toestellen_KOEL,ROWS(bibliotheek!$E$190:$E$201),FALSE)))</f>
        <v>0</v>
      </c>
      <c r="AC134" s="384">
        <f>IF(HLOOKUP(IF(AC$83="",referentie_warmtapwater,AC$83),toestellen_TAP,ROWS(bibliotheek!$E$139:$E$157),FALSE)=0,0,IF(AC135&lt;&gt;"",AC135,HLOOKUP(IF(AC$83="",referentie_warmtapwater,AC$83),toestellen_TAP,ROWS(bibliotheek!$E$139:$E$157),FALSE)))</f>
        <v>0</v>
      </c>
      <c r="AD134" s="139"/>
      <c r="AE134" s="139"/>
      <c r="AF134" s="139"/>
      <c r="AG134" s="139"/>
      <c r="AH134" s="139"/>
      <c r="AI134" s="139"/>
      <c r="AJ134" s="111"/>
      <c r="AK134" s="289"/>
      <c r="AL134" s="79"/>
      <c r="AM134" s="384">
        <f>IF(HLOOKUP(IF(AM$83="",referentie_verwarming,AM$83),toestellen_RV,ROWS(bibliotheek!$E$83:$E$101),FALSE)=0,0,IF(AM135&lt;&gt;"",AM135,HLOOKUP(IF(AM$83="",referentie_verwarming,AM$83),toestellen_RV,ROWS(bibliotheek!$E$83:$E$101),FALSE)))</f>
        <v>0</v>
      </c>
      <c r="AN134" s="384">
        <f>IF(HLOOKUP(IF(AN$83="",referentie_koeling,AN$83),toestellen_KOEL,ROWS(bibliotheek!$E$190:$E$201),FALSE)=0,0,IF(AN135&lt;&gt;"",AN135,HLOOKUP(IF(AN$83="",referentie_koeling,AN$83),toestellen_KOEL,ROWS(bibliotheek!$E$190:$E$201),FALSE)))</f>
        <v>0</v>
      </c>
      <c r="AO134" s="384">
        <f>IF(HLOOKUP(IF(AO$83="",referentie_warmtapwater,AO$83),toestellen_TAP,ROWS(bibliotheek!$E$139:$E$157),FALSE)=0,0,IF(AO135&lt;&gt;"",AO135,HLOOKUP(IF(AO$83="",referentie_warmtapwater,AO$83),toestellen_TAP,ROWS(bibliotheek!$E$139:$E$157),FALSE)))</f>
        <v>0</v>
      </c>
      <c r="AP134" s="139"/>
      <c r="AQ134" s="139"/>
      <c r="AR134" s="139"/>
      <c r="AS134" s="139"/>
      <c r="AT134" s="139"/>
      <c r="AU134" s="139"/>
      <c r="AV134" s="111"/>
      <c r="AW134" s="289"/>
      <c r="AX134" s="79"/>
      <c r="AY134" s="384">
        <f>IF(HLOOKUP(IF(AY$83="",referentie_verwarming,AY$83),toestellen_RV,ROWS(bibliotheek!$E$83:$E$101),FALSE)=0,0,IF(AY135&lt;&gt;"",AY135,HLOOKUP(IF(AY$83="",referentie_verwarming,AY$83),toestellen_RV,ROWS(bibliotheek!$E$83:$E$101),FALSE)))</f>
        <v>0</v>
      </c>
      <c r="AZ134" s="384">
        <f>IF(HLOOKUP(IF(AZ$83="",referentie_koeling,AZ$83),toestellen_KOEL,ROWS(bibliotheek!$E$190:$E$201),FALSE)=0,0,IF(AZ135&lt;&gt;"",AZ135,HLOOKUP(IF(AZ$83="",referentie_koeling,AZ$83),toestellen_KOEL,ROWS(bibliotheek!$E$190:$E$201),FALSE)))</f>
        <v>0</v>
      </c>
      <c r="BA134" s="384">
        <f>IF(HLOOKUP(IF(BA$83="",referentie_warmtapwater,BA$83),toestellen_TAP,ROWS(bibliotheek!$E$139:$E$157),FALSE)=0,0,IF(BA135&lt;&gt;"",BA135,HLOOKUP(IF(BA$83="",referentie_warmtapwater,BA$83),toestellen_TAP,ROWS(bibliotheek!$E$139:$E$157),FALSE)))</f>
        <v>0</v>
      </c>
      <c r="BB134" s="139"/>
      <c r="BC134" s="139"/>
      <c r="BD134" s="139"/>
      <c r="BE134" s="139"/>
      <c r="BF134" s="139"/>
      <c r="BG134" s="139"/>
      <c r="BH134" s="174"/>
    </row>
    <row r="135" spans="1:60">
      <c r="A135" s="1040"/>
      <c r="B135" s="1109" t="s">
        <v>187</v>
      </c>
      <c r="C135" s="1107" t="s">
        <v>118</v>
      </c>
      <c r="D135" s="638"/>
      <c r="E135" s="1218" t="s">
        <v>215</v>
      </c>
      <c r="F135" s="255"/>
      <c r="G135" s="255"/>
      <c r="H135" s="292"/>
      <c r="I135" s="77"/>
      <c r="J135" s="299"/>
      <c r="K135" s="77"/>
      <c r="L135" s="77"/>
      <c r="M135" s="198"/>
      <c r="N135" s="79"/>
      <c r="O135" s="275"/>
      <c r="P135" s="617"/>
      <c r="Q135" s="275"/>
      <c r="R135" s="140"/>
      <c r="S135" s="140"/>
      <c r="T135" s="140"/>
      <c r="U135" s="140"/>
      <c r="V135" s="140"/>
      <c r="W135" s="140"/>
      <c r="X135" s="76"/>
      <c r="Y135" s="198"/>
      <c r="Z135" s="79"/>
      <c r="AA135" s="275"/>
      <c r="AB135" s="617"/>
      <c r="AC135" s="275"/>
      <c r="AD135" s="140"/>
      <c r="AE135" s="140"/>
      <c r="AF135" s="140"/>
      <c r="AG135" s="140"/>
      <c r="AH135" s="140"/>
      <c r="AI135" s="140"/>
      <c r="AJ135" s="76"/>
      <c r="AK135" s="198"/>
      <c r="AL135" s="79"/>
      <c r="AM135" s="275"/>
      <c r="AN135" s="617"/>
      <c r="AO135" s="275"/>
      <c r="AP135" s="140"/>
      <c r="AQ135" s="140"/>
      <c r="AR135" s="140"/>
      <c r="AS135" s="140"/>
      <c r="AT135" s="140"/>
      <c r="AU135" s="140"/>
      <c r="AV135" s="76"/>
      <c r="AW135" s="198"/>
      <c r="AX135" s="79"/>
      <c r="AY135" s="275"/>
      <c r="AZ135" s="617"/>
      <c r="BA135" s="275"/>
      <c r="BB135" s="140"/>
      <c r="BC135" s="140"/>
      <c r="BD135" s="140"/>
      <c r="BE135" s="140"/>
      <c r="BF135" s="140"/>
      <c r="BG135" s="140"/>
      <c r="BH135" s="174"/>
    </row>
    <row r="136" spans="1:60">
      <c r="A136" s="1040"/>
      <c r="B136" s="1109" t="s">
        <v>187</v>
      </c>
      <c r="C136" s="1107" t="s">
        <v>96</v>
      </c>
      <c r="D136" s="638"/>
      <c r="E136" s="79"/>
      <c r="F136" s="79"/>
      <c r="G136" s="79"/>
      <c r="H136" s="85"/>
      <c r="I136" s="79"/>
      <c r="J136" s="82"/>
      <c r="K136" s="79"/>
      <c r="L136" s="79"/>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1"/>
    </row>
    <row r="137" spans="1:60">
      <c r="A137" s="1040"/>
      <c r="B137" s="1109" t="s">
        <v>216</v>
      </c>
      <c r="C137" s="1107" t="s">
        <v>96</v>
      </c>
      <c r="D137" s="638"/>
      <c r="E137" s="79"/>
      <c r="F137" s="79"/>
      <c r="G137" s="79"/>
      <c r="H137" s="85"/>
      <c r="I137" s="79"/>
      <c r="J137" s="82"/>
      <c r="K137" s="79"/>
      <c r="L137" s="79"/>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1"/>
    </row>
    <row r="138" spans="1:60" ht="21">
      <c r="A138" s="1040"/>
      <c r="B138" s="1109" t="s">
        <v>216</v>
      </c>
      <c r="C138" s="1106" t="s">
        <v>96</v>
      </c>
      <c r="D138" s="641" t="s">
        <v>45</v>
      </c>
      <c r="E138" s="199" t="s">
        <v>217</v>
      </c>
      <c r="F138" s="199"/>
      <c r="G138" s="199"/>
      <c r="H138" s="199"/>
      <c r="I138" s="77"/>
      <c r="J138" s="200" t="str">
        <f>J$10</f>
        <v>alle locaties</v>
      </c>
      <c r="K138" s="126"/>
      <c r="L138" s="126"/>
      <c r="M138" s="200" t="str">
        <f>M$10</f>
        <v>locatie 1</v>
      </c>
      <c r="N138" s="182"/>
      <c r="O138" s="966" t="str">
        <f>$E138&amp;" per energiepost"</f>
        <v>installatie niet-preferent toestel per energiepost</v>
      </c>
      <c r="P138" s="941"/>
      <c r="Q138" s="941"/>
      <c r="R138" s="941"/>
      <c r="S138" s="941"/>
      <c r="T138" s="941"/>
      <c r="U138" s="941"/>
      <c r="V138" s="941"/>
      <c r="W138" s="956"/>
      <c r="X138" s="174"/>
      <c r="Y138" s="200" t="str">
        <f>Y$10</f>
        <v>locatie 2</v>
      </c>
      <c r="Z138" s="182"/>
      <c r="AA138" s="966" t="str">
        <f>$E138&amp;" per energiepost"</f>
        <v>installatie niet-preferent toestel per energiepost</v>
      </c>
      <c r="AB138" s="941"/>
      <c r="AC138" s="941"/>
      <c r="AD138" s="941"/>
      <c r="AE138" s="941"/>
      <c r="AF138" s="941"/>
      <c r="AG138" s="941"/>
      <c r="AH138" s="941"/>
      <c r="AI138" s="956"/>
      <c r="AJ138" s="174"/>
      <c r="AK138" s="200" t="str">
        <f>AK$10</f>
        <v>locatie 3</v>
      </c>
      <c r="AL138" s="182"/>
      <c r="AM138" s="966" t="str">
        <f>$E138&amp;" per energiepost"</f>
        <v>installatie niet-preferent toestel per energiepost</v>
      </c>
      <c r="AN138" s="941"/>
      <c r="AO138" s="941"/>
      <c r="AP138" s="941"/>
      <c r="AQ138" s="941"/>
      <c r="AR138" s="941"/>
      <c r="AS138" s="941"/>
      <c r="AT138" s="941"/>
      <c r="AU138" s="956"/>
      <c r="AV138" s="174"/>
      <c r="AW138" s="200" t="str">
        <f>AW$10</f>
        <v>locatie 4</v>
      </c>
      <c r="AX138" s="182"/>
      <c r="AY138" s="966" t="str">
        <f>$E138&amp;" per energiepost"</f>
        <v>installatie niet-preferent toestel per energiepost</v>
      </c>
      <c r="AZ138" s="941"/>
      <c r="BA138" s="941"/>
      <c r="BB138" s="941"/>
      <c r="BC138" s="941"/>
      <c r="BD138" s="941"/>
      <c r="BE138" s="941"/>
      <c r="BF138" s="941"/>
      <c r="BG138" s="956"/>
      <c r="BH138" s="1"/>
    </row>
    <row r="139" spans="1:60">
      <c r="A139" s="1040"/>
      <c r="B139" s="1109" t="s">
        <v>216</v>
      </c>
      <c r="C139" s="1106" t="s">
        <v>96</v>
      </c>
      <c r="D139" s="638"/>
      <c r="E139" s="940" t="s">
        <v>192</v>
      </c>
      <c r="F139" s="940"/>
      <c r="G139" s="940"/>
      <c r="H139" s="940"/>
      <c r="I139" s="77"/>
      <c r="J139" s="939"/>
      <c r="K139" s="126"/>
      <c r="L139" s="126"/>
      <c r="M139" s="938"/>
      <c r="N139" s="191"/>
      <c r="O139" s="177" t="str">
        <f>O$10</f>
        <v>verwarming</v>
      </c>
      <c r="P139" s="177" t="str">
        <f>P$10</f>
        <v>koeling</v>
      </c>
      <c r="Q139" s="177" t="str">
        <f>Q$10</f>
        <v>tapwater</v>
      </c>
      <c r="R139" s="177"/>
      <c r="S139" s="177"/>
      <c r="T139" s="177"/>
      <c r="U139" s="177"/>
      <c r="V139" s="177"/>
      <c r="W139" s="177"/>
      <c r="X139" s="191"/>
      <c r="Y139" s="938"/>
      <c r="Z139" s="191"/>
      <c r="AA139" s="177" t="str">
        <f>AA$10</f>
        <v>verwarming</v>
      </c>
      <c r="AB139" s="177" t="str">
        <f>AB$10</f>
        <v>koeling</v>
      </c>
      <c r="AC139" s="177" t="str">
        <f>AC$10</f>
        <v>tapwater</v>
      </c>
      <c r="AD139" s="177"/>
      <c r="AE139" s="177"/>
      <c r="AF139" s="177"/>
      <c r="AG139" s="177"/>
      <c r="AH139" s="177"/>
      <c r="AI139" s="177"/>
      <c r="AJ139" s="191"/>
      <c r="AK139" s="938"/>
      <c r="AL139" s="191"/>
      <c r="AM139" s="177" t="str">
        <f>AM$10</f>
        <v>verwarming</v>
      </c>
      <c r="AN139" s="177" t="str">
        <f>AN$10</f>
        <v>koeling</v>
      </c>
      <c r="AO139" s="177" t="str">
        <f>AO$10</f>
        <v>tapwater</v>
      </c>
      <c r="AP139" s="177"/>
      <c r="AQ139" s="177"/>
      <c r="AR139" s="177"/>
      <c r="AS139" s="177"/>
      <c r="AT139" s="177"/>
      <c r="AU139" s="177"/>
      <c r="AV139" s="191"/>
      <c r="AW139" s="938"/>
      <c r="AX139" s="191"/>
      <c r="AY139" s="177" t="str">
        <f>AY$10</f>
        <v>verwarming</v>
      </c>
      <c r="AZ139" s="177" t="str">
        <f>AZ$10</f>
        <v>koeling</v>
      </c>
      <c r="BA139" s="177" t="str">
        <f>BA$10</f>
        <v>tapwater</v>
      </c>
      <c r="BB139" s="177"/>
      <c r="BC139" s="177"/>
      <c r="BD139" s="177"/>
      <c r="BE139" s="177"/>
      <c r="BF139" s="177"/>
      <c r="BG139" s="177"/>
      <c r="BH139" s="36"/>
    </row>
    <row r="140" spans="1:60" ht="25.5">
      <c r="A140" s="1040"/>
      <c r="B140" s="1109" t="s">
        <v>216</v>
      </c>
      <c r="C140" s="1107" t="s">
        <v>118</v>
      </c>
      <c r="D140" s="638"/>
      <c r="E140" s="264" t="s">
        <v>218</v>
      </c>
      <c r="F140" s="264"/>
      <c r="G140" s="264"/>
      <c r="H140" s="265" t="s">
        <v>65</v>
      </c>
      <c r="I140" s="103"/>
      <c r="J140" s="268"/>
      <c r="K140" s="103"/>
      <c r="L140" s="103"/>
      <c r="M140" s="268" t="str">
        <f>IF(OR(M$11=0,O143=0),"-","RV: "&amp;O140)</f>
        <v>-</v>
      </c>
      <c r="N140" s="120"/>
      <c r="O140" s="283" t="str">
        <f>IF(O$108=1,geen,HLOOKUP(IF(O$83="",referentie_verwarming,O$83),toestellen_RV,ROWS(bibliotheek!$E$83:$E$104),FALSE))</f>
        <v>elektrisch element</v>
      </c>
      <c r="P140" s="283" t="str">
        <f>IF(OR(P$104=geen,P$108=1),geen,HLOOKUP(IF(P$83="",referentie_koeling,P$83),toestellen_KOEL,ROWS(bibliotheek!$E$190:$E$203),FALSE))</f>
        <v>geen</v>
      </c>
      <c r="Q140" s="283" t="str">
        <f>IF(Q108=1,geen,HLOOKUP(IF(Q$83="",referentie_warmtapwater,Q$83),toestellen_TAP,ROWS(bibliotheek!$E$139:$E$160),FALSE))</f>
        <v>elektrisch element</v>
      </c>
      <c r="R140" s="269"/>
      <c r="S140" s="269"/>
      <c r="T140" s="269"/>
      <c r="U140" s="269"/>
      <c r="V140" s="269"/>
      <c r="W140" s="269"/>
      <c r="X140" s="115"/>
      <c r="Y140" s="268" t="str">
        <f>IF(OR(Y$11=0,AA143=0),"-","RV: "&amp;AA140)</f>
        <v>-</v>
      </c>
      <c r="Z140" s="120"/>
      <c r="AA140" s="283" t="str">
        <f>IF(AA$108=1,geen,HLOOKUP(IF(AA$83="",referentie_verwarming,AA$83),toestellen_RV,ROWS(bibliotheek!$E$83:$E$104),FALSE))</f>
        <v>elektrisch element</v>
      </c>
      <c r="AB140" s="283" t="str">
        <f>IF(OR(AB$104=geen,AB$108=1),geen,HLOOKUP(IF(AB$83="",referentie_koeling,AB$83),toestellen_KOEL,ROWS(bibliotheek!$E$190:$E$203),FALSE))</f>
        <v>geen</v>
      </c>
      <c r="AC140" s="283" t="str">
        <f>IF(AC108=1,geen,HLOOKUP(IF(AC$83="",referentie_warmtapwater,AC$83),toestellen_TAP,ROWS(bibliotheek!$E$139:$E$160),FALSE))</f>
        <v>elektrisch element</v>
      </c>
      <c r="AD140" s="269"/>
      <c r="AE140" s="269"/>
      <c r="AF140" s="269"/>
      <c r="AG140" s="269"/>
      <c r="AH140" s="269"/>
      <c r="AI140" s="269"/>
      <c r="AJ140" s="115"/>
      <c r="AK140" s="268" t="str">
        <f>IF(OR(AK$11=0,AM143=0),"-","RV: "&amp;AM140)</f>
        <v>-</v>
      </c>
      <c r="AL140" s="120"/>
      <c r="AM140" s="283" t="str">
        <f>IF(AM$108=1,geen,HLOOKUP(IF(AM$83="",referentie_verwarming,AM$83),toestellen_RV,ROWS(bibliotheek!$E$83:$E$104),FALSE))</f>
        <v>elektrisch element</v>
      </c>
      <c r="AN140" s="283" t="str">
        <f>IF(OR(AN$104=geen,AN$108=1),geen,HLOOKUP(IF(AN$83="",referentie_koeling,AN$83),toestellen_KOEL,ROWS(bibliotheek!$E$190:$E$203),FALSE))</f>
        <v>geen</v>
      </c>
      <c r="AO140" s="283" t="str">
        <f>IF(AO108=1,geen,HLOOKUP(IF(AO$83="",referentie_warmtapwater,AO$83),toestellen_TAP,ROWS(bibliotheek!$E$139:$E$160),FALSE))</f>
        <v>elektrisch element</v>
      </c>
      <c r="AP140" s="269"/>
      <c r="AQ140" s="269"/>
      <c r="AR140" s="269"/>
      <c r="AS140" s="269"/>
      <c r="AT140" s="269"/>
      <c r="AU140" s="269"/>
      <c r="AV140" s="115"/>
      <c r="AW140" s="268" t="str">
        <f>IF(OR(AW$11=0,AY143=0),"-","RV: "&amp;AY140)</f>
        <v>-</v>
      </c>
      <c r="AX140" s="120"/>
      <c r="AY140" s="283" t="str">
        <f>IF(AY$108=1,geen,HLOOKUP(IF(AY$83="",referentie_verwarming,AY$83),toestellen_RV,ROWS(bibliotheek!$E$83:$E$104),FALSE))</f>
        <v>elektrisch element</v>
      </c>
      <c r="AZ140" s="283" t="str">
        <f>IF(OR(AZ$104=geen,AZ$108=1),geen,HLOOKUP(IF(AZ$83="",referentie_koeling,AZ$83),toestellen_KOEL,ROWS(bibliotheek!$E$190:$E$203),FALSE))</f>
        <v>geen</v>
      </c>
      <c r="BA140" s="283" t="str">
        <f>IF(BA108=1,geen,HLOOKUP(IF(BA$83="",referentie_warmtapwater,BA$83),toestellen_TAP,ROWS(bibliotheek!$E$139:$E$160),FALSE))</f>
        <v>elektrisch element</v>
      </c>
      <c r="BB140" s="269"/>
      <c r="BC140" s="269"/>
      <c r="BD140" s="269"/>
      <c r="BE140" s="269"/>
      <c r="BF140" s="269"/>
      <c r="BG140" s="269"/>
      <c r="BH140" s="221"/>
    </row>
    <row r="141" spans="1:60" hidden="1">
      <c r="A141" s="1040"/>
      <c r="B141" s="1109" t="s">
        <v>216</v>
      </c>
      <c r="C141" s="1107" t="s">
        <v>181</v>
      </c>
      <c r="D141" s="638"/>
      <c r="E141" s="180" t="s">
        <v>190</v>
      </c>
      <c r="F141" s="180"/>
      <c r="G141" s="180"/>
      <c r="H141" s="181" t="s">
        <v>65</v>
      </c>
      <c r="I141" s="79"/>
      <c r="J141" s="190"/>
      <c r="K141" s="79"/>
      <c r="L141" s="79"/>
      <c r="M141" s="190"/>
      <c r="N141" s="114"/>
      <c r="O141" s="284" t="str">
        <f>IF(O140=geen,nvt,HLOOKUP(IF(O$83="",referentie_verwarming,O$83),toestellen_RV,ROWS(bibliotheek!$E$83:$E$105),FALSE))</f>
        <v>elektriciteit</v>
      </c>
      <c r="P141" s="169" t="str">
        <f>IF(P140=geen,nvt,HLOOKUP(IF(P$83="",referentie_koeling,P$83),toestellen_KOEL,ROWS(bibliotheek!$E$190:$E$204),FALSE))</f>
        <v>nvt</v>
      </c>
      <c r="Q141" s="227" t="str">
        <f>IF(Q140=geen,nvt,HLOOKUP(IF(Q$83="",referentie_warmtapwater,Q$83),toestellen_TAP,ROWS(bibliotheek!$E$139:$E$161),FALSE))</f>
        <v>elektriciteit</v>
      </c>
      <c r="R141" s="270"/>
      <c r="S141" s="270"/>
      <c r="T141" s="270"/>
      <c r="U141" s="270"/>
      <c r="V141" s="270"/>
      <c r="W141" s="270"/>
      <c r="X141" s="108"/>
      <c r="Y141" s="190"/>
      <c r="Z141" s="114"/>
      <c r="AA141" s="284" t="str">
        <f>IF(AA140=geen,nvt,HLOOKUP(IF(AA$83="",referentie_verwarming,AA$83),toestellen_RV,ROWS(bibliotheek!$E$83:$E$105),FALSE))</f>
        <v>elektriciteit</v>
      </c>
      <c r="AB141" s="169" t="str">
        <f>IF(AB140=geen,nvt,HLOOKUP(IF(AB$83="",referentie_koeling,AB$83),toestellen_KOEL,ROWS(bibliotheek!$E$190:$E$204),FALSE))</f>
        <v>nvt</v>
      </c>
      <c r="AC141" s="227" t="str">
        <f>IF(AC140=geen,nvt,HLOOKUP(IF(AC$83="",referentie_warmtapwater,AC$83),toestellen_TAP,ROWS(bibliotheek!$E$139:$E$161),FALSE))</f>
        <v>elektriciteit</v>
      </c>
      <c r="AD141" s="270"/>
      <c r="AE141" s="270"/>
      <c r="AF141" s="270"/>
      <c r="AG141" s="270"/>
      <c r="AH141" s="270"/>
      <c r="AI141" s="270"/>
      <c r="AJ141" s="108"/>
      <c r="AK141" s="190"/>
      <c r="AL141" s="114"/>
      <c r="AM141" s="284" t="str">
        <f>IF(AM140=geen,nvt,HLOOKUP(IF(AM$83="",referentie_verwarming,AM$83),toestellen_RV,ROWS(bibliotheek!$E$83:$E$105),FALSE))</f>
        <v>elektriciteit</v>
      </c>
      <c r="AN141" s="169" t="str">
        <f>IF(AN140=geen,nvt,HLOOKUP(IF(AN$83="",referentie_koeling,AN$83),toestellen_KOEL,ROWS(bibliotheek!$E$190:$E$204),FALSE))</f>
        <v>nvt</v>
      </c>
      <c r="AO141" s="227" t="str">
        <f>IF(AO140=geen,nvt,HLOOKUP(IF(AO$83="",referentie_warmtapwater,AO$83),toestellen_TAP,ROWS(bibliotheek!$E$139:$E$161),FALSE))</f>
        <v>elektriciteit</v>
      </c>
      <c r="AP141" s="270"/>
      <c r="AQ141" s="270"/>
      <c r="AR141" s="270"/>
      <c r="AS141" s="270"/>
      <c r="AT141" s="270"/>
      <c r="AU141" s="270"/>
      <c r="AV141" s="108"/>
      <c r="AW141" s="190"/>
      <c r="AX141" s="114"/>
      <c r="AY141" s="284" t="str">
        <f>IF(AY140=geen,nvt,HLOOKUP(IF(AY$83="",referentie_verwarming,AY$83),toestellen_RV,ROWS(bibliotheek!$E$83:$E$105),FALSE))</f>
        <v>elektriciteit</v>
      </c>
      <c r="AZ141" s="169" t="str">
        <f>IF(AZ140=geen,nvt,HLOOKUP(IF(AZ$83="",referentie_koeling,AZ$83),toestellen_KOEL,ROWS(bibliotheek!$E$190:$E$204),FALSE))</f>
        <v>nvt</v>
      </c>
      <c r="BA141" s="227" t="str">
        <f>IF(BA140=geen,nvt,HLOOKUP(IF(BA$83="",referentie_warmtapwater,BA$83),toestellen_TAP,ROWS(bibliotheek!$E$139:$E$161),FALSE))</f>
        <v>elektriciteit</v>
      </c>
      <c r="BB141" s="270"/>
      <c r="BC141" s="270"/>
      <c r="BD141" s="270"/>
      <c r="BE141" s="270"/>
      <c r="BF141" s="270"/>
      <c r="BG141" s="270"/>
      <c r="BH141" s="174"/>
    </row>
    <row r="142" spans="1:60" hidden="1">
      <c r="A142" s="1040"/>
      <c r="B142" s="1109" t="s">
        <v>216</v>
      </c>
      <c r="C142" s="1106" t="s">
        <v>181</v>
      </c>
      <c r="D142" s="638"/>
      <c r="E142" s="181" t="s">
        <v>191</v>
      </c>
      <c r="F142" s="180"/>
      <c r="G142" s="180"/>
      <c r="H142" s="181" t="s">
        <v>65</v>
      </c>
      <c r="I142" s="129"/>
      <c r="J142" s="190"/>
      <c r="K142" s="1058"/>
      <c r="L142" s="1058"/>
      <c r="M142" s="190"/>
      <c r="N142" s="114"/>
      <c r="O142" s="284" t="str">
        <f>INDEX(energiedragers_index_fPren,MATCH(O141,energiedragers_namen,0))</f>
        <v>nren</v>
      </c>
      <c r="P142" s="169" t="str">
        <f>INDEX(energiedragers_index_fPren,MATCH(P141,energiedragers_namen,0))</f>
        <v>nren</v>
      </c>
      <c r="Q142" s="227" t="str">
        <f>INDEX(energiedragers_index_fPren,MATCH(Q141,energiedragers_namen,0))</f>
        <v>nren</v>
      </c>
      <c r="R142" s="271"/>
      <c r="S142" s="271"/>
      <c r="T142" s="271"/>
      <c r="U142" s="271"/>
      <c r="V142" s="271"/>
      <c r="W142" s="271"/>
      <c r="X142" s="741"/>
      <c r="Y142" s="190"/>
      <c r="Z142" s="114"/>
      <c r="AA142" s="284" t="str">
        <f>INDEX(energiedragers_index_fPren,MATCH(AA141,energiedragers_namen,0))</f>
        <v>nren</v>
      </c>
      <c r="AB142" s="169" t="str">
        <f>INDEX(energiedragers_index_fPren,MATCH(AB141,energiedragers_namen,0))</f>
        <v>nren</v>
      </c>
      <c r="AC142" s="227" t="str">
        <f>INDEX(energiedragers_index_fPren,MATCH(AC141,energiedragers_namen,0))</f>
        <v>nren</v>
      </c>
      <c r="AD142" s="271"/>
      <c r="AE142" s="271"/>
      <c r="AF142" s="271"/>
      <c r="AG142" s="271"/>
      <c r="AH142" s="271"/>
      <c r="AI142" s="271"/>
      <c r="AJ142" s="741"/>
      <c r="AK142" s="190"/>
      <c r="AL142" s="114"/>
      <c r="AM142" s="284" t="str">
        <f>INDEX(energiedragers_index_fPren,MATCH(AM141,energiedragers_namen,0))</f>
        <v>nren</v>
      </c>
      <c r="AN142" s="169" t="str">
        <f>INDEX(energiedragers_index_fPren,MATCH(AN141,energiedragers_namen,0))</f>
        <v>nren</v>
      </c>
      <c r="AO142" s="227" t="str">
        <f>INDEX(energiedragers_index_fPren,MATCH(AO141,energiedragers_namen,0))</f>
        <v>nren</v>
      </c>
      <c r="AP142" s="271"/>
      <c r="AQ142" s="271"/>
      <c r="AR142" s="271"/>
      <c r="AS142" s="271"/>
      <c r="AT142" s="271"/>
      <c r="AU142" s="271"/>
      <c r="AV142" s="741"/>
      <c r="AW142" s="190"/>
      <c r="AX142" s="114"/>
      <c r="AY142" s="284" t="str">
        <f>INDEX(energiedragers_index_fPren,MATCH(AY141,energiedragers_namen,0))</f>
        <v>nren</v>
      </c>
      <c r="AZ142" s="169" t="str">
        <f>INDEX(energiedragers_index_fPren,MATCH(AZ141,energiedragers_namen,0))</f>
        <v>nren</v>
      </c>
      <c r="BA142" s="227" t="str">
        <f>INDEX(energiedragers_index_fPren,MATCH(BA141,energiedragers_namen,0))</f>
        <v>nren</v>
      </c>
      <c r="BB142" s="271"/>
      <c r="BC142" s="271"/>
      <c r="BD142" s="271"/>
      <c r="BE142" s="271"/>
      <c r="BF142" s="271"/>
      <c r="BG142" s="271"/>
      <c r="BH142" s="219"/>
    </row>
    <row r="143" spans="1:60" hidden="1">
      <c r="A143" s="1040"/>
      <c r="B143" s="1109" t="s">
        <v>216</v>
      </c>
      <c r="C143" s="1107" t="s">
        <v>181</v>
      </c>
      <c r="D143" s="638"/>
      <c r="E143" s="180" t="s">
        <v>193</v>
      </c>
      <c r="F143" s="180"/>
      <c r="G143" s="180"/>
      <c r="H143" s="181" t="s">
        <v>65</v>
      </c>
      <c r="I143" s="79"/>
      <c r="J143" s="190"/>
      <c r="K143" s="103"/>
      <c r="L143" s="103"/>
      <c r="M143" s="190"/>
      <c r="N143" s="114"/>
      <c r="O143" s="285">
        <f>1-O108</f>
        <v>9.9999999999999978E-2</v>
      </c>
      <c r="P143" s="285">
        <f>1-P108</f>
        <v>0</v>
      </c>
      <c r="Q143" s="285">
        <f>1-Q108</f>
        <v>9.9999999999999978E-2</v>
      </c>
      <c r="R143" s="272"/>
      <c r="S143" s="272"/>
      <c r="T143" s="272"/>
      <c r="U143" s="272"/>
      <c r="V143" s="272"/>
      <c r="W143" s="272"/>
      <c r="X143" s="108"/>
      <c r="Y143" s="190"/>
      <c r="Z143" s="114"/>
      <c r="AA143" s="285">
        <f>1-AA108</f>
        <v>9.9999999999999978E-2</v>
      </c>
      <c r="AB143" s="285">
        <f>1-AB108</f>
        <v>0</v>
      </c>
      <c r="AC143" s="285">
        <f>1-AC108</f>
        <v>9.9999999999999978E-2</v>
      </c>
      <c r="AD143" s="272"/>
      <c r="AE143" s="272"/>
      <c r="AF143" s="272"/>
      <c r="AG143" s="272"/>
      <c r="AH143" s="272"/>
      <c r="AI143" s="272"/>
      <c r="AJ143" s="108"/>
      <c r="AK143" s="190"/>
      <c r="AL143" s="114"/>
      <c r="AM143" s="285">
        <f>1-AM108</f>
        <v>9.9999999999999978E-2</v>
      </c>
      <c r="AN143" s="285">
        <f>1-AN108</f>
        <v>0</v>
      </c>
      <c r="AO143" s="285">
        <f>1-AO108</f>
        <v>9.9999999999999978E-2</v>
      </c>
      <c r="AP143" s="272"/>
      <c r="AQ143" s="272"/>
      <c r="AR143" s="272"/>
      <c r="AS143" s="272"/>
      <c r="AT143" s="272"/>
      <c r="AU143" s="272"/>
      <c r="AV143" s="108"/>
      <c r="AW143" s="190"/>
      <c r="AX143" s="114"/>
      <c r="AY143" s="285">
        <f>1-AY108</f>
        <v>9.9999999999999978E-2</v>
      </c>
      <c r="AZ143" s="285">
        <f>1-AZ108</f>
        <v>0</v>
      </c>
      <c r="BA143" s="285">
        <f>1-BA108</f>
        <v>9.9999999999999978E-2</v>
      </c>
      <c r="BB143" s="272"/>
      <c r="BC143" s="272"/>
      <c r="BD143" s="272"/>
      <c r="BE143" s="272"/>
      <c r="BF143" s="272"/>
      <c r="BG143" s="272"/>
      <c r="BH143" s="174"/>
    </row>
    <row r="144" spans="1:60" hidden="1">
      <c r="A144" s="1040"/>
      <c r="B144" s="1109" t="s">
        <v>216</v>
      </c>
      <c r="C144" s="1107" t="s">
        <v>181</v>
      </c>
      <c r="D144" s="638"/>
      <c r="E144" s="180" t="s">
        <v>219</v>
      </c>
      <c r="F144" s="180"/>
      <c r="G144" s="180"/>
      <c r="H144" s="181" t="s">
        <v>160</v>
      </c>
      <c r="I144" s="79"/>
      <c r="J144" s="202">
        <f>M144+Y144+AK144+AW144</f>
        <v>0</v>
      </c>
      <c r="K144" s="243"/>
      <c r="L144" s="243"/>
      <c r="M144" s="202">
        <f>SUM(O144:X144)</f>
        <v>0</v>
      </c>
      <c r="N144" s="114"/>
      <c r="O144" s="168">
        <f>O$97*O143</f>
        <v>0</v>
      </c>
      <c r="P144" s="168">
        <f>P$97*P143</f>
        <v>0</v>
      </c>
      <c r="Q144" s="168">
        <f>Q$97*Q143</f>
        <v>0</v>
      </c>
      <c r="R144" s="273"/>
      <c r="S144" s="273"/>
      <c r="T144" s="273"/>
      <c r="U144" s="273"/>
      <c r="V144" s="273"/>
      <c r="W144" s="273"/>
      <c r="X144" s="106"/>
      <c r="Y144" s="202">
        <f>SUM(AA144:AJ144)</f>
        <v>0</v>
      </c>
      <c r="Z144" s="114"/>
      <c r="AA144" s="168">
        <f>AA$97*AA143</f>
        <v>0</v>
      </c>
      <c r="AB144" s="168">
        <f>AB$97*AB143</f>
        <v>0</v>
      </c>
      <c r="AC144" s="168">
        <f>AC$97*AC143</f>
        <v>0</v>
      </c>
      <c r="AD144" s="273"/>
      <c r="AE144" s="273"/>
      <c r="AF144" s="273"/>
      <c r="AG144" s="273"/>
      <c r="AH144" s="273"/>
      <c r="AI144" s="273"/>
      <c r="AJ144" s="106"/>
      <c r="AK144" s="202">
        <f>SUM(AM144:AV144)</f>
        <v>0</v>
      </c>
      <c r="AL144" s="114"/>
      <c r="AM144" s="168">
        <f>AM$97*AM143</f>
        <v>0</v>
      </c>
      <c r="AN144" s="168">
        <f>AN$97*AN143</f>
        <v>0</v>
      </c>
      <c r="AO144" s="168">
        <f>AO$97*AO143</f>
        <v>0</v>
      </c>
      <c r="AP144" s="273"/>
      <c r="AQ144" s="273"/>
      <c r="AR144" s="273"/>
      <c r="AS144" s="273"/>
      <c r="AT144" s="273"/>
      <c r="AU144" s="273"/>
      <c r="AV144" s="106"/>
      <c r="AW144" s="202">
        <f>SUM(AY144:BH144)</f>
        <v>0</v>
      </c>
      <c r="AX144" s="114"/>
      <c r="AY144" s="168">
        <f>AY$97*AY143</f>
        <v>0</v>
      </c>
      <c r="AZ144" s="168">
        <f>AZ$97*AZ143</f>
        <v>0</v>
      </c>
      <c r="BA144" s="168">
        <f>BA$97*BA143</f>
        <v>0</v>
      </c>
      <c r="BB144" s="273"/>
      <c r="BC144" s="273"/>
      <c r="BD144" s="273"/>
      <c r="BE144" s="273"/>
      <c r="BF144" s="273"/>
      <c r="BG144" s="273"/>
      <c r="BH144" s="210"/>
    </row>
    <row r="145" spans="1:60">
      <c r="A145" s="1040"/>
      <c r="B145" s="1109" t="s">
        <v>216</v>
      </c>
      <c r="C145" s="1106" t="s">
        <v>118</v>
      </c>
      <c r="D145" s="638"/>
      <c r="E145" s="254" t="s">
        <v>220</v>
      </c>
      <c r="F145" s="254"/>
      <c r="G145" s="254"/>
      <c r="H145" s="291" t="s">
        <v>65</v>
      </c>
      <c r="I145" s="79"/>
      <c r="J145" s="189"/>
      <c r="K145" s="79"/>
      <c r="L145" s="79"/>
      <c r="M145" s="189"/>
      <c r="N145" s="116"/>
      <c r="O145" s="349">
        <f>IF(O146&lt;&gt;"",O146,HLOOKUP(IF(O$83="",referentie_verwarming,O$83),toestellen_RV,ROWS(bibliotheek!$E$83:$E$107),FALSE))</f>
        <v>1</v>
      </c>
      <c r="P145" s="349">
        <f>IF(P146&lt;&gt;"",P146,HLOOKUP(IF(P$83="",referentie_koeling,P$83),toestellen_KOEL,ROWS(bibliotheek!$E$190:$E$206),FALSE))</f>
        <v>0</v>
      </c>
      <c r="Q145" s="349">
        <f>IF(Q146&lt;&gt;"",Q146,HLOOKUP(IF(Q$83="",referentie_warmtapwater,Q$83),toestellen_TAP,ROWS(bibliotheek!$E$139:$E$163),FALSE))</f>
        <v>1</v>
      </c>
      <c r="R145" s="350"/>
      <c r="S145" s="350"/>
      <c r="T145" s="350"/>
      <c r="U145" s="350"/>
      <c r="V145" s="350"/>
      <c r="W145" s="350"/>
      <c r="X145" s="351"/>
      <c r="Y145" s="352"/>
      <c r="Z145" s="114"/>
      <c r="AA145" s="349">
        <f>IF(AA146&lt;&gt;"",AA146,HLOOKUP(IF(AA$83="",referentie_verwarming,AA$83),toestellen_RV,ROWS(bibliotheek!$E$83:$E$107),FALSE))</f>
        <v>1</v>
      </c>
      <c r="AB145" s="349">
        <f>IF(AB146&lt;&gt;"",AB146,HLOOKUP(IF(AB$83="",referentie_koeling,AB$83),toestellen_KOEL,ROWS(bibliotheek!$E$190:$E$206),FALSE))</f>
        <v>0</v>
      </c>
      <c r="AC145" s="349">
        <f>IF(AC146&lt;&gt;"",AC146,HLOOKUP(IF(AC$83="",referentie_warmtapwater,AC$83),toestellen_TAP,ROWS(bibliotheek!$E$139:$E$163),FALSE))</f>
        <v>1</v>
      </c>
      <c r="AD145" s="350"/>
      <c r="AE145" s="350"/>
      <c r="AF145" s="350"/>
      <c r="AG145" s="350"/>
      <c r="AH145" s="350"/>
      <c r="AI145" s="350"/>
      <c r="AJ145" s="351"/>
      <c r="AK145" s="352"/>
      <c r="AL145" s="114"/>
      <c r="AM145" s="349">
        <f>IF(AM146&lt;&gt;"",AM146,HLOOKUP(IF(AM$83="",referentie_verwarming,AM$83),toestellen_RV,ROWS(bibliotheek!$E$83:$E$107),FALSE))</f>
        <v>1</v>
      </c>
      <c r="AN145" s="349">
        <f>IF(AN146&lt;&gt;"",AN146,HLOOKUP(IF(AN$83="",referentie_koeling,AN$83),toestellen_KOEL,ROWS(bibliotheek!$E$190:$E$206),FALSE))</f>
        <v>0</v>
      </c>
      <c r="AO145" s="349">
        <f>IF(AO146&lt;&gt;"",AO146,HLOOKUP(IF(AO$83="",referentie_warmtapwater,AO$83),toestellen_TAP,ROWS(bibliotheek!$E$139:$E$163),FALSE))</f>
        <v>1</v>
      </c>
      <c r="AP145" s="350"/>
      <c r="AQ145" s="350"/>
      <c r="AR145" s="350"/>
      <c r="AS145" s="350"/>
      <c r="AT145" s="350"/>
      <c r="AU145" s="350"/>
      <c r="AV145" s="351"/>
      <c r="AW145" s="352"/>
      <c r="AX145" s="114"/>
      <c r="AY145" s="349">
        <f>IF(AY146&lt;&gt;"",AY146,HLOOKUP(IF(AY$83="",referentie_verwarming,AY$83),toestellen_RV,ROWS(bibliotheek!$E$83:$E$107),FALSE))</f>
        <v>1</v>
      </c>
      <c r="AZ145" s="349">
        <f>IF(AZ146&lt;&gt;"",AZ146,HLOOKUP(IF(AZ$83="",referentie_koeling,AZ$83),toestellen_KOEL,ROWS(bibliotheek!$E$190:$E$206),FALSE))</f>
        <v>0</v>
      </c>
      <c r="BA145" s="349">
        <f>IF(BA146&lt;&gt;"",BA146,HLOOKUP(IF(BA$83="",referentie_warmtapwater,BA$83),toestellen_TAP,ROWS(bibliotheek!$E$139:$E$163),FALSE))</f>
        <v>1</v>
      </c>
      <c r="BB145" s="300"/>
      <c r="BC145" s="300"/>
      <c r="BD145" s="300"/>
      <c r="BE145" s="300"/>
      <c r="BF145" s="300"/>
      <c r="BG145" s="300"/>
      <c r="BH145" s="174"/>
    </row>
    <row r="146" spans="1:60">
      <c r="A146" s="1040"/>
      <c r="B146" s="1109" t="s">
        <v>216</v>
      </c>
      <c r="C146" s="1106" t="s">
        <v>118</v>
      </c>
      <c r="D146" s="638"/>
      <c r="E146" s="1218" t="s">
        <v>197</v>
      </c>
      <c r="F146" s="255"/>
      <c r="G146" s="255"/>
      <c r="H146" s="292"/>
      <c r="I146" s="79"/>
      <c r="J146" s="299"/>
      <c r="K146" s="79"/>
      <c r="L146" s="79"/>
      <c r="M146" s="198"/>
      <c r="N146" s="161"/>
      <c r="O146" s="628"/>
      <c r="P146" s="629"/>
      <c r="Q146" s="628"/>
      <c r="R146" s="630"/>
      <c r="S146" s="630"/>
      <c r="T146" s="630"/>
      <c r="U146" s="630"/>
      <c r="V146" s="630"/>
      <c r="W146" s="630"/>
      <c r="X146" s="348"/>
      <c r="Y146" s="631"/>
      <c r="Z146" s="114"/>
      <c r="AA146" s="628"/>
      <c r="AB146" s="629"/>
      <c r="AC146" s="628"/>
      <c r="AD146" s="630"/>
      <c r="AE146" s="630"/>
      <c r="AF146" s="630"/>
      <c r="AG146" s="630"/>
      <c r="AH146" s="630"/>
      <c r="AI146" s="630"/>
      <c r="AJ146" s="348"/>
      <c r="AK146" s="631"/>
      <c r="AL146" s="114"/>
      <c r="AM146" s="628"/>
      <c r="AN146" s="629"/>
      <c r="AO146" s="628"/>
      <c r="AP146" s="630"/>
      <c r="AQ146" s="630"/>
      <c r="AR146" s="630"/>
      <c r="AS146" s="630"/>
      <c r="AT146" s="630"/>
      <c r="AU146" s="630"/>
      <c r="AV146" s="348"/>
      <c r="AW146" s="631"/>
      <c r="AX146" s="114"/>
      <c r="AY146" s="628"/>
      <c r="AZ146" s="629"/>
      <c r="BA146" s="628"/>
      <c r="BB146" s="301"/>
      <c r="BC146" s="301"/>
      <c r="BD146" s="301"/>
      <c r="BE146" s="301"/>
      <c r="BF146" s="301"/>
      <c r="BG146" s="301"/>
      <c r="BH146" s="174"/>
    </row>
    <row r="147" spans="1:60" hidden="1">
      <c r="A147" s="1040"/>
      <c r="B147" s="1109" t="s">
        <v>216</v>
      </c>
      <c r="C147" s="1106" t="s">
        <v>181</v>
      </c>
      <c r="D147" s="638"/>
      <c r="E147" s="180" t="s">
        <v>221</v>
      </c>
      <c r="F147" s="180"/>
      <c r="G147" s="180"/>
      <c r="H147" s="181" t="s">
        <v>202</v>
      </c>
      <c r="I147" s="79"/>
      <c r="J147" s="202">
        <f>M147+Y147+AK147+AW147</f>
        <v>0</v>
      </c>
      <c r="K147" s="243"/>
      <c r="L147" s="243"/>
      <c r="M147" s="202">
        <f>SUM(O147:X147)</f>
        <v>0</v>
      </c>
      <c r="N147" s="114"/>
      <c r="O147" s="168">
        <f>IF(O$145=0,0,O$144/O$145)</f>
        <v>0</v>
      </c>
      <c r="P147" s="168">
        <f>IF(P$145=0,0,P$144/P$145)</f>
        <v>0</v>
      </c>
      <c r="Q147" s="168">
        <f>IF(Q$145=0,0,Q$144/Q$145)</f>
        <v>0</v>
      </c>
      <c r="R147" s="273"/>
      <c r="S147" s="273"/>
      <c r="T147" s="273"/>
      <c r="U147" s="273"/>
      <c r="V147" s="273"/>
      <c r="W147" s="273"/>
      <c r="X147" s="106"/>
      <c r="Y147" s="202">
        <f>SUM(AA147:AJ147)</f>
        <v>0</v>
      </c>
      <c r="Z147" s="114"/>
      <c r="AA147" s="168">
        <f>IF(AA$145=0,0,AA$144/AA$145)</f>
        <v>0</v>
      </c>
      <c r="AB147" s="168">
        <f>IF(AB$145=0,0,AB$144/AB$145)</f>
        <v>0</v>
      </c>
      <c r="AC147" s="168">
        <f>IF(AC$145=0,0,AC$144/AC$145)</f>
        <v>0</v>
      </c>
      <c r="AD147" s="273"/>
      <c r="AE147" s="273"/>
      <c r="AF147" s="273"/>
      <c r="AG147" s="273"/>
      <c r="AH147" s="273"/>
      <c r="AI147" s="273"/>
      <c r="AJ147" s="106"/>
      <c r="AK147" s="202">
        <f>SUM(AM147:AV147)</f>
        <v>0</v>
      </c>
      <c r="AL147" s="114"/>
      <c r="AM147" s="168">
        <f>IF(AM$145=0,0,AM$144/AM$145)</f>
        <v>0</v>
      </c>
      <c r="AN147" s="168">
        <f>IF(AN$145=0,0,AN$144/AN$145)</f>
        <v>0</v>
      </c>
      <c r="AO147" s="168">
        <f>IF(AO$145=0,0,AO$144/AO$145)</f>
        <v>0</v>
      </c>
      <c r="AP147" s="273"/>
      <c r="AQ147" s="273"/>
      <c r="AR147" s="273"/>
      <c r="AS147" s="273"/>
      <c r="AT147" s="273"/>
      <c r="AU147" s="273"/>
      <c r="AV147" s="106"/>
      <c r="AW147" s="202">
        <f>SUM(AY147:BH147)</f>
        <v>0</v>
      </c>
      <c r="AX147" s="114"/>
      <c r="AY147" s="168">
        <f>IF(AY$145=0,0,AY$144/AY$145)</f>
        <v>0</v>
      </c>
      <c r="AZ147" s="168">
        <f>IF(AZ$145=0,0,AZ$144/AZ$145)</f>
        <v>0</v>
      </c>
      <c r="BA147" s="168">
        <f>IF(BA$145=0,0,BA$144/BA$145)</f>
        <v>0</v>
      </c>
      <c r="BB147" s="273"/>
      <c r="BC147" s="273"/>
      <c r="BD147" s="273"/>
      <c r="BE147" s="273"/>
      <c r="BF147" s="273"/>
      <c r="BG147" s="273"/>
      <c r="BH147" s="210"/>
    </row>
    <row r="148" spans="1:60">
      <c r="A148" s="1040"/>
      <c r="B148" s="1109" t="s">
        <v>216</v>
      </c>
      <c r="C148" s="1106" t="s">
        <v>96</v>
      </c>
      <c r="D148" s="638"/>
      <c r="E148" s="940" t="s">
        <v>1220</v>
      </c>
      <c r="F148" s="940"/>
      <c r="G148" s="940"/>
      <c r="H148" s="940"/>
      <c r="I148" s="77"/>
      <c r="J148" s="939"/>
      <c r="K148" s="126"/>
      <c r="L148" s="126"/>
      <c r="M148" s="938"/>
      <c r="N148" s="191"/>
      <c r="O148" s="177" t="str">
        <f>O$10</f>
        <v>verwarming</v>
      </c>
      <c r="P148" s="177" t="str">
        <f>P$10</f>
        <v>koeling</v>
      </c>
      <c r="Q148" s="177" t="str">
        <f>Q$10</f>
        <v>tapwater</v>
      </c>
      <c r="R148" s="938"/>
      <c r="S148" s="938"/>
      <c r="T148" s="938"/>
      <c r="U148" s="938"/>
      <c r="V148" s="938"/>
      <c r="W148" s="938"/>
      <c r="X148" s="191"/>
      <c r="Y148" s="938"/>
      <c r="Z148" s="191"/>
      <c r="AA148" s="177" t="str">
        <f>AA$10</f>
        <v>verwarming</v>
      </c>
      <c r="AB148" s="177" t="str">
        <f>AB$10</f>
        <v>koeling</v>
      </c>
      <c r="AC148" s="177" t="str">
        <f>AC$10</f>
        <v>tapwater</v>
      </c>
      <c r="AD148" s="938"/>
      <c r="AE148" s="938"/>
      <c r="AF148" s="938"/>
      <c r="AG148" s="938"/>
      <c r="AH148" s="938"/>
      <c r="AI148" s="938"/>
      <c r="AJ148" s="191"/>
      <c r="AK148" s="938"/>
      <c r="AL148" s="191"/>
      <c r="AM148" s="177" t="str">
        <f>AM$10</f>
        <v>verwarming</v>
      </c>
      <c r="AN148" s="177" t="str">
        <f>AN$10</f>
        <v>koeling</v>
      </c>
      <c r="AO148" s="177" t="str">
        <f>AO$10</f>
        <v>tapwater</v>
      </c>
      <c r="AP148" s="938"/>
      <c r="AQ148" s="938"/>
      <c r="AR148" s="938"/>
      <c r="AS148" s="938"/>
      <c r="AT148" s="938"/>
      <c r="AU148" s="938"/>
      <c r="AV148" s="191"/>
      <c r="AW148" s="938"/>
      <c r="AX148" s="191"/>
      <c r="AY148" s="177" t="str">
        <f>AY$10</f>
        <v>verwarming</v>
      </c>
      <c r="AZ148" s="177" t="str">
        <f>AZ$10</f>
        <v>koeling</v>
      </c>
      <c r="BA148" s="177" t="str">
        <f>BA$10</f>
        <v>tapwater</v>
      </c>
      <c r="BB148" s="938"/>
      <c r="BC148" s="938"/>
      <c r="BD148" s="938"/>
      <c r="BE148" s="938"/>
      <c r="BF148" s="938"/>
      <c r="BG148" s="938"/>
      <c r="BH148" s="36"/>
    </row>
    <row r="149" spans="1:60">
      <c r="A149" s="1040"/>
      <c r="B149" s="1109" t="s">
        <v>216</v>
      </c>
      <c r="C149" s="1106" t="s">
        <v>118</v>
      </c>
      <c r="D149" s="641" t="s">
        <v>45</v>
      </c>
      <c r="E149" s="1170" t="s">
        <v>1348</v>
      </c>
      <c r="F149" s="181"/>
      <c r="G149" s="254"/>
      <c r="H149" s="291" t="s">
        <v>204</v>
      </c>
      <c r="I149" s="79"/>
      <c r="J149" s="189"/>
      <c r="K149" s="79"/>
      <c r="L149" s="79"/>
      <c r="M149" s="189"/>
      <c r="N149" s="116"/>
      <c r="O149" s="290">
        <f>IF(O144=0,0,IF(O150&lt;&gt;"",O150,IF(O141=elektriciteit,$G$5,HLOOKUP(O141,ENERGIEDRAGERS,ROWS(bibliotheek!$E$259:$E$261),FALSE))))</f>
        <v>0</v>
      </c>
      <c r="P149" s="290">
        <f>IF(P144=0,0,IF(P150&lt;&gt;"",P150,IF(HLOOKUP(P141,ENERGIEDRAGERS,ROWS(bibliotheek!$E$259:$E$260),FALSE)=0,$G$5,HLOOKUP(P141,ENERGIEDRAGERS,ROWS(bibliotheek!$E$259:$E$261),FALSE))))</f>
        <v>0</v>
      </c>
      <c r="Q149" s="290">
        <f>IF(Q144=0,0,IF(Q150&lt;&gt;"",Q150,IF(Q141=elektriciteit,$G$5,HLOOKUP(Q141,ENERGIEDRAGERS,ROWS(bibliotheek!$E$259:$E$261),FALSE))))</f>
        <v>0</v>
      </c>
      <c r="R149" s="302"/>
      <c r="S149" s="302"/>
      <c r="T149" s="302"/>
      <c r="U149" s="302"/>
      <c r="V149" s="302"/>
      <c r="W149" s="302"/>
      <c r="X149" s="108"/>
      <c r="Y149" s="189"/>
      <c r="Z149" s="116"/>
      <c r="AA149" s="290">
        <f>IF(AA144=0,0,IF(AA150&lt;&gt;"",AA150,IF(AA141=elektriciteit,$G$5,HLOOKUP(AA141,ENERGIEDRAGERS,ROWS(bibliotheek!$E$259:$E$261),FALSE))))</f>
        <v>0</v>
      </c>
      <c r="AB149" s="290">
        <f>IF(AB144=0,0,IF(AB150&lt;&gt;"",AB150,IF(HLOOKUP(AB141,ENERGIEDRAGERS,ROWS(bibliotheek!$E$259:$E$260),FALSE)=0,$G$5,HLOOKUP(AB141,ENERGIEDRAGERS,ROWS(bibliotheek!$E$259:$E$261),FALSE))))</f>
        <v>0</v>
      </c>
      <c r="AC149" s="290">
        <f>IF(AC144=0,0,IF(AC150&lt;&gt;"",AC150,IF(AC141=elektriciteit,$G$5,HLOOKUP(AC141,ENERGIEDRAGERS,ROWS(bibliotheek!$E$259:$E$261),FALSE))))</f>
        <v>0</v>
      </c>
      <c r="AD149" s="302"/>
      <c r="AE149" s="302"/>
      <c r="AF149" s="302"/>
      <c r="AG149" s="302"/>
      <c r="AH149" s="302"/>
      <c r="AI149" s="302"/>
      <c r="AJ149" s="108"/>
      <c r="AK149" s="189"/>
      <c r="AL149" s="116"/>
      <c r="AM149" s="290">
        <f>IF(AM144=0,0,IF(AM150&lt;&gt;"",AM150,IF(AM141=elektriciteit,$G$5,HLOOKUP(AM141,ENERGIEDRAGERS,ROWS(bibliotheek!$E$259:$E$261),FALSE))))</f>
        <v>0</v>
      </c>
      <c r="AN149" s="290">
        <f>IF(AN144=0,0,IF(AN150&lt;&gt;"",AN150,IF(HLOOKUP(AN141,ENERGIEDRAGERS,ROWS(bibliotheek!$E$259:$E$260),FALSE)=0,$G$5,HLOOKUP(AN141,ENERGIEDRAGERS,ROWS(bibliotheek!$E$259:$E$261),FALSE))))</f>
        <v>0</v>
      </c>
      <c r="AO149" s="290">
        <f>IF(AO144=0,0,IF(AO150&lt;&gt;"",AO150,IF(AO141=elektriciteit,$G$5,HLOOKUP(AO141,ENERGIEDRAGERS,ROWS(bibliotheek!$E$259:$E$261),FALSE))))</f>
        <v>0</v>
      </c>
      <c r="AP149" s="302"/>
      <c r="AQ149" s="302"/>
      <c r="AR149" s="302"/>
      <c r="AS149" s="302"/>
      <c r="AT149" s="302"/>
      <c r="AU149" s="302"/>
      <c r="AV149" s="108"/>
      <c r="AW149" s="189"/>
      <c r="AX149" s="116"/>
      <c r="AY149" s="290">
        <f>IF(AY144=0,0,IF(AY150&lt;&gt;"",AY150,IF(AY141=elektriciteit,$G$5,HLOOKUP(AY141,ENERGIEDRAGERS,ROWS(bibliotheek!$E$259:$E$261),FALSE))))</f>
        <v>0</v>
      </c>
      <c r="AZ149" s="290">
        <f>IF(AZ144=0,0,IF(AZ150&lt;&gt;"",AZ150,IF(HLOOKUP(AZ141,ENERGIEDRAGERS,ROWS(bibliotheek!$E$259:$E$260),FALSE)=0,$G$5,HLOOKUP(AZ141,ENERGIEDRAGERS,ROWS(bibliotheek!$E$259:$E$261),FALSE))))</f>
        <v>0</v>
      </c>
      <c r="BA149" s="290">
        <f>IF(BA144=0,0,IF(BA150&lt;&gt;"",BA150,IF(BA141=elektriciteit,$G$5,HLOOKUP(BA141,ENERGIEDRAGERS,ROWS(bibliotheek!$E$259:$E$261),FALSE))))</f>
        <v>0</v>
      </c>
      <c r="BB149" s="302"/>
      <c r="BC149" s="302"/>
      <c r="BD149" s="302"/>
      <c r="BE149" s="302"/>
      <c r="BF149" s="302"/>
      <c r="BG149" s="302"/>
      <c r="BH149" s="174"/>
    </row>
    <row r="150" spans="1:60">
      <c r="A150" s="1040"/>
      <c r="B150" s="1109" t="s">
        <v>216</v>
      </c>
      <c r="C150" s="1106" t="s">
        <v>118</v>
      </c>
      <c r="D150" s="638"/>
      <c r="E150" s="1218" t="s">
        <v>205</v>
      </c>
      <c r="F150" s="255"/>
      <c r="G150" s="255"/>
      <c r="H150" s="292"/>
      <c r="I150" s="79"/>
      <c r="J150" s="299"/>
      <c r="K150" s="79"/>
      <c r="L150" s="79"/>
      <c r="M150" s="198"/>
      <c r="N150" s="161"/>
      <c r="O150" s="628"/>
      <c r="P150" s="629"/>
      <c r="Q150" s="628"/>
      <c r="R150" s="630"/>
      <c r="S150" s="630"/>
      <c r="T150" s="630"/>
      <c r="U150" s="630"/>
      <c r="V150" s="630"/>
      <c r="W150" s="630"/>
      <c r="X150" s="348"/>
      <c r="Y150" s="631"/>
      <c r="Z150" s="114"/>
      <c r="AA150" s="628"/>
      <c r="AB150" s="629"/>
      <c r="AC150" s="628"/>
      <c r="AD150" s="630"/>
      <c r="AE150" s="630"/>
      <c r="AF150" s="630"/>
      <c r="AG150" s="630"/>
      <c r="AH150" s="630"/>
      <c r="AI150" s="630"/>
      <c r="AJ150" s="348"/>
      <c r="AK150" s="631"/>
      <c r="AL150" s="114"/>
      <c r="AM150" s="628"/>
      <c r="AN150" s="629"/>
      <c r="AO150" s="628"/>
      <c r="AP150" s="630"/>
      <c r="AQ150" s="630"/>
      <c r="AR150" s="630"/>
      <c r="AS150" s="630"/>
      <c r="AT150" s="630"/>
      <c r="AU150" s="630"/>
      <c r="AV150" s="348"/>
      <c r="AW150" s="631"/>
      <c r="AX150" s="114"/>
      <c r="AY150" s="628"/>
      <c r="AZ150" s="629"/>
      <c r="BA150" s="628"/>
      <c r="BB150" s="301"/>
      <c r="BC150" s="301"/>
      <c r="BD150" s="301"/>
      <c r="BE150" s="301"/>
      <c r="BF150" s="301"/>
      <c r="BG150" s="301"/>
      <c r="BH150" s="174"/>
    </row>
    <row r="151" spans="1:60">
      <c r="A151" s="1040"/>
      <c r="B151" s="1109" t="s">
        <v>216</v>
      </c>
      <c r="C151" s="1106" t="s">
        <v>104</v>
      </c>
      <c r="D151" s="638"/>
      <c r="E151" s="1162" t="s">
        <v>232</v>
      </c>
      <c r="F151" s="181"/>
      <c r="G151" s="181"/>
      <c r="H151" s="181" t="s">
        <v>106</v>
      </c>
      <c r="I151" s="79"/>
      <c r="J151" s="202">
        <f>M151+Y151+AK151+AW151</f>
        <v>0</v>
      </c>
      <c r="K151" s="1062"/>
      <c r="L151" s="1062"/>
      <c r="M151" s="202">
        <f>SUM(O151:X151)</f>
        <v>0</v>
      </c>
      <c r="N151" s="114"/>
      <c r="O151" s="168">
        <f>O$147*O$149</f>
        <v>0</v>
      </c>
      <c r="P151" s="168">
        <f>P$147*P$149</f>
        <v>0</v>
      </c>
      <c r="Q151" s="168">
        <f>Q$147*Q$149</f>
        <v>0</v>
      </c>
      <c r="R151" s="273"/>
      <c r="S151" s="273"/>
      <c r="T151" s="273"/>
      <c r="U151" s="273"/>
      <c r="V151" s="273"/>
      <c r="W151" s="273"/>
      <c r="X151" s="113"/>
      <c r="Y151" s="202">
        <f>SUM(AA151:AJ151)</f>
        <v>0</v>
      </c>
      <c r="Z151" s="114"/>
      <c r="AA151" s="168">
        <f>AA$147*AA$149</f>
        <v>0</v>
      </c>
      <c r="AB151" s="168">
        <f>AB$147*AB$149</f>
        <v>0</v>
      </c>
      <c r="AC151" s="168">
        <f>AC$147*AC$149</f>
        <v>0</v>
      </c>
      <c r="AD151" s="273"/>
      <c r="AE151" s="273"/>
      <c r="AF151" s="273"/>
      <c r="AG151" s="273"/>
      <c r="AH151" s="273"/>
      <c r="AI151" s="273"/>
      <c r="AJ151" s="113"/>
      <c r="AK151" s="202">
        <f>SUM(AM151:AV151)</f>
        <v>0</v>
      </c>
      <c r="AL151" s="114"/>
      <c r="AM151" s="168">
        <f>AM$147*AM$149</f>
        <v>0</v>
      </c>
      <c r="AN151" s="168">
        <f>AN$147*AN$149</f>
        <v>0</v>
      </c>
      <c r="AO151" s="168">
        <f>AO$147*AO$149</f>
        <v>0</v>
      </c>
      <c r="AP151" s="273"/>
      <c r="AQ151" s="273"/>
      <c r="AR151" s="273"/>
      <c r="AS151" s="273"/>
      <c r="AT151" s="273"/>
      <c r="AU151" s="273"/>
      <c r="AV151" s="113"/>
      <c r="AW151" s="202">
        <f>SUM(AY151:BH151)</f>
        <v>0</v>
      </c>
      <c r="AX151" s="114"/>
      <c r="AY151" s="168">
        <f>AY$147*AY$149</f>
        <v>0</v>
      </c>
      <c r="AZ151" s="168">
        <f>AZ$147*AZ$149</f>
        <v>0</v>
      </c>
      <c r="BA151" s="168">
        <f>BA$147*BA$149</f>
        <v>0</v>
      </c>
      <c r="BB151" s="273"/>
      <c r="BC151" s="273"/>
      <c r="BD151" s="273"/>
      <c r="BE151" s="273"/>
      <c r="BF151" s="273"/>
      <c r="BG151" s="273"/>
      <c r="BH151" s="210"/>
    </row>
    <row r="152" spans="1:60">
      <c r="A152" s="1040"/>
      <c r="B152" s="1109" t="s">
        <v>216</v>
      </c>
      <c r="C152" s="1106" t="s">
        <v>96</v>
      </c>
      <c r="D152" s="638"/>
      <c r="E152" s="940" t="s">
        <v>1200</v>
      </c>
      <c r="F152" s="940"/>
      <c r="G152" s="940"/>
      <c r="H152" s="993"/>
      <c r="I152" s="79"/>
      <c r="J152" s="1016"/>
      <c r="K152" s="1062"/>
      <c r="L152" s="1062"/>
      <c r="M152" s="1017"/>
      <c r="N152" s="79"/>
      <c r="O152" s="1026" t="str">
        <f>O$10</f>
        <v>verwarming</v>
      </c>
      <c r="P152" s="1026" t="str">
        <f>P$10</f>
        <v>koeling</v>
      </c>
      <c r="Q152" s="1026" t="str">
        <f>Q$10</f>
        <v>tapwater</v>
      </c>
      <c r="R152" s="1025"/>
      <c r="S152" s="1025"/>
      <c r="T152" s="1025"/>
      <c r="U152" s="1025"/>
      <c r="V152" s="1025"/>
      <c r="W152" s="1025"/>
      <c r="X152" s="113"/>
      <c r="Y152" s="1031"/>
      <c r="Z152" s="79"/>
      <c r="AA152" s="1026" t="str">
        <f>AA$10</f>
        <v>verwarming</v>
      </c>
      <c r="AB152" s="1026" t="str">
        <f>AB$10</f>
        <v>koeling</v>
      </c>
      <c r="AC152" s="1026" t="str">
        <f>AC$10</f>
        <v>tapwater</v>
      </c>
      <c r="AD152" s="1025"/>
      <c r="AE152" s="1025"/>
      <c r="AF152" s="1025"/>
      <c r="AG152" s="1025"/>
      <c r="AH152" s="1025"/>
      <c r="AI152" s="1025"/>
      <c r="AJ152" s="113"/>
      <c r="AK152" s="1031"/>
      <c r="AL152" s="79"/>
      <c r="AM152" s="1026" t="str">
        <f>AM$10</f>
        <v>verwarming</v>
      </c>
      <c r="AN152" s="1026" t="str">
        <f>AN$10</f>
        <v>koeling</v>
      </c>
      <c r="AO152" s="1026" t="str">
        <f>AO$10</f>
        <v>tapwater</v>
      </c>
      <c r="AP152" s="1025"/>
      <c r="AQ152" s="1025"/>
      <c r="AR152" s="1025"/>
      <c r="AS152" s="1025"/>
      <c r="AT152" s="1025"/>
      <c r="AU152" s="1025"/>
      <c r="AV152" s="113"/>
      <c r="AW152" s="1031"/>
      <c r="AX152" s="79"/>
      <c r="AY152" s="1026" t="str">
        <f>AY$10</f>
        <v>verwarming</v>
      </c>
      <c r="AZ152" s="1026" t="str">
        <f>AZ$10</f>
        <v>koeling</v>
      </c>
      <c r="BA152" s="1026" t="str">
        <f>BA$10</f>
        <v>tapwater</v>
      </c>
      <c r="BB152" s="1025"/>
      <c r="BC152" s="1025"/>
      <c r="BD152" s="1025"/>
      <c r="BE152" s="1025"/>
      <c r="BF152" s="1025"/>
      <c r="BG152" s="1025"/>
      <c r="BH152" s="210"/>
    </row>
    <row r="153" spans="1:60">
      <c r="A153" s="1040"/>
      <c r="B153" s="1109" t="s">
        <v>216</v>
      </c>
      <c r="C153" s="1106" t="s">
        <v>118</v>
      </c>
      <c r="D153" s="638"/>
      <c r="E153" s="1170" t="s">
        <v>1349</v>
      </c>
      <c r="F153" s="181"/>
      <c r="G153" s="254"/>
      <c r="H153" s="1034" t="s">
        <v>1208</v>
      </c>
      <c r="I153" s="79"/>
      <c r="J153" s="1014"/>
      <c r="K153" s="1062"/>
      <c r="L153" s="1062"/>
      <c r="M153" s="202"/>
      <c r="N153" s="79"/>
      <c r="O153" s="228">
        <f>IF(O144=0,0,IF(O154&lt;&gt;"",O154,HLOOKUP(O141,ENERGIEDRAGERS,ROWS(bibliotheek!$E$259:$E$262),FALSE)))</f>
        <v>0</v>
      </c>
      <c r="P153" s="228">
        <f>IF(P144=0,0,IF(P154&lt;&gt;"",P154,HLOOKUP(P141,ENERGIEDRAGERS,ROWS(bibliotheek!$E$259:$E$262),FALSE)))</f>
        <v>0</v>
      </c>
      <c r="Q153" s="228">
        <f>IF(Q144=0,0,IF(Q154&lt;&gt;"",Q154,HLOOKUP(Q141,ENERGIEDRAGERS,ROWS(bibliotheek!$E$259:$E$262),FALSE)))</f>
        <v>0</v>
      </c>
      <c r="R153" s="273"/>
      <c r="S153" s="273"/>
      <c r="T153" s="273"/>
      <c r="U153" s="273"/>
      <c r="V153" s="273"/>
      <c r="W153" s="273"/>
      <c r="X153" s="113"/>
      <c r="Y153" s="202"/>
      <c r="Z153" s="114"/>
      <c r="AA153" s="228">
        <f>IF(AA144=0,0,IF(AA154&lt;&gt;"",AA154,HLOOKUP(AA141,ENERGIEDRAGERS,ROWS(bibliotheek!$E$259:$E$262),FALSE)))</f>
        <v>0</v>
      </c>
      <c r="AB153" s="228">
        <f>IF(AB144=0,0,IF(AB154&lt;&gt;"",AB154,HLOOKUP(AB141,ENERGIEDRAGERS,ROWS(bibliotheek!$E$259:$E$262),FALSE)))</f>
        <v>0</v>
      </c>
      <c r="AC153" s="228">
        <f>IF(AC144=0,0,IF(AC154&lt;&gt;"",AC154,HLOOKUP(AC141,ENERGIEDRAGERS,ROWS(bibliotheek!$E$259:$E$262),FALSE)))</f>
        <v>0</v>
      </c>
      <c r="AD153" s="273"/>
      <c r="AE153" s="273"/>
      <c r="AF153" s="273"/>
      <c r="AG153" s="273"/>
      <c r="AH153" s="273"/>
      <c r="AI153" s="273"/>
      <c r="AJ153" s="113"/>
      <c r="AK153" s="202"/>
      <c r="AL153" s="114"/>
      <c r="AM153" s="228">
        <f>IF(AM144=0,0,IF(AM154&lt;&gt;"",AM154,HLOOKUP(AM141,ENERGIEDRAGERS,ROWS(bibliotheek!$E$259:$E$262),FALSE)))</f>
        <v>0</v>
      </c>
      <c r="AN153" s="228">
        <f>IF(AN144=0,0,IF(AN154&lt;&gt;"",AN154,HLOOKUP(AN141,ENERGIEDRAGERS,ROWS(bibliotheek!$E$259:$E$262),FALSE)))</f>
        <v>0</v>
      </c>
      <c r="AO153" s="228">
        <f>IF(AO144=0,0,IF(AO154&lt;&gt;"",AO154,HLOOKUP(AO141,ENERGIEDRAGERS,ROWS(bibliotheek!$E$259:$E$262),FALSE)))</f>
        <v>0</v>
      </c>
      <c r="AP153" s="273"/>
      <c r="AQ153" s="273"/>
      <c r="AR153" s="273"/>
      <c r="AS153" s="273"/>
      <c r="AT153" s="273"/>
      <c r="AU153" s="273"/>
      <c r="AV153" s="113"/>
      <c r="AW153" s="202"/>
      <c r="AX153" s="114"/>
      <c r="AY153" s="228">
        <f>IF(AY144=0,0,IF(AY154&lt;&gt;"",AY154,HLOOKUP(AY141,ENERGIEDRAGERS,ROWS(bibliotheek!$E$259:$E$262),FALSE)))</f>
        <v>0</v>
      </c>
      <c r="AZ153" s="228">
        <f>IF(AZ144=0,0,IF(AZ154&lt;&gt;"",AZ154,HLOOKUP(AZ141,ENERGIEDRAGERS,ROWS(bibliotheek!$E$259:$E$262),FALSE)))</f>
        <v>0</v>
      </c>
      <c r="BA153" s="228">
        <f>IF(BA144=0,0,IF(BA154&lt;&gt;"",BA154,HLOOKUP(BA141,ENERGIEDRAGERS,ROWS(bibliotheek!$E$259:$E$262),FALSE)))</f>
        <v>0</v>
      </c>
      <c r="BB153" s="273"/>
      <c r="BC153" s="273"/>
      <c r="BD153" s="273"/>
      <c r="BE153" s="273"/>
      <c r="BF153" s="273"/>
      <c r="BG153" s="273"/>
      <c r="BH153" s="210"/>
    </row>
    <row r="154" spans="1:60">
      <c r="A154" s="1040"/>
      <c r="B154" s="1109" t="s">
        <v>216</v>
      </c>
      <c r="C154" s="1106" t="s">
        <v>118</v>
      </c>
      <c r="D154" s="638"/>
      <c r="E154" s="1218" t="s">
        <v>205</v>
      </c>
      <c r="F154" s="255"/>
      <c r="G154" s="255"/>
      <c r="H154" s="292"/>
      <c r="I154" s="79"/>
      <c r="J154" s="299"/>
      <c r="K154" s="79"/>
      <c r="L154" s="79"/>
      <c r="M154" s="198"/>
      <c r="N154" s="161"/>
      <c r="O154" s="1032"/>
      <c r="P154" s="1032"/>
      <c r="Q154" s="1032"/>
      <c r="R154" s="625"/>
      <c r="S154" s="625"/>
      <c r="T154" s="625"/>
      <c r="U154" s="625"/>
      <c r="V154" s="625"/>
      <c r="W154" s="625"/>
      <c r="X154" s="113"/>
      <c r="Y154" s="190"/>
      <c r="Z154" s="114"/>
      <c r="AA154" s="1032"/>
      <c r="AB154" s="1032"/>
      <c r="AC154" s="1032"/>
      <c r="AD154" s="625"/>
      <c r="AE154" s="625"/>
      <c r="AF154" s="625"/>
      <c r="AG154" s="625"/>
      <c r="AH154" s="625"/>
      <c r="AI154" s="625"/>
      <c r="AJ154" s="113"/>
      <c r="AK154" s="190"/>
      <c r="AL154" s="114"/>
      <c r="AM154" s="1032"/>
      <c r="AN154" s="1032"/>
      <c r="AO154" s="1032"/>
      <c r="AP154" s="625"/>
      <c r="AQ154" s="625"/>
      <c r="AR154" s="625"/>
      <c r="AS154" s="625"/>
      <c r="AT154" s="625"/>
      <c r="AU154" s="625"/>
      <c r="AV154" s="113"/>
      <c r="AW154" s="190"/>
      <c r="AX154" s="114"/>
      <c r="AY154" s="1032"/>
      <c r="AZ154" s="1032"/>
      <c r="BA154" s="1032"/>
      <c r="BB154" s="625"/>
      <c r="BC154" s="625"/>
      <c r="BD154" s="625"/>
      <c r="BE154" s="625"/>
      <c r="BF154" s="625"/>
      <c r="BG154" s="625"/>
      <c r="BH154" s="210"/>
    </row>
    <row r="155" spans="1:60">
      <c r="A155" s="1040"/>
      <c r="B155" s="1109" t="s">
        <v>216</v>
      </c>
      <c r="C155" s="1106" t="s">
        <v>118</v>
      </c>
      <c r="D155" s="638"/>
      <c r="E155" s="1175" t="s">
        <v>1201</v>
      </c>
      <c r="F155" s="595"/>
      <c r="G155" s="595"/>
      <c r="H155" s="1013" t="s">
        <v>65</v>
      </c>
      <c r="I155" s="79"/>
      <c r="J155" s="1014"/>
      <c r="K155" s="1062"/>
      <c r="L155" s="1062"/>
      <c r="M155" s="202"/>
      <c r="N155" s="79"/>
      <c r="O155" s="228">
        <f>IF(O144=0,0,IF(O156&lt;&gt;"",O150,HLOOKUP(O141,ENERGIEDRAGERS,ROWS(bibliotheek!$E$259:$E$263),FALSE)))</f>
        <v>0</v>
      </c>
      <c r="P155" s="228">
        <f>IF(P144=0,0,IF(P156&lt;&gt;"",P150,HLOOKUP(P141,ENERGIEDRAGERS,ROWS(bibliotheek!$E$259:$E$263),FALSE)))</f>
        <v>0</v>
      </c>
      <c r="Q155" s="228">
        <f>IF(Q144=0,0,IF(Q156&lt;&gt;"",Q150,HLOOKUP(Q141,ENERGIEDRAGERS,ROWS(bibliotheek!$E$259:$E$263),FALSE)))</f>
        <v>0</v>
      </c>
      <c r="R155" s="273"/>
      <c r="S155" s="273"/>
      <c r="T155" s="273"/>
      <c r="U155" s="273"/>
      <c r="V155" s="273"/>
      <c r="W155" s="273"/>
      <c r="X155" s="113"/>
      <c r="Y155" s="202"/>
      <c r="Z155" s="114"/>
      <c r="AA155" s="228">
        <f>IF(AA144=0,0,IF(AA156&lt;&gt;"",AA150,HLOOKUP(AA141,ENERGIEDRAGERS,ROWS(bibliotheek!$E$259:$E$263),FALSE)))</f>
        <v>0</v>
      </c>
      <c r="AB155" s="228">
        <f>IF(AB144=0,0,IF(AB156&lt;&gt;"",AB150,HLOOKUP(AB141,ENERGIEDRAGERS,ROWS(bibliotheek!$E$259:$E$263),FALSE)))</f>
        <v>0</v>
      </c>
      <c r="AC155" s="228">
        <f>IF(AC144=0,0,IF(AC156&lt;&gt;"",AC150,HLOOKUP(AC141,ENERGIEDRAGERS,ROWS(bibliotheek!$E$259:$E$263),FALSE)))</f>
        <v>0</v>
      </c>
      <c r="AD155" s="273"/>
      <c r="AE155" s="273"/>
      <c r="AF155" s="273"/>
      <c r="AG155" s="273"/>
      <c r="AH155" s="273"/>
      <c r="AI155" s="273"/>
      <c r="AJ155" s="113"/>
      <c r="AK155" s="202"/>
      <c r="AL155" s="114"/>
      <c r="AM155" s="228">
        <f>IF(AM144=0,0,IF(AM156&lt;&gt;"",AM150,HLOOKUP(AM141,ENERGIEDRAGERS,ROWS(bibliotheek!$E$259:$E$263),FALSE)))</f>
        <v>0</v>
      </c>
      <c r="AN155" s="228">
        <f>IF(AN144=0,0,IF(AN156&lt;&gt;"",AN150,HLOOKUP(AN141,ENERGIEDRAGERS,ROWS(bibliotheek!$E$259:$E$263),FALSE)))</f>
        <v>0</v>
      </c>
      <c r="AO155" s="228">
        <f>IF(AO144=0,0,IF(AO156&lt;&gt;"",AO150,HLOOKUP(AO141,ENERGIEDRAGERS,ROWS(bibliotheek!$E$259:$E$263),FALSE)))</f>
        <v>0</v>
      </c>
      <c r="AP155" s="273"/>
      <c r="AQ155" s="273"/>
      <c r="AR155" s="273"/>
      <c r="AS155" s="273"/>
      <c r="AT155" s="273"/>
      <c r="AU155" s="273"/>
      <c r="AV155" s="113"/>
      <c r="AW155" s="202"/>
      <c r="AX155" s="114"/>
      <c r="AY155" s="228">
        <f>IF(AY144=0,0,IF(AY156&lt;&gt;"",AY150,HLOOKUP(AY141,ENERGIEDRAGERS,ROWS(bibliotheek!$E$259:$E$263),FALSE)))</f>
        <v>0</v>
      </c>
      <c r="AZ155" s="228">
        <f>IF(AZ144=0,0,IF(AZ156&lt;&gt;"",AZ150,HLOOKUP(AZ141,ENERGIEDRAGERS,ROWS(bibliotheek!$E$259:$E$263),FALSE)))</f>
        <v>0</v>
      </c>
      <c r="BA155" s="228">
        <f>IF(BA144=0,0,IF(BA156&lt;&gt;"",BA150,HLOOKUP(BA141,ENERGIEDRAGERS,ROWS(bibliotheek!$E$259:$E$263),FALSE)))</f>
        <v>0</v>
      </c>
      <c r="BB155" s="273"/>
      <c r="BC155" s="273"/>
      <c r="BD155" s="273"/>
      <c r="BE155" s="273"/>
      <c r="BF155" s="273"/>
      <c r="BG155" s="273"/>
      <c r="BH155" s="210"/>
    </row>
    <row r="156" spans="1:60">
      <c r="A156" s="1040"/>
      <c r="B156" s="1109" t="s">
        <v>216</v>
      </c>
      <c r="C156" s="1106" t="s">
        <v>118</v>
      </c>
      <c r="D156" s="638"/>
      <c r="E156" s="1218" t="s">
        <v>205</v>
      </c>
      <c r="F156" s="255"/>
      <c r="G156" s="255"/>
      <c r="H156" s="292"/>
      <c r="I156" s="79"/>
      <c r="J156" s="299"/>
      <c r="K156" s="79"/>
      <c r="L156" s="79"/>
      <c r="M156" s="198"/>
      <c r="N156" s="161"/>
      <c r="O156" s="1032"/>
      <c r="P156" s="1033"/>
      <c r="Q156" s="1032"/>
      <c r="R156" s="625"/>
      <c r="S156" s="625"/>
      <c r="T156" s="625"/>
      <c r="U156" s="625"/>
      <c r="V156" s="625"/>
      <c r="W156" s="625"/>
      <c r="X156" s="113"/>
      <c r="Y156" s="190"/>
      <c r="Z156" s="114"/>
      <c r="AA156" s="1032"/>
      <c r="AB156" s="1033"/>
      <c r="AC156" s="1032"/>
      <c r="AD156" s="625"/>
      <c r="AE156" s="625"/>
      <c r="AF156" s="625"/>
      <c r="AG156" s="625"/>
      <c r="AH156" s="625"/>
      <c r="AI156" s="625"/>
      <c r="AJ156" s="113"/>
      <c r="AK156" s="190"/>
      <c r="AL156" s="114"/>
      <c r="AM156" s="1032"/>
      <c r="AN156" s="1033"/>
      <c r="AO156" s="1032"/>
      <c r="AP156" s="625"/>
      <c r="AQ156" s="625"/>
      <c r="AR156" s="625"/>
      <c r="AS156" s="625"/>
      <c r="AT156" s="625"/>
      <c r="AU156" s="625"/>
      <c r="AV156" s="113"/>
      <c r="AW156" s="190"/>
      <c r="AX156" s="114"/>
      <c r="AY156" s="1032"/>
      <c r="AZ156" s="1033"/>
      <c r="BA156" s="1032"/>
      <c r="BB156" s="625"/>
      <c r="BC156" s="625"/>
      <c r="BD156" s="625"/>
      <c r="BE156" s="625"/>
      <c r="BF156" s="625"/>
      <c r="BG156" s="625"/>
      <c r="BH156" s="210"/>
    </row>
    <row r="157" spans="1:60" hidden="1">
      <c r="A157" s="1040"/>
      <c r="B157" s="1109" t="s">
        <v>216</v>
      </c>
      <c r="C157" s="1106" t="s">
        <v>181</v>
      </c>
      <c r="D157" s="638"/>
      <c r="E157" s="1170" t="s">
        <v>232</v>
      </c>
      <c r="F157" s="181"/>
      <c r="G157" s="181"/>
      <c r="H157" s="181" t="s">
        <v>1206</v>
      </c>
      <c r="I157" s="79"/>
      <c r="J157" s="202">
        <f>M157+Y157+AK157+AW157</f>
        <v>0</v>
      </c>
      <c r="K157" s="1062"/>
      <c r="L157" s="1062"/>
      <c r="M157" s="202">
        <f>SUM(O157:X157)</f>
        <v>0</v>
      </c>
      <c r="N157" s="79"/>
      <c r="O157" s="168">
        <f>O$147*O$153*O155</f>
        <v>0</v>
      </c>
      <c r="P157" s="168">
        <f>P$147*P$153*P155</f>
        <v>0</v>
      </c>
      <c r="Q157" s="168">
        <f>Q$147*Q$153*Q155</f>
        <v>0</v>
      </c>
      <c r="R157" s="273"/>
      <c r="S157" s="273"/>
      <c r="T157" s="273"/>
      <c r="U157" s="273"/>
      <c r="V157" s="273"/>
      <c r="W157" s="273"/>
      <c r="X157" s="113"/>
      <c r="Y157" s="202">
        <f>SUM(AA157:AJ157)</f>
        <v>0</v>
      </c>
      <c r="Z157" s="114"/>
      <c r="AA157" s="168">
        <f>AA$147*AA$153*AA155</f>
        <v>0</v>
      </c>
      <c r="AB157" s="168">
        <f>AB$147*AB$153*AB155</f>
        <v>0</v>
      </c>
      <c r="AC157" s="168">
        <f>AC$147*AC$153*AC155</f>
        <v>0</v>
      </c>
      <c r="AD157" s="273"/>
      <c r="AE157" s="273"/>
      <c r="AF157" s="273"/>
      <c r="AG157" s="273"/>
      <c r="AH157" s="273"/>
      <c r="AI157" s="273"/>
      <c r="AJ157" s="113"/>
      <c r="AK157" s="202">
        <f>SUM(AM157:AV157)</f>
        <v>0</v>
      </c>
      <c r="AL157" s="114"/>
      <c r="AM157" s="168">
        <f>AM$147*AM$153*AM155</f>
        <v>0</v>
      </c>
      <c r="AN157" s="168">
        <f>AN$147*AN$153*AN155</f>
        <v>0</v>
      </c>
      <c r="AO157" s="168">
        <f>AO$147*AO$153*AO155</f>
        <v>0</v>
      </c>
      <c r="AP157" s="273"/>
      <c r="AQ157" s="273"/>
      <c r="AR157" s="273"/>
      <c r="AS157" s="273"/>
      <c r="AT157" s="273"/>
      <c r="AU157" s="273"/>
      <c r="AV157" s="113"/>
      <c r="AW157" s="202">
        <f>SUM(AY157:BH157)</f>
        <v>0</v>
      </c>
      <c r="AX157" s="114"/>
      <c r="AY157" s="168">
        <f>AY$147*AY$153*AY155</f>
        <v>0</v>
      </c>
      <c r="AZ157" s="168">
        <f>AZ$147*AZ$153*AZ155</f>
        <v>0</v>
      </c>
      <c r="BA157" s="168">
        <f>BA$147*BA$153*BA155</f>
        <v>0</v>
      </c>
      <c r="BB157" s="273"/>
      <c r="BC157" s="273"/>
      <c r="BD157" s="273"/>
      <c r="BE157" s="273"/>
      <c r="BF157" s="273"/>
      <c r="BG157" s="273"/>
      <c r="BH157" s="210"/>
    </row>
    <row r="158" spans="1:60">
      <c r="A158" s="1040"/>
      <c r="B158" s="1109" t="s">
        <v>216</v>
      </c>
      <c r="C158" s="1106" t="s">
        <v>96</v>
      </c>
      <c r="D158" s="638"/>
      <c r="E158" s="940" t="s">
        <v>107</v>
      </c>
      <c r="F158" s="940"/>
      <c r="G158" s="940"/>
      <c r="H158" s="940"/>
      <c r="I158" s="77"/>
      <c r="J158" s="939"/>
      <c r="K158" s="126"/>
      <c r="L158" s="126"/>
      <c r="M158" s="938"/>
      <c r="N158" s="191"/>
      <c r="O158" s="1028" t="str">
        <f>O$10</f>
        <v>verwarming</v>
      </c>
      <c r="P158" s="1028" t="str">
        <f>P$10</f>
        <v>koeling</v>
      </c>
      <c r="Q158" s="1028" t="str">
        <f>Q$10</f>
        <v>tapwater</v>
      </c>
      <c r="R158" s="1027"/>
      <c r="S158" s="1027"/>
      <c r="T158" s="1027"/>
      <c r="U158" s="1027"/>
      <c r="V158" s="1027"/>
      <c r="W158" s="1027"/>
      <c r="X158" s="191"/>
      <c r="Y158" s="1027"/>
      <c r="Z158" s="191"/>
      <c r="AA158" s="1028" t="str">
        <f>AA$10</f>
        <v>verwarming</v>
      </c>
      <c r="AB158" s="1028" t="str">
        <f>AB$10</f>
        <v>koeling</v>
      </c>
      <c r="AC158" s="1028" t="str">
        <f>AC$10</f>
        <v>tapwater</v>
      </c>
      <c r="AD158" s="1027"/>
      <c r="AE158" s="1027"/>
      <c r="AF158" s="1027"/>
      <c r="AG158" s="1027"/>
      <c r="AH158" s="1027"/>
      <c r="AI158" s="1027"/>
      <c r="AJ158" s="191"/>
      <c r="AK158" s="1027"/>
      <c r="AL158" s="191"/>
      <c r="AM158" s="1028" t="str">
        <f>AM$10</f>
        <v>verwarming</v>
      </c>
      <c r="AN158" s="1028" t="str">
        <f>AN$10</f>
        <v>koeling</v>
      </c>
      <c r="AO158" s="1028" t="str">
        <f>AO$10</f>
        <v>tapwater</v>
      </c>
      <c r="AP158" s="1027"/>
      <c r="AQ158" s="1027"/>
      <c r="AR158" s="1027"/>
      <c r="AS158" s="1027"/>
      <c r="AT158" s="1027"/>
      <c r="AU158" s="1027"/>
      <c r="AV158" s="191"/>
      <c r="AW158" s="1027"/>
      <c r="AX158" s="191"/>
      <c r="AY158" s="1028" t="str">
        <f>AY$10</f>
        <v>verwarming</v>
      </c>
      <c r="AZ158" s="1028" t="str">
        <f>AZ$10</f>
        <v>koeling</v>
      </c>
      <c r="BA158" s="1028" t="str">
        <f>BA$10</f>
        <v>tapwater</v>
      </c>
      <c r="BB158" s="1027"/>
      <c r="BC158" s="1027"/>
      <c r="BD158" s="1027"/>
      <c r="BE158" s="1027"/>
      <c r="BF158" s="1027"/>
      <c r="BG158" s="1027"/>
      <c r="BH158" s="36"/>
    </row>
    <row r="159" spans="1:60">
      <c r="A159" s="1040"/>
      <c r="B159" s="1109" t="s">
        <v>216</v>
      </c>
      <c r="C159" s="1107" t="s">
        <v>118</v>
      </c>
      <c r="D159" s="638"/>
      <c r="E159" s="254" t="s">
        <v>206</v>
      </c>
      <c r="F159" s="254"/>
      <c r="G159" s="254"/>
      <c r="H159" s="291" t="s">
        <v>207</v>
      </c>
      <c r="I159" s="79"/>
      <c r="J159" s="189"/>
      <c r="K159" s="79"/>
      <c r="L159" s="79"/>
      <c r="M159" s="189"/>
      <c r="N159" s="116"/>
      <c r="O159" s="349">
        <f>IF(O144=0,0,IF(O160&lt;&gt;"",O160,IF(O141=elektriciteit,$H$5,
HLOOKUP(O141,ENERGIEDRAGERS,ROWS(bibliotheek!$E$259:$E$264),FALSE))))</f>
        <v>0</v>
      </c>
      <c r="P159" s="349">
        <f>IF(P144=0,0,IF(P160&lt;&gt;"",P160,IF(P141=elektriciteit,$H$5,
HLOOKUP(P141,ENERGIEDRAGERS,ROWS(bibliotheek!$E$259:$E$264),FALSE))))</f>
        <v>0</v>
      </c>
      <c r="Q159" s="349">
        <f>IF(Q144=0,0,IF(Q160&lt;&gt;"",Q160,IF(Q141=elektriciteit,$H$5,
HLOOKUP(Q141,ENERGIEDRAGERS,ROWS(bibliotheek!$E$259:$E$264),FALSE))))</f>
        <v>0</v>
      </c>
      <c r="R159" s="350"/>
      <c r="S159" s="350"/>
      <c r="T159" s="350"/>
      <c r="U159" s="350"/>
      <c r="V159" s="350"/>
      <c r="W159" s="350"/>
      <c r="X159" s="351"/>
      <c r="Y159" s="189"/>
      <c r="Z159" s="353"/>
      <c r="AA159" s="349">
        <f>IF(AA144=0,0,IF(AA160&lt;&gt;"",AA160,IF(AA141=elektriciteit,$H$5,
HLOOKUP(AA141,ENERGIEDRAGERS,ROWS(bibliotheek!$E$259:$E$264),FALSE))))</f>
        <v>0</v>
      </c>
      <c r="AB159" s="349">
        <f>IF(AB144=0,0,IF(AB160&lt;&gt;"",AB160,IF(AB141=elektriciteit,$H$5,
HLOOKUP(AB141,ENERGIEDRAGERS,ROWS(bibliotheek!$E$259:$E$264),FALSE))))</f>
        <v>0</v>
      </c>
      <c r="AC159" s="349">
        <f>IF(AC144=0,0,IF(AC160&lt;&gt;"",AC160,IF(AC141=elektriciteit,$H$5,
HLOOKUP(AC141,ENERGIEDRAGERS,ROWS(bibliotheek!$E$259:$E$264),FALSE))))</f>
        <v>0</v>
      </c>
      <c r="AD159" s="350"/>
      <c r="AE159" s="350"/>
      <c r="AF159" s="350"/>
      <c r="AG159" s="350"/>
      <c r="AH159" s="350"/>
      <c r="AI159" s="350"/>
      <c r="AJ159" s="351"/>
      <c r="AK159" s="189"/>
      <c r="AL159" s="353"/>
      <c r="AM159" s="349">
        <f>IF(AM144=0,0,IF(AM160&lt;&gt;"",AM160,IF(AM141=elektriciteit,$H$5,
HLOOKUP(AM141,ENERGIEDRAGERS,ROWS(bibliotheek!$E$259:$E$264),FALSE))))</f>
        <v>0</v>
      </c>
      <c r="AN159" s="349">
        <f>IF(AN144=0,0,IF(AN160&lt;&gt;"",AN160,IF(AN141=elektriciteit,$H$5,
HLOOKUP(AN141,ENERGIEDRAGERS,ROWS(bibliotheek!$E$259:$E$264),FALSE))))</f>
        <v>0</v>
      </c>
      <c r="AO159" s="349">
        <f>IF(AO144=0,0,IF(AO160&lt;&gt;"",AO160,IF(AO141=elektriciteit,$H$5,
HLOOKUP(AO141,ENERGIEDRAGERS,ROWS(bibliotheek!$E$259:$E$264),FALSE))))</f>
        <v>0</v>
      </c>
      <c r="AP159" s="350"/>
      <c r="AQ159" s="350"/>
      <c r="AR159" s="350"/>
      <c r="AS159" s="350"/>
      <c r="AT159" s="350"/>
      <c r="AU159" s="350"/>
      <c r="AV159" s="351"/>
      <c r="AW159" s="189"/>
      <c r="AX159" s="353"/>
      <c r="AY159" s="349">
        <f>IF(AY144=0,0,IF(AY160&lt;&gt;"",AY160,IF(AY141=elektriciteit,$H$5,
HLOOKUP(AY141,ENERGIEDRAGERS,ROWS(bibliotheek!$E$259:$E$264),FALSE))))</f>
        <v>0</v>
      </c>
      <c r="AZ159" s="349">
        <f>IF(AZ144=0,0,IF(AZ160&lt;&gt;"",AZ160,IF(AZ141=elektriciteit,$H$5,
HLOOKUP(AZ141,ENERGIEDRAGERS,ROWS(bibliotheek!$E$259:$E$264),FALSE))))</f>
        <v>0</v>
      </c>
      <c r="BA159" s="349">
        <f>IF(BA144=0,0,IF(BA160&lt;&gt;"",BA160,IF(BA141=elektriciteit,$H$5,
HLOOKUP(BA141,ENERGIEDRAGERS,ROWS(bibliotheek!$E$259:$E$264),FALSE))))</f>
        <v>0</v>
      </c>
      <c r="BB159" s="302"/>
      <c r="BC159" s="302"/>
      <c r="BD159" s="302"/>
      <c r="BE159" s="302"/>
      <c r="BF159" s="302"/>
      <c r="BG159" s="302"/>
      <c r="BH159" s="174"/>
    </row>
    <row r="160" spans="1:60">
      <c r="A160" s="1040"/>
      <c r="B160" s="1109" t="s">
        <v>216</v>
      </c>
      <c r="C160" s="1107" t="s">
        <v>118</v>
      </c>
      <c r="D160" s="638"/>
      <c r="E160" s="1218" t="s">
        <v>208</v>
      </c>
      <c r="F160" s="255"/>
      <c r="G160" s="255"/>
      <c r="H160" s="292"/>
      <c r="I160" s="79"/>
      <c r="J160" s="299"/>
      <c r="K160" s="79"/>
      <c r="L160" s="79"/>
      <c r="M160" s="198"/>
      <c r="N160" s="161"/>
      <c r="O160" s="628"/>
      <c r="P160" s="629"/>
      <c r="Q160" s="628"/>
      <c r="R160" s="630"/>
      <c r="S160" s="630"/>
      <c r="T160" s="630"/>
      <c r="U160" s="630"/>
      <c r="V160" s="630"/>
      <c r="W160" s="630"/>
      <c r="X160" s="348"/>
      <c r="Y160" s="631"/>
      <c r="Z160" s="114"/>
      <c r="AA160" s="628"/>
      <c r="AB160" s="629"/>
      <c r="AC160" s="628"/>
      <c r="AD160" s="630"/>
      <c r="AE160" s="630"/>
      <c r="AF160" s="630"/>
      <c r="AG160" s="630"/>
      <c r="AH160" s="630"/>
      <c r="AI160" s="630"/>
      <c r="AJ160" s="348"/>
      <c r="AK160" s="631"/>
      <c r="AL160" s="114"/>
      <c r="AM160" s="628"/>
      <c r="AN160" s="629"/>
      <c r="AO160" s="628"/>
      <c r="AP160" s="630"/>
      <c r="AQ160" s="630"/>
      <c r="AR160" s="630"/>
      <c r="AS160" s="630"/>
      <c r="AT160" s="630"/>
      <c r="AU160" s="630"/>
      <c r="AV160" s="348"/>
      <c r="AW160" s="631"/>
      <c r="AX160" s="114"/>
      <c r="AY160" s="628"/>
      <c r="AZ160" s="629"/>
      <c r="BA160" s="628"/>
      <c r="BB160" s="301"/>
      <c r="BC160" s="301"/>
      <c r="BD160" s="301"/>
      <c r="BE160" s="301"/>
      <c r="BF160" s="301"/>
      <c r="BG160" s="301"/>
      <c r="BH160" s="174"/>
    </row>
    <row r="161" spans="1:60">
      <c r="A161" s="1040"/>
      <c r="B161" s="1109" t="s">
        <v>216</v>
      </c>
      <c r="C161" s="1107" t="s">
        <v>104</v>
      </c>
      <c r="D161" s="638"/>
      <c r="E161" s="180" t="s">
        <v>232</v>
      </c>
      <c r="F161" s="181"/>
      <c r="G161" s="181"/>
      <c r="H161" s="181" t="s">
        <v>108</v>
      </c>
      <c r="I161" s="79"/>
      <c r="J161" s="202">
        <f>M161+Y161+AK161+AW161</f>
        <v>0</v>
      </c>
      <c r="K161" s="1062"/>
      <c r="L161" s="1062"/>
      <c r="M161" s="202">
        <f>SUM(O161:X161)</f>
        <v>0</v>
      </c>
      <c r="N161" s="114"/>
      <c r="O161" s="168">
        <f>O$147*O$159</f>
        <v>0</v>
      </c>
      <c r="P161" s="168">
        <f>P$147*P$159</f>
        <v>0</v>
      </c>
      <c r="Q161" s="168">
        <f>Q$147*Q$159</f>
        <v>0</v>
      </c>
      <c r="R161" s="273"/>
      <c r="S161" s="273"/>
      <c r="T161" s="273"/>
      <c r="U161" s="273"/>
      <c r="V161" s="273"/>
      <c r="W161" s="273"/>
      <c r="X161" s="113"/>
      <c r="Y161" s="202">
        <f>SUM(AA161:AJ161)</f>
        <v>0</v>
      </c>
      <c r="Z161" s="114"/>
      <c r="AA161" s="168">
        <f>AA$147*AA$159</f>
        <v>0</v>
      </c>
      <c r="AB161" s="168">
        <f>AB$147*AB$159</f>
        <v>0</v>
      </c>
      <c r="AC161" s="168">
        <f>AC$147*AC$159</f>
        <v>0</v>
      </c>
      <c r="AD161" s="273"/>
      <c r="AE161" s="273"/>
      <c r="AF161" s="273"/>
      <c r="AG161" s="273"/>
      <c r="AH161" s="273"/>
      <c r="AI161" s="273"/>
      <c r="AJ161" s="113"/>
      <c r="AK161" s="202">
        <f>SUM(AM161:AV161)</f>
        <v>0</v>
      </c>
      <c r="AL161" s="114"/>
      <c r="AM161" s="168">
        <f>AM$147*AM$159</f>
        <v>0</v>
      </c>
      <c r="AN161" s="168">
        <f>AN$147*AN$159</f>
        <v>0</v>
      </c>
      <c r="AO161" s="168">
        <f>AO$147*AO$159</f>
        <v>0</v>
      </c>
      <c r="AP161" s="273"/>
      <c r="AQ161" s="273"/>
      <c r="AR161" s="273"/>
      <c r="AS161" s="273"/>
      <c r="AT161" s="273"/>
      <c r="AU161" s="273"/>
      <c r="AV161" s="113"/>
      <c r="AW161" s="202">
        <f>SUM(AY161:BH161)</f>
        <v>0</v>
      </c>
      <c r="AX161" s="114"/>
      <c r="AY161" s="168">
        <f>AY$147*AY$159</f>
        <v>0</v>
      </c>
      <c r="AZ161" s="168">
        <f>AZ$147*AZ$159</f>
        <v>0</v>
      </c>
      <c r="BA161" s="168">
        <f>BA$147*BA$159</f>
        <v>0</v>
      </c>
      <c r="BB161" s="273"/>
      <c r="BC161" s="273"/>
      <c r="BD161" s="273"/>
      <c r="BE161" s="273"/>
      <c r="BF161" s="273"/>
      <c r="BG161" s="273"/>
      <c r="BH161" s="210"/>
    </row>
    <row r="162" spans="1:60">
      <c r="A162" s="1040"/>
      <c r="B162" s="1110" t="s">
        <v>222</v>
      </c>
      <c r="C162" s="1107" t="s">
        <v>104</v>
      </c>
      <c r="D162" s="638"/>
      <c r="E162" s="79"/>
      <c r="F162" s="79"/>
      <c r="G162" s="79"/>
      <c r="H162" s="85"/>
      <c r="I162" s="79"/>
      <c r="J162" s="82"/>
      <c r="K162" s="79"/>
      <c r="L162" s="79"/>
      <c r="M162" s="82"/>
      <c r="N162" s="79"/>
      <c r="O162" s="79"/>
      <c r="P162" s="79"/>
      <c r="Q162" s="79"/>
      <c r="R162" s="82"/>
      <c r="S162" s="82"/>
      <c r="T162" s="82"/>
      <c r="U162" s="82"/>
      <c r="V162" s="82"/>
      <c r="W162" s="82"/>
      <c r="X162" s="82"/>
      <c r="Y162" s="82"/>
      <c r="Z162" s="79"/>
      <c r="AA162" s="154"/>
      <c r="AB162" s="154"/>
      <c r="AC162" s="154"/>
      <c r="AD162" s="82"/>
      <c r="AE162" s="82"/>
      <c r="AF162" s="82"/>
      <c r="AG162" s="82"/>
      <c r="AH162" s="82"/>
      <c r="AI162" s="82"/>
      <c r="AJ162" s="82"/>
      <c r="AK162" s="82"/>
      <c r="AL162" s="79"/>
      <c r="AM162" s="154"/>
      <c r="AN162" s="154"/>
      <c r="AO162" s="154"/>
      <c r="AP162" s="82"/>
      <c r="AQ162" s="82"/>
      <c r="AR162" s="82"/>
      <c r="AS162" s="82"/>
      <c r="AT162" s="82"/>
      <c r="AU162" s="82"/>
      <c r="AV162" s="82"/>
      <c r="AW162" s="82"/>
      <c r="AX162" s="79"/>
      <c r="AY162" s="154"/>
      <c r="AZ162" s="154"/>
      <c r="BA162" s="154"/>
      <c r="BB162" s="82"/>
      <c r="BC162" s="82"/>
      <c r="BD162" s="82"/>
      <c r="BE162" s="82"/>
      <c r="BF162" s="82"/>
      <c r="BG162" s="82"/>
      <c r="BH162" s="1"/>
    </row>
    <row r="163" spans="1:60">
      <c r="A163" s="1040"/>
      <c r="B163" s="1109" t="s">
        <v>223</v>
      </c>
      <c r="C163" s="1107" t="s">
        <v>96</v>
      </c>
      <c r="D163" s="638"/>
      <c r="E163" s="79"/>
      <c r="F163" s="79"/>
      <c r="G163" s="79"/>
      <c r="H163" s="85"/>
      <c r="I163" s="79"/>
      <c r="J163" s="82"/>
      <c r="K163" s="79"/>
      <c r="L163" s="79"/>
      <c r="M163" s="82"/>
      <c r="N163" s="79"/>
      <c r="O163" s="113"/>
      <c r="P163" s="82"/>
      <c r="Q163" s="82"/>
      <c r="R163" s="82"/>
      <c r="S163" s="82"/>
      <c r="T163" s="82"/>
      <c r="U163" s="82"/>
      <c r="V163" s="82"/>
      <c r="W163" s="82"/>
      <c r="X163" s="82"/>
      <c r="Y163" s="82"/>
      <c r="Z163" s="79"/>
      <c r="AA163" s="113"/>
      <c r="AB163" s="82"/>
      <c r="AC163" s="82"/>
      <c r="AD163" s="82"/>
      <c r="AE163" s="82"/>
      <c r="AF163" s="82"/>
      <c r="AG163" s="82"/>
      <c r="AH163" s="82"/>
      <c r="AI163" s="82"/>
      <c r="AJ163" s="82"/>
      <c r="AK163" s="82"/>
      <c r="AL163" s="79"/>
      <c r="AM163" s="113"/>
      <c r="AN163" s="82"/>
      <c r="AO163" s="82"/>
      <c r="AP163" s="82"/>
      <c r="AQ163" s="82"/>
      <c r="AR163" s="82"/>
      <c r="AS163" s="82"/>
      <c r="AT163" s="82"/>
      <c r="AU163" s="82"/>
      <c r="AV163" s="82"/>
      <c r="AW163" s="82"/>
      <c r="AX163" s="79"/>
      <c r="AY163" s="113"/>
      <c r="AZ163" s="82"/>
      <c r="BA163" s="82"/>
      <c r="BB163" s="82"/>
      <c r="BC163" s="82"/>
      <c r="BD163" s="82"/>
      <c r="BE163" s="82"/>
      <c r="BF163" s="82"/>
      <c r="BG163" s="82"/>
      <c r="BH163" s="1"/>
    </row>
    <row r="164" spans="1:60" ht="21">
      <c r="A164" s="1040"/>
      <c r="B164" s="1109" t="s">
        <v>223</v>
      </c>
      <c r="C164" s="1106" t="s">
        <v>96</v>
      </c>
      <c r="D164" s="641" t="s">
        <v>45</v>
      </c>
      <c r="E164" s="199" t="s">
        <v>224</v>
      </c>
      <c r="F164" s="199"/>
      <c r="G164" s="692"/>
      <c r="H164" s="176"/>
      <c r="I164" s="77"/>
      <c r="J164" s="200" t="str">
        <f>J$10</f>
        <v>alle locaties</v>
      </c>
      <c r="K164" s="126"/>
      <c r="L164" s="126"/>
      <c r="M164" s="200" t="str">
        <f>M$10</f>
        <v>locatie 1</v>
      </c>
      <c r="N164" s="182"/>
      <c r="O164" s="966" t="str">
        <f>$E164&amp;" per energiepost"</f>
        <v>energiegebruik niet voor verwarmen/koelen per energiepost</v>
      </c>
      <c r="P164" s="941"/>
      <c r="Q164" s="941"/>
      <c r="R164" s="941"/>
      <c r="S164" s="941"/>
      <c r="T164" s="941"/>
      <c r="U164" s="941"/>
      <c r="V164" s="941"/>
      <c r="W164" s="956"/>
      <c r="X164" s="174"/>
      <c r="Y164" s="200" t="str">
        <f>Y$10</f>
        <v>locatie 2</v>
      </c>
      <c r="Z164" s="182"/>
      <c r="AA164" s="966" t="str">
        <f>$E164&amp;" per energiepost"</f>
        <v>energiegebruik niet voor verwarmen/koelen per energiepost</v>
      </c>
      <c r="AB164" s="941"/>
      <c r="AC164" s="941"/>
      <c r="AD164" s="941"/>
      <c r="AE164" s="941"/>
      <c r="AF164" s="941"/>
      <c r="AG164" s="941"/>
      <c r="AH164" s="941"/>
      <c r="AI164" s="956"/>
      <c r="AJ164" s="174"/>
      <c r="AK164" s="200" t="str">
        <f>AK$10</f>
        <v>locatie 3</v>
      </c>
      <c r="AL164" s="182"/>
      <c r="AM164" s="966" t="str">
        <f>$E164&amp;" per energiepost"</f>
        <v>energiegebruik niet voor verwarmen/koelen per energiepost</v>
      </c>
      <c r="AN164" s="941"/>
      <c r="AO164" s="941"/>
      <c r="AP164" s="941"/>
      <c r="AQ164" s="941"/>
      <c r="AR164" s="941"/>
      <c r="AS164" s="941"/>
      <c r="AT164" s="941"/>
      <c r="AU164" s="956"/>
      <c r="AV164" s="174"/>
      <c r="AW164" s="200" t="str">
        <f>AW$10</f>
        <v>locatie 4</v>
      </c>
      <c r="AX164" s="182"/>
      <c r="AY164" s="966" t="str">
        <f>$E164&amp;" per energiepost"</f>
        <v>energiegebruik niet voor verwarmen/koelen per energiepost</v>
      </c>
      <c r="AZ164" s="941"/>
      <c r="BA164" s="941"/>
      <c r="BB164" s="941"/>
      <c r="BC164" s="941"/>
      <c r="BD164" s="941"/>
      <c r="BE164" s="941"/>
      <c r="BF164" s="941"/>
      <c r="BG164" s="956"/>
      <c r="BH164" s="1"/>
    </row>
    <row r="165" spans="1:60">
      <c r="A165" s="1040"/>
      <c r="B165" s="1109" t="s">
        <v>223</v>
      </c>
      <c r="C165" s="1106" t="s">
        <v>96</v>
      </c>
      <c r="D165" s="638"/>
      <c r="E165" s="940" t="s">
        <v>225</v>
      </c>
      <c r="F165" s="940"/>
      <c r="G165" s="940"/>
      <c r="H165" s="940"/>
      <c r="I165" s="77"/>
      <c r="J165" s="939"/>
      <c r="K165" s="126"/>
      <c r="L165" s="126"/>
      <c r="M165" s="938"/>
      <c r="N165" s="191"/>
      <c r="O165" s="177" t="str">
        <f t="shared" ref="O165:V165" si="119">O$10</f>
        <v>verwarming</v>
      </c>
      <c r="P165" s="177" t="str">
        <f t="shared" si="119"/>
        <v>koeling</v>
      </c>
      <c r="Q165" s="177" t="str">
        <f t="shared" si="119"/>
        <v>tapwater</v>
      </c>
      <c r="R165" s="177" t="str">
        <f t="shared" si="119"/>
        <v>verlichting</v>
      </c>
      <c r="S165" s="177" t="str">
        <f t="shared" si="119"/>
        <v>ventilatoren</v>
      </c>
      <c r="T165" s="177" t="str">
        <f t="shared" si="119"/>
        <v>kookgas</v>
      </c>
      <c r="U165" s="177" t="str">
        <f t="shared" si="119"/>
        <v>overig elektra</v>
      </c>
      <c r="V165" s="177" t="str">
        <f t="shared" si="119"/>
        <v>mobiliteit</v>
      </c>
      <c r="W165" s="177"/>
      <c r="X165" s="191"/>
      <c r="Y165" s="938"/>
      <c r="Z165" s="191"/>
      <c r="AA165" s="177" t="str">
        <f t="shared" ref="AA165:AH165" si="120">AA$10</f>
        <v>verwarming</v>
      </c>
      <c r="AB165" s="177" t="str">
        <f t="shared" si="120"/>
        <v>koeling</v>
      </c>
      <c r="AC165" s="177" t="str">
        <f t="shared" si="120"/>
        <v>tapwater</v>
      </c>
      <c r="AD165" s="177" t="str">
        <f t="shared" si="120"/>
        <v>verlichting</v>
      </c>
      <c r="AE165" s="177" t="str">
        <f t="shared" si="120"/>
        <v>ventilatoren</v>
      </c>
      <c r="AF165" s="177" t="str">
        <f t="shared" si="120"/>
        <v>kookgas</v>
      </c>
      <c r="AG165" s="177" t="str">
        <f t="shared" si="120"/>
        <v>overig elektra</v>
      </c>
      <c r="AH165" s="177" t="str">
        <f t="shared" si="120"/>
        <v>mobiliteit</v>
      </c>
      <c r="AI165" s="177"/>
      <c r="AJ165" s="191"/>
      <c r="AK165" s="938"/>
      <c r="AL165" s="191"/>
      <c r="AM165" s="177" t="str">
        <f t="shared" ref="AM165:AT165" si="121">AM$10</f>
        <v>verwarming</v>
      </c>
      <c r="AN165" s="177" t="str">
        <f t="shared" si="121"/>
        <v>koeling</v>
      </c>
      <c r="AO165" s="177" t="str">
        <f t="shared" si="121"/>
        <v>tapwater</v>
      </c>
      <c r="AP165" s="177" t="str">
        <f t="shared" si="121"/>
        <v>verlichting</v>
      </c>
      <c r="AQ165" s="177" t="str">
        <f t="shared" si="121"/>
        <v>ventilatoren</v>
      </c>
      <c r="AR165" s="177" t="str">
        <f t="shared" si="121"/>
        <v>kookgas</v>
      </c>
      <c r="AS165" s="177" t="str">
        <f t="shared" si="121"/>
        <v>overig elektra</v>
      </c>
      <c r="AT165" s="177" t="str">
        <f t="shared" si="121"/>
        <v>mobiliteit</v>
      </c>
      <c r="AU165" s="177"/>
      <c r="AV165" s="191"/>
      <c r="AW165" s="938"/>
      <c r="AX165" s="191"/>
      <c r="AY165" s="177" t="str">
        <f t="shared" ref="AY165:BF165" si="122">AY$10</f>
        <v>verwarming</v>
      </c>
      <c r="AZ165" s="177" t="str">
        <f t="shared" si="122"/>
        <v>koeling</v>
      </c>
      <c r="BA165" s="177" t="str">
        <f t="shared" si="122"/>
        <v>tapwater</v>
      </c>
      <c r="BB165" s="177" t="str">
        <f t="shared" si="122"/>
        <v>verlichting</v>
      </c>
      <c r="BC165" s="177" t="str">
        <f t="shared" si="122"/>
        <v>ventilatoren</v>
      </c>
      <c r="BD165" s="177" t="str">
        <f t="shared" si="122"/>
        <v>kookgas</v>
      </c>
      <c r="BE165" s="177" t="str">
        <f t="shared" si="122"/>
        <v>overig elektra</v>
      </c>
      <c r="BF165" s="177" t="str">
        <f t="shared" si="122"/>
        <v>mobiliteit</v>
      </c>
      <c r="BG165" s="177"/>
      <c r="BH165" s="36"/>
    </row>
    <row r="166" spans="1:60">
      <c r="A166" s="1040"/>
      <c r="B166" s="1109" t="s">
        <v>223</v>
      </c>
      <c r="C166" s="1107" t="s">
        <v>118</v>
      </c>
      <c r="D166" s="638"/>
      <c r="E166" s="254" t="s">
        <v>226</v>
      </c>
      <c r="F166" s="254"/>
      <c r="G166" s="254"/>
      <c r="H166" s="291" t="s">
        <v>213</v>
      </c>
      <c r="I166" s="191"/>
      <c r="J166" s="305"/>
      <c r="K166" s="243"/>
      <c r="L166" s="243"/>
      <c r="M166" s="299"/>
      <c r="N166" s="376"/>
      <c r="O166" s="377">
        <f>IF(O167&lt;&gt;"",O167,HLOOKUP(IF(O$83="",referentie_verwarming,O$83),toestellen_RV,ROWS(bibliotheek!$E$83:$E$118),FALSE))</f>
        <v>0</v>
      </c>
      <c r="P166" s="377">
        <f>IF(P167&lt;&gt;"",P167,HLOOKUP(IF(P$83="",referentie_koeling,P$83),toestellen_KOEL,ROWS(bibliotheek!$E$190:$E$209),FALSE))</f>
        <v>0</v>
      </c>
      <c r="Q166" s="377">
        <f>IF(Q167&lt;&gt;"",Q167,HLOOKUP(IF(Q$83="",referentie_warmtapwater,Q$83),toestellen_TAP,ROWS(bibliotheek!$E$139:$E$166),FALSE))</f>
        <v>4.4999999999999998E-2</v>
      </c>
      <c r="R166" s="378"/>
      <c r="S166" s="378"/>
      <c r="T166" s="378"/>
      <c r="U166" s="378"/>
      <c r="V166" s="378"/>
      <c r="W166" s="378"/>
      <c r="X166" s="356"/>
      <c r="Y166" s="289"/>
      <c r="Z166" s="376"/>
      <c r="AA166" s="377">
        <f>IF(AA167&lt;&gt;"",AA167,HLOOKUP(IF(AA$83="",referentie_verwarming,AA$83),toestellen_RV,ROWS(bibliotheek!$E$83:$E$118),FALSE))</f>
        <v>0</v>
      </c>
      <c r="AB166" s="377">
        <f>IF(AB167&lt;&gt;"",AB167,HLOOKUP(IF(AB$83="",referentie_koeling,AB$83),toestellen_KOEL,ROWS(bibliotheek!$E$190:$E$209),FALSE))</f>
        <v>0</v>
      </c>
      <c r="AC166" s="377">
        <f>IF(AC167&lt;&gt;"",AC167,HLOOKUP(IF(AC$83="",referentie_warmtapwater,AC$83),toestellen_TAP,ROWS(bibliotheek!$E$139:$E$166),FALSE))</f>
        <v>4.4999999999999998E-2</v>
      </c>
      <c r="AD166" s="378"/>
      <c r="AE166" s="378"/>
      <c r="AF166" s="378"/>
      <c r="AG166" s="378"/>
      <c r="AH166" s="378"/>
      <c r="AI166" s="378"/>
      <c r="AJ166" s="356"/>
      <c r="AK166" s="289"/>
      <c r="AL166" s="376"/>
      <c r="AM166" s="377">
        <f>IF(AM167&lt;&gt;"",AM167,HLOOKUP(IF(AM$83="",referentie_verwarming,AM$83),toestellen_RV,ROWS(bibliotheek!$E$83:$E$118),FALSE))</f>
        <v>0</v>
      </c>
      <c r="AN166" s="377">
        <f>IF(AN167&lt;&gt;"",AN167,HLOOKUP(IF(AN$83="",referentie_koeling,AN$83),toestellen_KOEL,ROWS(bibliotheek!$E$190:$E$209),FALSE))</f>
        <v>0</v>
      </c>
      <c r="AO166" s="377">
        <f>IF(AO167&lt;&gt;"",AO167,HLOOKUP(IF(AO$83="",referentie_warmtapwater,AO$83),toestellen_TAP,ROWS(bibliotheek!$E$139:$E$166),FALSE))</f>
        <v>4.4999999999999998E-2</v>
      </c>
      <c r="AP166" s="378"/>
      <c r="AQ166" s="378"/>
      <c r="AR166" s="378"/>
      <c r="AS166" s="378"/>
      <c r="AT166" s="378"/>
      <c r="AU166" s="378"/>
      <c r="AV166" s="356"/>
      <c r="AW166" s="289"/>
      <c r="AX166" s="376"/>
      <c r="AY166" s="377">
        <f>IF(AY167&lt;&gt;"",AY167,HLOOKUP(IF(AY$83="",referentie_verwarming,AY$83),toestellen_RV,ROWS(bibliotheek!$E$83:$E$118),FALSE))</f>
        <v>0</v>
      </c>
      <c r="AZ166" s="377">
        <f>IF(AZ167&lt;&gt;"",AZ167,HLOOKUP(IF(AZ$83="",referentie_koeling,AZ$83),toestellen_KOEL,ROWS(bibliotheek!$E$190:$E$209),FALSE))</f>
        <v>0</v>
      </c>
      <c r="BA166" s="377">
        <f>IF(BA167&lt;&gt;"",BA167,HLOOKUP(IF(BA$83="",referentie_warmtapwater,BA$83),toestellen_TAP,ROWS(bibliotheek!$E$139:$E$166),FALSE))</f>
        <v>4.4999999999999998E-2</v>
      </c>
      <c r="BB166" s="306"/>
      <c r="BC166" s="306"/>
      <c r="BD166" s="306"/>
      <c r="BE166" s="306"/>
      <c r="BF166" s="306"/>
      <c r="BG166" s="306"/>
      <c r="BH166" s="174"/>
    </row>
    <row r="167" spans="1:60">
      <c r="A167" s="1040"/>
      <c r="B167" s="1109" t="s">
        <v>223</v>
      </c>
      <c r="C167" s="1107" t="s">
        <v>118</v>
      </c>
      <c r="D167" s="638"/>
      <c r="E167" s="1218" t="s">
        <v>208</v>
      </c>
      <c r="F167" s="255"/>
      <c r="G167" s="255"/>
      <c r="H167" s="292"/>
      <c r="I167" s="191"/>
      <c r="J167" s="299"/>
      <c r="K167" s="243"/>
      <c r="L167" s="243"/>
      <c r="M167" s="299"/>
      <c r="N167" s="308"/>
      <c r="O167" s="276"/>
      <c r="P167" s="281"/>
      <c r="Q167" s="276"/>
      <c r="R167" s="309"/>
      <c r="S167" s="309"/>
      <c r="T167" s="309"/>
      <c r="U167" s="309"/>
      <c r="V167" s="309"/>
      <c r="W167" s="309"/>
      <c r="X167" s="113"/>
      <c r="Y167" s="307"/>
      <c r="Z167" s="308"/>
      <c r="AA167" s="276"/>
      <c r="AB167" s="281"/>
      <c r="AC167" s="276"/>
      <c r="AD167" s="309"/>
      <c r="AE167" s="309"/>
      <c r="AF167" s="309"/>
      <c r="AG167" s="309"/>
      <c r="AH167" s="309"/>
      <c r="AI167" s="309"/>
      <c r="AJ167" s="113"/>
      <c r="AK167" s="307"/>
      <c r="AL167" s="308"/>
      <c r="AM167" s="276"/>
      <c r="AN167" s="281"/>
      <c r="AO167" s="276"/>
      <c r="AP167" s="309"/>
      <c r="AQ167" s="309"/>
      <c r="AR167" s="309"/>
      <c r="AS167" s="309"/>
      <c r="AT167" s="309"/>
      <c r="AU167" s="309"/>
      <c r="AV167" s="113"/>
      <c r="AW167" s="307"/>
      <c r="AX167" s="308"/>
      <c r="AY167" s="276"/>
      <c r="AZ167" s="281"/>
      <c r="BA167" s="276"/>
      <c r="BB167" s="309"/>
      <c r="BC167" s="309"/>
      <c r="BD167" s="309"/>
      <c r="BE167" s="309"/>
      <c r="BF167" s="309"/>
      <c r="BG167" s="309"/>
      <c r="BH167" s="174"/>
    </row>
    <row r="168" spans="1:60">
      <c r="A168" s="1046"/>
      <c r="B168" s="1109" t="s">
        <v>223</v>
      </c>
      <c r="C168" s="1107" t="s">
        <v>118</v>
      </c>
      <c r="D168" s="643"/>
      <c r="E168" s="245" t="s">
        <v>227</v>
      </c>
      <c r="F168" s="245"/>
      <c r="G168" s="245"/>
      <c r="H168" s="201" t="s">
        <v>202</v>
      </c>
      <c r="I168" s="191"/>
      <c r="J168" s="202">
        <f>M168+Y168+AK168+AW168</f>
        <v>0</v>
      </c>
      <c r="K168" s="243"/>
      <c r="L168" s="243"/>
      <c r="M168" s="202">
        <f>SUM(O168:X168)</f>
        <v>0</v>
      </c>
      <c r="N168" s="89"/>
      <c r="O168" s="168">
        <f>O$132*O$166</f>
        <v>0</v>
      </c>
      <c r="P168" s="168">
        <f>P$132*P$166</f>
        <v>0</v>
      </c>
      <c r="Q168" s="168">
        <f>Q$132*Q$166</f>
        <v>0</v>
      </c>
      <c r="R168" s="273"/>
      <c r="S168" s="273"/>
      <c r="T168" s="273"/>
      <c r="U168" s="273"/>
      <c r="V168" s="273"/>
      <c r="W168" s="273"/>
      <c r="X168" s="106"/>
      <c r="Y168" s="202">
        <f>SUM(AA168:AJ168)</f>
        <v>0</v>
      </c>
      <c r="Z168" s="89"/>
      <c r="AA168" s="168">
        <f>AA$132*AA$166</f>
        <v>0</v>
      </c>
      <c r="AB168" s="168">
        <f>AB$132*AB$166</f>
        <v>0</v>
      </c>
      <c r="AC168" s="168">
        <f>AC$132*AC$166</f>
        <v>0</v>
      </c>
      <c r="AD168" s="273"/>
      <c r="AE168" s="273"/>
      <c r="AF168" s="273"/>
      <c r="AG168" s="273"/>
      <c r="AH168" s="273"/>
      <c r="AI168" s="273"/>
      <c r="AJ168" s="106"/>
      <c r="AK168" s="202">
        <f>SUM(AM168:AV168)</f>
        <v>0</v>
      </c>
      <c r="AL168" s="89"/>
      <c r="AM168" s="168">
        <f>AM$132*AM$166</f>
        <v>0</v>
      </c>
      <c r="AN168" s="168">
        <f>AN$132*AN$166</f>
        <v>0</v>
      </c>
      <c r="AO168" s="168">
        <f>AO$132*AO$166</f>
        <v>0</v>
      </c>
      <c r="AP168" s="273"/>
      <c r="AQ168" s="273"/>
      <c r="AR168" s="273"/>
      <c r="AS168" s="273"/>
      <c r="AT168" s="273"/>
      <c r="AU168" s="273"/>
      <c r="AV168" s="106"/>
      <c r="AW168" s="202">
        <f>SUM(AY168:BH168)</f>
        <v>0</v>
      </c>
      <c r="AX168" s="89"/>
      <c r="AY168" s="168">
        <f>AY$132*AY$166</f>
        <v>0</v>
      </c>
      <c r="AZ168" s="168">
        <f>AZ$132*AZ$166</f>
        <v>0</v>
      </c>
      <c r="BA168" s="168">
        <f>BA$132*BA$166</f>
        <v>0</v>
      </c>
      <c r="BB168" s="273"/>
      <c r="BC168" s="273"/>
      <c r="BD168" s="273"/>
      <c r="BE168" s="273"/>
      <c r="BF168" s="273"/>
      <c r="BG168" s="273"/>
      <c r="BH168" s="174"/>
    </row>
    <row r="169" spans="1:60" hidden="1">
      <c r="A169" s="1046"/>
      <c r="B169" s="1109" t="s">
        <v>223</v>
      </c>
      <c r="C169" s="1111" t="s">
        <v>181</v>
      </c>
      <c r="D169" s="643" t="s">
        <v>45</v>
      </c>
      <c r="E169" s="245" t="s">
        <v>228</v>
      </c>
      <c r="F169" s="245"/>
      <c r="G169" s="245"/>
      <c r="H169" s="201" t="s">
        <v>202</v>
      </c>
      <c r="I169" s="191"/>
      <c r="J169" s="202">
        <f>M169+Y169+AK169+AW169</f>
        <v>0</v>
      </c>
      <c r="K169" s="243"/>
      <c r="L169" s="243"/>
      <c r="M169" s="202">
        <f>SUM(O169:X169)</f>
        <v>0</v>
      </c>
      <c r="N169" s="89"/>
      <c r="O169" s="168">
        <f>IF(O31=0,0,
(O$98*IFERROR((  INDEX(bibliotheek!$E$109:$BE$109,MATCH(O$83,toestellen_RV_kopregel,0)) +
INDEX(bibliotheek!$E$110:$BE$110,MATCH(O$83,toestellen_RV_kopregel,0))  *(O$97*1000/O$98)/
(  INDEX(bibliotheek!$E$111:$BE$111,MATCH(O$83,toestellen_RV_kopregel,0)) *
INDEX(bibliotheek!$E$112:$BE$112,MATCH(O$83,toestellen_RV_kopregel,0)) ) ),0)+
O$98*INDEX(bibliotheek!$E$113:$BE$113,MATCH(O$83,toestellen_RV_kopregel,0))+
O$99*INDEX(bibliotheek!$E$114:$BE$114,MATCH(O$83,toestellen_RV_kopregel,0)))/1000)</f>
        <v>0</v>
      </c>
      <c r="P169" s="273"/>
      <c r="Q169" s="273"/>
      <c r="R169" s="168">
        <f>R$78</f>
        <v>0</v>
      </c>
      <c r="S169" s="168">
        <f>S$78</f>
        <v>0</v>
      </c>
      <c r="T169" s="273"/>
      <c r="U169" s="168">
        <f>U$78</f>
        <v>0</v>
      </c>
      <c r="V169" s="168">
        <f>V$78</f>
        <v>0</v>
      </c>
      <c r="W169" s="273"/>
      <c r="X169" s="106"/>
      <c r="Y169" s="202">
        <f>SUM(AA169:AJ169)</f>
        <v>0</v>
      </c>
      <c r="Z169" s="89"/>
      <c r="AA169" s="168">
        <f>IF(AA31=0,0,
(AA$98*IFERROR((  INDEX(bibliotheek!$E$109:$BE$109,MATCH(AA$83,toestellen_RV_kopregel,0)) +
INDEX(bibliotheek!$E$110:$BE$110,MATCH(AA$83,toestellen_RV_kopregel,0))  *(AA$97*1000/AA$98)/
(  INDEX(bibliotheek!$E$111:$BE$111,MATCH(AA$83,toestellen_RV_kopregel,0)) *
INDEX(bibliotheek!$E$112:$BE$112,MATCH(AA$83,toestellen_RV_kopregel,0)) ) ),0)+
AA$98*INDEX(bibliotheek!$E$113:$BE$113,MATCH(AA$83,toestellen_RV_kopregel,0))+
AA$99*INDEX(bibliotheek!$E$114:$BE$114,MATCH(AA$83,toestellen_RV_kopregel,0)))/1000)</f>
        <v>0</v>
      </c>
      <c r="AB169" s="273"/>
      <c r="AC169" s="273"/>
      <c r="AD169" s="168">
        <f>AD$78</f>
        <v>0</v>
      </c>
      <c r="AE169" s="168">
        <f>AE$78</f>
        <v>0</v>
      </c>
      <c r="AF169" s="273"/>
      <c r="AG169" s="168">
        <f>AG$78</f>
        <v>0</v>
      </c>
      <c r="AH169" s="168">
        <f>AH$78</f>
        <v>0</v>
      </c>
      <c r="AI169" s="273"/>
      <c r="AJ169" s="106"/>
      <c r="AK169" s="202">
        <f>SUM(AM169:AV169)</f>
        <v>0</v>
      </c>
      <c r="AL169" s="89"/>
      <c r="AM169" s="168">
        <f>IF(AM31=0,0,
(AM$98*IFERROR((  INDEX(bibliotheek!$E$109:$BE$109,MATCH(AM$83,toestellen_RV_kopregel,0)) +
INDEX(bibliotheek!$E$110:$BE$110,MATCH(AM$83,toestellen_RV_kopregel,0))  *(AM$97*1000/AM$98)/
(  INDEX(bibliotheek!$E$111:$BE$111,MATCH(AM$83,toestellen_RV_kopregel,0)) *
INDEX(bibliotheek!$E$112:$BE$112,MATCH(AM$83,toestellen_RV_kopregel,0)) ) ),0)+
AM$98*INDEX(bibliotheek!$E$113:$BE$113,MATCH(AM$83,toestellen_RV_kopregel,0))+
AM$99*INDEX(bibliotheek!$E$114:$BE$114,MATCH(AM$83,toestellen_RV_kopregel,0)))/1000)</f>
        <v>0</v>
      </c>
      <c r="AN169" s="273"/>
      <c r="AO169" s="273"/>
      <c r="AP169" s="168">
        <f>AP$78</f>
        <v>0</v>
      </c>
      <c r="AQ169" s="168">
        <f>AQ$78</f>
        <v>0</v>
      </c>
      <c r="AR169" s="273"/>
      <c r="AS169" s="168">
        <f>AS$78</f>
        <v>0</v>
      </c>
      <c r="AT169" s="168">
        <f>AT$78</f>
        <v>0</v>
      </c>
      <c r="AU169" s="273"/>
      <c r="AV169" s="106"/>
      <c r="AW169" s="202">
        <f>SUM(AY169:BH169)</f>
        <v>0</v>
      </c>
      <c r="AX169" s="89"/>
      <c r="AY169" s="168">
        <f>IF(AY31=0,0,
(AY$98*IFERROR((  INDEX(bibliotheek!$E$109:$BE$109,MATCH(AY$83,toestellen_RV_kopregel,0)) +
INDEX(bibliotheek!$E$110:$BE$110,MATCH(AY$83,toestellen_RV_kopregel,0))  *(AY$97*1000/AY$98)/
(  INDEX(bibliotheek!$E$111:$BE$111,MATCH(AY$83,toestellen_RV_kopregel,0)) *
INDEX(bibliotheek!$E$112:$BE$112,MATCH(AY$83,toestellen_RV_kopregel,0)) ) ),0)+
AY$98*INDEX(bibliotheek!$E$113:$BE$113,MATCH(AY$83,toestellen_RV_kopregel,0))+
AY$99*INDEX(bibliotheek!$E$114:$BE$114,MATCH(AY$83,toestellen_RV_kopregel,0)))/1000)</f>
        <v>0</v>
      </c>
      <c r="AZ169" s="273"/>
      <c r="BA169" s="273"/>
      <c r="BB169" s="168">
        <f>BB$78</f>
        <v>0</v>
      </c>
      <c r="BC169" s="168">
        <f>BC$78</f>
        <v>0</v>
      </c>
      <c r="BD169" s="273"/>
      <c r="BE169" s="168">
        <f>BE$78</f>
        <v>0</v>
      </c>
      <c r="BF169" s="168">
        <f>BF$78</f>
        <v>0</v>
      </c>
      <c r="BG169" s="273"/>
      <c r="BH169" s="174"/>
    </row>
    <row r="170" spans="1:60" hidden="1">
      <c r="A170" s="1046"/>
      <c r="B170" s="1109" t="s">
        <v>223</v>
      </c>
      <c r="C170" s="1111" t="s">
        <v>181</v>
      </c>
      <c r="D170" s="643"/>
      <c r="E170" s="245" t="s">
        <v>229</v>
      </c>
      <c r="F170" s="245"/>
      <c r="G170" s="245"/>
      <c r="H170" s="201" t="s">
        <v>202</v>
      </c>
      <c r="I170" s="191"/>
      <c r="J170" s="202">
        <f>M170+Y170+AK170+AW170</f>
        <v>0</v>
      </c>
      <c r="K170" s="243"/>
      <c r="L170" s="243"/>
      <c r="M170" s="202">
        <f>SUM(O170:X170)</f>
        <v>0</v>
      </c>
      <c r="N170" s="89"/>
      <c r="O170" s="168">
        <f>O$97*O$133+IF(O$114=0,0,O115/O$114)</f>
        <v>0</v>
      </c>
      <c r="P170" s="168">
        <f>P$97*P$133+IF(P$114=0,0,P115/P$114)</f>
        <v>0</v>
      </c>
      <c r="Q170" s="168">
        <f>Q$97*Q$133+IF(Q$114=0,0,Q115/Q$114)</f>
        <v>0</v>
      </c>
      <c r="R170" s="273"/>
      <c r="S170" s="273"/>
      <c r="T170" s="273"/>
      <c r="U170" s="273"/>
      <c r="V170" s="273"/>
      <c r="W170" s="273"/>
      <c r="X170" s="106"/>
      <c r="Y170" s="202">
        <f>SUM(AA170:AJ170)</f>
        <v>0</v>
      </c>
      <c r="Z170" s="89"/>
      <c r="AA170" s="168">
        <f>AA$97*AA$133+IF(AA$114=0,0,AA115/AA$114)</f>
        <v>0</v>
      </c>
      <c r="AB170" s="168">
        <f>AB$97*AB$133+IF(AB$114=0,0,AB115/AB$114)</f>
        <v>0</v>
      </c>
      <c r="AC170" s="168">
        <f>AC$97*AC$133+IF(AC$114=0,0,AC115/AC$114)</f>
        <v>0</v>
      </c>
      <c r="AD170" s="273"/>
      <c r="AE170" s="273"/>
      <c r="AF170" s="273"/>
      <c r="AG170" s="273"/>
      <c r="AH170" s="273"/>
      <c r="AI170" s="273"/>
      <c r="AJ170" s="106"/>
      <c r="AK170" s="202">
        <f>SUM(AM170:AV170)</f>
        <v>0</v>
      </c>
      <c r="AL170" s="89"/>
      <c r="AM170" s="168">
        <f>AM$97*AM$133+IF(AM$114=0,0,AM115/AM$114)</f>
        <v>0</v>
      </c>
      <c r="AN170" s="168">
        <f>AN$97*AN$133+IF(AN$114=0,0,AN115/AN$114)</f>
        <v>0</v>
      </c>
      <c r="AO170" s="168">
        <f>AO$97*AO$133+IF(AO$114=0,0,AO115/AO$114)</f>
        <v>0</v>
      </c>
      <c r="AP170" s="273"/>
      <c r="AQ170" s="273"/>
      <c r="AR170" s="273"/>
      <c r="AS170" s="273"/>
      <c r="AT170" s="273"/>
      <c r="AU170" s="273"/>
      <c r="AV170" s="106"/>
      <c r="AW170" s="202">
        <f>SUM(AY170:BH170)</f>
        <v>0</v>
      </c>
      <c r="AX170" s="89"/>
      <c r="AY170" s="168">
        <f>AY$97*AY$133+IF(AY$114=0,0,AY115/AY$114)</f>
        <v>0</v>
      </c>
      <c r="AZ170" s="168">
        <f>AZ$97*AZ$133+IF(AZ$114=0,0,AZ115/AZ$114)</f>
        <v>0</v>
      </c>
      <c r="BA170" s="168">
        <f>BA$97*BA$133+IF(BA$114=0,0,BA115/BA$114)</f>
        <v>0</v>
      </c>
      <c r="BB170" s="273"/>
      <c r="BC170" s="273"/>
      <c r="BD170" s="273"/>
      <c r="BE170" s="273"/>
      <c r="BF170" s="273"/>
      <c r="BG170" s="273"/>
      <c r="BH170" s="174"/>
    </row>
    <row r="171" spans="1:60" hidden="1">
      <c r="A171" s="1046"/>
      <c r="B171" s="1109" t="s">
        <v>223</v>
      </c>
      <c r="C171" s="1111" t="s">
        <v>181</v>
      </c>
      <c r="D171" s="643"/>
      <c r="E171" s="245" t="s">
        <v>100</v>
      </c>
      <c r="F171" s="245"/>
      <c r="G171" s="245"/>
      <c r="H171" s="201" t="s">
        <v>202</v>
      </c>
      <c r="I171" s="191"/>
      <c r="J171" s="202">
        <f>M171+Y171+AK171+AW171</f>
        <v>0</v>
      </c>
      <c r="K171" s="243"/>
      <c r="L171" s="243"/>
      <c r="M171" s="202">
        <f>SUM(O171:X171)</f>
        <v>0</v>
      </c>
      <c r="N171" s="89"/>
      <c r="O171" s="273"/>
      <c r="P171" s="273"/>
      <c r="Q171" s="273"/>
      <c r="R171" s="273"/>
      <c r="S171" s="273"/>
      <c r="T171" s="168">
        <f>T78</f>
        <v>0</v>
      </c>
      <c r="U171" s="273"/>
      <c r="V171" s="273"/>
      <c r="W171" s="273"/>
      <c r="X171" s="106"/>
      <c r="Y171" s="202">
        <f>SUM(AA171:AJ171)</f>
        <v>0</v>
      </c>
      <c r="Z171" s="89"/>
      <c r="AA171" s="168"/>
      <c r="AB171" s="168"/>
      <c r="AC171" s="168"/>
      <c r="AD171" s="273"/>
      <c r="AE171" s="273"/>
      <c r="AF171" s="168">
        <f>AF78</f>
        <v>0</v>
      </c>
      <c r="AG171" s="273"/>
      <c r="AH171" s="273"/>
      <c r="AI171" s="273"/>
      <c r="AJ171" s="106"/>
      <c r="AK171" s="202">
        <f>SUM(AM171:AV171)</f>
        <v>0</v>
      </c>
      <c r="AL171" s="89"/>
      <c r="AM171" s="168"/>
      <c r="AN171" s="168"/>
      <c r="AO171" s="168"/>
      <c r="AP171" s="273"/>
      <c r="AQ171" s="273"/>
      <c r="AR171" s="168">
        <f>AR78</f>
        <v>0</v>
      </c>
      <c r="AS171" s="273"/>
      <c r="AT171" s="273"/>
      <c r="AU171" s="273"/>
      <c r="AV171" s="106"/>
      <c r="AW171" s="202">
        <f>SUM(AY171:BH171)</f>
        <v>0</v>
      </c>
      <c r="AX171" s="89"/>
      <c r="AY171" s="168"/>
      <c r="AZ171" s="168"/>
      <c r="BA171" s="168"/>
      <c r="BB171" s="273"/>
      <c r="BC171" s="273"/>
      <c r="BD171" s="168">
        <f>BD78</f>
        <v>0</v>
      </c>
      <c r="BE171" s="273"/>
      <c r="BF171" s="273"/>
      <c r="BG171" s="273"/>
      <c r="BH171" s="174"/>
    </row>
    <row r="172" spans="1:60">
      <c r="A172" s="1040"/>
      <c r="B172" s="1109" t="s">
        <v>223</v>
      </c>
      <c r="C172" s="1106" t="s">
        <v>96</v>
      </c>
      <c r="D172" s="638"/>
      <c r="E172" s="940" t="s">
        <v>1313</v>
      </c>
      <c r="F172" s="940"/>
      <c r="G172" s="940"/>
      <c r="H172" s="940"/>
      <c r="I172" s="77"/>
      <c r="J172" s="939"/>
      <c r="K172" s="126"/>
      <c r="L172" s="126"/>
      <c r="M172" s="938"/>
      <c r="N172" s="191"/>
      <c r="O172" s="177" t="str">
        <f t="shared" ref="O172:V172" si="123">O$10</f>
        <v>verwarming</v>
      </c>
      <c r="P172" s="177" t="str">
        <f t="shared" si="123"/>
        <v>koeling</v>
      </c>
      <c r="Q172" s="177" t="str">
        <f t="shared" si="123"/>
        <v>tapwater</v>
      </c>
      <c r="R172" s="177" t="str">
        <f t="shared" si="123"/>
        <v>verlichting</v>
      </c>
      <c r="S172" s="177" t="str">
        <f t="shared" si="123"/>
        <v>ventilatoren</v>
      </c>
      <c r="T172" s="177" t="str">
        <f t="shared" si="123"/>
        <v>kookgas</v>
      </c>
      <c r="U172" s="177" t="str">
        <f t="shared" si="123"/>
        <v>overig elektra</v>
      </c>
      <c r="V172" s="177" t="str">
        <f t="shared" si="123"/>
        <v>mobiliteit</v>
      </c>
      <c r="W172" s="177"/>
      <c r="X172" s="191"/>
      <c r="Y172" s="938"/>
      <c r="Z172" s="191"/>
      <c r="AA172" s="177" t="str">
        <f t="shared" ref="AA172:AH172" si="124">AA$10</f>
        <v>verwarming</v>
      </c>
      <c r="AB172" s="177" t="str">
        <f t="shared" si="124"/>
        <v>koeling</v>
      </c>
      <c r="AC172" s="177" t="str">
        <f t="shared" si="124"/>
        <v>tapwater</v>
      </c>
      <c r="AD172" s="177" t="str">
        <f t="shared" si="124"/>
        <v>verlichting</v>
      </c>
      <c r="AE172" s="177" t="str">
        <f t="shared" si="124"/>
        <v>ventilatoren</v>
      </c>
      <c r="AF172" s="177" t="str">
        <f t="shared" si="124"/>
        <v>kookgas</v>
      </c>
      <c r="AG172" s="177" t="str">
        <f t="shared" si="124"/>
        <v>overig elektra</v>
      </c>
      <c r="AH172" s="177" t="str">
        <f t="shared" si="124"/>
        <v>mobiliteit</v>
      </c>
      <c r="AI172" s="177"/>
      <c r="AJ172" s="191"/>
      <c r="AK172" s="938"/>
      <c r="AL172" s="191"/>
      <c r="AM172" s="177" t="str">
        <f t="shared" ref="AM172:AT172" si="125">AM$10</f>
        <v>verwarming</v>
      </c>
      <c r="AN172" s="177" t="str">
        <f t="shared" si="125"/>
        <v>koeling</v>
      </c>
      <c r="AO172" s="177" t="str">
        <f t="shared" si="125"/>
        <v>tapwater</v>
      </c>
      <c r="AP172" s="177" t="str">
        <f t="shared" si="125"/>
        <v>verlichting</v>
      </c>
      <c r="AQ172" s="177" t="str">
        <f t="shared" si="125"/>
        <v>ventilatoren</v>
      </c>
      <c r="AR172" s="177" t="str">
        <f t="shared" si="125"/>
        <v>kookgas</v>
      </c>
      <c r="AS172" s="177" t="str">
        <f t="shared" si="125"/>
        <v>overig elektra</v>
      </c>
      <c r="AT172" s="177" t="str">
        <f t="shared" si="125"/>
        <v>mobiliteit</v>
      </c>
      <c r="AU172" s="177"/>
      <c r="AV172" s="191"/>
      <c r="AW172" s="938"/>
      <c r="AX172" s="191"/>
      <c r="AY172" s="177" t="str">
        <f t="shared" ref="AY172:BF172" si="126">AY$10</f>
        <v>verwarming</v>
      </c>
      <c r="AZ172" s="177" t="str">
        <f t="shared" si="126"/>
        <v>koeling</v>
      </c>
      <c r="BA172" s="177" t="str">
        <f t="shared" si="126"/>
        <v>tapwater</v>
      </c>
      <c r="BB172" s="177" t="str">
        <f t="shared" si="126"/>
        <v>verlichting</v>
      </c>
      <c r="BC172" s="177" t="str">
        <f t="shared" si="126"/>
        <v>ventilatoren</v>
      </c>
      <c r="BD172" s="177" t="str">
        <f t="shared" si="126"/>
        <v>kookgas</v>
      </c>
      <c r="BE172" s="177" t="str">
        <f t="shared" si="126"/>
        <v>overig elektra</v>
      </c>
      <c r="BF172" s="177" t="str">
        <f t="shared" si="126"/>
        <v>mobiliteit</v>
      </c>
      <c r="BG172" s="177"/>
      <c r="BH172" s="36"/>
    </row>
    <row r="173" spans="1:60" hidden="1">
      <c r="A173" s="1040"/>
      <c r="B173" s="1109" t="s">
        <v>223</v>
      </c>
      <c r="C173" s="1107" t="s">
        <v>181</v>
      </c>
      <c r="D173" s="638"/>
      <c r="E173" s="1172" t="s">
        <v>1350</v>
      </c>
      <c r="F173" s="1172"/>
      <c r="G173" s="254"/>
      <c r="H173" s="291" t="s">
        <v>204</v>
      </c>
      <c r="I173" s="191"/>
      <c r="J173" s="189"/>
      <c r="K173" s="79"/>
      <c r="L173" s="79"/>
      <c r="M173" s="189"/>
      <c r="N173" s="116"/>
      <c r="O173" s="151">
        <f>$G$5</f>
        <v>1.45</v>
      </c>
      <c r="P173" s="151">
        <f>$G$5</f>
        <v>1.45</v>
      </c>
      <c r="Q173" s="151">
        <f>$G$5</f>
        <v>1.45</v>
      </c>
      <c r="R173" s="151">
        <f>$G$5</f>
        <v>1.45</v>
      </c>
      <c r="S173" s="151">
        <f>$G$5</f>
        <v>1.45</v>
      </c>
      <c r="T173" s="151">
        <f>bibliotheek!$K$261</f>
        <v>1</v>
      </c>
      <c r="U173" s="151">
        <f>$G$5</f>
        <v>1.45</v>
      </c>
      <c r="V173" s="151">
        <f>$G$5</f>
        <v>1.45</v>
      </c>
      <c r="W173" s="384"/>
      <c r="X173" s="123"/>
      <c r="Y173" s="613"/>
      <c r="Z173" s="614"/>
      <c r="AA173" s="151">
        <f>$G$5</f>
        <v>1.45</v>
      </c>
      <c r="AB173" s="151">
        <f>$G$5</f>
        <v>1.45</v>
      </c>
      <c r="AC173" s="151">
        <f>$G$5</f>
        <v>1.45</v>
      </c>
      <c r="AD173" s="151">
        <f>$G$5</f>
        <v>1.45</v>
      </c>
      <c r="AE173" s="151">
        <f>$G$5</f>
        <v>1.45</v>
      </c>
      <c r="AF173" s="227">
        <f>bibliotheek!$K$261</f>
        <v>1</v>
      </c>
      <c r="AG173" s="151">
        <f>$G$5</f>
        <v>1.45</v>
      </c>
      <c r="AH173" s="151">
        <f>$G$5</f>
        <v>1.45</v>
      </c>
      <c r="AI173" s="384"/>
      <c r="AJ173" s="123"/>
      <c r="AK173" s="613"/>
      <c r="AL173" s="614"/>
      <c r="AM173" s="151">
        <f>$G$5</f>
        <v>1.45</v>
      </c>
      <c r="AN173" s="151">
        <f>$G$5</f>
        <v>1.45</v>
      </c>
      <c r="AO173" s="151">
        <f>$G$5</f>
        <v>1.45</v>
      </c>
      <c r="AP173" s="151">
        <f>$G$5</f>
        <v>1.45</v>
      </c>
      <c r="AQ173" s="151">
        <f>$G$5</f>
        <v>1.45</v>
      </c>
      <c r="AR173" s="227">
        <f>bibliotheek!$K$261</f>
        <v>1</v>
      </c>
      <c r="AS173" s="151">
        <f>$G$5</f>
        <v>1.45</v>
      </c>
      <c r="AT173" s="151">
        <f>$G$5</f>
        <v>1.45</v>
      </c>
      <c r="AU173" s="384"/>
      <c r="AV173" s="123"/>
      <c r="AW173" s="613"/>
      <c r="AX173" s="614"/>
      <c r="AY173" s="151">
        <f>$G$5</f>
        <v>1.45</v>
      </c>
      <c r="AZ173" s="151">
        <f>$G$5</f>
        <v>1.45</v>
      </c>
      <c r="BA173" s="151">
        <f>$G$5</f>
        <v>1.45</v>
      </c>
      <c r="BB173" s="151">
        <f>$G$5</f>
        <v>1.45</v>
      </c>
      <c r="BC173" s="151">
        <f>$G$5</f>
        <v>1.45</v>
      </c>
      <c r="BD173" s="227">
        <f>bibliotheek!$K$261</f>
        <v>1</v>
      </c>
      <c r="BE173" s="151">
        <f>$G$5</f>
        <v>1.45</v>
      </c>
      <c r="BF173" s="151">
        <f>$G$5</f>
        <v>1.45</v>
      </c>
      <c r="BG173" s="384"/>
      <c r="BH173" s="174"/>
    </row>
    <row r="174" spans="1:60">
      <c r="A174" s="1046"/>
      <c r="B174" s="1109" t="s">
        <v>223</v>
      </c>
      <c r="C174" s="1111" t="s">
        <v>104</v>
      </c>
      <c r="D174" s="643" t="s">
        <v>45</v>
      </c>
      <c r="E174" s="1173" t="s">
        <v>232</v>
      </c>
      <c r="F174" s="1174"/>
      <c r="G174" s="201"/>
      <c r="H174" s="201" t="s">
        <v>106</v>
      </c>
      <c r="I174" s="191"/>
      <c r="J174" s="202">
        <f>M174+Y174+AK174+AW174</f>
        <v>0</v>
      </c>
      <c r="K174" s="1062"/>
      <c r="L174" s="1062"/>
      <c r="M174" s="202">
        <f>SUM(O174:X174)</f>
        <v>0</v>
      </c>
      <c r="N174" s="89"/>
      <c r="O174" s="168">
        <f t="shared" ref="O174:V174" si="127">SUM(O$168:O$171)*O$173</f>
        <v>0</v>
      </c>
      <c r="P174" s="168">
        <f t="shared" si="127"/>
        <v>0</v>
      </c>
      <c r="Q174" s="168">
        <f t="shared" si="127"/>
        <v>0</v>
      </c>
      <c r="R174" s="168">
        <f t="shared" si="127"/>
        <v>0</v>
      </c>
      <c r="S174" s="168">
        <f t="shared" si="127"/>
        <v>0</v>
      </c>
      <c r="T174" s="168">
        <f t="shared" si="127"/>
        <v>0</v>
      </c>
      <c r="U174" s="168">
        <f>SUM(U$168:U$171)*U$173</f>
        <v>0</v>
      </c>
      <c r="V174" s="168">
        <f t="shared" si="127"/>
        <v>0</v>
      </c>
      <c r="W174" s="273"/>
      <c r="X174" s="113"/>
      <c r="Y174" s="202">
        <f>SUM(AA174:AJ174)</f>
        <v>0</v>
      </c>
      <c r="Z174" s="89"/>
      <c r="AA174" s="168">
        <f t="shared" ref="AA174:AH174" si="128">SUM(AA$168:AA$171)*AA$173</f>
        <v>0</v>
      </c>
      <c r="AB174" s="168">
        <f t="shared" si="128"/>
        <v>0</v>
      </c>
      <c r="AC174" s="168">
        <f t="shared" si="128"/>
        <v>0</v>
      </c>
      <c r="AD174" s="168">
        <f t="shared" si="128"/>
        <v>0</v>
      </c>
      <c r="AE174" s="168">
        <f t="shared" si="128"/>
        <v>0</v>
      </c>
      <c r="AF174" s="168">
        <f t="shared" si="128"/>
        <v>0</v>
      </c>
      <c r="AG174" s="168">
        <f t="shared" si="128"/>
        <v>0</v>
      </c>
      <c r="AH174" s="168">
        <f t="shared" si="128"/>
        <v>0</v>
      </c>
      <c r="AI174" s="273"/>
      <c r="AJ174" s="113"/>
      <c r="AK174" s="202">
        <f>SUM(AM174:AV174)</f>
        <v>0</v>
      </c>
      <c r="AL174" s="89"/>
      <c r="AM174" s="168">
        <f>SUM(AM$168:AM$171)*AM$173</f>
        <v>0</v>
      </c>
      <c r="AN174" s="168">
        <f t="shared" ref="AN174:AT174" si="129">SUM(AN$168:AN$171)*AN$173</f>
        <v>0</v>
      </c>
      <c r="AO174" s="168">
        <f t="shared" si="129"/>
        <v>0</v>
      </c>
      <c r="AP174" s="168">
        <f t="shared" si="129"/>
        <v>0</v>
      </c>
      <c r="AQ174" s="168">
        <f t="shared" si="129"/>
        <v>0</v>
      </c>
      <c r="AR174" s="168">
        <f t="shared" si="129"/>
        <v>0</v>
      </c>
      <c r="AS174" s="168">
        <f t="shared" si="129"/>
        <v>0</v>
      </c>
      <c r="AT174" s="168">
        <f t="shared" si="129"/>
        <v>0</v>
      </c>
      <c r="AU174" s="273"/>
      <c r="AV174" s="113"/>
      <c r="AW174" s="202">
        <f>SUM(AY174:BH174)</f>
        <v>0</v>
      </c>
      <c r="AX174" s="89"/>
      <c r="AY174" s="168">
        <f>SUM(AY$168:AY$171)*AY$173</f>
        <v>0</v>
      </c>
      <c r="AZ174" s="168">
        <f t="shared" ref="AZ174:BF174" si="130">SUM(AZ$168:AZ$171)*AZ$173</f>
        <v>0</v>
      </c>
      <c r="BA174" s="168">
        <f t="shared" si="130"/>
        <v>0</v>
      </c>
      <c r="BB174" s="168">
        <f t="shared" si="130"/>
        <v>0</v>
      </c>
      <c r="BC174" s="168">
        <f t="shared" si="130"/>
        <v>0</v>
      </c>
      <c r="BD174" s="168">
        <f t="shared" si="130"/>
        <v>0</v>
      </c>
      <c r="BE174" s="168">
        <f t="shared" si="130"/>
        <v>0</v>
      </c>
      <c r="BF174" s="168">
        <f t="shared" si="130"/>
        <v>0</v>
      </c>
      <c r="BG174" s="273"/>
      <c r="BH174" s="174"/>
    </row>
    <row r="175" spans="1:60">
      <c r="A175" s="1046"/>
      <c r="B175" s="1109" t="s">
        <v>223</v>
      </c>
      <c r="C175" s="1106" t="s">
        <v>96</v>
      </c>
      <c r="D175" s="638"/>
      <c r="E175" s="940" t="s">
        <v>1202</v>
      </c>
      <c r="F175" s="940"/>
      <c r="G175" s="940"/>
      <c r="H175" s="940"/>
      <c r="I175" s="77"/>
      <c r="J175" s="939"/>
      <c r="K175" s="126"/>
      <c r="L175" s="126"/>
      <c r="M175" s="938"/>
      <c r="N175" s="191"/>
      <c r="O175" s="177" t="str">
        <f t="shared" ref="O175:V175" si="131">O$10</f>
        <v>verwarming</v>
      </c>
      <c r="P175" s="177" t="str">
        <f t="shared" si="131"/>
        <v>koeling</v>
      </c>
      <c r="Q175" s="177" t="str">
        <f t="shared" si="131"/>
        <v>tapwater</v>
      </c>
      <c r="R175" s="177" t="str">
        <f t="shared" si="131"/>
        <v>verlichting</v>
      </c>
      <c r="S175" s="177" t="str">
        <f t="shared" si="131"/>
        <v>ventilatoren</v>
      </c>
      <c r="T175" s="177" t="str">
        <f t="shared" si="131"/>
        <v>kookgas</v>
      </c>
      <c r="U175" s="177" t="str">
        <f t="shared" si="131"/>
        <v>overig elektra</v>
      </c>
      <c r="V175" s="177" t="str">
        <f t="shared" si="131"/>
        <v>mobiliteit</v>
      </c>
      <c r="W175" s="177"/>
      <c r="X175" s="113"/>
      <c r="Y175" s="938"/>
      <c r="Z175" s="191"/>
      <c r="AA175" s="177" t="str">
        <f t="shared" ref="AA175:AH175" si="132">AA$10</f>
        <v>verwarming</v>
      </c>
      <c r="AB175" s="177" t="str">
        <f t="shared" si="132"/>
        <v>koeling</v>
      </c>
      <c r="AC175" s="177" t="str">
        <f t="shared" si="132"/>
        <v>tapwater</v>
      </c>
      <c r="AD175" s="177" t="str">
        <f t="shared" si="132"/>
        <v>verlichting</v>
      </c>
      <c r="AE175" s="177" t="str">
        <f t="shared" si="132"/>
        <v>ventilatoren</v>
      </c>
      <c r="AF175" s="177" t="str">
        <f t="shared" si="132"/>
        <v>kookgas</v>
      </c>
      <c r="AG175" s="177" t="str">
        <f t="shared" si="132"/>
        <v>overig elektra</v>
      </c>
      <c r="AH175" s="177" t="str">
        <f t="shared" si="132"/>
        <v>mobiliteit</v>
      </c>
      <c r="AI175" s="177"/>
      <c r="AJ175" s="113"/>
      <c r="AK175" s="938"/>
      <c r="AL175" s="191"/>
      <c r="AM175" s="177" t="str">
        <f t="shared" ref="AM175:AT175" si="133">AM$10</f>
        <v>verwarming</v>
      </c>
      <c r="AN175" s="177" t="str">
        <f t="shared" si="133"/>
        <v>koeling</v>
      </c>
      <c r="AO175" s="177" t="str">
        <f t="shared" si="133"/>
        <v>tapwater</v>
      </c>
      <c r="AP175" s="177" t="str">
        <f t="shared" si="133"/>
        <v>verlichting</v>
      </c>
      <c r="AQ175" s="177" t="str">
        <f t="shared" si="133"/>
        <v>ventilatoren</v>
      </c>
      <c r="AR175" s="177" t="str">
        <f t="shared" si="133"/>
        <v>kookgas</v>
      </c>
      <c r="AS175" s="177" t="str">
        <f t="shared" si="133"/>
        <v>overig elektra</v>
      </c>
      <c r="AT175" s="177" t="str">
        <f t="shared" si="133"/>
        <v>mobiliteit</v>
      </c>
      <c r="AU175" s="177"/>
      <c r="AV175" s="113"/>
      <c r="AW175" s="938"/>
      <c r="AX175" s="191"/>
      <c r="AY175" s="177" t="str">
        <f t="shared" ref="AY175:BF175" si="134">AY$10</f>
        <v>verwarming</v>
      </c>
      <c r="AZ175" s="177" t="str">
        <f t="shared" si="134"/>
        <v>koeling</v>
      </c>
      <c r="BA175" s="177" t="str">
        <f t="shared" si="134"/>
        <v>tapwater</v>
      </c>
      <c r="BB175" s="177" t="str">
        <f t="shared" si="134"/>
        <v>verlichting</v>
      </c>
      <c r="BC175" s="177" t="str">
        <f t="shared" si="134"/>
        <v>ventilatoren</v>
      </c>
      <c r="BD175" s="177" t="str">
        <f t="shared" si="134"/>
        <v>kookgas</v>
      </c>
      <c r="BE175" s="177" t="str">
        <f t="shared" si="134"/>
        <v>overig elektra</v>
      </c>
      <c r="BF175" s="177" t="str">
        <f t="shared" si="134"/>
        <v>mobiliteit</v>
      </c>
      <c r="BG175" s="177"/>
      <c r="BH175" s="174"/>
    </row>
    <row r="176" spans="1:60" hidden="1">
      <c r="A176" s="1046"/>
      <c r="B176" s="1109" t="s">
        <v>223</v>
      </c>
      <c r="C176" s="1107" t="s">
        <v>181</v>
      </c>
      <c r="D176" s="638"/>
      <c r="E176" s="1171" t="s">
        <v>1351</v>
      </c>
      <c r="F176" s="1172"/>
      <c r="G176" s="254"/>
      <c r="H176" s="181" t="s">
        <v>1208</v>
      </c>
      <c r="I176" s="191"/>
      <c r="J176" s="1014"/>
      <c r="K176" s="1062"/>
      <c r="L176" s="1062"/>
      <c r="M176" s="202"/>
      <c r="N176" s="89"/>
      <c r="O176" s="227">
        <f>bibliotheek!$I$307</f>
        <v>1.35</v>
      </c>
      <c r="P176" s="227">
        <f>bibliotheek!$I$307</f>
        <v>1.35</v>
      </c>
      <c r="Q176" s="227">
        <f>bibliotheek!$I$307</f>
        <v>1.35</v>
      </c>
      <c r="R176" s="227">
        <f>bibliotheek!$I$307</f>
        <v>1.35</v>
      </c>
      <c r="S176" s="227">
        <f>bibliotheek!$I$307</f>
        <v>1.35</v>
      </c>
      <c r="T176" s="227">
        <f>bibliotheek!$I$307</f>
        <v>1.35</v>
      </c>
      <c r="U176" s="227">
        <f>bibliotheek!$I$307</f>
        <v>1.35</v>
      </c>
      <c r="V176" s="227">
        <f>bibliotheek!$I$307</f>
        <v>1.35</v>
      </c>
      <c r="W176" s="273"/>
      <c r="X176" s="113"/>
      <c r="Y176" s="202"/>
      <c r="Z176" s="89"/>
      <c r="AA176" s="227">
        <f>bibliotheek!$I$307</f>
        <v>1.35</v>
      </c>
      <c r="AB176" s="227">
        <f>bibliotheek!$I$307</f>
        <v>1.35</v>
      </c>
      <c r="AC176" s="227">
        <f>bibliotheek!$I$307</f>
        <v>1.35</v>
      </c>
      <c r="AD176" s="227">
        <f>bibliotheek!$I$307</f>
        <v>1.35</v>
      </c>
      <c r="AE176" s="227">
        <f>bibliotheek!$I$307</f>
        <v>1.35</v>
      </c>
      <c r="AF176" s="227">
        <f>bibliotheek!$I$307</f>
        <v>1.35</v>
      </c>
      <c r="AG176" s="227">
        <f>bibliotheek!$I$307</f>
        <v>1.35</v>
      </c>
      <c r="AH176" s="227">
        <f>bibliotheek!$I$307</f>
        <v>1.35</v>
      </c>
      <c r="AI176" s="273"/>
      <c r="AJ176" s="113"/>
      <c r="AK176" s="202"/>
      <c r="AL176" s="89"/>
      <c r="AM176" s="227">
        <f>bibliotheek!$I$307</f>
        <v>1.35</v>
      </c>
      <c r="AN176" s="227">
        <f>bibliotheek!$I$307</f>
        <v>1.35</v>
      </c>
      <c r="AO176" s="227">
        <f>bibliotheek!$I$307</f>
        <v>1.35</v>
      </c>
      <c r="AP176" s="227">
        <f>bibliotheek!$I$307</f>
        <v>1.35</v>
      </c>
      <c r="AQ176" s="227">
        <f>bibliotheek!$I$307</f>
        <v>1.35</v>
      </c>
      <c r="AR176" s="227">
        <f>bibliotheek!$I$307</f>
        <v>1.35</v>
      </c>
      <c r="AS176" s="227">
        <f>bibliotheek!$I$307</f>
        <v>1.35</v>
      </c>
      <c r="AT176" s="227">
        <f>bibliotheek!$I$307</f>
        <v>1.35</v>
      </c>
      <c r="AU176" s="273"/>
      <c r="AV176" s="113"/>
      <c r="AW176" s="202"/>
      <c r="AX176" s="89"/>
      <c r="AY176" s="227">
        <f>bibliotheek!$I$307</f>
        <v>1.35</v>
      </c>
      <c r="AZ176" s="227">
        <f>bibliotheek!$I$307</f>
        <v>1.35</v>
      </c>
      <c r="BA176" s="227">
        <f>bibliotheek!$I$307</f>
        <v>1.35</v>
      </c>
      <c r="BB176" s="227">
        <f>bibliotheek!$I$307</f>
        <v>1.35</v>
      </c>
      <c r="BC176" s="227">
        <f>bibliotheek!$I$307</f>
        <v>1.35</v>
      </c>
      <c r="BD176" s="227">
        <f>bibliotheek!$I$307</f>
        <v>1.35</v>
      </c>
      <c r="BE176" s="227">
        <f>bibliotheek!$I$307</f>
        <v>1.35</v>
      </c>
      <c r="BF176" s="227">
        <f>bibliotheek!$I$307</f>
        <v>1.35</v>
      </c>
      <c r="BG176" s="273"/>
      <c r="BH176" s="174"/>
    </row>
    <row r="177" spans="1:60" hidden="1">
      <c r="A177" s="1046"/>
      <c r="B177" s="1109" t="s">
        <v>223</v>
      </c>
      <c r="C177" s="1107" t="s">
        <v>181</v>
      </c>
      <c r="D177" s="638"/>
      <c r="E177" s="1175" t="s">
        <v>1201</v>
      </c>
      <c r="F177" s="1176"/>
      <c r="G177" s="595"/>
      <c r="H177" s="1013" t="s">
        <v>65</v>
      </c>
      <c r="I177" s="191"/>
      <c r="J177" s="1014"/>
      <c r="K177" s="1062"/>
      <c r="L177" s="1062"/>
      <c r="M177" s="202"/>
      <c r="N177" s="89"/>
      <c r="O177" s="227">
        <f>bibliotheek!$J$263</f>
        <v>1</v>
      </c>
      <c r="P177" s="227">
        <f>bibliotheek!$J$263</f>
        <v>1</v>
      </c>
      <c r="Q177" s="227">
        <f>bibliotheek!$J$263</f>
        <v>1</v>
      </c>
      <c r="R177" s="227">
        <f>bibliotheek!$J$263</f>
        <v>1</v>
      </c>
      <c r="S177" s="227">
        <f>bibliotheek!$J$263</f>
        <v>1</v>
      </c>
      <c r="T177" s="227">
        <f>bibliotheek!$J$263</f>
        <v>1</v>
      </c>
      <c r="U177" s="227">
        <f>bibliotheek!$J$263</f>
        <v>1</v>
      </c>
      <c r="V177" s="227">
        <f>bibliotheek!$J$263</f>
        <v>1</v>
      </c>
      <c r="W177" s="273"/>
      <c r="X177" s="113"/>
      <c r="Y177" s="202"/>
      <c r="Z177" s="89"/>
      <c r="AA177" s="227">
        <f>bibliotheek!$J$263</f>
        <v>1</v>
      </c>
      <c r="AB177" s="227">
        <f>bibliotheek!$J$263</f>
        <v>1</v>
      </c>
      <c r="AC177" s="227">
        <f>bibliotheek!$J$263</f>
        <v>1</v>
      </c>
      <c r="AD177" s="227">
        <f>bibliotheek!$J$263</f>
        <v>1</v>
      </c>
      <c r="AE177" s="227">
        <f>bibliotheek!$J$263</f>
        <v>1</v>
      </c>
      <c r="AF177" s="227">
        <f>bibliotheek!$J$263</f>
        <v>1</v>
      </c>
      <c r="AG177" s="227">
        <f>bibliotheek!$J$263</f>
        <v>1</v>
      </c>
      <c r="AH177" s="227">
        <f>bibliotheek!$J$263</f>
        <v>1</v>
      </c>
      <c r="AI177" s="273"/>
      <c r="AJ177" s="113"/>
      <c r="AK177" s="202"/>
      <c r="AL177" s="89"/>
      <c r="AM177" s="227">
        <f>bibliotheek!$J$263</f>
        <v>1</v>
      </c>
      <c r="AN177" s="227">
        <f>bibliotheek!$J$263</f>
        <v>1</v>
      </c>
      <c r="AO177" s="227">
        <f>bibliotheek!$J$263</f>
        <v>1</v>
      </c>
      <c r="AP177" s="227">
        <f>bibliotheek!$J$263</f>
        <v>1</v>
      </c>
      <c r="AQ177" s="227">
        <f>bibliotheek!$J$263</f>
        <v>1</v>
      </c>
      <c r="AR177" s="227">
        <f>bibliotheek!$J$263</f>
        <v>1</v>
      </c>
      <c r="AS177" s="227">
        <f>bibliotheek!$J$263</f>
        <v>1</v>
      </c>
      <c r="AT177" s="227">
        <f>bibliotheek!$J$263</f>
        <v>1</v>
      </c>
      <c r="AU177" s="273"/>
      <c r="AV177" s="113"/>
      <c r="AW177" s="202"/>
      <c r="AX177" s="89"/>
      <c r="AY177" s="227">
        <f>bibliotheek!$J$263</f>
        <v>1</v>
      </c>
      <c r="AZ177" s="227">
        <f>bibliotheek!$J$263</f>
        <v>1</v>
      </c>
      <c r="BA177" s="227">
        <f>bibliotheek!$J$263</f>
        <v>1</v>
      </c>
      <c r="BB177" s="227">
        <f>bibliotheek!$J$263</f>
        <v>1</v>
      </c>
      <c r="BC177" s="227">
        <f>bibliotheek!$J$263</f>
        <v>1</v>
      </c>
      <c r="BD177" s="227">
        <f>bibliotheek!$J$263</f>
        <v>1</v>
      </c>
      <c r="BE177" s="227">
        <f>bibliotheek!$J$263</f>
        <v>1</v>
      </c>
      <c r="BF177" s="227">
        <f>bibliotheek!$J$263</f>
        <v>1</v>
      </c>
      <c r="BG177" s="273"/>
      <c r="BH177" s="174"/>
    </row>
    <row r="178" spans="1:60">
      <c r="A178" s="1046"/>
      <c r="B178" s="1109" t="s">
        <v>223</v>
      </c>
      <c r="C178" s="1111" t="s">
        <v>104</v>
      </c>
      <c r="D178" s="638"/>
      <c r="E178" s="1170" t="s">
        <v>232</v>
      </c>
      <c r="F178" s="1170"/>
      <c r="G178" s="181"/>
      <c r="H178" s="181" t="s">
        <v>1206</v>
      </c>
      <c r="I178" s="191"/>
      <c r="J178" s="202">
        <f>M178+Y178+AK178+AW178</f>
        <v>0</v>
      </c>
      <c r="K178" s="1062"/>
      <c r="L178" s="1062"/>
      <c r="M178" s="202">
        <f>SUM(O178:X178)</f>
        <v>0</v>
      </c>
      <c r="N178" s="89"/>
      <c r="O178" s="168">
        <f>SUM(O$168:O$171)*O$176*O177</f>
        <v>0</v>
      </c>
      <c r="P178" s="168">
        <f t="shared" ref="P178:V178" si="135">SUM(P$168:P$171)*P$176*P177</f>
        <v>0</v>
      </c>
      <c r="Q178" s="168">
        <f t="shared" si="135"/>
        <v>0</v>
      </c>
      <c r="R178" s="168">
        <f t="shared" si="135"/>
        <v>0</v>
      </c>
      <c r="S178" s="168">
        <f t="shared" si="135"/>
        <v>0</v>
      </c>
      <c r="T178" s="168">
        <f t="shared" si="135"/>
        <v>0</v>
      </c>
      <c r="U178" s="168">
        <f t="shared" si="135"/>
        <v>0</v>
      </c>
      <c r="V178" s="168">
        <f t="shared" si="135"/>
        <v>0</v>
      </c>
      <c r="W178" s="273"/>
      <c r="X178" s="113"/>
      <c r="Y178" s="202">
        <f>SUM(AA178:AJ178)</f>
        <v>0</v>
      </c>
      <c r="Z178" s="89"/>
      <c r="AA178" s="168">
        <f>SUM(AA$168:AA$171)*AA$176*AA177</f>
        <v>0</v>
      </c>
      <c r="AB178" s="168">
        <f t="shared" ref="AB178:AH178" si="136">SUM(AB$168:AB$171)*AB$176*AB177</f>
        <v>0</v>
      </c>
      <c r="AC178" s="168">
        <f t="shared" si="136"/>
        <v>0</v>
      </c>
      <c r="AD178" s="168">
        <f t="shared" si="136"/>
        <v>0</v>
      </c>
      <c r="AE178" s="168">
        <f t="shared" si="136"/>
        <v>0</v>
      </c>
      <c r="AF178" s="168">
        <f t="shared" si="136"/>
        <v>0</v>
      </c>
      <c r="AG178" s="168">
        <f t="shared" si="136"/>
        <v>0</v>
      </c>
      <c r="AH178" s="168">
        <f t="shared" si="136"/>
        <v>0</v>
      </c>
      <c r="AI178" s="273"/>
      <c r="AJ178" s="113"/>
      <c r="AK178" s="202">
        <f>SUM(AM178:AV178)</f>
        <v>0</v>
      </c>
      <c r="AL178" s="89"/>
      <c r="AM178" s="168">
        <f>SUM(AM$168:AM$171)*AM$176*AM177</f>
        <v>0</v>
      </c>
      <c r="AN178" s="168">
        <f t="shared" ref="AN178:AT178" si="137">SUM(AN$168:AN$171)*AN$176*AN177</f>
        <v>0</v>
      </c>
      <c r="AO178" s="168">
        <f t="shared" si="137"/>
        <v>0</v>
      </c>
      <c r="AP178" s="168">
        <f t="shared" si="137"/>
        <v>0</v>
      </c>
      <c r="AQ178" s="168">
        <f t="shared" si="137"/>
        <v>0</v>
      </c>
      <c r="AR178" s="168">
        <f t="shared" si="137"/>
        <v>0</v>
      </c>
      <c r="AS178" s="168">
        <f t="shared" si="137"/>
        <v>0</v>
      </c>
      <c r="AT178" s="168">
        <f t="shared" si="137"/>
        <v>0</v>
      </c>
      <c r="AU178" s="273"/>
      <c r="AV178" s="113"/>
      <c r="AW178" s="202">
        <f>SUM(AY178:BH178)</f>
        <v>0</v>
      </c>
      <c r="AX178" s="89"/>
      <c r="AY178" s="168">
        <f>SUM(AY$168:AY$171)*AY$176*AY177</f>
        <v>0</v>
      </c>
      <c r="AZ178" s="168">
        <f t="shared" ref="AZ178:BF178" si="138">SUM(AZ$168:AZ$171)*AZ$176*AZ177</f>
        <v>0</v>
      </c>
      <c r="BA178" s="168">
        <f t="shared" si="138"/>
        <v>0</v>
      </c>
      <c r="BB178" s="168">
        <f t="shared" si="138"/>
        <v>0</v>
      </c>
      <c r="BC178" s="168">
        <f t="shared" si="138"/>
        <v>0</v>
      </c>
      <c r="BD178" s="168">
        <f t="shared" si="138"/>
        <v>0</v>
      </c>
      <c r="BE178" s="168">
        <f t="shared" si="138"/>
        <v>0</v>
      </c>
      <c r="BF178" s="168">
        <f t="shared" si="138"/>
        <v>0</v>
      </c>
      <c r="BG178" s="273"/>
      <c r="BH178" s="174"/>
    </row>
    <row r="179" spans="1:60">
      <c r="A179" s="1040"/>
      <c r="B179" s="1109" t="s">
        <v>223</v>
      </c>
      <c r="C179" s="1106" t="s">
        <v>96</v>
      </c>
      <c r="D179" s="638"/>
      <c r="E179" s="940" t="s">
        <v>230</v>
      </c>
      <c r="F179" s="940"/>
      <c r="G179" s="940"/>
      <c r="H179" s="940"/>
      <c r="I179" s="77"/>
      <c r="J179" s="939"/>
      <c r="K179" s="126"/>
      <c r="L179" s="126"/>
      <c r="M179" s="938"/>
      <c r="N179" s="191"/>
      <c r="O179" s="177" t="str">
        <f t="shared" ref="O179:V179" si="139">O$10</f>
        <v>verwarming</v>
      </c>
      <c r="P179" s="177" t="str">
        <f t="shared" si="139"/>
        <v>koeling</v>
      </c>
      <c r="Q179" s="177" t="str">
        <f t="shared" si="139"/>
        <v>tapwater</v>
      </c>
      <c r="R179" s="177" t="str">
        <f t="shared" si="139"/>
        <v>verlichting</v>
      </c>
      <c r="S179" s="177" t="str">
        <f t="shared" si="139"/>
        <v>ventilatoren</v>
      </c>
      <c r="T179" s="177" t="str">
        <f t="shared" si="139"/>
        <v>kookgas</v>
      </c>
      <c r="U179" s="177" t="str">
        <f t="shared" si="139"/>
        <v>overig elektra</v>
      </c>
      <c r="V179" s="177" t="str">
        <f t="shared" si="139"/>
        <v>mobiliteit</v>
      </c>
      <c r="W179" s="177"/>
      <c r="X179" s="191"/>
      <c r="Y179" s="938"/>
      <c r="Z179" s="191"/>
      <c r="AA179" s="177" t="str">
        <f t="shared" ref="AA179:AH179" si="140">AA$10</f>
        <v>verwarming</v>
      </c>
      <c r="AB179" s="177" t="str">
        <f t="shared" si="140"/>
        <v>koeling</v>
      </c>
      <c r="AC179" s="177" t="str">
        <f t="shared" si="140"/>
        <v>tapwater</v>
      </c>
      <c r="AD179" s="177" t="str">
        <f t="shared" si="140"/>
        <v>verlichting</v>
      </c>
      <c r="AE179" s="177" t="str">
        <f t="shared" si="140"/>
        <v>ventilatoren</v>
      </c>
      <c r="AF179" s="177" t="str">
        <f t="shared" si="140"/>
        <v>kookgas</v>
      </c>
      <c r="AG179" s="177" t="str">
        <f t="shared" si="140"/>
        <v>overig elektra</v>
      </c>
      <c r="AH179" s="177" t="str">
        <f t="shared" si="140"/>
        <v>mobiliteit</v>
      </c>
      <c r="AI179" s="177"/>
      <c r="AJ179" s="191"/>
      <c r="AK179" s="938"/>
      <c r="AL179" s="191"/>
      <c r="AM179" s="177" t="str">
        <f t="shared" ref="AM179:AT179" si="141">AM$10</f>
        <v>verwarming</v>
      </c>
      <c r="AN179" s="177" t="str">
        <f t="shared" si="141"/>
        <v>koeling</v>
      </c>
      <c r="AO179" s="177" t="str">
        <f t="shared" si="141"/>
        <v>tapwater</v>
      </c>
      <c r="AP179" s="177" t="str">
        <f t="shared" si="141"/>
        <v>verlichting</v>
      </c>
      <c r="AQ179" s="177" t="str">
        <f t="shared" si="141"/>
        <v>ventilatoren</v>
      </c>
      <c r="AR179" s="177" t="str">
        <f t="shared" si="141"/>
        <v>kookgas</v>
      </c>
      <c r="AS179" s="177" t="str">
        <f t="shared" si="141"/>
        <v>overig elektra</v>
      </c>
      <c r="AT179" s="177" t="str">
        <f t="shared" si="141"/>
        <v>mobiliteit</v>
      </c>
      <c r="AU179" s="177"/>
      <c r="AV179" s="191"/>
      <c r="AW179" s="938"/>
      <c r="AX179" s="191"/>
      <c r="AY179" s="177" t="str">
        <f t="shared" ref="AY179:BF179" si="142">AY$10</f>
        <v>verwarming</v>
      </c>
      <c r="AZ179" s="177" t="str">
        <f t="shared" si="142"/>
        <v>koeling</v>
      </c>
      <c r="BA179" s="177" t="str">
        <f t="shared" si="142"/>
        <v>tapwater</v>
      </c>
      <c r="BB179" s="177" t="str">
        <f t="shared" si="142"/>
        <v>verlichting</v>
      </c>
      <c r="BC179" s="177" t="str">
        <f t="shared" si="142"/>
        <v>ventilatoren</v>
      </c>
      <c r="BD179" s="177" t="str">
        <f t="shared" si="142"/>
        <v>kookgas</v>
      </c>
      <c r="BE179" s="177" t="str">
        <f t="shared" si="142"/>
        <v>overig elektra</v>
      </c>
      <c r="BF179" s="177" t="str">
        <f t="shared" si="142"/>
        <v>mobiliteit</v>
      </c>
      <c r="BG179" s="177"/>
      <c r="BH179" s="36"/>
    </row>
    <row r="180" spans="1:60" hidden="1">
      <c r="A180" s="1040"/>
      <c r="B180" s="1109" t="s">
        <v>223</v>
      </c>
      <c r="C180" s="1107" t="s">
        <v>181</v>
      </c>
      <c r="D180" s="638"/>
      <c r="E180" s="180" t="s">
        <v>206</v>
      </c>
      <c r="F180" s="180"/>
      <c r="G180" s="180"/>
      <c r="H180" s="181" t="s">
        <v>207</v>
      </c>
      <c r="I180" s="191"/>
      <c r="J180" s="190"/>
      <c r="K180" s="79"/>
      <c r="L180" s="79"/>
      <c r="M180" s="190"/>
      <c r="N180" s="114"/>
      <c r="O180" s="228">
        <f>$H$5</f>
        <v>0.26800000000000002</v>
      </c>
      <c r="P180" s="228">
        <f t="shared" ref="P180:V180" si="143">$H$5</f>
        <v>0.26800000000000002</v>
      </c>
      <c r="Q180" s="228">
        <f t="shared" si="143"/>
        <v>0.26800000000000002</v>
      </c>
      <c r="R180" s="228">
        <f t="shared" si="143"/>
        <v>0.26800000000000002</v>
      </c>
      <c r="S180" s="228">
        <f t="shared" si="143"/>
        <v>0.26800000000000002</v>
      </c>
      <c r="T180" s="228">
        <f t="shared" si="143"/>
        <v>0.26800000000000002</v>
      </c>
      <c r="U180" s="228">
        <f t="shared" si="143"/>
        <v>0.26800000000000002</v>
      </c>
      <c r="V180" s="228">
        <f t="shared" si="143"/>
        <v>0.26800000000000002</v>
      </c>
      <c r="W180" s="355"/>
      <c r="X180" s="356"/>
      <c r="Y180" s="190"/>
      <c r="Z180" s="358"/>
      <c r="AA180" s="228">
        <f>$H$5</f>
        <v>0.26800000000000002</v>
      </c>
      <c r="AB180" s="228">
        <f t="shared" ref="AB180:AH180" si="144">$H$5</f>
        <v>0.26800000000000002</v>
      </c>
      <c r="AC180" s="228">
        <f t="shared" si="144"/>
        <v>0.26800000000000002</v>
      </c>
      <c r="AD180" s="228">
        <f t="shared" si="144"/>
        <v>0.26800000000000002</v>
      </c>
      <c r="AE180" s="228">
        <f t="shared" si="144"/>
        <v>0.26800000000000002</v>
      </c>
      <c r="AF180" s="168">
        <f t="shared" si="144"/>
        <v>0.26800000000000002</v>
      </c>
      <c r="AG180" s="228">
        <f t="shared" si="144"/>
        <v>0.26800000000000002</v>
      </c>
      <c r="AH180" s="228">
        <f t="shared" si="144"/>
        <v>0.26800000000000002</v>
      </c>
      <c r="AI180" s="355"/>
      <c r="AJ180" s="356"/>
      <c r="AK180" s="190"/>
      <c r="AL180" s="358"/>
      <c r="AM180" s="228">
        <f>$H$5</f>
        <v>0.26800000000000002</v>
      </c>
      <c r="AN180" s="228">
        <f t="shared" ref="AN180:AT180" si="145">$H$5</f>
        <v>0.26800000000000002</v>
      </c>
      <c r="AO180" s="228">
        <f t="shared" si="145"/>
        <v>0.26800000000000002</v>
      </c>
      <c r="AP180" s="228">
        <f t="shared" si="145"/>
        <v>0.26800000000000002</v>
      </c>
      <c r="AQ180" s="228">
        <f t="shared" si="145"/>
        <v>0.26800000000000002</v>
      </c>
      <c r="AR180" s="168">
        <f t="shared" si="145"/>
        <v>0.26800000000000002</v>
      </c>
      <c r="AS180" s="228">
        <f t="shared" si="145"/>
        <v>0.26800000000000002</v>
      </c>
      <c r="AT180" s="228">
        <f t="shared" si="145"/>
        <v>0.26800000000000002</v>
      </c>
      <c r="AU180" s="355"/>
      <c r="AV180" s="356"/>
      <c r="AW180" s="190"/>
      <c r="AX180" s="358"/>
      <c r="AY180" s="228">
        <f>$H$5</f>
        <v>0.26800000000000002</v>
      </c>
      <c r="AZ180" s="228">
        <f t="shared" ref="AZ180:BF180" si="146">$H$5</f>
        <v>0.26800000000000002</v>
      </c>
      <c r="BA180" s="228">
        <f t="shared" si="146"/>
        <v>0.26800000000000002</v>
      </c>
      <c r="BB180" s="228">
        <f t="shared" si="146"/>
        <v>0.26800000000000002</v>
      </c>
      <c r="BC180" s="228">
        <f t="shared" si="146"/>
        <v>0.26800000000000002</v>
      </c>
      <c r="BD180" s="168">
        <f t="shared" si="146"/>
        <v>0.26800000000000002</v>
      </c>
      <c r="BE180" s="228">
        <f t="shared" si="146"/>
        <v>0.26800000000000002</v>
      </c>
      <c r="BF180" s="228">
        <f t="shared" si="146"/>
        <v>0.26800000000000002</v>
      </c>
      <c r="BG180" s="274"/>
      <c r="BH180" s="174"/>
    </row>
    <row r="181" spans="1:60">
      <c r="A181" s="1046"/>
      <c r="B181" s="1109" t="s">
        <v>223</v>
      </c>
      <c r="C181" s="1111" t="s">
        <v>104</v>
      </c>
      <c r="D181" s="643"/>
      <c r="E181" s="1173" t="s">
        <v>232</v>
      </c>
      <c r="F181" s="201"/>
      <c r="G181" s="201"/>
      <c r="H181" s="201" t="s">
        <v>209</v>
      </c>
      <c r="I181" s="191"/>
      <c r="J181" s="202">
        <f>M181+Y181+AK181+AW181</f>
        <v>0</v>
      </c>
      <c r="K181" s="1062"/>
      <c r="L181" s="1062"/>
      <c r="M181" s="202">
        <f>SUM(O181:X181)</f>
        <v>0</v>
      </c>
      <c r="N181" s="89"/>
      <c r="O181" s="168">
        <f t="shared" ref="O181:V181" si="147">SUM(O$168:O$171)*O$180</f>
        <v>0</v>
      </c>
      <c r="P181" s="168">
        <f t="shared" si="147"/>
        <v>0</v>
      </c>
      <c r="Q181" s="168">
        <f t="shared" si="147"/>
        <v>0</v>
      </c>
      <c r="R181" s="168">
        <f t="shared" si="147"/>
        <v>0</v>
      </c>
      <c r="S181" s="168">
        <f t="shared" si="147"/>
        <v>0</v>
      </c>
      <c r="T181" s="168">
        <f t="shared" si="147"/>
        <v>0</v>
      </c>
      <c r="U181" s="168">
        <f t="shared" si="147"/>
        <v>0</v>
      </c>
      <c r="V181" s="168">
        <f t="shared" si="147"/>
        <v>0</v>
      </c>
      <c r="W181" s="273"/>
      <c r="X181" s="113"/>
      <c r="Y181" s="202">
        <f>SUM(AA181:AJ181)</f>
        <v>0</v>
      </c>
      <c r="Z181" s="89"/>
      <c r="AA181" s="168">
        <f t="shared" ref="AA181:AH181" si="148">SUM(AA$168:AA$171)*AA$180</f>
        <v>0</v>
      </c>
      <c r="AB181" s="168">
        <f t="shared" si="148"/>
        <v>0</v>
      </c>
      <c r="AC181" s="168">
        <f t="shared" si="148"/>
        <v>0</v>
      </c>
      <c r="AD181" s="168">
        <f t="shared" si="148"/>
        <v>0</v>
      </c>
      <c r="AE181" s="168">
        <f t="shared" si="148"/>
        <v>0</v>
      </c>
      <c r="AF181" s="168">
        <f t="shared" si="148"/>
        <v>0</v>
      </c>
      <c r="AG181" s="168">
        <f t="shared" si="148"/>
        <v>0</v>
      </c>
      <c r="AH181" s="168">
        <f t="shared" si="148"/>
        <v>0</v>
      </c>
      <c r="AI181" s="273"/>
      <c r="AJ181" s="113"/>
      <c r="AK181" s="202">
        <f>SUM(AM181:AV181)</f>
        <v>0</v>
      </c>
      <c r="AL181" s="89"/>
      <c r="AM181" s="168">
        <f t="shared" ref="AM181:AT181" si="149">SUM(AM$168:AM$171)*AM$180</f>
        <v>0</v>
      </c>
      <c r="AN181" s="168">
        <f t="shared" si="149"/>
        <v>0</v>
      </c>
      <c r="AO181" s="168">
        <f t="shared" si="149"/>
        <v>0</v>
      </c>
      <c r="AP181" s="168">
        <f t="shared" si="149"/>
        <v>0</v>
      </c>
      <c r="AQ181" s="168">
        <f t="shared" si="149"/>
        <v>0</v>
      </c>
      <c r="AR181" s="168">
        <f t="shared" si="149"/>
        <v>0</v>
      </c>
      <c r="AS181" s="168">
        <f t="shared" si="149"/>
        <v>0</v>
      </c>
      <c r="AT181" s="168">
        <f t="shared" si="149"/>
        <v>0</v>
      </c>
      <c r="AU181" s="273"/>
      <c r="AV181" s="113"/>
      <c r="AW181" s="202">
        <f>SUM(AY181:BH181)</f>
        <v>0</v>
      </c>
      <c r="AX181" s="89"/>
      <c r="AY181" s="168">
        <f t="shared" ref="AY181:BF181" si="150">SUM(AY$168:AY$171)*AY$180</f>
        <v>0</v>
      </c>
      <c r="AZ181" s="168">
        <f t="shared" si="150"/>
        <v>0</v>
      </c>
      <c r="BA181" s="168">
        <f t="shared" si="150"/>
        <v>0</v>
      </c>
      <c r="BB181" s="168">
        <f t="shared" si="150"/>
        <v>0</v>
      </c>
      <c r="BC181" s="168">
        <f t="shared" si="150"/>
        <v>0</v>
      </c>
      <c r="BD181" s="168">
        <f t="shared" si="150"/>
        <v>0</v>
      </c>
      <c r="BE181" s="168">
        <f t="shared" si="150"/>
        <v>0</v>
      </c>
      <c r="BF181" s="168">
        <f t="shared" si="150"/>
        <v>0</v>
      </c>
      <c r="BG181" s="273"/>
      <c r="BH181" s="174"/>
    </row>
    <row r="182" spans="1:60">
      <c r="A182" s="1040"/>
      <c r="B182" s="1109" t="s">
        <v>223</v>
      </c>
      <c r="C182" s="1106" t="s">
        <v>96</v>
      </c>
      <c r="D182" s="638"/>
      <c r="E182" s="79"/>
      <c r="F182" s="79"/>
      <c r="G182" s="79"/>
      <c r="H182" s="85"/>
      <c r="I182" s="191"/>
      <c r="J182" s="82"/>
      <c r="K182" s="79"/>
      <c r="L182" s="79"/>
      <c r="M182" s="82"/>
      <c r="N182" s="79"/>
      <c r="O182" s="117"/>
      <c r="P182" s="82"/>
      <c r="Q182" s="117"/>
      <c r="R182" s="82"/>
      <c r="S182" s="82"/>
      <c r="T182" s="82"/>
      <c r="U182" s="82"/>
      <c r="V182" s="82"/>
      <c r="W182" s="82"/>
      <c r="X182" s="82"/>
      <c r="Y182" s="82"/>
      <c r="Z182" s="79"/>
      <c r="AA182" s="117"/>
      <c r="AB182" s="82"/>
      <c r="AC182" s="117"/>
      <c r="AD182" s="82"/>
      <c r="AE182" s="82"/>
      <c r="AF182" s="82"/>
      <c r="AG182" s="82"/>
      <c r="AH182" s="82"/>
      <c r="AI182" s="82"/>
      <c r="AJ182" s="82"/>
      <c r="AK182" s="82"/>
      <c r="AL182" s="79"/>
      <c r="AM182" s="117"/>
      <c r="AN182" s="82"/>
      <c r="AO182" s="117"/>
      <c r="AP182" s="82"/>
      <c r="AQ182" s="82"/>
      <c r="AR182" s="82"/>
      <c r="AS182" s="82"/>
      <c r="AT182" s="82"/>
      <c r="AU182" s="82"/>
      <c r="AV182" s="82"/>
      <c r="AW182" s="82"/>
      <c r="AX182" s="79"/>
      <c r="AY182" s="117"/>
      <c r="AZ182" s="82"/>
      <c r="BA182" s="117"/>
      <c r="BB182" s="82"/>
      <c r="BC182" s="82"/>
      <c r="BD182" s="82"/>
      <c r="BE182" s="82"/>
      <c r="BF182" s="82"/>
      <c r="BG182" s="82"/>
      <c r="BH182" s="1"/>
    </row>
    <row r="183" spans="1:60">
      <c r="A183" s="1040"/>
      <c r="B183" s="1109" t="s">
        <v>231</v>
      </c>
      <c r="C183" s="1107" t="s">
        <v>96</v>
      </c>
      <c r="D183" s="638"/>
      <c r="E183" s="79"/>
      <c r="F183" s="79"/>
      <c r="G183" s="79"/>
      <c r="H183" s="79"/>
      <c r="I183" s="79"/>
      <c r="J183" s="82"/>
      <c r="K183" s="79"/>
      <c r="L183" s="79"/>
      <c r="M183" s="82"/>
      <c r="N183" s="79"/>
      <c r="O183" s="117"/>
      <c r="P183" s="82"/>
      <c r="Q183" s="117"/>
      <c r="R183" s="82"/>
      <c r="S183" s="82"/>
      <c r="T183" s="82"/>
      <c r="U183" s="82"/>
      <c r="V183" s="82"/>
      <c r="W183" s="82"/>
      <c r="X183" s="82"/>
      <c r="Y183" s="82"/>
      <c r="Z183" s="79"/>
      <c r="AA183" s="117"/>
      <c r="AB183" s="82"/>
      <c r="AC183" s="117"/>
      <c r="AD183" s="82"/>
      <c r="AE183" s="82"/>
      <c r="AF183" s="82"/>
      <c r="AG183" s="82"/>
      <c r="AH183" s="82"/>
      <c r="AI183" s="82"/>
      <c r="AJ183" s="82"/>
      <c r="AK183" s="82"/>
      <c r="AL183" s="79"/>
      <c r="AM183" s="117"/>
      <c r="AN183" s="82"/>
      <c r="AO183" s="117"/>
      <c r="AP183" s="82"/>
      <c r="AQ183" s="82"/>
      <c r="AR183" s="82"/>
      <c r="AS183" s="82"/>
      <c r="AT183" s="82"/>
      <c r="AU183" s="82"/>
      <c r="AV183" s="82"/>
      <c r="AW183" s="82"/>
      <c r="AX183" s="79"/>
      <c r="AY183" s="117"/>
      <c r="AZ183" s="82"/>
      <c r="BA183" s="117"/>
      <c r="BB183" s="82"/>
      <c r="BC183" s="82"/>
      <c r="BD183" s="82"/>
      <c r="BE183" s="82"/>
      <c r="BF183" s="82"/>
      <c r="BG183" s="82"/>
      <c r="BH183" s="1"/>
    </row>
    <row r="184" spans="1:60" ht="21">
      <c r="A184" s="1040"/>
      <c r="B184" s="1109" t="s">
        <v>231</v>
      </c>
      <c r="C184" s="1106" t="s">
        <v>96</v>
      </c>
      <c r="D184" s="643"/>
      <c r="E184" s="199" t="s">
        <v>1275</v>
      </c>
      <c r="F184" s="199"/>
      <c r="G184" s="199"/>
      <c r="H184" s="199"/>
      <c r="I184" s="77"/>
      <c r="J184" s="200" t="str">
        <f>J$10</f>
        <v>alle locaties</v>
      </c>
      <c r="K184" s="126"/>
      <c r="L184" s="126"/>
      <c r="M184" s="200" t="str">
        <f>M$10</f>
        <v>locatie 1</v>
      </c>
      <c r="N184" s="182"/>
      <c r="O184" s="966" t="str">
        <f>$E184&amp;" per energiepost"</f>
        <v>overzicht elektriciteitsgebruik en lokale elektriciteitsproductie per energiepost</v>
      </c>
      <c r="P184" s="941"/>
      <c r="Q184" s="941"/>
      <c r="R184" s="941"/>
      <c r="S184" s="941"/>
      <c r="T184" s="941"/>
      <c r="U184" s="941"/>
      <c r="V184" s="941"/>
      <c r="W184" s="956"/>
      <c r="X184" s="174"/>
      <c r="Y184" s="200" t="str">
        <f>Y$10</f>
        <v>locatie 2</v>
      </c>
      <c r="Z184" s="182"/>
      <c r="AA184" s="966" t="str">
        <f>$E184&amp;" per energiepost"</f>
        <v>overzicht elektriciteitsgebruik en lokale elektriciteitsproductie per energiepost</v>
      </c>
      <c r="AB184" s="941"/>
      <c r="AC184" s="941"/>
      <c r="AD184" s="941"/>
      <c r="AE184" s="941"/>
      <c r="AF184" s="941"/>
      <c r="AG184" s="941"/>
      <c r="AH184" s="941"/>
      <c r="AI184" s="956"/>
      <c r="AJ184" s="174"/>
      <c r="AK184" s="200" t="str">
        <f>AK$10</f>
        <v>locatie 3</v>
      </c>
      <c r="AL184" s="182"/>
      <c r="AM184" s="966" t="str">
        <f>$E184&amp;" per energiepost"</f>
        <v>overzicht elektriciteitsgebruik en lokale elektriciteitsproductie per energiepost</v>
      </c>
      <c r="AN184" s="941"/>
      <c r="AO184" s="941"/>
      <c r="AP184" s="941"/>
      <c r="AQ184" s="941"/>
      <c r="AR184" s="941"/>
      <c r="AS184" s="941"/>
      <c r="AT184" s="941"/>
      <c r="AU184" s="956"/>
      <c r="AV184" s="174"/>
      <c r="AW184" s="200" t="str">
        <f>AW$10</f>
        <v>locatie 4</v>
      </c>
      <c r="AX184" s="182"/>
      <c r="AY184" s="966" t="str">
        <f>$E184&amp;" per energiepost"</f>
        <v>overzicht elektriciteitsgebruik en lokale elektriciteitsproductie per energiepost</v>
      </c>
      <c r="AZ184" s="941"/>
      <c r="BA184" s="941"/>
      <c r="BB184" s="941"/>
      <c r="BC184" s="941"/>
      <c r="BD184" s="941"/>
      <c r="BE184" s="941"/>
      <c r="BF184" s="941"/>
      <c r="BG184" s="956"/>
      <c r="BH184" s="1"/>
    </row>
    <row r="185" spans="1:60">
      <c r="A185" s="1040"/>
      <c r="B185" s="1109" t="s">
        <v>231</v>
      </c>
      <c r="C185" s="1106" t="s">
        <v>96</v>
      </c>
      <c r="D185" s="638"/>
      <c r="E185" s="940" t="s">
        <v>1241</v>
      </c>
      <c r="F185" s="940"/>
      <c r="G185" s="940"/>
      <c r="H185" s="940"/>
      <c r="I185" s="77"/>
      <c r="J185" s="939"/>
      <c r="K185" s="126"/>
      <c r="L185" s="126"/>
      <c r="M185" s="938"/>
      <c r="N185" s="191"/>
      <c r="O185" s="177" t="str">
        <f t="shared" ref="O185:W185" si="151">O$10</f>
        <v>verwarming</v>
      </c>
      <c r="P185" s="177" t="str">
        <f t="shared" si="151"/>
        <v>koeling</v>
      </c>
      <c r="Q185" s="177" t="str">
        <f t="shared" si="151"/>
        <v>tapwater</v>
      </c>
      <c r="R185" s="177" t="str">
        <f t="shared" si="151"/>
        <v>verlichting</v>
      </c>
      <c r="S185" s="177" t="str">
        <f t="shared" si="151"/>
        <v>ventilatoren</v>
      </c>
      <c r="T185" s="177" t="str">
        <f t="shared" si="151"/>
        <v>kookgas</v>
      </c>
      <c r="U185" s="177" t="str">
        <f t="shared" si="151"/>
        <v>overig elektra</v>
      </c>
      <c r="V185" s="177" t="str">
        <f t="shared" si="151"/>
        <v>mobiliteit</v>
      </c>
      <c r="W185" s="177" t="str">
        <f t="shared" si="151"/>
        <v>zonnepanelen</v>
      </c>
      <c r="X185" s="191"/>
      <c r="Y185" s="938"/>
      <c r="Z185" s="191"/>
      <c r="AA185" s="177" t="str">
        <f t="shared" ref="AA185:AI185" si="152">AA$10</f>
        <v>verwarming</v>
      </c>
      <c r="AB185" s="177" t="str">
        <f t="shared" si="152"/>
        <v>koeling</v>
      </c>
      <c r="AC185" s="177" t="str">
        <f t="shared" si="152"/>
        <v>tapwater</v>
      </c>
      <c r="AD185" s="177" t="str">
        <f t="shared" si="152"/>
        <v>verlichting</v>
      </c>
      <c r="AE185" s="177" t="str">
        <f t="shared" si="152"/>
        <v>ventilatoren</v>
      </c>
      <c r="AF185" s="177" t="str">
        <f t="shared" si="152"/>
        <v>kookgas</v>
      </c>
      <c r="AG185" s="177" t="str">
        <f t="shared" si="152"/>
        <v>overig elektra</v>
      </c>
      <c r="AH185" s="177" t="str">
        <f t="shared" si="152"/>
        <v>mobiliteit</v>
      </c>
      <c r="AI185" s="177" t="str">
        <f t="shared" si="152"/>
        <v>zonnepanelen</v>
      </c>
      <c r="AJ185" s="191"/>
      <c r="AK185" s="938"/>
      <c r="AL185" s="191"/>
      <c r="AM185" s="177" t="str">
        <f t="shared" ref="AM185:AU185" si="153">AM$10</f>
        <v>verwarming</v>
      </c>
      <c r="AN185" s="177" t="str">
        <f t="shared" si="153"/>
        <v>koeling</v>
      </c>
      <c r="AO185" s="177" t="str">
        <f t="shared" si="153"/>
        <v>tapwater</v>
      </c>
      <c r="AP185" s="177" t="str">
        <f t="shared" si="153"/>
        <v>verlichting</v>
      </c>
      <c r="AQ185" s="177" t="str">
        <f t="shared" si="153"/>
        <v>ventilatoren</v>
      </c>
      <c r="AR185" s="177" t="str">
        <f t="shared" si="153"/>
        <v>kookgas</v>
      </c>
      <c r="AS185" s="177" t="str">
        <f t="shared" si="153"/>
        <v>overig elektra</v>
      </c>
      <c r="AT185" s="177" t="str">
        <f t="shared" si="153"/>
        <v>mobiliteit</v>
      </c>
      <c r="AU185" s="177" t="str">
        <f t="shared" si="153"/>
        <v>zonnepanelen</v>
      </c>
      <c r="AV185" s="191"/>
      <c r="AW185" s="938"/>
      <c r="AX185" s="191"/>
      <c r="AY185" s="177" t="str">
        <f t="shared" ref="AY185:BG185" si="154">AY$10</f>
        <v>verwarming</v>
      </c>
      <c r="AZ185" s="177" t="str">
        <f t="shared" si="154"/>
        <v>koeling</v>
      </c>
      <c r="BA185" s="177" t="str">
        <f t="shared" si="154"/>
        <v>tapwater</v>
      </c>
      <c r="BB185" s="177" t="str">
        <f t="shared" si="154"/>
        <v>verlichting</v>
      </c>
      <c r="BC185" s="177" t="str">
        <f t="shared" si="154"/>
        <v>ventilatoren</v>
      </c>
      <c r="BD185" s="177" t="str">
        <f t="shared" si="154"/>
        <v>kookgas</v>
      </c>
      <c r="BE185" s="177" t="str">
        <f t="shared" si="154"/>
        <v>overig elektra</v>
      </c>
      <c r="BF185" s="177" t="str">
        <f t="shared" si="154"/>
        <v>mobiliteit</v>
      </c>
      <c r="BG185" s="177" t="str">
        <f t="shared" si="154"/>
        <v>zonnepanelen</v>
      </c>
      <c r="BH185" s="36"/>
    </row>
    <row r="186" spans="1:60" s="2" customFormat="1" hidden="1">
      <c r="A186" s="1038"/>
      <c r="B186" s="1109" t="s">
        <v>231</v>
      </c>
      <c r="C186" s="1106" t="s">
        <v>181</v>
      </c>
      <c r="D186" s="645" t="s">
        <v>45</v>
      </c>
      <c r="E186" s="180" t="s">
        <v>1238</v>
      </c>
      <c r="F186" s="180"/>
      <c r="G186" s="180"/>
      <c r="H186" s="181" t="s">
        <v>160</v>
      </c>
      <c r="I186" s="114"/>
      <c r="J186" s="202">
        <f>M186+Y186+AK186+AW186</f>
        <v>0</v>
      </c>
      <c r="K186" s="243"/>
      <c r="L186" s="243"/>
      <c r="M186" s="202">
        <f>SUM(N186:X186)</f>
        <v>0</v>
      </c>
      <c r="N186" s="89"/>
      <c r="O186" s="273"/>
      <c r="P186" s="273"/>
      <c r="Q186" s="273"/>
      <c r="R186" s="273"/>
      <c r="S186" s="273"/>
      <c r="T186" s="273"/>
      <c r="U186" s="273"/>
      <c r="V186" s="273"/>
      <c r="W186" s="168">
        <f>-W78</f>
        <v>0</v>
      </c>
      <c r="X186" s="113"/>
      <c r="Y186" s="202">
        <f>SUM(Z186:AJ186)</f>
        <v>0</v>
      </c>
      <c r="Z186" s="89"/>
      <c r="AA186" s="273"/>
      <c r="AB186" s="273"/>
      <c r="AC186" s="273"/>
      <c r="AD186" s="273"/>
      <c r="AE186" s="273"/>
      <c r="AF186" s="273"/>
      <c r="AG186" s="273"/>
      <c r="AH186" s="273"/>
      <c r="AI186" s="168">
        <f>-AI78</f>
        <v>0</v>
      </c>
      <c r="AJ186" s="113"/>
      <c r="AK186" s="202">
        <f>SUM(AL186:AV186)</f>
        <v>0</v>
      </c>
      <c r="AL186" s="89"/>
      <c r="AM186" s="273"/>
      <c r="AN186" s="273"/>
      <c r="AO186" s="273"/>
      <c r="AP186" s="273"/>
      <c r="AQ186" s="273"/>
      <c r="AR186" s="273"/>
      <c r="AS186" s="273"/>
      <c r="AT186" s="273"/>
      <c r="AU186" s="168">
        <f>-AU78</f>
        <v>0</v>
      </c>
      <c r="AV186" s="113"/>
      <c r="AW186" s="202">
        <f>SUM(AX186:BH186)</f>
        <v>0</v>
      </c>
      <c r="AX186" s="89"/>
      <c r="AY186" s="273"/>
      <c r="AZ186" s="273"/>
      <c r="BA186" s="273"/>
      <c r="BB186" s="273"/>
      <c r="BC186" s="273"/>
      <c r="BD186" s="273"/>
      <c r="BE186" s="273"/>
      <c r="BF186" s="273"/>
      <c r="BG186" s="168">
        <f>-BG78</f>
        <v>0</v>
      </c>
      <c r="BH186" s="210"/>
    </row>
    <row r="187" spans="1:60" s="2" customFormat="1" hidden="1">
      <c r="A187" s="1038"/>
      <c r="B187" s="1109" t="s">
        <v>231</v>
      </c>
      <c r="C187" s="1106" t="s">
        <v>181</v>
      </c>
      <c r="D187" s="644"/>
      <c r="E187" s="180" t="s">
        <v>1237</v>
      </c>
      <c r="F187" s="180"/>
      <c r="G187" s="180"/>
      <c r="H187" s="181" t="s">
        <v>160</v>
      </c>
      <c r="I187" s="114"/>
      <c r="J187" s="202">
        <f>M187+Y187+AK187+AW187</f>
        <v>0</v>
      </c>
      <c r="K187" s="243"/>
      <c r="L187" s="243"/>
      <c r="M187" s="202">
        <f>SUM(N187:X187)</f>
        <v>0</v>
      </c>
      <c r="N187" s="89"/>
      <c r="O187" s="168">
        <f>O$116*O$134</f>
        <v>0</v>
      </c>
      <c r="P187" s="168">
        <f>P$116*P$134</f>
        <v>0</v>
      </c>
      <c r="Q187" s="168">
        <f>Q$116*Q$134</f>
        <v>0</v>
      </c>
      <c r="R187" s="273"/>
      <c r="S187" s="273"/>
      <c r="T187" s="273"/>
      <c r="U187" s="273"/>
      <c r="V187" s="273"/>
      <c r="W187" s="273"/>
      <c r="X187" s="113"/>
      <c r="Y187" s="202">
        <f>SUM(Z187:AJ187)</f>
        <v>0</v>
      </c>
      <c r="Z187" s="89"/>
      <c r="AA187" s="168">
        <f>AA$116*AA$134</f>
        <v>0</v>
      </c>
      <c r="AB187" s="168">
        <f>AB$116*AB$134</f>
        <v>0</v>
      </c>
      <c r="AC187" s="168">
        <f>AC$116*AC$134</f>
        <v>0</v>
      </c>
      <c r="AD187" s="273"/>
      <c r="AE187" s="273"/>
      <c r="AF187" s="273"/>
      <c r="AG187" s="273"/>
      <c r="AH187" s="273"/>
      <c r="AI187" s="273"/>
      <c r="AJ187" s="113"/>
      <c r="AK187" s="202">
        <f>SUM(AL187:AV187)</f>
        <v>0</v>
      </c>
      <c r="AL187" s="89"/>
      <c r="AM187" s="168">
        <f>AM$116*AM$134</f>
        <v>0</v>
      </c>
      <c r="AN187" s="168">
        <f>AN$116*AN$134</f>
        <v>0</v>
      </c>
      <c r="AO187" s="168">
        <f>AO$116*AO$134</f>
        <v>0</v>
      </c>
      <c r="AP187" s="273"/>
      <c r="AQ187" s="273"/>
      <c r="AR187" s="273"/>
      <c r="AS187" s="273"/>
      <c r="AT187" s="273"/>
      <c r="AU187" s="273"/>
      <c r="AV187" s="113"/>
      <c r="AW187" s="202">
        <f>SUM(AX187:BH187)</f>
        <v>0</v>
      </c>
      <c r="AX187" s="89"/>
      <c r="AY187" s="168">
        <f>AY$116*AY$134</f>
        <v>0</v>
      </c>
      <c r="AZ187" s="168">
        <f>AZ$116*AZ$134</f>
        <v>0</v>
      </c>
      <c r="BA187" s="168">
        <f>BA$116*BA$134</f>
        <v>0</v>
      </c>
      <c r="BB187" s="273"/>
      <c r="BC187" s="273"/>
      <c r="BD187" s="273"/>
      <c r="BE187" s="273"/>
      <c r="BF187" s="273"/>
      <c r="BG187" s="273"/>
      <c r="BH187" s="210"/>
    </row>
    <row r="188" spans="1:60" s="2" customFormat="1" hidden="1">
      <c r="A188" s="1038"/>
      <c r="B188" s="1109" t="s">
        <v>231</v>
      </c>
      <c r="C188" s="1106" t="s">
        <v>181</v>
      </c>
      <c r="D188" s="644"/>
      <c r="E188" s="180" t="s">
        <v>232</v>
      </c>
      <c r="F188" s="180"/>
      <c r="G188" s="180"/>
      <c r="H188" s="181" t="s">
        <v>160</v>
      </c>
      <c r="I188" s="114"/>
      <c r="J188" s="202">
        <f>J187+J186</f>
        <v>0</v>
      </c>
      <c r="K188" s="243"/>
      <c r="L188" s="243"/>
      <c r="M188" s="202">
        <f>M187+M186</f>
        <v>0</v>
      </c>
      <c r="N188" s="89"/>
      <c r="O188" s="168">
        <f>O187+O186</f>
        <v>0</v>
      </c>
      <c r="P188" s="168">
        <f>P187+P186</f>
        <v>0</v>
      </c>
      <c r="Q188" s="168">
        <f>Q187+Q186</f>
        <v>0</v>
      </c>
      <c r="R188" s="273"/>
      <c r="S188" s="273"/>
      <c r="T188" s="273"/>
      <c r="U188" s="273"/>
      <c r="V188" s="273"/>
      <c r="W188" s="168">
        <f>W187+W186</f>
        <v>0</v>
      </c>
      <c r="X188" s="113"/>
      <c r="Y188" s="202">
        <f>Y187+Y186</f>
        <v>0</v>
      </c>
      <c r="Z188" s="89"/>
      <c r="AA188" s="168">
        <f>AA187+AA186</f>
        <v>0</v>
      </c>
      <c r="AB188" s="168">
        <f>AB187+AB186</f>
        <v>0</v>
      </c>
      <c r="AC188" s="168">
        <f>AC187+AC186</f>
        <v>0</v>
      </c>
      <c r="AD188" s="273"/>
      <c r="AE188" s="273"/>
      <c r="AF188" s="273"/>
      <c r="AG188" s="273"/>
      <c r="AH188" s="273"/>
      <c r="AI188" s="168">
        <f>AI187+AI186</f>
        <v>0</v>
      </c>
      <c r="AJ188" s="113"/>
      <c r="AK188" s="202">
        <f>AK187+AK186</f>
        <v>0</v>
      </c>
      <c r="AL188" s="89"/>
      <c r="AM188" s="168">
        <f>AM187+AM186</f>
        <v>0</v>
      </c>
      <c r="AN188" s="168">
        <f>AN187+AN186</f>
        <v>0</v>
      </c>
      <c r="AO188" s="168">
        <f>AO187+AO186</f>
        <v>0</v>
      </c>
      <c r="AP188" s="273"/>
      <c r="AQ188" s="273"/>
      <c r="AR188" s="273"/>
      <c r="AS188" s="273"/>
      <c r="AT188" s="273"/>
      <c r="AU188" s="168">
        <f>AU187+AU186</f>
        <v>0</v>
      </c>
      <c r="AV188" s="113"/>
      <c r="AW188" s="202">
        <f>AW187+AW186</f>
        <v>0</v>
      </c>
      <c r="AX188" s="89"/>
      <c r="AY188" s="168">
        <f>AY187+AY186</f>
        <v>0</v>
      </c>
      <c r="AZ188" s="168">
        <f>AZ187+AZ186</f>
        <v>0</v>
      </c>
      <c r="BA188" s="168">
        <f>BA187+BA186</f>
        <v>0</v>
      </c>
      <c r="BB188" s="273"/>
      <c r="BC188" s="273"/>
      <c r="BD188" s="273"/>
      <c r="BE188" s="273"/>
      <c r="BF188" s="273"/>
      <c r="BG188" s="168">
        <f>BG187+BG186</f>
        <v>0</v>
      </c>
      <c r="BH188" s="210"/>
    </row>
    <row r="189" spans="1:60" s="2" customFormat="1">
      <c r="A189" s="1038"/>
      <c r="B189" s="1109" t="s">
        <v>231</v>
      </c>
      <c r="C189" s="1106" t="s">
        <v>96</v>
      </c>
      <c r="D189" s="644"/>
      <c r="E189" s="940" t="s">
        <v>1242</v>
      </c>
      <c r="F189" s="940"/>
      <c r="G189" s="940"/>
      <c r="H189" s="940"/>
      <c r="I189" s="77"/>
      <c r="J189" s="939"/>
      <c r="K189" s="126"/>
      <c r="L189" s="126"/>
      <c r="M189" s="938"/>
      <c r="N189" s="252"/>
      <c r="O189" s="177" t="str">
        <f t="shared" ref="O189:W189" si="155">O$10</f>
        <v>verwarming</v>
      </c>
      <c r="P189" s="177" t="str">
        <f t="shared" si="155"/>
        <v>koeling</v>
      </c>
      <c r="Q189" s="177" t="str">
        <f t="shared" si="155"/>
        <v>tapwater</v>
      </c>
      <c r="R189" s="177" t="str">
        <f t="shared" si="155"/>
        <v>verlichting</v>
      </c>
      <c r="S189" s="177" t="str">
        <f t="shared" si="155"/>
        <v>ventilatoren</v>
      </c>
      <c r="T189" s="177"/>
      <c r="U189" s="177" t="str">
        <f t="shared" si="155"/>
        <v>overig elektra</v>
      </c>
      <c r="V189" s="177" t="str">
        <f t="shared" si="155"/>
        <v>mobiliteit</v>
      </c>
      <c r="W189" s="177" t="str">
        <f t="shared" si="155"/>
        <v>zonnepanelen</v>
      </c>
      <c r="X189" s="253"/>
      <c r="Y189" s="938"/>
      <c r="Z189" s="252"/>
      <c r="AA189" s="177" t="str">
        <f t="shared" ref="AA189:AI189" si="156">AA$10</f>
        <v>verwarming</v>
      </c>
      <c r="AB189" s="177" t="str">
        <f t="shared" si="156"/>
        <v>koeling</v>
      </c>
      <c r="AC189" s="177" t="str">
        <f t="shared" si="156"/>
        <v>tapwater</v>
      </c>
      <c r="AD189" s="177" t="str">
        <f t="shared" si="156"/>
        <v>verlichting</v>
      </c>
      <c r="AE189" s="177" t="str">
        <f t="shared" si="156"/>
        <v>ventilatoren</v>
      </c>
      <c r="AF189" s="177"/>
      <c r="AG189" s="177" t="str">
        <f t="shared" si="156"/>
        <v>overig elektra</v>
      </c>
      <c r="AH189" s="177" t="str">
        <f t="shared" si="156"/>
        <v>mobiliteit</v>
      </c>
      <c r="AI189" s="177" t="str">
        <f t="shared" si="156"/>
        <v>zonnepanelen</v>
      </c>
      <c r="AJ189" s="253"/>
      <c r="AK189" s="938"/>
      <c r="AL189" s="252"/>
      <c r="AM189" s="177" t="str">
        <f t="shared" ref="AM189:AU189" si="157">AM$10</f>
        <v>verwarming</v>
      </c>
      <c r="AN189" s="177" t="str">
        <f t="shared" si="157"/>
        <v>koeling</v>
      </c>
      <c r="AO189" s="177" t="str">
        <f t="shared" si="157"/>
        <v>tapwater</v>
      </c>
      <c r="AP189" s="177" t="str">
        <f t="shared" si="157"/>
        <v>verlichting</v>
      </c>
      <c r="AQ189" s="177" t="str">
        <f t="shared" si="157"/>
        <v>ventilatoren</v>
      </c>
      <c r="AR189" s="177"/>
      <c r="AS189" s="177" t="str">
        <f t="shared" si="157"/>
        <v>overig elektra</v>
      </c>
      <c r="AT189" s="177" t="str">
        <f t="shared" si="157"/>
        <v>mobiliteit</v>
      </c>
      <c r="AU189" s="177" t="str">
        <f t="shared" si="157"/>
        <v>zonnepanelen</v>
      </c>
      <c r="AV189" s="253"/>
      <c r="AW189" s="938"/>
      <c r="AX189" s="252"/>
      <c r="AY189" s="177" t="str">
        <f t="shared" ref="AY189:BG189" si="158">AY$10</f>
        <v>verwarming</v>
      </c>
      <c r="AZ189" s="177" t="str">
        <f t="shared" si="158"/>
        <v>koeling</v>
      </c>
      <c r="BA189" s="177" t="str">
        <f t="shared" si="158"/>
        <v>tapwater</v>
      </c>
      <c r="BB189" s="177" t="str">
        <f t="shared" si="158"/>
        <v>verlichting</v>
      </c>
      <c r="BC189" s="177" t="str">
        <f t="shared" si="158"/>
        <v>ventilatoren</v>
      </c>
      <c r="BD189" s="177"/>
      <c r="BE189" s="177" t="str">
        <f t="shared" si="158"/>
        <v>overig elektra</v>
      </c>
      <c r="BF189" s="177" t="str">
        <f t="shared" si="158"/>
        <v>mobiliteit</v>
      </c>
      <c r="BG189" s="177" t="str">
        <f t="shared" si="158"/>
        <v>zonnepanelen</v>
      </c>
    </row>
    <row r="190" spans="1:60" s="2" customFormat="1" hidden="1">
      <c r="A190" s="1038"/>
      <c r="B190" s="1109" t="s">
        <v>231</v>
      </c>
      <c r="C190" s="1106" t="s">
        <v>181</v>
      </c>
      <c r="D190" s="644"/>
      <c r="E190" s="180" t="s">
        <v>1243</v>
      </c>
      <c r="F190" s="180"/>
      <c r="G190" s="180"/>
      <c r="H190" s="181" t="s">
        <v>202</v>
      </c>
      <c r="I190" s="114"/>
      <c r="J190" s="202">
        <f>M190+Y190+AK190+AW190</f>
        <v>0</v>
      </c>
      <c r="K190" s="243"/>
      <c r="L190" s="243"/>
      <c r="M190" s="249">
        <f>SUM(N190:X190)</f>
        <v>0</v>
      </c>
      <c r="N190" s="89"/>
      <c r="O190" s="251">
        <f t="shared" ref="O190:Q190" si="159">AND(O$84=gebouw,O$105=elektriciteit)*O$116+AND(O$84=gebouw,O$141=elektriciteit)*O$147+SUM(O$168:O$170)</f>
        <v>0</v>
      </c>
      <c r="P190" s="251">
        <f t="shared" si="159"/>
        <v>0</v>
      </c>
      <c r="Q190" s="251">
        <f t="shared" si="159"/>
        <v>0</v>
      </c>
      <c r="R190" s="251" cm="1">
        <f t="array" ref="R190">SUMPRODUCT((N$22:X$22)*(N$29:X$29)*(N$66:X$66))/1000-R191</f>
        <v>0</v>
      </c>
      <c r="S190" s="251">
        <f>SUM(S$168:S$170)</f>
        <v>0</v>
      </c>
      <c r="T190" s="273"/>
      <c r="U190" s="273"/>
      <c r="V190" s="273"/>
      <c r="W190" s="610"/>
      <c r="X190" s="118"/>
      <c r="Y190" s="249">
        <f>SUM(Z190:AJ190)</f>
        <v>0</v>
      </c>
      <c r="Z190" s="89"/>
      <c r="AA190" s="251">
        <f t="shared" ref="AA190:AC190" si="160">AND(AA$84=gebouw,AA$105=elektriciteit)*AA$116+AND(AA$84=gebouw,AA$141=elektriciteit)*AA$147+SUM(AA$168:AA$170)</f>
        <v>0</v>
      </c>
      <c r="AB190" s="251">
        <f t="shared" si="160"/>
        <v>0</v>
      </c>
      <c r="AC190" s="251">
        <f t="shared" si="160"/>
        <v>0</v>
      </c>
      <c r="AD190" s="251" cm="1">
        <f t="array" ref="AD190">SUMPRODUCT((Z$22:AJ$22)*(Z$29:AJ$29)*(Z$66:AJ$66))/1000-AD191</f>
        <v>0</v>
      </c>
      <c r="AE190" s="251">
        <f>SUM(AE$168:AE$170)</f>
        <v>0</v>
      </c>
      <c r="AF190" s="273"/>
      <c r="AG190" s="273"/>
      <c r="AH190" s="273"/>
      <c r="AI190" s="610"/>
      <c r="AJ190" s="118"/>
      <c r="AK190" s="249">
        <f>SUM(AL190:AV190)</f>
        <v>0</v>
      </c>
      <c r="AL190" s="89"/>
      <c r="AM190" s="251">
        <f t="shared" ref="AM190:AO190" si="161">AND(AM$84=gebouw,AM$105=elektriciteit)*AM$116+AND(AM$84=gebouw,AM$141=elektriciteit)*AM$147+SUM(AM$168:AM$170)</f>
        <v>0</v>
      </c>
      <c r="AN190" s="251">
        <f t="shared" si="161"/>
        <v>0</v>
      </c>
      <c r="AO190" s="251">
        <f t="shared" si="161"/>
        <v>0</v>
      </c>
      <c r="AP190" s="251" cm="1">
        <f t="array" ref="AP190">SUMPRODUCT((AL$22:AV$22)*(AL$29:AV$29)*(AL$66:AV$66))/1000-AP191</f>
        <v>0</v>
      </c>
      <c r="AQ190" s="251">
        <f>SUM(AQ$168:AQ$170)</f>
        <v>0</v>
      </c>
      <c r="AR190" s="273"/>
      <c r="AS190" s="273"/>
      <c r="AT190" s="273"/>
      <c r="AU190" s="610"/>
      <c r="AV190" s="118"/>
      <c r="AW190" s="249">
        <f>SUM(AX190:BH190)</f>
        <v>0</v>
      </c>
      <c r="AX190" s="89"/>
      <c r="AY190" s="251">
        <f t="shared" ref="AY190:BA190" si="162">AND(AY$84=gebouw,AY$105=elektriciteit)*AY$116+AND(AY$84=gebouw,AY$141=elektriciteit)*AY$147+SUM(AY$168:AY$170)</f>
        <v>0</v>
      </c>
      <c r="AZ190" s="251">
        <f t="shared" si="162"/>
        <v>0</v>
      </c>
      <c r="BA190" s="251">
        <f t="shared" si="162"/>
        <v>0</v>
      </c>
      <c r="BB190" s="251" cm="1">
        <f t="array" ref="BB190">SUMPRODUCT((AX$22:BH$22)*(AX$29:BH$29)*(AX$66:BH$66))/1000-BB191</f>
        <v>0</v>
      </c>
      <c r="BC190" s="251">
        <f>SUM(BC$168:BC$170)</f>
        <v>0</v>
      </c>
      <c r="BD190" s="251"/>
      <c r="BE190" s="273"/>
      <c r="BF190" s="273"/>
      <c r="BG190" s="610"/>
      <c r="BH190" s="222"/>
    </row>
    <row r="191" spans="1:60" s="2" customFormat="1" hidden="1">
      <c r="A191" s="1038"/>
      <c r="B191" s="1109" t="s">
        <v>231</v>
      </c>
      <c r="C191" s="1106" t="s">
        <v>181</v>
      </c>
      <c r="D191" s="644"/>
      <c r="E191" s="180" t="s">
        <v>1244</v>
      </c>
      <c r="F191" s="180"/>
      <c r="G191" s="180"/>
      <c r="H191" s="181" t="s">
        <v>202</v>
      </c>
      <c r="I191" s="114"/>
      <c r="J191" s="202">
        <f>M191+Y191+AK191+AW191</f>
        <v>0</v>
      </c>
      <c r="K191" s="243"/>
      <c r="L191" s="243"/>
      <c r="M191" s="249">
        <f>SUM(N191:X191)</f>
        <v>0</v>
      </c>
      <c r="N191" s="89"/>
      <c r="O191" s="273"/>
      <c r="P191" s="273"/>
      <c r="Q191" s="273"/>
      <c r="R191" s="251" cm="1">
        <f t="array" ref="R191">SUMPRODUCT((N$22:X$22)*(N$29:X$29)*(N$66:X$66)*(N$19:X$19=woning))/1000+SUMPRODUCT((N$22:X$22)*(N$29:X$29)*(N$66:X$66)*(N$19:X$19=woongebouw))/1000</f>
        <v>0</v>
      </c>
      <c r="S191" s="273"/>
      <c r="T191" s="273"/>
      <c r="U191" s="251">
        <f t="shared" ref="U191" si="163">SUM(U$168:U$170)</f>
        <v>0</v>
      </c>
      <c r="V191" s="273"/>
      <c r="W191" s="610"/>
      <c r="X191" s="118"/>
      <c r="Y191" s="249">
        <f>SUM(Z191:AJ191)</f>
        <v>0</v>
      </c>
      <c r="Z191" s="89"/>
      <c r="AA191" s="273"/>
      <c r="AB191" s="273"/>
      <c r="AC191" s="273"/>
      <c r="AD191" s="251" cm="1">
        <f t="array" ref="AD191">SUMPRODUCT((Z$22:AJ$22)*(Z$29:AJ$29)*(Z$66:AJ$66)*(Z$19:AJ$19=woning))/1000+SUMPRODUCT((Z$22:AJ$22)*(Z$29:AJ$29)*(Z$66:AJ$66)*(Z$19:AJ$19=woongebouw))/1000</f>
        <v>0</v>
      </c>
      <c r="AE191" s="273"/>
      <c r="AF191" s="273"/>
      <c r="AG191" s="251">
        <f t="shared" ref="AG191" si="164">SUM(AG$168:AG$170)</f>
        <v>0</v>
      </c>
      <c r="AH191" s="273"/>
      <c r="AI191" s="610"/>
      <c r="AJ191" s="118"/>
      <c r="AK191" s="249">
        <f>SUM(AL191:AV191)</f>
        <v>0</v>
      </c>
      <c r="AL191" s="89"/>
      <c r="AM191" s="273"/>
      <c r="AN191" s="273"/>
      <c r="AO191" s="273"/>
      <c r="AP191" s="251" cm="1">
        <f t="array" ref="AP191">SUMPRODUCT((AL$22:AV$22)*(AL$29:AV$29)*(AL$66:AV$66)*(AL$19:AV$19=woning))/1000+SUMPRODUCT((AL$22:AV$22)*(AL$29:AV$29)*(AL$66:AV$66)*(AL$19:AV$19=woongebouw))/1000</f>
        <v>0</v>
      </c>
      <c r="AQ191" s="273"/>
      <c r="AR191" s="273"/>
      <c r="AS191" s="251">
        <f t="shared" ref="AS191" si="165">SUM(AS$168:AS$170)</f>
        <v>0</v>
      </c>
      <c r="AT191" s="273"/>
      <c r="AU191" s="610"/>
      <c r="AV191" s="118"/>
      <c r="AW191" s="249">
        <f>SUM(AX191:BH191)</f>
        <v>0</v>
      </c>
      <c r="AX191" s="89"/>
      <c r="AY191" s="273"/>
      <c r="AZ191" s="273"/>
      <c r="BA191" s="273"/>
      <c r="BB191" s="251" cm="1">
        <f t="array" ref="BB191">SUMPRODUCT((AX$22:BH$22)*(AX$29:BH$29)*(AX$66:BH$66)*(AX$19:BH$19=woning))/1000+SUMPRODUCT((AX$22:BH$22)*(AX$29:BH$29)*(AX$66:BH$66)*(AX$19:BH$19=woongebouw))/1000</f>
        <v>0</v>
      </c>
      <c r="BC191" s="273"/>
      <c r="BD191" s="251"/>
      <c r="BE191" s="251">
        <f t="shared" ref="BE191:BF192" si="166">SUM(BE$168:BE$170)</f>
        <v>0</v>
      </c>
      <c r="BF191" s="273"/>
      <c r="BG191" s="610"/>
      <c r="BH191" s="222"/>
    </row>
    <row r="192" spans="1:60" s="2" customFormat="1" hidden="1">
      <c r="A192" s="1038"/>
      <c r="B192" s="1109" t="s">
        <v>231</v>
      </c>
      <c r="C192" s="1106" t="s">
        <v>181</v>
      </c>
      <c r="D192" s="644"/>
      <c r="E192" s="180" t="s">
        <v>1236</v>
      </c>
      <c r="F192" s="180"/>
      <c r="G192" s="180"/>
      <c r="H192" s="181" t="s">
        <v>202</v>
      </c>
      <c r="I192" s="114"/>
      <c r="J192" s="202">
        <f>M192+Y192+AK192+AW192</f>
        <v>0</v>
      </c>
      <c r="K192" s="243"/>
      <c r="L192" s="243"/>
      <c r="M192" s="249">
        <f>SUM(N192:X192)</f>
        <v>0</v>
      </c>
      <c r="N192" s="89"/>
      <c r="O192" s="273"/>
      <c r="P192" s="273"/>
      <c r="Q192" s="273"/>
      <c r="R192" s="273"/>
      <c r="S192" s="273"/>
      <c r="T192" s="273"/>
      <c r="U192" s="273"/>
      <c r="V192" s="251">
        <f t="shared" ref="V192" si="167">SUM(V$168:V$170)</f>
        <v>0</v>
      </c>
      <c r="W192" s="610"/>
      <c r="X192" s="118"/>
      <c r="Y192" s="249">
        <f>SUM(Z192:AJ192)</f>
        <v>0</v>
      </c>
      <c r="Z192" s="89"/>
      <c r="AA192" s="273"/>
      <c r="AB192" s="273"/>
      <c r="AC192" s="273"/>
      <c r="AD192" s="273"/>
      <c r="AE192" s="273"/>
      <c r="AF192" s="273"/>
      <c r="AG192" s="273"/>
      <c r="AH192" s="251">
        <f t="shared" ref="AH192" si="168">SUM(AH$168:AH$170)</f>
        <v>0</v>
      </c>
      <c r="AI192" s="610"/>
      <c r="AJ192" s="118"/>
      <c r="AK192" s="249">
        <f>SUM(AL192:AV192)</f>
        <v>0</v>
      </c>
      <c r="AL192" s="89"/>
      <c r="AM192" s="273"/>
      <c r="AN192" s="273"/>
      <c r="AO192" s="273"/>
      <c r="AP192" s="273"/>
      <c r="AQ192" s="273"/>
      <c r="AR192" s="273"/>
      <c r="AS192" s="273"/>
      <c r="AT192" s="251">
        <f t="shared" ref="AT192" si="169">SUM(AT$168:AT$170)</f>
        <v>0</v>
      </c>
      <c r="AU192" s="610"/>
      <c r="AV192" s="118"/>
      <c r="AW192" s="249">
        <f>SUM(AX192:BH192)</f>
        <v>0</v>
      </c>
      <c r="AX192" s="89"/>
      <c r="AY192" s="273"/>
      <c r="AZ192" s="273"/>
      <c r="BA192" s="273"/>
      <c r="BB192" s="273"/>
      <c r="BC192" s="273"/>
      <c r="BD192" s="251"/>
      <c r="BE192" s="273"/>
      <c r="BF192" s="251">
        <f t="shared" si="166"/>
        <v>0</v>
      </c>
      <c r="BG192" s="610"/>
      <c r="BH192" s="222"/>
    </row>
    <row r="193" spans="1:60" s="2" customFormat="1">
      <c r="A193" s="1038"/>
      <c r="B193" s="1109" t="s">
        <v>231</v>
      </c>
      <c r="C193" s="1106" t="s">
        <v>96</v>
      </c>
      <c r="D193" s="644"/>
      <c r="E193" s="940" t="s">
        <v>1268</v>
      </c>
      <c r="F193" s="940"/>
      <c r="G193" s="940"/>
      <c r="H193" s="940"/>
      <c r="I193" s="77"/>
      <c r="J193" s="939"/>
      <c r="K193" s="126"/>
      <c r="L193" s="126"/>
      <c r="M193" s="938"/>
      <c r="N193" s="252"/>
      <c r="O193" s="177" t="str">
        <f t="shared" ref="O193:W193" si="170">O$10</f>
        <v>verwarming</v>
      </c>
      <c r="P193" s="177" t="str">
        <f t="shared" si="170"/>
        <v>koeling</v>
      </c>
      <c r="Q193" s="177" t="str">
        <f t="shared" si="170"/>
        <v>tapwater</v>
      </c>
      <c r="R193" s="177" t="str">
        <f t="shared" si="170"/>
        <v>verlichting</v>
      </c>
      <c r="S193" s="177" t="str">
        <f t="shared" si="170"/>
        <v>ventilatoren</v>
      </c>
      <c r="T193" s="177"/>
      <c r="U193" s="177" t="str">
        <f t="shared" si="170"/>
        <v>overig elektra</v>
      </c>
      <c r="V193" s="177" t="str">
        <f t="shared" si="170"/>
        <v>mobiliteit</v>
      </c>
      <c r="W193" s="177" t="str">
        <f t="shared" si="170"/>
        <v>zonnepanelen</v>
      </c>
      <c r="X193" s="253"/>
      <c r="Y193" s="938"/>
      <c r="Z193" s="252"/>
      <c r="AA193" s="177" t="str">
        <f t="shared" ref="AA193:AI193" si="171">AA$10</f>
        <v>verwarming</v>
      </c>
      <c r="AB193" s="177" t="str">
        <f t="shared" si="171"/>
        <v>koeling</v>
      </c>
      <c r="AC193" s="177" t="str">
        <f t="shared" si="171"/>
        <v>tapwater</v>
      </c>
      <c r="AD193" s="177" t="str">
        <f t="shared" si="171"/>
        <v>verlichting</v>
      </c>
      <c r="AE193" s="177" t="str">
        <f t="shared" si="171"/>
        <v>ventilatoren</v>
      </c>
      <c r="AF193" s="177"/>
      <c r="AG193" s="177" t="str">
        <f t="shared" si="171"/>
        <v>overig elektra</v>
      </c>
      <c r="AH193" s="177" t="str">
        <f t="shared" si="171"/>
        <v>mobiliteit</v>
      </c>
      <c r="AI193" s="177" t="str">
        <f t="shared" si="171"/>
        <v>zonnepanelen</v>
      </c>
      <c r="AJ193" s="253"/>
      <c r="AK193" s="938"/>
      <c r="AL193" s="252"/>
      <c r="AM193" s="177" t="str">
        <f t="shared" ref="AM193:AU193" si="172">AM$10</f>
        <v>verwarming</v>
      </c>
      <c r="AN193" s="177" t="str">
        <f t="shared" si="172"/>
        <v>koeling</v>
      </c>
      <c r="AO193" s="177" t="str">
        <f t="shared" si="172"/>
        <v>tapwater</v>
      </c>
      <c r="AP193" s="177" t="str">
        <f t="shared" si="172"/>
        <v>verlichting</v>
      </c>
      <c r="AQ193" s="177" t="str">
        <f t="shared" si="172"/>
        <v>ventilatoren</v>
      </c>
      <c r="AR193" s="177"/>
      <c r="AS193" s="177" t="str">
        <f t="shared" si="172"/>
        <v>overig elektra</v>
      </c>
      <c r="AT193" s="177" t="str">
        <f t="shared" si="172"/>
        <v>mobiliteit</v>
      </c>
      <c r="AU193" s="177" t="str">
        <f t="shared" si="172"/>
        <v>zonnepanelen</v>
      </c>
      <c r="AV193" s="253"/>
      <c r="AW193" s="938"/>
      <c r="AX193" s="252"/>
      <c r="AY193" s="177" t="str">
        <f t="shared" ref="AY193:BG193" si="173">AY$10</f>
        <v>verwarming</v>
      </c>
      <c r="AZ193" s="177" t="str">
        <f t="shared" si="173"/>
        <v>koeling</v>
      </c>
      <c r="BA193" s="177" t="str">
        <f t="shared" si="173"/>
        <v>tapwater</v>
      </c>
      <c r="BB193" s="177" t="str">
        <f t="shared" si="173"/>
        <v>verlichting</v>
      </c>
      <c r="BC193" s="177" t="str">
        <f t="shared" si="173"/>
        <v>ventilatoren</v>
      </c>
      <c r="BD193" s="177"/>
      <c r="BE193" s="177" t="str">
        <f t="shared" si="173"/>
        <v>overig elektra</v>
      </c>
      <c r="BF193" s="177" t="str">
        <f t="shared" si="173"/>
        <v>mobiliteit</v>
      </c>
      <c r="BG193" s="177" t="str">
        <f t="shared" si="173"/>
        <v>zonnepanelen</v>
      </c>
    </row>
    <row r="194" spans="1:60" s="2" customFormat="1" hidden="1">
      <c r="A194" s="1038"/>
      <c r="B194" s="1109" t="s">
        <v>231</v>
      </c>
      <c r="C194" s="1106" t="s">
        <v>181</v>
      </c>
      <c r="D194" s="644"/>
      <c r="E194" s="1123" t="s">
        <v>1269</v>
      </c>
      <c r="F194" s="180"/>
      <c r="G194" s="180"/>
      <c r="H194" s="181" t="s">
        <v>1270</v>
      </c>
      <c r="I194" s="114"/>
      <c r="J194" s="190">
        <f>M194+Y194+AK194+AW194</f>
        <v>0</v>
      </c>
      <c r="K194" s="243"/>
      <c r="L194" s="243"/>
      <c r="M194" s="1164">
        <f>SUMIF(N$19:X$19,woning,N$30:X$30)+SUMIF(N$19:X$19,woongebouw,N$30:X$30)</f>
        <v>0</v>
      </c>
      <c r="N194" s="89"/>
      <c r="O194" s="610"/>
      <c r="P194" s="610"/>
      <c r="Q194" s="610"/>
      <c r="R194" s="610"/>
      <c r="S194" s="610"/>
      <c r="T194" s="610"/>
      <c r="U194" s="610"/>
      <c r="V194" s="610"/>
      <c r="W194" s="610"/>
      <c r="X194" s="118"/>
      <c r="Y194" s="1164">
        <f>SUMIF(Z$19:AJ$19,woning,Z$30:AJ$30)+SUMIF(Z$19:AJ$19,woongebouw,Z$30:AJ$30)</f>
        <v>0</v>
      </c>
      <c r="Z194" s="89"/>
      <c r="AA194" s="610"/>
      <c r="AB194" s="610"/>
      <c r="AC194" s="610"/>
      <c r="AD194" s="610"/>
      <c r="AE194" s="610"/>
      <c r="AF194" s="610"/>
      <c r="AG194" s="610"/>
      <c r="AH194" s="610"/>
      <c r="AI194" s="610"/>
      <c r="AJ194" s="118"/>
      <c r="AK194" s="1164">
        <f>SUMIF(AL$19:AV$19,woning,AL$30:AV$30)+SUMIF(AL$19:AV$19,woongebouw,AL$30:AV$30)</f>
        <v>0</v>
      </c>
      <c r="AL194" s="89"/>
      <c r="AM194" s="610"/>
      <c r="AN194" s="610"/>
      <c r="AO194" s="610"/>
      <c r="AP194" s="610"/>
      <c r="AQ194" s="610"/>
      <c r="AR194" s="610"/>
      <c r="AS194" s="610"/>
      <c r="AT194" s="610"/>
      <c r="AU194" s="610"/>
      <c r="AV194" s="118"/>
      <c r="AW194" s="1164">
        <f>SUMIF(AX$19:BH$19,woning,AX$30:BH$30)+SUMIF(AX$19:BH$19,woongebouw,AX$30:BH$30)</f>
        <v>0</v>
      </c>
      <c r="AX194" s="89"/>
      <c r="AY194" s="610"/>
      <c r="AZ194" s="610"/>
      <c r="BA194" s="610"/>
      <c r="BB194" s="610"/>
      <c r="BC194" s="610"/>
      <c r="BD194" s="610"/>
      <c r="BE194" s="610"/>
      <c r="BF194" s="610"/>
      <c r="BG194" s="610"/>
      <c r="BH194" s="222"/>
    </row>
    <row r="195" spans="1:60" s="2" customFormat="1" hidden="1">
      <c r="A195" s="1038"/>
      <c r="B195" s="1109" t="s">
        <v>231</v>
      </c>
      <c r="C195" s="1106" t="s">
        <v>181</v>
      </c>
      <c r="D195" s="644"/>
      <c r="E195" s="1123" t="s">
        <v>1271</v>
      </c>
      <c r="F195" s="180"/>
      <c r="G195" s="180"/>
      <c r="H195" s="181" t="s">
        <v>1270</v>
      </c>
      <c r="I195" s="114"/>
      <c r="J195" s="190">
        <f>M195+Y195+AK195+AW195</f>
        <v>0</v>
      </c>
      <c r="K195" s="243"/>
      <c r="L195" s="243"/>
      <c r="M195" s="1164" cm="1">
        <f t="array" ref="M195">SUMIF(N$19:X$19,onderwijs,N$30:X$30)</f>
        <v>0</v>
      </c>
      <c r="N195" s="89"/>
      <c r="O195" s="610"/>
      <c r="P195" s="610"/>
      <c r="Q195" s="610"/>
      <c r="R195" s="610"/>
      <c r="S195" s="610"/>
      <c r="T195" s="610"/>
      <c r="U195" s="610"/>
      <c r="V195" s="610"/>
      <c r="W195" s="610"/>
      <c r="X195" s="118"/>
      <c r="Y195" s="1164" cm="1">
        <f t="array" ref="Y195">SUMIF(Z$19:AJ$19,onderwijs,Z$30:AJ$30)</f>
        <v>0</v>
      </c>
      <c r="Z195" s="89"/>
      <c r="AA195" s="610"/>
      <c r="AB195" s="610"/>
      <c r="AC195" s="610"/>
      <c r="AD195" s="610"/>
      <c r="AE195" s="610"/>
      <c r="AF195" s="610"/>
      <c r="AG195" s="610"/>
      <c r="AH195" s="610"/>
      <c r="AI195" s="610"/>
      <c r="AJ195" s="118"/>
      <c r="AK195" s="1164" cm="1">
        <f t="array" ref="AK195">SUMIF(AL$19:AV$19,onderwijs,AL$30:AV$30)</f>
        <v>0</v>
      </c>
      <c r="AL195" s="89"/>
      <c r="AM195" s="610"/>
      <c r="AN195" s="610"/>
      <c r="AO195" s="610"/>
      <c r="AP195" s="610"/>
      <c r="AQ195" s="610"/>
      <c r="AR195" s="610"/>
      <c r="AS195" s="610"/>
      <c r="AT195" s="610"/>
      <c r="AU195" s="610"/>
      <c r="AV195" s="118"/>
      <c r="AW195" s="1164" cm="1">
        <f t="array" ref="AW195">SUMIF(AX$19:BH$19,onderwijs,AX$30:BH$30)</f>
        <v>0</v>
      </c>
      <c r="AX195" s="89"/>
      <c r="AY195" s="610"/>
      <c r="AZ195" s="610"/>
      <c r="BA195" s="610"/>
      <c r="BB195" s="610"/>
      <c r="BC195" s="610"/>
      <c r="BD195" s="610"/>
      <c r="BE195" s="610"/>
      <c r="BF195" s="610"/>
      <c r="BG195" s="610"/>
      <c r="BH195" s="222"/>
    </row>
    <row r="196" spans="1:60" s="2" customFormat="1" hidden="1">
      <c r="A196" s="1038"/>
      <c r="B196" s="1109" t="s">
        <v>231</v>
      </c>
      <c r="C196" s="1106" t="s">
        <v>181</v>
      </c>
      <c r="D196" s="644"/>
      <c r="E196" s="1123" t="s">
        <v>1272</v>
      </c>
      <c r="F196" s="180"/>
      <c r="G196" s="180"/>
      <c r="H196" s="181" t="s">
        <v>1270</v>
      </c>
      <c r="I196" s="114"/>
      <c r="J196" s="190">
        <f>M196+Y196+AK196+AW196</f>
        <v>0</v>
      </c>
      <c r="K196" s="243"/>
      <c r="L196" s="243"/>
      <c r="M196" s="1164">
        <f>M29-M194-M195</f>
        <v>0</v>
      </c>
      <c r="N196" s="89"/>
      <c r="O196" s="610"/>
      <c r="P196" s="610"/>
      <c r="Q196" s="610"/>
      <c r="R196" s="610"/>
      <c r="S196" s="610"/>
      <c r="T196" s="610"/>
      <c r="U196" s="610"/>
      <c r="V196" s="610"/>
      <c r="W196" s="610"/>
      <c r="X196" s="118"/>
      <c r="Y196" s="1164">
        <f>Y29-Y194-Y195</f>
        <v>0</v>
      </c>
      <c r="Z196" s="89"/>
      <c r="AA196" s="610"/>
      <c r="AB196" s="610"/>
      <c r="AC196" s="610"/>
      <c r="AD196" s="610"/>
      <c r="AE196" s="610"/>
      <c r="AF196" s="610"/>
      <c r="AG196" s="610"/>
      <c r="AH196" s="610"/>
      <c r="AI196" s="610"/>
      <c r="AJ196" s="118"/>
      <c r="AK196" s="1164">
        <f>AK29-AK194-AK195</f>
        <v>0</v>
      </c>
      <c r="AL196" s="89"/>
      <c r="AM196" s="610"/>
      <c r="AN196" s="610"/>
      <c r="AO196" s="610"/>
      <c r="AP196" s="610"/>
      <c r="AQ196" s="610"/>
      <c r="AR196" s="610"/>
      <c r="AS196" s="610"/>
      <c r="AT196" s="610"/>
      <c r="AU196" s="610"/>
      <c r="AV196" s="118"/>
      <c r="AW196" s="1164">
        <f>AW29-AW194-AW195</f>
        <v>0</v>
      </c>
      <c r="AX196" s="89"/>
      <c r="AY196" s="610"/>
      <c r="AZ196" s="610"/>
      <c r="BA196" s="610"/>
      <c r="BB196" s="610"/>
      <c r="BC196" s="610"/>
      <c r="BD196" s="610"/>
      <c r="BE196" s="610"/>
      <c r="BF196" s="610"/>
      <c r="BG196" s="610"/>
      <c r="BH196" s="222"/>
    </row>
    <row r="197" spans="1:60" s="2" customFormat="1" hidden="1">
      <c r="A197" s="1079"/>
      <c r="B197" s="1112" t="s">
        <v>231</v>
      </c>
      <c r="C197" s="990" t="s">
        <v>181</v>
      </c>
      <c r="D197" s="644"/>
      <c r="E197" s="1123" t="s">
        <v>1309</v>
      </c>
      <c r="F197" s="180"/>
      <c r="G197" s="180"/>
      <c r="H197" s="181" t="s">
        <v>1270</v>
      </c>
      <c r="I197" s="1080"/>
      <c r="J197" s="190"/>
      <c r="K197" s="1081"/>
      <c r="L197" s="1081"/>
      <c r="M197" s="250" t="e">
        <f>((fdu_el_ren_woning*M$194+fdu_el_ren_onderwijs*M$195+fdu_el_ren_utiliteit_overig*M$196)/SUM(M$194:M$196))</f>
        <v>#DIV/0!</v>
      </c>
      <c r="N197" s="1082"/>
      <c r="O197" s="610"/>
      <c r="P197" s="610"/>
      <c r="Q197" s="610"/>
      <c r="R197" s="610"/>
      <c r="S197" s="610"/>
      <c r="T197" s="610"/>
      <c r="U197" s="610"/>
      <c r="V197" s="610"/>
      <c r="W197" s="610"/>
      <c r="X197" s="1083"/>
      <c r="Y197" s="250" t="e">
        <f>((fdu_el_ren_woning*Y$194+fdu_el_ren_onderwijs*Y$195+fdu_el_ren_utiliteit_overig*Y$196)/SUM(Y$194:Y$196))</f>
        <v>#DIV/0!</v>
      </c>
      <c r="Z197" s="1082"/>
      <c r="AA197" s="610"/>
      <c r="AB197" s="610"/>
      <c r="AC197" s="610"/>
      <c r="AD197" s="610"/>
      <c r="AE197" s="610"/>
      <c r="AF197" s="610"/>
      <c r="AG197" s="610"/>
      <c r="AH197" s="610"/>
      <c r="AI197" s="610"/>
      <c r="AJ197" s="1083"/>
      <c r="AK197" s="250" t="e">
        <f>((fdu_el_ren_woning*AK$194+fdu_el_ren_onderwijs*AK$195+fdu_el_ren_utiliteit_overig*AK$196)/SUM(AK$194:AK$196))</f>
        <v>#DIV/0!</v>
      </c>
      <c r="AL197" s="1082"/>
      <c r="AM197" s="610"/>
      <c r="AN197" s="610"/>
      <c r="AO197" s="610"/>
      <c r="AP197" s="610"/>
      <c r="AQ197" s="610"/>
      <c r="AR197" s="610"/>
      <c r="AS197" s="610"/>
      <c r="AT197" s="610"/>
      <c r="AU197" s="610"/>
      <c r="AV197" s="1083"/>
      <c r="AW197" s="250" t="e">
        <f>((fdu_el_ren_woning*AW$194+fdu_el_ren_onderwijs*AW$195+fdu_el_ren_utiliteit_overig*AW$196)/SUM(AW$194:AW$196))</f>
        <v>#DIV/0!</v>
      </c>
      <c r="AX197" s="1082"/>
      <c r="AY197" s="610"/>
      <c r="AZ197" s="610"/>
      <c r="BA197" s="610"/>
      <c r="BB197" s="610"/>
      <c r="BC197" s="610"/>
      <c r="BD197" s="610"/>
      <c r="BE197" s="610"/>
      <c r="BF197" s="610"/>
      <c r="BG197" s="610"/>
      <c r="BH197" s="222"/>
    </row>
    <row r="198" spans="1:60" s="2" customFormat="1" hidden="1">
      <c r="A198" s="1038"/>
      <c r="B198" s="1109" t="s">
        <v>231</v>
      </c>
      <c r="C198" s="1106" t="s">
        <v>181</v>
      </c>
      <c r="D198" s="644"/>
      <c r="E198" s="1123" t="s">
        <v>1310</v>
      </c>
      <c r="F198" s="180"/>
      <c r="G198" s="180"/>
      <c r="H198" s="181" t="s">
        <v>65</v>
      </c>
      <c r="I198" s="114"/>
      <c r="J198" s="190"/>
      <c r="K198" s="243"/>
      <c r="L198" s="243"/>
      <c r="M198" s="190">
        <f>IF(M$50="ja",1,0)</f>
        <v>0</v>
      </c>
      <c r="N198" s="119"/>
      <c r="O198" s="1078"/>
      <c r="P198" s="1078"/>
      <c r="Q198" s="1078"/>
      <c r="R198" s="1078"/>
      <c r="S198" s="1078"/>
      <c r="T198" s="1078"/>
      <c r="U198" s="1078"/>
      <c r="V198" s="1078"/>
      <c r="W198" s="1078"/>
      <c r="X198" s="109"/>
      <c r="Y198" s="190">
        <f>IF(Y$50="ja",1,0)</f>
        <v>0</v>
      </c>
      <c r="Z198" s="119"/>
      <c r="AA198" s="1078"/>
      <c r="AB198" s="1078"/>
      <c r="AC198" s="1078"/>
      <c r="AD198" s="1078"/>
      <c r="AE198" s="1078"/>
      <c r="AF198" s="1078"/>
      <c r="AG198" s="1078"/>
      <c r="AH198" s="1078"/>
      <c r="AI198" s="1078"/>
      <c r="AJ198" s="109"/>
      <c r="AK198" s="190">
        <f>IF(AK$50="ja",1,0)</f>
        <v>0</v>
      </c>
      <c r="AL198" s="119"/>
      <c r="AM198" s="1078"/>
      <c r="AN198" s="1078"/>
      <c r="AO198" s="1078"/>
      <c r="AP198" s="1078"/>
      <c r="AQ198" s="1078"/>
      <c r="AR198" s="1078"/>
      <c r="AS198" s="1078"/>
      <c r="AT198" s="1078"/>
      <c r="AU198" s="1078"/>
      <c r="AV198" s="109"/>
      <c r="AW198" s="190">
        <f>IF(AW$50="ja",1,0)</f>
        <v>0</v>
      </c>
      <c r="AX198" s="89"/>
      <c r="AY198" s="610"/>
      <c r="AZ198" s="610"/>
      <c r="BA198" s="610"/>
      <c r="BB198" s="610"/>
      <c r="BC198" s="610"/>
      <c r="BD198" s="610"/>
      <c r="BE198" s="610"/>
      <c r="BF198" s="610"/>
      <c r="BG198" s="610"/>
      <c r="BH198" s="222"/>
    </row>
    <row r="199" spans="1:60" s="2" customFormat="1">
      <c r="A199" s="1038"/>
      <c r="B199" s="1109" t="s">
        <v>231</v>
      </c>
      <c r="C199" s="1106" t="s">
        <v>96</v>
      </c>
      <c r="D199" s="644"/>
      <c r="E199" s="940" t="s">
        <v>1343</v>
      </c>
      <c r="F199" s="940"/>
      <c r="G199" s="940"/>
      <c r="H199" s="940"/>
      <c r="I199" s="77"/>
      <c r="J199" s="939"/>
      <c r="K199" s="126"/>
      <c r="L199" s="126"/>
      <c r="M199" s="938"/>
      <c r="N199" s="252"/>
      <c r="O199" s="177" t="str">
        <f t="shared" ref="O199:W199" si="174">O$10</f>
        <v>verwarming</v>
      </c>
      <c r="P199" s="177" t="str">
        <f t="shared" si="174"/>
        <v>koeling</v>
      </c>
      <c r="Q199" s="177" t="str">
        <f t="shared" si="174"/>
        <v>tapwater</v>
      </c>
      <c r="R199" s="177" t="str">
        <f t="shared" si="174"/>
        <v>verlichting</v>
      </c>
      <c r="S199" s="177" t="str">
        <f t="shared" si="174"/>
        <v>ventilatoren</v>
      </c>
      <c r="T199" s="177"/>
      <c r="U199" s="177" t="str">
        <f t="shared" si="174"/>
        <v>overig elektra</v>
      </c>
      <c r="V199" s="177" t="str">
        <f t="shared" si="174"/>
        <v>mobiliteit</v>
      </c>
      <c r="W199" s="177" t="str">
        <f t="shared" si="174"/>
        <v>zonnepanelen</v>
      </c>
      <c r="X199" s="253"/>
      <c r="Y199" s="938"/>
      <c r="Z199" s="252"/>
      <c r="AA199" s="177" t="str">
        <f t="shared" ref="AA199:AI199" si="175">AA$10</f>
        <v>verwarming</v>
      </c>
      <c r="AB199" s="177" t="str">
        <f t="shared" si="175"/>
        <v>koeling</v>
      </c>
      <c r="AC199" s="177" t="str">
        <f t="shared" si="175"/>
        <v>tapwater</v>
      </c>
      <c r="AD199" s="177" t="str">
        <f t="shared" si="175"/>
        <v>verlichting</v>
      </c>
      <c r="AE199" s="177" t="str">
        <f t="shared" si="175"/>
        <v>ventilatoren</v>
      </c>
      <c r="AF199" s="177"/>
      <c r="AG199" s="177" t="str">
        <f t="shared" si="175"/>
        <v>overig elektra</v>
      </c>
      <c r="AH199" s="177" t="str">
        <f t="shared" si="175"/>
        <v>mobiliteit</v>
      </c>
      <c r="AI199" s="177" t="str">
        <f t="shared" si="175"/>
        <v>zonnepanelen</v>
      </c>
      <c r="AJ199" s="253"/>
      <c r="AK199" s="938"/>
      <c r="AL199" s="252"/>
      <c r="AM199" s="177" t="str">
        <f t="shared" ref="AM199:AU199" si="176">AM$10</f>
        <v>verwarming</v>
      </c>
      <c r="AN199" s="177" t="str">
        <f t="shared" si="176"/>
        <v>koeling</v>
      </c>
      <c r="AO199" s="177" t="str">
        <f t="shared" si="176"/>
        <v>tapwater</v>
      </c>
      <c r="AP199" s="177" t="str">
        <f t="shared" si="176"/>
        <v>verlichting</v>
      </c>
      <c r="AQ199" s="177" t="str">
        <f t="shared" si="176"/>
        <v>ventilatoren</v>
      </c>
      <c r="AR199" s="177"/>
      <c r="AS199" s="177" t="str">
        <f t="shared" si="176"/>
        <v>overig elektra</v>
      </c>
      <c r="AT199" s="177" t="str">
        <f t="shared" si="176"/>
        <v>mobiliteit</v>
      </c>
      <c r="AU199" s="177" t="str">
        <f t="shared" si="176"/>
        <v>zonnepanelen</v>
      </c>
      <c r="AV199" s="253"/>
      <c r="AW199" s="938"/>
      <c r="AX199" s="252"/>
      <c r="AY199" s="177" t="str">
        <f t="shared" ref="AY199:BG199" si="177">AY$10</f>
        <v>verwarming</v>
      </c>
      <c r="AZ199" s="177" t="str">
        <f t="shared" si="177"/>
        <v>koeling</v>
      </c>
      <c r="BA199" s="177" t="str">
        <f t="shared" si="177"/>
        <v>tapwater</v>
      </c>
      <c r="BB199" s="177" t="str">
        <f t="shared" si="177"/>
        <v>verlichting</v>
      </c>
      <c r="BC199" s="177" t="str">
        <f t="shared" si="177"/>
        <v>ventilatoren</v>
      </c>
      <c r="BD199" s="177"/>
      <c r="BE199" s="177" t="str">
        <f t="shared" si="177"/>
        <v>overig elektra</v>
      </c>
      <c r="BF199" s="177" t="str">
        <f t="shared" si="177"/>
        <v>mobiliteit</v>
      </c>
      <c r="BG199" s="177" t="str">
        <f t="shared" si="177"/>
        <v>zonnepanelen</v>
      </c>
    </row>
    <row r="200" spans="1:60" s="2" customFormat="1" hidden="1">
      <c r="A200" s="1038"/>
      <c r="B200" s="1109" t="s">
        <v>231</v>
      </c>
      <c r="C200" s="1106" t="s">
        <v>181</v>
      </c>
      <c r="D200" s="644"/>
      <c r="E200" s="1123" t="s">
        <v>1288</v>
      </c>
      <c r="F200" s="180"/>
      <c r="G200" s="180"/>
      <c r="H200" s="181" t="s">
        <v>202</v>
      </c>
      <c r="I200" s="114"/>
      <c r="J200" s="202">
        <f t="shared" ref="J200:J203" si="178">M200+Y200+AK200+AW200</f>
        <v>0</v>
      </c>
      <c r="K200" s="243"/>
      <c r="L200" s="243"/>
      <c r="M200" s="249">
        <f>IF(M$190&lt;&gt;0,MIN(M$188,M$190),0)</f>
        <v>0</v>
      </c>
      <c r="N200" s="89"/>
      <c r="O200" s="610"/>
      <c r="P200" s="610"/>
      <c r="Q200" s="610"/>
      <c r="R200" s="610"/>
      <c r="S200" s="610"/>
      <c r="T200" s="610"/>
      <c r="U200" s="610"/>
      <c r="V200" s="610"/>
      <c r="W200" s="610"/>
      <c r="X200" s="118"/>
      <c r="Y200" s="249">
        <f>IF(Y$190&lt;&gt;0,MIN(Y$188,Y$190),0)</f>
        <v>0</v>
      </c>
      <c r="Z200" s="89"/>
      <c r="AA200" s="610"/>
      <c r="AB200" s="610"/>
      <c r="AC200" s="610"/>
      <c r="AD200" s="610"/>
      <c r="AE200" s="610"/>
      <c r="AF200" s="610"/>
      <c r="AG200" s="610"/>
      <c r="AH200" s="610"/>
      <c r="AI200" s="610"/>
      <c r="AJ200" s="118"/>
      <c r="AK200" s="249">
        <f>IF(AK$190&lt;&gt;0,MIN(AK$188,AK$190),0)</f>
        <v>0</v>
      </c>
      <c r="AL200" s="89"/>
      <c r="AM200" s="610"/>
      <c r="AN200" s="610"/>
      <c r="AO200" s="610"/>
      <c r="AP200" s="610"/>
      <c r="AQ200" s="610"/>
      <c r="AR200" s="610"/>
      <c r="AS200" s="610"/>
      <c r="AT200" s="610"/>
      <c r="AU200" s="610"/>
      <c r="AV200" s="118"/>
      <c r="AW200" s="249">
        <f>IF(AW$190&lt;&gt;0,MIN(AW$188,AW$190),0)</f>
        <v>0</v>
      </c>
      <c r="AX200" s="89"/>
      <c r="AY200" s="610"/>
      <c r="AZ200" s="610"/>
      <c r="BA200" s="610"/>
      <c r="BB200" s="610"/>
      <c r="BC200" s="610"/>
      <c r="BD200" s="610"/>
      <c r="BE200" s="610"/>
      <c r="BF200" s="610"/>
      <c r="BG200" s="610"/>
      <c r="BH200" s="222"/>
    </row>
    <row r="201" spans="1:60" s="2" customFormat="1" hidden="1">
      <c r="A201" s="1038"/>
      <c r="B201" s="1109" t="s">
        <v>231</v>
      </c>
      <c r="C201" s="1106" t="s">
        <v>181</v>
      </c>
      <c r="D201" s="645" t="s">
        <v>45</v>
      </c>
      <c r="E201" s="1123" t="s">
        <v>1287</v>
      </c>
      <c r="F201" s="180"/>
      <c r="G201" s="180"/>
      <c r="H201" s="181" t="s">
        <v>202</v>
      </c>
      <c r="I201" s="114"/>
      <c r="J201" s="202">
        <f t="shared" si="178"/>
        <v>0</v>
      </c>
      <c r="K201" s="243"/>
      <c r="L201" s="243"/>
      <c r="M201" s="249">
        <f>MIN(M$186,M$190)*waardering_opslag_hernieuwbaar*(M$50="ja")</f>
        <v>0</v>
      </c>
      <c r="N201" s="89"/>
      <c r="O201" s="610"/>
      <c r="P201" s="610"/>
      <c r="Q201" s="610"/>
      <c r="R201" s="610"/>
      <c r="S201" s="610"/>
      <c r="T201" s="610"/>
      <c r="U201" s="610"/>
      <c r="V201" s="610"/>
      <c r="W201" s="610"/>
      <c r="X201" s="118"/>
      <c r="Y201" s="249">
        <f>MIN(Y$186,Y$190)*waardering_opslag_hernieuwbaar*(Y$50="ja")</f>
        <v>0</v>
      </c>
      <c r="Z201" s="89"/>
      <c r="AA201" s="610"/>
      <c r="AB201" s="610"/>
      <c r="AC201" s="610"/>
      <c r="AD201" s="610"/>
      <c r="AE201" s="610"/>
      <c r="AF201" s="610"/>
      <c r="AG201" s="610"/>
      <c r="AH201" s="610"/>
      <c r="AI201" s="610"/>
      <c r="AJ201" s="118"/>
      <c r="AK201" s="249">
        <f>MIN(AK$186,AK$190)*waardering_opslag_hernieuwbaar*(AK$50="ja")</f>
        <v>0</v>
      </c>
      <c r="AL201" s="89"/>
      <c r="AM201" s="610"/>
      <c r="AN201" s="610"/>
      <c r="AO201" s="610"/>
      <c r="AP201" s="610"/>
      <c r="AQ201" s="610"/>
      <c r="AR201" s="610"/>
      <c r="AS201" s="610"/>
      <c r="AT201" s="610"/>
      <c r="AU201" s="610"/>
      <c r="AV201" s="118"/>
      <c r="AW201" s="249">
        <f>MIN(AW$186,AW$190)*waardering_opslag_hernieuwbaar*(AW$50="ja")</f>
        <v>0</v>
      </c>
      <c r="AX201" s="89"/>
      <c r="AY201" s="610"/>
      <c r="AZ201" s="610"/>
      <c r="BA201" s="610"/>
      <c r="BB201" s="610"/>
      <c r="BC201" s="610"/>
      <c r="BD201" s="610"/>
      <c r="BE201" s="610"/>
      <c r="BF201" s="610"/>
      <c r="BG201" s="610"/>
      <c r="BH201" s="222"/>
    </row>
    <row r="202" spans="1:60" s="2" customFormat="1" hidden="1">
      <c r="A202" s="1038"/>
      <c r="B202" s="1109" t="s">
        <v>231</v>
      </c>
      <c r="C202" s="1106" t="s">
        <v>181</v>
      </c>
      <c r="D202" s="645" t="s">
        <v>45</v>
      </c>
      <c r="E202" s="1123" t="s">
        <v>1311</v>
      </c>
      <c r="F202" s="180"/>
      <c r="G202" s="180"/>
      <c r="H202" s="181" t="s">
        <v>202</v>
      </c>
      <c r="I202" s="114"/>
      <c r="J202" s="202">
        <f t="shared" si="178"/>
        <v>0</v>
      </c>
      <c r="K202" s="243"/>
      <c r="L202" s="243"/>
      <c r="M202" s="249">
        <f>M$188-M200</f>
        <v>0</v>
      </c>
      <c r="N202" s="89"/>
      <c r="O202" s="610"/>
      <c r="P202" s="610"/>
      <c r="Q202" s="610"/>
      <c r="R202" s="610"/>
      <c r="S202" s="610"/>
      <c r="T202" s="610"/>
      <c r="U202" s="610"/>
      <c r="V202" s="610"/>
      <c r="W202" s="610"/>
      <c r="X202" s="118"/>
      <c r="Y202" s="249">
        <f>Y$188-Y200</f>
        <v>0</v>
      </c>
      <c r="Z202" s="89"/>
      <c r="AA202" s="610"/>
      <c r="AB202" s="610"/>
      <c r="AC202" s="610"/>
      <c r="AD202" s="610"/>
      <c r="AE202" s="610"/>
      <c r="AF202" s="610"/>
      <c r="AG202" s="610"/>
      <c r="AH202" s="610"/>
      <c r="AI202" s="610"/>
      <c r="AJ202" s="118"/>
      <c r="AK202" s="249">
        <f>AK$188-AK200</f>
        <v>0</v>
      </c>
      <c r="AL202" s="89"/>
      <c r="AM202" s="610"/>
      <c r="AN202" s="610"/>
      <c r="AO202" s="610"/>
      <c r="AP202" s="610"/>
      <c r="AQ202" s="610"/>
      <c r="AR202" s="610"/>
      <c r="AS202" s="610"/>
      <c r="AT202" s="610"/>
      <c r="AU202" s="610"/>
      <c r="AV202" s="118"/>
      <c r="AW202" s="249">
        <f>AW$188-AW200</f>
        <v>0</v>
      </c>
      <c r="AX202" s="89"/>
      <c r="AY202" s="610"/>
      <c r="AZ202" s="610"/>
      <c r="BA202" s="610"/>
      <c r="BB202" s="610"/>
      <c r="BC202" s="610"/>
      <c r="BD202" s="610"/>
      <c r="BE202" s="610"/>
      <c r="BF202" s="610"/>
      <c r="BG202" s="610"/>
      <c r="BH202" s="222"/>
    </row>
    <row r="203" spans="1:60" s="2" customFormat="1" hidden="1">
      <c r="A203" s="1079"/>
      <c r="B203" s="1112" t="s">
        <v>231</v>
      </c>
      <c r="C203" s="990" t="s">
        <v>181</v>
      </c>
      <c r="D203" s="644"/>
      <c r="E203" s="1123" t="s">
        <v>1274</v>
      </c>
      <c r="F203" s="180"/>
      <c r="G203" s="180"/>
      <c r="H203" s="181" t="s">
        <v>202</v>
      </c>
      <c r="I203" s="1080"/>
      <c r="J203" s="202">
        <f t="shared" si="178"/>
        <v>0</v>
      </c>
      <c r="K203" s="1081"/>
      <c r="L203" s="1081"/>
      <c r="M203" s="249">
        <f>SUM(M$190)-M200</f>
        <v>0</v>
      </c>
      <c r="N203" s="1082"/>
      <c r="O203" s="610"/>
      <c r="P203" s="610"/>
      <c r="Q203" s="610"/>
      <c r="R203" s="610"/>
      <c r="S203" s="610"/>
      <c r="T203" s="610"/>
      <c r="U203" s="610"/>
      <c r="V203" s="610"/>
      <c r="W203" s="610"/>
      <c r="X203" s="1083"/>
      <c r="Y203" s="249">
        <f>SUM(Y$190)-Y200</f>
        <v>0</v>
      </c>
      <c r="Z203" s="1082"/>
      <c r="AA203" s="610"/>
      <c r="AB203" s="610"/>
      <c r="AC203" s="610"/>
      <c r="AD203" s="610"/>
      <c r="AE203" s="610"/>
      <c r="AF203" s="610"/>
      <c r="AG203" s="610"/>
      <c r="AH203" s="610"/>
      <c r="AI203" s="610"/>
      <c r="AJ203" s="1083"/>
      <c r="AK203" s="249">
        <f>SUM(AK$190)-AK200</f>
        <v>0</v>
      </c>
      <c r="AL203" s="1082"/>
      <c r="AM203" s="610"/>
      <c r="AN203" s="610"/>
      <c r="AO203" s="610"/>
      <c r="AP203" s="610"/>
      <c r="AQ203" s="610"/>
      <c r="AR203" s="610"/>
      <c r="AS203" s="610"/>
      <c r="AT203" s="610"/>
      <c r="AU203" s="610"/>
      <c r="AV203" s="1083"/>
      <c r="AW203" s="249">
        <f>SUM(AW$190)-AW200</f>
        <v>0</v>
      </c>
      <c r="AX203" s="1082"/>
      <c r="AY203" s="610"/>
      <c r="AZ203" s="610"/>
      <c r="BA203" s="610"/>
      <c r="BB203" s="610"/>
      <c r="BC203" s="610"/>
      <c r="BD203" s="610"/>
      <c r="BE203" s="610"/>
      <c r="BF203" s="610"/>
      <c r="BG203" s="610"/>
      <c r="BH203" s="222"/>
    </row>
    <row r="204" spans="1:60" s="2" customFormat="1">
      <c r="A204" s="1038"/>
      <c r="B204" s="1109" t="s">
        <v>231</v>
      </c>
      <c r="C204" s="1106" t="s">
        <v>96</v>
      </c>
      <c r="D204" s="644"/>
      <c r="E204" s="940" t="s">
        <v>1344</v>
      </c>
      <c r="F204" s="940"/>
      <c r="G204" s="940"/>
      <c r="H204" s="940"/>
      <c r="I204" s="77"/>
      <c r="J204" s="939"/>
      <c r="K204" s="126"/>
      <c r="L204" s="126"/>
      <c r="M204" s="938"/>
      <c r="N204" s="252"/>
      <c r="O204" s="177" t="str">
        <f t="shared" ref="O204:W204" si="179">O$10</f>
        <v>verwarming</v>
      </c>
      <c r="P204" s="177" t="str">
        <f t="shared" si="179"/>
        <v>koeling</v>
      </c>
      <c r="Q204" s="177" t="str">
        <f t="shared" si="179"/>
        <v>tapwater</v>
      </c>
      <c r="R204" s="177" t="str">
        <f t="shared" si="179"/>
        <v>verlichting</v>
      </c>
      <c r="S204" s="177" t="str">
        <f t="shared" si="179"/>
        <v>ventilatoren</v>
      </c>
      <c r="T204" s="177"/>
      <c r="U204" s="177" t="str">
        <f t="shared" si="179"/>
        <v>overig elektra</v>
      </c>
      <c r="V204" s="177" t="str">
        <f t="shared" si="179"/>
        <v>mobiliteit</v>
      </c>
      <c r="W204" s="177" t="str">
        <f t="shared" si="179"/>
        <v>zonnepanelen</v>
      </c>
      <c r="X204" s="253"/>
      <c r="Y204" s="938"/>
      <c r="Z204" s="252"/>
      <c r="AA204" s="177" t="str">
        <f t="shared" ref="AA204:AI204" si="180">AA$10</f>
        <v>verwarming</v>
      </c>
      <c r="AB204" s="177" t="str">
        <f t="shared" si="180"/>
        <v>koeling</v>
      </c>
      <c r="AC204" s="177" t="str">
        <f t="shared" si="180"/>
        <v>tapwater</v>
      </c>
      <c r="AD204" s="177" t="str">
        <f t="shared" si="180"/>
        <v>verlichting</v>
      </c>
      <c r="AE204" s="177" t="str">
        <f t="shared" si="180"/>
        <v>ventilatoren</v>
      </c>
      <c r="AF204" s="177"/>
      <c r="AG204" s="177" t="str">
        <f t="shared" si="180"/>
        <v>overig elektra</v>
      </c>
      <c r="AH204" s="177" t="str">
        <f t="shared" si="180"/>
        <v>mobiliteit</v>
      </c>
      <c r="AI204" s="177" t="str">
        <f t="shared" si="180"/>
        <v>zonnepanelen</v>
      </c>
      <c r="AJ204" s="253"/>
      <c r="AK204" s="938"/>
      <c r="AL204" s="252"/>
      <c r="AM204" s="177" t="str">
        <f t="shared" ref="AM204:AU204" si="181">AM$10</f>
        <v>verwarming</v>
      </c>
      <c r="AN204" s="177" t="str">
        <f t="shared" si="181"/>
        <v>koeling</v>
      </c>
      <c r="AO204" s="177" t="str">
        <f t="shared" si="181"/>
        <v>tapwater</v>
      </c>
      <c r="AP204" s="177" t="str">
        <f t="shared" si="181"/>
        <v>verlichting</v>
      </c>
      <c r="AQ204" s="177" t="str">
        <f t="shared" si="181"/>
        <v>ventilatoren</v>
      </c>
      <c r="AR204" s="177"/>
      <c r="AS204" s="177" t="str">
        <f t="shared" si="181"/>
        <v>overig elektra</v>
      </c>
      <c r="AT204" s="177" t="str">
        <f t="shared" si="181"/>
        <v>mobiliteit</v>
      </c>
      <c r="AU204" s="177" t="str">
        <f t="shared" si="181"/>
        <v>zonnepanelen</v>
      </c>
      <c r="AV204" s="253"/>
      <c r="AW204" s="938"/>
      <c r="AX204" s="252"/>
      <c r="AY204" s="177" t="str">
        <f t="shared" ref="AY204:BG204" si="182">AY$10</f>
        <v>verwarming</v>
      </c>
      <c r="AZ204" s="177" t="str">
        <f t="shared" si="182"/>
        <v>koeling</v>
      </c>
      <c r="BA204" s="177" t="str">
        <f t="shared" si="182"/>
        <v>tapwater</v>
      </c>
      <c r="BB204" s="177" t="str">
        <f t="shared" si="182"/>
        <v>verlichting</v>
      </c>
      <c r="BC204" s="177" t="str">
        <f t="shared" si="182"/>
        <v>ventilatoren</v>
      </c>
      <c r="BD204" s="177"/>
      <c r="BE204" s="177" t="str">
        <f t="shared" si="182"/>
        <v>overig elektra</v>
      </c>
      <c r="BF204" s="177" t="str">
        <f t="shared" si="182"/>
        <v>mobiliteit</v>
      </c>
      <c r="BG204" s="177" t="str">
        <f t="shared" si="182"/>
        <v>zonnepanelen</v>
      </c>
    </row>
    <row r="205" spans="1:60" s="2" customFormat="1" hidden="1">
      <c r="A205" s="1038"/>
      <c r="B205" s="1109" t="s">
        <v>231</v>
      </c>
      <c r="C205" s="1106" t="s">
        <v>181</v>
      </c>
      <c r="D205" s="645" t="s">
        <v>45</v>
      </c>
      <c r="E205" s="1123" t="s">
        <v>1240</v>
      </c>
      <c r="F205" s="180"/>
      <c r="G205" s="180"/>
      <c r="H205" s="181" t="s">
        <v>202</v>
      </c>
      <c r="I205" s="114"/>
      <c r="J205" s="202">
        <f t="shared" ref="J205:J210" si="183">M205+Y205+AK205+AW205</f>
        <v>0</v>
      </c>
      <c r="K205" s="243"/>
      <c r="L205" s="243"/>
      <c r="M205" s="249">
        <f>IFERROR(MIN(MAX(M$197*M$186,0.3*SUM(M$190)),1*SUM(M$190),M$186),0)</f>
        <v>0</v>
      </c>
      <c r="N205" s="89"/>
      <c r="O205" s="610"/>
      <c r="P205" s="610"/>
      <c r="Q205" s="610"/>
      <c r="R205" s="610"/>
      <c r="S205" s="610"/>
      <c r="T205" s="610"/>
      <c r="U205" s="610"/>
      <c r="V205" s="610"/>
      <c r="W205" s="610"/>
      <c r="X205" s="118"/>
      <c r="Y205" s="249">
        <f>IFERROR(MIN(MAX(Y$197*Y$186,0.3*SUM(Y$190)),1*SUM(Y$190),Y$186),0)</f>
        <v>0</v>
      </c>
      <c r="Z205" s="89"/>
      <c r="AA205" s="610"/>
      <c r="AB205" s="610"/>
      <c r="AC205" s="610"/>
      <c r="AD205" s="610"/>
      <c r="AE205" s="610"/>
      <c r="AF205" s="610"/>
      <c r="AG205" s="610"/>
      <c r="AH205" s="610"/>
      <c r="AI205" s="610"/>
      <c r="AJ205" s="118"/>
      <c r="AK205" s="249">
        <f>IFERROR(MIN(MAX(AK$197*AK$186,0.3*SUM(AK$190)),1*SUM(AK$190),AK$186),0)</f>
        <v>0</v>
      </c>
      <c r="AL205" s="89"/>
      <c r="AM205" s="610"/>
      <c r="AN205" s="610"/>
      <c r="AO205" s="610"/>
      <c r="AP205" s="610"/>
      <c r="AQ205" s="610"/>
      <c r="AR205" s="610"/>
      <c r="AS205" s="610"/>
      <c r="AT205" s="610"/>
      <c r="AU205" s="610"/>
      <c r="AV205" s="118"/>
      <c r="AW205" s="249">
        <f>IFERROR(MIN(MAX(AW$197*AW$186,0.3*SUM(AW$190)),1*SUM(AW$190),AW$186),0)</f>
        <v>0</v>
      </c>
      <c r="AX205" s="89"/>
      <c r="AY205" s="610"/>
      <c r="AZ205" s="610"/>
      <c r="BA205" s="610"/>
      <c r="BB205" s="610"/>
      <c r="BC205" s="610"/>
      <c r="BD205" s="610"/>
      <c r="BE205" s="610"/>
      <c r="BF205" s="610"/>
      <c r="BG205" s="610"/>
      <c r="BH205" s="222"/>
    </row>
    <row r="206" spans="1:60" s="2" customFormat="1" hidden="1">
      <c r="A206" s="1038"/>
      <c r="B206" s="1109" t="s">
        <v>231</v>
      </c>
      <c r="C206" s="1106" t="s">
        <v>181</v>
      </c>
      <c r="D206" s="644"/>
      <c r="E206" s="1123" t="s">
        <v>1312</v>
      </c>
      <c r="F206" s="180"/>
      <c r="G206" s="180"/>
      <c r="H206" s="181" t="s">
        <v>202</v>
      </c>
      <c r="I206" s="114"/>
      <c r="J206" s="202">
        <f t="shared" si="183"/>
        <v>0</v>
      </c>
      <c r="K206" s="243"/>
      <c r="L206" s="243"/>
      <c r="M206" s="249">
        <f>MIN(0.3*M$186*M$198,SUM(M$190)-M205,M$186-M205)</f>
        <v>0</v>
      </c>
      <c r="N206" s="89"/>
      <c r="O206" s="610"/>
      <c r="P206" s="610"/>
      <c r="Q206" s="610"/>
      <c r="R206" s="610"/>
      <c r="S206" s="610"/>
      <c r="T206" s="610"/>
      <c r="U206" s="610"/>
      <c r="V206" s="610"/>
      <c r="W206" s="610"/>
      <c r="X206" s="118"/>
      <c r="Y206" s="249">
        <f>MIN(0.3*Y$186*Y$198,SUM(Y$190)-Y205,Y$186-Y205)</f>
        <v>0</v>
      </c>
      <c r="Z206" s="89"/>
      <c r="AA206" s="610"/>
      <c r="AB206" s="610"/>
      <c r="AC206" s="610"/>
      <c r="AD206" s="610"/>
      <c r="AE206" s="610"/>
      <c r="AF206" s="610"/>
      <c r="AG206" s="610"/>
      <c r="AH206" s="610"/>
      <c r="AI206" s="610"/>
      <c r="AJ206" s="118"/>
      <c r="AK206" s="249">
        <f>MIN(0.3*AK$186*AK$198,SUM(AK$190)-AK205,AK$186-AK205)</f>
        <v>0</v>
      </c>
      <c r="AL206" s="89"/>
      <c r="AM206" s="610"/>
      <c r="AN206" s="610"/>
      <c r="AO206" s="610"/>
      <c r="AP206" s="610"/>
      <c r="AQ206" s="610"/>
      <c r="AR206" s="610"/>
      <c r="AS206" s="610"/>
      <c r="AT206" s="610"/>
      <c r="AU206" s="610"/>
      <c r="AV206" s="118"/>
      <c r="AW206" s="249">
        <f>MIN(0.3*AW$186*AW$198,SUM(AW$190)-AW205,AW$186-AW205)</f>
        <v>0</v>
      </c>
      <c r="AX206" s="89"/>
      <c r="AY206" s="610"/>
      <c r="AZ206" s="610"/>
      <c r="BA206" s="610"/>
      <c r="BB206" s="610"/>
      <c r="BC206" s="610"/>
      <c r="BD206" s="610"/>
      <c r="BE206" s="610"/>
      <c r="BF206" s="610"/>
      <c r="BG206" s="610"/>
      <c r="BH206" s="222"/>
    </row>
    <row r="207" spans="1:60" s="2" customFormat="1" hidden="1">
      <c r="A207" s="1038"/>
      <c r="B207" s="1109" t="s">
        <v>231</v>
      </c>
      <c r="C207" s="1106" t="s">
        <v>181</v>
      </c>
      <c r="D207" s="644"/>
      <c r="E207" s="1123" t="s">
        <v>1246</v>
      </c>
      <c r="F207" s="180"/>
      <c r="G207" s="180"/>
      <c r="H207" s="181" t="s">
        <v>202</v>
      </c>
      <c r="I207" s="114"/>
      <c r="J207" s="202">
        <f t="shared" si="183"/>
        <v>0</v>
      </c>
      <c r="K207" s="243"/>
      <c r="L207" s="243"/>
      <c r="M207" s="249">
        <f>M$186-M205-M206</f>
        <v>0</v>
      </c>
      <c r="N207" s="89"/>
      <c r="O207" s="610"/>
      <c r="P207" s="610"/>
      <c r="Q207" s="610"/>
      <c r="R207" s="610"/>
      <c r="S207" s="610"/>
      <c r="T207" s="610"/>
      <c r="U207" s="610"/>
      <c r="V207" s="610"/>
      <c r="W207" s="610"/>
      <c r="X207" s="118"/>
      <c r="Y207" s="249">
        <f>Y$186-Y205-Y206</f>
        <v>0</v>
      </c>
      <c r="Z207" s="89"/>
      <c r="AA207" s="610"/>
      <c r="AB207" s="610"/>
      <c r="AC207" s="610"/>
      <c r="AD207" s="610"/>
      <c r="AE207" s="610"/>
      <c r="AF207" s="610"/>
      <c r="AG207" s="610"/>
      <c r="AH207" s="610"/>
      <c r="AI207" s="610"/>
      <c r="AJ207" s="118"/>
      <c r="AK207" s="249">
        <f>AK$186-AK205-AK206</f>
        <v>0</v>
      </c>
      <c r="AL207" s="89"/>
      <c r="AM207" s="610"/>
      <c r="AN207" s="610"/>
      <c r="AO207" s="610"/>
      <c r="AP207" s="610"/>
      <c r="AQ207" s="610"/>
      <c r="AR207" s="610"/>
      <c r="AS207" s="610"/>
      <c r="AT207" s="610"/>
      <c r="AU207" s="610"/>
      <c r="AV207" s="118"/>
      <c r="AW207" s="249">
        <f>AW$186-AW205-AW206</f>
        <v>0</v>
      </c>
      <c r="AX207" s="89"/>
      <c r="AY207" s="610"/>
      <c r="AZ207" s="610"/>
      <c r="BA207" s="610"/>
      <c r="BB207" s="610"/>
      <c r="BC207" s="610"/>
      <c r="BD207" s="610"/>
      <c r="BE207" s="610"/>
      <c r="BF207" s="610"/>
      <c r="BG207" s="610"/>
      <c r="BH207" s="222"/>
    </row>
    <row r="208" spans="1:60" s="2" customFormat="1" hidden="1">
      <c r="A208" s="1038"/>
      <c r="B208" s="1109" t="s">
        <v>231</v>
      </c>
      <c r="C208" s="1106" t="s">
        <v>181</v>
      </c>
      <c r="D208" s="645" t="s">
        <v>45</v>
      </c>
      <c r="E208" s="1123" t="s">
        <v>1239</v>
      </c>
      <c r="F208" s="180"/>
      <c r="G208" s="180"/>
      <c r="H208" s="181" t="s">
        <v>202</v>
      </c>
      <c r="I208" s="114"/>
      <c r="J208" s="202">
        <f t="shared" si="183"/>
        <v>0</v>
      </c>
      <c r="K208" s="243"/>
      <c r="L208" s="243"/>
      <c r="M208" s="249">
        <f>MIN(fdu_el_nren*M$187,MAX(0,SUM(M$190)-M205-M206*eta_BAT))</f>
        <v>0</v>
      </c>
      <c r="N208" s="89"/>
      <c r="O208" s="610"/>
      <c r="P208" s="610"/>
      <c r="Q208" s="610"/>
      <c r="R208" s="610"/>
      <c r="S208" s="610"/>
      <c r="T208" s="610"/>
      <c r="U208" s="610"/>
      <c r="V208" s="610"/>
      <c r="W208" s="610"/>
      <c r="X208" s="118"/>
      <c r="Y208" s="249">
        <f>MIN(fdu_el_nren*Y$187,MAX(0,SUM(Y$190)-Y205-Y206*eta_BAT))</f>
        <v>0</v>
      </c>
      <c r="Z208" s="89"/>
      <c r="AA208" s="610"/>
      <c r="AB208" s="610"/>
      <c r="AC208" s="610"/>
      <c r="AD208" s="610"/>
      <c r="AE208" s="610"/>
      <c r="AF208" s="610"/>
      <c r="AG208" s="610"/>
      <c r="AH208" s="610"/>
      <c r="AI208" s="610"/>
      <c r="AJ208" s="118"/>
      <c r="AK208" s="249">
        <f>MIN(fdu_el_nren*AK$187,MAX(0,SUM(AK$190)-AK205-AK206*eta_BAT))</f>
        <v>0</v>
      </c>
      <c r="AL208" s="89"/>
      <c r="AM208" s="610"/>
      <c r="AN208" s="610"/>
      <c r="AO208" s="610"/>
      <c r="AP208" s="610"/>
      <c r="AQ208" s="610"/>
      <c r="AR208" s="610"/>
      <c r="AS208" s="610"/>
      <c r="AT208" s="610"/>
      <c r="AU208" s="610"/>
      <c r="AV208" s="118"/>
      <c r="AW208" s="249">
        <f>MIN(fdu_el_nren*AW$187,MAX(0,SUM(AW$190)-AW205-AW206*eta_BAT))</f>
        <v>0</v>
      </c>
      <c r="AX208" s="89"/>
      <c r="AY208" s="610"/>
      <c r="AZ208" s="610"/>
      <c r="BA208" s="610"/>
      <c r="BB208" s="610"/>
      <c r="BC208" s="610"/>
      <c r="BD208" s="610"/>
      <c r="BE208" s="610"/>
      <c r="BF208" s="610"/>
      <c r="BG208" s="610"/>
      <c r="BH208" s="222"/>
    </row>
    <row r="209" spans="1:60" s="2" customFormat="1" hidden="1">
      <c r="A209" s="1038"/>
      <c r="B209" s="1109" t="s">
        <v>231</v>
      </c>
      <c r="C209" s="1106" t="s">
        <v>181</v>
      </c>
      <c r="D209" s="644"/>
      <c r="E209" s="1123" t="s">
        <v>1245</v>
      </c>
      <c r="F209" s="180"/>
      <c r="G209" s="180"/>
      <c r="H209" s="181" t="s">
        <v>202</v>
      </c>
      <c r="I209" s="114"/>
      <c r="J209" s="202">
        <f t="shared" si="183"/>
        <v>0</v>
      </c>
      <c r="K209" s="243"/>
      <c r="L209" s="243"/>
      <c r="M209" s="249">
        <f>M$187-M208</f>
        <v>0</v>
      </c>
      <c r="N209" s="89"/>
      <c r="O209" s="610"/>
      <c r="P209" s="610"/>
      <c r="Q209" s="610"/>
      <c r="R209" s="610"/>
      <c r="S209" s="610"/>
      <c r="T209" s="610"/>
      <c r="U209" s="610"/>
      <c r="V209" s="610"/>
      <c r="W209" s="610"/>
      <c r="X209" s="118"/>
      <c r="Y209" s="249">
        <f>Y$187-Y208</f>
        <v>0</v>
      </c>
      <c r="Z209" s="89"/>
      <c r="AA209" s="610"/>
      <c r="AB209" s="610"/>
      <c r="AC209" s="610"/>
      <c r="AD209" s="610"/>
      <c r="AE209" s="610"/>
      <c r="AF209" s="610"/>
      <c r="AG209" s="610"/>
      <c r="AH209" s="610"/>
      <c r="AI209" s="610"/>
      <c r="AJ209" s="118"/>
      <c r="AK209" s="249">
        <f>AK$187-AK208</f>
        <v>0</v>
      </c>
      <c r="AL209" s="89"/>
      <c r="AM209" s="610"/>
      <c r="AN209" s="610"/>
      <c r="AO209" s="610"/>
      <c r="AP209" s="610"/>
      <c r="AQ209" s="610"/>
      <c r="AR209" s="610"/>
      <c r="AS209" s="610"/>
      <c r="AT209" s="610"/>
      <c r="AU209" s="610"/>
      <c r="AV209" s="118"/>
      <c r="AW209" s="249">
        <f>AW$187-AW208</f>
        <v>0</v>
      </c>
      <c r="AX209" s="89"/>
      <c r="AY209" s="610"/>
      <c r="AZ209" s="610"/>
      <c r="BA209" s="610"/>
      <c r="BB209" s="610"/>
      <c r="BC209" s="610"/>
      <c r="BD209" s="610"/>
      <c r="BE209" s="610"/>
      <c r="BF209" s="610"/>
      <c r="BG209" s="610"/>
      <c r="BH209" s="222"/>
    </row>
    <row r="210" spans="1:60" s="2" customFormat="1" hidden="1">
      <c r="A210" s="1079"/>
      <c r="B210" s="1112" t="s">
        <v>231</v>
      </c>
      <c r="C210" s="990" t="s">
        <v>181</v>
      </c>
      <c r="D210" s="644"/>
      <c r="E210" s="1123" t="s">
        <v>1274</v>
      </c>
      <c r="F210" s="180"/>
      <c r="G210" s="180"/>
      <c r="H210" s="181" t="s">
        <v>202</v>
      </c>
      <c r="I210" s="1080"/>
      <c r="J210" s="202">
        <f t="shared" si="183"/>
        <v>0</v>
      </c>
      <c r="K210" s="1081"/>
      <c r="L210" s="1081"/>
      <c r="M210" s="249">
        <f>SUM(M$190)-M205-M208-M206*eta_BAT</f>
        <v>0</v>
      </c>
      <c r="N210" s="1082"/>
      <c r="O210" s="610"/>
      <c r="P210" s="610"/>
      <c r="Q210" s="610"/>
      <c r="R210" s="610"/>
      <c r="S210" s="610"/>
      <c r="T210" s="610"/>
      <c r="U210" s="610"/>
      <c r="V210" s="610"/>
      <c r="W210" s="610"/>
      <c r="X210" s="1083"/>
      <c r="Y210" s="249">
        <f>SUM(Y$190)-Y205-Y208-Y206*eta_BAT</f>
        <v>0</v>
      </c>
      <c r="Z210" s="1082"/>
      <c r="AA210" s="610"/>
      <c r="AB210" s="610"/>
      <c r="AC210" s="610"/>
      <c r="AD210" s="610"/>
      <c r="AE210" s="610"/>
      <c r="AF210" s="610"/>
      <c r="AG210" s="610"/>
      <c r="AH210" s="610"/>
      <c r="AI210" s="610"/>
      <c r="AJ210" s="1083"/>
      <c r="AK210" s="249">
        <f>SUM(AK$190)-AK205-AK208-AK206*eta_BAT</f>
        <v>0</v>
      </c>
      <c r="AL210" s="1082"/>
      <c r="AM210" s="610"/>
      <c r="AN210" s="610"/>
      <c r="AO210" s="610"/>
      <c r="AP210" s="610"/>
      <c r="AQ210" s="610"/>
      <c r="AR210" s="610"/>
      <c r="AS210" s="610"/>
      <c r="AT210" s="610"/>
      <c r="AU210" s="610"/>
      <c r="AV210" s="1083"/>
      <c r="AW210" s="249">
        <f>SUM(AW$190)-AW205-AW208-AW206*eta_BAT</f>
        <v>0</v>
      </c>
      <c r="AX210" s="1082"/>
      <c r="AY210" s="610"/>
      <c r="AZ210" s="610"/>
      <c r="BA210" s="610"/>
      <c r="BB210" s="610"/>
      <c r="BC210" s="610"/>
      <c r="BD210" s="610"/>
      <c r="BE210" s="610"/>
      <c r="BF210" s="610"/>
      <c r="BG210" s="610"/>
      <c r="BH210" s="222"/>
    </row>
    <row r="211" spans="1:60" s="2" customFormat="1">
      <c r="A211" s="1038"/>
      <c r="B211" s="1109" t="s">
        <v>231</v>
      </c>
      <c r="C211" s="1106" t="s">
        <v>96</v>
      </c>
      <c r="D211" s="644"/>
      <c r="E211" s="940" t="s">
        <v>1345</v>
      </c>
      <c r="F211" s="940"/>
      <c r="G211" s="940"/>
      <c r="H211" s="940"/>
      <c r="I211" s="77"/>
      <c r="J211" s="939"/>
      <c r="K211" s="126"/>
      <c r="L211" s="126"/>
      <c r="M211" s="938"/>
      <c r="N211" s="252"/>
      <c r="O211" s="177" t="str">
        <f>O$10</f>
        <v>verwarming</v>
      </c>
      <c r="P211" s="177" t="str">
        <f>P$10</f>
        <v>koeling</v>
      </c>
      <c r="Q211" s="177" t="str">
        <f>Q$10</f>
        <v>tapwater</v>
      </c>
      <c r="R211" s="177"/>
      <c r="S211" s="177"/>
      <c r="T211" s="177"/>
      <c r="U211" s="177"/>
      <c r="V211" s="177"/>
      <c r="W211" s="177" t="str">
        <f>W$10</f>
        <v>zonnepanelen</v>
      </c>
      <c r="X211" s="253"/>
      <c r="Y211" s="938"/>
      <c r="Z211" s="252"/>
      <c r="AA211" s="177" t="str">
        <f t="shared" ref="AA211:AI211" si="184">AA$10</f>
        <v>verwarming</v>
      </c>
      <c r="AB211" s="177" t="str">
        <f t="shared" si="184"/>
        <v>koeling</v>
      </c>
      <c r="AC211" s="177" t="str">
        <f t="shared" si="184"/>
        <v>tapwater</v>
      </c>
      <c r="AD211" s="177"/>
      <c r="AE211" s="177"/>
      <c r="AF211" s="177"/>
      <c r="AG211" s="177"/>
      <c r="AH211" s="177"/>
      <c r="AI211" s="177" t="str">
        <f t="shared" si="184"/>
        <v>zonnepanelen</v>
      </c>
      <c r="AJ211" s="253"/>
      <c r="AK211" s="938"/>
      <c r="AL211" s="252"/>
      <c r="AM211" s="177" t="str">
        <f t="shared" ref="AM211:AU211" si="185">AM$10</f>
        <v>verwarming</v>
      </c>
      <c r="AN211" s="177" t="str">
        <f t="shared" si="185"/>
        <v>koeling</v>
      </c>
      <c r="AO211" s="177" t="str">
        <f t="shared" si="185"/>
        <v>tapwater</v>
      </c>
      <c r="AP211" s="177"/>
      <c r="AQ211" s="177"/>
      <c r="AR211" s="177"/>
      <c r="AS211" s="177"/>
      <c r="AT211" s="177"/>
      <c r="AU211" s="177" t="str">
        <f t="shared" si="185"/>
        <v>zonnepanelen</v>
      </c>
      <c r="AV211" s="253"/>
      <c r="AW211" s="938"/>
      <c r="AX211" s="252"/>
      <c r="AY211" s="177" t="str">
        <f t="shared" ref="AY211:BG211" si="186">AY$10</f>
        <v>verwarming</v>
      </c>
      <c r="AZ211" s="177" t="str">
        <f t="shared" si="186"/>
        <v>koeling</v>
      </c>
      <c r="BA211" s="177" t="str">
        <f t="shared" si="186"/>
        <v>tapwater</v>
      </c>
      <c r="BB211" s="177"/>
      <c r="BC211" s="177"/>
      <c r="BD211" s="177"/>
      <c r="BE211" s="177"/>
      <c r="BF211" s="177"/>
      <c r="BG211" s="177" t="str">
        <f t="shared" si="186"/>
        <v>zonnepanelen</v>
      </c>
    </row>
    <row r="212" spans="1:60" s="2" customFormat="1" hidden="1">
      <c r="A212" s="1038"/>
      <c r="B212" s="1109" t="s">
        <v>231</v>
      </c>
      <c r="C212" s="1106" t="s">
        <v>181</v>
      </c>
      <c r="D212" s="644"/>
      <c r="E212" s="1162" t="s">
        <v>1352</v>
      </c>
      <c r="F212" s="1162"/>
      <c r="G212" s="1162"/>
      <c r="H212" s="181" t="s">
        <v>204</v>
      </c>
      <c r="I212" s="114"/>
      <c r="J212" s="190"/>
      <c r="K212" s="79"/>
      <c r="L212" s="79"/>
      <c r="M212" s="250">
        <f>$G$5</f>
        <v>1.45</v>
      </c>
      <c r="N212" s="114"/>
      <c r="O212" s="335"/>
      <c r="P212" s="335"/>
      <c r="Q212" s="335"/>
      <c r="R212" s="335"/>
      <c r="S212" s="335"/>
      <c r="T212" s="335"/>
      <c r="U212" s="335"/>
      <c r="V212" s="335"/>
      <c r="W212" s="335"/>
      <c r="X212" s="109"/>
      <c r="Y212" s="250">
        <f>$G$5</f>
        <v>1.45</v>
      </c>
      <c r="Z212" s="114"/>
      <c r="AA212" s="335"/>
      <c r="AB212" s="335"/>
      <c r="AC212" s="335"/>
      <c r="AD212" s="335"/>
      <c r="AE212" s="335"/>
      <c r="AF212" s="335"/>
      <c r="AG212" s="335"/>
      <c r="AH212" s="335"/>
      <c r="AI212" s="335"/>
      <c r="AJ212" s="109"/>
      <c r="AK212" s="250">
        <f>$G$5</f>
        <v>1.45</v>
      </c>
      <c r="AL212" s="114"/>
      <c r="AM212" s="335"/>
      <c r="AN212" s="335"/>
      <c r="AO212" s="335"/>
      <c r="AP212" s="335"/>
      <c r="AQ212" s="335"/>
      <c r="AR212" s="335"/>
      <c r="AS212" s="335"/>
      <c r="AT212" s="335"/>
      <c r="AU212" s="335"/>
      <c r="AV212" s="109"/>
      <c r="AW212" s="250">
        <f>$G$5</f>
        <v>1.45</v>
      </c>
      <c r="AX212" s="114"/>
      <c r="AY212" s="335"/>
      <c r="AZ212" s="335"/>
      <c r="BA212" s="335"/>
      <c r="BB212" s="335"/>
      <c r="BC212" s="335"/>
      <c r="BD212" s="335"/>
      <c r="BE212" s="335"/>
      <c r="BF212" s="335"/>
      <c r="BG212" s="335"/>
      <c r="BH212" s="219"/>
    </row>
    <row r="213" spans="1:60" s="2" customFormat="1" hidden="1">
      <c r="A213" s="1038"/>
      <c r="B213" s="1109" t="s">
        <v>231</v>
      </c>
      <c r="C213" s="1106" t="s">
        <v>181</v>
      </c>
      <c r="D213" s="644"/>
      <c r="E213" s="1162" t="s">
        <v>1353</v>
      </c>
      <c r="F213" s="1162"/>
      <c r="G213" s="1162"/>
      <c r="H213" s="181" t="s">
        <v>204</v>
      </c>
      <c r="I213" s="114"/>
      <c r="J213" s="190"/>
      <c r="K213" s="79"/>
      <c r="L213" s="79"/>
      <c r="M213" s="250">
        <f>HLOOKUP($F$5,elektriciteit_primaire_energiefactor,ROWS(bibliotheek!$E$304:$E$306),FALSE)</f>
        <v>1.45</v>
      </c>
      <c r="N213" s="114"/>
      <c r="O213" s="335"/>
      <c r="P213" s="335"/>
      <c r="Q213" s="335"/>
      <c r="R213" s="335"/>
      <c r="S213" s="335"/>
      <c r="T213" s="335"/>
      <c r="U213" s="335"/>
      <c r="V213" s="335"/>
      <c r="W213" s="335"/>
      <c r="X213" s="109"/>
      <c r="Y213" s="250">
        <f>HLOOKUP($F$5,elektriciteit_primaire_energiefactor,ROWS(bibliotheek!$E$304:$E$306),FALSE)</f>
        <v>1.45</v>
      </c>
      <c r="Z213" s="114"/>
      <c r="AA213" s="335"/>
      <c r="AB213" s="335"/>
      <c r="AC213" s="335"/>
      <c r="AD213" s="335"/>
      <c r="AE213" s="335"/>
      <c r="AF213" s="335"/>
      <c r="AG213" s="335"/>
      <c r="AH213" s="335"/>
      <c r="AI213" s="335"/>
      <c r="AJ213" s="109"/>
      <c r="AK213" s="250">
        <f>HLOOKUP($F$5,elektriciteit_primaire_energiefactor,ROWS(bibliotheek!$E$304:$E$306),FALSE)</f>
        <v>1.45</v>
      </c>
      <c r="AL213" s="114"/>
      <c r="AM213" s="335"/>
      <c r="AN213" s="335"/>
      <c r="AO213" s="335"/>
      <c r="AP213" s="335"/>
      <c r="AQ213" s="335"/>
      <c r="AR213" s="335"/>
      <c r="AS213" s="335"/>
      <c r="AT213" s="335"/>
      <c r="AU213" s="335"/>
      <c r="AV213" s="109"/>
      <c r="AW213" s="250">
        <f>HLOOKUP($F$5,elektriciteit_primaire_energiefactor,ROWS(bibliotheek!$E$304:$E$306),FALSE)</f>
        <v>1.45</v>
      </c>
      <c r="AX213" s="114"/>
      <c r="AY213" s="335"/>
      <c r="AZ213" s="335"/>
      <c r="BA213" s="335"/>
      <c r="BB213" s="335"/>
      <c r="BC213" s="335"/>
      <c r="BD213" s="335"/>
      <c r="BE213" s="335"/>
      <c r="BF213" s="335"/>
      <c r="BG213" s="335"/>
      <c r="BH213" s="219"/>
    </row>
    <row r="214" spans="1:60" s="2" customFormat="1">
      <c r="A214" s="1038"/>
      <c r="B214" s="1109" t="s">
        <v>231</v>
      </c>
      <c r="C214" s="1106" t="s">
        <v>104</v>
      </c>
      <c r="D214" s="645" t="s">
        <v>45</v>
      </c>
      <c r="E214" s="1162" t="s">
        <v>232</v>
      </c>
      <c r="F214" s="1170"/>
      <c r="G214" s="1170"/>
      <c r="H214" s="181" t="s">
        <v>106</v>
      </c>
      <c r="I214" s="114"/>
      <c r="J214" s="202">
        <f>M214+Y214+AK214+AW214</f>
        <v>0</v>
      </c>
      <c r="K214" s="1062"/>
      <c r="L214" s="1062"/>
      <c r="M214" s="249">
        <f>(M202*M212+M200*M213)</f>
        <v>0</v>
      </c>
      <c r="N214" s="89"/>
      <c r="O214" s="168">
        <f>IF($M$188=0,0,O$188/$M$188*$M214)</f>
        <v>0</v>
      </c>
      <c r="P214" s="168">
        <f>IF($M$188=0,0,P$188/$M$188*$M214)</f>
        <v>0</v>
      </c>
      <c r="Q214" s="168">
        <f>IF($M$188=0,0,Q$188/$M$188*$M214)</f>
        <v>0</v>
      </c>
      <c r="R214" s="273"/>
      <c r="S214" s="273"/>
      <c r="T214" s="273"/>
      <c r="U214" s="273"/>
      <c r="V214" s="273"/>
      <c r="W214" s="168">
        <f>IF($M$188=0,0,W$188/$M$188*$M214)</f>
        <v>0</v>
      </c>
      <c r="X214" s="113"/>
      <c r="Y214" s="249">
        <f>(Y202*Y212+Y200*Y213)</f>
        <v>0</v>
      </c>
      <c r="Z214" s="89"/>
      <c r="AA214" s="168">
        <f>IF($Y$188=0,0,AA$188/$Y$188*$Y214)</f>
        <v>0</v>
      </c>
      <c r="AB214" s="168">
        <f>IF($Y$188=0,0,AB$188/$Y$188*$Y214)</f>
        <v>0</v>
      </c>
      <c r="AC214" s="168">
        <f>IF($Y$188=0,0,AC$188/$Y$188*$Y214)</f>
        <v>0</v>
      </c>
      <c r="AD214" s="168"/>
      <c r="AE214" s="168"/>
      <c r="AF214" s="168"/>
      <c r="AG214" s="168"/>
      <c r="AH214" s="168"/>
      <c r="AI214" s="168">
        <f>IF($Y$188=0,0,AI$188/$Y$188*$Y214)</f>
        <v>0</v>
      </c>
      <c r="AJ214" s="113"/>
      <c r="AK214" s="249">
        <f>(AK202*AK212+AK200*AK213)</f>
        <v>0</v>
      </c>
      <c r="AL214" s="89"/>
      <c r="AM214" s="168">
        <f>IF($AK$188=0,0,AM$188/$AK$188*$AK214)</f>
        <v>0</v>
      </c>
      <c r="AN214" s="168">
        <f>IF($AK$188=0,0,AN$188/$AK$188*$AK214)</f>
        <v>0</v>
      </c>
      <c r="AO214" s="168">
        <f>IF($AK$188=0,0,AO$188/$AK$188*$AK214)</f>
        <v>0</v>
      </c>
      <c r="AP214" s="273"/>
      <c r="AQ214" s="273"/>
      <c r="AR214" s="273"/>
      <c r="AS214" s="273"/>
      <c r="AT214" s="273"/>
      <c r="AU214" s="168">
        <f>IF($AK$188=0,0,AU$188/$AK$188*$AK214)</f>
        <v>0</v>
      </c>
      <c r="AV214" s="113"/>
      <c r="AW214" s="249">
        <f>(AW202*AW212+AW200*AW213)</f>
        <v>0</v>
      </c>
      <c r="AX214" s="89"/>
      <c r="AY214" s="168">
        <f>IF($AW$188=0,0,AY$188/$AW$188*$AW214)</f>
        <v>0</v>
      </c>
      <c r="AZ214" s="168">
        <f>IF($AW$188=0,0,AZ$188/$AW$188*$AW214)</f>
        <v>0</v>
      </c>
      <c r="BA214" s="168">
        <f>IF($AW$188=0,0,BA$188/$AW$188*$AW214)</f>
        <v>0</v>
      </c>
      <c r="BB214" s="273"/>
      <c r="BC214" s="273"/>
      <c r="BD214" s="273"/>
      <c r="BE214" s="273"/>
      <c r="BF214" s="273"/>
      <c r="BG214" s="168">
        <f>IF($AW$188=0,0,BG$188/$AW$188*$AW214)</f>
        <v>0</v>
      </c>
      <c r="BH214" s="210"/>
    </row>
    <row r="215" spans="1:60" s="2" customFormat="1">
      <c r="A215" s="1038"/>
      <c r="B215" s="1109" t="s">
        <v>231</v>
      </c>
      <c r="C215" s="1106" t="s">
        <v>96</v>
      </c>
      <c r="D215" s="644"/>
      <c r="E215" s="940" t="s">
        <v>1346</v>
      </c>
      <c r="F215" s="940"/>
      <c r="G215" s="940"/>
      <c r="H215" s="940"/>
      <c r="I215" s="77"/>
      <c r="J215" s="939"/>
      <c r="K215" s="126"/>
      <c r="L215" s="126"/>
      <c r="M215" s="938"/>
      <c r="N215" s="252"/>
      <c r="O215" s="177" t="str">
        <f t="shared" ref="O215:W215" si="187">O$10</f>
        <v>verwarming</v>
      </c>
      <c r="P215" s="177" t="str">
        <f t="shared" si="187"/>
        <v>koeling</v>
      </c>
      <c r="Q215" s="177" t="str">
        <f t="shared" si="187"/>
        <v>tapwater</v>
      </c>
      <c r="R215" s="177"/>
      <c r="S215" s="177"/>
      <c r="T215" s="177"/>
      <c r="U215" s="177"/>
      <c r="V215" s="177"/>
      <c r="W215" s="177" t="str">
        <f t="shared" si="187"/>
        <v>zonnepanelen</v>
      </c>
      <c r="X215" s="113"/>
      <c r="Y215" s="938"/>
      <c r="Z215" s="252"/>
      <c r="AA215" s="177" t="str">
        <f t="shared" ref="AA215:AI215" si="188">AA$10</f>
        <v>verwarming</v>
      </c>
      <c r="AB215" s="177" t="str">
        <f t="shared" si="188"/>
        <v>koeling</v>
      </c>
      <c r="AC215" s="177" t="str">
        <f t="shared" si="188"/>
        <v>tapwater</v>
      </c>
      <c r="AD215" s="177"/>
      <c r="AE215" s="177"/>
      <c r="AF215" s="177"/>
      <c r="AG215" s="177"/>
      <c r="AH215" s="177"/>
      <c r="AI215" s="177" t="str">
        <f t="shared" si="188"/>
        <v>zonnepanelen</v>
      </c>
      <c r="AJ215" s="113"/>
      <c r="AK215" s="938"/>
      <c r="AL215" s="252"/>
      <c r="AM215" s="177" t="str">
        <f t="shared" ref="AM215:AU215" si="189">AM$10</f>
        <v>verwarming</v>
      </c>
      <c r="AN215" s="177" t="str">
        <f t="shared" si="189"/>
        <v>koeling</v>
      </c>
      <c r="AO215" s="177" t="str">
        <f t="shared" si="189"/>
        <v>tapwater</v>
      </c>
      <c r="AP215" s="177"/>
      <c r="AQ215" s="177"/>
      <c r="AR215" s="177"/>
      <c r="AS215" s="177"/>
      <c r="AT215" s="177"/>
      <c r="AU215" s="177" t="str">
        <f t="shared" si="189"/>
        <v>zonnepanelen</v>
      </c>
      <c r="AV215" s="113"/>
      <c r="AW215" s="938"/>
      <c r="AX215" s="252"/>
      <c r="AY215" s="177" t="str">
        <f>AY$10</f>
        <v>verwarming</v>
      </c>
      <c r="AZ215" s="177" t="str">
        <f>AZ$10</f>
        <v>koeling</v>
      </c>
      <c r="BA215" s="177" t="str">
        <f>BA$10</f>
        <v>tapwater</v>
      </c>
      <c r="BB215" s="177"/>
      <c r="BC215" s="177"/>
      <c r="BD215" s="177"/>
      <c r="BE215" s="177"/>
      <c r="BF215" s="177"/>
      <c r="BG215" s="177" t="str">
        <f>BG$10</f>
        <v>zonnepanelen</v>
      </c>
      <c r="BH215" s="210"/>
    </row>
    <row r="216" spans="1:60" s="2" customFormat="1" hidden="1">
      <c r="A216" s="1038"/>
      <c r="B216" s="1109" t="s">
        <v>231</v>
      </c>
      <c r="C216" s="1106" t="s">
        <v>181</v>
      </c>
      <c r="D216" s="644"/>
      <c r="E216" s="1162" t="s">
        <v>1354</v>
      </c>
      <c r="F216" s="1162"/>
      <c r="G216" s="1162"/>
      <c r="H216" s="181" t="s">
        <v>1208</v>
      </c>
      <c r="I216" s="114"/>
      <c r="J216" s="190"/>
      <c r="K216" s="79"/>
      <c r="L216" s="79"/>
      <c r="M216" s="250">
        <f>HLOOKUP($F$5,bibliotheek!$E$304:$R$311,ROWS(bibliotheek!$E$304:$E$307),FALSE)</f>
        <v>1.35</v>
      </c>
      <c r="N216" s="114"/>
      <c r="O216" s="335"/>
      <c r="P216" s="335"/>
      <c r="Q216" s="335"/>
      <c r="R216" s="335"/>
      <c r="S216" s="335"/>
      <c r="T216" s="335"/>
      <c r="U216" s="335"/>
      <c r="V216" s="335"/>
      <c r="W216" s="335"/>
      <c r="X216" s="113"/>
      <c r="Y216" s="250">
        <f>HLOOKUP($F$5,bibliotheek!$E$304:$R$311,ROWS(bibliotheek!$E$304:$E$307),FALSE)</f>
        <v>1.35</v>
      </c>
      <c r="Z216" s="114"/>
      <c r="AA216" s="335"/>
      <c r="AB216" s="335"/>
      <c r="AC216" s="335"/>
      <c r="AD216" s="335"/>
      <c r="AE216" s="335"/>
      <c r="AF216" s="335"/>
      <c r="AG216" s="335"/>
      <c r="AH216" s="335"/>
      <c r="AI216" s="335"/>
      <c r="AJ216" s="113"/>
      <c r="AK216" s="250">
        <f>HLOOKUP($F$5,bibliotheek!$E$304:$R$311,ROWS(bibliotheek!$E$304:$E$307),FALSE)</f>
        <v>1.35</v>
      </c>
      <c r="AL216" s="114"/>
      <c r="AM216" s="335"/>
      <c r="AN216" s="335"/>
      <c r="AO216" s="335"/>
      <c r="AP216" s="335"/>
      <c r="AQ216" s="335"/>
      <c r="AR216" s="335"/>
      <c r="AS216" s="335"/>
      <c r="AT216" s="335"/>
      <c r="AU216" s="335"/>
      <c r="AV216" s="113"/>
      <c r="AW216" s="250">
        <f>HLOOKUP($F$5,bibliotheek!$E$304:$R$311,ROWS(bibliotheek!$E$304:$E$307),FALSE)</f>
        <v>1.35</v>
      </c>
      <c r="AX216" s="114"/>
      <c r="AY216" s="335"/>
      <c r="AZ216" s="335"/>
      <c r="BA216" s="335"/>
      <c r="BB216" s="335"/>
      <c r="BC216" s="335"/>
      <c r="BD216" s="335"/>
      <c r="BE216" s="335"/>
      <c r="BF216" s="335"/>
      <c r="BG216" s="335"/>
      <c r="BH216" s="210"/>
    </row>
    <row r="217" spans="1:60" s="2" customFormat="1" hidden="1">
      <c r="A217" s="1038"/>
      <c r="B217" s="1109" t="s">
        <v>231</v>
      </c>
      <c r="C217" s="1106" t="s">
        <v>181</v>
      </c>
      <c r="D217" s="644"/>
      <c r="E217" s="1162" t="s">
        <v>1355</v>
      </c>
      <c r="F217" s="1162"/>
      <c r="G217" s="1162"/>
      <c r="H217" s="181" t="s">
        <v>1208</v>
      </c>
      <c r="I217" s="114"/>
      <c r="J217" s="190"/>
      <c r="K217" s="79"/>
      <c r="L217" s="79"/>
      <c r="M217" s="250">
        <f>HLOOKUP($F$5,bibliotheek!$E$304:$R$311,ROWS(bibliotheek!$E$304:$E$308),FALSE)</f>
        <v>1</v>
      </c>
      <c r="N217" s="114"/>
      <c r="O217" s="335"/>
      <c r="P217" s="335"/>
      <c r="Q217" s="335"/>
      <c r="R217" s="335"/>
      <c r="S217" s="335"/>
      <c r="T217" s="335"/>
      <c r="U217" s="335"/>
      <c r="V217" s="335"/>
      <c r="W217" s="335"/>
      <c r="X217" s="113"/>
      <c r="Y217" s="250">
        <f>HLOOKUP($F$5,bibliotheek!$E$304:$R$311,ROWS(bibliotheek!$E$304:$E$308),FALSE)</f>
        <v>1</v>
      </c>
      <c r="Z217" s="114"/>
      <c r="AA217" s="335"/>
      <c r="AB217" s="335"/>
      <c r="AC217" s="335"/>
      <c r="AD217" s="335"/>
      <c r="AE217" s="335"/>
      <c r="AF217" s="335"/>
      <c r="AG217" s="335"/>
      <c r="AH217" s="335"/>
      <c r="AI217" s="335"/>
      <c r="AJ217" s="113"/>
      <c r="AK217" s="250">
        <f>HLOOKUP($F$5,bibliotheek!$E$304:$R$311,ROWS(bibliotheek!$E$304:$E$308),FALSE)</f>
        <v>1</v>
      </c>
      <c r="AL217" s="114"/>
      <c r="AM217" s="335"/>
      <c r="AN217" s="335"/>
      <c r="AO217" s="335"/>
      <c r="AP217" s="335"/>
      <c r="AQ217" s="335"/>
      <c r="AR217" s="335"/>
      <c r="AS217" s="335"/>
      <c r="AT217" s="335"/>
      <c r="AU217" s="335"/>
      <c r="AV217" s="113"/>
      <c r="AW217" s="250">
        <f>HLOOKUP($F$5,bibliotheek!$E$304:$R$311,ROWS(bibliotheek!$E$304:$E$308),FALSE)</f>
        <v>1</v>
      </c>
      <c r="AX217" s="114"/>
      <c r="AY217" s="335"/>
      <c r="AZ217" s="335"/>
      <c r="BA217" s="335"/>
      <c r="BB217" s="335"/>
      <c r="BC217" s="335"/>
      <c r="BD217" s="335"/>
      <c r="BE217" s="335"/>
      <c r="BF217" s="335"/>
      <c r="BG217" s="335"/>
      <c r="BH217" s="210"/>
    </row>
    <row r="218" spans="1:60" s="2" customFormat="1" hidden="1">
      <c r="A218" s="1038"/>
      <c r="B218" s="1109" t="s">
        <v>231</v>
      </c>
      <c r="C218" s="1106" t="s">
        <v>181</v>
      </c>
      <c r="D218" s="644"/>
      <c r="E218" s="1177" t="s">
        <v>1204</v>
      </c>
      <c r="F218" s="1178"/>
      <c r="G218" s="1162"/>
      <c r="H218" s="181" t="s">
        <v>65</v>
      </c>
      <c r="I218" s="114"/>
      <c r="J218" s="190"/>
      <c r="K218" s="79"/>
      <c r="L218" s="79"/>
      <c r="M218" s="250" t="s">
        <v>1205</v>
      </c>
      <c r="N218" s="114"/>
      <c r="O218" s="335"/>
      <c r="P218" s="335"/>
      <c r="Q218" s="335"/>
      <c r="R218" s="335"/>
      <c r="S218" s="335"/>
      <c r="T218" s="335"/>
      <c r="U218" s="335"/>
      <c r="V218" s="335"/>
      <c r="W218" s="335"/>
      <c r="X218" s="113"/>
      <c r="Y218" s="250" t="s">
        <v>1205</v>
      </c>
      <c r="Z218" s="114"/>
      <c r="AA218" s="335"/>
      <c r="AB218" s="335"/>
      <c r="AC218" s="335"/>
      <c r="AD218" s="335"/>
      <c r="AE218" s="335"/>
      <c r="AF218" s="335"/>
      <c r="AG218" s="335"/>
      <c r="AH218" s="335"/>
      <c r="AI218" s="335"/>
      <c r="AJ218" s="113"/>
      <c r="AK218" s="250" t="s">
        <v>1205</v>
      </c>
      <c r="AL218" s="114"/>
      <c r="AM218" s="335"/>
      <c r="AN218" s="335"/>
      <c r="AO218" s="335"/>
      <c r="AP218" s="335"/>
      <c r="AQ218" s="335"/>
      <c r="AR218" s="335"/>
      <c r="AS218" s="335"/>
      <c r="AT218" s="335"/>
      <c r="AU218" s="335"/>
      <c r="AV218" s="113"/>
      <c r="AW218" s="250" t="s">
        <v>1205</v>
      </c>
      <c r="AX218" s="114"/>
      <c r="AY218" s="335"/>
      <c r="AZ218" s="335"/>
      <c r="BA218" s="335"/>
      <c r="BB218" s="335"/>
      <c r="BC218" s="335"/>
      <c r="BD218" s="335"/>
      <c r="BE218" s="335"/>
      <c r="BF218" s="335"/>
      <c r="BG218" s="335"/>
      <c r="BH218" s="210"/>
    </row>
    <row r="219" spans="1:60" s="2" customFormat="1" hidden="1">
      <c r="A219" s="1038"/>
      <c r="B219" s="1109" t="s">
        <v>231</v>
      </c>
      <c r="C219" s="1106" t="s">
        <v>181</v>
      </c>
      <c r="D219" s="644"/>
      <c r="E219" s="1179" t="s">
        <v>1315</v>
      </c>
      <c r="F219" s="1180"/>
      <c r="G219" s="1162"/>
      <c r="H219" s="181" t="s">
        <v>65</v>
      </c>
      <c r="I219" s="114"/>
      <c r="J219" s="190"/>
      <c r="K219" s="79"/>
      <c r="L219" s="79"/>
      <c r="M219" s="250">
        <f>HLOOKUP($F$5,bibliotheek!$E$304:$R$311,ROWS(bibliotheek!$E$304:$E$310),FALSE)</f>
        <v>1</v>
      </c>
      <c r="N219" s="114"/>
      <c r="O219" s="335"/>
      <c r="P219" s="335"/>
      <c r="Q219" s="335"/>
      <c r="R219" s="335"/>
      <c r="S219" s="335"/>
      <c r="T219" s="335"/>
      <c r="U219" s="335"/>
      <c r="V219" s="335"/>
      <c r="W219" s="335"/>
      <c r="X219" s="113"/>
      <c r="Y219" s="250">
        <f>HLOOKUP($F$5,bibliotheek!$E$304:$R$311,ROWS(bibliotheek!$E$304:$E$310),FALSE)</f>
        <v>1</v>
      </c>
      <c r="Z219" s="114"/>
      <c r="AA219" s="335"/>
      <c r="AB219" s="335"/>
      <c r="AC219" s="335"/>
      <c r="AD219" s="335"/>
      <c r="AE219" s="335"/>
      <c r="AF219" s="335"/>
      <c r="AG219" s="335"/>
      <c r="AH219" s="335"/>
      <c r="AI219" s="335"/>
      <c r="AJ219" s="113"/>
      <c r="AK219" s="250">
        <f>HLOOKUP($F$5,bibliotheek!$E$304:$R$311,ROWS(bibliotheek!$E$304:$E$310),FALSE)</f>
        <v>1</v>
      </c>
      <c r="AL219" s="114"/>
      <c r="AM219" s="335"/>
      <c r="AN219" s="335"/>
      <c r="AO219" s="335"/>
      <c r="AP219" s="335"/>
      <c r="AQ219" s="335"/>
      <c r="AR219" s="335"/>
      <c r="AS219" s="335"/>
      <c r="AT219" s="335"/>
      <c r="AU219" s="335"/>
      <c r="AV219" s="113"/>
      <c r="AW219" s="250">
        <f>HLOOKUP($F$5,bibliotheek!$E$304:$R$311,ROWS(bibliotheek!$E$304:$E$310),FALSE)</f>
        <v>1</v>
      </c>
      <c r="AX219" s="114"/>
      <c r="AY219" s="335"/>
      <c r="AZ219" s="335"/>
      <c r="BA219" s="335"/>
      <c r="BB219" s="335"/>
      <c r="BC219" s="335"/>
      <c r="BD219" s="335"/>
      <c r="BE219" s="335"/>
      <c r="BF219" s="335"/>
      <c r="BG219" s="335"/>
      <c r="BH219" s="210"/>
    </row>
    <row r="220" spans="1:60" s="2" customFormat="1">
      <c r="A220" s="1038"/>
      <c r="B220" s="1109" t="s">
        <v>231</v>
      </c>
      <c r="C220" s="1106" t="s">
        <v>104</v>
      </c>
      <c r="D220" s="644"/>
      <c r="E220" s="1162" t="s">
        <v>232</v>
      </c>
      <c r="F220" s="1170"/>
      <c r="G220" s="1170"/>
      <c r="H220" s="181" t="s">
        <v>1206</v>
      </c>
      <c r="I220" s="114"/>
      <c r="J220" s="202">
        <f>M220+Y220+AK220+AW220</f>
        <v>0</v>
      </c>
      <c r="K220" s="1062"/>
      <c r="L220" s="1062"/>
      <c r="M220" s="249">
        <f>M190*M216-(M210*M216-M207*M217-M208*0)</f>
        <v>0</v>
      </c>
      <c r="N220" s="89"/>
      <c r="O220" s="335"/>
      <c r="P220" s="335"/>
      <c r="Q220" s="335"/>
      <c r="R220" s="335"/>
      <c r="S220" s="335"/>
      <c r="T220" s="335"/>
      <c r="U220" s="335"/>
      <c r="V220" s="335"/>
      <c r="W220" s="335"/>
      <c r="X220" s="113"/>
      <c r="Y220" s="249">
        <f>Y190*Y216-(Y210*Y216-Y207*Y217-Y208*0)</f>
        <v>0</v>
      </c>
      <c r="Z220" s="89"/>
      <c r="AA220" s="335"/>
      <c r="AB220" s="335"/>
      <c r="AC220" s="335"/>
      <c r="AD220" s="335"/>
      <c r="AE220" s="335"/>
      <c r="AF220" s="335"/>
      <c r="AG220" s="335"/>
      <c r="AH220" s="335"/>
      <c r="AI220" s="335"/>
      <c r="AJ220" s="113"/>
      <c r="AK220" s="249">
        <f>AK190*AK216-(AK210*AK216-AK207*AK217-AK208*0)</f>
        <v>0</v>
      </c>
      <c r="AL220" s="89"/>
      <c r="AM220" s="335"/>
      <c r="AN220" s="335"/>
      <c r="AO220" s="335"/>
      <c r="AP220" s="335"/>
      <c r="AQ220" s="335"/>
      <c r="AR220" s="335"/>
      <c r="AS220" s="335"/>
      <c r="AT220" s="335"/>
      <c r="AU220" s="335"/>
      <c r="AV220" s="113"/>
      <c r="AW220" s="249">
        <f>AW190*AW216-(AW210*AW216-AW207*AW217-AW208*0)</f>
        <v>0</v>
      </c>
      <c r="AX220" s="89"/>
      <c r="AY220" s="335"/>
      <c r="AZ220" s="335"/>
      <c r="BA220" s="335"/>
      <c r="BB220" s="335"/>
      <c r="BC220" s="335"/>
      <c r="BD220" s="335"/>
      <c r="BE220" s="335"/>
      <c r="BF220" s="335"/>
      <c r="BG220" s="335"/>
      <c r="BH220" s="210"/>
    </row>
    <row r="221" spans="1:60" s="2" customFormat="1">
      <c r="A221" s="1038"/>
      <c r="B221" s="1109" t="s">
        <v>231</v>
      </c>
      <c r="C221" s="1106" t="s">
        <v>96</v>
      </c>
      <c r="D221" s="644"/>
      <c r="E221" s="940" t="s">
        <v>233</v>
      </c>
      <c r="F221" s="940"/>
      <c r="G221" s="940"/>
      <c r="H221" s="940"/>
      <c r="I221" s="77"/>
      <c r="J221" s="939"/>
      <c r="K221" s="126"/>
      <c r="L221" s="126"/>
      <c r="M221" s="938"/>
      <c r="N221" s="252"/>
      <c r="O221" s="177" t="str">
        <f>O$10</f>
        <v>verwarming</v>
      </c>
      <c r="P221" s="177" t="str">
        <f>P$10</f>
        <v>koeling</v>
      </c>
      <c r="Q221" s="177" t="str">
        <f>Q$10</f>
        <v>tapwater</v>
      </c>
      <c r="R221" s="177"/>
      <c r="S221" s="177"/>
      <c r="T221" s="177"/>
      <c r="U221" s="177"/>
      <c r="V221" s="177"/>
      <c r="W221" s="177" t="str">
        <f>W$10</f>
        <v>zonnepanelen</v>
      </c>
      <c r="X221" s="253"/>
      <c r="Y221" s="938"/>
      <c r="Z221" s="252"/>
      <c r="AA221" s="177" t="str">
        <f>AA$10</f>
        <v>verwarming</v>
      </c>
      <c r="AB221" s="177" t="str">
        <f>AB$10</f>
        <v>koeling</v>
      </c>
      <c r="AC221" s="177" t="str">
        <f>AC$10</f>
        <v>tapwater</v>
      </c>
      <c r="AD221" s="177"/>
      <c r="AE221" s="177"/>
      <c r="AF221" s="177"/>
      <c r="AG221" s="177"/>
      <c r="AH221" s="177"/>
      <c r="AI221" s="177" t="str">
        <f>AI$10</f>
        <v>zonnepanelen</v>
      </c>
      <c r="AJ221" s="253"/>
      <c r="AK221" s="938"/>
      <c r="AL221" s="252"/>
      <c r="AM221" s="177" t="str">
        <f>AM$10</f>
        <v>verwarming</v>
      </c>
      <c r="AN221" s="177" t="str">
        <f>AN$10</f>
        <v>koeling</v>
      </c>
      <c r="AO221" s="177" t="str">
        <f>AO$10</f>
        <v>tapwater</v>
      </c>
      <c r="AP221" s="177"/>
      <c r="AQ221" s="177"/>
      <c r="AR221" s="177"/>
      <c r="AS221" s="177"/>
      <c r="AT221" s="177"/>
      <c r="AU221" s="177" t="str">
        <f>AU$10</f>
        <v>zonnepanelen</v>
      </c>
      <c r="AV221" s="253"/>
      <c r="AW221" s="938"/>
      <c r="AX221" s="252"/>
      <c r="AY221" s="177" t="str">
        <f>AY$10</f>
        <v>verwarming</v>
      </c>
      <c r="AZ221" s="177" t="str">
        <f>AZ$10</f>
        <v>koeling</v>
      </c>
      <c r="BA221" s="177" t="str">
        <f>BA$10</f>
        <v>tapwater</v>
      </c>
      <c r="BB221" s="177"/>
      <c r="BC221" s="177"/>
      <c r="BD221" s="177"/>
      <c r="BE221" s="177"/>
      <c r="BF221" s="177"/>
      <c r="BG221" s="177" t="str">
        <f>BG$10</f>
        <v>zonnepanelen</v>
      </c>
    </row>
    <row r="222" spans="1:60" s="2" customFormat="1" hidden="1">
      <c r="A222" s="1038"/>
      <c r="B222" s="1109" t="s">
        <v>231</v>
      </c>
      <c r="C222" s="1106" t="s">
        <v>181</v>
      </c>
      <c r="D222" s="644"/>
      <c r="E222" s="180" t="s">
        <v>234</v>
      </c>
      <c r="F222" s="180"/>
      <c r="G222" s="180"/>
      <c r="H222" s="181" t="s">
        <v>207</v>
      </c>
      <c r="I222" s="114"/>
      <c r="J222" s="190"/>
      <c r="K222" s="79"/>
      <c r="L222" s="79"/>
      <c r="M222" s="359">
        <f>$H$5</f>
        <v>0.26800000000000002</v>
      </c>
      <c r="N222" s="358"/>
      <c r="O222" s="336"/>
      <c r="P222" s="336"/>
      <c r="Q222" s="336"/>
      <c r="R222" s="336"/>
      <c r="S222" s="336"/>
      <c r="T222" s="336"/>
      <c r="U222" s="336"/>
      <c r="V222" s="336"/>
      <c r="W222" s="336"/>
      <c r="X222" s="360"/>
      <c r="Y222" s="359">
        <f>$H$5</f>
        <v>0.26800000000000002</v>
      </c>
      <c r="Z222" s="358"/>
      <c r="AA222" s="336"/>
      <c r="AB222" s="336"/>
      <c r="AC222" s="336"/>
      <c r="AD222" s="336"/>
      <c r="AE222" s="336"/>
      <c r="AF222" s="336"/>
      <c r="AG222" s="336"/>
      <c r="AH222" s="336"/>
      <c r="AI222" s="336"/>
      <c r="AJ222" s="360"/>
      <c r="AK222" s="359">
        <f>$H$5</f>
        <v>0.26800000000000002</v>
      </c>
      <c r="AL222" s="358"/>
      <c r="AM222" s="336"/>
      <c r="AN222" s="336"/>
      <c r="AO222" s="336"/>
      <c r="AP222" s="336"/>
      <c r="AQ222" s="336"/>
      <c r="AR222" s="336"/>
      <c r="AS222" s="336"/>
      <c r="AT222" s="336"/>
      <c r="AU222" s="336"/>
      <c r="AV222" s="360"/>
      <c r="AW222" s="359">
        <f>$H$5</f>
        <v>0.26800000000000002</v>
      </c>
      <c r="AX222" s="114"/>
      <c r="AY222" s="335"/>
      <c r="AZ222" s="335"/>
      <c r="BA222" s="335"/>
      <c r="BB222" s="335"/>
      <c r="BC222" s="335"/>
      <c r="BD222" s="335"/>
      <c r="BE222" s="335"/>
      <c r="BF222" s="335"/>
      <c r="BG222" s="335"/>
      <c r="BH222" s="219"/>
    </row>
    <row r="223" spans="1:60" s="2" customFormat="1" hidden="1">
      <c r="A223" s="1038"/>
      <c r="B223" s="1109" t="s">
        <v>231</v>
      </c>
      <c r="C223" s="1106" t="s">
        <v>181</v>
      </c>
      <c r="D223" s="644"/>
      <c r="E223" s="180" t="s">
        <v>235</v>
      </c>
      <c r="F223" s="180"/>
      <c r="G223" s="180"/>
      <c r="H223" s="181" t="s">
        <v>207</v>
      </c>
      <c r="I223" s="114"/>
      <c r="J223" s="190"/>
      <c r="K223" s="79"/>
      <c r="L223" s="79"/>
      <c r="M223" s="359">
        <f>HLOOKUP($F$5,elektriciteit_primaire_energiefactor,ROWS(bibliotheek!$E$304:$E$312),FALSE)</f>
        <v>0.26800000000000002</v>
      </c>
      <c r="N223" s="358"/>
      <c r="O223" s="336"/>
      <c r="P223" s="336"/>
      <c r="Q223" s="336"/>
      <c r="R223" s="336"/>
      <c r="S223" s="336"/>
      <c r="T223" s="336"/>
      <c r="U223" s="336"/>
      <c r="V223" s="336"/>
      <c r="W223" s="336"/>
      <c r="X223" s="360"/>
      <c r="Y223" s="359">
        <f>HLOOKUP($F$5,elektriciteit_primaire_energiefactor,ROWS(bibliotheek!$E$304:$E$312),FALSE)</f>
        <v>0.26800000000000002</v>
      </c>
      <c r="Z223" s="358"/>
      <c r="AA223" s="336"/>
      <c r="AB223" s="336"/>
      <c r="AC223" s="336"/>
      <c r="AD223" s="336"/>
      <c r="AE223" s="336"/>
      <c r="AF223" s="336"/>
      <c r="AG223" s="336"/>
      <c r="AH223" s="336"/>
      <c r="AI223" s="336"/>
      <c r="AJ223" s="360"/>
      <c r="AK223" s="359">
        <f>HLOOKUP($F$5,elektriciteit_primaire_energiefactor,ROWS(bibliotheek!$E$304:$E$312),FALSE)</f>
        <v>0.26800000000000002</v>
      </c>
      <c r="AL223" s="358"/>
      <c r="AM223" s="336"/>
      <c r="AN223" s="336"/>
      <c r="AO223" s="336"/>
      <c r="AP223" s="336"/>
      <c r="AQ223" s="336"/>
      <c r="AR223" s="336"/>
      <c r="AS223" s="336"/>
      <c r="AT223" s="336"/>
      <c r="AU223" s="336"/>
      <c r="AV223" s="360"/>
      <c r="AW223" s="359">
        <f>HLOOKUP($F$5,elektriciteit_primaire_energiefactor,ROWS(bibliotheek!$E$304:$E$312),FALSE)</f>
        <v>0.26800000000000002</v>
      </c>
      <c r="AX223" s="114"/>
      <c r="AY223" s="335"/>
      <c r="AZ223" s="335"/>
      <c r="BA223" s="335"/>
      <c r="BB223" s="335"/>
      <c r="BC223" s="335"/>
      <c r="BD223" s="335"/>
      <c r="BE223" s="335"/>
      <c r="BF223" s="335"/>
      <c r="BG223" s="335"/>
      <c r="BH223" s="219"/>
    </row>
    <row r="224" spans="1:60" s="2" customFormat="1">
      <c r="A224" s="1038"/>
      <c r="B224" s="1109" t="s">
        <v>231</v>
      </c>
      <c r="C224" s="1106" t="s">
        <v>104</v>
      </c>
      <c r="D224" s="644"/>
      <c r="E224" s="1123" t="s">
        <v>232</v>
      </c>
      <c r="F224" s="181"/>
      <c r="G224" s="181"/>
      <c r="H224" s="181" t="s">
        <v>209</v>
      </c>
      <c r="I224" s="114"/>
      <c r="J224" s="202">
        <f>M224+Y224+AK224+AW224</f>
        <v>0</v>
      </c>
      <c r="K224" s="1062"/>
      <c r="L224" s="1062"/>
      <c r="M224" s="202">
        <f>M187*M222+M186*M223</f>
        <v>0</v>
      </c>
      <c r="N224" s="89"/>
      <c r="O224" s="168">
        <f>IF($M$188=0,0,O$188/$M$188*$M224)</f>
        <v>0</v>
      </c>
      <c r="P224" s="168">
        <f>IF($M$188=0,0,P$188/$M$188*$M224)</f>
        <v>0</v>
      </c>
      <c r="Q224" s="168">
        <f>IF($M$188=0,0,Q$188/$M$188*$M224)</f>
        <v>0</v>
      </c>
      <c r="R224" s="273"/>
      <c r="S224" s="273"/>
      <c r="T224" s="273"/>
      <c r="U224" s="273"/>
      <c r="V224" s="273"/>
      <c r="W224" s="168">
        <f>IF($M$188=0,0,W$188/$M$188*$M224)</f>
        <v>0</v>
      </c>
      <c r="X224" s="113"/>
      <c r="Y224" s="202">
        <f>Y187*Y222+Y186*Y223</f>
        <v>0</v>
      </c>
      <c r="Z224" s="89"/>
      <c r="AA224" s="168">
        <f>IF($Y$188=0,0,AA$188/$Y$188*$Y224)</f>
        <v>0</v>
      </c>
      <c r="AB224" s="168">
        <f>IF($Y$188=0,0,AB$188/$Y$188*$Y224)</f>
        <v>0</v>
      </c>
      <c r="AC224" s="168">
        <f>IF($Y$188=0,0,AC$188/$Y$188*$Y224)</f>
        <v>0</v>
      </c>
      <c r="AD224" s="273"/>
      <c r="AE224" s="273"/>
      <c r="AF224" s="273"/>
      <c r="AG224" s="273"/>
      <c r="AH224" s="273"/>
      <c r="AI224" s="168">
        <f>IF($Y$188=0,0,AI$188/$Y$188*$Y224)</f>
        <v>0</v>
      </c>
      <c r="AJ224" s="113"/>
      <c r="AK224" s="202">
        <f>AK187*AK222+AK186*AK223</f>
        <v>0</v>
      </c>
      <c r="AL224" s="89"/>
      <c r="AM224" s="168">
        <f>IF($AK$188=0,0,AM$188/$AK$188*$AK224)</f>
        <v>0</v>
      </c>
      <c r="AN224" s="168">
        <f>IF($AK$188=0,0,AN$188/$AK$188*$AK224)</f>
        <v>0</v>
      </c>
      <c r="AO224" s="168">
        <f>IF($AK$188=0,0,AO$188/$AK$188*$AK224)</f>
        <v>0</v>
      </c>
      <c r="AP224" s="273"/>
      <c r="AQ224" s="273"/>
      <c r="AR224" s="273"/>
      <c r="AS224" s="273"/>
      <c r="AT224" s="273"/>
      <c r="AU224" s="168">
        <f>IF($AK$188=0,0,AU$188/$AK$188*$AK224)</f>
        <v>0</v>
      </c>
      <c r="AV224" s="113"/>
      <c r="AW224" s="202">
        <f>AW187*AW222+AW186*AW223</f>
        <v>0</v>
      </c>
      <c r="AX224" s="89"/>
      <c r="AY224" s="168">
        <f>IF($AW$188=0,0,AY$188/$AW$188*$AW224)</f>
        <v>0</v>
      </c>
      <c r="AZ224" s="168">
        <f>IF($AW$188=0,0,AZ$188/$AW$188*$AW224)</f>
        <v>0</v>
      </c>
      <c r="BA224" s="168">
        <f>IF($AW$188=0,0,BA$188/$AW$188*$AW224)</f>
        <v>0</v>
      </c>
      <c r="BB224" s="273"/>
      <c r="BC224" s="273"/>
      <c r="BD224" s="273"/>
      <c r="BE224" s="273"/>
      <c r="BF224" s="273"/>
      <c r="BG224" s="168">
        <f>IF($AW$188=0,0,BG$188/$AW$188*$AW224)</f>
        <v>0</v>
      </c>
      <c r="BH224" s="210"/>
    </row>
    <row r="225" spans="1:60">
      <c r="A225" s="1040"/>
      <c r="B225" s="1109" t="s">
        <v>231</v>
      </c>
      <c r="C225" s="1106" t="s">
        <v>96</v>
      </c>
      <c r="D225" s="638"/>
      <c r="E225" s="79"/>
      <c r="F225" s="79"/>
      <c r="G225" s="79"/>
      <c r="H225" s="85"/>
      <c r="I225" s="79"/>
      <c r="J225" s="82"/>
      <c r="K225" s="79"/>
      <c r="L225" s="79"/>
      <c r="M225" s="1169"/>
      <c r="N225" s="79"/>
      <c r="O225" s="108"/>
      <c r="P225" s="108"/>
      <c r="Q225" s="108"/>
      <c r="R225" s="82"/>
      <c r="S225" s="82"/>
      <c r="T225" s="82"/>
      <c r="U225" s="82"/>
      <c r="V225" s="82"/>
      <c r="W225" s="82"/>
      <c r="X225" s="82"/>
      <c r="Y225" s="82"/>
      <c r="Z225" s="79"/>
      <c r="AA225" s="108"/>
      <c r="AB225" s="108"/>
      <c r="AC225" s="108"/>
      <c r="AD225" s="82"/>
      <c r="AE225" s="82"/>
      <c r="AF225" s="82"/>
      <c r="AG225" s="82"/>
      <c r="AH225" s="82"/>
      <c r="AI225" s="82"/>
      <c r="AJ225" s="82"/>
      <c r="AK225" s="82"/>
      <c r="AL225" s="79"/>
      <c r="AM225" s="108"/>
      <c r="AN225" s="108"/>
      <c r="AO225" s="108"/>
      <c r="AP225" s="82"/>
      <c r="AQ225" s="82"/>
      <c r="AR225" s="82"/>
      <c r="AS225" s="82"/>
      <c r="AT225" s="82"/>
      <c r="AU225" s="82"/>
      <c r="AV225" s="82"/>
      <c r="AW225" s="82"/>
      <c r="AX225" s="79"/>
      <c r="AY225" s="108"/>
      <c r="AZ225" s="108"/>
      <c r="BA225" s="108"/>
      <c r="BB225" s="108"/>
      <c r="BC225" s="108"/>
      <c r="BD225" s="108"/>
      <c r="BE225" s="108"/>
      <c r="BF225" s="108"/>
      <c r="BG225" s="108"/>
      <c r="BH225" s="1"/>
    </row>
    <row r="226" spans="1:60">
      <c r="A226" s="1040"/>
      <c r="B226" s="1109" t="s">
        <v>236</v>
      </c>
      <c r="C226" s="1107" t="s">
        <v>96</v>
      </c>
      <c r="D226" s="638"/>
      <c r="E226" s="79"/>
      <c r="F226" s="79"/>
      <c r="G226" s="79"/>
      <c r="H226" s="79"/>
      <c r="I226" s="79"/>
      <c r="J226" s="82"/>
      <c r="K226" s="79"/>
      <c r="L226" s="79"/>
      <c r="M226" s="1169"/>
      <c r="N226" s="79"/>
      <c r="O226" s="113"/>
      <c r="P226" s="108"/>
      <c r="Q226" s="82"/>
      <c r="R226" s="82"/>
      <c r="S226" s="82"/>
      <c r="T226" s="82"/>
      <c r="U226" s="82"/>
      <c r="V226" s="82"/>
      <c r="W226" s="82"/>
      <c r="X226" s="82"/>
      <c r="Y226" s="82"/>
      <c r="Z226" s="79"/>
      <c r="AA226" s="82"/>
      <c r="AB226" s="82"/>
      <c r="AC226" s="82"/>
      <c r="AD226" s="82"/>
      <c r="AE226" s="82"/>
      <c r="AF226" s="82"/>
      <c r="AG226" s="82"/>
      <c r="AH226" s="82"/>
      <c r="AI226" s="82"/>
      <c r="AJ226" s="82"/>
      <c r="AK226" s="82"/>
      <c r="AL226" s="79"/>
      <c r="AM226" s="82"/>
      <c r="AN226" s="82"/>
      <c r="AO226" s="82"/>
      <c r="AP226" s="82"/>
      <c r="AQ226" s="82"/>
      <c r="AR226" s="82"/>
      <c r="AS226" s="82"/>
      <c r="AT226" s="82"/>
      <c r="AU226" s="82"/>
      <c r="AV226" s="82"/>
      <c r="AW226" s="82"/>
      <c r="AX226" s="79"/>
      <c r="AY226" s="82"/>
      <c r="AZ226" s="82"/>
      <c r="BA226" s="82"/>
      <c r="BB226" s="82"/>
      <c r="BC226" s="82"/>
      <c r="BD226" s="82"/>
      <c r="BE226" s="82"/>
      <c r="BF226" s="82"/>
      <c r="BG226" s="82"/>
      <c r="BH226" s="1"/>
    </row>
    <row r="227" spans="1:60" ht="21">
      <c r="A227" s="1040"/>
      <c r="B227" s="1109" t="s">
        <v>236</v>
      </c>
      <c r="C227" s="1106" t="s">
        <v>96</v>
      </c>
      <c r="D227" s="643"/>
      <c r="E227" s="1181" t="s">
        <v>237</v>
      </c>
      <c r="F227" s="199"/>
      <c r="G227" s="692"/>
      <c r="H227" s="692"/>
      <c r="I227" s="77"/>
      <c r="J227" s="200" t="str">
        <f>J$10</f>
        <v>alle locaties</v>
      </c>
      <c r="K227" s="126"/>
      <c r="L227" s="126"/>
      <c r="M227" s="200" t="str">
        <f>M$10</f>
        <v>locatie 1</v>
      </c>
      <c r="N227" s="182"/>
      <c r="O227" s="966" t="str">
        <f>$E227&amp;" per energiepost"</f>
        <v>finaal energiegebruik per energiepost</v>
      </c>
      <c r="P227" s="941"/>
      <c r="Q227" s="941"/>
      <c r="R227" s="941"/>
      <c r="S227" s="941"/>
      <c r="T227" s="941"/>
      <c r="U227" s="941"/>
      <c r="V227" s="941"/>
      <c r="W227" s="956"/>
      <c r="X227" s="174"/>
      <c r="Y227" s="200" t="str">
        <f>Y$10</f>
        <v>locatie 2</v>
      </c>
      <c r="Z227" s="182"/>
      <c r="AA227" s="966" t="str">
        <f>$E227&amp;" per energiepost"</f>
        <v>finaal energiegebruik per energiepost</v>
      </c>
      <c r="AB227" s="941"/>
      <c r="AC227" s="941"/>
      <c r="AD227" s="941"/>
      <c r="AE227" s="941"/>
      <c r="AF227" s="941"/>
      <c r="AG227" s="941"/>
      <c r="AH227" s="941"/>
      <c r="AI227" s="956"/>
      <c r="AJ227" s="174"/>
      <c r="AK227" s="200" t="str">
        <f>AK$10</f>
        <v>locatie 3</v>
      </c>
      <c r="AL227" s="182"/>
      <c r="AM227" s="966" t="str">
        <f>$E227&amp;" per energiepost"</f>
        <v>finaal energiegebruik per energiepost</v>
      </c>
      <c r="AN227" s="941"/>
      <c r="AO227" s="941"/>
      <c r="AP227" s="941"/>
      <c r="AQ227" s="941"/>
      <c r="AR227" s="941"/>
      <c r="AS227" s="941"/>
      <c r="AT227" s="941"/>
      <c r="AU227" s="956"/>
      <c r="AV227" s="174"/>
      <c r="AW227" s="200" t="str">
        <f>AW$10</f>
        <v>locatie 4</v>
      </c>
      <c r="AX227" s="182"/>
      <c r="AY227" s="966" t="str">
        <f>$E227&amp;" per energiepost"</f>
        <v>finaal energiegebruik per energiepost</v>
      </c>
      <c r="AZ227" s="941"/>
      <c r="BA227" s="941"/>
      <c r="BB227" s="941"/>
      <c r="BC227" s="941"/>
      <c r="BD227" s="941"/>
      <c r="BE227" s="941"/>
      <c r="BF227" s="941"/>
      <c r="BG227" s="956"/>
      <c r="BH227" s="1"/>
    </row>
    <row r="228" spans="1:60">
      <c r="A228" s="1040"/>
      <c r="B228" s="1109" t="s">
        <v>236</v>
      </c>
      <c r="C228" s="1106" t="s">
        <v>96</v>
      </c>
      <c r="D228" s="638"/>
      <c r="E228" s="940" t="s">
        <v>238</v>
      </c>
      <c r="F228" s="940"/>
      <c r="G228" s="940"/>
      <c r="H228" s="940"/>
      <c r="I228" s="77"/>
      <c r="J228" s="939"/>
      <c r="K228" s="126"/>
      <c r="L228" s="126"/>
      <c r="M228" s="938"/>
      <c r="N228" s="191"/>
      <c r="O228" s="177" t="str">
        <f t="shared" ref="O228:W228" si="190">O$10</f>
        <v>verwarming</v>
      </c>
      <c r="P228" s="177" t="str">
        <f t="shared" si="190"/>
        <v>koeling</v>
      </c>
      <c r="Q228" s="177" t="str">
        <f t="shared" si="190"/>
        <v>tapwater</v>
      </c>
      <c r="R228" s="177" t="str">
        <f t="shared" si="190"/>
        <v>verlichting</v>
      </c>
      <c r="S228" s="177" t="str">
        <f t="shared" si="190"/>
        <v>ventilatoren</v>
      </c>
      <c r="T228" s="177" t="str">
        <f t="shared" si="190"/>
        <v>kookgas</v>
      </c>
      <c r="U228" s="177" t="str">
        <f t="shared" si="190"/>
        <v>overig elektra</v>
      </c>
      <c r="V228" s="177" t="str">
        <f t="shared" si="190"/>
        <v>mobiliteit</v>
      </c>
      <c r="W228" s="177" t="str">
        <f t="shared" si="190"/>
        <v>zonnepanelen</v>
      </c>
      <c r="X228" s="191"/>
      <c r="Y228" s="938"/>
      <c r="Z228" s="191"/>
      <c r="AA228" s="177" t="str">
        <f t="shared" ref="AA228:AI228" si="191">AA$10</f>
        <v>verwarming</v>
      </c>
      <c r="AB228" s="177" t="str">
        <f t="shared" si="191"/>
        <v>koeling</v>
      </c>
      <c r="AC228" s="177" t="str">
        <f t="shared" si="191"/>
        <v>tapwater</v>
      </c>
      <c r="AD228" s="177" t="str">
        <f t="shared" si="191"/>
        <v>verlichting</v>
      </c>
      <c r="AE228" s="177" t="str">
        <f t="shared" si="191"/>
        <v>ventilatoren</v>
      </c>
      <c r="AF228" s="177" t="str">
        <f t="shared" si="191"/>
        <v>kookgas</v>
      </c>
      <c r="AG228" s="177" t="str">
        <f t="shared" si="191"/>
        <v>overig elektra</v>
      </c>
      <c r="AH228" s="177" t="str">
        <f t="shared" si="191"/>
        <v>mobiliteit</v>
      </c>
      <c r="AI228" s="177" t="str">
        <f t="shared" si="191"/>
        <v>zonnepanelen</v>
      </c>
      <c r="AJ228" s="191"/>
      <c r="AK228" s="938"/>
      <c r="AL228" s="191"/>
      <c r="AM228" s="177" t="str">
        <f t="shared" ref="AM228:AU228" si="192">AM$10</f>
        <v>verwarming</v>
      </c>
      <c r="AN228" s="177" t="str">
        <f t="shared" si="192"/>
        <v>koeling</v>
      </c>
      <c r="AO228" s="177" t="str">
        <f t="shared" si="192"/>
        <v>tapwater</v>
      </c>
      <c r="AP228" s="177" t="str">
        <f t="shared" si="192"/>
        <v>verlichting</v>
      </c>
      <c r="AQ228" s="177" t="str">
        <f t="shared" si="192"/>
        <v>ventilatoren</v>
      </c>
      <c r="AR228" s="177" t="str">
        <f t="shared" si="192"/>
        <v>kookgas</v>
      </c>
      <c r="AS228" s="177" t="str">
        <f t="shared" si="192"/>
        <v>overig elektra</v>
      </c>
      <c r="AT228" s="177" t="str">
        <f t="shared" si="192"/>
        <v>mobiliteit</v>
      </c>
      <c r="AU228" s="177" t="str">
        <f t="shared" si="192"/>
        <v>zonnepanelen</v>
      </c>
      <c r="AV228" s="191"/>
      <c r="AW228" s="938"/>
      <c r="AX228" s="191"/>
      <c r="AY228" s="177" t="str">
        <f t="shared" ref="AY228:BG228" si="193">AY$10</f>
        <v>verwarming</v>
      </c>
      <c r="AZ228" s="177" t="str">
        <f t="shared" si="193"/>
        <v>koeling</v>
      </c>
      <c r="BA228" s="177" t="str">
        <f t="shared" si="193"/>
        <v>tapwater</v>
      </c>
      <c r="BB228" s="177" t="str">
        <f t="shared" si="193"/>
        <v>verlichting</v>
      </c>
      <c r="BC228" s="177" t="str">
        <f t="shared" si="193"/>
        <v>ventilatoren</v>
      </c>
      <c r="BD228" s="177" t="str">
        <f t="shared" si="193"/>
        <v>kookgas</v>
      </c>
      <c r="BE228" s="177" t="str">
        <f t="shared" si="193"/>
        <v>overig elektra</v>
      </c>
      <c r="BF228" s="177" t="str">
        <f t="shared" si="193"/>
        <v>mobiliteit</v>
      </c>
      <c r="BG228" s="177" t="str">
        <f t="shared" si="193"/>
        <v>zonnepanelen</v>
      </c>
      <c r="BH228" s="36"/>
    </row>
    <row r="229" spans="1:60">
      <c r="A229" s="1040"/>
      <c r="B229" s="1109" t="s">
        <v>236</v>
      </c>
      <c r="C229" s="1107" t="s">
        <v>104</v>
      </c>
      <c r="D229" s="641"/>
      <c r="E229" s="180" t="s">
        <v>239</v>
      </c>
      <c r="F229" s="180"/>
      <c r="G229" s="180"/>
      <c r="H229" s="201" t="str">
        <f>m3gas&amp;"/won.geb"</f>
        <v>m3/won.geb</v>
      </c>
      <c r="I229" s="114"/>
      <c r="J229" s="202"/>
      <c r="K229" s="234"/>
      <c r="L229" s="234"/>
      <c r="M229" s="190">
        <f>SUM(N229:X229)</f>
        <v>0</v>
      </c>
      <c r="N229" s="119"/>
      <c r="O229" s="183">
        <f>IF(O$27=0,0,((AND(O$84=gebouw,O$105=aardgas))*O$116+(AND(O$84=gebouw,O$141=aardgas))*O$147)*1000/bibliotheek!$I$508/O$27)</f>
        <v>0</v>
      </c>
      <c r="P229" s="183">
        <f>IF(P$27=0,0,((AND(P$84=gebouw,P$105=aardgas))*P$116+(AND(P$84=gebouw,P$141=aardgas))*P$147)*1000/bibliotheek!$I$508/P$27)</f>
        <v>0</v>
      </c>
      <c r="Q229" s="183">
        <f>IF(Q$27=0,0,((AND(Q$84=gebouw,Q$105=aardgas))*Q$116+(AND(Q$84=gebouw,Q$141=aardgas))*Q$147)*1000/bibliotheek!$I$508/Q$27)</f>
        <v>0</v>
      </c>
      <c r="R229" s="310"/>
      <c r="S229" s="310"/>
      <c r="T229" s="183">
        <f>IF(T$27=0,0,T$78*1000/bibliotheek!$I$508/T$27)</f>
        <v>0</v>
      </c>
      <c r="U229" s="310"/>
      <c r="V229" s="310"/>
      <c r="W229" s="310"/>
      <c r="X229" s="108"/>
      <c r="Y229" s="190">
        <f>SUM(Z229:AJ229)</f>
        <v>0</v>
      </c>
      <c r="Z229" s="119"/>
      <c r="AA229" s="183">
        <f>IF(AA$27=0,0,((AND(AA$84=gebouw,AA$105=aardgas))*AA$116+(AND(AA$84=gebouw,AA$141=aardgas))*AA$147)*1000/bibliotheek!$I$508/AA$27)</f>
        <v>0</v>
      </c>
      <c r="AB229" s="183">
        <f>IF(AB$27=0,0,((AND(AB$84=gebouw,AB$105=aardgas))*AB$116+(AND(AB$84=gebouw,AB$141=aardgas))*AB$147)*1000/bibliotheek!$I$508/AB$27)</f>
        <v>0</v>
      </c>
      <c r="AC229" s="183">
        <f>IF(AC$27=0,0,((AND(AC$84=gebouw,AC$105=aardgas))*AC$116+(AND(AC$84=gebouw,AC$141=aardgas))*AC$147)*1000/bibliotheek!$I$508/AC$27)</f>
        <v>0</v>
      </c>
      <c r="AD229" s="310"/>
      <c r="AE229" s="310"/>
      <c r="AF229" s="183">
        <f>IF(AF$27=0,0,AF$78*1000/bibliotheek!$I$508/AF$27)</f>
        <v>0</v>
      </c>
      <c r="AG229" s="310"/>
      <c r="AH229" s="310"/>
      <c r="AI229" s="310"/>
      <c r="AJ229" s="108"/>
      <c r="AK229" s="190">
        <f>SUM(AL229:AV229)</f>
        <v>0</v>
      </c>
      <c r="AL229" s="119"/>
      <c r="AM229" s="183">
        <f>IF(AM$27=0,0,((AND(AM$84=gebouw,AM$105=aardgas))*AM$116+(AND(AM$84=gebouw,AM$141=aardgas))*AM$147)*1000/bibliotheek!$I$508/AM$27)</f>
        <v>0</v>
      </c>
      <c r="AN229" s="183">
        <f>IF(AN$27=0,0,((AND(AN$84=gebouw,AN$105=aardgas))*AN$116+(AND(AN$84=gebouw,AN$141=aardgas))*AN$147)*1000/bibliotheek!$I$508/AN$27)</f>
        <v>0</v>
      </c>
      <c r="AO229" s="183">
        <f>IF(AO$27=0,0,((AND(AO$84=gebouw,AO$105=aardgas))*AO$116+(AND(AO$84=gebouw,AO$141=aardgas))*AO$147)*1000/bibliotheek!$I$508/AO$27)</f>
        <v>0</v>
      </c>
      <c r="AP229" s="310"/>
      <c r="AQ229" s="310"/>
      <c r="AR229" s="183">
        <f>IF(AR$27=0,0,AR$78*1000/bibliotheek!$I$508/AR$27)</f>
        <v>0</v>
      </c>
      <c r="AS229" s="310"/>
      <c r="AT229" s="310"/>
      <c r="AU229" s="310"/>
      <c r="AV229" s="108"/>
      <c r="AW229" s="190">
        <f>SUM(AX229:BH229)</f>
        <v>0</v>
      </c>
      <c r="AX229" s="119"/>
      <c r="AY229" s="183">
        <f>IF(AY$27=0,0,((AND(AY$84=gebouw,AY$105=aardgas))*AY$116+(AND(AY$84=gebouw,AY$141=aardgas))*AY$147)*1000/bibliotheek!$I$508/AY$27)</f>
        <v>0</v>
      </c>
      <c r="AZ229" s="183">
        <f>IF(AZ$27=0,0,((AND(AZ$84=gebouw,AZ$105=aardgas))*AZ$116+(AND(AZ$84=gebouw,AZ$141=aardgas))*AZ$147)*1000/bibliotheek!$I$508/AZ$27)</f>
        <v>0</v>
      </c>
      <c r="BA229" s="183">
        <f>IF(BA$27=0,0,((AND(BA$84=gebouw,BA$105=aardgas))*BA$116+(AND(BA$84=gebouw,BA$141=aardgas))*BA$147)*1000/bibliotheek!$I$508/BA$27)</f>
        <v>0</v>
      </c>
      <c r="BB229" s="310"/>
      <c r="BC229" s="310"/>
      <c r="BD229" s="183">
        <f>IF(BD$27=0,0,BD$78*1000/bibliotheek!$I$508/BD$27)</f>
        <v>0</v>
      </c>
      <c r="BE229" s="310"/>
      <c r="BF229" s="310"/>
      <c r="BG229" s="310"/>
      <c r="BH229" s="210"/>
    </row>
    <row r="230" spans="1:60">
      <c r="A230" s="1040"/>
      <c r="B230" s="1109" t="s">
        <v>236</v>
      </c>
      <c r="C230" s="1107" t="s">
        <v>104</v>
      </c>
      <c r="D230" s="641"/>
      <c r="E230" s="180" t="s">
        <v>145</v>
      </c>
      <c r="F230" s="180"/>
      <c r="G230" s="180"/>
      <c r="H230" s="201" t="str">
        <f>kWh&amp;"/won.geb"</f>
        <v>kWh/won.geb</v>
      </c>
      <c r="I230" s="114"/>
      <c r="J230" s="202"/>
      <c r="K230" s="234"/>
      <c r="L230" s="234"/>
      <c r="M230" s="190">
        <f>SUM(N230:X230)</f>
        <v>0</v>
      </c>
      <c r="N230" s="119"/>
      <c r="O230" s="183">
        <f>IF(O$27=0,0,(O$190-O$187)*1000/O$27)</f>
        <v>0</v>
      </c>
      <c r="P230" s="183">
        <f>IF(OR(P$27=0,P$31=0),0,(P$190-P$187)*1000/P$27)</f>
        <v>0</v>
      </c>
      <c r="Q230" s="183">
        <f>IF(OR(Q$27=0,Q$31=0),0,(Q$190-Q$187)*1000/Q$27)</f>
        <v>0</v>
      </c>
      <c r="R230" s="183">
        <f>IF(R$27=0,0,R$190*1000/R$27)</f>
        <v>0</v>
      </c>
      <c r="S230" s="183">
        <f>IF(S$27=0,0,S$190*1000/S$27)</f>
        <v>0</v>
      </c>
      <c r="T230" s="273"/>
      <c r="U230" s="183">
        <f>IF(U$27=0,0,U$190*1000/U$27)</f>
        <v>0</v>
      </c>
      <c r="V230" s="183">
        <f>IF(V$27=0,0,V$190*1000/V$27)</f>
        <v>0</v>
      </c>
      <c r="W230" s="183">
        <f>IF(W$27=0,0,-W$186*1000/W$27)</f>
        <v>0</v>
      </c>
      <c r="X230" s="108"/>
      <c r="Y230" s="190">
        <f>SUM(Z230:AJ230)</f>
        <v>0</v>
      </c>
      <c r="Z230" s="119"/>
      <c r="AA230" s="183">
        <f>IF(AA$27=0,0,(AA$190-AA$187)*1000/AA$27)</f>
        <v>0</v>
      </c>
      <c r="AB230" s="183">
        <f>IF(OR(AB$27=0,AB$31=0),0,(AB$190-AB$187)*1000/AB$27)</f>
        <v>0</v>
      </c>
      <c r="AC230" s="183">
        <f>IF(OR(AC$27=0,AC$31=0),0,(AC$190-AC$187)*1000/AC$27)</f>
        <v>0</v>
      </c>
      <c r="AD230" s="183">
        <f>IF(AD$27=0,0,AD$190*1000/AD$27)</f>
        <v>0</v>
      </c>
      <c r="AE230" s="183">
        <f>IF(AE$27=0,0,AE$190*1000/AE$27)</f>
        <v>0</v>
      </c>
      <c r="AF230" s="273"/>
      <c r="AG230" s="183">
        <f>IF(AG$27=0,0,AG$190*1000/AG$27)</f>
        <v>0</v>
      </c>
      <c r="AH230" s="183">
        <f>IF(AH$27=0,0,AH$190*1000/AH$27)</f>
        <v>0</v>
      </c>
      <c r="AI230" s="183">
        <f>IF(AI$27=0,0,-AI$186*1000/AI$27)</f>
        <v>0</v>
      </c>
      <c r="AJ230" s="108"/>
      <c r="AK230" s="190">
        <f>SUM(AL230:AV230)</f>
        <v>0</v>
      </c>
      <c r="AL230" s="119"/>
      <c r="AM230" s="183">
        <f>IF(AM$27=0,0,(AM$190-AM$187)*1000/AM$27)</f>
        <v>0</v>
      </c>
      <c r="AN230" s="183">
        <f>IF(OR(AN$27=0,AN$31=0),0,(AN$190-AN$187)*1000/AN$27)</f>
        <v>0</v>
      </c>
      <c r="AO230" s="183">
        <f>IF(OR(AO$27=0,AO$31=0),0,(AO$190-AO$187)*1000/AO$27)</f>
        <v>0</v>
      </c>
      <c r="AP230" s="183">
        <f>IF(AP$27=0,0,AP$190*1000/AP$27)</f>
        <v>0</v>
      </c>
      <c r="AQ230" s="183">
        <f>IF(AQ$27=0,0,AQ$190*1000/AQ$27)</f>
        <v>0</v>
      </c>
      <c r="AR230" s="168"/>
      <c r="AS230" s="183">
        <f>IF(AS$27=0,0,AS$190*1000/AS$27)</f>
        <v>0</v>
      </c>
      <c r="AT230" s="183">
        <f>IF(AT$27=0,0,AT$190*1000/AT$27)</f>
        <v>0</v>
      </c>
      <c r="AU230" s="183">
        <f>IF(AU$27=0,0,-AU$186*1000/AU$27)</f>
        <v>0</v>
      </c>
      <c r="AV230" s="108"/>
      <c r="AW230" s="190">
        <f>SUM(AX230:BH230)</f>
        <v>0</v>
      </c>
      <c r="AX230" s="119"/>
      <c r="AY230" s="183">
        <f>IF(AY$27=0,0,(AY$190-AY$187)*1000/AY$27)</f>
        <v>0</v>
      </c>
      <c r="AZ230" s="183">
        <f>IF(OR(AZ$27=0,AZ$31=0),0,(AZ$190-AZ$187)*1000/AZ$27)</f>
        <v>0</v>
      </c>
      <c r="BA230" s="183">
        <f>IF(OR(BA$27=0,BA$31=0),0,(BA$190-BA$187)*1000/BA$27)</f>
        <v>0</v>
      </c>
      <c r="BB230" s="183">
        <f>IF(BB$27=0,0,BB$190*1000/BB$27)</f>
        <v>0</v>
      </c>
      <c r="BC230" s="183">
        <f>IF(BC$27=0,0,BC$190*1000/BC$27)</f>
        <v>0</v>
      </c>
      <c r="BD230" s="273"/>
      <c r="BE230" s="183">
        <f>IF(BE$27=0,0,BE$190*1000/BE$27)</f>
        <v>0</v>
      </c>
      <c r="BF230" s="183">
        <f>IF(BF$27=0,0,BF$190*1000/BF$27)</f>
        <v>0</v>
      </c>
      <c r="BG230" s="183">
        <f>IF(BG$27=0,0,-BG$186*1000/BG$27)</f>
        <v>0</v>
      </c>
      <c r="BH230" s="210"/>
    </row>
    <row r="231" spans="1:60">
      <c r="A231" s="1040"/>
      <c r="B231" s="1109" t="s">
        <v>236</v>
      </c>
      <c r="C231" s="1107" t="s">
        <v>104</v>
      </c>
      <c r="D231" s="641"/>
      <c r="E231" s="180" t="s">
        <v>240</v>
      </c>
      <c r="F231" s="180"/>
      <c r="G231" s="180"/>
      <c r="H231" s="201" t="str">
        <f>GJ&amp;"/won.geb"</f>
        <v>GJ/won.geb</v>
      </c>
      <c r="I231" s="114"/>
      <c r="J231" s="202"/>
      <c r="K231" s="234"/>
      <c r="L231" s="234"/>
      <c r="M231" s="202">
        <f>SUM(N231:X231)</f>
        <v>0</v>
      </c>
      <c r="N231" s="89"/>
      <c r="O231" s="168">
        <f>IF(O$27=0,0,(O$84&lt;&gt;gebouw)*(O$78+O$88-O$91)*3.6/O$27)</f>
        <v>0</v>
      </c>
      <c r="P231" s="168">
        <f>IF(P$27=0,0,(P$84&lt;&gt;gebouw)*(P$78+P$88-P$91)*3.6/P$27)</f>
        <v>0</v>
      </c>
      <c r="Q231" s="168">
        <f>IF(Q$27=0,0,(Q$84&lt;&gt;gebouw)*(Q$78+Q$88-Q$91)*3.6/Q$27)</f>
        <v>0</v>
      </c>
      <c r="R231" s="273"/>
      <c r="S231" s="273"/>
      <c r="T231" s="273"/>
      <c r="U231" s="273"/>
      <c r="V231" s="273"/>
      <c r="W231" s="273"/>
      <c r="X231" s="113"/>
      <c r="Y231" s="202">
        <f>SUM(Z231:AJ231)</f>
        <v>0</v>
      </c>
      <c r="Z231" s="89"/>
      <c r="AA231" s="168">
        <f>IF(AA$27=0,0,(AA$84&lt;&gt;gebouw)*(AA$78+AA$88-AA$91)*3.6/AA$27)</f>
        <v>0</v>
      </c>
      <c r="AB231" s="168">
        <f>IF(AB$27=0,0,(AB$84&lt;&gt;gebouw)*(AB$78+AB$88-AB$91)*3.6/AB$27)</f>
        <v>0</v>
      </c>
      <c r="AC231" s="168">
        <f>IF(AC$27=0,0,(AC$84&lt;&gt;gebouw)*(AC$78+AC$88-AC$91)*3.6/AC$27)</f>
        <v>0</v>
      </c>
      <c r="AD231" s="273"/>
      <c r="AE231" s="273"/>
      <c r="AF231" s="273"/>
      <c r="AG231" s="273"/>
      <c r="AH231" s="273"/>
      <c r="AI231" s="273"/>
      <c r="AJ231" s="113"/>
      <c r="AK231" s="202">
        <f>SUM(AL231:AV231)</f>
        <v>0</v>
      </c>
      <c r="AL231" s="89"/>
      <c r="AM231" s="168">
        <f>IF(AM$27=0,0,(AM$84&lt;&gt;gebouw)*(AM$78+AM$88-AM$91)*3.6/AM$27)</f>
        <v>0</v>
      </c>
      <c r="AN231" s="168">
        <f>IF(AN$27=0,0,(AN$84&lt;&gt;gebouw)*(AN$78+AN$88-AN$91)*3.6/AN$27)</f>
        <v>0</v>
      </c>
      <c r="AO231" s="168">
        <f>IF(AO$27=0,0,(AO$84&lt;&gt;gebouw)*(AO$78+AO$88-AO$91)*3.6/AO$27)</f>
        <v>0</v>
      </c>
      <c r="AP231" s="168"/>
      <c r="AQ231" s="168"/>
      <c r="AR231" s="168"/>
      <c r="AS231" s="168"/>
      <c r="AT231" s="168"/>
      <c r="AU231" s="168"/>
      <c r="AV231" s="113"/>
      <c r="AW231" s="202">
        <f>SUM(AX231:BH231)</f>
        <v>0</v>
      </c>
      <c r="AX231" s="89"/>
      <c r="AY231" s="168">
        <f>IF(AY$27=0,0,(AY$84&lt;&gt;gebouw)*(AY$78+AY$88-AY$91)*3.6/AY$27)</f>
        <v>0</v>
      </c>
      <c r="AZ231" s="168">
        <f>IF(AZ$27=0,0,(AZ$84&lt;&gt;gebouw)*(AZ$78+AZ$88-AZ$91)*3.6/AZ$27)</f>
        <v>0</v>
      </c>
      <c r="BA231" s="168">
        <f>IF(BA$27=0,0,(BA$84&lt;&gt;gebouw)*(BA$78+BA$88-BA$91)*3.6/BA$27)</f>
        <v>0</v>
      </c>
      <c r="BB231" s="273"/>
      <c r="BC231" s="273"/>
      <c r="BD231" s="273"/>
      <c r="BE231" s="273"/>
      <c r="BF231" s="273"/>
      <c r="BG231" s="273"/>
      <c r="BH231" s="210"/>
    </row>
    <row r="232" spans="1:60">
      <c r="A232" s="1040"/>
      <c r="B232" s="1109" t="s">
        <v>236</v>
      </c>
      <c r="C232" s="1106" t="s">
        <v>96</v>
      </c>
      <c r="D232" s="641"/>
      <c r="E232" s="940" t="s">
        <v>241</v>
      </c>
      <c r="F232" s="940"/>
      <c r="G232" s="940"/>
      <c r="H232" s="940"/>
      <c r="I232" s="77"/>
      <c r="J232" s="939"/>
      <c r="K232" s="126"/>
      <c r="L232" s="126"/>
      <c r="M232" s="938"/>
      <c r="N232" s="191"/>
      <c r="O232" s="177" t="str">
        <f t="shared" ref="O232:W232" si="194">O$10</f>
        <v>verwarming</v>
      </c>
      <c r="P232" s="177" t="str">
        <f t="shared" si="194"/>
        <v>koeling</v>
      </c>
      <c r="Q232" s="177" t="str">
        <f t="shared" si="194"/>
        <v>tapwater</v>
      </c>
      <c r="R232" s="177" t="str">
        <f t="shared" si="194"/>
        <v>verlichting</v>
      </c>
      <c r="S232" s="177" t="str">
        <f t="shared" si="194"/>
        <v>ventilatoren</v>
      </c>
      <c r="T232" s="177" t="str">
        <f t="shared" si="194"/>
        <v>kookgas</v>
      </c>
      <c r="U232" s="177" t="str">
        <f t="shared" si="194"/>
        <v>overig elektra</v>
      </c>
      <c r="V232" s="177" t="str">
        <f t="shared" si="194"/>
        <v>mobiliteit</v>
      </c>
      <c r="W232" s="177" t="str">
        <f t="shared" si="194"/>
        <v>zonnepanelen</v>
      </c>
      <c r="X232" s="191"/>
      <c r="Y232" s="938"/>
      <c r="Z232" s="191"/>
      <c r="AA232" s="177" t="str">
        <f t="shared" ref="AA232:AI232" si="195">AA$10</f>
        <v>verwarming</v>
      </c>
      <c r="AB232" s="177" t="str">
        <f t="shared" si="195"/>
        <v>koeling</v>
      </c>
      <c r="AC232" s="177" t="str">
        <f t="shared" si="195"/>
        <v>tapwater</v>
      </c>
      <c r="AD232" s="177" t="str">
        <f t="shared" si="195"/>
        <v>verlichting</v>
      </c>
      <c r="AE232" s="177" t="str">
        <f t="shared" si="195"/>
        <v>ventilatoren</v>
      </c>
      <c r="AF232" s="177" t="str">
        <f t="shared" si="195"/>
        <v>kookgas</v>
      </c>
      <c r="AG232" s="177" t="str">
        <f t="shared" si="195"/>
        <v>overig elektra</v>
      </c>
      <c r="AH232" s="177" t="str">
        <f t="shared" si="195"/>
        <v>mobiliteit</v>
      </c>
      <c r="AI232" s="177" t="str">
        <f t="shared" si="195"/>
        <v>zonnepanelen</v>
      </c>
      <c r="AJ232" s="191"/>
      <c r="AK232" s="938"/>
      <c r="AL232" s="191"/>
      <c r="AM232" s="177" t="str">
        <f t="shared" ref="AM232:AU232" si="196">AM$10</f>
        <v>verwarming</v>
      </c>
      <c r="AN232" s="177" t="str">
        <f t="shared" si="196"/>
        <v>koeling</v>
      </c>
      <c r="AO232" s="177" t="str">
        <f t="shared" si="196"/>
        <v>tapwater</v>
      </c>
      <c r="AP232" s="177" t="str">
        <f t="shared" si="196"/>
        <v>verlichting</v>
      </c>
      <c r="AQ232" s="177" t="str">
        <f t="shared" si="196"/>
        <v>ventilatoren</v>
      </c>
      <c r="AR232" s="177" t="str">
        <f t="shared" si="196"/>
        <v>kookgas</v>
      </c>
      <c r="AS232" s="177" t="str">
        <f t="shared" si="196"/>
        <v>overig elektra</v>
      </c>
      <c r="AT232" s="177" t="str">
        <f t="shared" si="196"/>
        <v>mobiliteit</v>
      </c>
      <c r="AU232" s="177" t="str">
        <f t="shared" si="196"/>
        <v>zonnepanelen</v>
      </c>
      <c r="AV232" s="191"/>
      <c r="AW232" s="938"/>
      <c r="AX232" s="191"/>
      <c r="AY232" s="177" t="str">
        <f t="shared" ref="AY232:BG232" si="197">AY$10</f>
        <v>verwarming</v>
      </c>
      <c r="AZ232" s="177" t="str">
        <f t="shared" si="197"/>
        <v>koeling</v>
      </c>
      <c r="BA232" s="177" t="str">
        <f t="shared" si="197"/>
        <v>tapwater</v>
      </c>
      <c r="BB232" s="177" t="str">
        <f t="shared" si="197"/>
        <v>verlichting</v>
      </c>
      <c r="BC232" s="177" t="str">
        <f t="shared" si="197"/>
        <v>ventilatoren</v>
      </c>
      <c r="BD232" s="177" t="str">
        <f t="shared" si="197"/>
        <v>kookgas</v>
      </c>
      <c r="BE232" s="177" t="str">
        <f t="shared" si="197"/>
        <v>overig elektra</v>
      </c>
      <c r="BF232" s="177" t="str">
        <f t="shared" si="197"/>
        <v>mobiliteit</v>
      </c>
      <c r="BG232" s="177" t="str">
        <f t="shared" si="197"/>
        <v>zonnepanelen</v>
      </c>
      <c r="BH232" s="36"/>
    </row>
    <row r="233" spans="1:60">
      <c r="A233" s="1040"/>
      <c r="B233" s="1109" t="s">
        <v>236</v>
      </c>
      <c r="C233" s="1107" t="s">
        <v>104</v>
      </c>
      <c r="D233" s="641"/>
      <c r="E233" s="180" t="s">
        <v>239</v>
      </c>
      <c r="F233" s="180"/>
      <c r="G233" s="180"/>
      <c r="H233" s="201" t="s">
        <v>242</v>
      </c>
      <c r="I233" s="114"/>
      <c r="J233" s="202"/>
      <c r="K233" s="234"/>
      <c r="L233" s="234"/>
      <c r="M233" s="202">
        <f>IF(M$29=0,0,M229*M$22/M$29)</f>
        <v>0</v>
      </c>
      <c r="N233" s="89"/>
      <c r="O233" s="168">
        <f t="shared" ref="O233:Q235" si="198">IF(OR(O$31="",O$31=0),0,O$27*O229/O$31)</f>
        <v>0</v>
      </c>
      <c r="P233" s="168">
        <f t="shared" si="198"/>
        <v>0</v>
      </c>
      <c r="Q233" s="168">
        <f t="shared" si="198"/>
        <v>0</v>
      </c>
      <c r="R233" s="273"/>
      <c r="S233" s="273"/>
      <c r="T233" s="168">
        <f>IF(OR(T$31="",T$31=0),0,T$27*T229/T$31)</f>
        <v>0</v>
      </c>
      <c r="U233" s="273"/>
      <c r="V233" s="273"/>
      <c r="W233" s="273"/>
      <c r="X233" s="113"/>
      <c r="Y233" s="202">
        <f>IF(Y$29=0,0,Y229*Y$22/Y$29)</f>
        <v>0</v>
      </c>
      <c r="Z233" s="89"/>
      <c r="AA233" s="168">
        <f t="shared" ref="AA233:AC235" si="199">IF(OR(AA$31="",AA$31=0),0,AA$27*AA229/AA$31)</f>
        <v>0</v>
      </c>
      <c r="AB233" s="168">
        <f t="shared" si="199"/>
        <v>0</v>
      </c>
      <c r="AC233" s="168">
        <f t="shared" si="199"/>
        <v>0</v>
      </c>
      <c r="AD233" s="273"/>
      <c r="AE233" s="273"/>
      <c r="AF233" s="168">
        <f>IF(OR(AF$31="",AF$31=0),0,AF$27*AF229/AF$31)</f>
        <v>0</v>
      </c>
      <c r="AG233" s="273"/>
      <c r="AH233" s="273"/>
      <c r="AI233" s="273"/>
      <c r="AJ233" s="113"/>
      <c r="AK233" s="202">
        <f>IF(AK$29=0,0,AK229*AK$22/AK$29)</f>
        <v>0</v>
      </c>
      <c r="AL233" s="89"/>
      <c r="AM233" s="168">
        <f t="shared" ref="AM233:AO235" si="200">IF(OR(AM$31="",AM$31=0),0,AM$27*AM229/AM$31)</f>
        <v>0</v>
      </c>
      <c r="AN233" s="168">
        <f t="shared" si="200"/>
        <v>0</v>
      </c>
      <c r="AO233" s="168">
        <f t="shared" si="200"/>
        <v>0</v>
      </c>
      <c r="AP233" s="273"/>
      <c r="AQ233" s="273"/>
      <c r="AR233" s="168">
        <f>IF(OR(AR$31="",AR$31=0),0,AR$27*AR229/AR$31)</f>
        <v>0</v>
      </c>
      <c r="AS233" s="273"/>
      <c r="AT233" s="273"/>
      <c r="AU233" s="273"/>
      <c r="AV233" s="113"/>
      <c r="AW233" s="202">
        <f>IF(AW$29=0,0,AW229*AW$22/AW$29)</f>
        <v>0</v>
      </c>
      <c r="AX233" s="89"/>
      <c r="AY233" s="168">
        <f t="shared" ref="AY233:BA235" si="201">IF(OR(AY$31="",AY$31=0),0,AY$27*AY229/AY$31)</f>
        <v>0</v>
      </c>
      <c r="AZ233" s="168">
        <f t="shared" si="201"/>
        <v>0</v>
      </c>
      <c r="BA233" s="168">
        <f t="shared" si="201"/>
        <v>0</v>
      </c>
      <c r="BB233" s="273"/>
      <c r="BC233" s="273"/>
      <c r="BD233" s="168">
        <f>IF(OR(BD$31="",BD$31=0),0,BD$27*BD229/BD$31)</f>
        <v>0</v>
      </c>
      <c r="BE233" s="273"/>
      <c r="BF233" s="273"/>
      <c r="BG233" s="273"/>
      <c r="BH233" s="210"/>
    </row>
    <row r="234" spans="1:60">
      <c r="A234" s="1040"/>
      <c r="B234" s="1109" t="s">
        <v>236</v>
      </c>
      <c r="C234" s="1107" t="s">
        <v>104</v>
      </c>
      <c r="D234" s="641"/>
      <c r="E234" s="180" t="s">
        <v>145</v>
      </c>
      <c r="F234" s="180"/>
      <c r="G234" s="180"/>
      <c r="H234" s="201" t="s">
        <v>154</v>
      </c>
      <c r="I234" s="114"/>
      <c r="J234" s="202"/>
      <c r="K234" s="234"/>
      <c r="L234" s="234"/>
      <c r="M234" s="202">
        <f>IF(M$29=0,0,M230*M$22/M$29)</f>
        <v>0</v>
      </c>
      <c r="N234" s="89"/>
      <c r="O234" s="168">
        <f t="shared" si="198"/>
        <v>0</v>
      </c>
      <c r="P234" s="168">
        <f t="shared" si="198"/>
        <v>0</v>
      </c>
      <c r="Q234" s="168">
        <f t="shared" si="198"/>
        <v>0</v>
      </c>
      <c r="R234" s="168">
        <f>IF(OR(R$31="",R$31=0),0,R$27*R230/R$31)</f>
        <v>0</v>
      </c>
      <c r="S234" s="168">
        <f>IF(OR(S$31="",S$31=0),0,S$27*S230/S$31)</f>
        <v>0</v>
      </c>
      <c r="T234" s="273"/>
      <c r="U234" s="168">
        <f>IF(OR(U$31="",U$31=0),0,U$27*U230/U$31)</f>
        <v>0</v>
      </c>
      <c r="V234" s="168">
        <f>IF(OR(V$31="",V$31=0),0,V$27*V230/V$31)</f>
        <v>0</v>
      </c>
      <c r="W234" s="168">
        <f>IF(OR(W$31="",W$31=0),0,W$27*W230/W$31)</f>
        <v>0</v>
      </c>
      <c r="X234" s="113"/>
      <c r="Y234" s="202">
        <f>IF(Y$29=0,0,Y230*Y$22/Y$29)</f>
        <v>0</v>
      </c>
      <c r="Z234" s="89"/>
      <c r="AA234" s="168">
        <f t="shared" si="199"/>
        <v>0</v>
      </c>
      <c r="AB234" s="168">
        <f t="shared" si="199"/>
        <v>0</v>
      </c>
      <c r="AC234" s="168">
        <f t="shared" si="199"/>
        <v>0</v>
      </c>
      <c r="AD234" s="168">
        <f>IF(OR(AD$31="",AD$31=0),0,AD$27*AD230/AD$31)</f>
        <v>0</v>
      </c>
      <c r="AE234" s="168">
        <f>IF(OR(AE$31="",AE$31=0),0,AE$27*AE230/AE$31)</f>
        <v>0</v>
      </c>
      <c r="AF234" s="273"/>
      <c r="AG234" s="168">
        <f>IF(OR(AG$31="",AG$31=0),0,AG$27*AG230/AG$31)</f>
        <v>0</v>
      </c>
      <c r="AH234" s="168">
        <f>IF(OR(AH$31="",AH$31=0),0,AH$27*AH230/AH$31)</f>
        <v>0</v>
      </c>
      <c r="AI234" s="168">
        <f>IF(OR(AI$31="",AI$31=0),0,AI$27*AI230/AI$31)</f>
        <v>0</v>
      </c>
      <c r="AJ234" s="113"/>
      <c r="AK234" s="202">
        <f>IF(AK$29=0,0,AK230*AK$22/AK$29)</f>
        <v>0</v>
      </c>
      <c r="AL234" s="89"/>
      <c r="AM234" s="168">
        <f t="shared" si="200"/>
        <v>0</v>
      </c>
      <c r="AN234" s="168">
        <f t="shared" si="200"/>
        <v>0</v>
      </c>
      <c r="AO234" s="168">
        <f t="shared" si="200"/>
        <v>0</v>
      </c>
      <c r="AP234" s="168">
        <f>IF(OR(AP$31="",AP$31=0),0,AP$27*AP230/AP$31)</f>
        <v>0</v>
      </c>
      <c r="AQ234" s="168">
        <f>IF(OR(AQ$31="",AQ$31=0),0,AQ$27*AQ230/AQ$31)</f>
        <v>0</v>
      </c>
      <c r="AR234" s="273"/>
      <c r="AS234" s="168">
        <f>IF(OR(AS$31="",AS$31=0),0,AS$27*AS230/AS$31)</f>
        <v>0</v>
      </c>
      <c r="AT234" s="168">
        <f>IF(OR(AT$31="",AT$31=0),0,AT$27*AT230/AT$31)</f>
        <v>0</v>
      </c>
      <c r="AU234" s="168">
        <f>IF(OR(AU$31="",AU$31=0),0,AU$27*AU230/AU$31)</f>
        <v>0</v>
      </c>
      <c r="AV234" s="113"/>
      <c r="AW234" s="202">
        <f>IF(AW$29=0,0,AW230*AW$22/AW$29)</f>
        <v>0</v>
      </c>
      <c r="AX234" s="89"/>
      <c r="AY234" s="168">
        <f t="shared" si="201"/>
        <v>0</v>
      </c>
      <c r="AZ234" s="168">
        <f t="shared" si="201"/>
        <v>0</v>
      </c>
      <c r="BA234" s="168">
        <f t="shared" si="201"/>
        <v>0</v>
      </c>
      <c r="BB234" s="168">
        <f>IF(OR(BB$31="",BB$31=0),0,BB$27*BB230/BB$31)</f>
        <v>0</v>
      </c>
      <c r="BC234" s="168">
        <f>IF(OR(BC$31="",BC$31=0),0,BC$27*BC230/BC$31)</f>
        <v>0</v>
      </c>
      <c r="BD234" s="273"/>
      <c r="BE234" s="168">
        <f>IF(OR(BE$31="",BE$31=0),0,BE$27*BE230/BE$31)</f>
        <v>0</v>
      </c>
      <c r="BF234" s="168">
        <f>IF(OR(BF$31="",BF$31=0),0,BF$27*BF230/BF$31)</f>
        <v>0</v>
      </c>
      <c r="BG234" s="168">
        <f>IF(OR(BG$31="",BG$31=0),0,BG$27*BG230/BG$31)</f>
        <v>0</v>
      </c>
      <c r="BH234" s="210"/>
    </row>
    <row r="235" spans="1:60">
      <c r="A235" s="1040"/>
      <c r="B235" s="1109" t="s">
        <v>236</v>
      </c>
      <c r="C235" s="1107" t="s">
        <v>104</v>
      </c>
      <c r="D235" s="641"/>
      <c r="E235" s="180" t="s">
        <v>240</v>
      </c>
      <c r="F235" s="180"/>
      <c r="G235" s="180"/>
      <c r="H235" s="201" t="s">
        <v>243</v>
      </c>
      <c r="I235" s="114"/>
      <c r="J235" s="202"/>
      <c r="K235" s="234"/>
      <c r="L235" s="234"/>
      <c r="M235" s="202">
        <f>IF(M$29=0,0,M231*M$22/M$29)</f>
        <v>0</v>
      </c>
      <c r="N235" s="89"/>
      <c r="O235" s="168">
        <f t="shared" si="198"/>
        <v>0</v>
      </c>
      <c r="P235" s="168">
        <f t="shared" si="198"/>
        <v>0</v>
      </c>
      <c r="Q235" s="168">
        <f t="shared" si="198"/>
        <v>0</v>
      </c>
      <c r="R235" s="273"/>
      <c r="S235" s="273"/>
      <c r="T235" s="273"/>
      <c r="U235" s="273"/>
      <c r="V235" s="273"/>
      <c r="W235" s="273"/>
      <c r="X235" s="113"/>
      <c r="Y235" s="202">
        <f>IF(Y$29=0,0,Y231*Y$22/Y$29)</f>
        <v>0</v>
      </c>
      <c r="Z235" s="89"/>
      <c r="AA235" s="168">
        <f t="shared" si="199"/>
        <v>0</v>
      </c>
      <c r="AB235" s="168">
        <f t="shared" si="199"/>
        <v>0</v>
      </c>
      <c r="AC235" s="168">
        <f t="shared" si="199"/>
        <v>0</v>
      </c>
      <c r="AD235" s="273"/>
      <c r="AE235" s="273"/>
      <c r="AF235" s="273"/>
      <c r="AG235" s="273"/>
      <c r="AH235" s="273"/>
      <c r="AI235" s="273"/>
      <c r="AJ235" s="113"/>
      <c r="AK235" s="202">
        <f>IF(AK$29=0,0,AK231*AK$22/AK$29)</f>
        <v>0</v>
      </c>
      <c r="AL235" s="89"/>
      <c r="AM235" s="168">
        <f t="shared" si="200"/>
        <v>0</v>
      </c>
      <c r="AN235" s="168">
        <f t="shared" si="200"/>
        <v>0</v>
      </c>
      <c r="AO235" s="168">
        <f t="shared" si="200"/>
        <v>0</v>
      </c>
      <c r="AP235" s="273"/>
      <c r="AQ235" s="273"/>
      <c r="AR235" s="273"/>
      <c r="AS235" s="273"/>
      <c r="AT235" s="273"/>
      <c r="AU235" s="273"/>
      <c r="AV235" s="113"/>
      <c r="AW235" s="202">
        <f>IF(AW$29=0,0,AW231*AW$22/AW$29)</f>
        <v>0</v>
      </c>
      <c r="AX235" s="89"/>
      <c r="AY235" s="168">
        <f t="shared" si="201"/>
        <v>0</v>
      </c>
      <c r="AZ235" s="168">
        <f t="shared" si="201"/>
        <v>0</v>
      </c>
      <c r="BA235" s="168">
        <f t="shared" si="201"/>
        <v>0</v>
      </c>
      <c r="BB235" s="273"/>
      <c r="BC235" s="273"/>
      <c r="BD235" s="273"/>
      <c r="BE235" s="273"/>
      <c r="BF235" s="273"/>
      <c r="BG235" s="273"/>
      <c r="BH235" s="210"/>
    </row>
    <row r="236" spans="1:60">
      <c r="A236" s="1040"/>
      <c r="B236" s="1109" t="s">
        <v>236</v>
      </c>
      <c r="C236" s="1106" t="s">
        <v>96</v>
      </c>
      <c r="D236" s="638"/>
      <c r="E236" s="79"/>
      <c r="F236" s="79"/>
      <c r="G236" s="79"/>
      <c r="H236" s="85"/>
      <c r="I236" s="79"/>
      <c r="J236" s="82"/>
      <c r="K236" s="79"/>
      <c r="L236" s="79"/>
      <c r="M236" s="82"/>
      <c r="N236" s="79"/>
      <c r="O236" s="82"/>
      <c r="P236" s="82"/>
      <c r="Q236" s="82"/>
      <c r="R236" s="82"/>
      <c r="S236" s="82"/>
      <c r="T236" s="82"/>
      <c r="U236" s="82"/>
      <c r="V236" s="82"/>
      <c r="W236" s="82"/>
      <c r="X236" s="82"/>
      <c r="Y236" s="82"/>
      <c r="Z236" s="79"/>
      <c r="AA236" s="82"/>
      <c r="AB236" s="82"/>
      <c r="AC236" s="82"/>
      <c r="AD236" s="82"/>
      <c r="AE236" s="82"/>
      <c r="AF236" s="82"/>
      <c r="AG236" s="82"/>
      <c r="AH236" s="82"/>
      <c r="AI236" s="82"/>
      <c r="AJ236" s="82"/>
      <c r="AK236" s="82"/>
      <c r="AL236" s="79"/>
      <c r="AM236" s="79"/>
      <c r="AN236" s="79"/>
      <c r="AO236" s="79"/>
      <c r="AP236" s="79"/>
      <c r="AQ236" s="79"/>
      <c r="AR236" s="79"/>
      <c r="AS236" s="79"/>
      <c r="AT236" s="79"/>
      <c r="AU236" s="82"/>
      <c r="AV236" s="82"/>
      <c r="AW236" s="82"/>
      <c r="AX236" s="79"/>
      <c r="AY236" s="82"/>
      <c r="AZ236" s="82"/>
      <c r="BA236" s="82"/>
      <c r="BB236" s="82"/>
      <c r="BC236" s="82"/>
      <c r="BD236" s="82"/>
      <c r="BE236" s="82"/>
      <c r="BF236" s="82"/>
      <c r="BG236" s="82"/>
      <c r="BH236" s="1"/>
    </row>
    <row r="237" spans="1:60">
      <c r="A237" s="1040"/>
      <c r="B237" s="1109" t="s">
        <v>1218</v>
      </c>
      <c r="C237" s="1107" t="s">
        <v>96</v>
      </c>
      <c r="D237" s="638"/>
      <c r="E237" s="79"/>
      <c r="F237" s="79"/>
      <c r="G237" s="79"/>
      <c r="H237" s="85"/>
      <c r="I237" s="79"/>
      <c r="J237" s="82"/>
      <c r="K237" s="79"/>
      <c r="L237" s="79"/>
      <c r="M237" s="82"/>
      <c r="N237" s="79"/>
      <c r="O237" s="82"/>
      <c r="P237" s="82"/>
      <c r="Q237" s="82"/>
      <c r="R237" s="82"/>
      <c r="S237" s="82"/>
      <c r="T237" s="82"/>
      <c r="U237" s="82"/>
      <c r="V237" s="82"/>
      <c r="W237" s="82"/>
      <c r="X237" s="82"/>
      <c r="Y237" s="82"/>
      <c r="Z237" s="79"/>
      <c r="AA237" s="82"/>
      <c r="AB237" s="82"/>
      <c r="AC237" s="82"/>
      <c r="AD237" s="82"/>
      <c r="AE237" s="82"/>
      <c r="AF237" s="82"/>
      <c r="AG237" s="82"/>
      <c r="AH237" s="82"/>
      <c r="AI237" s="82"/>
      <c r="AJ237" s="82"/>
      <c r="AK237" s="82"/>
      <c r="AL237" s="79"/>
      <c r="AM237" s="82"/>
      <c r="AN237" s="82"/>
      <c r="AO237" s="82"/>
      <c r="AP237" s="82"/>
      <c r="AQ237" s="82"/>
      <c r="AR237" s="82"/>
      <c r="AS237" s="82"/>
      <c r="AT237" s="82"/>
      <c r="AU237" s="82"/>
      <c r="AV237" s="82"/>
      <c r="AW237" s="82"/>
      <c r="AX237" s="79"/>
      <c r="AY237" s="82"/>
      <c r="AZ237" s="82"/>
      <c r="BA237" s="82"/>
      <c r="BB237" s="82"/>
      <c r="BC237" s="82"/>
      <c r="BD237" s="82"/>
      <c r="BE237" s="82"/>
      <c r="BF237" s="82"/>
      <c r="BG237" s="82"/>
      <c r="BH237" s="1"/>
    </row>
    <row r="238" spans="1:60" ht="21">
      <c r="A238" s="1040"/>
      <c r="B238" s="1109" t="s">
        <v>1218</v>
      </c>
      <c r="C238" s="1106" t="s">
        <v>96</v>
      </c>
      <c r="D238" s="638"/>
      <c r="E238" s="1181" t="s">
        <v>1356</v>
      </c>
      <c r="F238" s="199"/>
      <c r="G238" s="692"/>
      <c r="H238" s="199"/>
      <c r="I238" s="77"/>
      <c r="J238" s="200" t="str">
        <f>J$10</f>
        <v>alle locaties</v>
      </c>
      <c r="K238" s="126"/>
      <c r="L238" s="126"/>
      <c r="M238" s="200" t="str">
        <f>M$10</f>
        <v>locatie 1</v>
      </c>
      <c r="N238" s="182"/>
      <c r="O238" s="966" t="str">
        <f>$E238&amp;" per energiepost"</f>
        <v>primair fossiel energiegebruik per energiepost per energiepost</v>
      </c>
      <c r="P238" s="941"/>
      <c r="Q238" s="941"/>
      <c r="R238" s="941"/>
      <c r="S238" s="941"/>
      <c r="T238" s="941"/>
      <c r="U238" s="941"/>
      <c r="V238" s="941"/>
      <c r="W238" s="956"/>
      <c r="X238" s="174"/>
      <c r="Y238" s="200" t="str">
        <f>Y$10</f>
        <v>locatie 2</v>
      </c>
      <c r="Z238" s="182"/>
      <c r="AA238" s="966" t="str">
        <f>$E238&amp;" per energiepost"</f>
        <v>primair fossiel energiegebruik per energiepost per energiepost</v>
      </c>
      <c r="AB238" s="941"/>
      <c r="AC238" s="941"/>
      <c r="AD238" s="941"/>
      <c r="AE238" s="941"/>
      <c r="AF238" s="941"/>
      <c r="AG238" s="941"/>
      <c r="AH238" s="941"/>
      <c r="AI238" s="956"/>
      <c r="AJ238" s="174"/>
      <c r="AK238" s="200" t="str">
        <f>AK$10</f>
        <v>locatie 3</v>
      </c>
      <c r="AL238" s="182"/>
      <c r="AM238" s="966" t="str">
        <f>$E238&amp;" per energiepost"</f>
        <v>primair fossiel energiegebruik per energiepost per energiepost</v>
      </c>
      <c r="AN238" s="941"/>
      <c r="AO238" s="941"/>
      <c r="AP238" s="941"/>
      <c r="AQ238" s="941"/>
      <c r="AR238" s="941"/>
      <c r="AS238" s="941"/>
      <c r="AT238" s="941"/>
      <c r="AU238" s="956"/>
      <c r="AV238" s="174"/>
      <c r="AW238" s="200" t="str">
        <f>AW$10</f>
        <v>locatie 4</v>
      </c>
      <c r="AX238" s="182"/>
      <c r="AY238" s="966" t="str">
        <f>$E238&amp;" per energiepost"</f>
        <v>primair fossiel energiegebruik per energiepost per energiepost</v>
      </c>
      <c r="AZ238" s="941"/>
      <c r="BA238" s="941"/>
      <c r="BB238" s="941"/>
      <c r="BC238" s="941"/>
      <c r="BD238" s="941"/>
      <c r="BE238" s="941"/>
      <c r="BF238" s="941"/>
      <c r="BG238" s="956"/>
      <c r="BH238" s="1"/>
    </row>
    <row r="239" spans="1:60">
      <c r="A239" s="1040"/>
      <c r="B239" s="1109" t="s">
        <v>1218</v>
      </c>
      <c r="C239" s="1106" t="s">
        <v>96</v>
      </c>
      <c r="D239" s="638"/>
      <c r="E239" s="940" t="s">
        <v>1316</v>
      </c>
      <c r="F239" s="940"/>
      <c r="G239" s="940"/>
      <c r="H239" s="940"/>
      <c r="I239" s="77"/>
      <c r="J239" s="939"/>
      <c r="K239" s="126"/>
      <c r="L239" s="126"/>
      <c r="M239" s="938"/>
      <c r="N239" s="191"/>
      <c r="O239" s="177" t="str">
        <f t="shared" ref="O239:W239" si="202">O$10</f>
        <v>verwarming</v>
      </c>
      <c r="P239" s="177" t="str">
        <f t="shared" si="202"/>
        <v>koeling</v>
      </c>
      <c r="Q239" s="177" t="str">
        <f t="shared" si="202"/>
        <v>tapwater</v>
      </c>
      <c r="R239" s="177" t="str">
        <f t="shared" si="202"/>
        <v>verlichting</v>
      </c>
      <c r="S239" s="177" t="str">
        <f t="shared" si="202"/>
        <v>ventilatoren</v>
      </c>
      <c r="T239" s="177" t="str">
        <f t="shared" si="202"/>
        <v>kookgas</v>
      </c>
      <c r="U239" s="177" t="str">
        <f t="shared" si="202"/>
        <v>overig elektra</v>
      </c>
      <c r="V239" s="177" t="str">
        <f t="shared" si="202"/>
        <v>mobiliteit</v>
      </c>
      <c r="W239" s="177" t="str">
        <f t="shared" si="202"/>
        <v>zonnepanelen</v>
      </c>
      <c r="X239" s="191"/>
      <c r="Y239" s="938"/>
      <c r="Z239" s="191"/>
      <c r="AA239" s="177" t="str">
        <f t="shared" ref="AA239:AI239" si="203">AA$10</f>
        <v>verwarming</v>
      </c>
      <c r="AB239" s="177" t="str">
        <f t="shared" si="203"/>
        <v>koeling</v>
      </c>
      <c r="AC239" s="177" t="str">
        <f t="shared" si="203"/>
        <v>tapwater</v>
      </c>
      <c r="AD239" s="177" t="str">
        <f t="shared" si="203"/>
        <v>verlichting</v>
      </c>
      <c r="AE239" s="177" t="str">
        <f t="shared" si="203"/>
        <v>ventilatoren</v>
      </c>
      <c r="AF239" s="177" t="str">
        <f t="shared" si="203"/>
        <v>kookgas</v>
      </c>
      <c r="AG239" s="177" t="str">
        <f t="shared" si="203"/>
        <v>overig elektra</v>
      </c>
      <c r="AH239" s="177" t="str">
        <f t="shared" si="203"/>
        <v>mobiliteit</v>
      </c>
      <c r="AI239" s="177" t="str">
        <f t="shared" si="203"/>
        <v>zonnepanelen</v>
      </c>
      <c r="AJ239" s="191"/>
      <c r="AK239" s="938"/>
      <c r="AL239" s="191"/>
      <c r="AM239" s="177" t="str">
        <f t="shared" ref="AM239:AU239" si="204">AM$10</f>
        <v>verwarming</v>
      </c>
      <c r="AN239" s="177" t="str">
        <f t="shared" si="204"/>
        <v>koeling</v>
      </c>
      <c r="AO239" s="177" t="str">
        <f t="shared" si="204"/>
        <v>tapwater</v>
      </c>
      <c r="AP239" s="177" t="str">
        <f t="shared" si="204"/>
        <v>verlichting</v>
      </c>
      <c r="AQ239" s="177" t="str">
        <f t="shared" si="204"/>
        <v>ventilatoren</v>
      </c>
      <c r="AR239" s="177" t="str">
        <f t="shared" si="204"/>
        <v>kookgas</v>
      </c>
      <c r="AS239" s="177" t="str">
        <f t="shared" si="204"/>
        <v>overig elektra</v>
      </c>
      <c r="AT239" s="177" t="str">
        <f t="shared" si="204"/>
        <v>mobiliteit</v>
      </c>
      <c r="AU239" s="177" t="str">
        <f t="shared" si="204"/>
        <v>zonnepanelen</v>
      </c>
      <c r="AV239" s="191"/>
      <c r="AW239" s="938"/>
      <c r="AX239" s="191"/>
      <c r="AY239" s="177" t="str">
        <f t="shared" ref="AY239:BG239" si="205">AY$10</f>
        <v>verwarming</v>
      </c>
      <c r="AZ239" s="177" t="str">
        <f t="shared" si="205"/>
        <v>koeling</v>
      </c>
      <c r="BA239" s="177" t="str">
        <f t="shared" si="205"/>
        <v>tapwater</v>
      </c>
      <c r="BB239" s="177" t="str">
        <f t="shared" si="205"/>
        <v>verlichting</v>
      </c>
      <c r="BC239" s="177" t="str">
        <f t="shared" si="205"/>
        <v>ventilatoren</v>
      </c>
      <c r="BD239" s="177" t="str">
        <f t="shared" si="205"/>
        <v>kookgas</v>
      </c>
      <c r="BE239" s="177" t="str">
        <f t="shared" si="205"/>
        <v>overig elektra</v>
      </c>
      <c r="BF239" s="177" t="str">
        <f t="shared" si="205"/>
        <v>mobiliteit</v>
      </c>
      <c r="BG239" s="177" t="str">
        <f t="shared" si="205"/>
        <v>zonnepanelen</v>
      </c>
      <c r="BH239" s="36"/>
    </row>
    <row r="240" spans="1:60" s="36" customFormat="1">
      <c r="A240" s="1040"/>
      <c r="B240" s="1109" t="s">
        <v>1218</v>
      </c>
      <c r="C240" s="1107" t="s">
        <v>104</v>
      </c>
      <c r="D240" s="638"/>
      <c r="E240" s="237" t="s">
        <v>244</v>
      </c>
      <c r="F240" s="237" t="s">
        <v>190</v>
      </c>
      <c r="G240" s="237"/>
      <c r="H240" s="238" t="s">
        <v>65</v>
      </c>
      <c r="I240" s="239"/>
      <c r="J240" s="240"/>
      <c r="K240" s="235"/>
      <c r="L240" s="235"/>
      <c r="M240" s="240"/>
      <c r="N240" s="241"/>
      <c r="O240" s="242" t="str">
        <f>IF(AND(O$83&lt;&gt;"geen",O$105&lt;&gt;""),O$105,"")</f>
        <v>elektriciteit</v>
      </c>
      <c r="P240" s="242" t="str">
        <f>IF(AND(P$83&lt;&gt;"geen",P$105&lt;&gt;""),P$105,"")</f>
        <v/>
      </c>
      <c r="Q240" s="242" t="str">
        <f>IF(AND(Q$83&lt;&gt;"geen",Q$105&lt;&gt;""),Q$105,"")</f>
        <v>elektriciteit</v>
      </c>
      <c r="R240" s="611"/>
      <c r="S240" s="611"/>
      <c r="T240" s="611"/>
      <c r="U240" s="611"/>
      <c r="V240" s="611"/>
      <c r="W240" s="611"/>
      <c r="X240" s="121"/>
      <c r="Y240" s="240"/>
      <c r="Z240" s="241"/>
      <c r="AA240" s="242" t="str">
        <f>IF(AND(AA$83&lt;&gt;"geen",AA$105&lt;&gt;""),AA$105,"")</f>
        <v>elektriciteit</v>
      </c>
      <c r="AB240" s="242" t="str">
        <f>IF(AND(AB$83&lt;&gt;"geen",AB$105&lt;&gt;""),AB$105,"")</f>
        <v/>
      </c>
      <c r="AC240" s="242" t="str">
        <f>IF(AND(AC$83&lt;&gt;"geen",AC$105&lt;&gt;""),AC$105,"")</f>
        <v>elektriciteit</v>
      </c>
      <c r="AD240" s="611"/>
      <c r="AE240" s="611"/>
      <c r="AF240" s="611"/>
      <c r="AG240" s="611"/>
      <c r="AH240" s="611"/>
      <c r="AI240" s="611"/>
      <c r="AJ240" s="121"/>
      <c r="AK240" s="240"/>
      <c r="AL240" s="241"/>
      <c r="AM240" s="242" t="str">
        <f>IF(AND(AM$83&lt;&gt;"geen",AM$105&lt;&gt;""),AM$105,"")</f>
        <v>elektriciteit</v>
      </c>
      <c r="AN240" s="242" t="str">
        <f>IF(AND(AN$83&lt;&gt;"geen",AN$105&lt;&gt;""),AN$105,"")</f>
        <v/>
      </c>
      <c r="AO240" s="242" t="str">
        <f>IF(AND(AO$83&lt;&gt;"geen",AO$105&lt;&gt;""),AO$105,"")</f>
        <v>elektriciteit</v>
      </c>
      <c r="AP240" s="611"/>
      <c r="AQ240" s="611"/>
      <c r="AR240" s="611"/>
      <c r="AS240" s="611"/>
      <c r="AT240" s="611"/>
      <c r="AU240" s="611"/>
      <c r="AV240" s="121"/>
      <c r="AW240" s="240"/>
      <c r="AX240" s="241"/>
      <c r="AY240" s="242" t="str">
        <f>IF(AND(AY$83&lt;&gt;"geen",AY$105&lt;&gt;""),AY$105,"")</f>
        <v>elektriciteit</v>
      </c>
      <c r="AZ240" s="242" t="str">
        <f>IF(AND(AZ$83&lt;&gt;"geen",AZ$105&lt;&gt;""),AZ$105,"")</f>
        <v/>
      </c>
      <c r="BA240" s="242" t="str">
        <f>IF(AND(BA$83&lt;&gt;"geen",BA$105&lt;&gt;""),BA$105,"")</f>
        <v>elektriciteit</v>
      </c>
      <c r="BB240" s="611"/>
      <c r="BC240" s="611"/>
      <c r="BD240" s="611"/>
      <c r="BE240" s="611"/>
      <c r="BF240" s="611"/>
      <c r="BG240" s="611"/>
      <c r="BH240" s="224"/>
    </row>
    <row r="241" spans="1:60" s="2" customFormat="1">
      <c r="A241" s="1038"/>
      <c r="B241" s="1109" t="s">
        <v>1218</v>
      </c>
      <c r="C241" s="1106" t="s">
        <v>104</v>
      </c>
      <c r="D241" s="644"/>
      <c r="E241" s="347"/>
      <c r="F241" s="255" t="s">
        <v>245</v>
      </c>
      <c r="G241" s="255"/>
      <c r="H241" s="361" t="s">
        <v>106</v>
      </c>
      <c r="I241" s="161"/>
      <c r="J241" s="307">
        <f>M241+Y241+AK241+AW241</f>
        <v>0</v>
      </c>
      <c r="K241" s="362"/>
      <c r="L241" s="362"/>
      <c r="M241" s="307">
        <f>SUM(N241:X241)</f>
        <v>0</v>
      </c>
      <c r="N241" s="308"/>
      <c r="O241" s="363">
        <f>IF(O240="","",(O$105=O240)*O$120)</f>
        <v>0</v>
      </c>
      <c r="P241" s="363" t="str">
        <f>IF(P240="","",(P$105=P240)*P$120)</f>
        <v/>
      </c>
      <c r="Q241" s="363">
        <f>IF(Q240="","",(Q$105=Q240)*Q$120)</f>
        <v>0</v>
      </c>
      <c r="R241" s="309"/>
      <c r="S241" s="309"/>
      <c r="T241" s="309"/>
      <c r="U241" s="309"/>
      <c r="V241" s="309"/>
      <c r="W241" s="309"/>
      <c r="X241" s="113"/>
      <c r="Y241" s="307">
        <f>SUM(Z241:AJ241)</f>
        <v>0</v>
      </c>
      <c r="Z241" s="308"/>
      <c r="AA241" s="363">
        <f>IF(AA240="","",(AA$105=AA240)*AA$120)</f>
        <v>0</v>
      </c>
      <c r="AB241" s="363" t="str">
        <f>IF(AB240="","",(AB$105=AB240)*AB$120)</f>
        <v/>
      </c>
      <c r="AC241" s="363">
        <f>IF(AC240="","",(AC$105=AC240)*AC$120)</f>
        <v>0</v>
      </c>
      <c r="AD241" s="309"/>
      <c r="AE241" s="309"/>
      <c r="AF241" s="309"/>
      <c r="AG241" s="309"/>
      <c r="AH241" s="309"/>
      <c r="AI241" s="309"/>
      <c r="AJ241" s="113"/>
      <c r="AK241" s="307">
        <f>SUM(AL241:AV241)</f>
        <v>0</v>
      </c>
      <c r="AL241" s="308"/>
      <c r="AM241" s="363">
        <f>IF(AM240="","",(AM$105=AM240)*AM$120)</f>
        <v>0</v>
      </c>
      <c r="AN241" s="363" t="str">
        <f>IF(AN240="","",(AN$105=AN240)*AN$120)</f>
        <v/>
      </c>
      <c r="AO241" s="363">
        <f>IF(AO240="","",(AO$105=AO240)*AO$120)</f>
        <v>0</v>
      </c>
      <c r="AP241" s="309"/>
      <c r="AQ241" s="309"/>
      <c r="AR241" s="309"/>
      <c r="AS241" s="309"/>
      <c r="AT241" s="309"/>
      <c r="AU241" s="309"/>
      <c r="AV241" s="113"/>
      <c r="AW241" s="307">
        <f>SUM(AX241:BH241)</f>
        <v>0</v>
      </c>
      <c r="AX241" s="308"/>
      <c r="AY241" s="363">
        <f>IF(AY240="","",(AY$105=AY240)*AY$120)</f>
        <v>0</v>
      </c>
      <c r="AZ241" s="363" t="str">
        <f>IF(AZ240="","",(AZ$105=AZ240)*AZ$120)</f>
        <v/>
      </c>
      <c r="BA241" s="363">
        <f>IF(BA240="","",(BA$105=BA240)*BA$120)</f>
        <v>0</v>
      </c>
      <c r="BB241" s="309"/>
      <c r="BC241" s="309"/>
      <c r="BD241" s="309"/>
      <c r="BE241" s="309"/>
      <c r="BF241" s="309"/>
      <c r="BG241" s="309"/>
      <c r="BH241" s="222"/>
    </row>
    <row r="242" spans="1:60" s="2" customFormat="1">
      <c r="A242" s="1038"/>
      <c r="B242" s="1109" t="s">
        <v>1218</v>
      </c>
      <c r="C242" s="1106" t="s">
        <v>104</v>
      </c>
      <c r="D242" s="644"/>
      <c r="E242" s="254" t="s">
        <v>246</v>
      </c>
      <c r="F242" s="303" t="s">
        <v>190</v>
      </c>
      <c r="G242" s="303"/>
      <c r="H242" s="364" t="s">
        <v>65</v>
      </c>
      <c r="I242" s="365"/>
      <c r="J242" s="366"/>
      <c r="K242" s="367"/>
      <c r="L242" s="367"/>
      <c r="M242" s="366"/>
      <c r="N242" s="368"/>
      <c r="O242" s="369" t="str">
        <f>IF(AND(O$140&lt;&gt;"",O$140&lt;&gt;"geen"),O$141,"")</f>
        <v>elektriciteit</v>
      </c>
      <c r="P242" s="369" t="str">
        <f>IF(AND(P$140&lt;&gt;"",P$140&lt;&gt;"geen"),P$141,"")</f>
        <v/>
      </c>
      <c r="Q242" s="369" t="str">
        <f>IF(AND(Q$140&lt;&gt;"",Q$140&lt;&gt;"geen"),Q$141,"")</f>
        <v>elektriciteit</v>
      </c>
      <c r="R242" s="612"/>
      <c r="S242" s="612"/>
      <c r="T242" s="612"/>
      <c r="U242" s="612"/>
      <c r="V242" s="612"/>
      <c r="W242" s="612"/>
      <c r="X242" s="118"/>
      <c r="Y242" s="366"/>
      <c r="Z242" s="368"/>
      <c r="AA242" s="369" t="str">
        <f>IF(AND(AA$140&lt;&gt;"",AA$140&lt;&gt;"geen"),AA$141,"")</f>
        <v>elektriciteit</v>
      </c>
      <c r="AB242" s="369" t="str">
        <f>IF(AND(AB$140&lt;&gt;"",AB$140&lt;&gt;"geen"),AB$141,"")</f>
        <v/>
      </c>
      <c r="AC242" s="369" t="str">
        <f>IF(AND(AC$140&lt;&gt;"",AC$140&lt;&gt;"geen"),AC$141,"")</f>
        <v>elektriciteit</v>
      </c>
      <c r="AD242" s="612"/>
      <c r="AE242" s="612"/>
      <c r="AF242" s="612"/>
      <c r="AG242" s="612"/>
      <c r="AH242" s="612"/>
      <c r="AI242" s="612"/>
      <c r="AJ242" s="118"/>
      <c r="AK242" s="366"/>
      <c r="AL242" s="368"/>
      <c r="AM242" s="369" t="str">
        <f>IF(AND(AM$140&lt;&gt;"",AM$140&lt;&gt;"geen"),AM$141,"")</f>
        <v>elektriciteit</v>
      </c>
      <c r="AN242" s="369" t="str">
        <f>IF(AND(AN$140&lt;&gt;"",AN$140&lt;&gt;"geen"),AN$141,"")</f>
        <v/>
      </c>
      <c r="AO242" s="369" t="str">
        <f>IF(AND(AO$140&lt;&gt;"",AO$140&lt;&gt;"geen"),AO$141,"")</f>
        <v>elektriciteit</v>
      </c>
      <c r="AP242" s="612"/>
      <c r="AQ242" s="612"/>
      <c r="AR242" s="612"/>
      <c r="AS242" s="612"/>
      <c r="AT242" s="612"/>
      <c r="AU242" s="612"/>
      <c r="AV242" s="118"/>
      <c r="AW242" s="366"/>
      <c r="AX242" s="368"/>
      <c r="AY242" s="369" t="str">
        <f>IF(AND(AY$140&lt;&gt;"",AY$140&lt;&gt;"geen"),AY$141,"")</f>
        <v>elektriciteit</v>
      </c>
      <c r="AZ242" s="369" t="str">
        <f>IF(AND(AZ$140&lt;&gt;"",AZ$140&lt;&gt;"geen"),AZ$141,"")</f>
        <v/>
      </c>
      <c r="BA242" s="369" t="str">
        <f>IF(AND(BA$140&lt;&gt;"",BA$140&lt;&gt;"geen"),BA$141,"")</f>
        <v>elektriciteit</v>
      </c>
      <c r="BB242" s="612"/>
      <c r="BC242" s="612"/>
      <c r="BD242" s="612"/>
      <c r="BE242" s="612"/>
      <c r="BF242" s="612"/>
      <c r="BG242" s="612"/>
      <c r="BH242" s="222"/>
    </row>
    <row r="243" spans="1:60" s="2" customFormat="1">
      <c r="A243" s="1038"/>
      <c r="B243" s="1109" t="s">
        <v>1218</v>
      </c>
      <c r="C243" s="1106" t="s">
        <v>104</v>
      </c>
      <c r="D243" s="644"/>
      <c r="E243" s="347"/>
      <c r="F243" s="255" t="s">
        <v>245</v>
      </c>
      <c r="G243" s="255"/>
      <c r="H243" s="361" t="s">
        <v>106</v>
      </c>
      <c r="I243" s="161"/>
      <c r="J243" s="307">
        <f>M243+Y243+AK243+AW243</f>
        <v>0</v>
      </c>
      <c r="K243" s="362"/>
      <c r="L243" s="362"/>
      <c r="M243" s="307">
        <f>SUM(N243:X243)</f>
        <v>0</v>
      </c>
      <c r="N243" s="308"/>
      <c r="O243" s="363">
        <f>IF(O242="",0,(O$141=O242)*O$151)</f>
        <v>0</v>
      </c>
      <c r="P243" s="363">
        <f>IF(P242="",0,(P$141=P242)*P$151)</f>
        <v>0</v>
      </c>
      <c r="Q243" s="363">
        <f>IF(Q242="",0,(Q$141=Q242)*Q$151)</f>
        <v>0</v>
      </c>
      <c r="R243" s="309"/>
      <c r="S243" s="309"/>
      <c r="T243" s="309"/>
      <c r="U243" s="309"/>
      <c r="V243" s="309"/>
      <c r="W243" s="309"/>
      <c r="X243" s="113"/>
      <c r="Y243" s="307">
        <f>SUM(Z243:AJ243)</f>
        <v>0</v>
      </c>
      <c r="Z243" s="308"/>
      <c r="AA243" s="363">
        <f>IF(AA242="",0,(AA$141=AA242)*AA$151)</f>
        <v>0</v>
      </c>
      <c r="AB243" s="363">
        <f>IF(AB242="",0,(AB$141=AB242)*AB$151)</f>
        <v>0</v>
      </c>
      <c r="AC243" s="363">
        <f>IF(AC242="",0,(AC$141=AC242)*AC$151)</f>
        <v>0</v>
      </c>
      <c r="AD243" s="309"/>
      <c r="AE243" s="309"/>
      <c r="AF243" s="309"/>
      <c r="AG243" s="309"/>
      <c r="AH243" s="309"/>
      <c r="AI243" s="309"/>
      <c r="AJ243" s="113"/>
      <c r="AK243" s="307">
        <f>SUM(AL243:AV243)</f>
        <v>0</v>
      </c>
      <c r="AL243" s="308"/>
      <c r="AM243" s="363">
        <f>IF(AM242="",0,(AM$141=AM242)*AM$151)</f>
        <v>0</v>
      </c>
      <c r="AN243" s="363">
        <f>IF(AN242="",0,(AN$141=AN242)*AN$151)</f>
        <v>0</v>
      </c>
      <c r="AO243" s="363">
        <f>IF(AO242="",0,(AO$141=AO242)*AO$151)</f>
        <v>0</v>
      </c>
      <c r="AP243" s="309"/>
      <c r="AQ243" s="309"/>
      <c r="AR243" s="309"/>
      <c r="AS243" s="309"/>
      <c r="AT243" s="309"/>
      <c r="AU243" s="309"/>
      <c r="AV243" s="113"/>
      <c r="AW243" s="307">
        <f>SUM(AX243:BH243)</f>
        <v>0</v>
      </c>
      <c r="AX243" s="308"/>
      <c r="AY243" s="363">
        <f>IF(AY242="",0,(AY$141=AY242)*AY$151)</f>
        <v>0</v>
      </c>
      <c r="AZ243" s="363">
        <f>IF(AZ242="",0,(AZ$141=AZ242)*AZ$151)</f>
        <v>0</v>
      </c>
      <c r="BA243" s="363">
        <f>IF(BA242="",0,(BA$141=BA242)*BA$151)</f>
        <v>0</v>
      </c>
      <c r="BB243" s="309"/>
      <c r="BC243" s="309"/>
      <c r="BD243" s="309"/>
      <c r="BE243" s="309"/>
      <c r="BF243" s="309"/>
      <c r="BG243" s="309"/>
      <c r="BH243" s="222"/>
    </row>
    <row r="244" spans="1:60" s="2" customFormat="1">
      <c r="A244" s="1038"/>
      <c r="B244" s="1109" t="s">
        <v>1218</v>
      </c>
      <c r="C244" s="1106" t="s">
        <v>104</v>
      </c>
      <c r="D244" s="644"/>
      <c r="E244" s="254" t="s">
        <v>247</v>
      </c>
      <c r="F244" s="303" t="s">
        <v>190</v>
      </c>
      <c r="G244" s="303"/>
      <c r="H244" s="364" t="s">
        <v>65</v>
      </c>
      <c r="I244" s="365"/>
      <c r="J244" s="370"/>
      <c r="K244" s="367"/>
      <c r="L244" s="367"/>
      <c r="M244" s="366"/>
      <c r="N244" s="368"/>
      <c r="O244" s="369" t="str">
        <f t="shared" ref="O244:W244" si="206">elektriciteit</f>
        <v>elektriciteit</v>
      </c>
      <c r="P244" s="369" t="str">
        <f t="shared" si="206"/>
        <v>elektriciteit</v>
      </c>
      <c r="Q244" s="369" t="str">
        <f t="shared" si="206"/>
        <v>elektriciteit</v>
      </c>
      <c r="R244" s="369" t="str">
        <f t="shared" si="206"/>
        <v>elektriciteit</v>
      </c>
      <c r="S244" s="369" t="str">
        <f t="shared" si="206"/>
        <v>elektriciteit</v>
      </c>
      <c r="T244" s="369" t="str">
        <f>aardgas</f>
        <v>aardgas</v>
      </c>
      <c r="U244" s="369" t="str">
        <f t="shared" si="206"/>
        <v>elektriciteit</v>
      </c>
      <c r="V244" s="369" t="str">
        <f t="shared" si="206"/>
        <v>elektriciteit</v>
      </c>
      <c r="W244" s="369" t="str">
        <f t="shared" si="206"/>
        <v>elektriciteit</v>
      </c>
      <c r="X244" s="118"/>
      <c r="Y244" s="366"/>
      <c r="Z244" s="368"/>
      <c r="AA244" s="369" t="str">
        <f t="shared" ref="AA244:AI244" si="207">elektriciteit</f>
        <v>elektriciteit</v>
      </c>
      <c r="AB244" s="369" t="str">
        <f t="shared" si="207"/>
        <v>elektriciteit</v>
      </c>
      <c r="AC244" s="369" t="str">
        <f t="shared" si="207"/>
        <v>elektriciteit</v>
      </c>
      <c r="AD244" s="369" t="str">
        <f t="shared" si="207"/>
        <v>elektriciteit</v>
      </c>
      <c r="AE244" s="369" t="str">
        <f t="shared" si="207"/>
        <v>elektriciteit</v>
      </c>
      <c r="AF244" s="369" t="str">
        <f>aardgas</f>
        <v>aardgas</v>
      </c>
      <c r="AG244" s="369" t="str">
        <f t="shared" si="207"/>
        <v>elektriciteit</v>
      </c>
      <c r="AH244" s="369" t="str">
        <f t="shared" si="207"/>
        <v>elektriciteit</v>
      </c>
      <c r="AI244" s="369" t="str">
        <f t="shared" si="207"/>
        <v>elektriciteit</v>
      </c>
      <c r="AJ244" s="118"/>
      <c r="AK244" s="366"/>
      <c r="AL244" s="368"/>
      <c r="AM244" s="369" t="str">
        <f t="shared" ref="AM244:AU244" si="208">elektriciteit</f>
        <v>elektriciteit</v>
      </c>
      <c r="AN244" s="369" t="str">
        <f t="shared" si="208"/>
        <v>elektriciteit</v>
      </c>
      <c r="AO244" s="369" t="str">
        <f t="shared" si="208"/>
        <v>elektriciteit</v>
      </c>
      <c r="AP244" s="369" t="str">
        <f t="shared" si="208"/>
        <v>elektriciteit</v>
      </c>
      <c r="AQ244" s="369" t="str">
        <f t="shared" si="208"/>
        <v>elektriciteit</v>
      </c>
      <c r="AR244" s="369" t="str">
        <f>aardgas</f>
        <v>aardgas</v>
      </c>
      <c r="AS244" s="369" t="str">
        <f t="shared" si="208"/>
        <v>elektriciteit</v>
      </c>
      <c r="AT244" s="369" t="str">
        <f t="shared" si="208"/>
        <v>elektriciteit</v>
      </c>
      <c r="AU244" s="369" t="str">
        <f t="shared" si="208"/>
        <v>elektriciteit</v>
      </c>
      <c r="AV244" s="118"/>
      <c r="AW244" s="366"/>
      <c r="AX244" s="368"/>
      <c r="AY244" s="369" t="str">
        <f t="shared" ref="AY244:BG244" si="209">elektriciteit</f>
        <v>elektriciteit</v>
      </c>
      <c r="AZ244" s="369" t="str">
        <f t="shared" si="209"/>
        <v>elektriciteit</v>
      </c>
      <c r="BA244" s="369" t="str">
        <f t="shared" si="209"/>
        <v>elektriciteit</v>
      </c>
      <c r="BB244" s="369" t="str">
        <f t="shared" si="209"/>
        <v>elektriciteit</v>
      </c>
      <c r="BC244" s="369" t="str">
        <f t="shared" si="209"/>
        <v>elektriciteit</v>
      </c>
      <c r="BD244" s="369" t="str">
        <f>aardgas</f>
        <v>aardgas</v>
      </c>
      <c r="BE244" s="369" t="str">
        <f t="shared" si="209"/>
        <v>elektriciteit</v>
      </c>
      <c r="BF244" s="369" t="str">
        <f t="shared" si="209"/>
        <v>elektriciteit</v>
      </c>
      <c r="BG244" s="369" t="str">
        <f t="shared" si="209"/>
        <v>elektriciteit</v>
      </c>
      <c r="BH244" s="219"/>
    </row>
    <row r="245" spans="1:60" s="2" customFormat="1">
      <c r="A245" s="1038"/>
      <c r="B245" s="1109" t="s">
        <v>1218</v>
      </c>
      <c r="C245" s="1106" t="s">
        <v>104</v>
      </c>
      <c r="D245" s="644"/>
      <c r="E245" s="255" t="s">
        <v>248</v>
      </c>
      <c r="F245" s="255" t="s">
        <v>245</v>
      </c>
      <c r="G245" s="255"/>
      <c r="H245" s="361" t="s">
        <v>106</v>
      </c>
      <c r="I245" s="161"/>
      <c r="J245" s="307">
        <f>M245+Y245+AK245+AW245</f>
        <v>0</v>
      </c>
      <c r="K245" s="362"/>
      <c r="L245" s="362"/>
      <c r="M245" s="307">
        <f>SUM(N245:X245)</f>
        <v>0</v>
      </c>
      <c r="N245" s="308"/>
      <c r="O245" s="363">
        <f>IF(O244=elektriciteit,O$174-O$214,O$78*bibliotheek!$K$261)</f>
        <v>0</v>
      </c>
      <c r="P245" s="363">
        <f>IF(P244=elektriciteit,P$174-P$214,P$78*bibliotheek!$K$261)</f>
        <v>0</v>
      </c>
      <c r="Q245" s="363">
        <f>IF(Q244=elektriciteit,Q$174-Q$214,Q$78*bibliotheek!$K$261)</f>
        <v>0</v>
      </c>
      <c r="R245" s="363">
        <f>IF(R244=elektriciteit,R$174-R$214,R$78*bibliotheek!$K$261)</f>
        <v>0</v>
      </c>
      <c r="S245" s="363">
        <f>IF(S244=elektriciteit,S$174-S$214,S$78*bibliotheek!$K$261)</f>
        <v>0</v>
      </c>
      <c r="T245" s="363">
        <f>IF(T244=elektriciteit,T$174-T$214,T$78*bibliotheek!$K$261)</f>
        <v>0</v>
      </c>
      <c r="U245" s="363">
        <f>IF(U244=elektriciteit,U$174-U$214,U$78*bibliotheek!$K$261)</f>
        <v>0</v>
      </c>
      <c r="V245" s="363">
        <f>IF(V244=elektriciteit,V$174-V$214,V$78*bibliotheek!$K$261)</f>
        <v>0</v>
      </c>
      <c r="W245" s="363">
        <f>IF(W244=elektriciteit,W$174-W$214,W$78*bibliotheek!$K$261)</f>
        <v>0</v>
      </c>
      <c r="X245" s="113"/>
      <c r="Y245" s="307">
        <f>SUM(Z245:AJ245)</f>
        <v>0</v>
      </c>
      <c r="Z245" s="308"/>
      <c r="AA245" s="363">
        <f>IF(AA244=elektriciteit,AA$174-AA$214,AA$78*bibliotheek!$K$261)</f>
        <v>0</v>
      </c>
      <c r="AB245" s="363">
        <f>IF(AB244=elektriciteit,AB$174-AB$214,AB$78*bibliotheek!$K$261)</f>
        <v>0</v>
      </c>
      <c r="AC245" s="363">
        <f>IF(AC244=elektriciteit,AC$174-AC$214,AC$78*bibliotheek!$K$261)</f>
        <v>0</v>
      </c>
      <c r="AD245" s="363">
        <f>IF(AD244=elektriciteit,AD$174-AD$214,AD$78*bibliotheek!$K$261)</f>
        <v>0</v>
      </c>
      <c r="AE245" s="363">
        <f>IF(AE244=elektriciteit,AE$174-AE$214,AE$78*bibliotheek!$K$261)</f>
        <v>0</v>
      </c>
      <c r="AF245" s="363">
        <f>IF(AF244=elektriciteit,AF$174-AF$214,AF$78*bibliotheek!$K$261)</f>
        <v>0</v>
      </c>
      <c r="AG245" s="363">
        <f>IF(AG244=elektriciteit,AG$174-AG$214,AG$78*bibliotheek!$K$261)</f>
        <v>0</v>
      </c>
      <c r="AH245" s="363">
        <f>IF(AH244=elektriciteit,AH$174-AH$214,AH$78*bibliotheek!$K$261)</f>
        <v>0</v>
      </c>
      <c r="AI245" s="363">
        <f>IF(AI244=elektriciteit,AI$174-AI$214,AI$78*bibliotheek!$K$261)</f>
        <v>0</v>
      </c>
      <c r="AJ245" s="113"/>
      <c r="AK245" s="307">
        <f>SUM(AL245:AV245)</f>
        <v>0</v>
      </c>
      <c r="AL245" s="308"/>
      <c r="AM245" s="363">
        <f>IF(AM244=elektriciteit,AM$174-AM$214,AM$78*bibliotheek!$K$261)</f>
        <v>0</v>
      </c>
      <c r="AN245" s="363">
        <f>IF(AN244=elektriciteit,AN$174-AN$214,AN$78*bibliotheek!$K$261)</f>
        <v>0</v>
      </c>
      <c r="AO245" s="363">
        <f>IF(AO244=elektriciteit,AO$174-AO$214,AO$78*bibliotheek!$K$261)</f>
        <v>0</v>
      </c>
      <c r="AP245" s="363">
        <f>IF(AP244=elektriciteit,AP$174-AP$214,AP$78*bibliotheek!$K$261)</f>
        <v>0</v>
      </c>
      <c r="AQ245" s="363">
        <f>IF(AQ244=elektriciteit,AQ$174-AQ$214,AQ$78*bibliotheek!$K$261)</f>
        <v>0</v>
      </c>
      <c r="AR245" s="363">
        <f>IF(AR244=elektriciteit,AR$174-AR$214,AR$78*bibliotheek!$K$261)</f>
        <v>0</v>
      </c>
      <c r="AS245" s="363">
        <f>IF(AS244=elektriciteit,AS$174-AS$214,AS$78*bibliotheek!$K$261)</f>
        <v>0</v>
      </c>
      <c r="AT245" s="363">
        <f>IF(AT244=elektriciteit,AT$174-AT$214,AT$78*bibliotheek!$K$261)</f>
        <v>0</v>
      </c>
      <c r="AU245" s="363">
        <f>IF(AU244=elektriciteit,AU$174-AU$214,AU$78*bibliotheek!$K$261)</f>
        <v>0</v>
      </c>
      <c r="AV245" s="113"/>
      <c r="AW245" s="307">
        <f>SUM(AX245:BH245)</f>
        <v>0</v>
      </c>
      <c r="AX245" s="308"/>
      <c r="AY245" s="363">
        <f>IF(AY244=elektriciteit,AY$174-AY$214,AY$78*bibliotheek!$K$261)</f>
        <v>0</v>
      </c>
      <c r="AZ245" s="363">
        <f>IF(AZ244=elektriciteit,AZ$174-AZ$214,AZ$78*bibliotheek!$K$261)</f>
        <v>0</v>
      </c>
      <c r="BA245" s="363">
        <f>IF(BA244=elektriciteit,BA$174-BA$214,BA$78*bibliotheek!$K$261)</f>
        <v>0</v>
      </c>
      <c r="BB245" s="363">
        <f>IF(BB244=elektriciteit,BB$174-BB$214,BB$78*bibliotheek!$K$261)</f>
        <v>0</v>
      </c>
      <c r="BC245" s="363">
        <f>IF(BC244=elektriciteit,BC$174-BC$214,BC$78*bibliotheek!$K$261)</f>
        <v>0</v>
      </c>
      <c r="BD245" s="363">
        <f>IF(BD244=elektriciteit,BD$174-BD$214,BD$78*bibliotheek!$K$261)</f>
        <v>0</v>
      </c>
      <c r="BE245" s="363">
        <f>IF(BE244=elektriciteit,BE$174-BE$214,BE$78*bibliotheek!$K$261)</f>
        <v>0</v>
      </c>
      <c r="BF245" s="363">
        <f>IF(BF244=elektriciteit,BF$174-BF$214,BF$78*bibliotheek!$K$261)</f>
        <v>0</v>
      </c>
      <c r="BG245" s="363">
        <f>IF(BG244=elektriciteit,BG$174-BG$214,BG$78*bibliotheek!$K$261)</f>
        <v>0</v>
      </c>
      <c r="BH245" s="222"/>
    </row>
    <row r="246" spans="1:60" s="2" customFormat="1">
      <c r="A246" s="1038"/>
      <c r="B246" s="1110" t="s">
        <v>1218</v>
      </c>
      <c r="C246" s="1106" t="s">
        <v>104</v>
      </c>
      <c r="D246" s="644"/>
      <c r="E246" s="180" t="s">
        <v>232</v>
      </c>
      <c r="F246" s="180" t="s">
        <v>245</v>
      </c>
      <c r="G246" s="180"/>
      <c r="H246" s="201" t="s">
        <v>106</v>
      </c>
      <c r="I246" s="114"/>
      <c r="J246" s="202">
        <f>M246+Y246+AK246+AW246</f>
        <v>0</v>
      </c>
      <c r="K246" s="362"/>
      <c r="L246" s="362"/>
      <c r="M246" s="202">
        <f>SUM(N246:X246)</f>
        <v>0</v>
      </c>
      <c r="N246" s="89"/>
      <c r="O246" s="168">
        <f>O241+O243+O245</f>
        <v>0</v>
      </c>
      <c r="P246" s="168">
        <f t="shared" ref="P246:W246" si="210">P245+IF(P241="",0,P241)+IF(P243="",0,P243)</f>
        <v>0</v>
      </c>
      <c r="Q246" s="168">
        <f t="shared" si="210"/>
        <v>0</v>
      </c>
      <c r="R246" s="168">
        <f t="shared" si="210"/>
        <v>0</v>
      </c>
      <c r="S246" s="168">
        <f t="shared" si="210"/>
        <v>0</v>
      </c>
      <c r="T246" s="168">
        <f t="shared" si="210"/>
        <v>0</v>
      </c>
      <c r="U246" s="168">
        <f t="shared" si="210"/>
        <v>0</v>
      </c>
      <c r="V246" s="168">
        <f t="shared" si="210"/>
        <v>0</v>
      </c>
      <c r="W246" s="168">
        <f t="shared" si="210"/>
        <v>0</v>
      </c>
      <c r="X246" s="113"/>
      <c r="Y246" s="202">
        <f>SUM(Z246:AJ246)</f>
        <v>0</v>
      </c>
      <c r="Z246" s="89"/>
      <c r="AA246" s="168">
        <f>AA241+AA243+AA245</f>
        <v>0</v>
      </c>
      <c r="AB246" s="168">
        <f t="shared" ref="AB246:AI246" si="211">AB245+IF(AB241="",0,AB241)+IF(AB243="",0,AB243)</f>
        <v>0</v>
      </c>
      <c r="AC246" s="168">
        <f t="shared" si="211"/>
        <v>0</v>
      </c>
      <c r="AD246" s="168">
        <f t="shared" si="211"/>
        <v>0</v>
      </c>
      <c r="AE246" s="168">
        <f t="shared" si="211"/>
        <v>0</v>
      </c>
      <c r="AF246" s="168">
        <f t="shared" si="211"/>
        <v>0</v>
      </c>
      <c r="AG246" s="168">
        <f t="shared" si="211"/>
        <v>0</v>
      </c>
      <c r="AH246" s="168">
        <f t="shared" si="211"/>
        <v>0</v>
      </c>
      <c r="AI246" s="168">
        <f t="shared" si="211"/>
        <v>0</v>
      </c>
      <c r="AJ246" s="113"/>
      <c r="AK246" s="202">
        <f>SUM(AL246:AV246)</f>
        <v>0</v>
      </c>
      <c r="AL246" s="89"/>
      <c r="AM246" s="168">
        <f>AM241+AM243+AM245</f>
        <v>0</v>
      </c>
      <c r="AN246" s="168">
        <f t="shared" ref="AN246:AU246" si="212">AN245+IF(AN241="",0,AN241)+IF(AN243="",0,AN243)</f>
        <v>0</v>
      </c>
      <c r="AO246" s="168">
        <f t="shared" si="212"/>
        <v>0</v>
      </c>
      <c r="AP246" s="168">
        <f t="shared" si="212"/>
        <v>0</v>
      </c>
      <c r="AQ246" s="168">
        <f t="shared" si="212"/>
        <v>0</v>
      </c>
      <c r="AR246" s="168">
        <f t="shared" si="212"/>
        <v>0</v>
      </c>
      <c r="AS246" s="168">
        <f t="shared" si="212"/>
        <v>0</v>
      </c>
      <c r="AT246" s="168">
        <f t="shared" si="212"/>
        <v>0</v>
      </c>
      <c r="AU246" s="168">
        <f t="shared" si="212"/>
        <v>0</v>
      </c>
      <c r="AV246" s="113"/>
      <c r="AW246" s="202">
        <f>SUM(AX246:BH246)</f>
        <v>0</v>
      </c>
      <c r="AX246" s="89"/>
      <c r="AY246" s="168">
        <f>AY241+AY243+AY245</f>
        <v>0</v>
      </c>
      <c r="AZ246" s="168">
        <f t="shared" ref="AZ246:BG246" si="213">AZ245+IF(AZ241="",0,AZ241)+IF(AZ243="",0,AZ243)</f>
        <v>0</v>
      </c>
      <c r="BA246" s="168">
        <f t="shared" si="213"/>
        <v>0</v>
      </c>
      <c r="BB246" s="168">
        <f t="shared" si="213"/>
        <v>0</v>
      </c>
      <c r="BC246" s="168">
        <f t="shared" si="213"/>
        <v>0</v>
      </c>
      <c r="BD246" s="168">
        <f t="shared" si="213"/>
        <v>0</v>
      </c>
      <c r="BE246" s="168">
        <f t="shared" si="213"/>
        <v>0</v>
      </c>
      <c r="BF246" s="168">
        <f t="shared" si="213"/>
        <v>0</v>
      </c>
      <c r="BG246" s="168">
        <f t="shared" si="213"/>
        <v>0</v>
      </c>
      <c r="BH246" s="222"/>
    </row>
    <row r="247" spans="1:60">
      <c r="A247" s="1040"/>
      <c r="B247" s="1109" t="s">
        <v>1218</v>
      </c>
      <c r="C247" s="1106" t="s">
        <v>96</v>
      </c>
      <c r="D247" s="638"/>
      <c r="E247" s="79"/>
      <c r="F247" s="79"/>
      <c r="G247" s="79"/>
      <c r="H247" s="82"/>
      <c r="I247" s="122"/>
      <c r="J247" s="113"/>
      <c r="K247" s="79"/>
      <c r="L247" s="79"/>
      <c r="M247" s="113"/>
      <c r="N247" s="79"/>
      <c r="O247" s="85"/>
      <c r="P247" s="85"/>
      <c r="Q247" s="82"/>
      <c r="R247" s="82"/>
      <c r="S247" s="82"/>
      <c r="T247" s="82"/>
      <c r="U247" s="82"/>
      <c r="V247" s="82"/>
      <c r="W247" s="82"/>
      <c r="X247" s="82"/>
      <c r="Y247" s="113"/>
      <c r="Z247" s="79"/>
      <c r="AA247" s="85"/>
      <c r="AB247" s="85"/>
      <c r="AC247" s="82"/>
      <c r="AD247" s="82"/>
      <c r="AE247" s="82"/>
      <c r="AF247" s="82"/>
      <c r="AG247" s="82"/>
      <c r="AH247" s="82"/>
      <c r="AI247" s="82"/>
      <c r="AJ247" s="82"/>
      <c r="AK247" s="113"/>
      <c r="AL247" s="79"/>
      <c r="AM247" s="85"/>
      <c r="AN247" s="85"/>
      <c r="AO247" s="82"/>
      <c r="AP247" s="82"/>
      <c r="AQ247" s="82"/>
      <c r="AR247" s="82"/>
      <c r="AS247" s="82"/>
      <c r="AT247" s="82"/>
      <c r="AU247" s="82"/>
      <c r="AV247" s="82"/>
      <c r="AW247" s="113"/>
      <c r="AX247" s="79"/>
      <c r="AY247" s="82"/>
      <c r="AZ247" s="82"/>
      <c r="BA247" s="82"/>
      <c r="BB247" s="82"/>
      <c r="BC247" s="82"/>
      <c r="BD247" s="82"/>
      <c r="BE247" s="82"/>
      <c r="BF247" s="82"/>
      <c r="BG247" s="82"/>
      <c r="BH247" s="1"/>
    </row>
    <row r="248" spans="1:60">
      <c r="A248" s="1040"/>
      <c r="B248" s="1109" t="s">
        <v>249</v>
      </c>
      <c r="C248" s="1106" t="s">
        <v>96</v>
      </c>
      <c r="D248" s="638"/>
      <c r="E248" s="79"/>
      <c r="F248" s="79"/>
      <c r="G248" s="79"/>
      <c r="H248" s="85"/>
      <c r="I248" s="79"/>
      <c r="J248" s="82"/>
      <c r="K248" s="79"/>
      <c r="L248" s="79"/>
      <c r="M248" s="82"/>
      <c r="N248" s="79"/>
      <c r="O248" s="82"/>
      <c r="P248" s="82"/>
      <c r="Q248" s="82"/>
      <c r="R248" s="82"/>
      <c r="S248" s="82"/>
      <c r="T248" s="82"/>
      <c r="U248" s="82"/>
      <c r="V248" s="82"/>
      <c r="W248" s="82"/>
      <c r="X248" s="82"/>
      <c r="Y248" s="82"/>
      <c r="Z248" s="79"/>
      <c r="AA248" s="82"/>
      <c r="AB248" s="82"/>
      <c r="AC248" s="82"/>
      <c r="AD248" s="82"/>
      <c r="AE248" s="82"/>
      <c r="AF248" s="82"/>
      <c r="AG248" s="82"/>
      <c r="AH248" s="82"/>
      <c r="AI248" s="82"/>
      <c r="AJ248" s="82"/>
      <c r="AK248" s="82"/>
      <c r="AL248" s="79"/>
      <c r="AM248" s="82"/>
      <c r="AN248" s="82"/>
      <c r="AO248" s="82"/>
      <c r="AP248" s="82"/>
      <c r="AQ248" s="82"/>
      <c r="AR248" s="82"/>
      <c r="AS248" s="82"/>
      <c r="AT248" s="82"/>
      <c r="AU248" s="82"/>
      <c r="AV248" s="82"/>
      <c r="AW248" s="82"/>
      <c r="AX248" s="79"/>
      <c r="AY248" s="82"/>
      <c r="AZ248" s="82"/>
      <c r="BA248" s="82"/>
      <c r="BB248" s="82"/>
      <c r="BC248" s="82"/>
      <c r="BD248" s="82"/>
      <c r="BE248" s="82"/>
      <c r="BF248" s="82"/>
      <c r="BG248" s="82"/>
      <c r="BH248" s="1"/>
    </row>
    <row r="249" spans="1:60" ht="21">
      <c r="A249" s="1040"/>
      <c r="B249" s="1109" t="s">
        <v>249</v>
      </c>
      <c r="C249" s="1106" t="s">
        <v>96</v>
      </c>
      <c r="D249" s="643"/>
      <c r="E249" s="1181" t="s">
        <v>1357</v>
      </c>
      <c r="F249" s="1181"/>
      <c r="G249" s="1181"/>
      <c r="H249" s="1181"/>
      <c r="I249" s="77"/>
      <c r="J249" s="200" t="str">
        <f>J$10</f>
        <v>alle locaties</v>
      </c>
      <c r="K249" s="126"/>
      <c r="L249" s="126"/>
      <c r="M249" s="200" t="str">
        <f>M$10</f>
        <v>locatie 1</v>
      </c>
      <c r="N249" s="182"/>
      <c r="O249" s="966" t="str">
        <f>$E249&amp;" per energiepost"</f>
        <v>hernieuwbaar primair fossiel energiegebruik per energiepost per energiepost</v>
      </c>
      <c r="P249" s="941"/>
      <c r="Q249" s="941"/>
      <c r="R249" s="941"/>
      <c r="S249" s="941"/>
      <c r="T249" s="941"/>
      <c r="U249" s="941"/>
      <c r="V249" s="941"/>
      <c r="W249" s="956"/>
      <c r="X249" s="174"/>
      <c r="Y249" s="200" t="str">
        <f>Y$10</f>
        <v>locatie 2</v>
      </c>
      <c r="Z249" s="182"/>
      <c r="AA249" s="966" t="str">
        <f>$E249&amp;" per energiepost"</f>
        <v>hernieuwbaar primair fossiel energiegebruik per energiepost per energiepost</v>
      </c>
      <c r="AB249" s="941"/>
      <c r="AC249" s="941"/>
      <c r="AD249" s="941"/>
      <c r="AE249" s="941"/>
      <c r="AF249" s="941"/>
      <c r="AG249" s="941"/>
      <c r="AH249" s="941"/>
      <c r="AI249" s="956"/>
      <c r="AJ249" s="174"/>
      <c r="AK249" s="200" t="str">
        <f>AK$10</f>
        <v>locatie 3</v>
      </c>
      <c r="AL249" s="182"/>
      <c r="AM249" s="966" t="str">
        <f>$E249&amp;" per energiepost"</f>
        <v>hernieuwbaar primair fossiel energiegebruik per energiepost per energiepost</v>
      </c>
      <c r="AN249" s="941"/>
      <c r="AO249" s="941"/>
      <c r="AP249" s="941"/>
      <c r="AQ249" s="941"/>
      <c r="AR249" s="941"/>
      <c r="AS249" s="941"/>
      <c r="AT249" s="941"/>
      <c r="AU249" s="956"/>
      <c r="AV249" s="174"/>
      <c r="AW249" s="200" t="str">
        <f>AW$10</f>
        <v>locatie 4</v>
      </c>
      <c r="AX249" s="182"/>
      <c r="AY249" s="966" t="str">
        <f>$E249&amp;" per energiepost"</f>
        <v>hernieuwbaar primair fossiel energiegebruik per energiepost per energiepost</v>
      </c>
      <c r="AZ249" s="941"/>
      <c r="BA249" s="941"/>
      <c r="BB249" s="941"/>
      <c r="BC249" s="941"/>
      <c r="BD249" s="941"/>
      <c r="BE249" s="941"/>
      <c r="BF249" s="941"/>
      <c r="BG249" s="956"/>
      <c r="BH249" s="1"/>
    </row>
    <row r="250" spans="1:60">
      <c r="A250" s="1040"/>
      <c r="B250" s="1109" t="s">
        <v>249</v>
      </c>
      <c r="C250" s="1106" t="s">
        <v>96</v>
      </c>
      <c r="D250" s="638"/>
      <c r="E250" s="940" t="s">
        <v>1316</v>
      </c>
      <c r="F250" s="940"/>
      <c r="G250" s="940"/>
      <c r="H250" s="940"/>
      <c r="I250" s="77"/>
      <c r="J250" s="939"/>
      <c r="K250" s="126"/>
      <c r="L250" s="126"/>
      <c r="M250" s="938"/>
      <c r="N250" s="191"/>
      <c r="O250" s="177" t="str">
        <f>O$10</f>
        <v>verwarming</v>
      </c>
      <c r="P250" s="177" t="str">
        <f>P$10</f>
        <v>koeling</v>
      </c>
      <c r="Q250" s="177" t="str">
        <f>Q$10</f>
        <v>tapwater</v>
      </c>
      <c r="R250" s="177"/>
      <c r="S250" s="177"/>
      <c r="T250" s="177"/>
      <c r="U250" s="177"/>
      <c r="V250" s="177"/>
      <c r="W250" s="177" t="str">
        <f>W$10</f>
        <v>zonnepanelen</v>
      </c>
      <c r="X250" s="191"/>
      <c r="Y250" s="938"/>
      <c r="Z250" s="191"/>
      <c r="AA250" s="177" t="str">
        <f>AA$10</f>
        <v>verwarming</v>
      </c>
      <c r="AB250" s="177" t="str">
        <f>AB$10</f>
        <v>koeling</v>
      </c>
      <c r="AC250" s="177" t="str">
        <f>AC$10</f>
        <v>tapwater</v>
      </c>
      <c r="AD250" s="177"/>
      <c r="AE250" s="177"/>
      <c r="AF250" s="177"/>
      <c r="AG250" s="177"/>
      <c r="AH250" s="177"/>
      <c r="AI250" s="177" t="str">
        <f>AI$10</f>
        <v>zonnepanelen</v>
      </c>
      <c r="AJ250" s="191"/>
      <c r="AK250" s="938"/>
      <c r="AL250" s="191"/>
      <c r="AM250" s="177" t="str">
        <f>AM$10</f>
        <v>verwarming</v>
      </c>
      <c r="AN250" s="177" t="str">
        <f>AN$10</f>
        <v>koeling</v>
      </c>
      <c r="AO250" s="177" t="str">
        <f>AO$10</f>
        <v>tapwater</v>
      </c>
      <c r="AP250" s="177"/>
      <c r="AQ250" s="177"/>
      <c r="AR250" s="177"/>
      <c r="AS250" s="177"/>
      <c r="AT250" s="177"/>
      <c r="AU250" s="177" t="str">
        <f>AU$10</f>
        <v>zonnepanelen</v>
      </c>
      <c r="AV250" s="191"/>
      <c r="AW250" s="938"/>
      <c r="AX250" s="191"/>
      <c r="AY250" s="177" t="str">
        <f>AY$10</f>
        <v>verwarming</v>
      </c>
      <c r="AZ250" s="177" t="str">
        <f>AZ$10</f>
        <v>koeling</v>
      </c>
      <c r="BA250" s="177" t="str">
        <f>BA$10</f>
        <v>tapwater</v>
      </c>
      <c r="BB250" s="177"/>
      <c r="BC250" s="177"/>
      <c r="BD250" s="177"/>
      <c r="BE250" s="177"/>
      <c r="BF250" s="177"/>
      <c r="BG250" s="177" t="str">
        <f>BG$10</f>
        <v>zonnepanelen</v>
      </c>
      <c r="BH250" s="36"/>
    </row>
    <row r="251" spans="1:60">
      <c r="A251" s="1040"/>
      <c r="B251" s="1109" t="s">
        <v>249</v>
      </c>
      <c r="C251" s="1107" t="s">
        <v>104</v>
      </c>
      <c r="D251" s="641" t="s">
        <v>45</v>
      </c>
      <c r="E251" s="180" t="s">
        <v>250</v>
      </c>
      <c r="F251" s="180"/>
      <c r="G251" s="180"/>
      <c r="H251" s="201" t="s">
        <v>160</v>
      </c>
      <c r="I251" s="114"/>
      <c r="J251" s="202">
        <f t="shared" ref="J251:J257" si="214">M251+Y251+AK251+AW251</f>
        <v>0</v>
      </c>
      <c r="K251" s="195"/>
      <c r="L251" s="195"/>
      <c r="M251" s="202">
        <f t="shared" ref="M251:M257" si="215">SUM(N251:X251)</f>
        <v>0</v>
      </c>
      <c r="N251" s="114"/>
      <c r="O251" s="168">
        <f>IF(OR(O$111=0,O$111=""),0,HLOOKUP(IF(O$83="",referentie_verwarming,O$83),toestellen_RV,ROWS(bibliotheek!$E$83:$E$87),FALSE)*O$110*(1-1/O$111)*f_P_renheat)</f>
        <v>0</v>
      </c>
      <c r="P251" s="168">
        <f>IF(OR(P$111=0,P$111=""),0,HLOOKUP(IF(P$83="",referentie_koeling,P$83),toestellen_KOEL,ROWS(bibliotheek!$E$190:$E$193),FALSE)*P$110*(1-1/P$111)*f_P_rencold)</f>
        <v>0</v>
      </c>
      <c r="Q251" s="168">
        <f>IF(OR(Q$111=0,Q$111=""),0,HLOOKUP(IF(Q$83="",referentie_warmtapwater,Q$83),toestellen_TAP,ROWS(bibliotheek!$E$139:$E$143),FALSE)*Q$110*(1-1/Q$111)*f_P_renheat)</f>
        <v>0</v>
      </c>
      <c r="R251" s="273"/>
      <c r="S251" s="273"/>
      <c r="T251" s="273"/>
      <c r="U251" s="273"/>
      <c r="V251" s="273"/>
      <c r="W251" s="273"/>
      <c r="X251" s="113"/>
      <c r="Y251" s="202">
        <f t="shared" ref="Y251:Y257" si="216">SUM(Z251:AJ251)</f>
        <v>0</v>
      </c>
      <c r="Z251" s="114"/>
      <c r="AA251" s="168">
        <f>IF(OR(AA$111=0,AA$111=""),0,HLOOKUP(IF(AA$83="",referentie_verwarming,AA$83),toestellen_RV,ROWS(bibliotheek!$E$83:$E$87),FALSE)*AA$110*(1-1/AA$111)*f_P_renheat)</f>
        <v>0</v>
      </c>
      <c r="AB251" s="168">
        <f>IF(OR(AB$111=0,AB$111=""),0,HLOOKUP(IF(AB$83="",referentie_koeling,AB$83),toestellen_KOEL,ROWS(bibliotheek!$E$190:$E$193),FALSE)*AB$110*(1-1/AB$111)*f_P_rencold)</f>
        <v>0</v>
      </c>
      <c r="AC251" s="168">
        <f>IF(OR(AC$111=0,AC$111=""),0,HLOOKUP(IF(AC$83="",referentie_warmtapwater,AC$83),toestellen_TAP,ROWS(bibliotheek!$E$139:$E$143),FALSE)*AC$110*(1-1/AC$111)*f_P_renheat)</f>
        <v>0</v>
      </c>
      <c r="AD251" s="273"/>
      <c r="AE251" s="273"/>
      <c r="AF251" s="273"/>
      <c r="AG251" s="273"/>
      <c r="AH251" s="273"/>
      <c r="AI251" s="273"/>
      <c r="AJ251" s="113"/>
      <c r="AK251" s="202">
        <f t="shared" ref="AK251:AK257" si="217">SUM(AL251:AV251)</f>
        <v>0</v>
      </c>
      <c r="AL251" s="191"/>
      <c r="AM251" s="168">
        <f>IF(OR(AM$111=0,AM$111=""),0,HLOOKUP(IF(AM$83="",referentie_verwarming,AM$83),toestellen_RV,ROWS(bibliotheek!$E$83:$E$87),FALSE)*AM$110*(1-1/AM$111)*f_P_renheat)</f>
        <v>0</v>
      </c>
      <c r="AN251" s="168">
        <f>IF(OR(AN$111=0,AN$111=""),0,HLOOKUP(IF(AN$83="",referentie_koeling,AN$83),toestellen_KOEL,ROWS(bibliotheek!$E$190:$E$193),FALSE)*AN$110*(1-1/AN$111)*f_P_rencold)</f>
        <v>0</v>
      </c>
      <c r="AO251" s="168">
        <f>IF(OR(AO$111=0,AO$111=""),0,HLOOKUP(IF(AO$83="",referentie_warmtapwater,AO$83),toestellen_TAP,ROWS(bibliotheek!$E$139:$E$143),FALSE)*AO$110*(1-1/AO$111)*f_P_renheat)</f>
        <v>0</v>
      </c>
      <c r="AP251" s="273"/>
      <c r="AQ251" s="273"/>
      <c r="AR251" s="273"/>
      <c r="AS251" s="273"/>
      <c r="AT251" s="273"/>
      <c r="AU251" s="273"/>
      <c r="AV251" s="191"/>
      <c r="AW251" s="202">
        <f t="shared" ref="AW251:AW257" si="218">SUM(AX251:BH251)</f>
        <v>0</v>
      </c>
      <c r="AX251" s="191"/>
      <c r="AY251" s="168">
        <f>IF(OR(AY$111=0,AY$111=""),0,HLOOKUP(IF(AY$83="",referentie_verwarming,AY$83),toestellen_RV,ROWS(bibliotheek!$E$83:$E$87),FALSE)*AY$110*(1-1/AY$111)*f_P_renheat)</f>
        <v>0</v>
      </c>
      <c r="AZ251" s="168">
        <f>IF(OR(AZ$111=0,AZ$111=""),0,HLOOKUP(IF(AZ$83="",referentie_koeling,AZ$83),toestellen_KOEL,ROWS(bibliotheek!$E$190:$E$193),FALSE)*AZ$110*(1-1/AZ$111)*f_P_rencold)</f>
        <v>0</v>
      </c>
      <c r="BA251" s="168">
        <f>IF(OR(BA$111=0,BA$111=""),0,HLOOKUP(IF(BA$83="",referentie_warmtapwater,BA$83),toestellen_TAP,ROWS(bibliotheek!$E$139:$E$143),FALSE)*BA$110*(1-1/BA$111)*f_P_renheat)</f>
        <v>0</v>
      </c>
      <c r="BB251" s="273"/>
      <c r="BC251" s="273"/>
      <c r="BD251" s="273"/>
      <c r="BE251" s="273"/>
      <c r="BF251" s="273"/>
      <c r="BG251" s="273"/>
      <c r="BH251" s="210"/>
    </row>
    <row r="252" spans="1:60">
      <c r="A252" s="1040"/>
      <c r="B252" s="1109" t="s">
        <v>249</v>
      </c>
      <c r="C252" s="1107" t="s">
        <v>104</v>
      </c>
      <c r="D252" s="641" t="s">
        <v>45</v>
      </c>
      <c r="E252" s="180" t="s">
        <v>251</v>
      </c>
      <c r="F252" s="180"/>
      <c r="G252" s="180"/>
      <c r="H252" s="201" t="s">
        <v>160</v>
      </c>
      <c r="I252" s="114"/>
      <c r="J252" s="202">
        <f t="shared" si="214"/>
        <v>0</v>
      </c>
      <c r="K252" s="195"/>
      <c r="L252" s="195"/>
      <c r="M252" s="202">
        <f t="shared" si="215"/>
        <v>0</v>
      </c>
      <c r="N252" s="114"/>
      <c r="O252" s="273"/>
      <c r="P252" s="168">
        <f>IF(OR(P$110=0,P$111&lt;=8),0,P$110*f_P_rencold*INDEX(bibliotheek!$E$195:$AC$195,MATCH(P$83,toestellen_KOEL_kopregel,0)))</f>
        <v>0</v>
      </c>
      <c r="Q252" s="273"/>
      <c r="R252" s="273"/>
      <c r="S252" s="273"/>
      <c r="T252" s="273"/>
      <c r="U252" s="273"/>
      <c r="V252" s="273"/>
      <c r="W252" s="273"/>
      <c r="X252" s="113"/>
      <c r="Y252" s="202">
        <f t="shared" si="216"/>
        <v>0</v>
      </c>
      <c r="Z252" s="114"/>
      <c r="AA252" s="273"/>
      <c r="AB252" s="168">
        <f>IF(OR(AB$110=0,AB$111&lt;=8),0,AB$110*f_P_rencold*INDEX(bibliotheek!$E$195:$AC$195,MATCH(AB$83,toestellen_KOEL_kopregel,0)))</f>
        <v>0</v>
      </c>
      <c r="AC252" s="273"/>
      <c r="AD252" s="273"/>
      <c r="AE252" s="273"/>
      <c r="AF252" s="273"/>
      <c r="AG252" s="273"/>
      <c r="AH252" s="273"/>
      <c r="AI252" s="273"/>
      <c r="AJ252" s="113"/>
      <c r="AK252" s="202">
        <f t="shared" si="217"/>
        <v>0</v>
      </c>
      <c r="AL252" s="191"/>
      <c r="AM252" s="273"/>
      <c r="AN252" s="168">
        <f>IF(OR(AN$110=0,AN$111&lt;=8),0,AN$110*f_P_rencold*INDEX(bibliotheek!$E$195:$AC$195,MATCH(AN$83,toestellen_KOEL_kopregel,0)))</f>
        <v>0</v>
      </c>
      <c r="AO252" s="273"/>
      <c r="AP252" s="273"/>
      <c r="AQ252" s="273"/>
      <c r="AR252" s="273"/>
      <c r="AS252" s="273"/>
      <c r="AT252" s="273"/>
      <c r="AU252" s="273"/>
      <c r="AV252" s="191"/>
      <c r="AW252" s="202">
        <f t="shared" si="218"/>
        <v>0</v>
      </c>
      <c r="AX252" s="191"/>
      <c r="AY252" s="273"/>
      <c r="AZ252" s="168">
        <f>IF(OR(AZ$110=0,AZ$111&lt;=8),0,AZ$110*f_P_rencold*INDEX(bibliotheek!$E$195:$AC$195,MATCH(AZ$83,toestellen_KOEL_kopregel,0)))</f>
        <v>0</v>
      </c>
      <c r="BA252" s="273"/>
      <c r="BB252" s="273"/>
      <c r="BC252" s="273"/>
      <c r="BD252" s="273"/>
      <c r="BE252" s="273"/>
      <c r="BF252" s="273"/>
      <c r="BG252" s="273"/>
      <c r="BH252" s="210"/>
    </row>
    <row r="253" spans="1:60">
      <c r="A253" s="1040"/>
      <c r="B253" s="1109" t="s">
        <v>249</v>
      </c>
      <c r="C253" s="1107" t="s">
        <v>104</v>
      </c>
      <c r="D253" s="641" t="s">
        <v>45</v>
      </c>
      <c r="E253" s="180" t="s">
        <v>252</v>
      </c>
      <c r="F253" s="180"/>
      <c r="G253" s="180"/>
      <c r="H253" s="201" t="s">
        <v>160</v>
      </c>
      <c r="I253" s="114"/>
      <c r="J253" s="202">
        <f t="shared" si="214"/>
        <v>0</v>
      </c>
      <c r="K253" s="195"/>
      <c r="L253" s="195"/>
      <c r="M253" s="202">
        <f t="shared" si="215"/>
        <v>0</v>
      </c>
      <c r="N253" s="114"/>
      <c r="O253" s="168">
        <f>IF(OR(O$110=0,LEFT(O$106,2)&lt;&gt;"bm"),0,O$110*INDEX(energiedragers_fPren,MATCH(O$105,energiedragers_namen,0)))+
IF(OR(O$144=0,LEFT(O$142,2)&lt;&gt;"bm"),0,O$144*INDEX(energiedragers_fPren,MATCH(O$141,energiedragers_namen,0)))</f>
        <v>0</v>
      </c>
      <c r="P253" s="273"/>
      <c r="Q253" s="168">
        <f>IF(OR(Q$110=0,LEFT(Q$106,2)&lt;&gt;"bm"),0,Q$110*INDEX(energiedragers_fPren,MATCH(Q$105,energiedragers_namen,0)))+
IF(OR(Q$144=0,LEFT(Q$142,2)&lt;&gt;"bm"),0,Q$144*INDEX(energiedragers_fPren,MATCH(Q$141,energiedragers_namen,0)))</f>
        <v>0</v>
      </c>
      <c r="R253" s="273"/>
      <c r="S253" s="273"/>
      <c r="T253" s="273"/>
      <c r="U253" s="273"/>
      <c r="V253" s="273"/>
      <c r="W253" s="273"/>
      <c r="X253" s="113"/>
      <c r="Y253" s="202">
        <f t="shared" si="216"/>
        <v>0</v>
      </c>
      <c r="Z253" s="114"/>
      <c r="AA253" s="168">
        <f>IF(OR(AA$110=0,LEFT(AA$106,2)&lt;&gt;"bm"),0,AA$110*INDEX(energiedragers_fPren,MATCH(AA$105,energiedragers_namen,0)))+
IF(OR(AA$144=0,LEFT(AA$142,2)&lt;&gt;"bm"),0,AA$144*INDEX(energiedragers_fPren,MATCH(AA$141,energiedragers_namen,0)))</f>
        <v>0</v>
      </c>
      <c r="AB253" s="273"/>
      <c r="AC253" s="168">
        <f>IF(OR(AC$110=0,LEFT(AC$106,2)&lt;&gt;"bm"),0,AC$110*INDEX(energiedragers_fPren,MATCH(AC$105,energiedragers_namen,0)))+
IF(OR(AC$144=0,LEFT(AC$142,2)&lt;&gt;"bm"),0,AC$144*INDEX(energiedragers_fPren,MATCH(AC$141,energiedragers_namen,0)))</f>
        <v>0</v>
      </c>
      <c r="AD253" s="273"/>
      <c r="AE253" s="273"/>
      <c r="AF253" s="273"/>
      <c r="AG253" s="273"/>
      <c r="AH253" s="273"/>
      <c r="AI253" s="273"/>
      <c r="AJ253" s="113"/>
      <c r="AK253" s="202">
        <f t="shared" si="217"/>
        <v>0</v>
      </c>
      <c r="AL253" s="191"/>
      <c r="AM253" s="168">
        <f>IF(OR(AM$110=0,LEFT(AM$106,2)&lt;&gt;"bm"),0,AM$110*INDEX(energiedragers_fPren,MATCH(AM$105,energiedragers_namen,0)))+
IF(OR(AM$144=0,LEFT(AM$142,2)&lt;&gt;"bm"),0,AM$144*INDEX(energiedragers_fPren,MATCH(AM$141,energiedragers_namen,0)))</f>
        <v>0</v>
      </c>
      <c r="AN253" s="273"/>
      <c r="AO253" s="168">
        <f>IF(OR(AO$110=0,LEFT(AO$106,2)&lt;&gt;"bm"),0,AO$110*INDEX(energiedragers_fPren,MATCH(AO$105,energiedragers_namen,0)))+
IF(OR(AO$144=0,LEFT(AO$142,2)&lt;&gt;"bm"),0,AO$144*INDEX(energiedragers_fPren,MATCH(AO$141,energiedragers_namen,0)))</f>
        <v>0</v>
      </c>
      <c r="AP253" s="273"/>
      <c r="AQ253" s="273"/>
      <c r="AR253" s="273"/>
      <c r="AS253" s="273"/>
      <c r="AT253" s="273"/>
      <c r="AU253" s="273"/>
      <c r="AV253" s="191"/>
      <c r="AW253" s="202">
        <f t="shared" si="218"/>
        <v>0</v>
      </c>
      <c r="AX253" s="191"/>
      <c r="AY253" s="168">
        <f>IF(OR(AY$110=0,LEFT(AY$106,2)&lt;&gt;"bm"),0,AY$110*INDEX(energiedragers_fPren,MATCH(AY$105,energiedragers_namen,0)))+
IF(OR(AY$144=0,LEFT(AY$142,2)&lt;&gt;"bm"),0,AY$144*INDEX(energiedragers_fPren,MATCH(AY$141,energiedragers_namen,0)))</f>
        <v>0</v>
      </c>
      <c r="AZ253" s="273"/>
      <c r="BA253" s="168">
        <f>IF(OR(BA$110=0,LEFT(BA$106,2)&lt;&gt;"bm"),0,BA$110*INDEX(energiedragers_fPren,MATCH(BA$105,energiedragers_namen,0)))+
IF(OR(BA$144=0,LEFT(BA$142,2)&lt;&gt;"bm"),0,BA$144*INDEX(energiedragers_fPren,MATCH(BA$141,energiedragers_namen,0)))</f>
        <v>0</v>
      </c>
      <c r="BB253" s="273"/>
      <c r="BC253" s="273"/>
      <c r="BD253" s="273"/>
      <c r="BE253" s="273"/>
      <c r="BF253" s="273"/>
      <c r="BG253" s="273"/>
      <c r="BH253" s="210"/>
    </row>
    <row r="254" spans="1:60">
      <c r="A254" s="1040"/>
      <c r="B254" s="1109" t="s">
        <v>249</v>
      </c>
      <c r="C254" s="1107" t="s">
        <v>104</v>
      </c>
      <c r="D254" s="641" t="s">
        <v>45</v>
      </c>
      <c r="E254" s="180" t="s">
        <v>253</v>
      </c>
      <c r="F254" s="180"/>
      <c r="G254" s="180"/>
      <c r="H254" s="201" t="s">
        <v>160</v>
      </c>
      <c r="I254" s="114"/>
      <c r="J254" s="202">
        <f t="shared" si="214"/>
        <v>0</v>
      </c>
      <c r="K254" s="195"/>
      <c r="L254" s="195"/>
      <c r="M254" s="202">
        <f t="shared" si="215"/>
        <v>0</v>
      </c>
      <c r="N254" s="114"/>
      <c r="O254" s="168">
        <f>IF(OR(O$110=0,LEFT(O$106,2)&lt;&gt;"dx"),0,O$110*INDEX(energiedragers_fPren,MATCH(O$105,energiedragers_namen,0)))+
IF(OR(O$144=0,LEFT(O$142,2)&lt;&gt;"dx"),0,O$144*INDEX(energiedragers_fPren,MATCH(O$141,energiedragers_namen,0)))</f>
        <v>0</v>
      </c>
      <c r="P254" s="168">
        <f>IF(OR(P$110=0,LEFT(P$106,2)&lt;&gt;"dx"),0,P$110*INDEX(energiedragers_fPren,MATCH(P$105,energiedragers_namen,0)))+
IF(OR(P$144=0,LEFT(P$142,2)&lt;&gt;"dx"),0,P$144*INDEX(energiedragers_fPren,MATCH(P$141,energiedragers_namen,0)))</f>
        <v>0</v>
      </c>
      <c r="Q254" s="168">
        <f>IF(OR(Q$110=0,LEFT(Q$106,2)&lt;&gt;"dx"),0,Q$110*INDEX(energiedragers_fPren,MATCH(Q$105,energiedragers_namen,0)))+
IF(OR(Q$144=0,LEFT(Q$142,2)&lt;&gt;"dx"),0,Q$144*INDEX(energiedragers_fPren,MATCH(Q$141,energiedragers_namen,0)))</f>
        <v>0</v>
      </c>
      <c r="R254" s="273"/>
      <c r="S254" s="273"/>
      <c r="T254" s="273"/>
      <c r="U254" s="273"/>
      <c r="V254" s="273"/>
      <c r="W254" s="273"/>
      <c r="X254" s="113"/>
      <c r="Y254" s="202">
        <f t="shared" si="216"/>
        <v>0</v>
      </c>
      <c r="Z254" s="114"/>
      <c r="AA254" s="168">
        <f>IF(OR(AA$110=0,LEFT(AA$106,2)&lt;&gt;"dx"),0,AA$110*INDEX(energiedragers_fPren,MATCH(AA$105,energiedragers_namen,0)))+
IF(OR(AA$144=0,LEFT(AA$142,2)&lt;&gt;"dx"),0,AA$144*INDEX(energiedragers_fPren,MATCH(AA$141,energiedragers_namen,0)))</f>
        <v>0</v>
      </c>
      <c r="AB254" s="168">
        <f>IF(OR(AB$110=0,LEFT(AB$106,2)&lt;&gt;"dx"),0,AB$110*INDEX(energiedragers_fPren,MATCH(AB$105,energiedragers_namen,0)))+
IF(OR(AB$144=0,LEFT(AB$142,2)&lt;&gt;"dx"),0,AB$144*INDEX(energiedragers_fPren,MATCH(AB$141,energiedragers_namen,0)))</f>
        <v>0</v>
      </c>
      <c r="AC254" s="168">
        <f>IF(OR(AC$110=0,LEFT(AC$106,2)&lt;&gt;"dx"),0,AC$110*INDEX(energiedragers_fPren,MATCH(AC$105,energiedragers_namen,0)))+
IF(OR(AC$144=0,LEFT(AC$142,2)&lt;&gt;"dx"),0,AC$144*INDEX(energiedragers_fPren,MATCH(AC$141,energiedragers_namen,0)))</f>
        <v>0</v>
      </c>
      <c r="AD254" s="273"/>
      <c r="AE254" s="273"/>
      <c r="AF254" s="273"/>
      <c r="AG254" s="273"/>
      <c r="AH254" s="273"/>
      <c r="AI254" s="273"/>
      <c r="AJ254" s="113"/>
      <c r="AK254" s="202">
        <f t="shared" si="217"/>
        <v>0</v>
      </c>
      <c r="AL254" s="191"/>
      <c r="AM254" s="168">
        <f>IF(OR(AM$110=0,LEFT(AM$106,2)&lt;&gt;"dx"),0,AM$110*INDEX(energiedragers_fPren,MATCH(AM$105,energiedragers_namen,0)))+
IF(OR(AM$144=0,LEFT(AM$142,2)&lt;&gt;"dx"),0,AM$144*INDEX(energiedragers_fPren,MATCH(AM$141,energiedragers_namen,0)))</f>
        <v>0</v>
      </c>
      <c r="AN254" s="168">
        <f>IF(OR(AN$110=0,LEFT(AN$106,2)&lt;&gt;"dx"),0,AN$110*INDEX(energiedragers_fPren,MATCH(AN$105,energiedragers_namen,0)))+
IF(OR(AN$144=0,LEFT(AN$142,2)&lt;&gt;"dx"),0,AN$144*INDEX(energiedragers_fPren,MATCH(AN$141,energiedragers_namen,0)))</f>
        <v>0</v>
      </c>
      <c r="AO254" s="168">
        <f>IF(OR(AO$110=0,LEFT(AO$106,2)&lt;&gt;"dx"),0,AO$110*INDEX(energiedragers_fPren,MATCH(AO$105,energiedragers_namen,0)))+
IF(OR(AO$144=0,LEFT(AO$142,2)&lt;&gt;"dx"),0,AO$144*INDEX(energiedragers_fPren,MATCH(AO$141,energiedragers_namen,0)))</f>
        <v>0</v>
      </c>
      <c r="AP254" s="273"/>
      <c r="AQ254" s="273"/>
      <c r="AR254" s="273"/>
      <c r="AS254" s="273"/>
      <c r="AT254" s="273"/>
      <c r="AU254" s="273"/>
      <c r="AV254" s="191"/>
      <c r="AW254" s="202">
        <f t="shared" si="218"/>
        <v>0</v>
      </c>
      <c r="AX254" s="191"/>
      <c r="AY254" s="168">
        <f>IF(OR(AY$110=0,LEFT(AY$106,2)&lt;&gt;"dx"),0,AY$110*INDEX(energiedragers_fPren,MATCH(AY$105,energiedragers_namen,0)))+
IF(OR(AY$144=0,LEFT(AY$142,2)&lt;&gt;"dx"),0,AY$144*INDEX(energiedragers_fPren,MATCH(AY$141,energiedragers_namen,0)))</f>
        <v>0</v>
      </c>
      <c r="AZ254" s="168">
        <f>IF(OR(AZ$110=0,LEFT(AZ$106,2)&lt;&gt;"dx"),0,AZ$110*INDEX(energiedragers_fPren,MATCH(AZ$105,energiedragers_namen,0)))+
IF(OR(AZ$144=0,LEFT(AZ$142,2)&lt;&gt;"dx"),0,AZ$144*INDEX(energiedragers_fPren,MATCH(AZ$141,energiedragers_namen,0)))</f>
        <v>0</v>
      </c>
      <c r="BA254" s="168">
        <f>IF(OR(BA$110=0,LEFT(BA$106,2)&lt;&gt;"dx"),0,BA$110*INDEX(energiedragers_fPren,MATCH(BA$105,energiedragers_namen,0)))+
IF(OR(BA$144=0,LEFT(BA$142,2)&lt;&gt;"dx"),0,BA$144*INDEX(energiedragers_fPren,MATCH(BA$141,energiedragers_namen,0)))</f>
        <v>0</v>
      </c>
      <c r="BB254" s="273"/>
      <c r="BC254" s="273"/>
      <c r="BD254" s="273"/>
      <c r="BE254" s="273"/>
      <c r="BF254" s="273"/>
      <c r="BG254" s="273"/>
      <c r="BH254" s="210"/>
    </row>
    <row r="255" spans="1:60">
      <c r="A255" s="1040"/>
      <c r="B255" s="1109" t="s">
        <v>249</v>
      </c>
      <c r="C255" s="1107" t="s">
        <v>104</v>
      </c>
      <c r="D255" s="641" t="s">
        <v>45</v>
      </c>
      <c r="E255" s="180" t="s">
        <v>254</v>
      </c>
      <c r="F255" s="180"/>
      <c r="G255" s="180"/>
      <c r="H255" s="201" t="s">
        <v>160</v>
      </c>
      <c r="I255" s="114"/>
      <c r="J255" s="202">
        <f t="shared" si="214"/>
        <v>0</v>
      </c>
      <c r="K255" s="195"/>
      <c r="L255" s="195"/>
      <c r="M255" s="202">
        <f t="shared" si="215"/>
        <v>0</v>
      </c>
      <c r="N255" s="114"/>
      <c r="O255" s="273"/>
      <c r="P255" s="168">
        <f>IF(OR(P$110=0,LEFT(P$106,2)&lt;&gt;"dx"),0,P$110*INDEX(energiedragers_fPren,MATCH(P$105,energiedragers_namen,0))+
IF(OR(P$144=0,LEFT(P$142,2)&lt;&gt;"dx"),0,P$144*INDEX(energiedragers_fPren,MATCH(P$141,energiedragers_namen,0))))</f>
        <v>0</v>
      </c>
      <c r="Q255" s="273"/>
      <c r="R255" s="273"/>
      <c r="S255" s="273"/>
      <c r="T255" s="273"/>
      <c r="U255" s="273"/>
      <c r="V255" s="273"/>
      <c r="W255" s="273"/>
      <c r="X255" s="113"/>
      <c r="Y255" s="202">
        <f t="shared" si="216"/>
        <v>0</v>
      </c>
      <c r="Z255" s="114"/>
      <c r="AA255" s="273"/>
      <c r="AB255" s="168">
        <f>IF(OR(AB$110=0,LEFT(AB$106,2)&lt;&gt;"dx"),0,AB$110*INDEX(energiedragers_fPren,MATCH(AB$105,energiedragers_namen,0))+
IF(OR(AB$144=0,LEFT(AB$142,2)&lt;&gt;"dx"),0,AB$144*INDEX(energiedragers_fPren,MATCH(AB$141,energiedragers_namen,0))))</f>
        <v>0</v>
      </c>
      <c r="AC255" s="273"/>
      <c r="AD255" s="273"/>
      <c r="AE255" s="273"/>
      <c r="AF255" s="273"/>
      <c r="AG255" s="273"/>
      <c r="AH255" s="273"/>
      <c r="AI255" s="273"/>
      <c r="AJ255" s="113"/>
      <c r="AK255" s="202">
        <f t="shared" si="217"/>
        <v>0</v>
      </c>
      <c r="AL255" s="191"/>
      <c r="AM255" s="273"/>
      <c r="AN255" s="168">
        <f>IF(OR(AN$110=0,LEFT(AN$106,2)&lt;&gt;"dx"),0,AN$110*INDEX(energiedragers_fPren,MATCH(AN$105,energiedragers_namen,0))+
IF(OR(AN$144=0,LEFT(AN$142,2)&lt;&gt;"dx"),0,AN$144*INDEX(energiedragers_fPren,MATCH(AN$141,energiedragers_namen,0))))</f>
        <v>0</v>
      </c>
      <c r="AO255" s="273"/>
      <c r="AP255" s="273"/>
      <c r="AQ255" s="273"/>
      <c r="AR255" s="273"/>
      <c r="AS255" s="273"/>
      <c r="AT255" s="273"/>
      <c r="AU255" s="273"/>
      <c r="AV255" s="191"/>
      <c r="AW255" s="202">
        <f t="shared" si="218"/>
        <v>0</v>
      </c>
      <c r="AX255" s="191"/>
      <c r="AY255" s="273"/>
      <c r="AZ255" s="168">
        <f>IF(OR(AZ$110=0,LEFT(AZ$106,2)&lt;&gt;"dx"),0,AZ$110*INDEX(energiedragers_fPren,MATCH(AZ$105,energiedragers_namen,0))+
IF(OR(AZ$144=0,LEFT(AZ$142,2)&lt;&gt;"dx"),0,AZ$144*INDEX(energiedragers_fPren,MATCH(AZ$141,energiedragers_namen,0))))</f>
        <v>0</v>
      </c>
      <c r="BA255" s="273"/>
      <c r="BB255" s="273"/>
      <c r="BC255" s="273"/>
      <c r="BD255" s="273"/>
      <c r="BE255" s="273"/>
      <c r="BF255" s="273"/>
      <c r="BG255" s="273"/>
      <c r="BH255" s="210"/>
    </row>
    <row r="256" spans="1:60">
      <c r="A256" s="1040"/>
      <c r="B256" s="1109" t="s">
        <v>249</v>
      </c>
      <c r="C256" s="1107" t="s">
        <v>104</v>
      </c>
      <c r="D256" s="641" t="s">
        <v>45</v>
      </c>
      <c r="E256" s="180" t="s">
        <v>255</v>
      </c>
      <c r="F256" s="180"/>
      <c r="G256" s="180"/>
      <c r="H256" s="201" t="s">
        <v>160</v>
      </c>
      <c r="I256" s="114"/>
      <c r="J256" s="202">
        <f t="shared" si="214"/>
        <v>0</v>
      </c>
      <c r="K256" s="195"/>
      <c r="L256" s="195"/>
      <c r="M256" s="202">
        <f t="shared" si="215"/>
        <v>0</v>
      </c>
      <c r="N256" s="114"/>
      <c r="O256" s="168">
        <f>O$91*f_P_renheat</f>
        <v>0</v>
      </c>
      <c r="P256" s="273"/>
      <c r="Q256" s="168">
        <f>Q$91*f_P_renheat</f>
        <v>0</v>
      </c>
      <c r="R256" s="273"/>
      <c r="S256" s="273"/>
      <c r="T256" s="273"/>
      <c r="U256" s="273"/>
      <c r="V256" s="273"/>
      <c r="W256" s="273"/>
      <c r="X256" s="108"/>
      <c r="Y256" s="202">
        <f t="shared" si="216"/>
        <v>0</v>
      </c>
      <c r="Z256" s="114"/>
      <c r="AA256" s="168">
        <f>AA$91*f_P_renheat</f>
        <v>0</v>
      </c>
      <c r="AB256" s="273"/>
      <c r="AC256" s="168">
        <f>AC$91*f_P_renheat</f>
        <v>0</v>
      </c>
      <c r="AD256" s="273"/>
      <c r="AE256" s="273"/>
      <c r="AF256" s="273"/>
      <c r="AG256" s="273"/>
      <c r="AH256" s="273"/>
      <c r="AI256" s="273"/>
      <c r="AJ256" s="108"/>
      <c r="AK256" s="202">
        <f t="shared" si="217"/>
        <v>0</v>
      </c>
      <c r="AL256" s="191"/>
      <c r="AM256" s="168">
        <f>AM$91*f_P_renheat</f>
        <v>0</v>
      </c>
      <c r="AN256" s="273"/>
      <c r="AO256" s="168">
        <f>AO$91*f_P_renheat</f>
        <v>0</v>
      </c>
      <c r="AP256" s="273"/>
      <c r="AQ256" s="273"/>
      <c r="AR256" s="273"/>
      <c r="AS256" s="273"/>
      <c r="AT256" s="273"/>
      <c r="AU256" s="273"/>
      <c r="AV256" s="191"/>
      <c r="AW256" s="202">
        <f t="shared" si="218"/>
        <v>0</v>
      </c>
      <c r="AX256" s="191"/>
      <c r="AY256" s="168">
        <f>AY$91*f_P_renheat</f>
        <v>0</v>
      </c>
      <c r="AZ256" s="273"/>
      <c r="BA256" s="168">
        <f>BA$91*f_P_renheat</f>
        <v>0</v>
      </c>
      <c r="BB256" s="273"/>
      <c r="BC256" s="273"/>
      <c r="BD256" s="273"/>
      <c r="BE256" s="273"/>
      <c r="BF256" s="273"/>
      <c r="BG256" s="273"/>
      <c r="BH256" s="174"/>
    </row>
    <row r="257" spans="1:60">
      <c r="A257" s="1040"/>
      <c r="B257" s="1109" t="s">
        <v>249</v>
      </c>
      <c r="C257" s="1107" t="s">
        <v>104</v>
      </c>
      <c r="D257" s="641" t="s">
        <v>45</v>
      </c>
      <c r="E257" s="180" t="s">
        <v>256</v>
      </c>
      <c r="F257" s="180"/>
      <c r="G257" s="180"/>
      <c r="H257" s="201" t="s">
        <v>160</v>
      </c>
      <c r="I257" s="114"/>
      <c r="J257" s="202">
        <f t="shared" si="214"/>
        <v>0</v>
      </c>
      <c r="K257" s="195"/>
      <c r="L257" s="195"/>
      <c r="M257" s="202">
        <f t="shared" si="215"/>
        <v>0</v>
      </c>
      <c r="N257" s="114"/>
      <c r="O257" s="273"/>
      <c r="P257" s="273"/>
      <c r="Q257" s="273"/>
      <c r="R257" s="273"/>
      <c r="S257" s="273"/>
      <c r="T257" s="273"/>
      <c r="U257" s="273"/>
      <c r="V257" s="273"/>
      <c r="W257" s="168">
        <f>M73*f_P_renelect</f>
        <v>0</v>
      </c>
      <c r="X257" s="113"/>
      <c r="Y257" s="202">
        <f t="shared" si="216"/>
        <v>0</v>
      </c>
      <c r="Z257" s="114"/>
      <c r="AA257" s="273"/>
      <c r="AB257" s="273"/>
      <c r="AC257" s="273"/>
      <c r="AD257" s="273"/>
      <c r="AE257" s="273"/>
      <c r="AF257" s="273"/>
      <c r="AG257" s="273"/>
      <c r="AH257" s="273"/>
      <c r="AI257" s="168">
        <f>Y73*f_P_renelect</f>
        <v>0</v>
      </c>
      <c r="AJ257" s="113"/>
      <c r="AK257" s="202">
        <f t="shared" si="217"/>
        <v>0</v>
      </c>
      <c r="AL257" s="191"/>
      <c r="AM257" s="273"/>
      <c r="AN257" s="273"/>
      <c r="AO257" s="273"/>
      <c r="AP257" s="273"/>
      <c r="AQ257" s="273"/>
      <c r="AR257" s="273"/>
      <c r="AS257" s="273"/>
      <c r="AT257" s="273"/>
      <c r="AU257" s="168">
        <f>AK73*f_P_renelect</f>
        <v>0</v>
      </c>
      <c r="AV257" s="191"/>
      <c r="AW257" s="202">
        <f t="shared" si="218"/>
        <v>0</v>
      </c>
      <c r="AX257" s="191"/>
      <c r="AY257" s="273"/>
      <c r="AZ257" s="273"/>
      <c r="BA257" s="273"/>
      <c r="BB257" s="273"/>
      <c r="BC257" s="273"/>
      <c r="BD257" s="273"/>
      <c r="BE257" s="273"/>
      <c r="BF257" s="273"/>
      <c r="BG257" s="168">
        <f>AW73*f_P_renelect</f>
        <v>0</v>
      </c>
      <c r="BH257" s="210"/>
    </row>
    <row r="258" spans="1:60">
      <c r="A258" s="1040"/>
      <c r="B258" s="1109" t="s">
        <v>249</v>
      </c>
      <c r="C258" s="1107" t="s">
        <v>104</v>
      </c>
      <c r="D258" s="638"/>
      <c r="E258" s="180" t="s">
        <v>232</v>
      </c>
      <c r="F258" s="180"/>
      <c r="G258" s="180"/>
      <c r="H258" s="201" t="s">
        <v>160</v>
      </c>
      <c r="I258" s="114"/>
      <c r="J258" s="202">
        <f>SUM(J251:J257)</f>
        <v>0</v>
      </c>
      <c r="K258" s="195"/>
      <c r="L258" s="195"/>
      <c r="M258" s="202">
        <f>SUM(M251:M257)</f>
        <v>0</v>
      </c>
      <c r="N258" s="114"/>
      <c r="O258" s="168">
        <f t="shared" ref="O258:W258" si="219">SUM(O251:O257)</f>
        <v>0</v>
      </c>
      <c r="P258" s="168">
        <f t="shared" si="219"/>
        <v>0</v>
      </c>
      <c r="Q258" s="168">
        <f t="shared" si="219"/>
        <v>0</v>
      </c>
      <c r="R258" s="273"/>
      <c r="S258" s="273"/>
      <c r="T258" s="273"/>
      <c r="U258" s="273"/>
      <c r="V258" s="273"/>
      <c r="W258" s="168">
        <f t="shared" si="219"/>
        <v>0</v>
      </c>
      <c r="X258" s="113"/>
      <c r="Y258" s="202">
        <f>SUM(Y251:Y257)</f>
        <v>0</v>
      </c>
      <c r="Z258" s="114"/>
      <c r="AA258" s="168">
        <f>SUM(AA251:AA257)</f>
        <v>0</v>
      </c>
      <c r="AB258" s="168">
        <f>SUM(AB251:AB257)</f>
        <v>0</v>
      </c>
      <c r="AC258" s="168">
        <f>SUM(AC251:AC257)</f>
        <v>0</v>
      </c>
      <c r="AD258" s="273"/>
      <c r="AE258" s="273"/>
      <c r="AF258" s="273"/>
      <c r="AG258" s="273"/>
      <c r="AH258" s="273"/>
      <c r="AI258" s="168">
        <f>SUM(AI251:AI257)</f>
        <v>0</v>
      </c>
      <c r="AJ258" s="113"/>
      <c r="AK258" s="202">
        <f>SUM(AK251:AK257)</f>
        <v>0</v>
      </c>
      <c r="AL258" s="191"/>
      <c r="AM258" s="168">
        <f>SUM(AM251:AM257)</f>
        <v>0</v>
      </c>
      <c r="AN258" s="168">
        <f>SUM(AN251:AN257)</f>
        <v>0</v>
      </c>
      <c r="AO258" s="168">
        <f>SUM(AO251:AO257)</f>
        <v>0</v>
      </c>
      <c r="AP258" s="273"/>
      <c r="AQ258" s="273"/>
      <c r="AR258" s="273"/>
      <c r="AS258" s="273"/>
      <c r="AT258" s="273"/>
      <c r="AU258" s="168">
        <f>SUM(AU251:AU257)</f>
        <v>0</v>
      </c>
      <c r="AV258" s="191"/>
      <c r="AW258" s="202">
        <f>SUM(AW251:AW257)</f>
        <v>0</v>
      </c>
      <c r="AX258" s="191"/>
      <c r="AY258" s="168">
        <f>SUM(AY251:AY257)</f>
        <v>0</v>
      </c>
      <c r="AZ258" s="168">
        <f>SUM(AZ251:AZ257)</f>
        <v>0</v>
      </c>
      <c r="BA258" s="168">
        <f>SUM(BA251:BA257)</f>
        <v>0</v>
      </c>
      <c r="BB258" s="273"/>
      <c r="BC258" s="273"/>
      <c r="BD258" s="273"/>
      <c r="BE258" s="273"/>
      <c r="BF258" s="273"/>
      <c r="BG258" s="168">
        <f>SUM(BG251:BG257)</f>
        <v>0</v>
      </c>
      <c r="BH258" s="210"/>
    </row>
    <row r="259" spans="1:60">
      <c r="A259" s="1040"/>
      <c r="B259" s="1109" t="s">
        <v>249</v>
      </c>
      <c r="C259" s="1106" t="s">
        <v>96</v>
      </c>
      <c r="D259" s="638"/>
      <c r="E259" s="79"/>
      <c r="F259" s="79"/>
      <c r="G259" s="79"/>
      <c r="H259" s="85"/>
      <c r="I259" s="79"/>
      <c r="J259" s="82"/>
      <c r="K259" s="79"/>
      <c r="L259" s="79"/>
      <c r="M259" s="82"/>
      <c r="N259" s="79"/>
      <c r="O259" s="82"/>
      <c r="P259" s="82"/>
      <c r="Q259" s="82"/>
      <c r="R259" s="82"/>
      <c r="S259" s="82"/>
      <c r="T259" s="82"/>
      <c r="U259" s="82"/>
      <c r="V259" s="82"/>
      <c r="W259" s="82"/>
      <c r="X259" s="82"/>
      <c r="Y259" s="82"/>
      <c r="Z259" s="79"/>
      <c r="AA259" s="82"/>
      <c r="AB259" s="82"/>
      <c r="AC259" s="82"/>
      <c r="AD259" s="82"/>
      <c r="AE259" s="82"/>
      <c r="AF259" s="82"/>
      <c r="AG259" s="82"/>
      <c r="AH259" s="82"/>
      <c r="AI259" s="82"/>
      <c r="AJ259" s="82"/>
      <c r="AK259" s="82"/>
      <c r="AL259" s="79"/>
      <c r="AM259" s="82"/>
      <c r="AN259" s="82"/>
      <c r="AO259" s="82"/>
      <c r="AP259" s="82"/>
      <c r="AQ259" s="82"/>
      <c r="AR259" s="82"/>
      <c r="AS259" s="82"/>
      <c r="AT259" s="82"/>
      <c r="AU259" s="82"/>
      <c r="AV259" s="191"/>
      <c r="AW259" s="82"/>
      <c r="AX259" s="79"/>
      <c r="AY259" s="82"/>
      <c r="AZ259" s="82"/>
      <c r="BA259" s="82"/>
      <c r="BB259" s="82"/>
      <c r="BC259" s="82"/>
      <c r="BD259" s="82"/>
      <c r="BE259" s="82"/>
      <c r="BF259" s="82"/>
      <c r="BG259" s="82"/>
      <c r="BH259" s="1"/>
    </row>
    <row r="260" spans="1:60">
      <c r="A260" s="1040"/>
      <c r="B260" s="1109" t="s">
        <v>257</v>
      </c>
      <c r="C260" s="1107" t="s">
        <v>96</v>
      </c>
      <c r="D260" s="638"/>
      <c r="E260" s="79"/>
      <c r="F260" s="79"/>
      <c r="G260" s="79"/>
      <c r="H260" s="85"/>
      <c r="I260" s="122"/>
      <c r="J260" s="82"/>
      <c r="K260" s="79"/>
      <c r="L260" s="79"/>
      <c r="M260" s="82"/>
      <c r="N260" s="79"/>
      <c r="O260" s="85"/>
      <c r="P260" s="85"/>
      <c r="Q260" s="82"/>
      <c r="R260" s="82"/>
      <c r="S260" s="82"/>
      <c r="T260" s="82"/>
      <c r="U260" s="82"/>
      <c r="V260" s="82"/>
      <c r="W260" s="82"/>
      <c r="X260" s="82"/>
      <c r="Y260" s="82"/>
      <c r="Z260" s="79"/>
      <c r="AA260" s="85"/>
      <c r="AB260" s="85"/>
      <c r="AC260" s="82"/>
      <c r="AD260" s="82"/>
      <c r="AE260" s="82"/>
      <c r="AF260" s="82"/>
      <c r="AG260" s="82"/>
      <c r="AH260" s="82"/>
      <c r="AI260" s="82"/>
      <c r="AJ260" s="82"/>
      <c r="AK260" s="82"/>
      <c r="AL260" s="79"/>
      <c r="AM260" s="85"/>
      <c r="AN260" s="85"/>
      <c r="AO260" s="82"/>
      <c r="AP260" s="82"/>
      <c r="AQ260" s="82"/>
      <c r="AR260" s="82"/>
      <c r="AS260" s="82"/>
      <c r="AT260" s="82"/>
      <c r="AU260" s="82"/>
      <c r="AV260" s="82"/>
      <c r="AW260" s="82"/>
      <c r="AX260" s="79"/>
      <c r="AY260" s="113"/>
      <c r="AZ260" s="82"/>
      <c r="BA260" s="82"/>
      <c r="BB260" s="82"/>
      <c r="BC260" s="82"/>
      <c r="BD260" s="82"/>
      <c r="BE260" s="82"/>
      <c r="BF260" s="82"/>
      <c r="BG260" s="82"/>
      <c r="BH260" s="1"/>
    </row>
    <row r="261" spans="1:60" ht="21">
      <c r="A261" s="1040"/>
      <c r="B261" s="1109" t="s">
        <v>257</v>
      </c>
      <c r="C261" s="1106" t="s">
        <v>96</v>
      </c>
      <c r="D261" s="643"/>
      <c r="E261" s="1181" t="s">
        <v>1358</v>
      </c>
      <c r="F261" s="1181"/>
      <c r="G261" s="1181"/>
      <c r="H261" s="1181"/>
      <c r="I261" s="77"/>
      <c r="J261" s="200" t="str">
        <f>J$10</f>
        <v>alle locaties</v>
      </c>
      <c r="K261" s="126"/>
      <c r="L261" s="126"/>
      <c r="M261" s="200" t="str">
        <f>M$10</f>
        <v>locatie 1</v>
      </c>
      <c r="N261" s="182"/>
      <c r="O261" s="966" t="str">
        <f>$E261&amp;" per energiepost"</f>
        <v>primaire fossiele energiefactor installaties buiten de locatie per energiepost</v>
      </c>
      <c r="P261" s="941"/>
      <c r="Q261" s="941"/>
      <c r="R261" s="941"/>
      <c r="S261" s="941"/>
      <c r="T261" s="941"/>
      <c r="U261" s="941"/>
      <c r="V261" s="941"/>
      <c r="W261" s="956"/>
      <c r="X261" s="174"/>
      <c r="Y261" s="200" t="str">
        <f>Y$10</f>
        <v>locatie 2</v>
      </c>
      <c r="Z261" s="182"/>
      <c r="AA261" s="966" t="str">
        <f>$E261&amp;" per energiepost"</f>
        <v>primaire fossiele energiefactor installaties buiten de locatie per energiepost</v>
      </c>
      <c r="AB261" s="941"/>
      <c r="AC261" s="941"/>
      <c r="AD261" s="941"/>
      <c r="AE261" s="941"/>
      <c r="AF261" s="941"/>
      <c r="AG261" s="941"/>
      <c r="AH261" s="941"/>
      <c r="AI261" s="956"/>
      <c r="AJ261" s="174"/>
      <c r="AK261" s="200" t="str">
        <f>AK$10</f>
        <v>locatie 3</v>
      </c>
      <c r="AL261" s="182"/>
      <c r="AM261" s="966" t="str">
        <f>$E261&amp;" per energiepost"</f>
        <v>primaire fossiele energiefactor installaties buiten de locatie per energiepost</v>
      </c>
      <c r="AN261" s="941"/>
      <c r="AO261" s="941"/>
      <c r="AP261" s="941"/>
      <c r="AQ261" s="941"/>
      <c r="AR261" s="941"/>
      <c r="AS261" s="941"/>
      <c r="AT261" s="941"/>
      <c r="AU261" s="956"/>
      <c r="AV261" s="174"/>
      <c r="AW261" s="200" t="str">
        <f>AW$10</f>
        <v>locatie 4</v>
      </c>
      <c r="AX261" s="182"/>
      <c r="AY261" s="966" t="str">
        <f>$E261&amp;" per energiepost"</f>
        <v>primaire fossiele energiefactor installaties buiten de locatie per energiepost</v>
      </c>
      <c r="AZ261" s="941"/>
      <c r="BA261" s="941"/>
      <c r="BB261" s="941"/>
      <c r="BC261" s="941"/>
      <c r="BD261" s="941"/>
      <c r="BE261" s="941"/>
      <c r="BF261" s="941"/>
      <c r="BG261" s="956"/>
      <c r="BH261" s="1"/>
    </row>
    <row r="262" spans="1:60">
      <c r="A262" s="1040"/>
      <c r="B262" s="1109" t="s">
        <v>257</v>
      </c>
      <c r="C262" s="1106" t="s">
        <v>96</v>
      </c>
      <c r="D262" s="638"/>
      <c r="E262" s="940" t="s">
        <v>1316</v>
      </c>
      <c r="F262" s="940"/>
      <c r="G262" s="940"/>
      <c r="H262" s="940"/>
      <c r="I262" s="77"/>
      <c r="J262" s="939"/>
      <c r="K262" s="126"/>
      <c r="L262" s="126"/>
      <c r="M262" s="938"/>
      <c r="N262" s="191"/>
      <c r="O262" s="177" t="str">
        <f>O$10</f>
        <v>verwarming</v>
      </c>
      <c r="P262" s="177" t="str">
        <f>P$10</f>
        <v>koeling</v>
      </c>
      <c r="Q262" s="177" t="str">
        <f>Q$10</f>
        <v>tapwater</v>
      </c>
      <c r="R262" s="177"/>
      <c r="S262" s="177"/>
      <c r="T262" s="177"/>
      <c r="U262" s="177"/>
      <c r="V262" s="177"/>
      <c r="W262" s="177"/>
      <c r="X262" s="191"/>
      <c r="Y262" s="938"/>
      <c r="Z262" s="191"/>
      <c r="AA262" s="177" t="str">
        <f>AA$10</f>
        <v>verwarming</v>
      </c>
      <c r="AB262" s="177" t="str">
        <f>AB$10</f>
        <v>koeling</v>
      </c>
      <c r="AC262" s="177" t="str">
        <f>AC$10</f>
        <v>tapwater</v>
      </c>
      <c r="AD262" s="177"/>
      <c r="AE262" s="177"/>
      <c r="AF262" s="177"/>
      <c r="AG262" s="177"/>
      <c r="AH262" s="177"/>
      <c r="AI262" s="177"/>
      <c r="AJ262" s="191"/>
      <c r="AK262" s="938"/>
      <c r="AL262" s="191"/>
      <c r="AM262" s="177" t="str">
        <f>AM$10</f>
        <v>verwarming</v>
      </c>
      <c r="AN262" s="177" t="str">
        <f>AN$10</f>
        <v>koeling</v>
      </c>
      <c r="AO262" s="177" t="str">
        <f>AO$10</f>
        <v>tapwater</v>
      </c>
      <c r="AP262" s="177"/>
      <c r="AQ262" s="177"/>
      <c r="AR262" s="177"/>
      <c r="AS262" s="177"/>
      <c r="AT262" s="177"/>
      <c r="AU262" s="177"/>
      <c r="AV262" s="191"/>
      <c r="AW262" s="938"/>
      <c r="AX262" s="191"/>
      <c r="AY262" s="177" t="str">
        <f>AY$10</f>
        <v>verwarming</v>
      </c>
      <c r="AZ262" s="177" t="str">
        <f>AZ$10</f>
        <v>koeling</v>
      </c>
      <c r="BA262" s="177" t="str">
        <f>BA$10</f>
        <v>tapwater</v>
      </c>
      <c r="BB262" s="177"/>
      <c r="BC262" s="177"/>
      <c r="BD262" s="177"/>
      <c r="BE262" s="177"/>
      <c r="BF262" s="177"/>
      <c r="BG262" s="177"/>
      <c r="BH262" s="36"/>
    </row>
    <row r="263" spans="1:60">
      <c r="A263" s="1040"/>
      <c r="B263" s="1109" t="s">
        <v>257</v>
      </c>
      <c r="C263" s="1107" t="s">
        <v>104</v>
      </c>
      <c r="D263" s="638"/>
      <c r="E263" s="180" t="s">
        <v>259</v>
      </c>
      <c r="F263" s="180"/>
      <c r="G263" s="180"/>
      <c r="H263" s="201" t="s">
        <v>65</v>
      </c>
      <c r="I263" s="114"/>
      <c r="J263" s="226"/>
      <c r="K263" s="234"/>
      <c r="L263" s="234"/>
      <c r="M263" s="202" t="str">
        <f>CONCATENATE(O263,"/",Q263)</f>
        <v>gebouw/gebouw</v>
      </c>
      <c r="N263" s="89"/>
      <c r="O263" s="168" t="str">
        <f>IF(O83=geen,"-",O84)</f>
        <v>gebouw</v>
      </c>
      <c r="P263" s="168" t="str">
        <f>IF(P83=geen,"-",P84)</f>
        <v>-</v>
      </c>
      <c r="Q263" s="168" t="str">
        <f>IF(Q83=geen,"-",Q84)</f>
        <v>gebouw</v>
      </c>
      <c r="R263" s="273"/>
      <c r="S263" s="273"/>
      <c r="T263" s="273"/>
      <c r="U263" s="273"/>
      <c r="V263" s="273"/>
      <c r="W263" s="273"/>
      <c r="X263" s="113"/>
      <c r="Y263" s="202" t="str">
        <f>CONCATENATE(AA263,"/",AC263)</f>
        <v>gebouw/gebouw</v>
      </c>
      <c r="Z263" s="89"/>
      <c r="AA263" s="168" t="str">
        <f>IF(AA83=geen,"-",AA84)</f>
        <v>gebouw</v>
      </c>
      <c r="AB263" s="168" t="str">
        <f>IF(AB83=geen,"-",AB84)</f>
        <v>-</v>
      </c>
      <c r="AC263" s="168" t="str">
        <f>IF(AC83=geen,"-",AC84)</f>
        <v>gebouw</v>
      </c>
      <c r="AD263" s="273"/>
      <c r="AE263" s="273"/>
      <c r="AF263" s="273"/>
      <c r="AG263" s="273"/>
      <c r="AH263" s="273"/>
      <c r="AI263" s="273"/>
      <c r="AJ263" s="113"/>
      <c r="AK263" s="202" t="str">
        <f>CONCATENATE(AM263,"/",AO263)</f>
        <v>gebouw/gebouw</v>
      </c>
      <c r="AL263" s="89"/>
      <c r="AM263" s="168" t="str">
        <f>IF(AM83=geen,"-",AM84)</f>
        <v>gebouw</v>
      </c>
      <c r="AN263" s="168" t="str">
        <f>IF(AN83=geen,"-",AN84)</f>
        <v>-</v>
      </c>
      <c r="AO263" s="168" t="str">
        <f>IF(AO83=geen,"-",AO84)</f>
        <v>gebouw</v>
      </c>
      <c r="AP263" s="273"/>
      <c r="AQ263" s="273"/>
      <c r="AR263" s="273"/>
      <c r="AS263" s="273"/>
      <c r="AT263" s="273"/>
      <c r="AU263" s="273"/>
      <c r="AV263" s="113"/>
      <c r="AW263" s="202" t="str">
        <f>CONCATENATE(AY263,"/",BA263)</f>
        <v>gebouw/gebouw</v>
      </c>
      <c r="AX263" s="89"/>
      <c r="AY263" s="168" t="str">
        <f>IF(AY83=geen,"-",AY84)</f>
        <v>gebouw</v>
      </c>
      <c r="AZ263" s="168" t="str">
        <f>IF(AZ83=geen,"-",AZ84)</f>
        <v>-</v>
      </c>
      <c r="BA263" s="168" t="str">
        <f>IF(BA83=geen,"-",BA84)</f>
        <v>gebouw</v>
      </c>
      <c r="BB263" s="168"/>
      <c r="BC263" s="273"/>
      <c r="BD263" s="273"/>
      <c r="BE263" s="273"/>
      <c r="BF263" s="273"/>
      <c r="BG263" s="273"/>
      <c r="BH263" s="210"/>
    </row>
    <row r="264" spans="1:60">
      <c r="A264" s="1040"/>
      <c r="B264" s="1109" t="s">
        <v>257</v>
      </c>
      <c r="C264" s="1107" t="s">
        <v>104</v>
      </c>
      <c r="D264" s="638"/>
      <c r="E264" s="1123" t="s">
        <v>1347</v>
      </c>
      <c r="F264" s="1123"/>
      <c r="G264" s="180"/>
      <c r="H264" s="201" t="s">
        <v>65</v>
      </c>
      <c r="I264" s="114"/>
      <c r="J264" s="226"/>
      <c r="K264" s="232"/>
      <c r="L264" s="232"/>
      <c r="M264" s="226" t="str">
        <f>IF(SUM(O264:Q264)=0,"",((O$263&lt;&gt;gebouw)*(O$120+O$151+O$174-O$214) + (P$263&lt;&gt;gebouw)*(P$120+P$151+P$174-P$214) + (Q$263&lt;&gt;gebouw)*(Q$120+Q$151+Q$174-Q$214) )/  ((O$263&lt;&gt;gebouw)*O$78 + AND(P$263&lt;&gt;gebouw,P$263&lt;&gt;"-")*P$78 + (Q$263&lt;&gt;gebouw)*Q$78) )</f>
        <v/>
      </c>
      <c r="N264" s="233"/>
      <c r="O264" s="227" t="str">
        <f>IF(OR(O$246=0,O$263=gebouw),"-",(O$120+O$151+O$174-O$214)/O$78)</f>
        <v>-</v>
      </c>
      <c r="P264" s="227" t="str">
        <f>IF(OR(P$246=0,P$263=gebouw),"-",(P$120+P$151+P$174-P$214)/P$78)</f>
        <v>-</v>
      </c>
      <c r="Q264" s="227" t="str">
        <f>IF(OR(Q$246=0,Q$263=gebouw),"-",(Q$120+Q$151+Q$174-Q$214)/Q$78)</f>
        <v>-</v>
      </c>
      <c r="R264" s="274"/>
      <c r="S264" s="274"/>
      <c r="T264" s="274"/>
      <c r="U264" s="274"/>
      <c r="V264" s="274"/>
      <c r="W264" s="274"/>
      <c r="X264" s="123"/>
      <c r="Y264" s="226" t="str">
        <f>IF(SUM(AA264:AC264)=0,"",((AA$263&lt;&gt;gebouw)*(AA$120+AA$151+AA$174-AA$214) + (AB$263&lt;&gt;gebouw)*(AB$120+AB$151+AB$174-AB$214) + (AC$263&lt;&gt;gebouw)*(AC$120+AC$151+AC$174-AC$214) )/  ((AA$263&lt;&gt;gebouw)*AA$78 + AND(AB$263&lt;&gt;gebouw,AB$263&lt;&gt;"-")*AB$78 + (AC$263&lt;&gt;gebouw)*AC$78) )</f>
        <v/>
      </c>
      <c r="Z264" s="233"/>
      <c r="AA264" s="227" t="str">
        <f>IF(OR(AA$246=0,AA$263=gebouw),"-",(AA$120+AA$151+AA$174-AA$214)/AA$78)</f>
        <v>-</v>
      </c>
      <c r="AB264" s="227" t="str">
        <f>IF(OR(AB$246=0,AB$263=gebouw),"-",(AB$120+AB$151+AB$174-AB$214)/AB$78)</f>
        <v>-</v>
      </c>
      <c r="AC264" s="227" t="str">
        <f>IF(OR(AC$246=0,AC$263=gebouw),"-",(AC$120+AC$151+AC$174-AC$214)/AC$78)</f>
        <v>-</v>
      </c>
      <c r="AD264" s="274"/>
      <c r="AE264" s="274"/>
      <c r="AF264" s="274"/>
      <c r="AG264" s="274"/>
      <c r="AH264" s="274"/>
      <c r="AI264" s="274"/>
      <c r="AJ264" s="123"/>
      <c r="AK264" s="226" t="str">
        <f>IF(SUM(AM264:AO264)=0,"",((AM$263&lt;&gt;gebouw)*(AM$120+AM$151+AM$174-AM$214) + (AN$263&lt;&gt;gebouw)*(AN$120+AN$151+AN$174-AN$214) + (AO$263&lt;&gt;gebouw)*(AO$120+AO$151+AO$174-AO$214) )/  ((AM$263&lt;&gt;gebouw)*AM$78 + AND(AN$263&lt;&gt;gebouw,AN$263&lt;&gt;"-")*AN$78 + (AO$263&lt;&gt;gebouw)*AO$78) )</f>
        <v/>
      </c>
      <c r="AL264" s="233"/>
      <c r="AM264" s="227" t="str">
        <f>IF(OR(AM$246=0,AM$263=gebouw),"-",(AM$120+AM$151+AM$174-AM$214)/AM$78)</f>
        <v>-</v>
      </c>
      <c r="AN264" s="227" t="str">
        <f>IF(OR(AN$246=0,AN$263=gebouw),"-",(AN$120+AN$151+AN$174-AN$214)/AN$78)</f>
        <v>-</v>
      </c>
      <c r="AO264" s="227" t="str">
        <f>IF(OR(AO$246=0,AO$263=gebouw),"-",(AO$120+AO$151+AO$174-AO$214)/AO$78)</f>
        <v>-</v>
      </c>
      <c r="AP264" s="274"/>
      <c r="AQ264" s="274"/>
      <c r="AR264" s="274"/>
      <c r="AS264" s="274"/>
      <c r="AT264" s="274"/>
      <c r="AU264" s="274"/>
      <c r="AV264" s="123"/>
      <c r="AW264" s="226" t="str">
        <f>IF(SUM(AY264:BA264)=0,"",((AY$263&lt;&gt;gebouw)*(AY$120+AY$151+AY$174-AY$214) + (AZ$263&lt;&gt;gebouw)*(AZ$120+AZ$151+AZ$174-AZ$214) + (BA$263&lt;&gt;gebouw)*(BA$120+BA$151+BA$174-BA$214) )/  ((AY$263&lt;&gt;gebouw)*AY$78 + AND(AZ$263&lt;&gt;gebouw,AZ$263&lt;&gt;"-")*AZ$78 + (BA$263&lt;&gt;gebouw)*BA$78) )</f>
        <v/>
      </c>
      <c r="AX264" s="233"/>
      <c r="AY264" s="227" t="str">
        <f>IF(OR(AY$246=0,AY$263=gebouw),"-",(AY$120+AY$151+AY$174-AY$214)/AY$78)</f>
        <v>-</v>
      </c>
      <c r="AZ264" s="227" t="str">
        <f>IF(OR(AZ$246=0,AZ$263=gebouw),"-",(AZ$120+AZ$151+AZ$174-AZ$214)/AZ$78)</f>
        <v>-</v>
      </c>
      <c r="BA264" s="227" t="str">
        <f>IF(OR(BA$246=0,BA$263=gebouw),"-",(BA$120+BA$151+BA$174-BA$214)/BA$78)</f>
        <v>-</v>
      </c>
      <c r="BB264" s="227"/>
      <c r="BC264" s="274"/>
      <c r="BD264" s="274"/>
      <c r="BE264" s="274"/>
      <c r="BF264" s="274"/>
      <c r="BG264" s="274"/>
      <c r="BH264" s="210"/>
    </row>
    <row r="265" spans="1:60">
      <c r="A265" s="1040"/>
      <c r="B265" s="1109" t="s">
        <v>257</v>
      </c>
      <c r="C265" s="1106" t="s">
        <v>96</v>
      </c>
      <c r="D265" s="638"/>
      <c r="E265" s="79"/>
      <c r="F265" s="79"/>
      <c r="G265" s="79"/>
      <c r="H265" s="85"/>
      <c r="I265" s="79"/>
      <c r="J265" s="82"/>
      <c r="K265" s="79"/>
      <c r="L265" s="79"/>
      <c r="M265" s="597"/>
      <c r="N265" s="79"/>
      <c r="O265" s="82"/>
      <c r="P265" s="82"/>
      <c r="Q265" s="82"/>
      <c r="R265" s="82"/>
      <c r="S265" s="82"/>
      <c r="T265" s="82"/>
      <c r="U265" s="82"/>
      <c r="V265" s="82"/>
      <c r="W265" s="82"/>
      <c r="X265" s="82"/>
      <c r="Y265" s="123"/>
      <c r="Z265" s="79"/>
      <c r="AA265" s="82"/>
      <c r="AB265" s="82"/>
      <c r="AC265" s="82"/>
      <c r="AD265" s="82"/>
      <c r="AE265" s="82"/>
      <c r="AF265" s="82"/>
      <c r="AG265" s="82"/>
      <c r="AH265" s="82"/>
      <c r="AI265" s="82"/>
      <c r="AJ265" s="82"/>
      <c r="AK265" s="82"/>
      <c r="AL265" s="79"/>
      <c r="AM265" s="82"/>
      <c r="AN265" s="82"/>
      <c r="AO265" s="82"/>
      <c r="AP265" s="82"/>
      <c r="AQ265" s="82"/>
      <c r="AR265" s="82"/>
      <c r="AS265" s="82"/>
      <c r="AT265" s="82"/>
      <c r="AU265" s="82"/>
      <c r="AV265" s="82"/>
      <c r="AW265" s="82"/>
      <c r="AX265" s="79"/>
      <c r="AY265" s="79"/>
      <c r="AZ265" s="82"/>
      <c r="BA265" s="82"/>
      <c r="BB265" s="82"/>
      <c r="BC265" s="82"/>
      <c r="BD265" s="82"/>
      <c r="BE265" s="82"/>
      <c r="BF265" s="82"/>
      <c r="BG265" s="82"/>
      <c r="BH265" s="1"/>
    </row>
    <row r="266" spans="1:60">
      <c r="A266" s="1040"/>
      <c r="B266" s="1109" t="s">
        <v>260</v>
      </c>
      <c r="C266" s="1107" t="s">
        <v>96</v>
      </c>
      <c r="D266" s="638"/>
      <c r="E266" s="79"/>
      <c r="F266" s="79"/>
      <c r="G266" s="79"/>
      <c r="H266" s="85"/>
      <c r="I266" s="79"/>
      <c r="J266" s="82"/>
      <c r="K266" s="79"/>
      <c r="L266" s="79"/>
      <c r="M266" s="82"/>
      <c r="N266" s="79"/>
      <c r="O266" s="82"/>
      <c r="P266" s="82"/>
      <c r="Q266" s="82"/>
      <c r="R266" s="82"/>
      <c r="S266" s="82"/>
      <c r="T266" s="82"/>
      <c r="U266" s="82"/>
      <c r="V266" s="82"/>
      <c r="W266" s="82"/>
      <c r="X266" s="82"/>
      <c r="Y266" s="82"/>
      <c r="Z266" s="79"/>
      <c r="AA266" s="82"/>
      <c r="AB266" s="82"/>
      <c r="AC266" s="82"/>
      <c r="AD266" s="82"/>
      <c r="AE266" s="82"/>
      <c r="AF266" s="82"/>
      <c r="AG266" s="82"/>
      <c r="AH266" s="82"/>
      <c r="AI266" s="82"/>
      <c r="AJ266" s="82"/>
      <c r="AK266" s="82"/>
      <c r="AL266" s="79"/>
      <c r="AM266" s="82"/>
      <c r="AN266" s="82"/>
      <c r="AO266" s="82"/>
      <c r="AP266" s="82"/>
      <c r="AQ266" s="82"/>
      <c r="AR266" s="82"/>
      <c r="AS266" s="82"/>
      <c r="AT266" s="82"/>
      <c r="AU266" s="82"/>
      <c r="AV266" s="82"/>
      <c r="AW266" s="82"/>
      <c r="AX266" s="79"/>
      <c r="AY266" s="82"/>
      <c r="AZ266" s="82"/>
      <c r="BA266" s="82"/>
      <c r="BB266" s="82"/>
      <c r="BC266" s="82"/>
      <c r="BD266" s="82"/>
      <c r="BE266" s="82"/>
      <c r="BF266" s="82"/>
      <c r="BG266" s="82"/>
      <c r="BH266" s="1"/>
    </row>
    <row r="267" spans="1:60" s="2" customFormat="1" ht="21">
      <c r="A267" s="1038"/>
      <c r="B267" s="1109" t="s">
        <v>260</v>
      </c>
      <c r="C267" s="1106" t="s">
        <v>96</v>
      </c>
      <c r="D267" s="640" t="s">
        <v>45</v>
      </c>
      <c r="E267" s="209" t="str">
        <f>"warmte-/koudebehoefte ruimteverwarming ["&amp;$F$6&amp;"]"</f>
        <v>warmte-/koudebehoefte ruimteverwarming [EP]</v>
      </c>
      <c r="F267" s="209"/>
      <c r="G267" s="209"/>
      <c r="H267" s="209"/>
      <c r="I267" s="129"/>
      <c r="J267" s="256"/>
      <c r="K267" s="126"/>
      <c r="L267" s="126"/>
      <c r="M267" s="256" t="str">
        <f>M$10</f>
        <v>locatie 1</v>
      </c>
      <c r="N267" s="182"/>
      <c r="O267" s="955" t="str">
        <f>$E267&amp;" per woning-/gebouwtype"</f>
        <v>warmte-/koudebehoefte ruimteverwarming [EP] per woning-/gebouwtype</v>
      </c>
      <c r="P267" s="945"/>
      <c r="Q267" s="945"/>
      <c r="R267" s="945"/>
      <c r="S267" s="945"/>
      <c r="T267" s="945"/>
      <c r="U267" s="945"/>
      <c r="V267" s="945"/>
      <c r="W267" s="257"/>
      <c r="X267" s="174"/>
      <c r="Y267" s="256" t="str">
        <f>Y$10</f>
        <v>locatie 2</v>
      </c>
      <c r="Z267" s="182"/>
      <c r="AA267" s="955" t="str">
        <f>$E267&amp;" per woning-/gebouwtype"</f>
        <v>warmte-/koudebehoefte ruimteverwarming [EP] per woning-/gebouwtype</v>
      </c>
      <c r="AB267" s="945"/>
      <c r="AC267" s="945"/>
      <c r="AD267" s="945"/>
      <c r="AE267" s="945"/>
      <c r="AF267" s="945"/>
      <c r="AG267" s="945"/>
      <c r="AH267" s="945"/>
      <c r="AI267" s="257"/>
      <c r="AJ267" s="174"/>
      <c r="AK267" s="256" t="str">
        <f>AK$10</f>
        <v>locatie 3</v>
      </c>
      <c r="AL267" s="182"/>
      <c r="AM267" s="955" t="str">
        <f>$E267&amp;" per woning-/gebouwtype"</f>
        <v>warmte-/koudebehoefte ruimteverwarming [EP] per woning-/gebouwtype</v>
      </c>
      <c r="AN267" s="945"/>
      <c r="AO267" s="945"/>
      <c r="AP267" s="945"/>
      <c r="AQ267" s="945"/>
      <c r="AR267" s="945"/>
      <c r="AS267" s="945"/>
      <c r="AT267" s="945"/>
      <c r="AU267" s="257"/>
      <c r="AV267" s="174"/>
      <c r="AW267" s="256" t="str">
        <f>AW$10</f>
        <v>locatie 4</v>
      </c>
      <c r="AX267" s="182"/>
      <c r="AY267" s="955" t="str">
        <f>$E267&amp;" per woning-/gebouwtype"</f>
        <v>warmte-/koudebehoefte ruimteverwarming [EP] per woning-/gebouwtype</v>
      </c>
      <c r="AZ267" s="945"/>
      <c r="BA267" s="945"/>
      <c r="BB267" s="945"/>
      <c r="BC267" s="945"/>
      <c r="BD267" s="945"/>
      <c r="BE267" s="945"/>
      <c r="BF267" s="945"/>
      <c r="BG267" s="257"/>
      <c r="BH267" s="1"/>
    </row>
    <row r="268" spans="1:60">
      <c r="A268" s="1040"/>
      <c r="B268" s="1109" t="s">
        <v>260</v>
      </c>
      <c r="C268" s="1106" t="s">
        <v>96</v>
      </c>
      <c r="D268" s="638"/>
      <c r="E268" s="942" t="str">
        <f>E267</f>
        <v>warmte-/koudebehoefte ruimteverwarming [EP]</v>
      </c>
      <c r="F268" s="942"/>
      <c r="G268" s="942"/>
      <c r="H268" s="942"/>
      <c r="I268" s="129"/>
      <c r="J268" s="943"/>
      <c r="K268" s="126"/>
      <c r="L268" s="126"/>
      <c r="M268" s="944"/>
      <c r="N268" s="195"/>
      <c r="O268" s="258" t="str">
        <f>O$17</f>
        <v/>
      </c>
      <c r="P268" s="258" t="str">
        <f t="shared" ref="P268:W268" si="220">P$17</f>
        <v/>
      </c>
      <c r="Q268" s="258" t="str">
        <f t="shared" si="220"/>
        <v/>
      </c>
      <c r="R268" s="258" t="str">
        <f t="shared" si="220"/>
        <v/>
      </c>
      <c r="S268" s="258" t="str">
        <f t="shared" si="220"/>
        <v/>
      </c>
      <c r="T268" s="258" t="str">
        <f t="shared" si="220"/>
        <v/>
      </c>
      <c r="U268" s="258" t="str">
        <f t="shared" si="220"/>
        <v/>
      </c>
      <c r="V268" s="258" t="str">
        <f t="shared" si="220"/>
        <v/>
      </c>
      <c r="W268" s="258" t="str">
        <f t="shared" si="220"/>
        <v/>
      </c>
      <c r="X268" s="195"/>
      <c r="Y268" s="944"/>
      <c r="Z268" s="195"/>
      <c r="AA268" s="258" t="str">
        <f>AA$17</f>
        <v/>
      </c>
      <c r="AB268" s="258" t="str">
        <f t="shared" ref="AB268:AI268" si="221">AB$17</f>
        <v/>
      </c>
      <c r="AC268" s="258" t="str">
        <f t="shared" si="221"/>
        <v/>
      </c>
      <c r="AD268" s="258" t="str">
        <f t="shared" si="221"/>
        <v/>
      </c>
      <c r="AE268" s="258" t="str">
        <f t="shared" si="221"/>
        <v/>
      </c>
      <c r="AF268" s="258" t="str">
        <f t="shared" si="221"/>
        <v/>
      </c>
      <c r="AG268" s="258" t="str">
        <f t="shared" si="221"/>
        <v/>
      </c>
      <c r="AH268" s="258" t="str">
        <f t="shared" si="221"/>
        <v/>
      </c>
      <c r="AI268" s="258" t="str">
        <f t="shared" si="221"/>
        <v/>
      </c>
      <c r="AJ268" s="195"/>
      <c r="AK268" s="944"/>
      <c r="AL268" s="195"/>
      <c r="AM268" s="258" t="str">
        <f>AM$17</f>
        <v/>
      </c>
      <c r="AN268" s="258" t="str">
        <f t="shared" ref="AN268:AU268" si="222">AN$17</f>
        <v/>
      </c>
      <c r="AO268" s="258" t="str">
        <f t="shared" si="222"/>
        <v/>
      </c>
      <c r="AP268" s="258" t="str">
        <f t="shared" si="222"/>
        <v/>
      </c>
      <c r="AQ268" s="258" t="str">
        <f t="shared" si="222"/>
        <v/>
      </c>
      <c r="AR268" s="258" t="str">
        <f t="shared" si="222"/>
        <v/>
      </c>
      <c r="AS268" s="258" t="str">
        <f t="shared" si="222"/>
        <v/>
      </c>
      <c r="AT268" s="258" t="str">
        <f t="shared" si="222"/>
        <v/>
      </c>
      <c r="AU268" s="258" t="str">
        <f t="shared" si="222"/>
        <v/>
      </c>
      <c r="AV268" s="195"/>
      <c r="AW268" s="944"/>
      <c r="AX268" s="195"/>
      <c r="AY268" s="258" t="str">
        <f>AY$17</f>
        <v/>
      </c>
      <c r="AZ268" s="258" t="str">
        <f t="shared" ref="AZ268:BG268" si="223">AZ$17</f>
        <v/>
      </c>
      <c r="BA268" s="258" t="str">
        <f t="shared" si="223"/>
        <v/>
      </c>
      <c r="BB268" s="258" t="str">
        <f t="shared" si="223"/>
        <v/>
      </c>
      <c r="BC268" s="258" t="str">
        <f t="shared" si="223"/>
        <v/>
      </c>
      <c r="BD268" s="258" t="str">
        <f t="shared" si="223"/>
        <v/>
      </c>
      <c r="BE268" s="258" t="str">
        <f t="shared" si="223"/>
        <v/>
      </c>
      <c r="BF268" s="258" t="str">
        <f t="shared" si="223"/>
        <v/>
      </c>
      <c r="BG268" s="258" t="str">
        <f t="shared" si="223"/>
        <v/>
      </c>
      <c r="BH268" s="36"/>
    </row>
    <row r="269" spans="1:60">
      <c r="A269" s="1040"/>
      <c r="B269" s="1109" t="s">
        <v>260</v>
      </c>
      <c r="C269" s="1107" t="s">
        <v>104</v>
      </c>
      <c r="D269" s="641"/>
      <c r="E269" s="180" t="s">
        <v>1159</v>
      </c>
      <c r="F269" s="180"/>
      <c r="G269" s="180"/>
      <c r="H269" s="201" t="s">
        <v>154</v>
      </c>
      <c r="I269" s="114"/>
      <c r="J269" s="190"/>
      <c r="K269" s="1092"/>
      <c r="L269" s="1092"/>
      <c r="M269" s="190"/>
      <c r="N269" s="119"/>
      <c r="O269" s="183" t="str">
        <f t="shared" ref="O269:W269" si="224">IF(O$17="","",O62)</f>
        <v/>
      </c>
      <c r="P269" s="183" t="str">
        <f t="shared" si="224"/>
        <v/>
      </c>
      <c r="Q269" s="183" t="str">
        <f t="shared" si="224"/>
        <v/>
      </c>
      <c r="R269" s="183" t="str">
        <f t="shared" si="224"/>
        <v/>
      </c>
      <c r="S269" s="183" t="str">
        <f t="shared" si="224"/>
        <v/>
      </c>
      <c r="T269" s="183" t="str">
        <f t="shared" si="224"/>
        <v/>
      </c>
      <c r="U269" s="183" t="str">
        <f t="shared" si="224"/>
        <v/>
      </c>
      <c r="V269" s="183" t="str">
        <f t="shared" si="224"/>
        <v/>
      </c>
      <c r="W269" s="183" t="str">
        <f t="shared" si="224"/>
        <v/>
      </c>
      <c r="X269" s="108"/>
      <c r="Y269" s="190"/>
      <c r="Z269" s="119"/>
      <c r="AA269" s="183" t="str">
        <f t="shared" ref="AA269:AI269" si="225">IF(AA$17="","",AA62)</f>
        <v/>
      </c>
      <c r="AB269" s="183" t="str">
        <f t="shared" si="225"/>
        <v/>
      </c>
      <c r="AC269" s="183" t="str">
        <f t="shared" si="225"/>
        <v/>
      </c>
      <c r="AD269" s="183" t="str">
        <f t="shared" si="225"/>
        <v/>
      </c>
      <c r="AE269" s="183" t="str">
        <f t="shared" si="225"/>
        <v/>
      </c>
      <c r="AF269" s="183" t="str">
        <f t="shared" si="225"/>
        <v/>
      </c>
      <c r="AG269" s="183" t="str">
        <f t="shared" si="225"/>
        <v/>
      </c>
      <c r="AH269" s="183" t="str">
        <f t="shared" si="225"/>
        <v/>
      </c>
      <c r="AI269" s="183" t="str">
        <f t="shared" si="225"/>
        <v/>
      </c>
      <c r="AJ269" s="108"/>
      <c r="AK269" s="190"/>
      <c r="AL269" s="119"/>
      <c r="AM269" s="183" t="str">
        <f t="shared" ref="AM269:AU269" si="226">IF(AM$17="","",AM62)</f>
        <v/>
      </c>
      <c r="AN269" s="183" t="str">
        <f t="shared" si="226"/>
        <v/>
      </c>
      <c r="AO269" s="183" t="str">
        <f t="shared" si="226"/>
        <v/>
      </c>
      <c r="AP269" s="183" t="str">
        <f t="shared" si="226"/>
        <v/>
      </c>
      <c r="AQ269" s="183" t="str">
        <f t="shared" si="226"/>
        <v/>
      </c>
      <c r="AR269" s="183" t="str">
        <f t="shared" si="226"/>
        <v/>
      </c>
      <c r="AS269" s="183" t="str">
        <f t="shared" si="226"/>
        <v/>
      </c>
      <c r="AT269" s="183" t="str">
        <f t="shared" si="226"/>
        <v/>
      </c>
      <c r="AU269" s="183" t="str">
        <f t="shared" si="226"/>
        <v/>
      </c>
      <c r="AV269" s="108"/>
      <c r="AW269" s="190"/>
      <c r="AX269" s="119"/>
      <c r="AY269" s="183" t="str">
        <f t="shared" ref="AY269:BG269" si="227">IF(AY$17="","",AY62)</f>
        <v/>
      </c>
      <c r="AZ269" s="183" t="str">
        <f t="shared" si="227"/>
        <v/>
      </c>
      <c r="BA269" s="183" t="str">
        <f t="shared" si="227"/>
        <v/>
      </c>
      <c r="BB269" s="183" t="str">
        <f t="shared" si="227"/>
        <v/>
      </c>
      <c r="BC269" s="183" t="str">
        <f t="shared" si="227"/>
        <v/>
      </c>
      <c r="BD269" s="183" t="str">
        <f t="shared" si="227"/>
        <v/>
      </c>
      <c r="BE269" s="183" t="str">
        <f t="shared" si="227"/>
        <v/>
      </c>
      <c r="BF269" s="183" t="str">
        <f t="shared" si="227"/>
        <v/>
      </c>
      <c r="BG269" s="183" t="str">
        <f t="shared" si="227"/>
        <v/>
      </c>
      <c r="BH269" s="210"/>
    </row>
    <row r="270" spans="1:60">
      <c r="A270" s="1040"/>
      <c r="B270" s="1109" t="s">
        <v>260</v>
      </c>
      <c r="C270" s="1107" t="s">
        <v>104</v>
      </c>
      <c r="D270" s="641"/>
      <c r="E270" s="180" t="s">
        <v>1160</v>
      </c>
      <c r="F270" s="180"/>
      <c r="G270" s="180"/>
      <c r="H270" s="201" t="s">
        <v>154</v>
      </c>
      <c r="I270" s="114"/>
      <c r="J270" s="190"/>
      <c r="K270" s="1092"/>
      <c r="L270" s="1092"/>
      <c r="M270" s="190"/>
      <c r="N270" s="119"/>
      <c r="O270" s="183" t="str">
        <f t="shared" ref="O270:W270" si="228">IF(O$17="","-",O64)</f>
        <v>-</v>
      </c>
      <c r="P270" s="183" t="str">
        <f t="shared" si="228"/>
        <v>-</v>
      </c>
      <c r="Q270" s="183" t="str">
        <f t="shared" si="228"/>
        <v>-</v>
      </c>
      <c r="R270" s="183" t="str">
        <f t="shared" si="228"/>
        <v>-</v>
      </c>
      <c r="S270" s="183" t="str">
        <f t="shared" si="228"/>
        <v>-</v>
      </c>
      <c r="T270" s="183" t="str">
        <f t="shared" si="228"/>
        <v>-</v>
      </c>
      <c r="U270" s="183" t="str">
        <f t="shared" si="228"/>
        <v>-</v>
      </c>
      <c r="V270" s="183" t="str">
        <f t="shared" si="228"/>
        <v>-</v>
      </c>
      <c r="W270" s="183" t="str">
        <f t="shared" si="228"/>
        <v>-</v>
      </c>
      <c r="X270" s="108"/>
      <c r="Y270" s="190"/>
      <c r="Z270" s="119"/>
      <c r="AA270" s="183" t="str">
        <f t="shared" ref="AA270:AI270" si="229">IF(AA$17="","-",AA64)</f>
        <v>-</v>
      </c>
      <c r="AB270" s="183" t="str">
        <f t="shared" si="229"/>
        <v>-</v>
      </c>
      <c r="AC270" s="183" t="str">
        <f t="shared" si="229"/>
        <v>-</v>
      </c>
      <c r="AD270" s="183" t="str">
        <f t="shared" si="229"/>
        <v>-</v>
      </c>
      <c r="AE270" s="183" t="str">
        <f t="shared" si="229"/>
        <v>-</v>
      </c>
      <c r="AF270" s="183" t="str">
        <f t="shared" si="229"/>
        <v>-</v>
      </c>
      <c r="AG270" s="183" t="str">
        <f t="shared" si="229"/>
        <v>-</v>
      </c>
      <c r="AH270" s="183" t="str">
        <f t="shared" si="229"/>
        <v>-</v>
      </c>
      <c r="AI270" s="183" t="str">
        <f t="shared" si="229"/>
        <v>-</v>
      </c>
      <c r="AJ270" s="108"/>
      <c r="AK270" s="190"/>
      <c r="AL270" s="119"/>
      <c r="AM270" s="183" t="str">
        <f t="shared" ref="AM270:AU270" si="230">IF(AM$17="","-",AM64)</f>
        <v>-</v>
      </c>
      <c r="AN270" s="183" t="str">
        <f t="shared" si="230"/>
        <v>-</v>
      </c>
      <c r="AO270" s="183" t="str">
        <f t="shared" si="230"/>
        <v>-</v>
      </c>
      <c r="AP270" s="183" t="str">
        <f t="shared" si="230"/>
        <v>-</v>
      </c>
      <c r="AQ270" s="183" t="str">
        <f t="shared" si="230"/>
        <v>-</v>
      </c>
      <c r="AR270" s="183" t="str">
        <f t="shared" si="230"/>
        <v>-</v>
      </c>
      <c r="AS270" s="183" t="str">
        <f t="shared" si="230"/>
        <v>-</v>
      </c>
      <c r="AT270" s="183" t="str">
        <f t="shared" si="230"/>
        <v>-</v>
      </c>
      <c r="AU270" s="183" t="str">
        <f t="shared" si="230"/>
        <v>-</v>
      </c>
      <c r="AV270" s="108"/>
      <c r="AW270" s="190"/>
      <c r="AX270" s="119"/>
      <c r="AY270" s="183" t="str">
        <f t="shared" ref="AY270:BG270" si="231">IF(AY$17="","-",AY64)</f>
        <v>-</v>
      </c>
      <c r="AZ270" s="183" t="str">
        <f t="shared" si="231"/>
        <v>-</v>
      </c>
      <c r="BA270" s="183" t="str">
        <f t="shared" si="231"/>
        <v>-</v>
      </c>
      <c r="BB270" s="183" t="str">
        <f t="shared" si="231"/>
        <v>-</v>
      </c>
      <c r="BC270" s="183" t="str">
        <f t="shared" si="231"/>
        <v>-</v>
      </c>
      <c r="BD270" s="183" t="str">
        <f t="shared" si="231"/>
        <v>-</v>
      </c>
      <c r="BE270" s="183" t="str">
        <f t="shared" si="231"/>
        <v>-</v>
      </c>
      <c r="BF270" s="183" t="str">
        <f t="shared" si="231"/>
        <v>-</v>
      </c>
      <c r="BG270" s="183" t="str">
        <f t="shared" si="231"/>
        <v>-</v>
      </c>
      <c r="BH270" s="210"/>
    </row>
    <row r="271" spans="1:60">
      <c r="A271" s="1040"/>
      <c r="B271" s="1109" t="s">
        <v>260</v>
      </c>
      <c r="C271" s="1106" t="s">
        <v>96</v>
      </c>
      <c r="D271" s="638"/>
      <c r="E271" s="79"/>
      <c r="F271" s="79"/>
      <c r="G271" s="79"/>
      <c r="H271" s="85"/>
      <c r="I271" s="79"/>
      <c r="J271" s="82"/>
      <c r="K271" s="79"/>
      <c r="L271" s="79"/>
      <c r="M271" s="82"/>
      <c r="N271" s="79"/>
      <c r="O271" s="81"/>
      <c r="P271" s="82"/>
      <c r="Q271" s="82"/>
      <c r="R271" s="82"/>
      <c r="S271" s="82"/>
      <c r="T271" s="82"/>
      <c r="U271" s="82"/>
      <c r="V271" s="82"/>
      <c r="W271" s="82"/>
      <c r="X271" s="82"/>
      <c r="Y271" s="82"/>
      <c r="Z271" s="79"/>
      <c r="AA271" s="79"/>
      <c r="AB271" s="79"/>
      <c r="AC271" s="79"/>
      <c r="AD271" s="79"/>
      <c r="AE271" s="79"/>
      <c r="AF271" s="79"/>
      <c r="AG271" s="79"/>
      <c r="AH271" s="79"/>
      <c r="AI271" s="79"/>
      <c r="AJ271" s="82"/>
      <c r="AK271" s="82"/>
      <c r="AL271" s="79"/>
      <c r="AM271" s="82"/>
      <c r="AN271" s="82"/>
      <c r="AO271" s="82"/>
      <c r="AP271" s="82"/>
      <c r="AQ271" s="82"/>
      <c r="AR271" s="82"/>
      <c r="AS271" s="82"/>
      <c r="AT271" s="82"/>
      <c r="AU271" s="82"/>
      <c r="AV271" s="82"/>
      <c r="AW271" s="82"/>
      <c r="AX271" s="79"/>
      <c r="AY271" s="82"/>
      <c r="AZ271" s="82"/>
      <c r="BA271" s="82"/>
      <c r="BB271" s="82"/>
      <c r="BC271" s="82"/>
      <c r="BD271" s="82"/>
      <c r="BE271" s="82"/>
      <c r="BF271" s="82"/>
      <c r="BG271" s="82"/>
      <c r="BH271" s="1"/>
    </row>
    <row r="272" spans="1:60" hidden="1">
      <c r="A272" s="1040"/>
      <c r="B272" s="1109" t="s">
        <v>261</v>
      </c>
      <c r="C272" s="1106" t="s">
        <v>262</v>
      </c>
      <c r="D272" s="638"/>
      <c r="E272" s="79"/>
      <c r="F272" s="79"/>
      <c r="G272" s="79"/>
      <c r="H272" s="85"/>
      <c r="I272" s="79"/>
      <c r="J272" s="82"/>
      <c r="K272" s="79"/>
      <c r="L272" s="79"/>
      <c r="M272" s="82"/>
      <c r="N272" s="79"/>
      <c r="O272" s="82"/>
      <c r="P272" s="82"/>
      <c r="Q272" s="82"/>
      <c r="R272" s="82"/>
      <c r="S272" s="82"/>
      <c r="T272" s="82"/>
      <c r="U272" s="82"/>
      <c r="V272" s="82"/>
      <c r="W272" s="82"/>
      <c r="X272" s="82"/>
      <c r="Y272" s="82"/>
      <c r="Z272" s="79"/>
      <c r="AA272" s="82"/>
      <c r="AB272" s="82"/>
      <c r="AC272" s="82"/>
      <c r="AD272" s="82"/>
      <c r="AE272" s="82"/>
      <c r="AF272" s="82"/>
      <c r="AG272" s="82"/>
      <c r="AH272" s="82"/>
      <c r="AI272" s="82"/>
      <c r="AJ272" s="82"/>
      <c r="AK272" s="82"/>
      <c r="AL272" s="79"/>
      <c r="AM272" s="82"/>
      <c r="AN272" s="82"/>
      <c r="AO272" s="82"/>
      <c r="AP272" s="82"/>
      <c r="AQ272" s="82"/>
      <c r="AR272" s="82"/>
      <c r="AS272" s="82"/>
      <c r="AT272" s="82"/>
      <c r="AU272" s="82"/>
      <c r="AV272" s="82"/>
      <c r="AW272" s="82"/>
      <c r="AX272" s="79"/>
      <c r="AY272" s="82"/>
      <c r="AZ272" s="82"/>
      <c r="BA272" s="82"/>
      <c r="BB272" s="82"/>
      <c r="BC272" s="82"/>
      <c r="BD272" s="82"/>
      <c r="BE272" s="82"/>
      <c r="BF272" s="82"/>
      <c r="BG272" s="82"/>
      <c r="BH272" s="1"/>
    </row>
    <row r="273" spans="1:60" s="2" customFormat="1" ht="21" hidden="1">
      <c r="A273" s="1038"/>
      <c r="B273" s="1109" t="s">
        <v>261</v>
      </c>
      <c r="C273" s="1106" t="s">
        <v>262</v>
      </c>
      <c r="D273" s="640"/>
      <c r="E273" s="209" t="s">
        <v>263</v>
      </c>
      <c r="F273" s="209"/>
      <c r="G273" s="209"/>
      <c r="H273" s="209"/>
      <c r="I273" s="129"/>
      <c r="J273" s="256" t="str">
        <f>J$10</f>
        <v>alle locaties</v>
      </c>
      <c r="K273" s="126"/>
      <c r="L273" s="126"/>
      <c r="M273" s="256" t="str">
        <f>M$10</f>
        <v>locatie 1</v>
      </c>
      <c r="N273" s="182"/>
      <c r="O273" s="955" t="s">
        <v>1161</v>
      </c>
      <c r="P273" s="945"/>
      <c r="Q273" s="945"/>
      <c r="R273" s="945"/>
      <c r="S273" s="945"/>
      <c r="T273" s="945"/>
      <c r="U273" s="945"/>
      <c r="V273" s="945"/>
      <c r="W273" s="257"/>
      <c r="X273" s="174"/>
      <c r="Y273" s="256" t="str">
        <f>Y$10</f>
        <v>locatie 2</v>
      </c>
      <c r="Z273" s="182"/>
      <c r="AA273" s="955" t="s">
        <v>1161</v>
      </c>
      <c r="AB273" s="945"/>
      <c r="AC273" s="945"/>
      <c r="AD273" s="945"/>
      <c r="AE273" s="945"/>
      <c r="AF273" s="945"/>
      <c r="AG273" s="945"/>
      <c r="AH273" s="945"/>
      <c r="AI273" s="257"/>
      <c r="AJ273" s="174"/>
      <c r="AK273" s="256" t="str">
        <f>AK$10</f>
        <v>locatie 3</v>
      </c>
      <c r="AL273" s="182"/>
      <c r="AM273" s="955" t="s">
        <v>1161</v>
      </c>
      <c r="AN273" s="945"/>
      <c r="AO273" s="945"/>
      <c r="AP273" s="945"/>
      <c r="AQ273" s="945"/>
      <c r="AR273" s="945"/>
      <c r="AS273" s="945"/>
      <c r="AT273" s="945"/>
      <c r="AU273" s="257"/>
      <c r="AV273" s="174"/>
      <c r="AW273" s="256" t="str">
        <f>AW$10</f>
        <v>locatie 4</v>
      </c>
      <c r="AX273" s="182"/>
      <c r="AY273" s="955" t="s">
        <v>1161</v>
      </c>
      <c r="AZ273" s="945"/>
      <c r="BA273" s="945"/>
      <c r="BB273" s="945"/>
      <c r="BC273" s="945"/>
      <c r="BD273" s="945"/>
      <c r="BE273" s="945"/>
      <c r="BF273" s="945"/>
      <c r="BG273" s="257"/>
      <c r="BH273" s="1"/>
    </row>
    <row r="274" spans="1:60" hidden="1">
      <c r="A274" s="1040"/>
      <c r="B274" s="1109" t="s">
        <v>261</v>
      </c>
      <c r="C274" s="1106" t="s">
        <v>262</v>
      </c>
      <c r="D274" s="638"/>
      <c r="E274" s="942" t="s">
        <v>1317</v>
      </c>
      <c r="F274" s="942"/>
      <c r="G274" s="942"/>
      <c r="H274" s="942"/>
      <c r="I274" s="129"/>
      <c r="J274" s="943"/>
      <c r="K274" s="126"/>
      <c r="L274" s="126"/>
      <c r="M274" s="944"/>
      <c r="N274" s="195"/>
      <c r="O274" s="258" t="str">
        <f>O$17</f>
        <v/>
      </c>
      <c r="P274" s="258" t="str">
        <f t="shared" ref="P274:W274" si="232">P$17</f>
        <v/>
      </c>
      <c r="Q274" s="258" t="str">
        <f t="shared" si="232"/>
        <v/>
      </c>
      <c r="R274" s="258" t="str">
        <f t="shared" si="232"/>
        <v/>
      </c>
      <c r="S274" s="258" t="str">
        <f t="shared" si="232"/>
        <v/>
      </c>
      <c r="T274" s="258" t="str">
        <f t="shared" si="232"/>
        <v/>
      </c>
      <c r="U274" s="258" t="str">
        <f t="shared" si="232"/>
        <v/>
      </c>
      <c r="V274" s="258" t="str">
        <f t="shared" si="232"/>
        <v/>
      </c>
      <c r="W274" s="258" t="str">
        <f t="shared" si="232"/>
        <v/>
      </c>
      <c r="X274" s="195"/>
      <c r="Y274" s="944"/>
      <c r="Z274" s="195"/>
      <c r="AA274" s="258" t="str">
        <f>AA$17</f>
        <v/>
      </c>
      <c r="AB274" s="258" t="str">
        <f t="shared" ref="AB274:AI274" si="233">AB$17</f>
        <v/>
      </c>
      <c r="AC274" s="258" t="str">
        <f t="shared" si="233"/>
        <v/>
      </c>
      <c r="AD274" s="258" t="str">
        <f t="shared" si="233"/>
        <v/>
      </c>
      <c r="AE274" s="258" t="str">
        <f t="shared" si="233"/>
        <v/>
      </c>
      <c r="AF274" s="258" t="str">
        <f t="shared" si="233"/>
        <v/>
      </c>
      <c r="AG274" s="258" t="str">
        <f t="shared" si="233"/>
        <v/>
      </c>
      <c r="AH274" s="258" t="str">
        <f t="shared" si="233"/>
        <v/>
      </c>
      <c r="AI274" s="258" t="str">
        <f t="shared" si="233"/>
        <v/>
      </c>
      <c r="AJ274" s="195"/>
      <c r="AK274" s="944"/>
      <c r="AL274" s="195"/>
      <c r="AM274" s="258" t="str">
        <f>AM$17</f>
        <v/>
      </c>
      <c r="AN274" s="258" t="str">
        <f t="shared" ref="AN274:AU274" si="234">AN$17</f>
        <v/>
      </c>
      <c r="AO274" s="258" t="str">
        <f t="shared" si="234"/>
        <v/>
      </c>
      <c r="AP274" s="258" t="str">
        <f t="shared" si="234"/>
        <v/>
      </c>
      <c r="AQ274" s="258" t="str">
        <f t="shared" si="234"/>
        <v/>
      </c>
      <c r="AR274" s="258" t="str">
        <f t="shared" si="234"/>
        <v/>
      </c>
      <c r="AS274" s="258" t="str">
        <f t="shared" si="234"/>
        <v/>
      </c>
      <c r="AT274" s="258" t="str">
        <f t="shared" si="234"/>
        <v/>
      </c>
      <c r="AU274" s="258" t="str">
        <f t="shared" si="234"/>
        <v/>
      </c>
      <c r="AV274" s="195"/>
      <c r="AW274" s="944"/>
      <c r="AX274" s="195"/>
      <c r="AY274" s="258" t="str">
        <f>AY$17</f>
        <v/>
      </c>
      <c r="AZ274" s="258" t="str">
        <f t="shared" ref="AZ274:BG274" si="235">AZ$17</f>
        <v/>
      </c>
      <c r="BA274" s="258" t="str">
        <f t="shared" si="235"/>
        <v/>
      </c>
      <c r="BB274" s="258" t="str">
        <f t="shared" si="235"/>
        <v/>
      </c>
      <c r="BC274" s="258" t="str">
        <f t="shared" si="235"/>
        <v/>
      </c>
      <c r="BD274" s="258" t="str">
        <f t="shared" si="235"/>
        <v/>
      </c>
      <c r="BE274" s="258" t="str">
        <f t="shared" si="235"/>
        <v/>
      </c>
      <c r="BF274" s="258" t="str">
        <f t="shared" si="235"/>
        <v/>
      </c>
      <c r="BG274" s="258" t="str">
        <f t="shared" si="235"/>
        <v/>
      </c>
      <c r="BH274" s="36"/>
    </row>
    <row r="275" spans="1:60" hidden="1">
      <c r="A275" s="1040"/>
      <c r="B275" s="1109" t="s">
        <v>261</v>
      </c>
      <c r="C275" s="1106" t="s">
        <v>262</v>
      </c>
      <c r="D275" s="641" t="s">
        <v>45</v>
      </c>
      <c r="E275" s="180" t="s">
        <v>264</v>
      </c>
      <c r="F275" s="180"/>
      <c r="G275" s="180"/>
      <c r="H275" s="201" t="s">
        <v>65</v>
      </c>
      <c r="I275" s="114"/>
      <c r="J275" s="190"/>
      <c r="K275" s="195"/>
      <c r="L275" s="195"/>
      <c r="M275" s="357">
        <f>SUM(N275:X275)</f>
        <v>0</v>
      </c>
      <c r="N275" s="358"/>
      <c r="O275" s="228">
        <f t="shared" ref="O275:W275" si="236">IF(OR(O$17="",$M62=0),0,O$30*O62/$M62/1000)</f>
        <v>0</v>
      </c>
      <c r="P275" s="228">
        <f t="shared" si="236"/>
        <v>0</v>
      </c>
      <c r="Q275" s="228">
        <f t="shared" si="236"/>
        <v>0</v>
      </c>
      <c r="R275" s="228">
        <f t="shared" si="236"/>
        <v>0</v>
      </c>
      <c r="S275" s="228">
        <f t="shared" si="236"/>
        <v>0</v>
      </c>
      <c r="T275" s="228">
        <f t="shared" si="236"/>
        <v>0</v>
      </c>
      <c r="U275" s="228">
        <f t="shared" si="236"/>
        <v>0</v>
      </c>
      <c r="V275" s="228">
        <f t="shared" si="236"/>
        <v>0</v>
      </c>
      <c r="W275" s="228">
        <f t="shared" si="236"/>
        <v>0</v>
      </c>
      <c r="X275" s="356"/>
      <c r="Y275" s="357">
        <f>SUM(Z275:AJ275)</f>
        <v>0</v>
      </c>
      <c r="Z275" s="358"/>
      <c r="AA275" s="228">
        <f t="shared" ref="AA275:AI275" si="237">IF(OR(AA$17="",$Y62=0),0,AA$30*AA62/$Y62/1000)</f>
        <v>0</v>
      </c>
      <c r="AB275" s="228">
        <f t="shared" si="237"/>
        <v>0</v>
      </c>
      <c r="AC275" s="228">
        <f t="shared" si="237"/>
        <v>0</v>
      </c>
      <c r="AD275" s="228">
        <f t="shared" si="237"/>
        <v>0</v>
      </c>
      <c r="AE275" s="228">
        <f t="shared" si="237"/>
        <v>0</v>
      </c>
      <c r="AF275" s="228">
        <f t="shared" si="237"/>
        <v>0</v>
      </c>
      <c r="AG275" s="228">
        <f t="shared" si="237"/>
        <v>0</v>
      </c>
      <c r="AH275" s="228">
        <f t="shared" si="237"/>
        <v>0</v>
      </c>
      <c r="AI275" s="228">
        <f t="shared" si="237"/>
        <v>0</v>
      </c>
      <c r="AJ275" s="356"/>
      <c r="AK275" s="357">
        <f>SUM(AL275:AV275)</f>
        <v>0</v>
      </c>
      <c r="AL275" s="358"/>
      <c r="AM275" s="228">
        <f t="shared" ref="AM275:AU275" si="238">IF(OR(AM$17="",$AK62=0),0,AM$30*AM62/$AK62/1000)</f>
        <v>0</v>
      </c>
      <c r="AN275" s="228">
        <f t="shared" si="238"/>
        <v>0</v>
      </c>
      <c r="AO275" s="228">
        <f t="shared" si="238"/>
        <v>0</v>
      </c>
      <c r="AP275" s="228">
        <f t="shared" si="238"/>
        <v>0</v>
      </c>
      <c r="AQ275" s="228">
        <f t="shared" si="238"/>
        <v>0</v>
      </c>
      <c r="AR275" s="228">
        <f t="shared" si="238"/>
        <v>0</v>
      </c>
      <c r="AS275" s="228">
        <f t="shared" si="238"/>
        <v>0</v>
      </c>
      <c r="AT275" s="228">
        <f t="shared" si="238"/>
        <v>0</v>
      </c>
      <c r="AU275" s="228">
        <f t="shared" si="238"/>
        <v>0</v>
      </c>
      <c r="AV275" s="356"/>
      <c r="AW275" s="357">
        <f>SUM(AX275:BH275)</f>
        <v>0</v>
      </c>
      <c r="AX275" s="358"/>
      <c r="AY275" s="228">
        <f t="shared" ref="AY275:BG275" si="239">IF(OR(AY$17="",$AW62=0),0,AY$30*AY62/$AW62/1000)</f>
        <v>0</v>
      </c>
      <c r="AZ275" s="228">
        <f t="shared" si="239"/>
        <v>0</v>
      </c>
      <c r="BA275" s="228">
        <f t="shared" si="239"/>
        <v>0</v>
      </c>
      <c r="BB275" s="228">
        <f t="shared" si="239"/>
        <v>0</v>
      </c>
      <c r="BC275" s="228">
        <f t="shared" si="239"/>
        <v>0</v>
      </c>
      <c r="BD275" s="228">
        <f t="shared" si="239"/>
        <v>0</v>
      </c>
      <c r="BE275" s="228">
        <f t="shared" si="239"/>
        <v>0</v>
      </c>
      <c r="BF275" s="228">
        <f t="shared" si="239"/>
        <v>0</v>
      </c>
      <c r="BG275" s="228">
        <f t="shared" si="239"/>
        <v>0</v>
      </c>
      <c r="BH275" s="210"/>
    </row>
    <row r="276" spans="1:60" hidden="1">
      <c r="A276" s="1040"/>
      <c r="B276" s="1109" t="s">
        <v>261</v>
      </c>
      <c r="C276" s="1106" t="s">
        <v>262</v>
      </c>
      <c r="D276" s="638"/>
      <c r="E276" s="180" t="s">
        <v>265</v>
      </c>
      <c r="F276" s="180"/>
      <c r="G276" s="180"/>
      <c r="H276" s="201" t="s">
        <v>65</v>
      </c>
      <c r="I276" s="114"/>
      <c r="J276" s="190"/>
      <c r="K276" s="195"/>
      <c r="L276" s="195"/>
      <c r="M276" s="357">
        <f>SUM(N276:X276)</f>
        <v>0</v>
      </c>
      <c r="N276" s="358"/>
      <c r="O276" s="228">
        <f t="shared" ref="O276:W276" si="240">IF(OR(O$17="",$M64=0),0,O$30*O64/$M64/1000)</f>
        <v>0</v>
      </c>
      <c r="P276" s="228">
        <f t="shared" si="240"/>
        <v>0</v>
      </c>
      <c r="Q276" s="228">
        <f t="shared" si="240"/>
        <v>0</v>
      </c>
      <c r="R276" s="228">
        <f t="shared" si="240"/>
        <v>0</v>
      </c>
      <c r="S276" s="228">
        <f t="shared" si="240"/>
        <v>0</v>
      </c>
      <c r="T276" s="228">
        <f t="shared" si="240"/>
        <v>0</v>
      </c>
      <c r="U276" s="228">
        <f t="shared" si="240"/>
        <v>0</v>
      </c>
      <c r="V276" s="228">
        <f t="shared" si="240"/>
        <v>0</v>
      </c>
      <c r="W276" s="228">
        <f t="shared" si="240"/>
        <v>0</v>
      </c>
      <c r="X276" s="356"/>
      <c r="Y276" s="357">
        <f>SUM(Z276:AJ276)</f>
        <v>0</v>
      </c>
      <c r="Z276" s="358"/>
      <c r="AA276" s="228">
        <f t="shared" ref="AA276:AI276" si="241">IF(OR(AA$17="",$Y64=0),0,AA$30*AA64/$Y64/1000)</f>
        <v>0</v>
      </c>
      <c r="AB276" s="228">
        <f t="shared" si="241"/>
        <v>0</v>
      </c>
      <c r="AC276" s="228">
        <f t="shared" si="241"/>
        <v>0</v>
      </c>
      <c r="AD276" s="228">
        <f t="shared" si="241"/>
        <v>0</v>
      </c>
      <c r="AE276" s="228">
        <f t="shared" si="241"/>
        <v>0</v>
      </c>
      <c r="AF276" s="228">
        <f t="shared" si="241"/>
        <v>0</v>
      </c>
      <c r="AG276" s="228">
        <f t="shared" si="241"/>
        <v>0</v>
      </c>
      <c r="AH276" s="228">
        <f t="shared" si="241"/>
        <v>0</v>
      </c>
      <c r="AI276" s="228">
        <f t="shared" si="241"/>
        <v>0</v>
      </c>
      <c r="AJ276" s="356"/>
      <c r="AK276" s="357">
        <f>SUM(AL276:AV276)</f>
        <v>0</v>
      </c>
      <c r="AL276" s="358"/>
      <c r="AM276" s="228">
        <f t="shared" ref="AM276:AU276" si="242">IF(OR(AM$17="",$AK64=0),0,AM$30*AM64/$AK64/1000)</f>
        <v>0</v>
      </c>
      <c r="AN276" s="228">
        <f t="shared" si="242"/>
        <v>0</v>
      </c>
      <c r="AO276" s="228">
        <f t="shared" si="242"/>
        <v>0</v>
      </c>
      <c r="AP276" s="228">
        <f t="shared" si="242"/>
        <v>0</v>
      </c>
      <c r="AQ276" s="228">
        <f t="shared" si="242"/>
        <v>0</v>
      </c>
      <c r="AR276" s="228">
        <f t="shared" si="242"/>
        <v>0</v>
      </c>
      <c r="AS276" s="228">
        <f t="shared" si="242"/>
        <v>0</v>
      </c>
      <c r="AT276" s="228">
        <f t="shared" si="242"/>
        <v>0</v>
      </c>
      <c r="AU276" s="228">
        <f t="shared" si="242"/>
        <v>0</v>
      </c>
      <c r="AV276" s="356"/>
      <c r="AW276" s="357">
        <f>SUM(AX276:BH276)</f>
        <v>0</v>
      </c>
      <c r="AX276" s="358"/>
      <c r="AY276" s="228">
        <f t="shared" ref="AY276:BG276" si="243">IF(OR(AY$17="",$AW64=0),0,AY$30*AY64/$AW64/1000)</f>
        <v>0</v>
      </c>
      <c r="AZ276" s="228">
        <f t="shared" si="243"/>
        <v>0</v>
      </c>
      <c r="BA276" s="228">
        <f t="shared" si="243"/>
        <v>0</v>
      </c>
      <c r="BB276" s="228">
        <f t="shared" si="243"/>
        <v>0</v>
      </c>
      <c r="BC276" s="228">
        <f t="shared" si="243"/>
        <v>0</v>
      </c>
      <c r="BD276" s="228">
        <f t="shared" si="243"/>
        <v>0</v>
      </c>
      <c r="BE276" s="228">
        <f t="shared" si="243"/>
        <v>0</v>
      </c>
      <c r="BF276" s="228">
        <f t="shared" si="243"/>
        <v>0</v>
      </c>
      <c r="BG276" s="228">
        <f t="shared" si="243"/>
        <v>0</v>
      </c>
      <c r="BH276" s="210"/>
    </row>
    <row r="277" spans="1:60" hidden="1">
      <c r="A277" s="1040"/>
      <c r="B277" s="1109" t="s">
        <v>261</v>
      </c>
      <c r="C277" s="1106" t="s">
        <v>262</v>
      </c>
      <c r="D277" s="638"/>
      <c r="E277" s="180" t="s">
        <v>266</v>
      </c>
      <c r="F277" s="180"/>
      <c r="G277" s="180"/>
      <c r="H277" s="201" t="s">
        <v>65</v>
      </c>
      <c r="I277" s="114"/>
      <c r="J277" s="190"/>
      <c r="K277" s="195"/>
      <c r="L277" s="195"/>
      <c r="M277" s="357">
        <f>SUM(N277:X277)</f>
        <v>0</v>
      </c>
      <c r="N277" s="358"/>
      <c r="O277" s="228">
        <f t="shared" ref="O277:W277" si="244">IF(OR(O$17="",$M$65=0),0,O$30*O65/$M65/1000)</f>
        <v>0</v>
      </c>
      <c r="P277" s="228">
        <f t="shared" si="244"/>
        <v>0</v>
      </c>
      <c r="Q277" s="228">
        <f t="shared" si="244"/>
        <v>0</v>
      </c>
      <c r="R277" s="228">
        <f t="shared" si="244"/>
        <v>0</v>
      </c>
      <c r="S277" s="228">
        <f t="shared" si="244"/>
        <v>0</v>
      </c>
      <c r="T277" s="228">
        <f t="shared" si="244"/>
        <v>0</v>
      </c>
      <c r="U277" s="228">
        <f t="shared" si="244"/>
        <v>0</v>
      </c>
      <c r="V277" s="228">
        <f t="shared" si="244"/>
        <v>0</v>
      </c>
      <c r="W277" s="228">
        <f t="shared" si="244"/>
        <v>0</v>
      </c>
      <c r="X277" s="356"/>
      <c r="Y277" s="357">
        <f>SUM(Z277:AJ277)</f>
        <v>0</v>
      </c>
      <c r="Z277" s="358"/>
      <c r="AA277" s="228">
        <f t="shared" ref="AA277:AI277" si="245">IF(OR(AA$17="",$Y$65=0),0,AA$30*AA65/$Y65/1000)</f>
        <v>0</v>
      </c>
      <c r="AB277" s="228">
        <f t="shared" si="245"/>
        <v>0</v>
      </c>
      <c r="AC277" s="228">
        <f t="shared" si="245"/>
        <v>0</v>
      </c>
      <c r="AD277" s="228">
        <f t="shared" si="245"/>
        <v>0</v>
      </c>
      <c r="AE277" s="228">
        <f t="shared" si="245"/>
        <v>0</v>
      </c>
      <c r="AF277" s="228">
        <f t="shared" si="245"/>
        <v>0</v>
      </c>
      <c r="AG277" s="228">
        <f t="shared" si="245"/>
        <v>0</v>
      </c>
      <c r="AH277" s="228">
        <f t="shared" si="245"/>
        <v>0</v>
      </c>
      <c r="AI277" s="228">
        <f t="shared" si="245"/>
        <v>0</v>
      </c>
      <c r="AJ277" s="356"/>
      <c r="AK277" s="357">
        <f>SUM(AL277:AV277)</f>
        <v>0</v>
      </c>
      <c r="AL277" s="358"/>
      <c r="AM277" s="228">
        <f t="shared" ref="AM277:AU277" si="246">IF(OR(AM$17="",$AK$65=0),0,AM$30*AM65/$AK65/1000)</f>
        <v>0</v>
      </c>
      <c r="AN277" s="228">
        <f t="shared" si="246"/>
        <v>0</v>
      </c>
      <c r="AO277" s="228">
        <f t="shared" si="246"/>
        <v>0</v>
      </c>
      <c r="AP277" s="228">
        <f t="shared" si="246"/>
        <v>0</v>
      </c>
      <c r="AQ277" s="228">
        <f t="shared" si="246"/>
        <v>0</v>
      </c>
      <c r="AR277" s="228">
        <f t="shared" si="246"/>
        <v>0</v>
      </c>
      <c r="AS277" s="228">
        <f t="shared" si="246"/>
        <v>0</v>
      </c>
      <c r="AT277" s="228">
        <f t="shared" si="246"/>
        <v>0</v>
      </c>
      <c r="AU277" s="228">
        <f t="shared" si="246"/>
        <v>0</v>
      </c>
      <c r="AV277" s="356"/>
      <c r="AW277" s="357">
        <f>SUM(AX277:BH277)</f>
        <v>0</v>
      </c>
      <c r="AX277" s="358"/>
      <c r="AY277" s="228">
        <f t="shared" ref="AY277:BG277" si="247">IF(OR(AY$17="",$AW$65=0),0,AY$30*AY65/$AW65/1000)</f>
        <v>0</v>
      </c>
      <c r="AZ277" s="228">
        <f t="shared" si="247"/>
        <v>0</v>
      </c>
      <c r="BA277" s="228">
        <f t="shared" si="247"/>
        <v>0</v>
      </c>
      <c r="BB277" s="228">
        <f t="shared" si="247"/>
        <v>0</v>
      </c>
      <c r="BC277" s="228">
        <f t="shared" si="247"/>
        <v>0</v>
      </c>
      <c r="BD277" s="228">
        <f t="shared" si="247"/>
        <v>0</v>
      </c>
      <c r="BE277" s="228">
        <f t="shared" si="247"/>
        <v>0</v>
      </c>
      <c r="BF277" s="228">
        <f t="shared" si="247"/>
        <v>0</v>
      </c>
      <c r="BG277" s="228">
        <f t="shared" si="247"/>
        <v>0</v>
      </c>
      <c r="BH277" s="210"/>
    </row>
    <row r="278" spans="1:60" hidden="1">
      <c r="A278" s="1040"/>
      <c r="B278" s="1109" t="s">
        <v>261</v>
      </c>
      <c r="C278" s="1106" t="s">
        <v>262</v>
      </c>
      <c r="D278" s="638"/>
      <c r="E278" s="79"/>
      <c r="F278" s="79"/>
      <c r="G278" s="79"/>
      <c r="H278" s="85"/>
      <c r="I278" s="79"/>
      <c r="J278" s="82"/>
      <c r="K278" s="79"/>
      <c r="L278" s="79"/>
      <c r="M278" s="82"/>
      <c r="N278" s="79"/>
      <c r="O278" s="81"/>
      <c r="P278" s="82"/>
      <c r="Q278" s="82"/>
      <c r="R278" s="82"/>
      <c r="S278" s="82"/>
      <c r="T278" s="82"/>
      <c r="U278" s="82"/>
      <c r="V278" s="82"/>
      <c r="W278" s="82"/>
      <c r="X278" s="82"/>
      <c r="Y278" s="82"/>
      <c r="Z278" s="79"/>
      <c r="AA278" s="79"/>
      <c r="AB278" s="79"/>
      <c r="AC278" s="79"/>
      <c r="AD278" s="79"/>
      <c r="AE278" s="79"/>
      <c r="AF278" s="79"/>
      <c r="AG278" s="79"/>
      <c r="AH278" s="79"/>
      <c r="AI278" s="79"/>
      <c r="AJ278" s="82"/>
      <c r="AK278" s="82"/>
      <c r="AL278" s="79"/>
      <c r="AM278" s="82"/>
      <c r="AN278" s="82"/>
      <c r="AO278" s="82"/>
      <c r="AP278" s="82"/>
      <c r="AQ278" s="82"/>
      <c r="AR278" s="82"/>
      <c r="AS278" s="82"/>
      <c r="AT278" s="82"/>
      <c r="AU278" s="82"/>
      <c r="AV278" s="82"/>
      <c r="AW278" s="82"/>
      <c r="AX278" s="79"/>
      <c r="AY278" s="82"/>
      <c r="AZ278" s="82"/>
      <c r="BA278" s="82"/>
      <c r="BB278" s="82"/>
      <c r="BC278" s="82"/>
      <c r="BD278" s="82"/>
      <c r="BE278" s="82"/>
      <c r="BF278" s="82"/>
      <c r="BG278" s="82"/>
      <c r="BH278" s="1"/>
    </row>
    <row r="279" spans="1:60">
      <c r="A279" s="1040"/>
      <c r="B279" s="1109" t="s">
        <v>1219</v>
      </c>
      <c r="C279" s="1107" t="s">
        <v>96</v>
      </c>
      <c r="D279" s="638"/>
      <c r="E279" s="79"/>
      <c r="F279" s="79"/>
      <c r="G279" s="79"/>
      <c r="H279" s="85"/>
      <c r="I279" s="79"/>
      <c r="J279" s="82"/>
      <c r="K279" s="79"/>
      <c r="L279" s="79"/>
      <c r="M279" s="82"/>
      <c r="N279" s="79"/>
      <c r="O279" s="82"/>
      <c r="P279" s="1098"/>
      <c r="Q279" s="82"/>
      <c r="R279" s="82"/>
      <c r="S279" s="82"/>
      <c r="T279" s="82"/>
      <c r="U279" s="82"/>
      <c r="V279" s="82"/>
      <c r="W279" s="82"/>
      <c r="X279" s="82"/>
      <c r="Y279" s="82"/>
      <c r="Z279" s="79"/>
      <c r="AA279" s="82"/>
      <c r="AB279" s="82"/>
      <c r="AC279" s="82"/>
      <c r="AD279" s="82"/>
      <c r="AE279" s="82"/>
      <c r="AF279" s="82"/>
      <c r="AG279" s="82"/>
      <c r="AH279" s="82"/>
      <c r="AI279" s="82"/>
      <c r="AJ279" s="82"/>
      <c r="AK279" s="82"/>
      <c r="AL279" s="79"/>
      <c r="AM279" s="82"/>
      <c r="AN279" s="82"/>
      <c r="AO279" s="82"/>
      <c r="AP279" s="82"/>
      <c r="AQ279" s="82"/>
      <c r="AR279" s="82"/>
      <c r="AS279" s="82"/>
      <c r="AT279" s="82"/>
      <c r="AU279" s="82"/>
      <c r="AV279" s="82"/>
      <c r="AW279" s="82"/>
      <c r="AX279" s="79"/>
      <c r="AY279" s="82"/>
      <c r="AZ279" s="82"/>
      <c r="BA279" s="82"/>
      <c r="BB279" s="82"/>
      <c r="BC279" s="82"/>
      <c r="BD279" s="82"/>
      <c r="BE279" s="82"/>
      <c r="BF279" s="82"/>
      <c r="BG279" s="82"/>
      <c r="BH279" s="1"/>
    </row>
    <row r="280" spans="1:60" s="2" customFormat="1" ht="21">
      <c r="A280" s="1038"/>
      <c r="B280" s="1109" t="s">
        <v>1219</v>
      </c>
      <c r="C280" s="1106" t="s">
        <v>96</v>
      </c>
      <c r="D280" s="640" t="s">
        <v>45</v>
      </c>
      <c r="E280" s="209" t="s">
        <v>1220</v>
      </c>
      <c r="F280" s="209"/>
      <c r="G280" s="209"/>
      <c r="H280" s="209"/>
      <c r="I280" s="129"/>
      <c r="J280" s="256" t="str">
        <f>"MWh "&amp;J$8</f>
        <v>MWh alle locaties</v>
      </c>
      <c r="K280" s="126"/>
      <c r="L280" s="126"/>
      <c r="M280" s="256" t="str">
        <f>"MWh "&amp;M$8</f>
        <v>MWh locatie 1</v>
      </c>
      <c r="N280" s="182"/>
      <c r="O280" s="955" t="str">
        <f>$E280&amp;" per woning-/gebouwtype"</f>
        <v>primair fossiel energiegebruik per woning-/gebouwtype</v>
      </c>
      <c r="P280" s="945"/>
      <c r="Q280" s="945"/>
      <c r="R280" s="945"/>
      <c r="S280" s="945"/>
      <c r="T280" s="945"/>
      <c r="U280" s="945"/>
      <c r="V280" s="945"/>
      <c r="W280" s="257"/>
      <c r="X280" s="174"/>
      <c r="Y280" s="256" t="str">
        <f>"MWh "&amp;Y$8</f>
        <v>MWh locatie 2</v>
      </c>
      <c r="Z280" s="182"/>
      <c r="AA280" s="955" t="str">
        <f>$E280&amp;" per woning-/gebouwtype"</f>
        <v>primair fossiel energiegebruik per woning-/gebouwtype</v>
      </c>
      <c r="AB280" s="945"/>
      <c r="AC280" s="945"/>
      <c r="AD280" s="945"/>
      <c r="AE280" s="945"/>
      <c r="AF280" s="945"/>
      <c r="AG280" s="945"/>
      <c r="AH280" s="945"/>
      <c r="AI280" s="257"/>
      <c r="AJ280" s="174"/>
      <c r="AK280" s="256" t="str">
        <f>"MWh "&amp;AK$8</f>
        <v>MWh locatie 3</v>
      </c>
      <c r="AL280" s="182"/>
      <c r="AM280" s="955" t="str">
        <f>$E280&amp;" per woning-/gebouwtype"</f>
        <v>primair fossiel energiegebruik per woning-/gebouwtype</v>
      </c>
      <c r="AN280" s="945"/>
      <c r="AO280" s="945"/>
      <c r="AP280" s="945"/>
      <c r="AQ280" s="945"/>
      <c r="AR280" s="945"/>
      <c r="AS280" s="945"/>
      <c r="AT280" s="945"/>
      <c r="AU280" s="257"/>
      <c r="AV280" s="174"/>
      <c r="AW280" s="256" t="str">
        <f>"MWh "&amp;AW$8</f>
        <v>MWh locatie 4</v>
      </c>
      <c r="AX280" s="182"/>
      <c r="AY280" s="955" t="str">
        <f>$E280&amp;" per woning-/gebouwtype"</f>
        <v>primair fossiel energiegebruik per woning-/gebouwtype</v>
      </c>
      <c r="AZ280" s="945"/>
      <c r="BA280" s="945"/>
      <c r="BB280" s="945"/>
      <c r="BC280" s="945"/>
      <c r="BD280" s="945"/>
      <c r="BE280" s="945"/>
      <c r="BF280" s="945"/>
      <c r="BG280" s="257"/>
      <c r="BH280" s="1"/>
    </row>
    <row r="281" spans="1:60">
      <c r="A281" s="1040"/>
      <c r="B281" s="1109" t="s">
        <v>1219</v>
      </c>
      <c r="C281" s="1106" t="s">
        <v>96</v>
      </c>
      <c r="D281" s="638"/>
      <c r="E281" s="942" t="s">
        <v>1318</v>
      </c>
      <c r="F281" s="942"/>
      <c r="G281" s="942"/>
      <c r="H281" s="942"/>
      <c r="I281" s="129"/>
      <c r="J281" s="943"/>
      <c r="K281" s="126"/>
      <c r="L281" s="126"/>
      <c r="M281" s="944"/>
      <c r="N281" s="195"/>
      <c r="O281" s="258" t="str">
        <f>O$17</f>
        <v/>
      </c>
      <c r="P281" s="258" t="str">
        <f t="shared" ref="P281:W281" si="248">P$17</f>
        <v/>
      </c>
      <c r="Q281" s="258" t="str">
        <f t="shared" si="248"/>
        <v/>
      </c>
      <c r="R281" s="258" t="str">
        <f t="shared" si="248"/>
        <v/>
      </c>
      <c r="S281" s="258" t="str">
        <f t="shared" si="248"/>
        <v/>
      </c>
      <c r="T281" s="258" t="str">
        <f t="shared" si="248"/>
        <v/>
      </c>
      <c r="U281" s="258" t="str">
        <f t="shared" si="248"/>
        <v/>
      </c>
      <c r="V281" s="258" t="str">
        <f t="shared" si="248"/>
        <v/>
      </c>
      <c r="W281" s="258" t="str">
        <f t="shared" si="248"/>
        <v/>
      </c>
      <c r="X281" s="195"/>
      <c r="Y281" s="944"/>
      <c r="Z281" s="195"/>
      <c r="AA281" s="258" t="str">
        <f>AA$17</f>
        <v/>
      </c>
      <c r="AB281" s="258" t="str">
        <f t="shared" ref="AB281:AI281" si="249">AB$17</f>
        <v/>
      </c>
      <c r="AC281" s="258" t="str">
        <f t="shared" si="249"/>
        <v/>
      </c>
      <c r="AD281" s="258" t="str">
        <f t="shared" si="249"/>
        <v/>
      </c>
      <c r="AE281" s="258" t="str">
        <f t="shared" si="249"/>
        <v/>
      </c>
      <c r="AF281" s="258" t="str">
        <f t="shared" si="249"/>
        <v/>
      </c>
      <c r="AG281" s="258" t="str">
        <f t="shared" si="249"/>
        <v/>
      </c>
      <c r="AH281" s="258" t="str">
        <f t="shared" si="249"/>
        <v/>
      </c>
      <c r="AI281" s="258" t="str">
        <f t="shared" si="249"/>
        <v/>
      </c>
      <c r="AJ281" s="195"/>
      <c r="AK281" s="944"/>
      <c r="AL281" s="195"/>
      <c r="AM281" s="258" t="str">
        <f>AM$17</f>
        <v/>
      </c>
      <c r="AN281" s="258" t="str">
        <f t="shared" ref="AN281:AU281" si="250">AN$17</f>
        <v/>
      </c>
      <c r="AO281" s="258" t="str">
        <f t="shared" si="250"/>
        <v/>
      </c>
      <c r="AP281" s="258" t="str">
        <f t="shared" si="250"/>
        <v/>
      </c>
      <c r="AQ281" s="258" t="str">
        <f t="shared" si="250"/>
        <v/>
      </c>
      <c r="AR281" s="258" t="str">
        <f t="shared" si="250"/>
        <v/>
      </c>
      <c r="AS281" s="258" t="str">
        <f t="shared" si="250"/>
        <v/>
      </c>
      <c r="AT281" s="258" t="str">
        <f t="shared" si="250"/>
        <v/>
      </c>
      <c r="AU281" s="258" t="str">
        <f t="shared" si="250"/>
        <v/>
      </c>
      <c r="AV281" s="195"/>
      <c r="AW281" s="944"/>
      <c r="AX281" s="195"/>
      <c r="AY281" s="258" t="str">
        <f>AY$17</f>
        <v/>
      </c>
      <c r="AZ281" s="258" t="str">
        <f t="shared" ref="AZ281:BG281" si="251">AZ$17</f>
        <v/>
      </c>
      <c r="BA281" s="258" t="str">
        <f t="shared" si="251"/>
        <v/>
      </c>
      <c r="BB281" s="258" t="str">
        <f t="shared" si="251"/>
        <v/>
      </c>
      <c r="BC281" s="258" t="str">
        <f t="shared" si="251"/>
        <v/>
      </c>
      <c r="BD281" s="258" t="str">
        <f t="shared" si="251"/>
        <v/>
      </c>
      <c r="BE281" s="258" t="str">
        <f t="shared" si="251"/>
        <v/>
      </c>
      <c r="BF281" s="258" t="str">
        <f t="shared" si="251"/>
        <v/>
      </c>
      <c r="BG281" s="258" t="str">
        <f t="shared" si="251"/>
        <v/>
      </c>
      <c r="BH281" s="36"/>
    </row>
    <row r="282" spans="1:60">
      <c r="A282" s="1040"/>
      <c r="B282" s="1109" t="s">
        <v>1219</v>
      </c>
      <c r="C282" s="1107" t="s">
        <v>104</v>
      </c>
      <c r="D282" s="641"/>
      <c r="E282" s="304" t="str">
        <f>$O$10</f>
        <v>verwarming</v>
      </c>
      <c r="F282" s="180"/>
      <c r="G282" s="180"/>
      <c r="H282" s="201" t="s">
        <v>267</v>
      </c>
      <c r="I282" s="114"/>
      <c r="J282" s="190">
        <f t="shared" ref="J282:J290" si="252">M282+Y282+AK282+AW282</f>
        <v>0</v>
      </c>
      <c r="K282" s="1092"/>
      <c r="L282" s="1092"/>
      <c r="M282" s="190">
        <f t="shared" ref="M282:M289" si="253">SUMPRODUCT(N282:X282,N$22:X$22,N$29:X$29)/1000</f>
        <v>0</v>
      </c>
      <c r="N282" s="119"/>
      <c r="O282" s="183">
        <f t="shared" ref="O282:W282" si="254">IF(OR(O$22=0,$O$78=0),0,
(($O$120+$O$151+$O$174)/$O$78)*O62)</f>
        <v>0</v>
      </c>
      <c r="P282" s="183">
        <f t="shared" si="254"/>
        <v>0</v>
      </c>
      <c r="Q282" s="183">
        <f t="shared" si="254"/>
        <v>0</v>
      </c>
      <c r="R282" s="183">
        <f t="shared" si="254"/>
        <v>0</v>
      </c>
      <c r="S282" s="183">
        <f t="shared" si="254"/>
        <v>0</v>
      </c>
      <c r="T282" s="183">
        <f t="shared" si="254"/>
        <v>0</v>
      </c>
      <c r="U282" s="183">
        <f t="shared" si="254"/>
        <v>0</v>
      </c>
      <c r="V282" s="183">
        <f t="shared" si="254"/>
        <v>0</v>
      </c>
      <c r="W282" s="183">
        <f t="shared" si="254"/>
        <v>0</v>
      </c>
      <c r="X282" s="108"/>
      <c r="Y282" s="190">
        <f t="shared" ref="Y282:Y289" si="255">SUMPRODUCT(Z282:AJ282,Z$22:AJ$22,Z$29:AJ$29)/1000</f>
        <v>0</v>
      </c>
      <c r="Z282" s="119"/>
      <c r="AA282" s="183">
        <f t="shared" ref="AA282:AI282" si="256">IF(AA$22=0,0,
(($AA$120+$AA$151+$AA$174)/$AA$78)*AA62)</f>
        <v>0</v>
      </c>
      <c r="AB282" s="183">
        <f t="shared" si="256"/>
        <v>0</v>
      </c>
      <c r="AC282" s="183">
        <f t="shared" si="256"/>
        <v>0</v>
      </c>
      <c r="AD282" s="183">
        <f t="shared" si="256"/>
        <v>0</v>
      </c>
      <c r="AE282" s="183">
        <f t="shared" si="256"/>
        <v>0</v>
      </c>
      <c r="AF282" s="183">
        <f t="shared" si="256"/>
        <v>0</v>
      </c>
      <c r="AG282" s="183">
        <f t="shared" si="256"/>
        <v>0</v>
      </c>
      <c r="AH282" s="183">
        <f t="shared" si="256"/>
        <v>0</v>
      </c>
      <c r="AI282" s="183">
        <f t="shared" si="256"/>
        <v>0</v>
      </c>
      <c r="AJ282" s="1092"/>
      <c r="AK282" s="190">
        <f t="shared" ref="AK282:AK289" si="257">SUMPRODUCT(AL282:AV282,AL$22:AV$22,AL$29:AV$29)/1000</f>
        <v>0</v>
      </c>
      <c r="AL282" s="1092"/>
      <c r="AM282" s="183">
        <f t="shared" ref="AM282:AU282" si="258">IF(AM$22=0,0,
(($AM$120+$AM$151+$AM$174)/$AM$78)*AM62)</f>
        <v>0</v>
      </c>
      <c r="AN282" s="183">
        <f t="shared" si="258"/>
        <v>0</v>
      </c>
      <c r="AO282" s="183">
        <f t="shared" si="258"/>
        <v>0</v>
      </c>
      <c r="AP282" s="183">
        <f t="shared" si="258"/>
        <v>0</v>
      </c>
      <c r="AQ282" s="183">
        <f t="shared" si="258"/>
        <v>0</v>
      </c>
      <c r="AR282" s="183">
        <f t="shared" si="258"/>
        <v>0</v>
      </c>
      <c r="AS282" s="183">
        <f t="shared" si="258"/>
        <v>0</v>
      </c>
      <c r="AT282" s="183">
        <f t="shared" si="258"/>
        <v>0</v>
      </c>
      <c r="AU282" s="183">
        <f t="shared" si="258"/>
        <v>0</v>
      </c>
      <c r="AV282" s="1092"/>
      <c r="AW282" s="190">
        <f t="shared" ref="AW282:AW289" si="259">SUMPRODUCT(AX282:BH282,AX$22:BH$22,AX$29:BH$29)/1000</f>
        <v>0</v>
      </c>
      <c r="AX282" s="1092"/>
      <c r="AY282" s="183">
        <f t="shared" ref="AY282:BG282" si="260">IF(AY$22=0,0,
(($AY$120+$AY$151+$AY$174)/$AY$78)*AY62)</f>
        <v>0</v>
      </c>
      <c r="AZ282" s="183">
        <f t="shared" si="260"/>
        <v>0</v>
      </c>
      <c r="BA282" s="183">
        <f t="shared" si="260"/>
        <v>0</v>
      </c>
      <c r="BB282" s="183">
        <f t="shared" si="260"/>
        <v>0</v>
      </c>
      <c r="BC282" s="183">
        <f t="shared" si="260"/>
        <v>0</v>
      </c>
      <c r="BD282" s="183">
        <f t="shared" si="260"/>
        <v>0</v>
      </c>
      <c r="BE282" s="183">
        <f t="shared" si="260"/>
        <v>0</v>
      </c>
      <c r="BF282" s="183">
        <f t="shared" si="260"/>
        <v>0</v>
      </c>
      <c r="BG282" s="183">
        <f t="shared" si="260"/>
        <v>0</v>
      </c>
      <c r="BH282" s="210"/>
    </row>
    <row r="283" spans="1:60">
      <c r="A283" s="1040"/>
      <c r="B283" s="1109" t="s">
        <v>1219</v>
      </c>
      <c r="C283" s="1107" t="s">
        <v>104</v>
      </c>
      <c r="D283" s="641"/>
      <c r="E283" s="304" t="str">
        <f>$P$10</f>
        <v>koeling</v>
      </c>
      <c r="F283" s="180"/>
      <c r="G283" s="180"/>
      <c r="H283" s="201" t="s">
        <v>267</v>
      </c>
      <c r="I283" s="114"/>
      <c r="J283" s="190">
        <f t="shared" si="252"/>
        <v>0</v>
      </c>
      <c r="K283" s="1092"/>
      <c r="L283" s="1092"/>
      <c r="M283" s="190">
        <f t="shared" si="253"/>
        <v>0</v>
      </c>
      <c r="N283" s="119"/>
      <c r="O283" s="183">
        <f t="shared" ref="O283:W283" si="261">IF(OR(O$22=0,$P$78=0),0,
(($P$120+$P$151+$P$174)/$P$78)*O64)</f>
        <v>0</v>
      </c>
      <c r="P283" s="183">
        <f t="shared" si="261"/>
        <v>0</v>
      </c>
      <c r="Q283" s="183">
        <f t="shared" si="261"/>
        <v>0</v>
      </c>
      <c r="R283" s="183">
        <f t="shared" si="261"/>
        <v>0</v>
      </c>
      <c r="S283" s="183">
        <f t="shared" si="261"/>
        <v>0</v>
      </c>
      <c r="T283" s="183">
        <f t="shared" si="261"/>
        <v>0</v>
      </c>
      <c r="U283" s="183">
        <f t="shared" si="261"/>
        <v>0</v>
      </c>
      <c r="V283" s="183">
        <f t="shared" si="261"/>
        <v>0</v>
      </c>
      <c r="W283" s="183">
        <f t="shared" si="261"/>
        <v>0</v>
      </c>
      <c r="X283" s="108"/>
      <c r="Y283" s="190">
        <f t="shared" si="255"/>
        <v>0</v>
      </c>
      <c r="Z283" s="119"/>
      <c r="AA283" s="183">
        <f t="shared" ref="AA283:AI283" si="262">IF(OR(AA$22=0,$AB$78=0),0,
(($AB$120+$AB$151+$AB$174)/$AB$78)*AA64)</f>
        <v>0</v>
      </c>
      <c r="AB283" s="183">
        <f t="shared" si="262"/>
        <v>0</v>
      </c>
      <c r="AC283" s="183">
        <f t="shared" si="262"/>
        <v>0</v>
      </c>
      <c r="AD283" s="183">
        <f t="shared" si="262"/>
        <v>0</v>
      </c>
      <c r="AE283" s="183">
        <f t="shared" si="262"/>
        <v>0</v>
      </c>
      <c r="AF283" s="183">
        <f t="shared" si="262"/>
        <v>0</v>
      </c>
      <c r="AG283" s="183">
        <f t="shared" si="262"/>
        <v>0</v>
      </c>
      <c r="AH283" s="183">
        <f t="shared" si="262"/>
        <v>0</v>
      </c>
      <c r="AI283" s="183">
        <f t="shared" si="262"/>
        <v>0</v>
      </c>
      <c r="AJ283" s="1092"/>
      <c r="AK283" s="190">
        <f t="shared" si="257"/>
        <v>0</v>
      </c>
      <c r="AL283" s="1092"/>
      <c r="AM283" s="183">
        <f t="shared" ref="AM283:AU283" si="263">IF(OR(AM$22=0,$AN$78=0),0,
(($AN$120+$AN$151+$AN$174)/$AN$78)*AM64)</f>
        <v>0</v>
      </c>
      <c r="AN283" s="183">
        <f t="shared" si="263"/>
        <v>0</v>
      </c>
      <c r="AO283" s="183">
        <f t="shared" si="263"/>
        <v>0</v>
      </c>
      <c r="AP283" s="183">
        <f t="shared" si="263"/>
        <v>0</v>
      </c>
      <c r="AQ283" s="183">
        <f t="shared" si="263"/>
        <v>0</v>
      </c>
      <c r="AR283" s="183">
        <f t="shared" si="263"/>
        <v>0</v>
      </c>
      <c r="AS283" s="183">
        <f t="shared" si="263"/>
        <v>0</v>
      </c>
      <c r="AT283" s="183">
        <f t="shared" si="263"/>
        <v>0</v>
      </c>
      <c r="AU283" s="183">
        <f t="shared" si="263"/>
        <v>0</v>
      </c>
      <c r="AV283" s="1092"/>
      <c r="AW283" s="190">
        <f t="shared" si="259"/>
        <v>0</v>
      </c>
      <c r="AX283" s="1092"/>
      <c r="AY283" s="183">
        <f t="shared" ref="AY283:BG283" si="264">IF(OR(AY$22=0,$AZ$78=0),0,
(($AZ$120+$AZ$151+$AZ$174)/$AZ$78)*AY64)</f>
        <v>0</v>
      </c>
      <c r="AZ283" s="183">
        <f t="shared" si="264"/>
        <v>0</v>
      </c>
      <c r="BA283" s="183">
        <f t="shared" si="264"/>
        <v>0</v>
      </c>
      <c r="BB283" s="183">
        <f t="shared" si="264"/>
        <v>0</v>
      </c>
      <c r="BC283" s="183">
        <f t="shared" si="264"/>
        <v>0</v>
      </c>
      <c r="BD283" s="183">
        <f t="shared" si="264"/>
        <v>0</v>
      </c>
      <c r="BE283" s="183">
        <f t="shared" si="264"/>
        <v>0</v>
      </c>
      <c r="BF283" s="183">
        <f t="shared" si="264"/>
        <v>0</v>
      </c>
      <c r="BG283" s="183">
        <f t="shared" si="264"/>
        <v>0</v>
      </c>
      <c r="BH283" s="210"/>
    </row>
    <row r="284" spans="1:60">
      <c r="A284" s="1040"/>
      <c r="B284" s="1109" t="s">
        <v>1219</v>
      </c>
      <c r="C284" s="1107" t="s">
        <v>104</v>
      </c>
      <c r="D284" s="641"/>
      <c r="E284" s="304" t="str">
        <f>$Q$10</f>
        <v>tapwater</v>
      </c>
      <c r="F284" s="180"/>
      <c r="G284" s="180"/>
      <c r="H284" s="201" t="s">
        <v>267</v>
      </c>
      <c r="I284" s="114"/>
      <c r="J284" s="190">
        <f t="shared" si="252"/>
        <v>0</v>
      </c>
      <c r="K284" s="1092"/>
      <c r="L284" s="1092"/>
      <c r="M284" s="190">
        <f t="shared" si="253"/>
        <v>0</v>
      </c>
      <c r="N284" s="119"/>
      <c r="O284" s="183">
        <f t="shared" ref="O284:W284" si="265">IF(O$22=0,0,
(($Q$120+$Q$151+$Q$174)/$Q$78)*O65)</f>
        <v>0</v>
      </c>
      <c r="P284" s="183">
        <f t="shared" si="265"/>
        <v>0</v>
      </c>
      <c r="Q284" s="183">
        <f t="shared" si="265"/>
        <v>0</v>
      </c>
      <c r="R284" s="183">
        <f t="shared" si="265"/>
        <v>0</v>
      </c>
      <c r="S284" s="183">
        <f t="shared" si="265"/>
        <v>0</v>
      </c>
      <c r="T284" s="183">
        <f t="shared" si="265"/>
        <v>0</v>
      </c>
      <c r="U284" s="183">
        <f t="shared" si="265"/>
        <v>0</v>
      </c>
      <c r="V284" s="183">
        <f t="shared" si="265"/>
        <v>0</v>
      </c>
      <c r="W284" s="183">
        <f t="shared" si="265"/>
        <v>0</v>
      </c>
      <c r="X284" s="108"/>
      <c r="Y284" s="190">
        <f t="shared" si="255"/>
        <v>0</v>
      </c>
      <c r="Z284" s="119"/>
      <c r="AA284" s="183">
        <f t="shared" ref="AA284:AI284" si="266">IF(AA$22=0,0,
(($AC$120+$AC$151+$AC$174)/$AC$78)*AA65)</f>
        <v>0</v>
      </c>
      <c r="AB284" s="183">
        <f t="shared" si="266"/>
        <v>0</v>
      </c>
      <c r="AC284" s="183">
        <f t="shared" si="266"/>
        <v>0</v>
      </c>
      <c r="AD284" s="183">
        <f t="shared" si="266"/>
        <v>0</v>
      </c>
      <c r="AE284" s="183">
        <f t="shared" si="266"/>
        <v>0</v>
      </c>
      <c r="AF284" s="183">
        <f t="shared" si="266"/>
        <v>0</v>
      </c>
      <c r="AG284" s="183">
        <f t="shared" si="266"/>
        <v>0</v>
      </c>
      <c r="AH284" s="183">
        <f t="shared" si="266"/>
        <v>0</v>
      </c>
      <c r="AI284" s="183">
        <f t="shared" si="266"/>
        <v>0</v>
      </c>
      <c r="AJ284" s="1092"/>
      <c r="AK284" s="190">
        <f t="shared" si="257"/>
        <v>0</v>
      </c>
      <c r="AL284" s="1092"/>
      <c r="AM284" s="183">
        <f t="shared" ref="AM284:AU284" si="267">IF(AM$22=0,0,
(($AO$120+$AO$151+$AO$174)/$AO$78)*AM65)</f>
        <v>0</v>
      </c>
      <c r="AN284" s="183">
        <f t="shared" si="267"/>
        <v>0</v>
      </c>
      <c r="AO284" s="183">
        <f t="shared" si="267"/>
        <v>0</v>
      </c>
      <c r="AP284" s="183">
        <f t="shared" si="267"/>
        <v>0</v>
      </c>
      <c r="AQ284" s="183">
        <f t="shared" si="267"/>
        <v>0</v>
      </c>
      <c r="AR284" s="183">
        <f t="shared" si="267"/>
        <v>0</v>
      </c>
      <c r="AS284" s="183">
        <f t="shared" si="267"/>
        <v>0</v>
      </c>
      <c r="AT284" s="183">
        <f t="shared" si="267"/>
        <v>0</v>
      </c>
      <c r="AU284" s="183">
        <f t="shared" si="267"/>
        <v>0</v>
      </c>
      <c r="AV284" s="1092"/>
      <c r="AW284" s="190">
        <f t="shared" si="259"/>
        <v>0</v>
      </c>
      <c r="AX284" s="1092"/>
      <c r="AY284" s="183">
        <f t="shared" ref="AY284:BG284" si="268">IF(AY$22=0,0,
(($BA$120+$BA$151+$BA$174)/$BA$78)*AY65)</f>
        <v>0</v>
      </c>
      <c r="AZ284" s="183">
        <f t="shared" si="268"/>
        <v>0</v>
      </c>
      <c r="BA284" s="183">
        <f t="shared" si="268"/>
        <v>0</v>
      </c>
      <c r="BB284" s="183">
        <f t="shared" si="268"/>
        <v>0</v>
      </c>
      <c r="BC284" s="183">
        <f t="shared" si="268"/>
        <v>0</v>
      </c>
      <c r="BD284" s="183">
        <f t="shared" si="268"/>
        <v>0</v>
      </c>
      <c r="BE284" s="183">
        <f t="shared" si="268"/>
        <v>0</v>
      </c>
      <c r="BF284" s="183">
        <f t="shared" si="268"/>
        <v>0</v>
      </c>
      <c r="BG284" s="183">
        <f t="shared" si="268"/>
        <v>0</v>
      </c>
      <c r="BH284" s="210"/>
    </row>
    <row r="285" spans="1:60">
      <c r="A285" s="1040"/>
      <c r="B285" s="1109" t="s">
        <v>1219</v>
      </c>
      <c r="C285" s="1107" t="s">
        <v>104</v>
      </c>
      <c r="D285" s="641"/>
      <c r="E285" s="304" t="str">
        <f>$R$10</f>
        <v>verlichting</v>
      </c>
      <c r="F285" s="180"/>
      <c r="G285" s="180"/>
      <c r="H285" s="201" t="s">
        <v>267</v>
      </c>
      <c r="I285" s="114"/>
      <c r="J285" s="190">
        <f t="shared" si="252"/>
        <v>0</v>
      </c>
      <c r="K285" s="1092"/>
      <c r="L285" s="1092"/>
      <c r="M285" s="190">
        <f>SUMPRODUCT(N285:X285,N$22:X$22,N$29:X$29)/1000</f>
        <v>0</v>
      </c>
      <c r="N285" s="119"/>
      <c r="O285" s="183">
        <f t="shared" ref="O285:W285" si="269">IF(O$22=0,0,$R$174/$R$78*O66)</f>
        <v>0</v>
      </c>
      <c r="P285" s="183">
        <f t="shared" si="269"/>
        <v>0</v>
      </c>
      <c r="Q285" s="183">
        <f t="shared" si="269"/>
        <v>0</v>
      </c>
      <c r="R285" s="183">
        <f t="shared" si="269"/>
        <v>0</v>
      </c>
      <c r="S285" s="183">
        <f t="shared" si="269"/>
        <v>0</v>
      </c>
      <c r="T285" s="183">
        <f t="shared" si="269"/>
        <v>0</v>
      </c>
      <c r="U285" s="183">
        <f t="shared" si="269"/>
        <v>0</v>
      </c>
      <c r="V285" s="183">
        <f t="shared" si="269"/>
        <v>0</v>
      </c>
      <c r="W285" s="183">
        <f t="shared" si="269"/>
        <v>0</v>
      </c>
      <c r="X285" s="108"/>
      <c r="Y285" s="190">
        <f t="shared" si="255"/>
        <v>0</v>
      </c>
      <c r="Z285" s="119"/>
      <c r="AA285" s="183">
        <f t="shared" ref="AA285:AI285" si="270">IF(AA$22=0,0,$AD$174/$AD$78*AA66)</f>
        <v>0</v>
      </c>
      <c r="AB285" s="183">
        <f t="shared" si="270"/>
        <v>0</v>
      </c>
      <c r="AC285" s="183">
        <f t="shared" si="270"/>
        <v>0</v>
      </c>
      <c r="AD285" s="183">
        <f t="shared" si="270"/>
        <v>0</v>
      </c>
      <c r="AE285" s="183">
        <f t="shared" si="270"/>
        <v>0</v>
      </c>
      <c r="AF285" s="183">
        <f t="shared" si="270"/>
        <v>0</v>
      </c>
      <c r="AG285" s="183">
        <f t="shared" si="270"/>
        <v>0</v>
      </c>
      <c r="AH285" s="183">
        <f t="shared" si="270"/>
        <v>0</v>
      </c>
      <c r="AI285" s="183">
        <f t="shared" si="270"/>
        <v>0</v>
      </c>
      <c r="AJ285" s="1092"/>
      <c r="AK285" s="190">
        <f t="shared" si="257"/>
        <v>0</v>
      </c>
      <c r="AL285" s="1092"/>
      <c r="AM285" s="183">
        <f t="shared" ref="AM285:AU285" si="271">IF(AM$22=0,0,$AP$174/$AP$78*AM66)</f>
        <v>0</v>
      </c>
      <c r="AN285" s="183">
        <f t="shared" si="271"/>
        <v>0</v>
      </c>
      <c r="AO285" s="183">
        <f t="shared" si="271"/>
        <v>0</v>
      </c>
      <c r="AP285" s="183">
        <f t="shared" si="271"/>
        <v>0</v>
      </c>
      <c r="AQ285" s="183">
        <f t="shared" si="271"/>
        <v>0</v>
      </c>
      <c r="AR285" s="183">
        <f t="shared" si="271"/>
        <v>0</v>
      </c>
      <c r="AS285" s="183">
        <f t="shared" si="271"/>
        <v>0</v>
      </c>
      <c r="AT285" s="183">
        <f t="shared" si="271"/>
        <v>0</v>
      </c>
      <c r="AU285" s="183">
        <f t="shared" si="271"/>
        <v>0</v>
      </c>
      <c r="AV285" s="1092"/>
      <c r="AW285" s="190">
        <f t="shared" si="259"/>
        <v>0</v>
      </c>
      <c r="AX285" s="1092"/>
      <c r="AY285" s="183">
        <f t="shared" ref="AY285:BG285" si="272">IF(AY$22=0,0,$BB$174/$BB$78*AY66)</f>
        <v>0</v>
      </c>
      <c r="AZ285" s="183">
        <f t="shared" si="272"/>
        <v>0</v>
      </c>
      <c r="BA285" s="183">
        <f t="shared" si="272"/>
        <v>0</v>
      </c>
      <c r="BB285" s="183">
        <f t="shared" si="272"/>
        <v>0</v>
      </c>
      <c r="BC285" s="183">
        <f t="shared" si="272"/>
        <v>0</v>
      </c>
      <c r="BD285" s="183">
        <f t="shared" si="272"/>
        <v>0</v>
      </c>
      <c r="BE285" s="183">
        <f t="shared" si="272"/>
        <v>0</v>
      </c>
      <c r="BF285" s="183">
        <f t="shared" si="272"/>
        <v>0</v>
      </c>
      <c r="BG285" s="183">
        <f t="shared" si="272"/>
        <v>0</v>
      </c>
      <c r="BH285" s="210"/>
    </row>
    <row r="286" spans="1:60">
      <c r="A286" s="1040"/>
      <c r="B286" s="1109" t="s">
        <v>1219</v>
      </c>
      <c r="C286" s="1107" t="s">
        <v>104</v>
      </c>
      <c r="D286" s="641"/>
      <c r="E286" s="304" t="str">
        <f>$S$10</f>
        <v>ventilatoren</v>
      </c>
      <c r="F286" s="180"/>
      <c r="G286" s="180"/>
      <c r="H286" s="201" t="s">
        <v>267</v>
      </c>
      <c r="I286" s="114"/>
      <c r="J286" s="190">
        <f t="shared" si="252"/>
        <v>0</v>
      </c>
      <c r="K286" s="1092"/>
      <c r="L286" s="1092"/>
      <c r="M286" s="190">
        <f t="shared" si="253"/>
        <v>0</v>
      </c>
      <c r="N286" s="119"/>
      <c r="O286" s="183">
        <f t="shared" ref="O286:W286" si="273">IF(OR(O$22=0,$S$78=0),0,$S$174/$S$78*O67)</f>
        <v>0</v>
      </c>
      <c r="P286" s="183">
        <f t="shared" si="273"/>
        <v>0</v>
      </c>
      <c r="Q286" s="183">
        <f t="shared" si="273"/>
        <v>0</v>
      </c>
      <c r="R286" s="183">
        <f t="shared" si="273"/>
        <v>0</v>
      </c>
      <c r="S286" s="183">
        <f t="shared" si="273"/>
        <v>0</v>
      </c>
      <c r="T286" s="183">
        <f t="shared" si="273"/>
        <v>0</v>
      </c>
      <c r="U286" s="183">
        <f t="shared" si="273"/>
        <v>0</v>
      </c>
      <c r="V286" s="183">
        <f t="shared" si="273"/>
        <v>0</v>
      </c>
      <c r="W286" s="183">
        <f t="shared" si="273"/>
        <v>0</v>
      </c>
      <c r="X286" s="108"/>
      <c r="Y286" s="190">
        <f t="shared" si="255"/>
        <v>0</v>
      </c>
      <c r="Z286" s="119"/>
      <c r="AA286" s="183">
        <f t="shared" ref="AA286:AI286" si="274">IF(OR(AA$22=0,$AE$78=0),0,$AE$174/$AE$78*AA67)</f>
        <v>0</v>
      </c>
      <c r="AB286" s="183">
        <f t="shared" si="274"/>
        <v>0</v>
      </c>
      <c r="AC286" s="183">
        <f t="shared" si="274"/>
        <v>0</v>
      </c>
      <c r="AD286" s="183">
        <f t="shared" si="274"/>
        <v>0</v>
      </c>
      <c r="AE286" s="183">
        <f t="shared" si="274"/>
        <v>0</v>
      </c>
      <c r="AF286" s="183">
        <f t="shared" si="274"/>
        <v>0</v>
      </c>
      <c r="AG286" s="183">
        <f t="shared" si="274"/>
        <v>0</v>
      </c>
      <c r="AH286" s="183">
        <f t="shared" si="274"/>
        <v>0</v>
      </c>
      <c r="AI286" s="183">
        <f t="shared" si="274"/>
        <v>0</v>
      </c>
      <c r="AJ286" s="1092"/>
      <c r="AK286" s="190">
        <f t="shared" si="257"/>
        <v>0</v>
      </c>
      <c r="AL286" s="1092"/>
      <c r="AM286" s="183">
        <f t="shared" ref="AM286:AU286" si="275">IF(OR(AM$22=0,$AQ$78=0),0,$AQ$174/$AQ$78*AM67)</f>
        <v>0</v>
      </c>
      <c r="AN286" s="183">
        <f t="shared" si="275"/>
        <v>0</v>
      </c>
      <c r="AO286" s="183">
        <f t="shared" si="275"/>
        <v>0</v>
      </c>
      <c r="AP286" s="183">
        <f t="shared" si="275"/>
        <v>0</v>
      </c>
      <c r="AQ286" s="183">
        <f t="shared" si="275"/>
        <v>0</v>
      </c>
      <c r="AR286" s="183">
        <f t="shared" si="275"/>
        <v>0</v>
      </c>
      <c r="AS286" s="183">
        <f t="shared" si="275"/>
        <v>0</v>
      </c>
      <c r="AT286" s="183">
        <f t="shared" si="275"/>
        <v>0</v>
      </c>
      <c r="AU286" s="183">
        <f t="shared" si="275"/>
        <v>0</v>
      </c>
      <c r="AV286" s="1092"/>
      <c r="AW286" s="190">
        <f t="shared" si="259"/>
        <v>0</v>
      </c>
      <c r="AX286" s="1092"/>
      <c r="AY286" s="183">
        <f t="shared" ref="AY286:BG286" si="276">IF(OR(AY$22=0,$BC$78=0),0,$BC$174/$BC$78*AY67)</f>
        <v>0</v>
      </c>
      <c r="AZ286" s="183">
        <f t="shared" si="276"/>
        <v>0</v>
      </c>
      <c r="BA286" s="183">
        <f t="shared" si="276"/>
        <v>0</v>
      </c>
      <c r="BB286" s="183">
        <f t="shared" si="276"/>
        <v>0</v>
      </c>
      <c r="BC286" s="183">
        <f t="shared" si="276"/>
        <v>0</v>
      </c>
      <c r="BD286" s="183">
        <f t="shared" si="276"/>
        <v>0</v>
      </c>
      <c r="BE286" s="183">
        <f t="shared" si="276"/>
        <v>0</v>
      </c>
      <c r="BF286" s="183">
        <f t="shared" si="276"/>
        <v>0</v>
      </c>
      <c r="BG286" s="183">
        <f t="shared" si="276"/>
        <v>0</v>
      </c>
      <c r="BH286" s="210"/>
    </row>
    <row r="287" spans="1:60">
      <c r="A287" s="1040"/>
      <c r="B287" s="1109" t="s">
        <v>1219</v>
      </c>
      <c r="C287" s="1107" t="s">
        <v>104</v>
      </c>
      <c r="D287" s="641"/>
      <c r="E287" s="304" t="str">
        <f>$T$10</f>
        <v>kookgas</v>
      </c>
      <c r="F287" s="180"/>
      <c r="G287" s="180"/>
      <c r="H287" s="201" t="s">
        <v>267</v>
      </c>
      <c r="I287" s="114"/>
      <c r="J287" s="190">
        <f t="shared" si="252"/>
        <v>0</v>
      </c>
      <c r="K287" s="1092"/>
      <c r="L287" s="1092"/>
      <c r="M287" s="190">
        <f t="shared" si="253"/>
        <v>0</v>
      </c>
      <c r="N287" s="119"/>
      <c r="O287" s="183">
        <f t="shared" ref="O287:W287" si="277">IF(OR(O$22=0,$T$78=0),0,$T$246/$T$78*O68)</f>
        <v>0</v>
      </c>
      <c r="P287" s="183">
        <f t="shared" si="277"/>
        <v>0</v>
      </c>
      <c r="Q287" s="183">
        <f t="shared" si="277"/>
        <v>0</v>
      </c>
      <c r="R287" s="183">
        <f t="shared" si="277"/>
        <v>0</v>
      </c>
      <c r="S287" s="183">
        <f t="shared" si="277"/>
        <v>0</v>
      </c>
      <c r="T287" s="183">
        <f t="shared" si="277"/>
        <v>0</v>
      </c>
      <c r="U287" s="183">
        <f t="shared" si="277"/>
        <v>0</v>
      </c>
      <c r="V287" s="183">
        <f t="shared" si="277"/>
        <v>0</v>
      </c>
      <c r="W287" s="183">
        <f t="shared" si="277"/>
        <v>0</v>
      </c>
      <c r="X287" s="108"/>
      <c r="Y287" s="190">
        <f t="shared" si="255"/>
        <v>0</v>
      </c>
      <c r="Z287" s="119"/>
      <c r="AA287" s="183">
        <f t="shared" ref="AA287:AI287" si="278">IF(OR(AA$22=0,$AF$78=0),0,$AF$246/$AF$78*AA68)</f>
        <v>0</v>
      </c>
      <c r="AB287" s="183">
        <f t="shared" si="278"/>
        <v>0</v>
      </c>
      <c r="AC287" s="183">
        <f t="shared" si="278"/>
        <v>0</v>
      </c>
      <c r="AD287" s="183">
        <f t="shared" si="278"/>
        <v>0</v>
      </c>
      <c r="AE287" s="183">
        <f t="shared" si="278"/>
        <v>0</v>
      </c>
      <c r="AF287" s="183">
        <f t="shared" si="278"/>
        <v>0</v>
      </c>
      <c r="AG287" s="183">
        <f t="shared" si="278"/>
        <v>0</v>
      </c>
      <c r="AH287" s="183">
        <f t="shared" si="278"/>
        <v>0</v>
      </c>
      <c r="AI287" s="183">
        <f t="shared" si="278"/>
        <v>0</v>
      </c>
      <c r="AJ287" s="1092"/>
      <c r="AK287" s="190">
        <f t="shared" si="257"/>
        <v>0</v>
      </c>
      <c r="AL287" s="1092"/>
      <c r="AM287" s="183">
        <f t="shared" ref="AM287:AU287" si="279">IF(OR(AM$22=0,$AR$78=0),0,$AR$246/$AR$78*AM68)</f>
        <v>0</v>
      </c>
      <c r="AN287" s="183">
        <f t="shared" si="279"/>
        <v>0</v>
      </c>
      <c r="AO287" s="183">
        <f t="shared" si="279"/>
        <v>0</v>
      </c>
      <c r="AP287" s="183">
        <f t="shared" si="279"/>
        <v>0</v>
      </c>
      <c r="AQ287" s="183">
        <f t="shared" si="279"/>
        <v>0</v>
      </c>
      <c r="AR287" s="183">
        <f t="shared" si="279"/>
        <v>0</v>
      </c>
      <c r="AS287" s="183">
        <f t="shared" si="279"/>
        <v>0</v>
      </c>
      <c r="AT287" s="183">
        <f t="shared" si="279"/>
        <v>0</v>
      </c>
      <c r="AU287" s="183">
        <f t="shared" si="279"/>
        <v>0</v>
      </c>
      <c r="AV287" s="1092"/>
      <c r="AW287" s="190">
        <f t="shared" si="259"/>
        <v>0</v>
      </c>
      <c r="AX287" s="1092"/>
      <c r="AY287" s="183">
        <f t="shared" ref="AY287:BG287" si="280">IF(OR(AY$22=0,$BD$78=0),0,$BD$246/$BD$78*AY68)</f>
        <v>0</v>
      </c>
      <c r="AZ287" s="183">
        <f t="shared" si="280"/>
        <v>0</v>
      </c>
      <c r="BA287" s="183">
        <f t="shared" si="280"/>
        <v>0</v>
      </c>
      <c r="BB287" s="183">
        <f t="shared" si="280"/>
        <v>0</v>
      </c>
      <c r="BC287" s="183">
        <f t="shared" si="280"/>
        <v>0</v>
      </c>
      <c r="BD287" s="183">
        <f t="shared" si="280"/>
        <v>0</v>
      </c>
      <c r="BE287" s="183">
        <f t="shared" si="280"/>
        <v>0</v>
      </c>
      <c r="BF287" s="183">
        <f t="shared" si="280"/>
        <v>0</v>
      </c>
      <c r="BG287" s="183">
        <f t="shared" si="280"/>
        <v>0</v>
      </c>
      <c r="BH287" s="210"/>
    </row>
    <row r="288" spans="1:60">
      <c r="A288" s="1040"/>
      <c r="B288" s="1109" t="s">
        <v>1219</v>
      </c>
      <c r="C288" s="1107" t="s">
        <v>104</v>
      </c>
      <c r="D288" s="641"/>
      <c r="E288" s="304" t="str">
        <f>$U$10</f>
        <v>overig elektra</v>
      </c>
      <c r="F288" s="180"/>
      <c r="G288" s="180"/>
      <c r="H288" s="201" t="s">
        <v>267</v>
      </c>
      <c r="I288" s="114"/>
      <c r="J288" s="190">
        <f t="shared" si="252"/>
        <v>0</v>
      </c>
      <c r="K288" s="1092"/>
      <c r="L288" s="1092"/>
      <c r="M288" s="190">
        <f t="shared" si="253"/>
        <v>0</v>
      </c>
      <c r="N288" s="119"/>
      <c r="O288" s="183">
        <f t="shared" ref="O288:W288" si="281">IF(OR(O$22=0,$U$78=0),0,$U$174/$U$78*O69)</f>
        <v>0</v>
      </c>
      <c r="P288" s="183">
        <f t="shared" si="281"/>
        <v>0</v>
      </c>
      <c r="Q288" s="183">
        <f t="shared" si="281"/>
        <v>0</v>
      </c>
      <c r="R288" s="183">
        <f t="shared" si="281"/>
        <v>0</v>
      </c>
      <c r="S288" s="183">
        <f t="shared" si="281"/>
        <v>0</v>
      </c>
      <c r="T288" s="183">
        <f t="shared" si="281"/>
        <v>0</v>
      </c>
      <c r="U288" s="183">
        <f t="shared" si="281"/>
        <v>0</v>
      </c>
      <c r="V288" s="183">
        <f t="shared" si="281"/>
        <v>0</v>
      </c>
      <c r="W288" s="183">
        <f t="shared" si="281"/>
        <v>0</v>
      </c>
      <c r="X288" s="108"/>
      <c r="Y288" s="190">
        <f t="shared" si="255"/>
        <v>0</v>
      </c>
      <c r="Z288" s="119"/>
      <c r="AA288" s="183">
        <f t="shared" ref="AA288:AI288" si="282">IF(OR(AA$22=0,$AG$78=0),0,$AG$174/$AG$78*AA69)</f>
        <v>0</v>
      </c>
      <c r="AB288" s="183">
        <f t="shared" si="282"/>
        <v>0</v>
      </c>
      <c r="AC288" s="183">
        <f t="shared" si="282"/>
        <v>0</v>
      </c>
      <c r="AD288" s="183">
        <f t="shared" si="282"/>
        <v>0</v>
      </c>
      <c r="AE288" s="183">
        <f t="shared" si="282"/>
        <v>0</v>
      </c>
      <c r="AF288" s="183">
        <f t="shared" si="282"/>
        <v>0</v>
      </c>
      <c r="AG288" s="183">
        <f t="shared" si="282"/>
        <v>0</v>
      </c>
      <c r="AH288" s="183">
        <f t="shared" si="282"/>
        <v>0</v>
      </c>
      <c r="AI288" s="183">
        <f t="shared" si="282"/>
        <v>0</v>
      </c>
      <c r="AJ288" s="1092"/>
      <c r="AK288" s="190">
        <f t="shared" si="257"/>
        <v>0</v>
      </c>
      <c r="AL288" s="1092"/>
      <c r="AM288" s="183">
        <f t="shared" ref="AM288:AU288" si="283">IF(OR(AM$22=0,$AS$78=0),0,$AS$174/$AS$78*AM69)</f>
        <v>0</v>
      </c>
      <c r="AN288" s="183">
        <f t="shared" si="283"/>
        <v>0</v>
      </c>
      <c r="AO288" s="183">
        <f t="shared" si="283"/>
        <v>0</v>
      </c>
      <c r="AP288" s="183">
        <f t="shared" si="283"/>
        <v>0</v>
      </c>
      <c r="AQ288" s="183">
        <f t="shared" si="283"/>
        <v>0</v>
      </c>
      <c r="AR288" s="183">
        <f t="shared" si="283"/>
        <v>0</v>
      </c>
      <c r="AS288" s="183">
        <f t="shared" si="283"/>
        <v>0</v>
      </c>
      <c r="AT288" s="183">
        <f t="shared" si="283"/>
        <v>0</v>
      </c>
      <c r="AU288" s="183">
        <f t="shared" si="283"/>
        <v>0</v>
      </c>
      <c r="AV288" s="1092"/>
      <c r="AW288" s="190">
        <f t="shared" si="259"/>
        <v>0</v>
      </c>
      <c r="AX288" s="1092"/>
      <c r="AY288" s="183">
        <f t="shared" ref="AY288:BG288" si="284">IF(OR(AY$22=0,$BE$78=0),0,$BE$174/$BE$78*AY69)</f>
        <v>0</v>
      </c>
      <c r="AZ288" s="183">
        <f t="shared" si="284"/>
        <v>0</v>
      </c>
      <c r="BA288" s="183">
        <f t="shared" si="284"/>
        <v>0</v>
      </c>
      <c r="BB288" s="183">
        <f t="shared" si="284"/>
        <v>0</v>
      </c>
      <c r="BC288" s="183">
        <f t="shared" si="284"/>
        <v>0</v>
      </c>
      <c r="BD288" s="183">
        <f t="shared" si="284"/>
        <v>0</v>
      </c>
      <c r="BE288" s="183">
        <f t="shared" si="284"/>
        <v>0</v>
      </c>
      <c r="BF288" s="183">
        <f t="shared" si="284"/>
        <v>0</v>
      </c>
      <c r="BG288" s="183">
        <f t="shared" si="284"/>
        <v>0</v>
      </c>
      <c r="BH288" s="210"/>
    </row>
    <row r="289" spans="1:60">
      <c r="A289" s="1040"/>
      <c r="B289" s="1109" t="s">
        <v>1219</v>
      </c>
      <c r="C289" s="1107" t="s">
        <v>104</v>
      </c>
      <c r="D289" s="641"/>
      <c r="E289" s="304" t="str">
        <f>$V$10</f>
        <v>mobiliteit</v>
      </c>
      <c r="F289" s="180"/>
      <c r="G289" s="180"/>
      <c r="H289" s="201" t="s">
        <v>267</v>
      </c>
      <c r="I289" s="114"/>
      <c r="J289" s="190">
        <f t="shared" si="252"/>
        <v>0</v>
      </c>
      <c r="K289" s="1092"/>
      <c r="L289" s="1092"/>
      <c r="M289" s="190">
        <f t="shared" si="253"/>
        <v>0</v>
      </c>
      <c r="N289" s="119"/>
      <c r="O289" s="183">
        <f t="shared" ref="O289:W289" si="285">IF(OR($V$169=0,O$29=0),0,$V$174/$V$169*O$71/O$29)</f>
        <v>0</v>
      </c>
      <c r="P289" s="183">
        <f t="shared" si="285"/>
        <v>0</v>
      </c>
      <c r="Q289" s="183">
        <f t="shared" si="285"/>
        <v>0</v>
      </c>
      <c r="R289" s="183">
        <f t="shared" si="285"/>
        <v>0</v>
      </c>
      <c r="S289" s="183">
        <f t="shared" si="285"/>
        <v>0</v>
      </c>
      <c r="T289" s="183">
        <f t="shared" si="285"/>
        <v>0</v>
      </c>
      <c r="U289" s="183">
        <f t="shared" si="285"/>
        <v>0</v>
      </c>
      <c r="V289" s="183">
        <f t="shared" si="285"/>
        <v>0</v>
      </c>
      <c r="W289" s="183">
        <f t="shared" si="285"/>
        <v>0</v>
      </c>
      <c r="X289" s="108"/>
      <c r="Y289" s="190">
        <f t="shared" si="255"/>
        <v>0</v>
      </c>
      <c r="Z289" s="119"/>
      <c r="AA289" s="183">
        <f t="shared" ref="AA289:AI289" si="286">IF(OR($AH$169=0,AA$29=0),0,$AH$174/$AH$169*AA$71/AA$29)</f>
        <v>0</v>
      </c>
      <c r="AB289" s="183">
        <f t="shared" si="286"/>
        <v>0</v>
      </c>
      <c r="AC289" s="183">
        <f t="shared" si="286"/>
        <v>0</v>
      </c>
      <c r="AD289" s="183">
        <f t="shared" si="286"/>
        <v>0</v>
      </c>
      <c r="AE289" s="183">
        <f t="shared" si="286"/>
        <v>0</v>
      </c>
      <c r="AF289" s="183">
        <f t="shared" si="286"/>
        <v>0</v>
      </c>
      <c r="AG289" s="183">
        <f t="shared" si="286"/>
        <v>0</v>
      </c>
      <c r="AH289" s="183">
        <f t="shared" si="286"/>
        <v>0</v>
      </c>
      <c r="AI289" s="183">
        <f t="shared" si="286"/>
        <v>0</v>
      </c>
      <c r="AJ289" s="1092"/>
      <c r="AK289" s="190">
        <f t="shared" si="257"/>
        <v>0</v>
      </c>
      <c r="AL289" s="1092"/>
      <c r="AM289" s="183">
        <f t="shared" ref="AM289:AU289" si="287">IF(OR($AT$169=0,AM$29=0),0,$AT$174/$AT$169*AM$71/AM$29)</f>
        <v>0</v>
      </c>
      <c r="AN289" s="183">
        <f t="shared" si="287"/>
        <v>0</v>
      </c>
      <c r="AO289" s="183">
        <f t="shared" si="287"/>
        <v>0</v>
      </c>
      <c r="AP289" s="183">
        <f t="shared" si="287"/>
        <v>0</v>
      </c>
      <c r="AQ289" s="183">
        <f t="shared" si="287"/>
        <v>0</v>
      </c>
      <c r="AR289" s="183">
        <f t="shared" si="287"/>
        <v>0</v>
      </c>
      <c r="AS289" s="183">
        <f t="shared" si="287"/>
        <v>0</v>
      </c>
      <c r="AT289" s="183">
        <f t="shared" si="287"/>
        <v>0</v>
      </c>
      <c r="AU289" s="183">
        <f t="shared" si="287"/>
        <v>0</v>
      </c>
      <c r="AV289" s="1092"/>
      <c r="AW289" s="190">
        <f t="shared" si="259"/>
        <v>0</v>
      </c>
      <c r="AX289" s="1092"/>
      <c r="AY289" s="183">
        <f>IF(OR($BF$169=0,AY$22=0),0,$BF$174/$BF$169*AY$71/AY$29)</f>
        <v>0</v>
      </c>
      <c r="AZ289" s="183">
        <f t="shared" ref="AZ289:BG289" si="288">IF(OR($BF$169=0,AZ$29=0),0,$BF$174/$BF$169*AZ$71/AZ$29)</f>
        <v>0</v>
      </c>
      <c r="BA289" s="183">
        <f t="shared" si="288"/>
        <v>0</v>
      </c>
      <c r="BB289" s="183">
        <f t="shared" si="288"/>
        <v>0</v>
      </c>
      <c r="BC289" s="183">
        <f t="shared" si="288"/>
        <v>0</v>
      </c>
      <c r="BD289" s="183">
        <f t="shared" si="288"/>
        <v>0</v>
      </c>
      <c r="BE289" s="183">
        <f t="shared" si="288"/>
        <v>0</v>
      </c>
      <c r="BF289" s="183">
        <f t="shared" si="288"/>
        <v>0</v>
      </c>
      <c r="BG289" s="183">
        <f t="shared" si="288"/>
        <v>0</v>
      </c>
      <c r="BH289" s="210"/>
    </row>
    <row r="290" spans="1:60">
      <c r="A290" s="1040"/>
      <c r="B290" s="1109" t="s">
        <v>1219</v>
      </c>
      <c r="C290" s="1107" t="s">
        <v>104</v>
      </c>
      <c r="D290" s="641"/>
      <c r="E290" s="1123" t="s">
        <v>232</v>
      </c>
      <c r="F290" s="180"/>
      <c r="G290" s="180"/>
      <c r="H290" s="201" t="s">
        <v>267</v>
      </c>
      <c r="I290" s="114"/>
      <c r="J290" s="190">
        <f t="shared" si="252"/>
        <v>0</v>
      </c>
      <c r="K290" s="1092"/>
      <c r="L290" s="1092"/>
      <c r="M290" s="190">
        <f>SUM(M282:M289)</f>
        <v>0</v>
      </c>
      <c r="N290" s="119"/>
      <c r="O290" s="183">
        <f t="shared" ref="O290:W290" si="289">SUM(O282:O289)</f>
        <v>0</v>
      </c>
      <c r="P290" s="183">
        <f t="shared" si="289"/>
        <v>0</v>
      </c>
      <c r="Q290" s="183">
        <f t="shared" si="289"/>
        <v>0</v>
      </c>
      <c r="R290" s="183">
        <f t="shared" si="289"/>
        <v>0</v>
      </c>
      <c r="S290" s="183">
        <f t="shared" si="289"/>
        <v>0</v>
      </c>
      <c r="T290" s="183">
        <f>SUM(T282:T289)</f>
        <v>0</v>
      </c>
      <c r="U290" s="183">
        <f t="shared" si="289"/>
        <v>0</v>
      </c>
      <c r="V290" s="183">
        <f t="shared" si="289"/>
        <v>0</v>
      </c>
      <c r="W290" s="183">
        <f t="shared" si="289"/>
        <v>0</v>
      </c>
      <c r="X290" s="108"/>
      <c r="Y290" s="190">
        <f>SUM(Y282:Y289)</f>
        <v>0</v>
      </c>
      <c r="Z290" s="119"/>
      <c r="AA290" s="183">
        <f t="shared" ref="AA290:AI290" si="290">SUM(AA282:AA289)</f>
        <v>0</v>
      </c>
      <c r="AB290" s="183">
        <f t="shared" si="290"/>
        <v>0</v>
      </c>
      <c r="AC290" s="183">
        <f t="shared" si="290"/>
        <v>0</v>
      </c>
      <c r="AD290" s="183">
        <f t="shared" si="290"/>
        <v>0</v>
      </c>
      <c r="AE290" s="183">
        <f t="shared" si="290"/>
        <v>0</v>
      </c>
      <c r="AF290" s="183">
        <f>SUM(AF282:AF289)</f>
        <v>0</v>
      </c>
      <c r="AG290" s="183">
        <f t="shared" si="290"/>
        <v>0</v>
      </c>
      <c r="AH290" s="183">
        <f t="shared" si="290"/>
        <v>0</v>
      </c>
      <c r="AI290" s="183">
        <f t="shared" si="290"/>
        <v>0</v>
      </c>
      <c r="AJ290" s="1092"/>
      <c r="AK290" s="190">
        <f t="shared" ref="AK290:AU290" si="291">SUM(AK282:AK289)</f>
        <v>0</v>
      </c>
      <c r="AL290" s="1092"/>
      <c r="AM290" s="183">
        <f t="shared" si="291"/>
        <v>0</v>
      </c>
      <c r="AN290" s="183">
        <f t="shared" si="291"/>
        <v>0</v>
      </c>
      <c r="AO290" s="183">
        <f t="shared" si="291"/>
        <v>0</v>
      </c>
      <c r="AP290" s="183">
        <f t="shared" si="291"/>
        <v>0</v>
      </c>
      <c r="AQ290" s="183">
        <f t="shared" si="291"/>
        <v>0</v>
      </c>
      <c r="AR290" s="183">
        <f>SUM(AR282:AR289)</f>
        <v>0</v>
      </c>
      <c r="AS290" s="183">
        <f t="shared" si="291"/>
        <v>0</v>
      </c>
      <c r="AT290" s="183">
        <f t="shared" si="291"/>
        <v>0</v>
      </c>
      <c r="AU290" s="183">
        <f t="shared" si="291"/>
        <v>0</v>
      </c>
      <c r="AV290" s="1092"/>
      <c r="AW290" s="190">
        <f>SUM(AW282:AW289)</f>
        <v>0</v>
      </c>
      <c r="AX290" s="1092"/>
      <c r="AY290" s="183">
        <f t="shared" ref="AY290:BG290" si="292">SUM(AY282:AY289)</f>
        <v>0</v>
      </c>
      <c r="AZ290" s="183">
        <f t="shared" si="292"/>
        <v>0</v>
      </c>
      <c r="BA290" s="183">
        <f t="shared" si="292"/>
        <v>0</v>
      </c>
      <c r="BB290" s="183">
        <f t="shared" si="292"/>
        <v>0</v>
      </c>
      <c r="BC290" s="183">
        <f t="shared" si="292"/>
        <v>0</v>
      </c>
      <c r="BD290" s="183">
        <f>SUM(BD282:BD289)</f>
        <v>0</v>
      </c>
      <c r="BE290" s="183">
        <f t="shared" si="292"/>
        <v>0</v>
      </c>
      <c r="BF290" s="183">
        <f t="shared" si="292"/>
        <v>0</v>
      </c>
      <c r="BG290" s="183">
        <f t="shared" si="292"/>
        <v>0</v>
      </c>
      <c r="BH290" s="210"/>
    </row>
    <row r="291" spans="1:60">
      <c r="A291" s="1040"/>
      <c r="B291" s="1109" t="s">
        <v>1219</v>
      </c>
      <c r="C291" s="1106" t="s">
        <v>96</v>
      </c>
      <c r="D291" s="638"/>
      <c r="E291" s="942" t="s">
        <v>1334</v>
      </c>
      <c r="F291" s="942"/>
      <c r="G291" s="942"/>
      <c r="H291" s="942"/>
      <c r="I291" s="129"/>
      <c r="J291" s="943"/>
      <c r="K291" s="126"/>
      <c r="L291" s="126"/>
      <c r="M291" s="944"/>
      <c r="N291" s="195"/>
      <c r="O291" s="258" t="str">
        <f>O$17</f>
        <v/>
      </c>
      <c r="P291" s="258" t="str">
        <f t="shared" ref="P291:W293" si="293">P$17</f>
        <v/>
      </c>
      <c r="Q291" s="258" t="str">
        <f t="shared" si="293"/>
        <v/>
      </c>
      <c r="R291" s="258" t="str">
        <f t="shared" si="293"/>
        <v/>
      </c>
      <c r="S291" s="258" t="str">
        <f t="shared" si="293"/>
        <v/>
      </c>
      <c r="T291" s="258" t="str">
        <f t="shared" si="293"/>
        <v/>
      </c>
      <c r="U291" s="258" t="str">
        <f t="shared" si="293"/>
        <v/>
      </c>
      <c r="V291" s="258" t="str">
        <f t="shared" si="293"/>
        <v/>
      </c>
      <c r="W291" s="258" t="str">
        <f t="shared" si="293"/>
        <v/>
      </c>
      <c r="X291" s="195"/>
      <c r="Y291" s="944"/>
      <c r="Z291" s="195"/>
      <c r="AA291" s="258" t="str">
        <f>AA$17</f>
        <v/>
      </c>
      <c r="AB291" s="258" t="str">
        <f t="shared" ref="AB291:AI293" si="294">AB$17</f>
        <v/>
      </c>
      <c r="AC291" s="258" t="str">
        <f t="shared" si="294"/>
        <v/>
      </c>
      <c r="AD291" s="258" t="str">
        <f t="shared" si="294"/>
        <v/>
      </c>
      <c r="AE291" s="258" t="str">
        <f t="shared" si="294"/>
        <v/>
      </c>
      <c r="AF291" s="258" t="str">
        <f t="shared" si="294"/>
        <v/>
      </c>
      <c r="AG291" s="258" t="str">
        <f t="shared" si="294"/>
        <v/>
      </c>
      <c r="AH291" s="258" t="str">
        <f t="shared" si="294"/>
        <v/>
      </c>
      <c r="AI291" s="258" t="str">
        <f t="shared" si="294"/>
        <v/>
      </c>
      <c r="AJ291" s="195"/>
      <c r="AK291" s="944"/>
      <c r="AL291" s="195"/>
      <c r="AM291" s="258" t="str">
        <f>AM$17</f>
        <v/>
      </c>
      <c r="AN291" s="258" t="str">
        <f t="shared" ref="AN291:AU293" si="295">AN$17</f>
        <v/>
      </c>
      <c r="AO291" s="258" t="str">
        <f t="shared" si="295"/>
        <v/>
      </c>
      <c r="AP291" s="258" t="str">
        <f t="shared" si="295"/>
        <v/>
      </c>
      <c r="AQ291" s="258" t="str">
        <f t="shared" si="295"/>
        <v/>
      </c>
      <c r="AR291" s="258" t="str">
        <f t="shared" si="295"/>
        <v/>
      </c>
      <c r="AS291" s="258" t="str">
        <f t="shared" si="295"/>
        <v/>
      </c>
      <c r="AT291" s="258" t="str">
        <f t="shared" si="295"/>
        <v/>
      </c>
      <c r="AU291" s="258" t="str">
        <f t="shared" si="295"/>
        <v/>
      </c>
      <c r="AV291" s="195"/>
      <c r="AW291" s="944"/>
      <c r="AX291" s="195"/>
      <c r="AY291" s="258" t="str">
        <f>AY$17</f>
        <v/>
      </c>
      <c r="AZ291" s="258" t="str">
        <f t="shared" ref="AZ291:BG293" si="296">AZ$17</f>
        <v/>
      </c>
      <c r="BA291" s="258" t="str">
        <f t="shared" si="296"/>
        <v/>
      </c>
      <c r="BB291" s="258" t="str">
        <f t="shared" si="296"/>
        <v/>
      </c>
      <c r="BC291" s="258" t="str">
        <f t="shared" si="296"/>
        <v/>
      </c>
      <c r="BD291" s="258" t="str">
        <f t="shared" si="296"/>
        <v/>
      </c>
      <c r="BE291" s="258" t="str">
        <f t="shared" si="296"/>
        <v/>
      </c>
      <c r="BF291" s="258" t="str">
        <f t="shared" si="296"/>
        <v/>
      </c>
      <c r="BG291" s="258" t="str">
        <f t="shared" si="296"/>
        <v/>
      </c>
      <c r="BH291" s="36"/>
    </row>
    <row r="292" spans="1:60">
      <c r="A292" s="1040"/>
      <c r="B292" s="1109" t="s">
        <v>1219</v>
      </c>
      <c r="C292" s="1107" t="s">
        <v>104</v>
      </c>
      <c r="D292" s="638"/>
      <c r="E292" s="1123" t="s">
        <v>1335</v>
      </c>
      <c r="F292" s="1123"/>
      <c r="G292" s="180"/>
      <c r="H292" s="201" t="s">
        <v>267</v>
      </c>
      <c r="I292" s="114"/>
      <c r="J292" s="190">
        <f>M292+Y292+AK292+AW292</f>
        <v>0</v>
      </c>
      <c r="K292" s="1092"/>
      <c r="L292" s="1092"/>
      <c r="M292" s="190">
        <f>M$201</f>
        <v>0</v>
      </c>
      <c r="N292" s="119"/>
      <c r="O292" s="183">
        <f>IF(OR(O$22=0,O$29=0,$M$187+$M$186=0),0,$M292*1000/O$31)</f>
        <v>0</v>
      </c>
      <c r="P292" s="183">
        <f t="shared" ref="P292:W292" si="297">IF(OR(P$22=0,P$29=0,$M$187+$M$186=0),0,$M292*1000/P$31)</f>
        <v>0</v>
      </c>
      <c r="Q292" s="183">
        <f t="shared" si="297"/>
        <v>0</v>
      </c>
      <c r="R292" s="183">
        <f t="shared" si="297"/>
        <v>0</v>
      </c>
      <c r="S292" s="183">
        <f t="shared" si="297"/>
        <v>0</v>
      </c>
      <c r="T292" s="183">
        <f t="shared" si="297"/>
        <v>0</v>
      </c>
      <c r="U292" s="183">
        <f t="shared" si="297"/>
        <v>0</v>
      </c>
      <c r="V292" s="183">
        <f t="shared" si="297"/>
        <v>0</v>
      </c>
      <c r="W292" s="183">
        <f t="shared" si="297"/>
        <v>0</v>
      </c>
      <c r="X292" s="108"/>
      <c r="Y292" s="190">
        <f>Y$201</f>
        <v>0</v>
      </c>
      <c r="Z292" s="119"/>
      <c r="AA292" s="183">
        <f>IF(OR(AA$22=0,AA$29=0,$M$187+$M$186=0),0,$Y292*1000/AA$31)</f>
        <v>0</v>
      </c>
      <c r="AB292" s="183">
        <f t="shared" ref="AB292:AI292" si="298">IF(OR(AB$22=0,AB$29=0,$M$187+$M$186=0),0,$Y292*1000/AB$31)</f>
        <v>0</v>
      </c>
      <c r="AC292" s="183">
        <f t="shared" si="298"/>
        <v>0</v>
      </c>
      <c r="AD292" s="183">
        <f t="shared" si="298"/>
        <v>0</v>
      </c>
      <c r="AE292" s="183">
        <f t="shared" si="298"/>
        <v>0</v>
      </c>
      <c r="AF292" s="183">
        <f t="shared" si="298"/>
        <v>0</v>
      </c>
      <c r="AG292" s="183">
        <f t="shared" si="298"/>
        <v>0</v>
      </c>
      <c r="AH292" s="183">
        <f t="shared" si="298"/>
        <v>0</v>
      </c>
      <c r="AI292" s="183">
        <f t="shared" si="298"/>
        <v>0</v>
      </c>
      <c r="AJ292" s="108"/>
      <c r="AK292" s="190">
        <f>AK$201</f>
        <v>0</v>
      </c>
      <c r="AL292" s="119"/>
      <c r="AM292" s="183">
        <f>IF(OR(AM$22=0,AM$29=0,$M$187+$M$186=0),0,$AK292*1000/AM$31)</f>
        <v>0</v>
      </c>
      <c r="AN292" s="183">
        <f t="shared" ref="AN292:AU292" si="299">IF(OR(AN$22=0,AN$29=0,$M$187+$M$186=0),0,$AK292*1000/AN$31)</f>
        <v>0</v>
      </c>
      <c r="AO292" s="183">
        <f t="shared" si="299"/>
        <v>0</v>
      </c>
      <c r="AP292" s="183">
        <f t="shared" si="299"/>
        <v>0</v>
      </c>
      <c r="AQ292" s="183">
        <f t="shared" si="299"/>
        <v>0</v>
      </c>
      <c r="AR292" s="183">
        <f t="shared" si="299"/>
        <v>0</v>
      </c>
      <c r="AS292" s="183">
        <f t="shared" si="299"/>
        <v>0</v>
      </c>
      <c r="AT292" s="183">
        <f t="shared" si="299"/>
        <v>0</v>
      </c>
      <c r="AU292" s="183">
        <f t="shared" si="299"/>
        <v>0</v>
      </c>
      <c r="AV292" s="108"/>
      <c r="AW292" s="190">
        <f>AW$201</f>
        <v>0</v>
      </c>
      <c r="AX292" s="119"/>
      <c r="AY292" s="183">
        <f>IF(OR(AY$22=0,AY$29=0,$M$187+$M$186=0),0,$AW292*1000/AY$31)</f>
        <v>0</v>
      </c>
      <c r="AZ292" s="183">
        <f t="shared" ref="AZ292:BG292" si="300">IF(OR(AZ$22=0,AZ$29=0,$M$187+$M$186=0),0,$AW292*1000/AZ$31)</f>
        <v>0</v>
      </c>
      <c r="BA292" s="183">
        <f t="shared" si="300"/>
        <v>0</v>
      </c>
      <c r="BB292" s="183">
        <f t="shared" si="300"/>
        <v>0</v>
      </c>
      <c r="BC292" s="183">
        <f t="shared" si="300"/>
        <v>0</v>
      </c>
      <c r="BD292" s="183">
        <f t="shared" si="300"/>
        <v>0</v>
      </c>
      <c r="BE292" s="183">
        <f t="shared" si="300"/>
        <v>0</v>
      </c>
      <c r="BF292" s="183">
        <f t="shared" si="300"/>
        <v>0</v>
      </c>
      <c r="BG292" s="183">
        <f t="shared" si="300"/>
        <v>0</v>
      </c>
      <c r="BH292" s="210"/>
    </row>
    <row r="293" spans="1:60">
      <c r="A293" s="1040"/>
      <c r="B293" s="1109" t="s">
        <v>1219</v>
      </c>
      <c r="C293" s="1106" t="s">
        <v>96</v>
      </c>
      <c r="D293" s="638"/>
      <c r="E293" s="942" t="s">
        <v>1319</v>
      </c>
      <c r="F293" s="942"/>
      <c r="G293" s="942"/>
      <c r="H293" s="942"/>
      <c r="I293" s="129"/>
      <c r="J293" s="943"/>
      <c r="K293" s="126"/>
      <c r="L293" s="126"/>
      <c r="M293" s="944"/>
      <c r="N293" s="195"/>
      <c r="O293" s="258" t="str">
        <f>O$17</f>
        <v/>
      </c>
      <c r="P293" s="258" t="str">
        <f t="shared" si="293"/>
        <v/>
      </c>
      <c r="Q293" s="258" t="str">
        <f t="shared" si="293"/>
        <v/>
      </c>
      <c r="R293" s="258" t="str">
        <f t="shared" si="293"/>
        <v/>
      </c>
      <c r="S293" s="258" t="str">
        <f t="shared" si="293"/>
        <v/>
      </c>
      <c r="T293" s="258" t="str">
        <f t="shared" si="293"/>
        <v/>
      </c>
      <c r="U293" s="258" t="str">
        <f t="shared" si="293"/>
        <v/>
      </c>
      <c r="V293" s="258" t="str">
        <f t="shared" si="293"/>
        <v/>
      </c>
      <c r="W293" s="258" t="str">
        <f t="shared" si="293"/>
        <v/>
      </c>
      <c r="X293" s="195"/>
      <c r="Y293" s="944"/>
      <c r="Z293" s="195"/>
      <c r="AA293" s="258" t="str">
        <f>AA$17</f>
        <v/>
      </c>
      <c r="AB293" s="258" t="str">
        <f t="shared" si="294"/>
        <v/>
      </c>
      <c r="AC293" s="258" t="str">
        <f t="shared" si="294"/>
        <v/>
      </c>
      <c r="AD293" s="258" t="str">
        <f t="shared" si="294"/>
        <v/>
      </c>
      <c r="AE293" s="258" t="str">
        <f t="shared" si="294"/>
        <v/>
      </c>
      <c r="AF293" s="258" t="str">
        <f t="shared" si="294"/>
        <v/>
      </c>
      <c r="AG293" s="258" t="str">
        <f t="shared" si="294"/>
        <v/>
      </c>
      <c r="AH293" s="258" t="str">
        <f t="shared" si="294"/>
        <v/>
      </c>
      <c r="AI293" s="258" t="str">
        <f t="shared" si="294"/>
        <v/>
      </c>
      <c r="AJ293" s="195"/>
      <c r="AK293" s="944"/>
      <c r="AL293" s="195"/>
      <c r="AM293" s="258" t="str">
        <f>AM$17</f>
        <v/>
      </c>
      <c r="AN293" s="258" t="str">
        <f t="shared" si="295"/>
        <v/>
      </c>
      <c r="AO293" s="258" t="str">
        <f t="shared" si="295"/>
        <v/>
      </c>
      <c r="AP293" s="258" t="str">
        <f t="shared" si="295"/>
        <v/>
      </c>
      <c r="AQ293" s="258" t="str">
        <f t="shared" si="295"/>
        <v/>
      </c>
      <c r="AR293" s="258" t="str">
        <f t="shared" si="295"/>
        <v/>
      </c>
      <c r="AS293" s="258" t="str">
        <f t="shared" si="295"/>
        <v/>
      </c>
      <c r="AT293" s="258" t="str">
        <f t="shared" si="295"/>
        <v/>
      </c>
      <c r="AU293" s="258" t="str">
        <f t="shared" si="295"/>
        <v/>
      </c>
      <c r="AV293" s="195"/>
      <c r="AW293" s="944"/>
      <c r="AX293" s="195"/>
      <c r="AY293" s="258" t="str">
        <f>AY$17</f>
        <v/>
      </c>
      <c r="AZ293" s="258" t="str">
        <f t="shared" si="296"/>
        <v/>
      </c>
      <c r="BA293" s="258" t="str">
        <f t="shared" si="296"/>
        <v/>
      </c>
      <c r="BB293" s="258" t="str">
        <f t="shared" si="296"/>
        <v/>
      </c>
      <c r="BC293" s="258" t="str">
        <f t="shared" si="296"/>
        <v/>
      </c>
      <c r="BD293" s="258" t="str">
        <f t="shared" si="296"/>
        <v/>
      </c>
      <c r="BE293" s="258" t="str">
        <f t="shared" si="296"/>
        <v/>
      </c>
      <c r="BF293" s="258" t="str">
        <f t="shared" si="296"/>
        <v/>
      </c>
      <c r="BG293" s="258" t="str">
        <f t="shared" si="296"/>
        <v/>
      </c>
      <c r="BH293" s="36"/>
    </row>
    <row r="294" spans="1:60">
      <c r="A294" s="1040"/>
      <c r="B294" s="1109" t="s">
        <v>1219</v>
      </c>
      <c r="C294" s="1107" t="s">
        <v>104</v>
      </c>
      <c r="D294" s="641"/>
      <c r="E294" s="1123" t="s">
        <v>269</v>
      </c>
      <c r="F294" s="1123"/>
      <c r="G294" s="180"/>
      <c r="H294" s="201" t="s">
        <v>267</v>
      </c>
      <c r="I294" s="114"/>
      <c r="J294" s="190">
        <f>M294+Y294+AK294+AW294</f>
        <v>0</v>
      </c>
      <c r="K294" s="1092"/>
      <c r="L294" s="1092"/>
      <c r="M294" s="190">
        <f>SUMPRODUCT(N294:X294,N$22:X$22,N$29:X$29)/1000</f>
        <v>0</v>
      </c>
      <c r="N294" s="119"/>
      <c r="O294" s="183">
        <f t="shared" ref="O294:W294" si="301">IF(OR(O$22=0,O$29=0,$M$187+$M$186=0),0,
-O73*($M$214/($M$187+$M$186))/O29)</f>
        <v>0</v>
      </c>
      <c r="P294" s="183">
        <f t="shared" si="301"/>
        <v>0</v>
      </c>
      <c r="Q294" s="183">
        <f t="shared" si="301"/>
        <v>0</v>
      </c>
      <c r="R294" s="183">
        <f t="shared" si="301"/>
        <v>0</v>
      </c>
      <c r="S294" s="183">
        <f t="shared" si="301"/>
        <v>0</v>
      </c>
      <c r="T294" s="183">
        <f t="shared" si="301"/>
        <v>0</v>
      </c>
      <c r="U294" s="183">
        <f t="shared" si="301"/>
        <v>0</v>
      </c>
      <c r="V294" s="183">
        <f t="shared" si="301"/>
        <v>0</v>
      </c>
      <c r="W294" s="183">
        <f t="shared" si="301"/>
        <v>0</v>
      </c>
      <c r="X294" s="108"/>
      <c r="Y294" s="190">
        <f>SUMPRODUCT(Z294:AJ294,Z$22:AJ$22,Z$29:AJ$29)/1000</f>
        <v>0</v>
      </c>
      <c r="Z294" s="119"/>
      <c r="AA294" s="183">
        <f t="shared" ref="AA294:AI294" si="302">IF(OR(AA$22=0,AA$29=0,$Y$187+$Y$186=0),0,
-AA73*($Y$214/($Y$187+$Y$186))/AA29)</f>
        <v>0</v>
      </c>
      <c r="AB294" s="183">
        <f t="shared" si="302"/>
        <v>0</v>
      </c>
      <c r="AC294" s="183">
        <f t="shared" si="302"/>
        <v>0</v>
      </c>
      <c r="AD294" s="183">
        <f t="shared" si="302"/>
        <v>0</v>
      </c>
      <c r="AE294" s="183">
        <f t="shared" si="302"/>
        <v>0</v>
      </c>
      <c r="AF294" s="183">
        <f t="shared" si="302"/>
        <v>0</v>
      </c>
      <c r="AG294" s="183">
        <f t="shared" si="302"/>
        <v>0</v>
      </c>
      <c r="AH294" s="183">
        <f t="shared" si="302"/>
        <v>0</v>
      </c>
      <c r="AI294" s="183">
        <f t="shared" si="302"/>
        <v>0</v>
      </c>
      <c r="AJ294" s="108"/>
      <c r="AK294" s="190">
        <f>SUMPRODUCT(AL294:AV294,AL$22:AV$22,AL$29:AV$29)/1000</f>
        <v>0</v>
      </c>
      <c r="AL294" s="119"/>
      <c r="AM294" s="183">
        <f t="shared" ref="AM294:AU294" si="303">IF(OR(AM$22=0,AM$29=0,$AK$187+$AK$186=0),0,
-AM73*($AK$214/($AK$187+$AK$186))/AM29)</f>
        <v>0</v>
      </c>
      <c r="AN294" s="183">
        <f t="shared" si="303"/>
        <v>0</v>
      </c>
      <c r="AO294" s="183">
        <f t="shared" si="303"/>
        <v>0</v>
      </c>
      <c r="AP294" s="183">
        <f t="shared" si="303"/>
        <v>0</v>
      </c>
      <c r="AQ294" s="183">
        <f t="shared" si="303"/>
        <v>0</v>
      </c>
      <c r="AR294" s="183">
        <f t="shared" si="303"/>
        <v>0</v>
      </c>
      <c r="AS294" s="183">
        <f t="shared" si="303"/>
        <v>0</v>
      </c>
      <c r="AT294" s="183">
        <f t="shared" si="303"/>
        <v>0</v>
      </c>
      <c r="AU294" s="183">
        <f t="shared" si="303"/>
        <v>0</v>
      </c>
      <c r="AV294" s="108"/>
      <c r="AW294" s="190">
        <f>SUMPRODUCT(AX294:BH294,AX$22:BH$22,AX$29:BH$29)/1000</f>
        <v>0</v>
      </c>
      <c r="AX294" s="119"/>
      <c r="AY294" s="183">
        <f t="shared" ref="AY294:BG294" si="304">IF(OR(AY$22=0,AY$29=0,$AW$187+$AW$186=0),0,
-AY73*($AW$214/($AW$187+$AW$186))/AY29)</f>
        <v>0</v>
      </c>
      <c r="AZ294" s="183">
        <f t="shared" si="304"/>
        <v>0</v>
      </c>
      <c r="BA294" s="183">
        <f t="shared" si="304"/>
        <v>0</v>
      </c>
      <c r="BB294" s="183">
        <f t="shared" si="304"/>
        <v>0</v>
      </c>
      <c r="BC294" s="183">
        <f t="shared" si="304"/>
        <v>0</v>
      </c>
      <c r="BD294" s="183">
        <f t="shared" si="304"/>
        <v>0</v>
      </c>
      <c r="BE294" s="183">
        <f t="shared" si="304"/>
        <v>0</v>
      </c>
      <c r="BF294" s="183">
        <f t="shared" si="304"/>
        <v>0</v>
      </c>
      <c r="BG294" s="183">
        <f t="shared" si="304"/>
        <v>0</v>
      </c>
      <c r="BH294" s="210"/>
    </row>
    <row r="295" spans="1:60">
      <c r="A295" s="1040"/>
      <c r="B295" s="1109" t="s">
        <v>1219</v>
      </c>
      <c r="C295" s="1107" t="s">
        <v>104</v>
      </c>
      <c r="D295" s="641"/>
      <c r="E295" s="1123" t="s">
        <v>268</v>
      </c>
      <c r="F295" s="1123"/>
      <c r="G295" s="180"/>
      <c r="H295" s="201" t="s">
        <v>267</v>
      </c>
      <c r="I295" s="114"/>
      <c r="J295" s="190">
        <f>M295+Y295+AK295+AW295</f>
        <v>0</v>
      </c>
      <c r="K295" s="1092"/>
      <c r="L295" s="1092"/>
      <c r="M295" s="190">
        <f>SUMPRODUCT(N295:X295,N$22:X$22,N$29:X$29)/1000</f>
        <v>0</v>
      </c>
      <c r="N295" s="119"/>
      <c r="O295" s="183">
        <f t="shared" ref="O295:W295" si="305">IF(OR(O$22=0,O$29=0,$M$187+$M$186=0),0,
-(O275*($M$187/($M$187+$M$186))*$M$214*1000)/(O22*O29))</f>
        <v>0</v>
      </c>
      <c r="P295" s="183">
        <f t="shared" si="305"/>
        <v>0</v>
      </c>
      <c r="Q295" s="183">
        <f t="shared" si="305"/>
        <v>0</v>
      </c>
      <c r="R295" s="183">
        <f t="shared" si="305"/>
        <v>0</v>
      </c>
      <c r="S295" s="183">
        <f t="shared" si="305"/>
        <v>0</v>
      </c>
      <c r="T295" s="183">
        <f t="shared" si="305"/>
        <v>0</v>
      </c>
      <c r="U295" s="183">
        <f t="shared" si="305"/>
        <v>0</v>
      </c>
      <c r="V295" s="183">
        <f t="shared" si="305"/>
        <v>0</v>
      </c>
      <c r="W295" s="183">
        <f t="shared" si="305"/>
        <v>0</v>
      </c>
      <c r="X295" s="108"/>
      <c r="Y295" s="190">
        <f>SUMPRODUCT(Z295:AJ295,Z$22:AJ$22,Z$29:AJ$29)/1000</f>
        <v>0</v>
      </c>
      <c r="Z295" s="119"/>
      <c r="AA295" s="183">
        <f t="shared" ref="AA295:AI295" si="306">IF(OR(AA$17="-",AA$22=0,AA$29=0,$Y$187+$Y$186=0),0,
-(AA275*($Y$187/($Y$187+$Y$186))*$Y$214*1000)/(AA22*AA29))</f>
        <v>0</v>
      </c>
      <c r="AB295" s="183">
        <f t="shared" si="306"/>
        <v>0</v>
      </c>
      <c r="AC295" s="183">
        <f t="shared" si="306"/>
        <v>0</v>
      </c>
      <c r="AD295" s="183">
        <f t="shared" si="306"/>
        <v>0</v>
      </c>
      <c r="AE295" s="183">
        <f t="shared" si="306"/>
        <v>0</v>
      </c>
      <c r="AF295" s="183">
        <f t="shared" si="306"/>
        <v>0</v>
      </c>
      <c r="AG295" s="183">
        <f t="shared" si="306"/>
        <v>0</v>
      </c>
      <c r="AH295" s="183">
        <f t="shared" si="306"/>
        <v>0</v>
      </c>
      <c r="AI295" s="183">
        <f t="shared" si="306"/>
        <v>0</v>
      </c>
      <c r="AJ295" s="108"/>
      <c r="AK295" s="190">
        <f>SUMPRODUCT(AL295:AV295,AL$22:AV$22,AL$29:AV$29)/1000</f>
        <v>0</v>
      </c>
      <c r="AL295" s="119"/>
      <c r="AM295" s="183">
        <f t="shared" ref="AM295:AU295" si="307">IF(OR(AM$22=0,AM$29=0,$AK$187+$AK$186=0),0,
-AM275*($AK$187/($AK$187+$AK$186))*$AK$214*1000/(AM22*AM29))</f>
        <v>0</v>
      </c>
      <c r="AN295" s="183">
        <f t="shared" si="307"/>
        <v>0</v>
      </c>
      <c r="AO295" s="183">
        <f t="shared" si="307"/>
        <v>0</v>
      </c>
      <c r="AP295" s="183">
        <f t="shared" si="307"/>
        <v>0</v>
      </c>
      <c r="AQ295" s="183">
        <f t="shared" si="307"/>
        <v>0</v>
      </c>
      <c r="AR295" s="183">
        <f t="shared" si="307"/>
        <v>0</v>
      </c>
      <c r="AS295" s="183">
        <f t="shared" si="307"/>
        <v>0</v>
      </c>
      <c r="AT295" s="183">
        <f t="shared" si="307"/>
        <v>0</v>
      </c>
      <c r="AU295" s="183">
        <f t="shared" si="307"/>
        <v>0</v>
      </c>
      <c r="AV295" s="108"/>
      <c r="AW295" s="190">
        <f>SUMPRODUCT(AX295:BH295,AX$22:BH$22,AX$29:BH$29)/1000</f>
        <v>0</v>
      </c>
      <c r="AX295" s="119"/>
      <c r="AY295" s="183">
        <f t="shared" ref="AY295:BG295" si="308">IF(OR(AY$22=0,AY$29=0,$AW$187+$AW$186=0),0,
-AY275*($AW$187/($AW$187+$AW$186))*$AW$214*1000/(AY22*AY29))</f>
        <v>0</v>
      </c>
      <c r="AZ295" s="183">
        <f t="shared" si="308"/>
        <v>0</v>
      </c>
      <c r="BA295" s="183">
        <f t="shared" si="308"/>
        <v>0</v>
      </c>
      <c r="BB295" s="183">
        <f t="shared" si="308"/>
        <v>0</v>
      </c>
      <c r="BC295" s="183">
        <f t="shared" si="308"/>
        <v>0</v>
      </c>
      <c r="BD295" s="183">
        <f t="shared" si="308"/>
        <v>0</v>
      </c>
      <c r="BE295" s="183">
        <f t="shared" si="308"/>
        <v>0</v>
      </c>
      <c r="BF295" s="183">
        <f t="shared" si="308"/>
        <v>0</v>
      </c>
      <c r="BG295" s="183">
        <f t="shared" si="308"/>
        <v>0</v>
      </c>
      <c r="BH295" s="210"/>
    </row>
    <row r="296" spans="1:60">
      <c r="A296" s="1040"/>
      <c r="B296" s="1109" t="s">
        <v>1219</v>
      </c>
      <c r="C296" s="1107" t="s">
        <v>104</v>
      </c>
      <c r="D296" s="641"/>
      <c r="E296" s="1123" t="s">
        <v>232</v>
      </c>
      <c r="F296" s="1123"/>
      <c r="G296" s="180"/>
      <c r="H296" s="201" t="s">
        <v>267</v>
      </c>
      <c r="I296" s="114"/>
      <c r="J296" s="190">
        <f>M296+Y296+AK296+AW296</f>
        <v>0</v>
      </c>
      <c r="K296" s="1092"/>
      <c r="L296" s="1092"/>
      <c r="M296" s="190">
        <f>M295+M294</f>
        <v>0</v>
      </c>
      <c r="N296" s="119"/>
      <c r="O296" s="183">
        <f t="shared" ref="O296:W296" si="309">O295+O294</f>
        <v>0</v>
      </c>
      <c r="P296" s="183">
        <f t="shared" si="309"/>
        <v>0</v>
      </c>
      <c r="Q296" s="183">
        <f t="shared" si="309"/>
        <v>0</v>
      </c>
      <c r="R296" s="183">
        <f t="shared" si="309"/>
        <v>0</v>
      </c>
      <c r="S296" s="183">
        <f t="shared" si="309"/>
        <v>0</v>
      </c>
      <c r="T296" s="183">
        <f t="shared" si="309"/>
        <v>0</v>
      </c>
      <c r="U296" s="183">
        <f t="shared" si="309"/>
        <v>0</v>
      </c>
      <c r="V296" s="183">
        <f t="shared" si="309"/>
        <v>0</v>
      </c>
      <c r="W296" s="183">
        <f t="shared" si="309"/>
        <v>0</v>
      </c>
      <c r="X296" s="108"/>
      <c r="Y296" s="190">
        <f>Y295+Y294</f>
        <v>0</v>
      </c>
      <c r="Z296" s="119"/>
      <c r="AA296" s="183">
        <f t="shared" ref="AA296:AI296" si="310">AA295+AA294</f>
        <v>0</v>
      </c>
      <c r="AB296" s="183">
        <f t="shared" si="310"/>
        <v>0</v>
      </c>
      <c r="AC296" s="183">
        <f t="shared" si="310"/>
        <v>0</v>
      </c>
      <c r="AD296" s="183">
        <f t="shared" si="310"/>
        <v>0</v>
      </c>
      <c r="AE296" s="183">
        <f t="shared" si="310"/>
        <v>0</v>
      </c>
      <c r="AF296" s="183">
        <f t="shared" si="310"/>
        <v>0</v>
      </c>
      <c r="AG296" s="183">
        <f t="shared" si="310"/>
        <v>0</v>
      </c>
      <c r="AH296" s="183">
        <f t="shared" si="310"/>
        <v>0</v>
      </c>
      <c r="AI296" s="183">
        <f t="shared" si="310"/>
        <v>0</v>
      </c>
      <c r="AJ296" s="108"/>
      <c r="AK296" s="190">
        <f>AK295+AK294</f>
        <v>0</v>
      </c>
      <c r="AL296" s="119"/>
      <c r="AM296" s="183">
        <f t="shared" ref="AM296:AU296" si="311">AM295+AM294</f>
        <v>0</v>
      </c>
      <c r="AN296" s="183">
        <f t="shared" si="311"/>
        <v>0</v>
      </c>
      <c r="AO296" s="183">
        <f t="shared" si="311"/>
        <v>0</v>
      </c>
      <c r="AP296" s="183">
        <f t="shared" si="311"/>
        <v>0</v>
      </c>
      <c r="AQ296" s="183">
        <f t="shared" si="311"/>
        <v>0</v>
      </c>
      <c r="AR296" s="183">
        <f t="shared" si="311"/>
        <v>0</v>
      </c>
      <c r="AS296" s="183">
        <f t="shared" si="311"/>
        <v>0</v>
      </c>
      <c r="AT296" s="183">
        <f t="shared" si="311"/>
        <v>0</v>
      </c>
      <c r="AU296" s="183">
        <f t="shared" si="311"/>
        <v>0</v>
      </c>
      <c r="AV296" s="108"/>
      <c r="AW296" s="190">
        <f>AW295+AW294</f>
        <v>0</v>
      </c>
      <c r="AX296" s="119"/>
      <c r="AY296" s="183">
        <f t="shared" ref="AY296:BG296" si="312">AY295+AY294</f>
        <v>0</v>
      </c>
      <c r="AZ296" s="183">
        <f t="shared" si="312"/>
        <v>0</v>
      </c>
      <c r="BA296" s="183">
        <f t="shared" si="312"/>
        <v>0</v>
      </c>
      <c r="BB296" s="183">
        <f t="shared" si="312"/>
        <v>0</v>
      </c>
      <c r="BC296" s="183">
        <f t="shared" si="312"/>
        <v>0</v>
      </c>
      <c r="BD296" s="183">
        <f t="shared" si="312"/>
        <v>0</v>
      </c>
      <c r="BE296" s="183">
        <f t="shared" si="312"/>
        <v>0</v>
      </c>
      <c r="BF296" s="183">
        <f t="shared" si="312"/>
        <v>0</v>
      </c>
      <c r="BG296" s="183">
        <f t="shared" si="312"/>
        <v>0</v>
      </c>
      <c r="BH296" s="210"/>
    </row>
    <row r="297" spans="1:60">
      <c r="A297" s="1040"/>
      <c r="B297" s="1109" t="s">
        <v>1219</v>
      </c>
      <c r="C297" s="1106" t="s">
        <v>96</v>
      </c>
      <c r="D297" s="638"/>
      <c r="E297" s="942" t="s">
        <v>1359</v>
      </c>
      <c r="F297" s="942"/>
      <c r="G297" s="942"/>
      <c r="H297" s="942"/>
      <c r="I297" s="129"/>
      <c r="J297" s="943"/>
      <c r="K297" s="126"/>
      <c r="L297" s="126"/>
      <c r="M297" s="944"/>
      <c r="N297" s="195"/>
      <c r="O297" s="258" t="str">
        <f>O$17</f>
        <v/>
      </c>
      <c r="P297" s="258" t="str">
        <f t="shared" ref="P297:W297" si="313">P$17</f>
        <v/>
      </c>
      <c r="Q297" s="258" t="str">
        <f t="shared" si="313"/>
        <v/>
      </c>
      <c r="R297" s="258" t="str">
        <f t="shared" si="313"/>
        <v/>
      </c>
      <c r="S297" s="258" t="str">
        <f t="shared" si="313"/>
        <v/>
      </c>
      <c r="T297" s="258" t="str">
        <f t="shared" si="313"/>
        <v/>
      </c>
      <c r="U297" s="258" t="str">
        <f t="shared" si="313"/>
        <v/>
      </c>
      <c r="V297" s="258" t="str">
        <f t="shared" si="313"/>
        <v/>
      </c>
      <c r="W297" s="258" t="str">
        <f t="shared" si="313"/>
        <v/>
      </c>
      <c r="X297" s="195"/>
      <c r="Y297" s="944"/>
      <c r="Z297" s="195"/>
      <c r="AA297" s="258" t="str">
        <f>AA$17</f>
        <v/>
      </c>
      <c r="AB297" s="258" t="str">
        <f t="shared" ref="AB297:AI297" si="314">AB$17</f>
        <v/>
      </c>
      <c r="AC297" s="258" t="str">
        <f t="shared" si="314"/>
        <v/>
      </c>
      <c r="AD297" s="258" t="str">
        <f t="shared" si="314"/>
        <v/>
      </c>
      <c r="AE297" s="258" t="str">
        <f t="shared" si="314"/>
        <v/>
      </c>
      <c r="AF297" s="258" t="str">
        <f t="shared" si="314"/>
        <v/>
      </c>
      <c r="AG297" s="258" t="str">
        <f t="shared" si="314"/>
        <v/>
      </c>
      <c r="AH297" s="258" t="str">
        <f t="shared" si="314"/>
        <v/>
      </c>
      <c r="AI297" s="258" t="str">
        <f t="shared" si="314"/>
        <v/>
      </c>
      <c r="AJ297" s="195"/>
      <c r="AK297" s="944"/>
      <c r="AL297" s="195"/>
      <c r="AM297" s="258" t="str">
        <f>AM$17</f>
        <v/>
      </c>
      <c r="AN297" s="258" t="str">
        <f t="shared" ref="AN297:AU297" si="315">AN$17</f>
        <v/>
      </c>
      <c r="AO297" s="258" t="str">
        <f t="shared" si="315"/>
        <v/>
      </c>
      <c r="AP297" s="258" t="str">
        <f t="shared" si="315"/>
        <v/>
      </c>
      <c r="AQ297" s="258" t="str">
        <f t="shared" si="315"/>
        <v/>
      </c>
      <c r="AR297" s="258" t="str">
        <f t="shared" si="315"/>
        <v/>
      </c>
      <c r="AS297" s="258" t="str">
        <f t="shared" si="315"/>
        <v/>
      </c>
      <c r="AT297" s="258" t="str">
        <f t="shared" si="315"/>
        <v/>
      </c>
      <c r="AU297" s="258" t="str">
        <f t="shared" si="315"/>
        <v/>
      </c>
      <c r="AV297" s="195"/>
      <c r="AW297" s="944"/>
      <c r="AX297" s="195"/>
      <c r="AY297" s="258" t="str">
        <f>AY$17</f>
        <v/>
      </c>
      <c r="AZ297" s="258" t="str">
        <f t="shared" ref="AZ297:BG297" si="316">AZ$17</f>
        <v/>
      </c>
      <c r="BA297" s="258" t="str">
        <f t="shared" si="316"/>
        <v/>
      </c>
      <c r="BB297" s="258" t="str">
        <f t="shared" si="316"/>
        <v/>
      </c>
      <c r="BC297" s="258" t="str">
        <f t="shared" si="316"/>
        <v/>
      </c>
      <c r="BD297" s="258" t="str">
        <f t="shared" si="316"/>
        <v/>
      </c>
      <c r="BE297" s="258" t="str">
        <f t="shared" si="316"/>
        <v/>
      </c>
      <c r="BF297" s="258" t="str">
        <f t="shared" si="316"/>
        <v/>
      </c>
      <c r="BG297" s="258" t="str">
        <f t="shared" si="316"/>
        <v/>
      </c>
      <c r="BH297" s="36"/>
    </row>
    <row r="298" spans="1:60">
      <c r="A298" s="1040"/>
      <c r="B298" s="1109" t="s">
        <v>1219</v>
      </c>
      <c r="C298" s="1107" t="s">
        <v>104</v>
      </c>
      <c r="D298" s="641"/>
      <c r="E298" s="1123" t="s">
        <v>1340</v>
      </c>
      <c r="F298" s="180"/>
      <c r="G298" s="180"/>
      <c r="H298" s="201" t="s">
        <v>267</v>
      </c>
      <c r="I298" s="114"/>
      <c r="J298" s="190">
        <f>M298+Y298+AK298+AW298</f>
        <v>0</v>
      </c>
      <c r="K298" s="1092"/>
      <c r="L298" s="1092"/>
      <c r="M298" s="190">
        <f>SUMPRODUCT(N298:X298,N$22:X$22,N$29:X$29)/1000</f>
        <v>0</v>
      </c>
      <c r="N298" s="119"/>
      <c r="O298" s="183">
        <f t="shared" ref="O298:W298" si="317">O290+O296</f>
        <v>0</v>
      </c>
      <c r="P298" s="183">
        <f t="shared" si="317"/>
        <v>0</v>
      </c>
      <c r="Q298" s="183">
        <f t="shared" si="317"/>
        <v>0</v>
      </c>
      <c r="R298" s="183">
        <f t="shared" si="317"/>
        <v>0</v>
      </c>
      <c r="S298" s="183">
        <f t="shared" si="317"/>
        <v>0</v>
      </c>
      <c r="T298" s="183">
        <f t="shared" si="317"/>
        <v>0</v>
      </c>
      <c r="U298" s="183">
        <f t="shared" si="317"/>
        <v>0</v>
      </c>
      <c r="V298" s="183">
        <f t="shared" si="317"/>
        <v>0</v>
      </c>
      <c r="W298" s="183">
        <f t="shared" si="317"/>
        <v>0</v>
      </c>
      <c r="X298" s="108"/>
      <c r="Y298" s="190">
        <f>Y290+Y296</f>
        <v>0</v>
      </c>
      <c r="Z298" s="119"/>
      <c r="AA298" s="183">
        <f t="shared" ref="AA298:AI298" si="318">AA290+AA296</f>
        <v>0</v>
      </c>
      <c r="AB298" s="183">
        <f t="shared" si="318"/>
        <v>0</v>
      </c>
      <c r="AC298" s="183">
        <f t="shared" si="318"/>
        <v>0</v>
      </c>
      <c r="AD298" s="183">
        <f t="shared" si="318"/>
        <v>0</v>
      </c>
      <c r="AE298" s="183">
        <f t="shared" si="318"/>
        <v>0</v>
      </c>
      <c r="AF298" s="183">
        <f t="shared" si="318"/>
        <v>0</v>
      </c>
      <c r="AG298" s="183">
        <f t="shared" si="318"/>
        <v>0</v>
      </c>
      <c r="AH298" s="183">
        <f t="shared" si="318"/>
        <v>0</v>
      </c>
      <c r="AI298" s="183">
        <f t="shared" si="318"/>
        <v>0</v>
      </c>
      <c r="AJ298" s="108"/>
      <c r="AK298" s="190">
        <f>AK290+AK296</f>
        <v>0</v>
      </c>
      <c r="AL298" s="119"/>
      <c r="AM298" s="183">
        <f t="shared" ref="AM298:AU298" si="319">AM290+AM296</f>
        <v>0</v>
      </c>
      <c r="AN298" s="183">
        <f t="shared" si="319"/>
        <v>0</v>
      </c>
      <c r="AO298" s="183">
        <f t="shared" si="319"/>
        <v>0</v>
      </c>
      <c r="AP298" s="183">
        <f t="shared" si="319"/>
        <v>0</v>
      </c>
      <c r="AQ298" s="183">
        <f t="shared" si="319"/>
        <v>0</v>
      </c>
      <c r="AR298" s="183">
        <f t="shared" si="319"/>
        <v>0</v>
      </c>
      <c r="AS298" s="183">
        <f t="shared" si="319"/>
        <v>0</v>
      </c>
      <c r="AT298" s="183">
        <f t="shared" si="319"/>
        <v>0</v>
      </c>
      <c r="AU298" s="183">
        <f t="shared" si="319"/>
        <v>0</v>
      </c>
      <c r="AV298" s="108"/>
      <c r="AW298" s="190">
        <f>AW290+AW296</f>
        <v>0</v>
      </c>
      <c r="AX298" s="119"/>
      <c r="AY298" s="183">
        <f t="shared" ref="AY298:BG298" si="320">AY290+AY296</f>
        <v>0</v>
      </c>
      <c r="AZ298" s="183">
        <f t="shared" si="320"/>
        <v>0</v>
      </c>
      <c r="BA298" s="183">
        <f t="shared" si="320"/>
        <v>0</v>
      </c>
      <c r="BB298" s="183">
        <f t="shared" si="320"/>
        <v>0</v>
      </c>
      <c r="BC298" s="183">
        <f t="shared" si="320"/>
        <v>0</v>
      </c>
      <c r="BD298" s="183">
        <f t="shared" si="320"/>
        <v>0</v>
      </c>
      <c r="BE298" s="183">
        <f t="shared" si="320"/>
        <v>0</v>
      </c>
      <c r="BF298" s="183">
        <f t="shared" si="320"/>
        <v>0</v>
      </c>
      <c r="BG298" s="183">
        <f t="shared" si="320"/>
        <v>0</v>
      </c>
      <c r="BH298" s="210"/>
    </row>
    <row r="299" spans="1:60">
      <c r="A299" s="1040"/>
      <c r="B299" s="1109" t="s">
        <v>1219</v>
      </c>
      <c r="C299" s="1107" t="s">
        <v>104</v>
      </c>
      <c r="D299" s="641"/>
      <c r="E299" s="1123" t="s">
        <v>1341</v>
      </c>
      <c r="F299" s="180"/>
      <c r="G299" s="180"/>
      <c r="H299" s="201" t="s">
        <v>267</v>
      </c>
      <c r="I299" s="114"/>
      <c r="J299" s="190">
        <f>M299+Y299+AK299+AW299</f>
        <v>0</v>
      </c>
      <c r="K299" s="1092"/>
      <c r="L299" s="1092"/>
      <c r="M299" s="190">
        <f>SUMPRODUCT(N299:X299,N$22:X$22,N$29:X$29)/1000</f>
        <v>0</v>
      </c>
      <c r="N299" s="119"/>
      <c r="O299" s="183">
        <f t="shared" ref="O299:W299" si="321">O$282+O$283+O$284+IF(OR(O$19=woning,O$19=woongebouw),0,O$285)+O$286-O$292+O$296</f>
        <v>0</v>
      </c>
      <c r="P299" s="183">
        <f t="shared" si="321"/>
        <v>0</v>
      </c>
      <c r="Q299" s="183">
        <f t="shared" si="321"/>
        <v>0</v>
      </c>
      <c r="R299" s="183">
        <f t="shared" si="321"/>
        <v>0</v>
      </c>
      <c r="S299" s="183">
        <f t="shared" si="321"/>
        <v>0</v>
      </c>
      <c r="T299" s="183">
        <f t="shared" si="321"/>
        <v>0</v>
      </c>
      <c r="U299" s="183">
        <f t="shared" si="321"/>
        <v>0</v>
      </c>
      <c r="V299" s="183">
        <f t="shared" si="321"/>
        <v>0</v>
      </c>
      <c r="W299" s="183">
        <f t="shared" si="321"/>
        <v>0</v>
      </c>
      <c r="X299" s="108"/>
      <c r="Y299" s="190">
        <f>SUMPRODUCT(Z299:AJ299,Z$22:AJ$22,Z$29:AJ$29)/1000</f>
        <v>0</v>
      </c>
      <c r="Z299" s="119"/>
      <c r="AA299" s="183">
        <f t="shared" ref="AA299:AI299" si="322">AA$282+AA$283+AA$284+IF(OR(AA$19=woning,AA$19=woongebouw),0,AA$285)+AA$286-AA$292+AA$296</f>
        <v>0</v>
      </c>
      <c r="AB299" s="183">
        <f t="shared" si="322"/>
        <v>0</v>
      </c>
      <c r="AC299" s="183">
        <f t="shared" si="322"/>
        <v>0</v>
      </c>
      <c r="AD299" s="183">
        <f t="shared" si="322"/>
        <v>0</v>
      </c>
      <c r="AE299" s="183">
        <f t="shared" si="322"/>
        <v>0</v>
      </c>
      <c r="AF299" s="183">
        <f t="shared" si="322"/>
        <v>0</v>
      </c>
      <c r="AG299" s="183">
        <f t="shared" si="322"/>
        <v>0</v>
      </c>
      <c r="AH299" s="183">
        <f t="shared" si="322"/>
        <v>0</v>
      </c>
      <c r="AI299" s="183">
        <f t="shared" si="322"/>
        <v>0</v>
      </c>
      <c r="AJ299" s="108"/>
      <c r="AK299" s="190">
        <f>SUMPRODUCT(AL299:AV299,AL$22:AV$22,AL$29:AV$29)/1000</f>
        <v>0</v>
      </c>
      <c r="AL299" s="119"/>
      <c r="AM299" s="183">
        <f t="shared" ref="AM299:AU299" si="323">AM$282+AM$283+AM$284+IF(OR(AM$19=woning,AM$19=woongebouw),0,AM$285)+AM$286-AM$292+AM$296</f>
        <v>0</v>
      </c>
      <c r="AN299" s="183">
        <f t="shared" si="323"/>
        <v>0</v>
      </c>
      <c r="AO299" s="183">
        <f t="shared" si="323"/>
        <v>0</v>
      </c>
      <c r="AP299" s="183">
        <f t="shared" si="323"/>
        <v>0</v>
      </c>
      <c r="AQ299" s="183">
        <f t="shared" si="323"/>
        <v>0</v>
      </c>
      <c r="AR299" s="183">
        <f t="shared" si="323"/>
        <v>0</v>
      </c>
      <c r="AS299" s="183">
        <f t="shared" si="323"/>
        <v>0</v>
      </c>
      <c r="AT299" s="183">
        <f t="shared" si="323"/>
        <v>0</v>
      </c>
      <c r="AU299" s="183">
        <f t="shared" si="323"/>
        <v>0</v>
      </c>
      <c r="AV299" s="108"/>
      <c r="AW299" s="190">
        <f>SUMPRODUCT(AX299:BH299,AX$22:BH$22,AX$29:BH$29)/1000</f>
        <v>0</v>
      </c>
      <c r="AX299" s="119"/>
      <c r="AY299" s="183">
        <f t="shared" ref="AY299:BG299" si="324">AY$282+AY$283+AY$284+IF(OR(AY$19=woning,AY$19=woongebouw),0,AY$285)+AY$286-AY$292+AY$296</f>
        <v>0</v>
      </c>
      <c r="AZ299" s="183">
        <f t="shared" si="324"/>
        <v>0</v>
      </c>
      <c r="BA299" s="183">
        <f t="shared" si="324"/>
        <v>0</v>
      </c>
      <c r="BB299" s="183">
        <f t="shared" si="324"/>
        <v>0</v>
      </c>
      <c r="BC299" s="183">
        <f t="shared" si="324"/>
        <v>0</v>
      </c>
      <c r="BD299" s="183">
        <f t="shared" si="324"/>
        <v>0</v>
      </c>
      <c r="BE299" s="183">
        <f t="shared" si="324"/>
        <v>0</v>
      </c>
      <c r="BF299" s="183">
        <f t="shared" si="324"/>
        <v>0</v>
      </c>
      <c r="BG299" s="183">
        <f t="shared" si="324"/>
        <v>0</v>
      </c>
      <c r="BH299" s="210"/>
    </row>
    <row r="300" spans="1:60">
      <c r="A300" s="1040"/>
      <c r="B300" s="1109" t="s">
        <v>1221</v>
      </c>
      <c r="C300" s="1106" t="s">
        <v>96</v>
      </c>
      <c r="D300" s="638"/>
      <c r="E300" s="79"/>
      <c r="F300" s="79"/>
      <c r="G300" s="79"/>
      <c r="H300" s="85"/>
      <c r="I300" s="79"/>
      <c r="J300" s="113"/>
      <c r="K300" s="79"/>
      <c r="L300" s="79"/>
      <c r="M300" s="113"/>
      <c r="N300" s="79"/>
      <c r="O300" s="81"/>
      <c r="P300" s="356"/>
      <c r="Q300" s="356"/>
      <c r="R300" s="82"/>
      <c r="S300" s="1152"/>
      <c r="T300" s="82"/>
      <c r="U300" s="82"/>
      <c r="V300" s="82"/>
      <c r="W300" s="82"/>
      <c r="X300" s="82"/>
      <c r="Y300" s="82"/>
      <c r="Z300" s="79"/>
      <c r="AA300" s="79"/>
      <c r="AB300" s="79"/>
      <c r="AC300" s="79"/>
      <c r="AD300" s="79"/>
      <c r="AE300" s="79"/>
      <c r="AF300" s="79"/>
      <c r="AG300" s="79"/>
      <c r="AH300" s="79"/>
      <c r="AI300" s="79"/>
      <c r="AJ300" s="79"/>
      <c r="AK300" s="113"/>
      <c r="AL300" s="79"/>
      <c r="AM300" s="82"/>
      <c r="AN300" s="82"/>
      <c r="AO300" s="82"/>
      <c r="AP300" s="82"/>
      <c r="AQ300" s="82"/>
      <c r="AR300" s="82"/>
      <c r="AS300" s="82"/>
      <c r="AT300" s="82"/>
      <c r="AU300" s="82"/>
      <c r="AV300" s="82"/>
      <c r="AW300" s="82"/>
      <c r="AX300" s="79"/>
      <c r="AY300" s="82"/>
      <c r="AZ300" s="82"/>
      <c r="BA300" s="82"/>
      <c r="BB300" s="82"/>
      <c r="BC300" s="82"/>
      <c r="BD300" s="82"/>
      <c r="BE300" s="82"/>
      <c r="BF300" s="82"/>
      <c r="BG300" s="82"/>
      <c r="BH300" s="1"/>
    </row>
    <row r="301" spans="1:60">
      <c r="A301" s="1040"/>
      <c r="B301" s="1109" t="s">
        <v>1222</v>
      </c>
      <c r="C301" s="1107" t="s">
        <v>96</v>
      </c>
      <c r="D301" s="638"/>
      <c r="E301" s="79"/>
      <c r="F301" s="79"/>
      <c r="G301" s="79"/>
      <c r="H301" s="85"/>
      <c r="I301" s="79"/>
      <c r="J301" s="1088"/>
      <c r="K301" s="79"/>
      <c r="L301" s="79"/>
      <c r="M301" s="113"/>
      <c r="N301" s="79"/>
      <c r="O301" s="1087"/>
      <c r="P301" s="356"/>
      <c r="Q301" s="356"/>
      <c r="R301" s="123"/>
      <c r="S301" s="82"/>
      <c r="T301" s="82"/>
      <c r="U301" s="82"/>
      <c r="V301" s="82"/>
      <c r="W301" s="82"/>
      <c r="X301" s="82"/>
      <c r="Y301" s="82"/>
      <c r="Z301" s="79"/>
      <c r="AA301" s="82"/>
      <c r="AB301" s="113"/>
      <c r="AC301" s="82"/>
      <c r="AD301" s="82"/>
      <c r="AE301" s="82"/>
      <c r="AF301" s="82"/>
      <c r="AG301" s="82"/>
      <c r="AH301" s="82"/>
      <c r="AI301" s="82"/>
      <c r="AJ301" s="82"/>
      <c r="AK301" s="82"/>
      <c r="AL301" s="79"/>
      <c r="AM301" s="82"/>
      <c r="AN301" s="82"/>
      <c r="AO301" s="82"/>
      <c r="AP301" s="82"/>
      <c r="AQ301" s="82"/>
      <c r="AR301" s="82"/>
      <c r="AS301" s="82"/>
      <c r="AT301" s="82"/>
      <c r="AU301" s="82"/>
      <c r="AV301" s="82"/>
      <c r="AW301" s="82"/>
      <c r="AX301" s="79"/>
      <c r="AY301" s="82"/>
      <c r="AZ301" s="82"/>
      <c r="BA301" s="82"/>
      <c r="BB301" s="82"/>
      <c r="BC301" s="82"/>
      <c r="BD301" s="82"/>
      <c r="BE301" s="82"/>
      <c r="BF301" s="82"/>
      <c r="BG301" s="82"/>
      <c r="BH301" s="1"/>
    </row>
    <row r="302" spans="1:60" s="2" customFormat="1" ht="21">
      <c r="A302" s="1038"/>
      <c r="B302" s="1109" t="s">
        <v>1222</v>
      </c>
      <c r="C302" s="1106" t="s">
        <v>96</v>
      </c>
      <c r="D302" s="641" t="s">
        <v>45</v>
      </c>
      <c r="E302" s="209" t="s">
        <v>1320</v>
      </c>
      <c r="F302" s="209"/>
      <c r="G302" s="209"/>
      <c r="H302" s="209"/>
      <c r="I302" s="129"/>
      <c r="J302" s="256" t="str">
        <f>"MWh "&amp;J$8</f>
        <v>MWh alle locaties</v>
      </c>
      <c r="K302" s="126"/>
      <c r="L302" s="126"/>
      <c r="M302" s="256" t="str">
        <f>"MWh "&amp;M$8</f>
        <v>MWh locatie 1</v>
      </c>
      <c r="N302" s="182"/>
      <c r="O302" s="955" t="str">
        <f>$E302&amp;" per woning-/gebouwtype"</f>
        <v>hernieuwbaar primair fossiel energiegebruik per woning-/gebouwtype</v>
      </c>
      <c r="P302" s="945"/>
      <c r="Q302" s="945"/>
      <c r="R302" s="945"/>
      <c r="S302" s="945"/>
      <c r="T302" s="945"/>
      <c r="U302" s="945"/>
      <c r="V302" s="945"/>
      <c r="W302" s="257"/>
      <c r="X302" s="174"/>
      <c r="Y302" s="256" t="str">
        <f>"MWh "&amp;Y$8</f>
        <v>MWh locatie 2</v>
      </c>
      <c r="Z302" s="182"/>
      <c r="AA302" s="955" t="str">
        <f>$E302&amp;" per woning-/gebouwtype"</f>
        <v>hernieuwbaar primair fossiel energiegebruik per woning-/gebouwtype</v>
      </c>
      <c r="AB302" s="945"/>
      <c r="AC302" s="945"/>
      <c r="AD302" s="945"/>
      <c r="AE302" s="945"/>
      <c r="AF302" s="945"/>
      <c r="AG302" s="945"/>
      <c r="AH302" s="945"/>
      <c r="AI302" s="257"/>
      <c r="AJ302" s="174"/>
      <c r="AK302" s="256" t="str">
        <f>"MWh "&amp;AK$8</f>
        <v>MWh locatie 3</v>
      </c>
      <c r="AL302" s="182"/>
      <c r="AM302" s="955" t="str">
        <f>$E302&amp;" per woning-/gebouwtype"</f>
        <v>hernieuwbaar primair fossiel energiegebruik per woning-/gebouwtype</v>
      </c>
      <c r="AN302" s="945"/>
      <c r="AO302" s="945"/>
      <c r="AP302" s="945"/>
      <c r="AQ302" s="945"/>
      <c r="AR302" s="945"/>
      <c r="AS302" s="945"/>
      <c r="AT302" s="945"/>
      <c r="AU302" s="257"/>
      <c r="AV302" s="174"/>
      <c r="AW302" s="256" t="str">
        <f>"MWh "&amp;AW$8</f>
        <v>MWh locatie 4</v>
      </c>
      <c r="AX302" s="182"/>
      <c r="AY302" s="955" t="str">
        <f>$E302&amp;" per woning-/gebouwtype"</f>
        <v>hernieuwbaar primair fossiel energiegebruik per woning-/gebouwtype</v>
      </c>
      <c r="AZ302" s="945"/>
      <c r="BA302" s="945"/>
      <c r="BB302" s="945"/>
      <c r="BC302" s="945"/>
      <c r="BD302" s="945"/>
      <c r="BE302" s="945"/>
      <c r="BF302" s="945"/>
      <c r="BG302" s="257"/>
      <c r="BH302" s="1"/>
    </row>
    <row r="303" spans="1:60">
      <c r="A303" s="1040"/>
      <c r="B303" s="1109" t="s">
        <v>1222</v>
      </c>
      <c r="C303" s="1106" t="s">
        <v>96</v>
      </c>
      <c r="D303" s="638"/>
      <c r="E303" s="942" t="s">
        <v>270</v>
      </c>
      <c r="F303" s="942"/>
      <c r="G303" s="942"/>
      <c r="H303" s="942"/>
      <c r="I303" s="129"/>
      <c r="J303" s="943"/>
      <c r="K303" s="126"/>
      <c r="L303" s="126"/>
      <c r="M303" s="944"/>
      <c r="N303" s="195"/>
      <c r="O303" s="258" t="str">
        <f>O$17</f>
        <v/>
      </c>
      <c r="P303" s="258" t="str">
        <f t="shared" ref="P303:W303" si="325">P$17</f>
        <v/>
      </c>
      <c r="Q303" s="258" t="str">
        <f t="shared" si="325"/>
        <v/>
      </c>
      <c r="R303" s="258" t="str">
        <f t="shared" si="325"/>
        <v/>
      </c>
      <c r="S303" s="258" t="str">
        <f t="shared" si="325"/>
        <v/>
      </c>
      <c r="T303" s="258" t="str">
        <f t="shared" si="325"/>
        <v/>
      </c>
      <c r="U303" s="258" t="str">
        <f t="shared" si="325"/>
        <v/>
      </c>
      <c r="V303" s="258" t="str">
        <f t="shared" si="325"/>
        <v/>
      </c>
      <c r="W303" s="258" t="str">
        <f t="shared" si="325"/>
        <v/>
      </c>
      <c r="X303" s="195"/>
      <c r="Y303" s="944"/>
      <c r="Z303" s="195"/>
      <c r="AA303" s="258" t="str">
        <f>AA$17</f>
        <v/>
      </c>
      <c r="AB303" s="258" t="str">
        <f t="shared" ref="AB303:AI303" si="326">AB$17</f>
        <v/>
      </c>
      <c r="AC303" s="258" t="str">
        <f t="shared" si="326"/>
        <v/>
      </c>
      <c r="AD303" s="258" t="str">
        <f t="shared" si="326"/>
        <v/>
      </c>
      <c r="AE303" s="258" t="str">
        <f t="shared" si="326"/>
        <v/>
      </c>
      <c r="AF303" s="258" t="str">
        <f t="shared" si="326"/>
        <v/>
      </c>
      <c r="AG303" s="258" t="str">
        <f t="shared" si="326"/>
        <v/>
      </c>
      <c r="AH303" s="258" t="str">
        <f t="shared" si="326"/>
        <v/>
      </c>
      <c r="AI303" s="258" t="str">
        <f t="shared" si="326"/>
        <v/>
      </c>
      <c r="AJ303" s="195"/>
      <c r="AK303" s="944"/>
      <c r="AL303" s="195"/>
      <c r="AM303" s="258" t="str">
        <f>AM$17</f>
        <v/>
      </c>
      <c r="AN303" s="258" t="str">
        <f t="shared" ref="AN303:AU303" si="327">AN$17</f>
        <v/>
      </c>
      <c r="AO303" s="258" t="str">
        <f t="shared" si="327"/>
        <v/>
      </c>
      <c r="AP303" s="258" t="str">
        <f t="shared" si="327"/>
        <v/>
      </c>
      <c r="AQ303" s="258" t="str">
        <f t="shared" si="327"/>
        <v/>
      </c>
      <c r="AR303" s="258" t="str">
        <f t="shared" si="327"/>
        <v/>
      </c>
      <c r="AS303" s="258" t="str">
        <f t="shared" si="327"/>
        <v/>
      </c>
      <c r="AT303" s="258" t="str">
        <f t="shared" si="327"/>
        <v/>
      </c>
      <c r="AU303" s="258" t="str">
        <f t="shared" si="327"/>
        <v/>
      </c>
      <c r="AV303" s="195"/>
      <c r="AW303" s="944"/>
      <c r="AX303" s="195"/>
      <c r="AY303" s="258" t="str">
        <f>AY$17</f>
        <v/>
      </c>
      <c r="AZ303" s="258" t="str">
        <f t="shared" ref="AZ303:BG303" si="328">AZ$17</f>
        <v/>
      </c>
      <c r="BA303" s="258" t="str">
        <f t="shared" si="328"/>
        <v/>
      </c>
      <c r="BB303" s="258" t="str">
        <f t="shared" si="328"/>
        <v/>
      </c>
      <c r="BC303" s="258" t="str">
        <f t="shared" si="328"/>
        <v/>
      </c>
      <c r="BD303" s="258" t="str">
        <f t="shared" si="328"/>
        <v/>
      </c>
      <c r="BE303" s="258" t="str">
        <f t="shared" si="328"/>
        <v/>
      </c>
      <c r="BF303" s="258" t="str">
        <f t="shared" si="328"/>
        <v/>
      </c>
      <c r="BG303" s="258" t="str">
        <f t="shared" si="328"/>
        <v/>
      </c>
      <c r="BH303" s="36"/>
    </row>
    <row r="304" spans="1:60">
      <c r="A304" s="1040"/>
      <c r="B304" s="1109" t="s">
        <v>1222</v>
      </c>
      <c r="C304" s="1107" t="s">
        <v>104</v>
      </c>
      <c r="D304" s="641" t="s">
        <v>45</v>
      </c>
      <c r="E304" s="180" t="s">
        <v>1329</v>
      </c>
      <c r="F304" s="180"/>
      <c r="G304" s="180"/>
      <c r="H304" s="201" t="s">
        <v>267</v>
      </c>
      <c r="I304" s="114"/>
      <c r="J304" s="190">
        <f>M304+Y304+AK304+AW304</f>
        <v>0</v>
      </c>
      <c r="K304" s="1092"/>
      <c r="L304" s="1092"/>
      <c r="M304" s="190">
        <f>SUMPRODUCT(N304:X304,N$30:X$30)/1000</f>
        <v>0</v>
      </c>
      <c r="N304" s="119"/>
      <c r="O304" s="227" t="str">
        <f t="shared" ref="O304:W304" si="329">IF(OR(O$17="",O$22=0,O$29=0),"",O$282+O$283+O$284+IF(OR(O$19=woning,O$19=woongebouw),0,O$285)+O$286-O$292+O$296)</f>
        <v/>
      </c>
      <c r="P304" s="183" t="str">
        <f t="shared" si="329"/>
        <v/>
      </c>
      <c r="Q304" s="183" t="str">
        <f t="shared" si="329"/>
        <v/>
      </c>
      <c r="R304" s="183" t="str">
        <f t="shared" si="329"/>
        <v/>
      </c>
      <c r="S304" s="183" t="str">
        <f t="shared" si="329"/>
        <v/>
      </c>
      <c r="T304" s="183" t="str">
        <f t="shared" si="329"/>
        <v/>
      </c>
      <c r="U304" s="183" t="str">
        <f t="shared" si="329"/>
        <v/>
      </c>
      <c r="V304" s="183" t="str">
        <f t="shared" si="329"/>
        <v/>
      </c>
      <c r="W304" s="183" t="str">
        <f t="shared" si="329"/>
        <v/>
      </c>
      <c r="X304" s="108"/>
      <c r="Y304" s="190">
        <f>SUMPRODUCT(Z304:AJ304,Z$30:AJ$30)/1000</f>
        <v>0</v>
      </c>
      <c r="Z304" s="119"/>
      <c r="AA304" s="183" t="str">
        <f t="shared" ref="AA304:AI304" si="330">IF(OR(AA$17="",AA$22=0,AA$29=0),"",AA$282+AA$283+AA$284+IF(OR(AA$19=woning,AA$19=woongebouw),0,AA$285)+AA$286-AA$292+AA$296)</f>
        <v/>
      </c>
      <c r="AB304" s="183" t="str">
        <f t="shared" si="330"/>
        <v/>
      </c>
      <c r="AC304" s="183" t="str">
        <f t="shared" si="330"/>
        <v/>
      </c>
      <c r="AD304" s="183" t="str">
        <f t="shared" si="330"/>
        <v/>
      </c>
      <c r="AE304" s="183" t="str">
        <f t="shared" si="330"/>
        <v/>
      </c>
      <c r="AF304" s="183" t="str">
        <f t="shared" si="330"/>
        <v/>
      </c>
      <c r="AG304" s="183" t="str">
        <f t="shared" si="330"/>
        <v/>
      </c>
      <c r="AH304" s="183" t="str">
        <f t="shared" si="330"/>
        <v/>
      </c>
      <c r="AI304" s="183" t="str">
        <f t="shared" si="330"/>
        <v/>
      </c>
      <c r="AJ304" s="108"/>
      <c r="AK304" s="190">
        <f>SUMPRODUCT(AL304:AV304,AL$30:AV$30)/1000</f>
        <v>0</v>
      </c>
      <c r="AL304" s="119"/>
      <c r="AM304" s="183" t="str">
        <f t="shared" ref="AM304:AU304" si="331">IF(OR(AM$17="",AM$22=0,AM$29=0),"",AM$282+AM$283+AM$284+IF(OR(AM$19=woning,AM$19=woongebouw),0,AM$285)+AM$286-AM$292+AM$296)</f>
        <v/>
      </c>
      <c r="AN304" s="183" t="str">
        <f t="shared" si="331"/>
        <v/>
      </c>
      <c r="AO304" s="183" t="str">
        <f t="shared" si="331"/>
        <v/>
      </c>
      <c r="AP304" s="183" t="str">
        <f t="shared" si="331"/>
        <v/>
      </c>
      <c r="AQ304" s="183" t="str">
        <f t="shared" si="331"/>
        <v/>
      </c>
      <c r="AR304" s="183" t="str">
        <f t="shared" si="331"/>
        <v/>
      </c>
      <c r="AS304" s="183" t="str">
        <f t="shared" si="331"/>
        <v/>
      </c>
      <c r="AT304" s="183" t="str">
        <f t="shared" si="331"/>
        <v/>
      </c>
      <c r="AU304" s="183" t="str">
        <f t="shared" si="331"/>
        <v/>
      </c>
      <c r="AV304" s="108"/>
      <c r="AW304" s="190">
        <f>SUMPRODUCT(AX304:BH304,AX$30:BH$30)/1000</f>
        <v>0</v>
      </c>
      <c r="AX304" s="119"/>
      <c r="AY304" s="183" t="str">
        <f t="shared" ref="AY304:BG304" si="332">IF(OR(AY$17="",AY$22=0,AY$29=0),"",AY$282+AY$283+AY$284+IF(OR(AY$19=woning,AY$19=woongebouw),0,AY$285)+AY$286-AY$292+AY$296)</f>
        <v/>
      </c>
      <c r="AZ304" s="183" t="str">
        <f t="shared" si="332"/>
        <v/>
      </c>
      <c r="BA304" s="183" t="str">
        <f t="shared" si="332"/>
        <v/>
      </c>
      <c r="BB304" s="183" t="str">
        <f t="shared" si="332"/>
        <v/>
      </c>
      <c r="BC304" s="183" t="str">
        <f t="shared" si="332"/>
        <v/>
      </c>
      <c r="BD304" s="183" t="str">
        <f t="shared" si="332"/>
        <v/>
      </c>
      <c r="BE304" s="183" t="str">
        <f t="shared" si="332"/>
        <v/>
      </c>
      <c r="BF304" s="183" t="str">
        <f t="shared" si="332"/>
        <v/>
      </c>
      <c r="BG304" s="183" t="str">
        <f t="shared" si="332"/>
        <v/>
      </c>
      <c r="BH304" s="210"/>
    </row>
    <row r="305" spans="1:60">
      <c r="A305" s="1040"/>
      <c r="B305" s="1109" t="s">
        <v>1222</v>
      </c>
      <c r="C305" s="1106" t="s">
        <v>96</v>
      </c>
      <c r="D305" s="638"/>
      <c r="E305" s="942" t="s">
        <v>271</v>
      </c>
      <c r="F305" s="942"/>
      <c r="G305" s="942"/>
      <c r="H305" s="942"/>
      <c r="I305" s="129"/>
      <c r="J305" s="943"/>
      <c r="K305" s="126"/>
      <c r="L305" s="126"/>
      <c r="M305" s="944"/>
      <c r="N305" s="195"/>
      <c r="O305" s="258" t="str">
        <f>O$17</f>
        <v/>
      </c>
      <c r="P305" s="258" t="str">
        <f t="shared" ref="P305:W305" si="333">P$17</f>
        <v/>
      </c>
      <c r="Q305" s="258" t="str">
        <f t="shared" si="333"/>
        <v/>
      </c>
      <c r="R305" s="258" t="str">
        <f t="shared" si="333"/>
        <v/>
      </c>
      <c r="S305" s="258" t="str">
        <f t="shared" si="333"/>
        <v/>
      </c>
      <c r="T305" s="258" t="str">
        <f t="shared" si="333"/>
        <v/>
      </c>
      <c r="U305" s="258" t="str">
        <f t="shared" si="333"/>
        <v/>
      </c>
      <c r="V305" s="258" t="str">
        <f t="shared" si="333"/>
        <v/>
      </c>
      <c r="W305" s="258" t="str">
        <f t="shared" si="333"/>
        <v/>
      </c>
      <c r="X305" s="195"/>
      <c r="Y305" s="944"/>
      <c r="Z305" s="195"/>
      <c r="AA305" s="258" t="str">
        <f>AA$17</f>
        <v/>
      </c>
      <c r="AB305" s="258" t="str">
        <f t="shared" ref="AB305:AI305" si="334">AB$17</f>
        <v/>
      </c>
      <c r="AC305" s="258" t="str">
        <f t="shared" si="334"/>
        <v/>
      </c>
      <c r="AD305" s="258" t="str">
        <f t="shared" si="334"/>
        <v/>
      </c>
      <c r="AE305" s="258" t="str">
        <f t="shared" si="334"/>
        <v/>
      </c>
      <c r="AF305" s="258" t="str">
        <f t="shared" si="334"/>
        <v/>
      </c>
      <c r="AG305" s="258" t="str">
        <f t="shared" si="334"/>
        <v/>
      </c>
      <c r="AH305" s="258" t="str">
        <f t="shared" si="334"/>
        <v/>
      </c>
      <c r="AI305" s="258" t="str">
        <f t="shared" si="334"/>
        <v/>
      </c>
      <c r="AJ305" s="195"/>
      <c r="AK305" s="944"/>
      <c r="AL305" s="195"/>
      <c r="AM305" s="258" t="str">
        <f>AM$17</f>
        <v/>
      </c>
      <c r="AN305" s="258" t="str">
        <f t="shared" ref="AN305:AU305" si="335">AN$17</f>
        <v/>
      </c>
      <c r="AO305" s="258" t="str">
        <f t="shared" si="335"/>
        <v/>
      </c>
      <c r="AP305" s="258" t="str">
        <f t="shared" si="335"/>
        <v/>
      </c>
      <c r="AQ305" s="258" t="str">
        <f t="shared" si="335"/>
        <v/>
      </c>
      <c r="AR305" s="258" t="str">
        <f t="shared" si="335"/>
        <v/>
      </c>
      <c r="AS305" s="258" t="str">
        <f t="shared" si="335"/>
        <v/>
      </c>
      <c r="AT305" s="258" t="str">
        <f t="shared" si="335"/>
        <v/>
      </c>
      <c r="AU305" s="258" t="str">
        <f t="shared" si="335"/>
        <v/>
      </c>
      <c r="AV305" s="195"/>
      <c r="AW305" s="944"/>
      <c r="AX305" s="195"/>
      <c r="AY305" s="258" t="str">
        <f>AY$17</f>
        <v/>
      </c>
      <c r="AZ305" s="258" t="str">
        <f t="shared" ref="AZ305:BG305" si="336">AZ$17</f>
        <v/>
      </c>
      <c r="BA305" s="258" t="str">
        <f t="shared" si="336"/>
        <v/>
      </c>
      <c r="BB305" s="258" t="str">
        <f t="shared" si="336"/>
        <v/>
      </c>
      <c r="BC305" s="258" t="str">
        <f t="shared" si="336"/>
        <v/>
      </c>
      <c r="BD305" s="258" t="str">
        <f t="shared" si="336"/>
        <v/>
      </c>
      <c r="BE305" s="258" t="str">
        <f t="shared" si="336"/>
        <v/>
      </c>
      <c r="BF305" s="258" t="str">
        <f t="shared" si="336"/>
        <v/>
      </c>
      <c r="BG305" s="258" t="str">
        <f t="shared" si="336"/>
        <v/>
      </c>
      <c r="BH305" s="36"/>
    </row>
    <row r="306" spans="1:60">
      <c r="A306" s="1040"/>
      <c r="B306" s="1109" t="s">
        <v>1222</v>
      </c>
      <c r="C306" s="1107" t="s">
        <v>104</v>
      </c>
      <c r="D306" s="641" t="s">
        <v>45</v>
      </c>
      <c r="E306" s="180" t="s">
        <v>1328</v>
      </c>
      <c r="F306" s="180"/>
      <c r="G306" s="180"/>
      <c r="H306" s="201" t="s">
        <v>267</v>
      </c>
      <c r="I306" s="114"/>
      <c r="J306" s="190">
        <f t="shared" ref="J306:J311" si="337">M306+Y306+AK306+AW306</f>
        <v>0</v>
      </c>
      <c r="K306" s="1092"/>
      <c r="L306" s="1092"/>
      <c r="M306" s="190">
        <f t="shared" ref="M306:M311" si="338">SUMPRODUCT(N306:X306,N$30:X$30)/1000</f>
        <v>0</v>
      </c>
      <c r="N306" s="119"/>
      <c r="O306" s="183" t="str">
        <f t="shared" ref="O306:W306" si="339">IF(OR(O$17="",O$22=0,O$29=0),"",
(O$275*$O251+O$276*$P251+O$277*$Q251)*1000/(O$22*O$29))</f>
        <v/>
      </c>
      <c r="P306" s="183" t="str">
        <f t="shared" si="339"/>
        <v/>
      </c>
      <c r="Q306" s="183" t="str">
        <f t="shared" si="339"/>
        <v/>
      </c>
      <c r="R306" s="183" t="str">
        <f t="shared" si="339"/>
        <v/>
      </c>
      <c r="S306" s="183" t="str">
        <f t="shared" si="339"/>
        <v/>
      </c>
      <c r="T306" s="183" t="str">
        <f t="shared" si="339"/>
        <v/>
      </c>
      <c r="U306" s="183" t="str">
        <f t="shared" si="339"/>
        <v/>
      </c>
      <c r="V306" s="183" t="str">
        <f t="shared" si="339"/>
        <v/>
      </c>
      <c r="W306" s="183" t="str">
        <f t="shared" si="339"/>
        <v/>
      </c>
      <c r="X306" s="108"/>
      <c r="Y306" s="190">
        <f t="shared" ref="Y306:Y311" si="340">SUMPRODUCT(Z306:AJ306,Z$30:AJ$30)/1000</f>
        <v>0</v>
      </c>
      <c r="Z306" s="119"/>
      <c r="AA306" s="183" t="str">
        <f t="shared" ref="AA306:AI306" si="341">IF(OR(AA$17="",AA$22=0,AA$29=0),"",
(AA$275*$AA251+AA$276*$AB251+AA$277*$AC251)*1000/(AA$22*AA$29))</f>
        <v/>
      </c>
      <c r="AB306" s="183" t="str">
        <f t="shared" si="341"/>
        <v/>
      </c>
      <c r="AC306" s="183" t="str">
        <f t="shared" si="341"/>
        <v/>
      </c>
      <c r="AD306" s="183" t="str">
        <f t="shared" si="341"/>
        <v/>
      </c>
      <c r="AE306" s="183" t="str">
        <f t="shared" si="341"/>
        <v/>
      </c>
      <c r="AF306" s="183" t="str">
        <f t="shared" si="341"/>
        <v/>
      </c>
      <c r="AG306" s="183" t="str">
        <f t="shared" si="341"/>
        <v/>
      </c>
      <c r="AH306" s="183" t="str">
        <f t="shared" si="341"/>
        <v/>
      </c>
      <c r="AI306" s="183" t="str">
        <f t="shared" si="341"/>
        <v/>
      </c>
      <c r="AJ306" s="108"/>
      <c r="AK306" s="190">
        <f t="shared" ref="AK306:AK311" si="342">SUMPRODUCT(AL306:AV306,AL$30:AV$30)/1000</f>
        <v>0</v>
      </c>
      <c r="AL306" s="119"/>
      <c r="AM306" s="183" t="str">
        <f t="shared" ref="AM306:AU306" si="343">IF(OR(AM$17="",AM$22=0,AM$29=0),"",
(AM$275*$AM251+AM$276*$AN251+AM$277*$AO251)*1000/(AM$22*AM$29))</f>
        <v/>
      </c>
      <c r="AN306" s="183" t="str">
        <f t="shared" si="343"/>
        <v/>
      </c>
      <c r="AO306" s="183" t="str">
        <f t="shared" si="343"/>
        <v/>
      </c>
      <c r="AP306" s="183" t="str">
        <f t="shared" si="343"/>
        <v/>
      </c>
      <c r="AQ306" s="183" t="str">
        <f t="shared" si="343"/>
        <v/>
      </c>
      <c r="AR306" s="183" t="str">
        <f t="shared" si="343"/>
        <v/>
      </c>
      <c r="AS306" s="183" t="str">
        <f t="shared" si="343"/>
        <v/>
      </c>
      <c r="AT306" s="183" t="str">
        <f t="shared" si="343"/>
        <v/>
      </c>
      <c r="AU306" s="183" t="str">
        <f t="shared" si="343"/>
        <v/>
      </c>
      <c r="AV306" s="108"/>
      <c r="AW306" s="190">
        <f t="shared" ref="AW306:AW311" si="344">SUMPRODUCT(AX306:BH306,AX$30:BH$30)/1000</f>
        <v>0</v>
      </c>
      <c r="AX306" s="119"/>
      <c r="AY306" s="183" t="str">
        <f t="shared" ref="AY306:BG306" si="345">IF(OR(AY$17="",AY$22=0,AY$29=0),"",
(AY$275*$AY251+AY$276*$AZ251+AY$277*$BA251)*1000/(AY$22*AY$29))</f>
        <v/>
      </c>
      <c r="AZ306" s="183" t="str">
        <f t="shared" si="345"/>
        <v/>
      </c>
      <c r="BA306" s="183" t="str">
        <f t="shared" si="345"/>
        <v/>
      </c>
      <c r="BB306" s="183" t="str">
        <f t="shared" si="345"/>
        <v/>
      </c>
      <c r="BC306" s="183" t="str">
        <f t="shared" si="345"/>
        <v/>
      </c>
      <c r="BD306" s="183" t="str">
        <f t="shared" si="345"/>
        <v/>
      </c>
      <c r="BE306" s="183" t="str">
        <f t="shared" si="345"/>
        <v/>
      </c>
      <c r="BF306" s="183" t="str">
        <f t="shared" si="345"/>
        <v/>
      </c>
      <c r="BG306" s="183" t="str">
        <f t="shared" si="345"/>
        <v/>
      </c>
      <c r="BH306" s="210"/>
    </row>
    <row r="307" spans="1:60">
      <c r="A307" s="1040"/>
      <c r="B307" s="1109" t="s">
        <v>1222</v>
      </c>
      <c r="C307" s="1107" t="s">
        <v>104</v>
      </c>
      <c r="D307" s="641" t="s">
        <v>45</v>
      </c>
      <c r="E307" s="180" t="s">
        <v>1327</v>
      </c>
      <c r="F307" s="180"/>
      <c r="G307" s="180"/>
      <c r="H307" s="201" t="s">
        <v>267</v>
      </c>
      <c r="I307" s="114"/>
      <c r="J307" s="190">
        <f t="shared" si="337"/>
        <v>0</v>
      </c>
      <c r="K307" s="1092"/>
      <c r="L307" s="1092"/>
      <c r="M307" s="190">
        <f t="shared" si="338"/>
        <v>0</v>
      </c>
      <c r="N307" s="119"/>
      <c r="O307" s="183" t="str">
        <f t="shared" ref="O307:W307" si="346">IF(OR(O$17="",O$22=0,O$29=0),"",
(O$276*$P252)*1000/(O$22*O$29))</f>
        <v/>
      </c>
      <c r="P307" s="183" t="str">
        <f t="shared" si="346"/>
        <v/>
      </c>
      <c r="Q307" s="183" t="str">
        <f t="shared" si="346"/>
        <v/>
      </c>
      <c r="R307" s="183" t="str">
        <f t="shared" si="346"/>
        <v/>
      </c>
      <c r="S307" s="183" t="str">
        <f t="shared" si="346"/>
        <v/>
      </c>
      <c r="T307" s="183" t="str">
        <f t="shared" si="346"/>
        <v/>
      </c>
      <c r="U307" s="183" t="str">
        <f t="shared" si="346"/>
        <v/>
      </c>
      <c r="V307" s="183" t="str">
        <f t="shared" si="346"/>
        <v/>
      </c>
      <c r="W307" s="183" t="str">
        <f t="shared" si="346"/>
        <v/>
      </c>
      <c r="X307" s="108"/>
      <c r="Y307" s="190">
        <f t="shared" si="340"/>
        <v>0</v>
      </c>
      <c r="Z307" s="119"/>
      <c r="AA307" s="183" t="str">
        <f t="shared" ref="AA307:AI307" si="347">IF(OR(AA$17="",AA$22=0,AA$29=0),"",
(AA$276*$AB252)*1000/(AA$22*AA$29))</f>
        <v/>
      </c>
      <c r="AB307" s="183" t="str">
        <f t="shared" si="347"/>
        <v/>
      </c>
      <c r="AC307" s="183" t="str">
        <f t="shared" si="347"/>
        <v/>
      </c>
      <c r="AD307" s="183" t="str">
        <f t="shared" si="347"/>
        <v/>
      </c>
      <c r="AE307" s="183" t="str">
        <f t="shared" si="347"/>
        <v/>
      </c>
      <c r="AF307" s="183" t="str">
        <f t="shared" si="347"/>
        <v/>
      </c>
      <c r="AG307" s="183" t="str">
        <f t="shared" si="347"/>
        <v/>
      </c>
      <c r="AH307" s="183" t="str">
        <f t="shared" si="347"/>
        <v/>
      </c>
      <c r="AI307" s="183" t="str">
        <f t="shared" si="347"/>
        <v/>
      </c>
      <c r="AJ307" s="108"/>
      <c r="AK307" s="190">
        <f t="shared" si="342"/>
        <v>0</v>
      </c>
      <c r="AL307" s="119"/>
      <c r="AM307" s="183" t="str">
        <f t="shared" ref="AM307:AU307" si="348">IF(OR(AM$17="",AM$22=0,AM$29=0),"",
(AM$276*$AN252)*1000/(AM$22*AM$29))</f>
        <v/>
      </c>
      <c r="AN307" s="183" t="str">
        <f t="shared" si="348"/>
        <v/>
      </c>
      <c r="AO307" s="183" t="str">
        <f t="shared" si="348"/>
        <v/>
      </c>
      <c r="AP307" s="183" t="str">
        <f t="shared" si="348"/>
        <v/>
      </c>
      <c r="AQ307" s="183" t="str">
        <f t="shared" si="348"/>
        <v/>
      </c>
      <c r="AR307" s="183" t="str">
        <f t="shared" si="348"/>
        <v/>
      </c>
      <c r="AS307" s="183" t="str">
        <f t="shared" si="348"/>
        <v/>
      </c>
      <c r="AT307" s="183" t="str">
        <f t="shared" si="348"/>
        <v/>
      </c>
      <c r="AU307" s="183" t="str">
        <f t="shared" si="348"/>
        <v/>
      </c>
      <c r="AV307" s="108"/>
      <c r="AW307" s="190">
        <f t="shared" si="344"/>
        <v>0</v>
      </c>
      <c r="AX307" s="119"/>
      <c r="AY307" s="183" t="str">
        <f t="shared" ref="AY307:BG307" si="349">IF(OR(AY$17="",AY$22=0,AY$29=0),"",
(AY$276*$AZ252)*1000/(AY$22*AY$29))</f>
        <v/>
      </c>
      <c r="AZ307" s="183" t="str">
        <f t="shared" si="349"/>
        <v/>
      </c>
      <c r="BA307" s="183" t="str">
        <f t="shared" si="349"/>
        <v/>
      </c>
      <c r="BB307" s="183" t="str">
        <f t="shared" si="349"/>
        <v/>
      </c>
      <c r="BC307" s="183" t="str">
        <f t="shared" si="349"/>
        <v/>
      </c>
      <c r="BD307" s="183" t="str">
        <f t="shared" si="349"/>
        <v/>
      </c>
      <c r="BE307" s="183" t="str">
        <f t="shared" si="349"/>
        <v/>
      </c>
      <c r="BF307" s="183" t="str">
        <f t="shared" si="349"/>
        <v/>
      </c>
      <c r="BG307" s="183" t="str">
        <f t="shared" si="349"/>
        <v/>
      </c>
      <c r="BH307" s="210"/>
    </row>
    <row r="308" spans="1:60">
      <c r="A308" s="1040"/>
      <c r="B308" s="1109" t="s">
        <v>1222</v>
      </c>
      <c r="C308" s="1107" t="s">
        <v>104</v>
      </c>
      <c r="D308" s="641" t="s">
        <v>45</v>
      </c>
      <c r="E308" s="180" t="s">
        <v>1326</v>
      </c>
      <c r="F308" s="180"/>
      <c r="G308" s="180"/>
      <c r="H308" s="201" t="s">
        <v>267</v>
      </c>
      <c r="I308" s="114"/>
      <c r="J308" s="190">
        <f t="shared" si="337"/>
        <v>0</v>
      </c>
      <c r="K308" s="1092"/>
      <c r="L308" s="1092"/>
      <c r="M308" s="190">
        <f t="shared" si="338"/>
        <v>0</v>
      </c>
      <c r="N308" s="119"/>
      <c r="O308" s="183" t="str">
        <f t="shared" ref="O308:W308" si="350">IF(OR(O$17="",O$22=0,O$29=0),"",
(O$275*$O253+O$277*$Q253)*1000/(O$22*O$29))</f>
        <v/>
      </c>
      <c r="P308" s="183" t="str">
        <f t="shared" si="350"/>
        <v/>
      </c>
      <c r="Q308" s="183" t="str">
        <f t="shared" si="350"/>
        <v/>
      </c>
      <c r="R308" s="183" t="str">
        <f t="shared" si="350"/>
        <v/>
      </c>
      <c r="S308" s="183" t="str">
        <f t="shared" si="350"/>
        <v/>
      </c>
      <c r="T308" s="183" t="str">
        <f t="shared" si="350"/>
        <v/>
      </c>
      <c r="U308" s="183" t="str">
        <f t="shared" si="350"/>
        <v/>
      </c>
      <c r="V308" s="183" t="str">
        <f t="shared" si="350"/>
        <v/>
      </c>
      <c r="W308" s="183" t="str">
        <f t="shared" si="350"/>
        <v/>
      </c>
      <c r="X308" s="108"/>
      <c r="Y308" s="190">
        <f t="shared" si="340"/>
        <v>0</v>
      </c>
      <c r="Z308" s="119"/>
      <c r="AA308" s="183" t="str">
        <f t="shared" ref="AA308:AI308" si="351">IF(OR(AA$17="",AA$22=0,AA$29=0),"",
(AA$275*$AA253+AA$277*$AC253)*1000/(AA$22*AA$29))</f>
        <v/>
      </c>
      <c r="AB308" s="183" t="str">
        <f t="shared" si="351"/>
        <v/>
      </c>
      <c r="AC308" s="183" t="str">
        <f t="shared" si="351"/>
        <v/>
      </c>
      <c r="AD308" s="183" t="str">
        <f t="shared" si="351"/>
        <v/>
      </c>
      <c r="AE308" s="183" t="str">
        <f t="shared" si="351"/>
        <v/>
      </c>
      <c r="AF308" s="183" t="str">
        <f t="shared" si="351"/>
        <v/>
      </c>
      <c r="AG308" s="183" t="str">
        <f t="shared" si="351"/>
        <v/>
      </c>
      <c r="AH308" s="183" t="str">
        <f t="shared" si="351"/>
        <v/>
      </c>
      <c r="AI308" s="183" t="str">
        <f t="shared" si="351"/>
        <v/>
      </c>
      <c r="AJ308" s="108"/>
      <c r="AK308" s="190">
        <f t="shared" si="342"/>
        <v>0</v>
      </c>
      <c r="AL308" s="119"/>
      <c r="AM308" s="183" t="str">
        <f t="shared" ref="AM308:AU308" si="352">IF(OR(AM$17="",AM$22=0,AM$29=0),"",
(AM$275*$AM253+AM$277*$AO253)*1000/(AM$22*AM$29))</f>
        <v/>
      </c>
      <c r="AN308" s="183" t="str">
        <f t="shared" si="352"/>
        <v/>
      </c>
      <c r="AO308" s="183" t="str">
        <f t="shared" si="352"/>
        <v/>
      </c>
      <c r="AP308" s="183" t="str">
        <f t="shared" si="352"/>
        <v/>
      </c>
      <c r="AQ308" s="183" t="str">
        <f t="shared" si="352"/>
        <v/>
      </c>
      <c r="AR308" s="183" t="str">
        <f t="shared" si="352"/>
        <v/>
      </c>
      <c r="AS308" s="183" t="str">
        <f t="shared" si="352"/>
        <v/>
      </c>
      <c r="AT308" s="183" t="str">
        <f t="shared" si="352"/>
        <v/>
      </c>
      <c r="AU308" s="183" t="str">
        <f t="shared" si="352"/>
        <v/>
      </c>
      <c r="AV308" s="108"/>
      <c r="AW308" s="190">
        <f t="shared" si="344"/>
        <v>0</v>
      </c>
      <c r="AX308" s="119"/>
      <c r="AY308" s="183" t="str">
        <f t="shared" ref="AY308:BG308" si="353">IF(OR(AY$17="",AY$22=0,AY$29=0),"",
(AY$275*$AY253+AY$277*$BA253)*1000/(AY$22*AY$29))</f>
        <v/>
      </c>
      <c r="AZ308" s="183" t="str">
        <f t="shared" si="353"/>
        <v/>
      </c>
      <c r="BA308" s="183" t="str">
        <f t="shared" si="353"/>
        <v/>
      </c>
      <c r="BB308" s="183" t="str">
        <f t="shared" si="353"/>
        <v/>
      </c>
      <c r="BC308" s="183" t="str">
        <f t="shared" si="353"/>
        <v/>
      </c>
      <c r="BD308" s="183" t="str">
        <f t="shared" si="353"/>
        <v/>
      </c>
      <c r="BE308" s="183" t="str">
        <f t="shared" si="353"/>
        <v/>
      </c>
      <c r="BF308" s="183" t="str">
        <f t="shared" si="353"/>
        <v/>
      </c>
      <c r="BG308" s="183" t="str">
        <f t="shared" si="353"/>
        <v/>
      </c>
      <c r="BH308" s="210"/>
    </row>
    <row r="309" spans="1:60">
      <c r="A309" s="1040"/>
      <c r="B309" s="1109" t="s">
        <v>1222</v>
      </c>
      <c r="C309" s="1107" t="s">
        <v>104</v>
      </c>
      <c r="D309" s="641" t="s">
        <v>45</v>
      </c>
      <c r="E309" s="180" t="s">
        <v>1325</v>
      </c>
      <c r="F309" s="180"/>
      <c r="G309" s="180"/>
      <c r="H309" s="201" t="s">
        <v>267</v>
      </c>
      <c r="I309" s="114"/>
      <c r="J309" s="190">
        <f t="shared" si="337"/>
        <v>0</v>
      </c>
      <c r="K309" s="1092"/>
      <c r="L309" s="1092"/>
      <c r="M309" s="190">
        <f t="shared" si="338"/>
        <v>0</v>
      </c>
      <c r="N309" s="119"/>
      <c r="O309" s="183" t="str">
        <f t="shared" ref="O309:W309" si="354">IF(OR(O$17="",O$22=0,O$29=0),"",
(O$275*$O254+O$276*$P254+O$277*$Q254)*1000/(O$22*O$29))</f>
        <v/>
      </c>
      <c r="P309" s="183" t="str">
        <f t="shared" si="354"/>
        <v/>
      </c>
      <c r="Q309" s="183" t="str">
        <f t="shared" si="354"/>
        <v/>
      </c>
      <c r="R309" s="183" t="str">
        <f t="shared" si="354"/>
        <v/>
      </c>
      <c r="S309" s="183" t="str">
        <f t="shared" si="354"/>
        <v/>
      </c>
      <c r="T309" s="183" t="str">
        <f t="shared" si="354"/>
        <v/>
      </c>
      <c r="U309" s="183" t="str">
        <f t="shared" si="354"/>
        <v/>
      </c>
      <c r="V309" s="183" t="str">
        <f t="shared" si="354"/>
        <v/>
      </c>
      <c r="W309" s="183" t="str">
        <f t="shared" si="354"/>
        <v/>
      </c>
      <c r="X309" s="108"/>
      <c r="Y309" s="190">
        <f t="shared" si="340"/>
        <v>0</v>
      </c>
      <c r="Z309" s="119"/>
      <c r="AA309" s="183" t="str">
        <f t="shared" ref="AA309:AI309" si="355">IF(OR(AA$17="",AA$22=0,AA$29=0),"",
(AA$275*$AA254+AA$276*$AB254+AA$277*$AC254)*1000/(AA$22*AA$29))</f>
        <v/>
      </c>
      <c r="AB309" s="183" t="str">
        <f t="shared" si="355"/>
        <v/>
      </c>
      <c r="AC309" s="183" t="str">
        <f t="shared" si="355"/>
        <v/>
      </c>
      <c r="AD309" s="183" t="str">
        <f t="shared" si="355"/>
        <v/>
      </c>
      <c r="AE309" s="183" t="str">
        <f t="shared" si="355"/>
        <v/>
      </c>
      <c r="AF309" s="183" t="str">
        <f t="shared" si="355"/>
        <v/>
      </c>
      <c r="AG309" s="183" t="str">
        <f t="shared" si="355"/>
        <v/>
      </c>
      <c r="AH309" s="183" t="str">
        <f t="shared" si="355"/>
        <v/>
      </c>
      <c r="AI309" s="183" t="str">
        <f t="shared" si="355"/>
        <v/>
      </c>
      <c r="AJ309" s="108"/>
      <c r="AK309" s="190">
        <f t="shared" si="342"/>
        <v>0</v>
      </c>
      <c r="AL309" s="119"/>
      <c r="AM309" s="183" t="str">
        <f t="shared" ref="AM309:AU309" si="356">IF(OR(AM$17="",AM$22=0,AM$29=0),"",
(AM$275*$AM254+AM$276*$AN254+AM$277*$AO254)*1000/(AM$22*AM$29))</f>
        <v/>
      </c>
      <c r="AN309" s="183" t="str">
        <f t="shared" si="356"/>
        <v/>
      </c>
      <c r="AO309" s="183" t="str">
        <f t="shared" si="356"/>
        <v/>
      </c>
      <c r="AP309" s="183" t="str">
        <f t="shared" si="356"/>
        <v/>
      </c>
      <c r="AQ309" s="183" t="str">
        <f t="shared" si="356"/>
        <v/>
      </c>
      <c r="AR309" s="183" t="str">
        <f t="shared" si="356"/>
        <v/>
      </c>
      <c r="AS309" s="183" t="str">
        <f t="shared" si="356"/>
        <v/>
      </c>
      <c r="AT309" s="183" t="str">
        <f t="shared" si="356"/>
        <v/>
      </c>
      <c r="AU309" s="183" t="str">
        <f t="shared" si="356"/>
        <v/>
      </c>
      <c r="AV309" s="108"/>
      <c r="AW309" s="190">
        <f t="shared" si="344"/>
        <v>0</v>
      </c>
      <c r="AX309" s="119"/>
      <c r="AY309" s="183" t="str">
        <f t="shared" ref="AY309:BG309" si="357">IF(OR(AY$17="",AY$22=0,AY$29=0),"",
(AY$275*$AY254+AY$276*$AZ254+AY$277*$BA254)*1000/(AY$22*AY$29))</f>
        <v/>
      </c>
      <c r="AZ309" s="183" t="str">
        <f t="shared" si="357"/>
        <v/>
      </c>
      <c r="BA309" s="183" t="str">
        <f t="shared" si="357"/>
        <v/>
      </c>
      <c r="BB309" s="183" t="str">
        <f t="shared" si="357"/>
        <v/>
      </c>
      <c r="BC309" s="183" t="str">
        <f t="shared" si="357"/>
        <v/>
      </c>
      <c r="BD309" s="183" t="str">
        <f t="shared" si="357"/>
        <v/>
      </c>
      <c r="BE309" s="183" t="str">
        <f t="shared" si="357"/>
        <v/>
      </c>
      <c r="BF309" s="183" t="str">
        <f t="shared" si="357"/>
        <v/>
      </c>
      <c r="BG309" s="183" t="str">
        <f t="shared" si="357"/>
        <v/>
      </c>
      <c r="BH309" s="210"/>
    </row>
    <row r="310" spans="1:60">
      <c r="A310" s="1040"/>
      <c r="B310" s="1109" t="s">
        <v>1222</v>
      </c>
      <c r="C310" s="1107" t="s">
        <v>104</v>
      </c>
      <c r="D310" s="641" t="s">
        <v>45</v>
      </c>
      <c r="E310" s="180" t="s">
        <v>1324</v>
      </c>
      <c r="F310" s="180"/>
      <c r="G310" s="180"/>
      <c r="H310" s="201" t="s">
        <v>267</v>
      </c>
      <c r="I310" s="114"/>
      <c r="J310" s="190">
        <f t="shared" si="337"/>
        <v>0</v>
      </c>
      <c r="K310" s="1092"/>
      <c r="L310" s="1092"/>
      <c r="M310" s="190">
        <f t="shared" si="338"/>
        <v>0</v>
      </c>
      <c r="N310" s="119"/>
      <c r="O310" s="183" t="str">
        <f t="shared" ref="O310:W310" si="358">IF(OR(O$17="",O$22=0,O$29=0),"",
(O$276*$P255)*1000/(O$22*O$29))</f>
        <v/>
      </c>
      <c r="P310" s="183" t="str">
        <f t="shared" si="358"/>
        <v/>
      </c>
      <c r="Q310" s="183" t="str">
        <f t="shared" si="358"/>
        <v/>
      </c>
      <c r="R310" s="183" t="str">
        <f t="shared" si="358"/>
        <v/>
      </c>
      <c r="S310" s="183" t="str">
        <f t="shared" si="358"/>
        <v/>
      </c>
      <c r="T310" s="183" t="str">
        <f t="shared" si="358"/>
        <v/>
      </c>
      <c r="U310" s="183" t="str">
        <f t="shared" si="358"/>
        <v/>
      </c>
      <c r="V310" s="183" t="str">
        <f t="shared" si="358"/>
        <v/>
      </c>
      <c r="W310" s="183" t="str">
        <f t="shared" si="358"/>
        <v/>
      </c>
      <c r="X310" s="108"/>
      <c r="Y310" s="190">
        <f t="shared" si="340"/>
        <v>0</v>
      </c>
      <c r="Z310" s="119"/>
      <c r="AA310" s="183" t="str">
        <f t="shared" ref="AA310:AI310" si="359">IF(OR(AA$17="",AA$22=0,AA$29=0),"",
(AA$276*$AB255)*1000/(AA$22*AA$29))</f>
        <v/>
      </c>
      <c r="AB310" s="183" t="str">
        <f t="shared" si="359"/>
        <v/>
      </c>
      <c r="AC310" s="183" t="str">
        <f t="shared" si="359"/>
        <v/>
      </c>
      <c r="AD310" s="183" t="str">
        <f t="shared" si="359"/>
        <v/>
      </c>
      <c r="AE310" s="183" t="str">
        <f t="shared" si="359"/>
        <v/>
      </c>
      <c r="AF310" s="183" t="str">
        <f t="shared" si="359"/>
        <v/>
      </c>
      <c r="AG310" s="183" t="str">
        <f t="shared" si="359"/>
        <v/>
      </c>
      <c r="AH310" s="183" t="str">
        <f t="shared" si="359"/>
        <v/>
      </c>
      <c r="AI310" s="183" t="str">
        <f t="shared" si="359"/>
        <v/>
      </c>
      <c r="AJ310" s="108"/>
      <c r="AK310" s="190">
        <f t="shared" si="342"/>
        <v>0</v>
      </c>
      <c r="AL310" s="119"/>
      <c r="AM310" s="183" t="str">
        <f t="shared" ref="AM310:AU310" si="360">IF(OR(AM$17="",AM$22=0,AM$29=0),"",
(AM$276*$AN255)*1000/(AM$22*AM$29))</f>
        <v/>
      </c>
      <c r="AN310" s="183" t="str">
        <f t="shared" si="360"/>
        <v/>
      </c>
      <c r="AO310" s="183" t="str">
        <f t="shared" si="360"/>
        <v/>
      </c>
      <c r="AP310" s="183" t="str">
        <f t="shared" si="360"/>
        <v/>
      </c>
      <c r="AQ310" s="183" t="str">
        <f t="shared" si="360"/>
        <v/>
      </c>
      <c r="AR310" s="183" t="str">
        <f t="shared" si="360"/>
        <v/>
      </c>
      <c r="AS310" s="183" t="str">
        <f t="shared" si="360"/>
        <v/>
      </c>
      <c r="AT310" s="183" t="str">
        <f t="shared" si="360"/>
        <v/>
      </c>
      <c r="AU310" s="183" t="str">
        <f t="shared" si="360"/>
        <v/>
      </c>
      <c r="AV310" s="108"/>
      <c r="AW310" s="190">
        <f t="shared" si="344"/>
        <v>0</v>
      </c>
      <c r="AX310" s="119"/>
      <c r="AY310" s="183" t="str">
        <f t="shared" ref="AY310:BG310" si="361">IF(OR(AY$17="",AY$22=0,AY$29=0),"",
(AY$276*$AZ255)*1000/(AY$22*AY$29))</f>
        <v/>
      </c>
      <c r="AZ310" s="183" t="str">
        <f t="shared" si="361"/>
        <v/>
      </c>
      <c r="BA310" s="183" t="str">
        <f t="shared" si="361"/>
        <v/>
      </c>
      <c r="BB310" s="183" t="str">
        <f t="shared" si="361"/>
        <v/>
      </c>
      <c r="BC310" s="183" t="str">
        <f t="shared" si="361"/>
        <v/>
      </c>
      <c r="BD310" s="183" t="str">
        <f t="shared" si="361"/>
        <v/>
      </c>
      <c r="BE310" s="183" t="str">
        <f t="shared" si="361"/>
        <v/>
      </c>
      <c r="BF310" s="183" t="str">
        <f t="shared" si="361"/>
        <v/>
      </c>
      <c r="BG310" s="183" t="str">
        <f t="shared" si="361"/>
        <v/>
      </c>
      <c r="BH310" s="210"/>
    </row>
    <row r="311" spans="1:60">
      <c r="A311" s="1040"/>
      <c r="B311" s="1109" t="s">
        <v>1222</v>
      </c>
      <c r="C311" s="1107" t="s">
        <v>104</v>
      </c>
      <c r="D311" s="641" t="s">
        <v>45</v>
      </c>
      <c r="E311" s="180" t="s">
        <v>1323</v>
      </c>
      <c r="F311" s="180"/>
      <c r="G311" s="180"/>
      <c r="H311" s="201" t="s">
        <v>267</v>
      </c>
      <c r="I311" s="114"/>
      <c r="J311" s="190">
        <f t="shared" si="337"/>
        <v>0</v>
      </c>
      <c r="K311" s="1092"/>
      <c r="L311" s="1092"/>
      <c r="M311" s="190">
        <f t="shared" si="338"/>
        <v>0</v>
      </c>
      <c r="N311" s="119"/>
      <c r="O311" s="183" t="str">
        <f t="shared" ref="O311:W311" si="362">IF(OR(O$17="",O$22=0,O$29=0),"",
(O$275*$O256+O$277*$Q256)*1000/(O$22*O$29))</f>
        <v/>
      </c>
      <c r="P311" s="183" t="str">
        <f t="shared" si="362"/>
        <v/>
      </c>
      <c r="Q311" s="183" t="str">
        <f t="shared" si="362"/>
        <v/>
      </c>
      <c r="R311" s="183" t="str">
        <f t="shared" si="362"/>
        <v/>
      </c>
      <c r="S311" s="183" t="str">
        <f t="shared" si="362"/>
        <v/>
      </c>
      <c r="T311" s="183" t="str">
        <f t="shared" si="362"/>
        <v/>
      </c>
      <c r="U311" s="183" t="str">
        <f t="shared" si="362"/>
        <v/>
      </c>
      <c r="V311" s="183" t="str">
        <f t="shared" si="362"/>
        <v/>
      </c>
      <c r="W311" s="183" t="str">
        <f t="shared" si="362"/>
        <v/>
      </c>
      <c r="X311" s="108"/>
      <c r="Y311" s="190">
        <f t="shared" si="340"/>
        <v>0</v>
      </c>
      <c r="Z311" s="119"/>
      <c r="AA311" s="183" t="str">
        <f t="shared" ref="AA311:AI311" si="363">IF(OR(AA$17="",AA$22=0,AA$29=0),"",
(AA$275*$AA256+AA$277*$AC256)*1000/(AA$22*AA$29))</f>
        <v/>
      </c>
      <c r="AB311" s="183" t="str">
        <f t="shared" si="363"/>
        <v/>
      </c>
      <c r="AC311" s="183" t="str">
        <f t="shared" si="363"/>
        <v/>
      </c>
      <c r="AD311" s="183" t="str">
        <f t="shared" si="363"/>
        <v/>
      </c>
      <c r="AE311" s="183" t="str">
        <f t="shared" si="363"/>
        <v/>
      </c>
      <c r="AF311" s="183" t="str">
        <f t="shared" si="363"/>
        <v/>
      </c>
      <c r="AG311" s="183" t="str">
        <f t="shared" si="363"/>
        <v/>
      </c>
      <c r="AH311" s="183" t="str">
        <f t="shared" si="363"/>
        <v/>
      </c>
      <c r="AI311" s="183" t="str">
        <f t="shared" si="363"/>
        <v/>
      </c>
      <c r="AJ311" s="108"/>
      <c r="AK311" s="190">
        <f t="shared" si="342"/>
        <v>0</v>
      </c>
      <c r="AL311" s="119"/>
      <c r="AM311" s="183" t="str">
        <f t="shared" ref="AM311:AU311" si="364">IF(OR(AM$17="",AM$22=0,AM$29=0),"",
(AM$275*$AM256+AM$277*$AO256)*1000/(AM$22*AM$29))</f>
        <v/>
      </c>
      <c r="AN311" s="183" t="str">
        <f t="shared" si="364"/>
        <v/>
      </c>
      <c r="AO311" s="183" t="str">
        <f t="shared" si="364"/>
        <v/>
      </c>
      <c r="AP311" s="183" t="str">
        <f t="shared" si="364"/>
        <v/>
      </c>
      <c r="AQ311" s="183" t="str">
        <f t="shared" si="364"/>
        <v/>
      </c>
      <c r="AR311" s="183" t="str">
        <f t="shared" si="364"/>
        <v/>
      </c>
      <c r="AS311" s="183" t="str">
        <f t="shared" si="364"/>
        <v/>
      </c>
      <c r="AT311" s="183" t="str">
        <f t="shared" si="364"/>
        <v/>
      </c>
      <c r="AU311" s="183" t="str">
        <f t="shared" si="364"/>
        <v/>
      </c>
      <c r="AV311" s="108"/>
      <c r="AW311" s="190">
        <f t="shared" si="344"/>
        <v>0</v>
      </c>
      <c r="AX311" s="119"/>
      <c r="AY311" s="183" t="str">
        <f t="shared" ref="AY311:BG311" si="365">IF(OR(AY$17="",AY$22=0,AY$29=0),"",
(AY$275*$AY256+AY$277*$BA256)*1000/(AY$22*AY$29))</f>
        <v/>
      </c>
      <c r="AZ311" s="183" t="str">
        <f t="shared" si="365"/>
        <v/>
      </c>
      <c r="BA311" s="183" t="str">
        <f t="shared" si="365"/>
        <v/>
      </c>
      <c r="BB311" s="183" t="str">
        <f t="shared" si="365"/>
        <v/>
      </c>
      <c r="BC311" s="183" t="str">
        <f t="shared" si="365"/>
        <v/>
      </c>
      <c r="BD311" s="183" t="str">
        <f t="shared" si="365"/>
        <v/>
      </c>
      <c r="BE311" s="183" t="str">
        <f t="shared" si="365"/>
        <v/>
      </c>
      <c r="BF311" s="183" t="str">
        <f t="shared" si="365"/>
        <v/>
      </c>
      <c r="BG311" s="183" t="str">
        <f t="shared" si="365"/>
        <v/>
      </c>
      <c r="BH311" s="174"/>
    </row>
    <row r="312" spans="1:60">
      <c r="A312" s="1040"/>
      <c r="B312" s="1109" t="s">
        <v>1222</v>
      </c>
      <c r="C312" s="1106" t="s">
        <v>96</v>
      </c>
      <c r="D312" s="638"/>
      <c r="E312" s="942" t="s">
        <v>1321</v>
      </c>
      <c r="F312" s="942"/>
      <c r="G312" s="942"/>
      <c r="H312" s="942"/>
      <c r="I312" s="129"/>
      <c r="J312" s="943"/>
      <c r="K312" s="126"/>
      <c r="L312" s="126"/>
      <c r="M312" s="944"/>
      <c r="N312" s="195"/>
      <c r="O312" s="258" t="str">
        <f>O$17</f>
        <v/>
      </c>
      <c r="P312" s="258" t="str">
        <f t="shared" ref="P312:W312" si="366">P$17</f>
        <v/>
      </c>
      <c r="Q312" s="258" t="str">
        <f t="shared" si="366"/>
        <v/>
      </c>
      <c r="R312" s="258" t="str">
        <f t="shared" si="366"/>
        <v/>
      </c>
      <c r="S312" s="258" t="str">
        <f t="shared" si="366"/>
        <v/>
      </c>
      <c r="T312" s="258" t="str">
        <f t="shared" si="366"/>
        <v/>
      </c>
      <c r="U312" s="258" t="str">
        <f t="shared" si="366"/>
        <v/>
      </c>
      <c r="V312" s="258" t="str">
        <f t="shared" si="366"/>
        <v/>
      </c>
      <c r="W312" s="258" t="str">
        <f t="shared" si="366"/>
        <v/>
      </c>
      <c r="X312" s="195"/>
      <c r="Y312" s="944"/>
      <c r="Z312" s="195"/>
      <c r="AA312" s="258" t="str">
        <f>AA$17</f>
        <v/>
      </c>
      <c r="AB312" s="258" t="str">
        <f t="shared" ref="AB312:AI312" si="367">AB$17</f>
        <v/>
      </c>
      <c r="AC312" s="258" t="str">
        <f t="shared" si="367"/>
        <v/>
      </c>
      <c r="AD312" s="258" t="str">
        <f t="shared" si="367"/>
        <v/>
      </c>
      <c r="AE312" s="258" t="str">
        <f t="shared" si="367"/>
        <v/>
      </c>
      <c r="AF312" s="258" t="str">
        <f t="shared" si="367"/>
        <v/>
      </c>
      <c r="AG312" s="258" t="str">
        <f t="shared" si="367"/>
        <v/>
      </c>
      <c r="AH312" s="258" t="str">
        <f t="shared" si="367"/>
        <v/>
      </c>
      <c r="AI312" s="258" t="str">
        <f t="shared" si="367"/>
        <v/>
      </c>
      <c r="AJ312" s="195"/>
      <c r="AK312" s="944"/>
      <c r="AL312" s="195"/>
      <c r="AM312" s="258" t="str">
        <f>AM$17</f>
        <v/>
      </c>
      <c r="AN312" s="258" t="str">
        <f t="shared" ref="AN312:AU312" si="368">AN$17</f>
        <v/>
      </c>
      <c r="AO312" s="258" t="str">
        <f t="shared" si="368"/>
        <v/>
      </c>
      <c r="AP312" s="258" t="str">
        <f t="shared" si="368"/>
        <v/>
      </c>
      <c r="AQ312" s="258" t="str">
        <f t="shared" si="368"/>
        <v/>
      </c>
      <c r="AR312" s="258" t="str">
        <f t="shared" si="368"/>
        <v/>
      </c>
      <c r="AS312" s="258" t="str">
        <f t="shared" si="368"/>
        <v/>
      </c>
      <c r="AT312" s="258" t="str">
        <f t="shared" si="368"/>
        <v/>
      </c>
      <c r="AU312" s="258" t="str">
        <f t="shared" si="368"/>
        <v/>
      </c>
      <c r="AV312" s="195"/>
      <c r="AW312" s="944"/>
      <c r="AX312" s="195"/>
      <c r="AY312" s="258" t="str">
        <f>AY$17</f>
        <v/>
      </c>
      <c r="AZ312" s="258" t="str">
        <f t="shared" ref="AZ312:BG312" si="369">AZ$17</f>
        <v/>
      </c>
      <c r="BA312" s="258" t="str">
        <f t="shared" si="369"/>
        <v/>
      </c>
      <c r="BB312" s="258" t="str">
        <f t="shared" si="369"/>
        <v/>
      </c>
      <c r="BC312" s="258" t="str">
        <f t="shared" si="369"/>
        <v/>
      </c>
      <c r="BD312" s="258" t="str">
        <f t="shared" si="369"/>
        <v/>
      </c>
      <c r="BE312" s="258" t="str">
        <f t="shared" si="369"/>
        <v/>
      </c>
      <c r="BF312" s="258" t="str">
        <f t="shared" si="369"/>
        <v/>
      </c>
      <c r="BG312" s="258" t="str">
        <f t="shared" si="369"/>
        <v/>
      </c>
      <c r="BH312" s="36"/>
    </row>
    <row r="313" spans="1:60">
      <c r="A313" s="1040"/>
      <c r="B313" s="1109" t="s">
        <v>1222</v>
      </c>
      <c r="C313" s="1107" t="s">
        <v>104</v>
      </c>
      <c r="D313" s="641" t="s">
        <v>45</v>
      </c>
      <c r="E313" s="180" t="s">
        <v>1322</v>
      </c>
      <c r="F313" s="180"/>
      <c r="G313" s="180"/>
      <c r="H313" s="201" t="s">
        <v>267</v>
      </c>
      <c r="I313" s="114"/>
      <c r="J313" s="190">
        <f>M313+Y313+AK313+AW313</f>
        <v>0</v>
      </c>
      <c r="K313" s="1092"/>
      <c r="L313" s="1092"/>
      <c r="M313" s="190">
        <f>SUMPRODUCT(N313:X313,N$30:X$30)/1000</f>
        <v>0</v>
      </c>
      <c r="N313" s="119"/>
      <c r="O313" s="183" t="str">
        <f t="shared" ref="O313:W313" si="370">IF(OR(O$17="",O$22=0,O$29=0),"",
O$73/O$29*f_P_renelect)</f>
        <v/>
      </c>
      <c r="P313" s="183" t="str">
        <f t="shared" si="370"/>
        <v/>
      </c>
      <c r="Q313" s="183" t="str">
        <f t="shared" si="370"/>
        <v/>
      </c>
      <c r="R313" s="183" t="str">
        <f t="shared" si="370"/>
        <v/>
      </c>
      <c r="S313" s="183" t="str">
        <f t="shared" si="370"/>
        <v/>
      </c>
      <c r="T313" s="183" t="str">
        <f t="shared" si="370"/>
        <v/>
      </c>
      <c r="U313" s="183" t="str">
        <f t="shared" si="370"/>
        <v/>
      </c>
      <c r="V313" s="183" t="str">
        <f t="shared" si="370"/>
        <v/>
      </c>
      <c r="W313" s="183" t="str">
        <f t="shared" si="370"/>
        <v/>
      </c>
      <c r="X313" s="108"/>
      <c r="Y313" s="190">
        <f>SUMPRODUCT(Z313:AJ313,Z$30:AJ$30)/1000</f>
        <v>0</v>
      </c>
      <c r="Z313" s="119"/>
      <c r="AA313" s="183" t="str">
        <f t="shared" ref="AA313:AI313" si="371">IF(OR(AA$17="",AA$22=0,AA$29=0),"",
AA$73/AA$29*f_P_renelect)</f>
        <v/>
      </c>
      <c r="AB313" s="183" t="str">
        <f t="shared" si="371"/>
        <v/>
      </c>
      <c r="AC313" s="183" t="str">
        <f t="shared" si="371"/>
        <v/>
      </c>
      <c r="AD313" s="183" t="str">
        <f t="shared" si="371"/>
        <v/>
      </c>
      <c r="AE313" s="183" t="str">
        <f t="shared" si="371"/>
        <v/>
      </c>
      <c r="AF313" s="183" t="str">
        <f t="shared" si="371"/>
        <v/>
      </c>
      <c r="AG313" s="183" t="str">
        <f t="shared" si="371"/>
        <v/>
      </c>
      <c r="AH313" s="183" t="str">
        <f t="shared" si="371"/>
        <v/>
      </c>
      <c r="AI313" s="183" t="str">
        <f t="shared" si="371"/>
        <v/>
      </c>
      <c r="AJ313" s="108"/>
      <c r="AK313" s="190">
        <f>SUMPRODUCT(AL313:AV313,AL$30:AV$30)/1000</f>
        <v>0</v>
      </c>
      <c r="AL313" s="119"/>
      <c r="AM313" s="183" t="str">
        <f t="shared" ref="AM313:AU313" si="372">IF(OR(AM$17="",AM$22=0,AM$29=0),"",
AM$73/AM$29*f_P_renelect)</f>
        <v/>
      </c>
      <c r="AN313" s="183" t="str">
        <f t="shared" si="372"/>
        <v/>
      </c>
      <c r="AO313" s="183" t="str">
        <f t="shared" si="372"/>
        <v/>
      </c>
      <c r="AP313" s="183" t="str">
        <f t="shared" si="372"/>
        <v/>
      </c>
      <c r="AQ313" s="183" t="str">
        <f t="shared" si="372"/>
        <v/>
      </c>
      <c r="AR313" s="183" t="str">
        <f t="shared" si="372"/>
        <v/>
      </c>
      <c r="AS313" s="183" t="str">
        <f t="shared" si="372"/>
        <v/>
      </c>
      <c r="AT313" s="183" t="str">
        <f t="shared" si="372"/>
        <v/>
      </c>
      <c r="AU313" s="183" t="str">
        <f t="shared" si="372"/>
        <v/>
      </c>
      <c r="AV313" s="108"/>
      <c r="AW313" s="190">
        <f>SUMPRODUCT(AX313:BH313,AX$30:BH$30)/1000</f>
        <v>0</v>
      </c>
      <c r="AX313" s="119"/>
      <c r="AY313" s="183" t="str">
        <f t="shared" ref="AY313:BG313" si="373">IF(OR(AY$17="",AY$22=0,AY$29=0),"",
AY$73/AY$29*f_P_renelect)</f>
        <v/>
      </c>
      <c r="AZ313" s="183" t="str">
        <f t="shared" si="373"/>
        <v/>
      </c>
      <c r="BA313" s="183" t="str">
        <f t="shared" si="373"/>
        <v/>
      </c>
      <c r="BB313" s="183" t="str">
        <f t="shared" si="373"/>
        <v/>
      </c>
      <c r="BC313" s="183" t="str">
        <f t="shared" si="373"/>
        <v/>
      </c>
      <c r="BD313" s="183" t="str">
        <f t="shared" si="373"/>
        <v/>
      </c>
      <c r="BE313" s="183" t="str">
        <f t="shared" si="373"/>
        <v/>
      </c>
      <c r="BF313" s="183" t="str">
        <f t="shared" si="373"/>
        <v/>
      </c>
      <c r="BG313" s="183" t="str">
        <f t="shared" si="373"/>
        <v/>
      </c>
      <c r="BH313" s="210"/>
    </row>
    <row r="314" spans="1:60">
      <c r="A314" s="1040"/>
      <c r="B314" s="1109" t="s">
        <v>1222</v>
      </c>
      <c r="C314" s="1106" t="s">
        <v>96</v>
      </c>
      <c r="D314" s="638"/>
      <c r="E314" s="942" t="s">
        <v>1320</v>
      </c>
      <c r="F314" s="942"/>
      <c r="G314" s="942"/>
      <c r="H314" s="942"/>
      <c r="I314" s="129"/>
      <c r="J314" s="943"/>
      <c r="K314" s="126"/>
      <c r="L314" s="126"/>
      <c r="M314" s="944"/>
      <c r="N314" s="195"/>
      <c r="O314" s="258" t="str">
        <f>O$17</f>
        <v/>
      </c>
      <c r="P314" s="258" t="str">
        <f t="shared" ref="P314:W314" si="374">P$17</f>
        <v/>
      </c>
      <c r="Q314" s="258" t="str">
        <f t="shared" si="374"/>
        <v/>
      </c>
      <c r="R314" s="258" t="str">
        <f t="shared" si="374"/>
        <v/>
      </c>
      <c r="S314" s="258" t="str">
        <f t="shared" si="374"/>
        <v/>
      </c>
      <c r="T314" s="258" t="str">
        <f t="shared" si="374"/>
        <v/>
      </c>
      <c r="U314" s="258" t="str">
        <f t="shared" si="374"/>
        <v/>
      </c>
      <c r="V314" s="258" t="str">
        <f t="shared" si="374"/>
        <v/>
      </c>
      <c r="W314" s="258" t="str">
        <f t="shared" si="374"/>
        <v/>
      </c>
      <c r="X314" s="195"/>
      <c r="Y314" s="944"/>
      <c r="Z314" s="195"/>
      <c r="AA314" s="258" t="str">
        <f>AA$17</f>
        <v/>
      </c>
      <c r="AB314" s="258" t="str">
        <f t="shared" ref="AB314:AI314" si="375">AB$17</f>
        <v/>
      </c>
      <c r="AC314" s="258" t="str">
        <f t="shared" si="375"/>
        <v/>
      </c>
      <c r="AD314" s="258" t="str">
        <f t="shared" si="375"/>
        <v/>
      </c>
      <c r="AE314" s="258" t="str">
        <f t="shared" si="375"/>
        <v/>
      </c>
      <c r="AF314" s="258" t="str">
        <f t="shared" si="375"/>
        <v/>
      </c>
      <c r="AG314" s="258" t="str">
        <f t="shared" si="375"/>
        <v/>
      </c>
      <c r="AH314" s="258" t="str">
        <f t="shared" si="375"/>
        <v/>
      </c>
      <c r="AI314" s="258" t="str">
        <f t="shared" si="375"/>
        <v/>
      </c>
      <c r="AJ314" s="195"/>
      <c r="AK314" s="944"/>
      <c r="AL314" s="195"/>
      <c r="AM314" s="258" t="str">
        <f>AM$17</f>
        <v/>
      </c>
      <c r="AN314" s="258" t="str">
        <f t="shared" ref="AN314:AU314" si="376">AN$17</f>
        <v/>
      </c>
      <c r="AO314" s="258" t="str">
        <f t="shared" si="376"/>
        <v/>
      </c>
      <c r="AP314" s="258" t="str">
        <f t="shared" si="376"/>
        <v/>
      </c>
      <c r="AQ314" s="258" t="str">
        <f t="shared" si="376"/>
        <v/>
      </c>
      <c r="AR314" s="258" t="str">
        <f t="shared" si="376"/>
        <v/>
      </c>
      <c r="AS314" s="258" t="str">
        <f t="shared" si="376"/>
        <v/>
      </c>
      <c r="AT314" s="258" t="str">
        <f t="shared" si="376"/>
        <v/>
      </c>
      <c r="AU314" s="258" t="str">
        <f t="shared" si="376"/>
        <v/>
      </c>
      <c r="AV314" s="195"/>
      <c r="AW314" s="944"/>
      <c r="AX314" s="195"/>
      <c r="AY314" s="258" t="str">
        <f>AY$17</f>
        <v/>
      </c>
      <c r="AZ314" s="258" t="str">
        <f t="shared" ref="AZ314:BG314" si="377">AZ$17</f>
        <v/>
      </c>
      <c r="BA314" s="258" t="str">
        <f t="shared" si="377"/>
        <v/>
      </c>
      <c r="BB314" s="258" t="str">
        <f t="shared" si="377"/>
        <v/>
      </c>
      <c r="BC314" s="258" t="str">
        <f t="shared" si="377"/>
        <v/>
      </c>
      <c r="BD314" s="258" t="str">
        <f t="shared" si="377"/>
        <v/>
      </c>
      <c r="BE314" s="258" t="str">
        <f t="shared" si="377"/>
        <v/>
      </c>
      <c r="BF314" s="258" t="str">
        <f t="shared" si="377"/>
        <v/>
      </c>
      <c r="BG314" s="258" t="str">
        <f t="shared" si="377"/>
        <v/>
      </c>
      <c r="BH314" s="36"/>
    </row>
    <row r="315" spans="1:60">
      <c r="A315" s="1040"/>
      <c r="B315" s="1109" t="s">
        <v>1222</v>
      </c>
      <c r="C315" s="1107" t="s">
        <v>104</v>
      </c>
      <c r="D315" s="641" t="s">
        <v>45</v>
      </c>
      <c r="E315" s="1123" t="s">
        <v>232</v>
      </c>
      <c r="F315" s="1123"/>
      <c r="G315" s="180"/>
      <c r="H315" s="201" t="s">
        <v>267</v>
      </c>
      <c r="I315" s="114"/>
      <c r="J315" s="190">
        <f>M315+Y315+AK315+AW315</f>
        <v>0</v>
      </c>
      <c r="K315" s="1092"/>
      <c r="L315" s="1092"/>
      <c r="M315" s="190">
        <f>SUMPRODUCT(N315:X315,N$30:X$30)/1000</f>
        <v>0</v>
      </c>
      <c r="N315" s="119"/>
      <c r="O315" s="183" t="str">
        <f t="shared" ref="O315:W315" si="378">IF(OR(O$17="",O$22=0,O$29=0),"",SUM(O306:O311)+O313)</f>
        <v/>
      </c>
      <c r="P315" s="183" t="str">
        <f t="shared" si="378"/>
        <v/>
      </c>
      <c r="Q315" s="183" t="str">
        <f t="shared" si="378"/>
        <v/>
      </c>
      <c r="R315" s="183" t="str">
        <f t="shared" si="378"/>
        <v/>
      </c>
      <c r="S315" s="183" t="str">
        <f t="shared" si="378"/>
        <v/>
      </c>
      <c r="T315" s="183" t="str">
        <f t="shared" si="378"/>
        <v/>
      </c>
      <c r="U315" s="183" t="str">
        <f t="shared" si="378"/>
        <v/>
      </c>
      <c r="V315" s="183" t="str">
        <f t="shared" si="378"/>
        <v/>
      </c>
      <c r="W315" s="183" t="str">
        <f t="shared" si="378"/>
        <v/>
      </c>
      <c r="X315" s="108"/>
      <c r="Y315" s="190">
        <f>SUMPRODUCT(Z315:AJ315,Z$30:AJ$30)/1000</f>
        <v>0</v>
      </c>
      <c r="Z315" s="119"/>
      <c r="AA315" s="183" t="str">
        <f t="shared" ref="AA315:AI315" si="379">IF(OR(AA$17="",AA$22=0,AA$29=0),"",SUM(AA306:AA311)+AA313)</f>
        <v/>
      </c>
      <c r="AB315" s="183" t="str">
        <f t="shared" si="379"/>
        <v/>
      </c>
      <c r="AC315" s="183" t="str">
        <f t="shared" si="379"/>
        <v/>
      </c>
      <c r="AD315" s="183" t="str">
        <f t="shared" si="379"/>
        <v/>
      </c>
      <c r="AE315" s="183" t="str">
        <f t="shared" si="379"/>
        <v/>
      </c>
      <c r="AF315" s="183" t="str">
        <f t="shared" si="379"/>
        <v/>
      </c>
      <c r="AG315" s="183" t="str">
        <f t="shared" si="379"/>
        <v/>
      </c>
      <c r="AH315" s="183" t="str">
        <f t="shared" si="379"/>
        <v/>
      </c>
      <c r="AI315" s="183" t="str">
        <f t="shared" si="379"/>
        <v/>
      </c>
      <c r="AJ315" s="108"/>
      <c r="AK315" s="190">
        <f>SUMPRODUCT(AL315:AV315,AL$30:AV$30)/1000</f>
        <v>0</v>
      </c>
      <c r="AL315" s="119"/>
      <c r="AM315" s="183" t="str">
        <f>IF(OR(AM$17="",AM$22=0,AM$29=0),"",SUM(AM306:AM311)+AM313)</f>
        <v/>
      </c>
      <c r="AN315" s="183" t="str">
        <f t="shared" ref="AN315:AU315" si="380">IF(OR(AN$17="",AN$22=0,AN$29=0),"",SUM(AN306:AN311)+AN313)</f>
        <v/>
      </c>
      <c r="AO315" s="183" t="str">
        <f t="shared" si="380"/>
        <v/>
      </c>
      <c r="AP315" s="183" t="str">
        <f t="shared" si="380"/>
        <v/>
      </c>
      <c r="AQ315" s="183" t="str">
        <f t="shared" si="380"/>
        <v/>
      </c>
      <c r="AR315" s="183" t="str">
        <f t="shared" si="380"/>
        <v/>
      </c>
      <c r="AS315" s="183" t="str">
        <f t="shared" si="380"/>
        <v/>
      </c>
      <c r="AT315" s="183" t="str">
        <f t="shared" si="380"/>
        <v/>
      </c>
      <c r="AU315" s="183" t="str">
        <f t="shared" si="380"/>
        <v/>
      </c>
      <c r="AV315" s="108"/>
      <c r="AW315" s="190">
        <f>SUMPRODUCT(AX315:BH315,AX$30:BH$30)/1000</f>
        <v>0</v>
      </c>
      <c r="AX315" s="119"/>
      <c r="AY315" s="183" t="str">
        <f>IF(OR(AY$17="",AY$22=0,AY$29=0),"",SUM(AY306:AY311)+AY313)</f>
        <v/>
      </c>
      <c r="AZ315" s="183" t="str">
        <f t="shared" ref="AZ315:BG315" si="381">IF(OR(AZ$17="",AZ$22=0,AZ$29=0),"",SUM(AZ306:AZ311)+AZ313)</f>
        <v/>
      </c>
      <c r="BA315" s="183" t="str">
        <f t="shared" si="381"/>
        <v/>
      </c>
      <c r="BB315" s="183" t="str">
        <f t="shared" si="381"/>
        <v/>
      </c>
      <c r="BC315" s="183" t="str">
        <f t="shared" si="381"/>
        <v/>
      </c>
      <c r="BD315" s="183" t="str">
        <f t="shared" si="381"/>
        <v/>
      </c>
      <c r="BE315" s="183" t="str">
        <f t="shared" si="381"/>
        <v/>
      </c>
      <c r="BF315" s="183" t="str">
        <f t="shared" si="381"/>
        <v/>
      </c>
      <c r="BG315" s="183" t="str">
        <f t="shared" si="381"/>
        <v/>
      </c>
      <c r="BH315" s="210"/>
    </row>
    <row r="316" spans="1:60">
      <c r="A316" s="1040"/>
      <c r="B316" s="1109" t="s">
        <v>1222</v>
      </c>
      <c r="C316" s="1106" t="s">
        <v>96</v>
      </c>
      <c r="D316" s="638"/>
      <c r="E316" s="942" t="s">
        <v>272</v>
      </c>
      <c r="F316" s="942"/>
      <c r="G316" s="942"/>
      <c r="H316" s="942"/>
      <c r="I316" s="129"/>
      <c r="J316" s="943"/>
      <c r="K316" s="126"/>
      <c r="L316" s="126"/>
      <c r="M316" s="944"/>
      <c r="N316" s="195"/>
      <c r="O316" s="258" t="str">
        <f>O$17</f>
        <v/>
      </c>
      <c r="P316" s="258" t="str">
        <f t="shared" ref="P316:W316" si="382">P$17</f>
        <v/>
      </c>
      <c r="Q316" s="258" t="str">
        <f t="shared" si="382"/>
        <v/>
      </c>
      <c r="R316" s="258" t="str">
        <f t="shared" si="382"/>
        <v/>
      </c>
      <c r="S316" s="258" t="str">
        <f t="shared" si="382"/>
        <v/>
      </c>
      <c r="T316" s="258" t="str">
        <f t="shared" si="382"/>
        <v/>
      </c>
      <c r="U316" s="258" t="str">
        <f t="shared" si="382"/>
        <v/>
      </c>
      <c r="V316" s="258" t="str">
        <f t="shared" si="382"/>
        <v/>
      </c>
      <c r="W316" s="258" t="str">
        <f t="shared" si="382"/>
        <v/>
      </c>
      <c r="X316" s="195"/>
      <c r="Y316" s="944"/>
      <c r="Z316" s="195"/>
      <c r="AA316" s="258" t="str">
        <f>AA$17</f>
        <v/>
      </c>
      <c r="AB316" s="258" t="str">
        <f t="shared" ref="AB316:AI316" si="383">AB$17</f>
        <v/>
      </c>
      <c r="AC316" s="258" t="str">
        <f t="shared" si="383"/>
        <v/>
      </c>
      <c r="AD316" s="258" t="str">
        <f t="shared" si="383"/>
        <v/>
      </c>
      <c r="AE316" s="258" t="str">
        <f t="shared" si="383"/>
        <v/>
      </c>
      <c r="AF316" s="258" t="str">
        <f t="shared" si="383"/>
        <v/>
      </c>
      <c r="AG316" s="258" t="str">
        <f t="shared" si="383"/>
        <v/>
      </c>
      <c r="AH316" s="258" t="str">
        <f t="shared" si="383"/>
        <v/>
      </c>
      <c r="AI316" s="258" t="str">
        <f t="shared" si="383"/>
        <v/>
      </c>
      <c r="AJ316" s="195"/>
      <c r="AK316" s="944"/>
      <c r="AL316" s="195"/>
      <c r="AM316" s="258" t="str">
        <f>AM$17</f>
        <v/>
      </c>
      <c r="AN316" s="258" t="str">
        <f t="shared" ref="AN316:AU316" si="384">AN$17</f>
        <v/>
      </c>
      <c r="AO316" s="258" t="str">
        <f t="shared" si="384"/>
        <v/>
      </c>
      <c r="AP316" s="258" t="str">
        <f t="shared" si="384"/>
        <v/>
      </c>
      <c r="AQ316" s="258" t="str">
        <f t="shared" si="384"/>
        <v/>
      </c>
      <c r="AR316" s="258" t="str">
        <f t="shared" si="384"/>
        <v/>
      </c>
      <c r="AS316" s="258" t="str">
        <f t="shared" si="384"/>
        <v/>
      </c>
      <c r="AT316" s="258" t="str">
        <f t="shared" si="384"/>
        <v/>
      </c>
      <c r="AU316" s="258" t="str">
        <f t="shared" si="384"/>
        <v/>
      </c>
      <c r="AV316" s="195"/>
      <c r="AW316" s="944"/>
      <c r="AX316" s="195"/>
      <c r="AY316" s="258" t="str">
        <f>AY$17</f>
        <v/>
      </c>
      <c r="AZ316" s="258" t="str">
        <f t="shared" ref="AZ316:BG316" si="385">AZ$17</f>
        <v/>
      </c>
      <c r="BA316" s="258" t="str">
        <f t="shared" si="385"/>
        <v/>
      </c>
      <c r="BB316" s="258" t="str">
        <f t="shared" si="385"/>
        <v/>
      </c>
      <c r="BC316" s="258" t="str">
        <f t="shared" si="385"/>
        <v/>
      </c>
      <c r="BD316" s="258" t="str">
        <f t="shared" si="385"/>
        <v/>
      </c>
      <c r="BE316" s="258" t="str">
        <f t="shared" si="385"/>
        <v/>
      </c>
      <c r="BF316" s="258" t="str">
        <f t="shared" si="385"/>
        <v/>
      </c>
      <c r="BG316" s="258" t="str">
        <f t="shared" si="385"/>
        <v/>
      </c>
      <c r="BH316" s="36"/>
    </row>
    <row r="317" spans="1:60">
      <c r="A317" s="1040"/>
      <c r="B317" s="1109" t="s">
        <v>1222</v>
      </c>
      <c r="C317" s="1107" t="s">
        <v>104</v>
      </c>
      <c r="D317" s="641" t="s">
        <v>45</v>
      </c>
      <c r="E317" s="1123" t="s">
        <v>1360</v>
      </c>
      <c r="F317" s="1123"/>
      <c r="G317" s="180"/>
      <c r="H317" s="201" t="s">
        <v>139</v>
      </c>
      <c r="I317" s="114"/>
      <c r="J317" s="554" t="str">
        <f>IF(J$22=0,"",
IF(J304+J315=0,0,J315/(J304+J315)))</f>
        <v/>
      </c>
      <c r="K317" s="1096"/>
      <c r="L317" s="1096"/>
      <c r="M317" s="554" t="str">
        <f>IF(M$22=0,"",
IF(M304+M315=0,0,M315/(M304+M315)))</f>
        <v/>
      </c>
      <c r="N317" s="1097"/>
      <c r="O317" s="1159" t="str">
        <f t="shared" ref="O317:W317" si="386">IF(OR(O$17="",O$22=0,O$29=0),"",
IF(O304+O315=0,0,O315/(O304+O315)))</f>
        <v/>
      </c>
      <c r="P317" s="285" t="str">
        <f t="shared" si="386"/>
        <v/>
      </c>
      <c r="Q317" s="285" t="str">
        <f t="shared" si="386"/>
        <v/>
      </c>
      <c r="R317" s="285" t="str">
        <f t="shared" si="386"/>
        <v/>
      </c>
      <c r="S317" s="285" t="str">
        <f t="shared" si="386"/>
        <v/>
      </c>
      <c r="T317" s="285" t="str">
        <f t="shared" si="386"/>
        <v/>
      </c>
      <c r="U317" s="285" t="str">
        <f t="shared" si="386"/>
        <v/>
      </c>
      <c r="V317" s="285" t="str">
        <f t="shared" si="386"/>
        <v/>
      </c>
      <c r="W317" s="285" t="str">
        <f t="shared" si="386"/>
        <v/>
      </c>
      <c r="X317" s="124"/>
      <c r="Y317" s="554" t="str">
        <f>IF(Y$22=0,"",
IF(Y304+Y315=0,0,Y315/(Y304+Y315)))</f>
        <v/>
      </c>
      <c r="Z317" s="1097"/>
      <c r="AA317" s="285" t="str">
        <f t="shared" ref="AA317:AI317" si="387">IF(OR(AA$17="",AA$22=0,AA$29=0),"",
IF(AA304+AA315=0,0,AA315/(AA304+AA315)))</f>
        <v/>
      </c>
      <c r="AB317" s="285" t="str">
        <f t="shared" si="387"/>
        <v/>
      </c>
      <c r="AC317" s="285" t="str">
        <f t="shared" si="387"/>
        <v/>
      </c>
      <c r="AD317" s="285" t="str">
        <f t="shared" si="387"/>
        <v/>
      </c>
      <c r="AE317" s="285" t="str">
        <f t="shared" si="387"/>
        <v/>
      </c>
      <c r="AF317" s="285" t="str">
        <f t="shared" si="387"/>
        <v/>
      </c>
      <c r="AG317" s="285" t="str">
        <f t="shared" si="387"/>
        <v/>
      </c>
      <c r="AH317" s="285" t="str">
        <f t="shared" si="387"/>
        <v/>
      </c>
      <c r="AI317" s="285" t="str">
        <f t="shared" si="387"/>
        <v/>
      </c>
      <c r="AJ317" s="124"/>
      <c r="AK317" s="554" t="str">
        <f>IF(AK$22=0,"",
IF(AK304+AK315=0,0,AK315/(AK304+AK315)))</f>
        <v/>
      </c>
      <c r="AL317" s="1097"/>
      <c r="AM317" s="285" t="str">
        <f>IF(OR(AM$17="",AM$22=0,AM$29=0),"",
IF(AM304+AM315=0,0,AM315/(AM304+AM315)))</f>
        <v/>
      </c>
      <c r="AN317" s="285" t="str">
        <f t="shared" ref="AN317:AU317" si="388">IF(OR(AN$17="",AN$22=0,AN$29=0),"",
IF(AN304+AN315=0,0,AN315/(AN304+AN315)))</f>
        <v/>
      </c>
      <c r="AO317" s="285" t="str">
        <f>IF(OR(AO$17="",AO$22=0,AO$29=0),"",
IF(AO304+AO315=0,0,AO315/(AO304+AO315)))</f>
        <v/>
      </c>
      <c r="AP317" s="285" t="str">
        <f t="shared" si="388"/>
        <v/>
      </c>
      <c r="AQ317" s="285" t="str">
        <f t="shared" si="388"/>
        <v/>
      </c>
      <c r="AR317" s="285" t="str">
        <f t="shared" si="388"/>
        <v/>
      </c>
      <c r="AS317" s="285" t="str">
        <f t="shared" si="388"/>
        <v/>
      </c>
      <c r="AT317" s="285" t="str">
        <f t="shared" si="388"/>
        <v/>
      </c>
      <c r="AU317" s="285" t="str">
        <f t="shared" si="388"/>
        <v/>
      </c>
      <c r="AV317" s="124"/>
      <c r="AW317" s="554" t="str">
        <f>IF(AW$22=0,"",
IF(AW304+AW315=0,0,AW315/(AW304+AW315)))</f>
        <v/>
      </c>
      <c r="AX317" s="1097"/>
      <c r="AY317" s="285" t="str">
        <f>IF(OR(AY$17="",AY$22=0,AY$29=0),"",
IF(AY304+AY315=0,0,AY315/(AY304+AY315)))</f>
        <v/>
      </c>
      <c r="AZ317" s="285" t="str">
        <f t="shared" ref="AZ317:BG317" si="389">IF(OR(AZ$17="",AZ$22=0,AZ$29=0),"",
IF(AZ304+AZ315=0,0,AZ315/(AZ304+AZ315)))</f>
        <v/>
      </c>
      <c r="BA317" s="285" t="str">
        <f t="shared" si="389"/>
        <v/>
      </c>
      <c r="BB317" s="285" t="str">
        <f t="shared" si="389"/>
        <v/>
      </c>
      <c r="BC317" s="285" t="str">
        <f t="shared" si="389"/>
        <v/>
      </c>
      <c r="BD317" s="285" t="str">
        <f t="shared" si="389"/>
        <v/>
      </c>
      <c r="BE317" s="285" t="str">
        <f t="shared" si="389"/>
        <v/>
      </c>
      <c r="BF317" s="285" t="str">
        <f t="shared" si="389"/>
        <v/>
      </c>
      <c r="BG317" s="285" t="str">
        <f t="shared" si="389"/>
        <v/>
      </c>
      <c r="BH317" s="212"/>
    </row>
    <row r="318" spans="1:60">
      <c r="A318" s="1040"/>
      <c r="B318" s="1109" t="s">
        <v>1222</v>
      </c>
      <c r="C318" s="1106" t="s">
        <v>96</v>
      </c>
      <c r="D318" s="638"/>
      <c r="E318" s="79"/>
      <c r="F318" s="79"/>
      <c r="G318" s="79"/>
      <c r="H318" s="85"/>
      <c r="I318" s="79"/>
      <c r="J318" s="82"/>
      <c r="K318" s="195"/>
      <c r="L318" s="195"/>
      <c r="M318" s="82"/>
      <c r="N318" s="79"/>
      <c r="O318" s="108"/>
      <c r="P318" s="108"/>
      <c r="Q318" s="108"/>
      <c r="R318" s="108"/>
      <c r="S318" s="108"/>
      <c r="T318" s="108"/>
      <c r="U318" s="108"/>
      <c r="V318" s="108"/>
      <c r="W318" s="108"/>
      <c r="X318" s="82"/>
      <c r="Y318" s="82"/>
      <c r="Z318" s="82"/>
      <c r="AA318" s="82"/>
      <c r="AB318" s="82"/>
      <c r="AC318" s="82"/>
      <c r="AD318" s="82"/>
      <c r="AE318" s="82"/>
      <c r="AF318" s="82"/>
      <c r="AG318" s="82"/>
      <c r="AH318" s="82"/>
      <c r="AI318" s="82"/>
      <c r="AJ318" s="82"/>
      <c r="AK318" s="82"/>
      <c r="AL318" s="79"/>
      <c r="AM318" s="108"/>
      <c r="AN318" s="108"/>
      <c r="AO318" s="108"/>
      <c r="AP318" s="108"/>
      <c r="AQ318" s="108"/>
      <c r="AR318" s="108"/>
      <c r="AS318" s="108"/>
      <c r="AT318" s="108"/>
      <c r="AU318" s="108"/>
      <c r="AV318" s="82"/>
      <c r="AW318" s="82"/>
      <c r="AX318" s="79"/>
      <c r="AY318" s="108"/>
      <c r="AZ318" s="108"/>
      <c r="BA318" s="108"/>
      <c r="BB318" s="108"/>
      <c r="BC318" s="108"/>
      <c r="BD318" s="108"/>
      <c r="BE318" s="108"/>
      <c r="BF318" s="108"/>
      <c r="BG318" s="108"/>
      <c r="BH318" s="1"/>
    </row>
    <row r="319" spans="1:60">
      <c r="A319" s="1040"/>
      <c r="B319" s="1109" t="s">
        <v>1223</v>
      </c>
      <c r="C319" s="1107" t="s">
        <v>96</v>
      </c>
      <c r="D319" s="638"/>
      <c r="E319" s="1098"/>
      <c r="F319" s="85"/>
      <c r="G319" s="85"/>
      <c r="H319" s="85"/>
      <c r="I319" s="79"/>
      <c r="J319" s="105"/>
      <c r="K319" s="79"/>
      <c r="L319" s="79"/>
      <c r="M319" s="82"/>
      <c r="N319" s="79"/>
      <c r="O319" s="79"/>
      <c r="P319" s="82"/>
      <c r="Q319" s="82"/>
      <c r="R319" s="82"/>
      <c r="S319" s="82"/>
      <c r="T319" s="82"/>
      <c r="U319" s="82"/>
      <c r="V319" s="82"/>
      <c r="W319" s="82"/>
      <c r="X319" s="82"/>
      <c r="Y319" s="82"/>
      <c r="Z319" s="79"/>
      <c r="AA319" s="82"/>
      <c r="AB319" s="82"/>
      <c r="AC319" s="82"/>
      <c r="AD319" s="82"/>
      <c r="AE319" s="82"/>
      <c r="AF319" s="82"/>
      <c r="AG319" s="82"/>
      <c r="AH319" s="82"/>
      <c r="AI319" s="82"/>
      <c r="AJ319" s="82"/>
      <c r="AK319" s="82"/>
      <c r="AL319" s="79"/>
      <c r="AM319" s="82"/>
      <c r="AN319" s="82"/>
      <c r="AO319" s="82"/>
      <c r="AP319" s="82"/>
      <c r="AQ319" s="82"/>
      <c r="AR319" s="82"/>
      <c r="AS319" s="82"/>
      <c r="AT319" s="82"/>
      <c r="AU319" s="82"/>
      <c r="AV319" s="82"/>
      <c r="AW319" s="82"/>
      <c r="AX319" s="79"/>
      <c r="AY319" s="82"/>
      <c r="AZ319" s="82"/>
      <c r="BA319" s="82"/>
      <c r="BB319" s="82"/>
      <c r="BC319" s="82"/>
      <c r="BD319" s="82"/>
      <c r="BE319" s="82"/>
      <c r="BF319" s="82"/>
      <c r="BG319" s="82"/>
      <c r="BH319" s="1"/>
    </row>
    <row r="320" spans="1:60" s="2" customFormat="1" ht="21">
      <c r="A320" s="1038"/>
      <c r="B320" s="1110" t="s">
        <v>1223</v>
      </c>
      <c r="C320" s="1106" t="s">
        <v>96</v>
      </c>
      <c r="D320" s="640" t="s">
        <v>45</v>
      </c>
      <c r="E320" s="209" t="s">
        <v>1371</v>
      </c>
      <c r="F320" s="209"/>
      <c r="G320" s="209"/>
      <c r="H320" s="1188" t="str">
        <f>IF(OR($F$5&lt;&gt;"NTA8800:2026",$F$6&lt;&gt;"EP"),"Voor correcte EP: Kies linksboven 'NTA8800:2026' en 'EP'","")</f>
        <v/>
      </c>
      <c r="I320" s="129"/>
      <c r="J320" s="256"/>
      <c r="K320" s="126"/>
      <c r="L320" s="126"/>
      <c r="M320" s="256" t="str">
        <f>M$8</f>
        <v>locatie 1</v>
      </c>
      <c r="N320" s="182"/>
      <c r="O320" s="955" t="str">
        <f>$E320&amp;" per woning-/gebouwtype"</f>
        <v>energieprestatie indicatoren primair fossiel per woning-/gebouwtype</v>
      </c>
      <c r="P320" s="945"/>
      <c r="Q320" s="945"/>
      <c r="R320" s="945"/>
      <c r="S320" s="945"/>
      <c r="T320" s="945"/>
      <c r="U320" s="945"/>
      <c r="V320" s="945"/>
      <c r="W320" s="257"/>
      <c r="X320" s="174"/>
      <c r="Y320" s="256" t="str">
        <f>Y$8</f>
        <v>locatie 2</v>
      </c>
      <c r="Z320" s="182"/>
      <c r="AA320" s="955" t="str">
        <f>$E320&amp;" per woning-/gebouwtype"</f>
        <v>energieprestatie indicatoren primair fossiel per woning-/gebouwtype</v>
      </c>
      <c r="AB320" s="945"/>
      <c r="AC320" s="945"/>
      <c r="AD320" s="945"/>
      <c r="AE320" s="945"/>
      <c r="AF320" s="945"/>
      <c r="AG320" s="945"/>
      <c r="AH320" s="945"/>
      <c r="AI320" s="257"/>
      <c r="AJ320" s="174"/>
      <c r="AK320" s="256" t="str">
        <f>AK$8</f>
        <v>locatie 3</v>
      </c>
      <c r="AL320" s="182"/>
      <c r="AM320" s="955" t="str">
        <f>$E320&amp;" per woning-/gebouwtype"</f>
        <v>energieprestatie indicatoren primair fossiel per woning-/gebouwtype</v>
      </c>
      <c r="AN320" s="945"/>
      <c r="AO320" s="945"/>
      <c r="AP320" s="945"/>
      <c r="AQ320" s="945"/>
      <c r="AR320" s="945"/>
      <c r="AS320" s="945"/>
      <c r="AT320" s="945"/>
      <c r="AU320" s="257"/>
      <c r="AV320" s="174"/>
      <c r="AW320" s="256" t="str">
        <f>AW$8</f>
        <v>locatie 4</v>
      </c>
      <c r="AX320" s="182"/>
      <c r="AY320" s="955" t="str">
        <f>$E320&amp;" per woning-/gebouwtype"</f>
        <v>energieprestatie indicatoren primair fossiel per woning-/gebouwtype</v>
      </c>
      <c r="AZ320" s="945"/>
      <c r="BA320" s="945"/>
      <c r="BB320" s="945"/>
      <c r="BC320" s="945"/>
      <c r="BD320" s="945"/>
      <c r="BE320" s="945"/>
      <c r="BF320" s="945"/>
      <c r="BG320" s="257"/>
      <c r="BH320" s="1"/>
    </row>
    <row r="321" spans="1:60" hidden="1">
      <c r="A321" s="1040"/>
      <c r="B321" s="1109" t="s">
        <v>1223</v>
      </c>
      <c r="C321" s="1106" t="s">
        <v>262</v>
      </c>
      <c r="D321" s="641"/>
      <c r="E321" s="942" t="s">
        <v>273</v>
      </c>
      <c r="F321" s="942"/>
      <c r="G321" s="942"/>
      <c r="H321" s="942"/>
      <c r="I321" s="129"/>
      <c r="J321" s="943"/>
      <c r="K321" s="126"/>
      <c r="L321" s="126"/>
      <c r="M321" s="944"/>
      <c r="N321" s="195"/>
      <c r="O321" s="258" t="str">
        <f>O$17</f>
        <v/>
      </c>
      <c r="P321" s="258" t="str">
        <f t="shared" ref="P321:W321" si="390">P$17</f>
        <v/>
      </c>
      <c r="Q321" s="258" t="str">
        <f t="shared" si="390"/>
        <v/>
      </c>
      <c r="R321" s="258" t="str">
        <f t="shared" si="390"/>
        <v/>
      </c>
      <c r="S321" s="258" t="str">
        <f t="shared" si="390"/>
        <v/>
      </c>
      <c r="T321" s="258" t="str">
        <f t="shared" si="390"/>
        <v/>
      </c>
      <c r="U321" s="258" t="str">
        <f t="shared" si="390"/>
        <v/>
      </c>
      <c r="V321" s="258" t="str">
        <f t="shared" si="390"/>
        <v/>
      </c>
      <c r="W321" s="258" t="str">
        <f t="shared" si="390"/>
        <v/>
      </c>
      <c r="X321" s="195"/>
      <c r="Y321" s="944"/>
      <c r="Z321" s="195"/>
      <c r="AA321" s="258" t="str">
        <f>AA$17</f>
        <v/>
      </c>
      <c r="AB321" s="258" t="str">
        <f t="shared" ref="AB321:AI321" si="391">AB$17</f>
        <v/>
      </c>
      <c r="AC321" s="258" t="str">
        <f t="shared" si="391"/>
        <v/>
      </c>
      <c r="AD321" s="258" t="str">
        <f t="shared" si="391"/>
        <v/>
      </c>
      <c r="AE321" s="258" t="str">
        <f t="shared" si="391"/>
        <v/>
      </c>
      <c r="AF321" s="258" t="str">
        <f t="shared" si="391"/>
        <v/>
      </c>
      <c r="AG321" s="258" t="str">
        <f t="shared" si="391"/>
        <v/>
      </c>
      <c r="AH321" s="258" t="str">
        <f t="shared" si="391"/>
        <v/>
      </c>
      <c r="AI321" s="258" t="str">
        <f t="shared" si="391"/>
        <v/>
      </c>
      <c r="AJ321" s="195"/>
      <c r="AK321" s="944"/>
      <c r="AL321" s="195"/>
      <c r="AM321" s="258" t="str">
        <f>AM$17</f>
        <v/>
      </c>
      <c r="AN321" s="258" t="str">
        <f t="shared" ref="AN321:AU321" si="392">AN$17</f>
        <v/>
      </c>
      <c r="AO321" s="258" t="str">
        <f t="shared" si="392"/>
        <v/>
      </c>
      <c r="AP321" s="258" t="str">
        <f t="shared" si="392"/>
        <v/>
      </c>
      <c r="AQ321" s="258" t="str">
        <f t="shared" si="392"/>
        <v/>
      </c>
      <c r="AR321" s="258" t="str">
        <f t="shared" si="392"/>
        <v/>
      </c>
      <c r="AS321" s="258" t="str">
        <f t="shared" si="392"/>
        <v/>
      </c>
      <c r="AT321" s="258" t="str">
        <f t="shared" si="392"/>
        <v/>
      </c>
      <c r="AU321" s="258" t="str">
        <f t="shared" si="392"/>
        <v/>
      </c>
      <c r="AV321" s="195"/>
      <c r="AW321" s="944"/>
      <c r="AX321" s="195"/>
      <c r="AY321" s="258" t="str">
        <f>AY$17</f>
        <v/>
      </c>
      <c r="AZ321" s="258" t="str">
        <f t="shared" ref="AZ321:BG321" si="393">AZ$17</f>
        <v/>
      </c>
      <c r="BA321" s="258" t="str">
        <f t="shared" si="393"/>
        <v/>
      </c>
      <c r="BB321" s="258" t="str">
        <f t="shared" si="393"/>
        <v/>
      </c>
      <c r="BC321" s="258" t="str">
        <f t="shared" si="393"/>
        <v/>
      </c>
      <c r="BD321" s="258" t="str">
        <f t="shared" si="393"/>
        <v/>
      </c>
      <c r="BE321" s="258" t="str">
        <f t="shared" si="393"/>
        <v/>
      </c>
      <c r="BF321" s="258" t="str">
        <f t="shared" si="393"/>
        <v/>
      </c>
      <c r="BG321" s="258" t="str">
        <f t="shared" si="393"/>
        <v/>
      </c>
      <c r="BH321" s="36"/>
    </row>
    <row r="322" spans="1:60" hidden="1">
      <c r="A322" s="1040"/>
      <c r="B322" s="1109" t="s">
        <v>1223</v>
      </c>
      <c r="C322" s="1106" t="s">
        <v>262</v>
      </c>
      <c r="D322" s="641"/>
      <c r="E322" s="203" t="s">
        <v>274</v>
      </c>
      <c r="F322" s="203"/>
      <c r="G322" s="203"/>
      <c r="H322" s="204" t="s">
        <v>65</v>
      </c>
      <c r="I322" s="205"/>
      <c r="J322" s="206"/>
      <c r="K322" s="79"/>
      <c r="L322" s="79"/>
      <c r="M322" s="206"/>
      <c r="N322" s="205"/>
      <c r="O322" s="1153" t="str">
        <f t="shared" ref="O322:W322" si="394">IF(OR(O$17="",O$22=0,O$29=0),"",MATCH(O$19,BENG_gebruiksfuncties,0))</f>
        <v/>
      </c>
      <c r="P322" s="1153" t="str">
        <f t="shared" si="394"/>
        <v/>
      </c>
      <c r="Q322" s="1153" t="str">
        <f t="shared" si="394"/>
        <v/>
      </c>
      <c r="R322" s="1153" t="str">
        <f t="shared" si="394"/>
        <v/>
      </c>
      <c r="S322" s="1153" t="str">
        <f t="shared" si="394"/>
        <v/>
      </c>
      <c r="T322" s="1153" t="str">
        <f t="shared" si="394"/>
        <v/>
      </c>
      <c r="U322" s="1153" t="str">
        <f t="shared" si="394"/>
        <v/>
      </c>
      <c r="V322" s="1153" t="str">
        <f t="shared" si="394"/>
        <v/>
      </c>
      <c r="W322" s="1153" t="str">
        <f t="shared" si="394"/>
        <v/>
      </c>
      <c r="X322" s="108"/>
      <c r="Y322" s="206"/>
      <c r="Z322" s="205"/>
      <c r="AA322" s="207" t="str">
        <f t="shared" ref="AA322:AI322" si="395">IF(OR(AA$17="",AA$22=0,AA$29=0),"",MATCH(AA$19,BENG_gebruiksfuncties,0))</f>
        <v/>
      </c>
      <c r="AB322" s="207" t="str">
        <f t="shared" si="395"/>
        <v/>
      </c>
      <c r="AC322" s="207" t="str">
        <f t="shared" si="395"/>
        <v/>
      </c>
      <c r="AD322" s="207" t="str">
        <f t="shared" si="395"/>
        <v/>
      </c>
      <c r="AE322" s="207" t="str">
        <f t="shared" si="395"/>
        <v/>
      </c>
      <c r="AF322" s="207" t="str">
        <f t="shared" si="395"/>
        <v/>
      </c>
      <c r="AG322" s="207" t="str">
        <f t="shared" si="395"/>
        <v/>
      </c>
      <c r="AH322" s="207" t="str">
        <f t="shared" si="395"/>
        <v/>
      </c>
      <c r="AI322" s="207" t="str">
        <f t="shared" si="395"/>
        <v/>
      </c>
      <c r="AJ322" s="108"/>
      <c r="AK322" s="206"/>
      <c r="AL322" s="205"/>
      <c r="AM322" s="207" t="str">
        <f>IF(OR(AM$17="",AM$22=0,AM$29=0),"",MATCH(AM$19,BENG_gebruiksfuncties,0))</f>
        <v/>
      </c>
      <c r="AN322" s="207" t="str">
        <f t="shared" ref="AN322:AU322" si="396">IF(OR(AN$17="",AN$22=0,AN$29=0),"",MATCH(AN$19,BENG_gebruiksfuncties,0))</f>
        <v/>
      </c>
      <c r="AO322" s="207" t="str">
        <f t="shared" si="396"/>
        <v/>
      </c>
      <c r="AP322" s="207" t="str">
        <f t="shared" si="396"/>
        <v/>
      </c>
      <c r="AQ322" s="207" t="str">
        <f t="shared" si="396"/>
        <v/>
      </c>
      <c r="AR322" s="207" t="str">
        <f t="shared" si="396"/>
        <v/>
      </c>
      <c r="AS322" s="207" t="str">
        <f t="shared" si="396"/>
        <v/>
      </c>
      <c r="AT322" s="207" t="str">
        <f t="shared" si="396"/>
        <v/>
      </c>
      <c r="AU322" s="207" t="str">
        <f t="shared" si="396"/>
        <v/>
      </c>
      <c r="AV322" s="108"/>
      <c r="AW322" s="206"/>
      <c r="AX322" s="205"/>
      <c r="AY322" s="207" t="str">
        <f t="shared" ref="AY322:BG322" si="397">IF(OR(AY$17="",AY$22=0,AY$29=0),"",MATCH(AY$19,BENG_gebruiksfuncties,0))</f>
        <v/>
      </c>
      <c r="AZ322" s="207" t="str">
        <f t="shared" si="397"/>
        <v/>
      </c>
      <c r="BA322" s="207" t="str">
        <f t="shared" si="397"/>
        <v/>
      </c>
      <c r="BB322" s="207" t="str">
        <f t="shared" si="397"/>
        <v/>
      </c>
      <c r="BC322" s="207" t="str">
        <f t="shared" si="397"/>
        <v/>
      </c>
      <c r="BD322" s="207" t="str">
        <f t="shared" si="397"/>
        <v/>
      </c>
      <c r="BE322" s="207" t="str">
        <f t="shared" si="397"/>
        <v/>
      </c>
      <c r="BF322" s="207" t="str">
        <f t="shared" si="397"/>
        <v/>
      </c>
      <c r="BG322" s="207" t="str">
        <f t="shared" si="397"/>
        <v/>
      </c>
      <c r="BH322" s="210"/>
    </row>
    <row r="323" spans="1:60">
      <c r="A323" s="1040"/>
      <c r="B323" s="1109" t="s">
        <v>1223</v>
      </c>
      <c r="C323" s="1106" t="s">
        <v>96</v>
      </c>
      <c r="D323" s="640" t="s">
        <v>45</v>
      </c>
      <c r="E323" s="942" t="s">
        <v>1166</v>
      </c>
      <c r="F323" s="942"/>
      <c r="G323" s="942"/>
      <c r="H323" s="942"/>
      <c r="I323" s="129"/>
      <c r="J323" s="943"/>
      <c r="K323" s="126"/>
      <c r="L323" s="126"/>
      <c r="M323" s="944"/>
      <c r="N323" s="195"/>
      <c r="O323" s="1154" t="str">
        <f>O$17</f>
        <v/>
      </c>
      <c r="P323" s="1154" t="str">
        <f t="shared" ref="P323:W323" si="398">P$17</f>
        <v/>
      </c>
      <c r="Q323" s="1154" t="str">
        <f t="shared" si="398"/>
        <v/>
      </c>
      <c r="R323" s="1154" t="str">
        <f t="shared" si="398"/>
        <v/>
      </c>
      <c r="S323" s="1154" t="str">
        <f t="shared" si="398"/>
        <v/>
      </c>
      <c r="T323" s="1154" t="str">
        <f t="shared" si="398"/>
        <v/>
      </c>
      <c r="U323" s="1154" t="str">
        <f t="shared" si="398"/>
        <v/>
      </c>
      <c r="V323" s="1154" t="str">
        <f t="shared" si="398"/>
        <v/>
      </c>
      <c r="W323" s="1154" t="str">
        <f t="shared" si="398"/>
        <v/>
      </c>
      <c r="X323" s="195"/>
      <c r="Y323" s="944"/>
      <c r="Z323" s="195"/>
      <c r="AA323" s="258" t="str">
        <f>AA$17</f>
        <v/>
      </c>
      <c r="AB323" s="258" t="str">
        <f t="shared" ref="AB323:AI323" si="399">AB$17</f>
        <v/>
      </c>
      <c r="AC323" s="258" t="str">
        <f t="shared" si="399"/>
        <v/>
      </c>
      <c r="AD323" s="258" t="str">
        <f t="shared" si="399"/>
        <v/>
      </c>
      <c r="AE323" s="258" t="str">
        <f t="shared" si="399"/>
        <v/>
      </c>
      <c r="AF323" s="258" t="str">
        <f t="shared" si="399"/>
        <v/>
      </c>
      <c r="AG323" s="258" t="str">
        <f t="shared" si="399"/>
        <v/>
      </c>
      <c r="AH323" s="258" t="str">
        <f t="shared" si="399"/>
        <v/>
      </c>
      <c r="AI323" s="258" t="str">
        <f t="shared" si="399"/>
        <v/>
      </c>
      <c r="AJ323" s="195"/>
      <c r="AK323" s="944"/>
      <c r="AL323" s="195"/>
      <c r="AM323" s="258" t="str">
        <f>AM$17</f>
        <v/>
      </c>
      <c r="AN323" s="258" t="str">
        <f t="shared" ref="AN323:AU323" si="400">AN$17</f>
        <v/>
      </c>
      <c r="AO323" s="258" t="str">
        <f t="shared" si="400"/>
        <v/>
      </c>
      <c r="AP323" s="258" t="str">
        <f t="shared" si="400"/>
        <v/>
      </c>
      <c r="AQ323" s="258" t="str">
        <f t="shared" si="400"/>
        <v/>
      </c>
      <c r="AR323" s="258" t="str">
        <f t="shared" si="400"/>
        <v/>
      </c>
      <c r="AS323" s="258" t="str">
        <f t="shared" si="400"/>
        <v/>
      </c>
      <c r="AT323" s="258" t="str">
        <f t="shared" si="400"/>
        <v/>
      </c>
      <c r="AU323" s="258" t="str">
        <f t="shared" si="400"/>
        <v/>
      </c>
      <c r="AV323" s="195"/>
      <c r="AW323" s="944"/>
      <c r="AX323" s="195"/>
      <c r="AY323" s="258" t="str">
        <f>AY$17</f>
        <v/>
      </c>
      <c r="AZ323" s="258" t="str">
        <f t="shared" ref="AZ323:BG323" si="401">AZ$17</f>
        <v/>
      </c>
      <c r="BA323" s="258" t="str">
        <f t="shared" si="401"/>
        <v/>
      </c>
      <c r="BB323" s="258" t="str">
        <f t="shared" si="401"/>
        <v/>
      </c>
      <c r="BC323" s="258" t="str">
        <f t="shared" si="401"/>
        <v/>
      </c>
      <c r="BD323" s="258" t="str">
        <f t="shared" si="401"/>
        <v/>
      </c>
      <c r="BE323" s="258" t="str">
        <f t="shared" si="401"/>
        <v/>
      </c>
      <c r="BF323" s="258" t="str">
        <f t="shared" si="401"/>
        <v/>
      </c>
      <c r="BG323" s="258" t="str">
        <f t="shared" si="401"/>
        <v/>
      </c>
      <c r="BH323" s="36"/>
    </row>
    <row r="324" spans="1:60">
      <c r="A324" s="1040"/>
      <c r="B324" s="1109" t="s">
        <v>1223</v>
      </c>
      <c r="C324" s="1107" t="s">
        <v>104</v>
      </c>
      <c r="D324" s="641"/>
      <c r="E324" s="203" t="s">
        <v>275</v>
      </c>
      <c r="F324" s="203"/>
      <c r="G324" s="203"/>
      <c r="H324" s="204" t="s">
        <v>154</v>
      </c>
      <c r="I324" s="205"/>
      <c r="J324" s="206"/>
      <c r="K324" s="79"/>
      <c r="L324" s="79"/>
      <c r="M324" s="206"/>
      <c r="N324" s="205"/>
      <c r="O324" s="1155" t="str" cm="1">
        <f t="array" ref="O324">IF(OR(O$17="",O$38="",O$40="",O$322=""),"",
IF(O$32&lt;=INDEX(BENG1_eis_grenswaarde_1,O$322),
      INDEX(BENG1_eis_Als_deeldoor_Ag_kleiner_dan_grenswaarde_1,O$322),
IF(O$32&lt;=INDEX(BENG1_eis_grenswaarde_2,O$322),
      INDEX(BENG1_eis_C1,O$322) + INDEX(BENG1_eis_C2,O$322) * (O$32 - INDEX(BENG1_eis_C3,O$322) ),
      INDEX(BENG1_eis_C4,O$322)  + INDEX(BENG1_eis_C5,O$322) * (O$32 - INDEX(BENG1_eis_C6,O$322) ))))</f>
        <v/>
      </c>
      <c r="P324" s="1155" t="str" cm="1">
        <f t="array" ref="P324">IF(OR(P$17="",P$38="",P$40="",P$322=""),"",
IF(P$32&lt;=INDEX(BENG1_eis_grenswaarde_1,P$322),
      INDEX(BENG1_eis_Als_deeldoor_Ag_kleiner_dan_grenswaarde_1,P$322),
IF(P$32&lt;=INDEX(BENG1_eis_grenswaarde_2,P$322),
      INDEX(BENG1_eis_C1,P$322) + INDEX(BENG1_eis_C2,P$322) * (P$32 - INDEX(BENG1_eis_C3,P$322) ),
      INDEX(BENG1_eis_C4,P$322)  + INDEX(BENG1_eis_C5,P$322) * (P$32 - INDEX(BENG1_eis_C6,P$322) ))))</f>
        <v/>
      </c>
      <c r="Q324" s="1155" t="str" cm="1">
        <f t="array" ref="Q324">IF(OR(Q$17="",Q$38="",Q$40="",Q$322=""),"",
IF(Q$32&lt;=INDEX(BENG1_eis_grenswaarde_1,Q$322),
      INDEX(BENG1_eis_Als_deeldoor_Ag_kleiner_dan_grenswaarde_1,Q$322),
IF(Q$32&lt;=INDEX(BENG1_eis_grenswaarde_2,Q$322),
      INDEX(BENG1_eis_C1,Q$322) + INDEX(BENG1_eis_C2,Q$322) * (Q$32 - INDEX(BENG1_eis_C3,Q$322) ),
      INDEX(BENG1_eis_C4,Q$322)  + INDEX(BENG1_eis_C5,Q$322) * (Q$32 - INDEX(BENG1_eis_C6,Q$322) ))))</f>
        <v/>
      </c>
      <c r="R324" s="1155" t="str" cm="1">
        <f t="array" ref="R324">IF(OR(R$17="",R$38="",R$40="",R$322=""),"",
IF(R$32&lt;=INDEX(BENG1_eis_grenswaarde_1,R$322),
      INDEX(BENG1_eis_Als_deeldoor_Ag_kleiner_dan_grenswaarde_1,R$322),
IF(R$32&lt;=INDEX(BENG1_eis_grenswaarde_2,R$322),
      INDEX(BENG1_eis_C1,R$322) + INDEX(BENG1_eis_C2,R$322) * (R$32 - INDEX(BENG1_eis_C3,R$322) ),
      INDEX(BENG1_eis_C4,R$322)  + INDEX(BENG1_eis_C5,R$322) * (R$32 - INDEX(BENG1_eis_C6,R$322) ))))</f>
        <v/>
      </c>
      <c r="S324" s="1155" t="str" cm="1">
        <f t="array" ref="S324">IF(OR(S$17="",S$38="",S$40="",S$322=""),"",
IF(S$32&lt;=INDEX(BENG1_eis_grenswaarde_1,S$322),
      INDEX(BENG1_eis_Als_deeldoor_Ag_kleiner_dan_grenswaarde_1,S$322),
IF(S$32&lt;=INDEX(BENG1_eis_grenswaarde_2,S$322),
      INDEX(BENG1_eis_C1,S$322) + INDEX(BENG1_eis_C2,S$322) * (S$32 - INDEX(BENG1_eis_C3,S$322) ),
      INDEX(BENG1_eis_C4,S$322)  + INDEX(BENG1_eis_C5,S$322) * (S$32 - INDEX(BENG1_eis_C6,S$322) ))))</f>
        <v/>
      </c>
      <c r="T324" s="1155" t="str" cm="1">
        <f t="array" ref="T324">IF(OR(T$17="",T$38="",T$40="",T$322=""),"",
IF(T$32&lt;=INDEX(BENG1_eis_grenswaarde_1,T$322),
      INDEX(BENG1_eis_Als_deeldoor_Ag_kleiner_dan_grenswaarde_1,T$322),
IF(T$32&lt;=INDEX(BENG1_eis_grenswaarde_2,T$322),
      INDEX(BENG1_eis_C1,T$322) + INDEX(BENG1_eis_C2,T$322) * (T$32 - INDEX(BENG1_eis_C3,T$322) ),
      INDEX(BENG1_eis_C4,T$322)  + INDEX(BENG1_eis_C5,T$322) * (T$32 - INDEX(BENG1_eis_C6,T$322) ))))</f>
        <v/>
      </c>
      <c r="U324" s="1155" t="str" cm="1">
        <f t="array" ref="U324">IF(OR(U$17="",U$38="",U$40="",U$322=""),"",
IF(U$32&lt;=INDEX(BENG1_eis_grenswaarde_1,U$322),
      INDEX(BENG1_eis_Als_deeldoor_Ag_kleiner_dan_grenswaarde_1,U$322),
IF(U$32&lt;=INDEX(BENG1_eis_grenswaarde_2,U$322),
      INDEX(BENG1_eis_C1,U$322) + INDEX(BENG1_eis_C2,U$322) * (U$32 - INDEX(BENG1_eis_C3,U$322) ),
      INDEX(BENG1_eis_C4,U$322)  + INDEX(BENG1_eis_C5,U$322) * (U$32 - INDEX(BENG1_eis_C6,U$322) ))))</f>
        <v/>
      </c>
      <c r="V324" s="1155" t="str" cm="1">
        <f t="array" ref="V324">IF(OR(V$17="",V$38="",V$40="",V$322=""),"",
IF(V$32&lt;=INDEX(BENG1_eis_grenswaarde_1,V$322),
      INDEX(BENG1_eis_Als_deeldoor_Ag_kleiner_dan_grenswaarde_1,V$322),
IF(V$32&lt;=INDEX(BENG1_eis_grenswaarde_2,V$322),
      INDEX(BENG1_eis_C1,V$322) + INDEX(BENG1_eis_C2,V$322) * (V$32 - INDEX(BENG1_eis_C3,V$322) ),
      INDEX(BENG1_eis_C4,V$322)  + INDEX(BENG1_eis_C5,V$322) * (V$32 - INDEX(BENG1_eis_C6,V$322) ))))</f>
        <v/>
      </c>
      <c r="W324" s="1155" t="str" cm="1">
        <f t="array" ref="W324">IF(OR(W$17="",W$38="",W$40="",W$322=""),"",
IF(W$32&lt;=INDEX(BENG1_eis_grenswaarde_1,W$322),
      INDEX(BENG1_eis_Als_deeldoor_Ag_kleiner_dan_grenswaarde_1,W$322),
IF(W$32&lt;=INDEX(BENG1_eis_grenswaarde_2,W$322),
      INDEX(BENG1_eis_C1,W$322) + INDEX(BENG1_eis_C2,W$322) * (W$32 - INDEX(BENG1_eis_C3,W$322) ),
      INDEX(BENG1_eis_C4,W$322)  + INDEX(BENG1_eis_C5,W$322) * (W$32 - INDEX(BENG1_eis_C6,W$322) ))))</f>
        <v/>
      </c>
      <c r="X324" s="108"/>
      <c r="Y324" s="206"/>
      <c r="Z324" s="1091"/>
      <c r="AA324" s="542" t="str" cm="1">
        <f t="array" ref="AA324">IF(OR(AA$17="",AA$38="",AA$40="",AA$322=""),"",
IF(AA$32&lt;=INDEX(BENG1_eis_grenswaarde_1,AA$322),
      INDEX(BENG1_eis_Als_deeldoor_Ag_kleiner_dan_grenswaarde_1,AA$322),
IF(AA$32&lt;=INDEX(BENG1_eis_grenswaarde_2,AA$322),
      INDEX(BENG1_eis_C1,AA$322) + INDEX(BENG1_eis_C2,AA$322) * (AA$32 - INDEX(BENG1_eis_C3,AA$322) ),
      INDEX(BENG1_eis_C4,AA$322)  + INDEX(BENG1_eis_C5,AA$322) * (AA$32 - INDEX(BENG1_eis_C6,AA$322) ))))</f>
        <v/>
      </c>
      <c r="AB324" s="542" t="str" cm="1">
        <f t="array" ref="AB324">IF(OR(AB$17="",AB$38="",AB$40="",AB$322=""),"",
IF(AB$32&lt;=INDEX(BENG1_eis_grenswaarde_1,AB$322),
      INDEX(BENG1_eis_Als_deeldoor_Ag_kleiner_dan_grenswaarde_1,AB$322),
IF(AB$32&lt;=INDEX(BENG1_eis_grenswaarde_2,AB$322),
      INDEX(BENG1_eis_C1,AB$322) + INDEX(BENG1_eis_C2,AB$322) * (AB$32 - INDEX(BENG1_eis_C3,AB$322) ),
      INDEX(BENG1_eis_C4,AB$322)  + INDEX(BENG1_eis_C5,AB$322) * (AB$32 - INDEX(BENG1_eis_C6,AB$322) ))))</f>
        <v/>
      </c>
      <c r="AC324" s="542" t="str" cm="1">
        <f t="array" ref="AC324">IF(OR(AC$17="",AC$38="",AC$40="",AC$322=""),"",
IF(AC$32&lt;=INDEX(BENG1_eis_grenswaarde_1,AC$322),
      INDEX(BENG1_eis_Als_deeldoor_Ag_kleiner_dan_grenswaarde_1,AC$322),
IF(AC$32&lt;=INDEX(BENG1_eis_grenswaarde_2,AC$322),
      INDEX(BENG1_eis_C1,AC$322) + INDEX(BENG1_eis_C2,AC$322) * (AC$32 - INDEX(BENG1_eis_C3,AC$322) ),
      INDEX(BENG1_eis_C4,AC$322)  + INDEX(BENG1_eis_C5,AC$322) * (AC$32 - INDEX(BENG1_eis_C6,AC$322) ))))</f>
        <v/>
      </c>
      <c r="AD324" s="542" t="str" cm="1">
        <f t="array" ref="AD324">IF(OR(AD$17="",AD$38="",AD$40="",AD$322=""),"",
IF(AD$32&lt;=INDEX(BENG1_eis_grenswaarde_1,AD$322),
      INDEX(BENG1_eis_Als_deeldoor_Ag_kleiner_dan_grenswaarde_1,AD$322),
IF(AD$32&lt;=INDEX(BENG1_eis_grenswaarde_2,AD$322),
      INDEX(BENG1_eis_C1,AD$322) + INDEX(BENG1_eis_C2,AD$322) * (AD$32 - INDEX(BENG1_eis_C3,AD$322) ),
      INDEX(BENG1_eis_C4,AD$322)  + INDEX(BENG1_eis_C5,AD$322) * (AD$32 - INDEX(BENG1_eis_C6,AD$322) ))))</f>
        <v/>
      </c>
      <c r="AE324" s="542" t="str" cm="1">
        <f t="array" ref="AE324">IF(OR(AE$17="",AE$38="",AE$40="",AE$322=""),"",
IF(AE$32&lt;=INDEX(BENG1_eis_grenswaarde_1,AE$322),
      INDEX(BENG1_eis_Als_deeldoor_Ag_kleiner_dan_grenswaarde_1,AE$322),
IF(AE$32&lt;=INDEX(BENG1_eis_grenswaarde_2,AE$322),
      INDEX(BENG1_eis_C1,AE$322) + INDEX(BENG1_eis_C2,AE$322) * (AE$32 - INDEX(BENG1_eis_C3,AE$322) ),
      INDEX(BENG1_eis_C4,AE$322)  + INDEX(BENG1_eis_C5,AE$322) * (AE$32 - INDEX(BENG1_eis_C6,AE$322) ))))</f>
        <v/>
      </c>
      <c r="AF324" s="542" t="str" cm="1">
        <f t="array" ref="AF324">IF(OR(AF$17="",AF$38="",AF$40="",AF$322=""),"",
IF(AF$32&lt;=INDEX(BENG1_eis_grenswaarde_1,AF$322),
      INDEX(BENG1_eis_Als_deeldoor_Ag_kleiner_dan_grenswaarde_1,AF$322),
IF(AF$32&lt;=INDEX(BENG1_eis_grenswaarde_2,AF$322),
      INDEX(BENG1_eis_C1,AF$322) + INDEX(BENG1_eis_C2,AF$322) * (AF$32 - INDEX(BENG1_eis_C3,AF$322) ),
      INDEX(BENG1_eis_C4,AF$322)  + INDEX(BENG1_eis_C5,AF$322) * (AF$32 - INDEX(BENG1_eis_C6,AF$322) ))))</f>
        <v/>
      </c>
      <c r="AG324" s="542" t="str" cm="1">
        <f t="array" ref="AG324">IF(OR(AG$17="",AG$38="",AG$40="",AG$322=""),"",
IF(AG$32&lt;=INDEX(BENG1_eis_grenswaarde_1,AG$322),
      INDEX(BENG1_eis_Als_deeldoor_Ag_kleiner_dan_grenswaarde_1,AG$322),
IF(AG$32&lt;=INDEX(BENG1_eis_grenswaarde_2,AG$322),
      INDEX(BENG1_eis_C1,AG$322) + INDEX(BENG1_eis_C2,AG$322) * (AG$32 - INDEX(BENG1_eis_C3,AG$322) ),
      INDEX(BENG1_eis_C4,AG$322)  + INDEX(BENG1_eis_C5,AG$322) * (AG$32 - INDEX(BENG1_eis_C6,AG$322) ))))</f>
        <v/>
      </c>
      <c r="AH324" s="542" t="str" cm="1">
        <f t="array" ref="AH324">IF(OR(AH$17="",AH$38="",AH$40="",AH$322=""),"",
IF(AH$32&lt;=INDEX(BENG1_eis_grenswaarde_1,AH$322),
      INDEX(BENG1_eis_Als_deeldoor_Ag_kleiner_dan_grenswaarde_1,AH$322),
IF(AH$32&lt;=INDEX(BENG1_eis_grenswaarde_2,AH$322),
      INDEX(BENG1_eis_C1,AH$322) + INDEX(BENG1_eis_C2,AH$322) * (AH$32 - INDEX(BENG1_eis_C3,AH$322) ),
      INDEX(BENG1_eis_C4,AH$322)  + INDEX(BENG1_eis_C5,AH$322) * (AH$32 - INDEX(BENG1_eis_C6,AH$322) ))))</f>
        <v/>
      </c>
      <c r="AI324" s="542" t="str" cm="1">
        <f t="array" ref="AI324">IF(OR(AI$17="",AI$38="",AI$40="",AI$322=""),"",
IF(AI$32&lt;=INDEX(BENG1_eis_grenswaarde_1,AI$322),
      INDEX(BENG1_eis_Als_deeldoor_Ag_kleiner_dan_grenswaarde_1,AI$322),
IF(AI$32&lt;=INDEX(BENG1_eis_grenswaarde_2,AI$322),
      INDEX(BENG1_eis_C1,AI$322) + INDEX(BENG1_eis_C2,AI$322) * (AI$32 - INDEX(BENG1_eis_C3,AI$322) ),
      INDEX(BENG1_eis_C4,AI$322)  + INDEX(BENG1_eis_C5,AI$322) * (AI$32 - INDEX(BENG1_eis_C6,AI$322) ))))</f>
        <v/>
      </c>
      <c r="AJ324" s="108"/>
      <c r="AK324" s="206"/>
      <c r="AL324" s="1091"/>
      <c r="AM324" s="542" t="str" cm="1">
        <f t="array" ref="AM324">IF(OR(AM$17="",AM$38="",AM$40="",AM$322=""),"",
IF(AM$32&lt;=INDEX(BENG1_eis_grenswaarde_1,AM$322),
      INDEX(BENG1_eis_Als_deeldoor_Ag_kleiner_dan_grenswaarde_1,AM$322),
IF(AM$32&lt;=INDEX(BENG1_eis_grenswaarde_2,AM$322),
      INDEX(BENG1_eis_C1,AM$322) + INDEX(BENG1_eis_C2,AM$322) * (AM$32 - INDEX(BENG1_eis_C3,AM$322) ),
      INDEX(BENG1_eis_C4,AM$322)  + INDEX(BENG1_eis_C5,AM$322) * (AM$32 - INDEX(BENG1_eis_C6,AM$322) ))))</f>
        <v/>
      </c>
      <c r="AN324" s="542" t="str" cm="1">
        <f t="array" ref="AN324">IF(OR(AN$17="",AN$38="",AN$40="",AN$322=""),"",
IF(AN$32&lt;=INDEX(BENG1_eis_grenswaarde_1,AN$322),
      INDEX(BENG1_eis_Als_deeldoor_Ag_kleiner_dan_grenswaarde_1,AN$322),
IF(AN$32&lt;=INDEX(BENG1_eis_grenswaarde_2,AN$322),
      INDEX(BENG1_eis_C1,AN$322) + INDEX(BENG1_eis_C2,AN$322) * (AN$32 - INDEX(BENG1_eis_C3,AN$322) ),
      INDEX(BENG1_eis_C4,AN$322)  + INDEX(BENG1_eis_C5,AN$322) * (AN$32 - INDEX(BENG1_eis_C6,AN$322) ))))</f>
        <v/>
      </c>
      <c r="AO324" s="542" t="str" cm="1">
        <f t="array" ref="AO324">IF(OR(AO$17="",AO$38="",AO$40="",AO$322=""),"",
IF(AO$32&lt;=INDEX(BENG1_eis_grenswaarde_1,AO$322),
      INDEX(BENG1_eis_Als_deeldoor_Ag_kleiner_dan_grenswaarde_1,AO$322),
IF(AO$32&lt;=INDEX(BENG1_eis_grenswaarde_2,AO$322),
      INDEX(BENG1_eis_C1,AO$322) + INDEX(BENG1_eis_C2,AO$322) * (AO$32 - INDEX(BENG1_eis_C3,AO$322) ),
      INDEX(BENG1_eis_C4,AO$322)  + INDEX(BENG1_eis_C5,AO$322) * (AO$32 - INDEX(BENG1_eis_C6,AO$322) ))))</f>
        <v/>
      </c>
      <c r="AP324" s="542" t="str" cm="1">
        <f t="array" ref="AP324">IF(OR(AP$17="",AP$38="",AP$40="",AP$322=""),"",
IF(AP$32&lt;=INDEX(BENG1_eis_grenswaarde_1,AP$322),
      INDEX(BENG1_eis_Als_deeldoor_Ag_kleiner_dan_grenswaarde_1,AP$322),
IF(AP$32&lt;=INDEX(BENG1_eis_grenswaarde_2,AP$322),
      INDEX(BENG1_eis_C1,AP$322) + INDEX(BENG1_eis_C2,AP$322) * (AP$32 - INDEX(BENG1_eis_C3,AP$322) ),
      INDEX(BENG1_eis_C4,AP$322)  + INDEX(BENG1_eis_C5,AP$322) * (AP$32 - INDEX(BENG1_eis_C6,AP$322) ))))</f>
        <v/>
      </c>
      <c r="AQ324" s="542" t="str" cm="1">
        <f t="array" ref="AQ324">IF(OR(AQ$17="",AQ$38="",AQ$40="",AQ$322=""),"",
IF(AQ$32&lt;=INDEX(BENG1_eis_grenswaarde_1,AQ$322),
      INDEX(BENG1_eis_Als_deeldoor_Ag_kleiner_dan_grenswaarde_1,AQ$322),
IF(AQ$32&lt;=INDEX(BENG1_eis_grenswaarde_2,AQ$322),
      INDEX(BENG1_eis_C1,AQ$322) + INDEX(BENG1_eis_C2,AQ$322) * (AQ$32 - INDEX(BENG1_eis_C3,AQ$322) ),
      INDEX(BENG1_eis_C4,AQ$322)  + INDEX(BENG1_eis_C5,AQ$322) * (AQ$32 - INDEX(BENG1_eis_C6,AQ$322) ))))</f>
        <v/>
      </c>
      <c r="AR324" s="542" t="str" cm="1">
        <f t="array" ref="AR324">IF(OR(AR$17="",AR$38="",AR$40="",AR$322=""),"",
IF(AR$32&lt;=INDEX(BENG1_eis_grenswaarde_1,AR$322),
      INDEX(BENG1_eis_Als_deeldoor_Ag_kleiner_dan_grenswaarde_1,AR$322),
IF(AR$32&lt;=INDEX(BENG1_eis_grenswaarde_2,AR$322),
      INDEX(BENG1_eis_C1,AR$322) + INDEX(BENG1_eis_C2,AR$322) * (AR$32 - INDEX(BENG1_eis_C3,AR$322) ),
      INDEX(BENG1_eis_C4,AR$322)  + INDEX(BENG1_eis_C5,AR$322) * (AR$32 - INDEX(BENG1_eis_C6,AR$322) ))))</f>
        <v/>
      </c>
      <c r="AS324" s="542" t="str" cm="1">
        <f t="array" ref="AS324">IF(OR(AS$17="",AS$38="",AS$40="",AS$322=""),"",
IF(AS$32&lt;=INDEX(BENG1_eis_grenswaarde_1,AS$322),
      INDEX(BENG1_eis_Als_deeldoor_Ag_kleiner_dan_grenswaarde_1,AS$322),
IF(AS$32&lt;=INDEX(BENG1_eis_grenswaarde_2,AS$322),
      INDEX(BENG1_eis_C1,AS$322) + INDEX(BENG1_eis_C2,AS$322) * (AS$32 - INDEX(BENG1_eis_C3,AS$322) ),
      INDEX(BENG1_eis_C4,AS$322)  + INDEX(BENG1_eis_C5,AS$322) * (AS$32 - INDEX(BENG1_eis_C6,AS$322) ))))</f>
        <v/>
      </c>
      <c r="AT324" s="542" t="str" cm="1">
        <f t="array" ref="AT324">IF(OR(AT$17="",AT$38="",AT$40="",AT$322=""),"",
IF(AT$32&lt;=INDEX(BENG1_eis_grenswaarde_1,AT$322),
      INDEX(BENG1_eis_Als_deeldoor_Ag_kleiner_dan_grenswaarde_1,AT$322),
IF(AT$32&lt;=INDEX(BENG1_eis_grenswaarde_2,AT$322),
      INDEX(BENG1_eis_C1,AT$322) + INDEX(BENG1_eis_C2,AT$322) * (AT$32 - INDEX(BENG1_eis_C3,AT$322) ),
      INDEX(BENG1_eis_C4,AT$322)  + INDEX(BENG1_eis_C5,AT$322) * (AT$32 - INDEX(BENG1_eis_C6,AT$322) ))))</f>
        <v/>
      </c>
      <c r="AU324" s="542" t="str" cm="1">
        <f t="array" ref="AU324">IF(OR(AU$17="",AU$38="",AU$40="",AU$322=""),"",
IF(AU$32&lt;=INDEX(BENG1_eis_grenswaarde_1,AU$322),
      INDEX(BENG1_eis_Als_deeldoor_Ag_kleiner_dan_grenswaarde_1,AU$322),
IF(AU$32&lt;=INDEX(BENG1_eis_grenswaarde_2,AU$322),
      INDEX(BENG1_eis_C1,AU$322) + INDEX(BENG1_eis_C2,AU$322) * (AU$32 - INDEX(BENG1_eis_C3,AU$322) ),
      INDEX(BENG1_eis_C4,AU$322)  + INDEX(BENG1_eis_C5,AU$322) * (AU$32 - INDEX(BENG1_eis_C6,AU$322) ))))</f>
        <v/>
      </c>
      <c r="AV324" s="108"/>
      <c r="AW324" s="206"/>
      <c r="AX324" s="1091"/>
      <c r="AY324" s="542" t="str" cm="1">
        <f t="array" ref="AY324">IF(OR(AY$17="",AY$38="",AY$40="",AY$322=""),"",
IF(AY$32&lt;=INDEX(BENG1_eis_grenswaarde_1,AY$322),
      INDEX(BENG1_eis_Als_deeldoor_Ag_kleiner_dan_grenswaarde_1,AY$322),
IF(AY$32&lt;=INDEX(BENG1_eis_grenswaarde_2,AY$322),
      INDEX(BENG1_eis_C1,AY$322) + INDEX(BENG1_eis_C2,AY$322) * (AY$32 - INDEX(BENG1_eis_C3,AY$322) ),
      INDEX(BENG1_eis_C4,AY$322)  + INDEX(BENG1_eis_C5,AY$322) * (AY$32 - INDEX(BENG1_eis_C6,AY$322) ))))</f>
        <v/>
      </c>
      <c r="AZ324" s="542" t="str" cm="1">
        <f t="array" ref="AZ324">IF(OR(AZ$17="",AZ$38="",AZ$40="",AZ$322=""),"",
IF(AZ$32&lt;=INDEX(BENG1_eis_grenswaarde_1,AZ$322),
      INDEX(BENG1_eis_Als_deeldoor_Ag_kleiner_dan_grenswaarde_1,AZ$322),
IF(AZ$32&lt;=INDEX(BENG1_eis_grenswaarde_2,AZ$322),
      INDEX(BENG1_eis_C1,AZ$322) + INDEX(BENG1_eis_C2,AZ$322) * (AZ$32 - INDEX(BENG1_eis_C3,AZ$322) ),
      INDEX(BENG1_eis_C4,AZ$322)  + INDEX(BENG1_eis_C5,AZ$322) * (AZ$32 - INDEX(BENG1_eis_C6,AZ$322) ))))</f>
        <v/>
      </c>
      <c r="BA324" s="542" t="str" cm="1">
        <f t="array" ref="BA324">IF(OR(BA$17="",BA$38="",BA$40="",BA$322=""),"",
IF(BA$32&lt;=INDEX(BENG1_eis_grenswaarde_1,BA$322),
      INDEX(BENG1_eis_Als_deeldoor_Ag_kleiner_dan_grenswaarde_1,BA$322),
IF(BA$32&lt;=INDEX(BENG1_eis_grenswaarde_2,BA$322),
      INDEX(BENG1_eis_C1,BA$322) + INDEX(BENG1_eis_C2,BA$322) * (BA$32 - INDEX(BENG1_eis_C3,BA$322) ),
      INDEX(BENG1_eis_C4,BA$322)  + INDEX(BENG1_eis_C5,BA$322) * (BA$32 - INDEX(BENG1_eis_C6,BA$322) ))))</f>
        <v/>
      </c>
      <c r="BB324" s="542" t="str" cm="1">
        <f t="array" ref="BB324">IF(OR(BB$17="",BB$38="",BB$40="",BB$322=""),"",
IF(BB$32&lt;=INDEX(BENG1_eis_grenswaarde_1,BB$322),
      INDEX(BENG1_eis_Als_deeldoor_Ag_kleiner_dan_grenswaarde_1,BB$322),
IF(BB$32&lt;=INDEX(BENG1_eis_grenswaarde_2,BB$322),
      INDEX(BENG1_eis_C1,BB$322) + INDEX(BENG1_eis_C2,BB$322) * (BB$32 - INDEX(BENG1_eis_C3,BB$322) ),
      INDEX(BENG1_eis_C4,BB$322)  + INDEX(BENG1_eis_C5,BB$322) * (BB$32 - INDEX(BENG1_eis_C6,BB$322) ))))</f>
        <v/>
      </c>
      <c r="BC324" s="542" t="str" cm="1">
        <f t="array" ref="BC324">IF(OR(BC$17="",BC$38="",BC$40="",BC$322=""),"",
IF(BC$32&lt;=INDEX(BENG1_eis_grenswaarde_1,BC$322),
      INDEX(BENG1_eis_Als_deeldoor_Ag_kleiner_dan_grenswaarde_1,BC$322),
IF(BC$32&lt;=INDEX(BENG1_eis_grenswaarde_2,BC$322),
      INDEX(BENG1_eis_C1,BC$322) + INDEX(BENG1_eis_C2,BC$322) * (BC$32 - INDEX(BENG1_eis_C3,BC$322) ),
      INDEX(BENG1_eis_C4,BC$322)  + INDEX(BENG1_eis_C5,BC$322) * (BC$32 - INDEX(BENG1_eis_C6,BC$322) ))))</f>
        <v/>
      </c>
      <c r="BD324" s="542" t="str" cm="1">
        <f t="array" ref="BD324">IF(OR(BD$17="",BD$38="",BD$40="",BD$322=""),"",
IF(BD$32&lt;=INDEX(BENG1_eis_grenswaarde_1,BD$322),
      INDEX(BENG1_eis_Als_deeldoor_Ag_kleiner_dan_grenswaarde_1,BD$322),
IF(BD$32&lt;=INDEX(BENG1_eis_grenswaarde_2,BD$322),
      INDEX(BENG1_eis_C1,BD$322) + INDEX(BENG1_eis_C2,BD$322) * (BD$32 - INDEX(BENG1_eis_C3,BD$322) ),
      INDEX(BENG1_eis_C4,BD$322)  + INDEX(BENG1_eis_C5,BD$322) * (BD$32 - INDEX(BENG1_eis_C6,BD$322) ))))</f>
        <v/>
      </c>
      <c r="BE324" s="542" t="str" cm="1">
        <f t="array" ref="BE324">IF(OR(BE$17="",BE$38="",BE$40="",BE$322=""),"",
IF(BE$32&lt;=INDEX(BENG1_eis_grenswaarde_1,BE$322),
      INDEX(BENG1_eis_Als_deeldoor_Ag_kleiner_dan_grenswaarde_1,BE$322),
IF(BE$32&lt;=INDEX(BENG1_eis_grenswaarde_2,BE$322),
      INDEX(BENG1_eis_C1,BE$322) + INDEX(BENG1_eis_C2,BE$322) * (BE$32 - INDEX(BENG1_eis_C3,BE$322) ),
      INDEX(BENG1_eis_C4,BE$322)  + INDEX(BENG1_eis_C5,BE$322) * (BE$32 - INDEX(BENG1_eis_C6,BE$322) ))))</f>
        <v/>
      </c>
      <c r="BF324" s="542" t="str" cm="1">
        <f t="array" ref="BF324">IF(OR(BF$17="",BF$38="",BF$40="",BF$322=""),"",
IF(BF$32&lt;=INDEX(BENG1_eis_grenswaarde_1,BF$322),
      INDEX(BENG1_eis_Als_deeldoor_Ag_kleiner_dan_grenswaarde_1,BF$322),
IF(BF$32&lt;=INDEX(BENG1_eis_grenswaarde_2,BF$322),
      INDEX(BENG1_eis_C1,BF$322) + INDEX(BENG1_eis_C2,BF$322) * (BF$32 - INDEX(BENG1_eis_C3,BF$322) ),
      INDEX(BENG1_eis_C4,BF$322)  + INDEX(BENG1_eis_C5,BF$322) * (BF$32 - INDEX(BENG1_eis_C6,BF$322) ))))</f>
        <v/>
      </c>
      <c r="BG324" s="542" t="str" cm="1">
        <f t="array" ref="BG324">IF(OR(BG$17="",BG$38="",BG$40="",BG$322=""),"",
IF(BG$32&lt;=INDEX(BENG1_eis_grenswaarde_1,BG$322),
      INDEX(BENG1_eis_Als_deeldoor_Ag_kleiner_dan_grenswaarde_1,BG$322),
IF(BG$32&lt;=INDEX(BENG1_eis_grenswaarde_2,BG$322),
      INDEX(BENG1_eis_C1,BG$322) + INDEX(BENG1_eis_C2,BG$322) * (BG$32 - INDEX(BENG1_eis_C3,BG$322) ),
      INDEX(BENG1_eis_C4,BG$322)  + INDEX(BENG1_eis_C5,BG$322) * (BG$32 - INDEX(BENG1_eis_C6,BG$322) ))))</f>
        <v/>
      </c>
      <c r="BH324" s="210"/>
    </row>
    <row r="325" spans="1:60">
      <c r="A325" s="1040"/>
      <c r="B325" s="1109" t="s">
        <v>1223</v>
      </c>
      <c r="C325" s="1107" t="s">
        <v>104</v>
      </c>
      <c r="D325" s="641"/>
      <c r="E325" s="203" t="s">
        <v>276</v>
      </c>
      <c r="F325" s="203"/>
      <c r="G325" s="203"/>
      <c r="H325" s="204" t="s">
        <v>267</v>
      </c>
      <c r="I325" s="205"/>
      <c r="J325" s="206"/>
      <c r="K325" s="79"/>
      <c r="L325" s="79"/>
      <c r="M325" s="206"/>
      <c r="N325" s="205"/>
      <c r="O325" s="1155" t="str" cm="1">
        <f t="array" ref="O325">IF(O$322="","",INDEX(BENG2_eis,O$322))</f>
        <v/>
      </c>
      <c r="P325" s="1155" t="str" cm="1">
        <f t="array" ref="P325">IF(P$322="","",INDEX(BENG2_eis,P$322))</f>
        <v/>
      </c>
      <c r="Q325" s="1155" t="str" cm="1">
        <f t="array" ref="Q325">IF(Q$322="","",INDEX(BENG2_eis,Q$322))</f>
        <v/>
      </c>
      <c r="R325" s="1155" t="str" cm="1">
        <f t="array" ref="R325">IF(R$322="","",INDEX(BENG2_eis,R$322))</f>
        <v/>
      </c>
      <c r="S325" s="1155" t="str" cm="1">
        <f t="array" ref="S325">IF(S$322="","",INDEX(BENG2_eis,S$322))</f>
        <v/>
      </c>
      <c r="T325" s="1155" t="str" cm="1">
        <f t="array" ref="T325">IF(T$322="","",INDEX(BENG2_eis,T$322))</f>
        <v/>
      </c>
      <c r="U325" s="1155" t="str" cm="1">
        <f t="array" ref="U325">IF(U$322="","",INDEX(BENG2_eis,U$322))</f>
        <v/>
      </c>
      <c r="V325" s="1155" t="str" cm="1">
        <f t="array" ref="V325">IF(V$322="","",INDEX(BENG2_eis,V$322))</f>
        <v/>
      </c>
      <c r="W325" s="1155" t="str" cm="1">
        <f t="array" ref="W325">IF(W$322="","",INDEX(BENG2_eis,W$322))</f>
        <v/>
      </c>
      <c r="X325" s="108"/>
      <c r="Y325" s="206"/>
      <c r="Z325" s="1091"/>
      <c r="AA325" s="542" t="str" cm="1">
        <f t="array" ref="AA325">IF(AA$322="","",INDEX(BENG2_eis,AA$322))</f>
        <v/>
      </c>
      <c r="AB325" s="542" t="str" cm="1">
        <f t="array" ref="AB325">IF(AB$322="","",INDEX(BENG2_eis,AB$322))</f>
        <v/>
      </c>
      <c r="AC325" s="542" t="str" cm="1">
        <f t="array" ref="AC325">IF(AC$322="","",INDEX(BENG2_eis,AC$322))</f>
        <v/>
      </c>
      <c r="AD325" s="542" t="str" cm="1">
        <f t="array" ref="AD325">IF(AD$322="","",INDEX(BENG2_eis,AD$322))</f>
        <v/>
      </c>
      <c r="AE325" s="542" t="str" cm="1">
        <f t="array" ref="AE325">IF(AE$322="","",INDEX(BENG2_eis,AE$322))</f>
        <v/>
      </c>
      <c r="AF325" s="542" t="str" cm="1">
        <f t="array" ref="AF325">IF(AF$322="","",INDEX(BENG2_eis,AF$322))</f>
        <v/>
      </c>
      <c r="AG325" s="542" t="str" cm="1">
        <f t="array" ref="AG325">IF(AG$322="","",INDEX(BENG2_eis,AG$322))</f>
        <v/>
      </c>
      <c r="AH325" s="542" t="str" cm="1">
        <f t="array" ref="AH325">IF(AH$322="","",INDEX(BENG2_eis,AH$322))</f>
        <v/>
      </c>
      <c r="AI325" s="542" t="str" cm="1">
        <f t="array" ref="AI325">IF(AI$322="","",INDEX(BENG2_eis,AI$322))</f>
        <v/>
      </c>
      <c r="AJ325" s="108"/>
      <c r="AK325" s="206"/>
      <c r="AL325" s="1091"/>
      <c r="AM325" s="542" t="str" cm="1">
        <f t="array" ref="AM325">IF(AM$322="","",INDEX(BENG2_eis,AM$322))</f>
        <v/>
      </c>
      <c r="AN325" s="542" t="str" cm="1">
        <f t="array" ref="AN325">IF(AN$322="","",INDEX(BENG2_eis,AN$322))</f>
        <v/>
      </c>
      <c r="AO325" s="542" t="str" cm="1">
        <f t="array" ref="AO325">IF(AO$322="","",INDEX(BENG2_eis,AO$322))</f>
        <v/>
      </c>
      <c r="AP325" s="542" t="str" cm="1">
        <f t="array" ref="AP325">IF(AP$322="","",INDEX(BENG2_eis,AP$322))</f>
        <v/>
      </c>
      <c r="AQ325" s="542" t="str" cm="1">
        <f t="array" ref="AQ325">IF(AQ$322="","",INDEX(BENG2_eis,AQ$322))</f>
        <v/>
      </c>
      <c r="AR325" s="542" t="str" cm="1">
        <f t="array" ref="AR325">IF(AR$322="","",INDEX(BENG2_eis,AR$322))</f>
        <v/>
      </c>
      <c r="AS325" s="542" t="str" cm="1">
        <f t="array" ref="AS325">IF(AS$322="","",INDEX(BENG2_eis,AS$322))</f>
        <v/>
      </c>
      <c r="AT325" s="542" t="str" cm="1">
        <f t="array" ref="AT325">IF(AT$322="","",INDEX(BENG2_eis,AT$322))</f>
        <v/>
      </c>
      <c r="AU325" s="542" t="str" cm="1">
        <f t="array" ref="AU325">IF(AU$322="","",INDEX(BENG2_eis,AU$322))</f>
        <v/>
      </c>
      <c r="AV325" s="108"/>
      <c r="AW325" s="206"/>
      <c r="AX325" s="1091"/>
      <c r="AY325" s="542" t="str" cm="1">
        <f t="array" ref="AY325">IF(AY$322="","",INDEX(BENG2_eis,AY$322))</f>
        <v/>
      </c>
      <c r="AZ325" s="542" t="str" cm="1">
        <f t="array" ref="AZ325">IF(AZ$322="","",INDEX(BENG2_eis,AZ$322))</f>
        <v/>
      </c>
      <c r="BA325" s="542" t="str" cm="1">
        <f t="array" ref="BA325">IF(BA$322="","",INDEX(BENG2_eis,BA$322))</f>
        <v/>
      </c>
      <c r="BB325" s="542" t="str" cm="1">
        <f t="array" ref="BB325">IF(BB$322="","",INDEX(BENG2_eis,BB$322))</f>
        <v/>
      </c>
      <c r="BC325" s="542" t="str" cm="1">
        <f t="array" ref="BC325">IF(BC$322="","",INDEX(BENG2_eis,BC$322))</f>
        <v/>
      </c>
      <c r="BD325" s="542" t="str" cm="1">
        <f t="array" ref="BD325">IF(BD$322="","",INDEX(BENG2_eis,BD$322))</f>
        <v/>
      </c>
      <c r="BE325" s="542" t="str" cm="1">
        <f t="array" ref="BE325">IF(BE$322="","",INDEX(BENG2_eis,BE$322))</f>
        <v/>
      </c>
      <c r="BF325" s="542" t="str" cm="1">
        <f t="array" ref="BF325">IF(BF$322="","",INDEX(BENG2_eis,BF$322))</f>
        <v/>
      </c>
      <c r="BG325" s="542" t="str" cm="1">
        <f t="array" ref="BG325">IF(BG$322="","",INDEX(BENG2_eis,BG$322))</f>
        <v/>
      </c>
      <c r="BH325" s="210"/>
    </row>
    <row r="326" spans="1:60">
      <c r="A326" s="1040"/>
      <c r="B326" s="1109" t="s">
        <v>1223</v>
      </c>
      <c r="C326" s="1107" t="s">
        <v>104</v>
      </c>
      <c r="D326" s="641"/>
      <c r="E326" s="203" t="s">
        <v>277</v>
      </c>
      <c r="F326" s="203"/>
      <c r="G326" s="203"/>
      <c r="H326" s="204" t="s">
        <v>139</v>
      </c>
      <c r="I326" s="205"/>
      <c r="J326" s="206"/>
      <c r="K326" s="79"/>
      <c r="L326" s="79"/>
      <c r="M326" s="206"/>
      <c r="N326" s="205"/>
      <c r="O326" s="1155" t="str" cm="1">
        <f t="array" ref="O326">IF(O$322="","",INDEX(BENG3_eis,O$322))</f>
        <v/>
      </c>
      <c r="P326" s="1155" t="str" cm="1">
        <f t="array" ref="P326">IF(P$322="","",INDEX(BENG3_eis,P$322))</f>
        <v/>
      </c>
      <c r="Q326" s="1155" t="str" cm="1">
        <f t="array" ref="Q326">IF(Q$322="","",INDEX(BENG3_eis,Q$322))</f>
        <v/>
      </c>
      <c r="R326" s="1155" t="str" cm="1">
        <f t="array" ref="R326">IF(R$322="","",INDEX(BENG3_eis,R$322))</f>
        <v/>
      </c>
      <c r="S326" s="1155" t="str" cm="1">
        <f t="array" ref="S326">IF(S$322="","",INDEX(BENG3_eis,S$322))</f>
        <v/>
      </c>
      <c r="T326" s="1155" t="str" cm="1">
        <f t="array" ref="T326">IF(T$322="","",INDEX(BENG3_eis,T$322))</f>
        <v/>
      </c>
      <c r="U326" s="1155" t="str" cm="1">
        <f t="array" ref="U326">IF(U$322="","",INDEX(BENG3_eis,U$322))</f>
        <v/>
      </c>
      <c r="V326" s="1155" t="str" cm="1">
        <f t="array" ref="V326">IF(V$322="","",INDEX(BENG3_eis,V$322))</f>
        <v/>
      </c>
      <c r="W326" s="1155" t="str" cm="1">
        <f t="array" ref="W326">IF(W$322="","",INDEX(BENG3_eis,W$322))</f>
        <v/>
      </c>
      <c r="X326" s="108"/>
      <c r="Y326" s="206"/>
      <c r="Z326" s="1091"/>
      <c r="AA326" s="542" t="str" cm="1">
        <f t="array" ref="AA326">IF(AA$322="","",INDEX(BENG3_eis,AA$322))</f>
        <v/>
      </c>
      <c r="AB326" s="542" t="str" cm="1">
        <f t="array" ref="AB326">IF(AB$322="","",INDEX(BENG3_eis,AB$322))</f>
        <v/>
      </c>
      <c r="AC326" s="542" t="str" cm="1">
        <f t="array" ref="AC326">IF(AC$322="","",INDEX(BENG3_eis,AC$322))</f>
        <v/>
      </c>
      <c r="AD326" s="542" t="str" cm="1">
        <f t="array" ref="AD326">IF(AD$322="","",INDEX(BENG3_eis,AD$322))</f>
        <v/>
      </c>
      <c r="AE326" s="542" t="str" cm="1">
        <f t="array" ref="AE326">IF(AE$322="","",INDEX(BENG3_eis,AE$322))</f>
        <v/>
      </c>
      <c r="AF326" s="542" t="str" cm="1">
        <f t="array" ref="AF326">IF(AF$322="","",INDEX(BENG3_eis,AF$322))</f>
        <v/>
      </c>
      <c r="AG326" s="542" t="str" cm="1">
        <f t="array" ref="AG326">IF(AG$322="","",INDEX(BENG3_eis,AG$322))</f>
        <v/>
      </c>
      <c r="AH326" s="542" t="str" cm="1">
        <f t="array" ref="AH326">IF(AH$322="","",INDEX(BENG3_eis,AH$322))</f>
        <v/>
      </c>
      <c r="AI326" s="542" t="str" cm="1">
        <f t="array" ref="AI326">IF(AI$322="","",INDEX(BENG3_eis,AI$322))</f>
        <v/>
      </c>
      <c r="AJ326" s="108"/>
      <c r="AK326" s="206"/>
      <c r="AL326" s="1091"/>
      <c r="AM326" s="542" t="str" cm="1">
        <f t="array" ref="AM326">IF(AM$322="","",INDEX(BENG3_eis,AM$322))</f>
        <v/>
      </c>
      <c r="AN326" s="542" t="str" cm="1">
        <f t="array" ref="AN326">IF(AN$322="","",INDEX(BENG3_eis,AN$322))</f>
        <v/>
      </c>
      <c r="AO326" s="542" t="str" cm="1">
        <f t="array" ref="AO326">IF(AO$322="","",INDEX(BENG3_eis,AO$322))</f>
        <v/>
      </c>
      <c r="AP326" s="542" t="str" cm="1">
        <f t="array" ref="AP326">IF(AP$322="","",INDEX(BENG3_eis,AP$322))</f>
        <v/>
      </c>
      <c r="AQ326" s="542" t="str" cm="1">
        <f t="array" ref="AQ326">IF(AQ$322="","",INDEX(BENG3_eis,AQ$322))</f>
        <v/>
      </c>
      <c r="AR326" s="542" t="str" cm="1">
        <f t="array" ref="AR326">IF(AR$322="","",INDEX(BENG3_eis,AR$322))</f>
        <v/>
      </c>
      <c r="AS326" s="542" t="str" cm="1">
        <f t="array" ref="AS326">IF(AS$322="","",INDEX(BENG3_eis,AS$322))</f>
        <v/>
      </c>
      <c r="AT326" s="542" t="str" cm="1">
        <f t="array" ref="AT326">IF(AT$322="","",INDEX(BENG3_eis,AT$322))</f>
        <v/>
      </c>
      <c r="AU326" s="542" t="str" cm="1">
        <f t="array" ref="AU326">IF(AU$322="","",INDEX(BENG3_eis,AU$322))</f>
        <v/>
      </c>
      <c r="AV326" s="108"/>
      <c r="AW326" s="206"/>
      <c r="AX326" s="1091"/>
      <c r="AY326" s="542" t="str" cm="1">
        <f t="array" ref="AY326">IF(AY$322="","",INDEX(BENG3_eis,AY$322))</f>
        <v/>
      </c>
      <c r="AZ326" s="542" t="str" cm="1">
        <f t="array" ref="AZ326">IF(AZ$322="","",INDEX(BENG3_eis,AZ$322))</f>
        <v/>
      </c>
      <c r="BA326" s="542" t="str" cm="1">
        <f t="array" ref="BA326">IF(BA$322="","",INDEX(BENG3_eis,BA$322))</f>
        <v/>
      </c>
      <c r="BB326" s="542" t="str" cm="1">
        <f t="array" ref="BB326">IF(BB$322="","",INDEX(BENG3_eis,BB$322))</f>
        <v/>
      </c>
      <c r="BC326" s="542" t="str" cm="1">
        <f t="array" ref="BC326">IF(BC$322="","",INDEX(BENG3_eis,BC$322))</f>
        <v/>
      </c>
      <c r="BD326" s="542" t="str" cm="1">
        <f t="array" ref="BD326">IF(BD$322="","",INDEX(BENG3_eis,BD$322))</f>
        <v/>
      </c>
      <c r="BE326" s="542" t="str" cm="1">
        <f t="array" ref="BE326">IF(BE$322="","",INDEX(BENG3_eis,BE$322))</f>
        <v/>
      </c>
      <c r="BF326" s="542" t="str" cm="1">
        <f t="array" ref="BF326">IF(BF$322="","",INDEX(BENG3_eis,BF$322))</f>
        <v/>
      </c>
      <c r="BG326" s="542" t="str" cm="1">
        <f t="array" ref="BG326">IF(BG$322="","",INDEX(BENG3_eis,BG$322))</f>
        <v/>
      </c>
      <c r="BH326" s="210"/>
    </row>
    <row r="327" spans="1:60">
      <c r="A327" s="1040"/>
      <c r="B327" s="1109" t="s">
        <v>1223</v>
      </c>
      <c r="C327" s="1106" t="s">
        <v>96</v>
      </c>
      <c r="D327" s="640" t="s">
        <v>45</v>
      </c>
      <c r="E327" s="942" t="s">
        <v>278</v>
      </c>
      <c r="F327" s="942"/>
      <c r="G327" s="942"/>
      <c r="H327" s="942"/>
      <c r="I327" s="129"/>
      <c r="J327" s="943"/>
      <c r="K327" s="126"/>
      <c r="L327" s="126"/>
      <c r="M327" s="944"/>
      <c r="N327" s="195"/>
      <c r="O327" s="1154" t="str">
        <f>O$17</f>
        <v/>
      </c>
      <c r="P327" s="1154" t="str">
        <f t="shared" ref="P327:W327" si="402">P$17</f>
        <v/>
      </c>
      <c r="Q327" s="1154" t="str">
        <f t="shared" si="402"/>
        <v/>
      </c>
      <c r="R327" s="1154" t="str">
        <f t="shared" si="402"/>
        <v/>
      </c>
      <c r="S327" s="1154" t="str">
        <f t="shared" si="402"/>
        <v/>
      </c>
      <c r="T327" s="1154" t="str">
        <f t="shared" si="402"/>
        <v/>
      </c>
      <c r="U327" s="1154" t="str">
        <f t="shared" si="402"/>
        <v/>
      </c>
      <c r="V327" s="1154" t="str">
        <f t="shared" si="402"/>
        <v/>
      </c>
      <c r="W327" s="1154" t="str">
        <f t="shared" si="402"/>
        <v/>
      </c>
      <c r="X327" s="195"/>
      <c r="Y327" s="944"/>
      <c r="Z327" s="195"/>
      <c r="AA327" s="258" t="str">
        <f>AA$17</f>
        <v/>
      </c>
      <c r="AB327" s="258" t="str">
        <f t="shared" ref="AB327:AI327" si="403">AB$17</f>
        <v/>
      </c>
      <c r="AC327" s="258" t="str">
        <f t="shared" si="403"/>
        <v/>
      </c>
      <c r="AD327" s="258" t="str">
        <f t="shared" si="403"/>
        <v/>
      </c>
      <c r="AE327" s="258" t="str">
        <f t="shared" si="403"/>
        <v/>
      </c>
      <c r="AF327" s="258" t="str">
        <f t="shared" si="403"/>
        <v/>
      </c>
      <c r="AG327" s="258" t="str">
        <f t="shared" si="403"/>
        <v/>
      </c>
      <c r="AH327" s="258" t="str">
        <f t="shared" si="403"/>
        <v/>
      </c>
      <c r="AI327" s="258" t="str">
        <f t="shared" si="403"/>
        <v/>
      </c>
      <c r="AJ327" s="195"/>
      <c r="AK327" s="944"/>
      <c r="AL327" s="195"/>
      <c r="AM327" s="258" t="str">
        <f>AM$17</f>
        <v/>
      </c>
      <c r="AN327" s="258" t="str">
        <f t="shared" ref="AN327:AU327" si="404">AN$17</f>
        <v/>
      </c>
      <c r="AO327" s="258" t="str">
        <f t="shared" si="404"/>
        <v/>
      </c>
      <c r="AP327" s="258" t="str">
        <f t="shared" si="404"/>
        <v/>
      </c>
      <c r="AQ327" s="258" t="str">
        <f t="shared" si="404"/>
        <v/>
      </c>
      <c r="AR327" s="258" t="str">
        <f t="shared" si="404"/>
        <v/>
      </c>
      <c r="AS327" s="258" t="str">
        <f t="shared" si="404"/>
        <v/>
      </c>
      <c r="AT327" s="258" t="str">
        <f t="shared" si="404"/>
        <v/>
      </c>
      <c r="AU327" s="258" t="str">
        <f t="shared" si="404"/>
        <v/>
      </c>
      <c r="AV327" s="195"/>
      <c r="AW327" s="944"/>
      <c r="AX327" s="195"/>
      <c r="AY327" s="258" t="str">
        <f>AY$17</f>
        <v/>
      </c>
      <c r="AZ327" s="258" t="str">
        <f t="shared" ref="AZ327:BG327" si="405">AZ$17</f>
        <v/>
      </c>
      <c r="BA327" s="258" t="str">
        <f t="shared" si="405"/>
        <v/>
      </c>
      <c r="BB327" s="258" t="str">
        <f t="shared" si="405"/>
        <v/>
      </c>
      <c r="BC327" s="258" t="str">
        <f t="shared" si="405"/>
        <v/>
      </c>
      <c r="BD327" s="258" t="str">
        <f t="shared" si="405"/>
        <v/>
      </c>
      <c r="BE327" s="258" t="str">
        <f t="shared" si="405"/>
        <v/>
      </c>
      <c r="BF327" s="258" t="str">
        <f t="shared" si="405"/>
        <v/>
      </c>
      <c r="BG327" s="258" t="str">
        <f t="shared" si="405"/>
        <v/>
      </c>
      <c r="BH327" s="36"/>
    </row>
    <row r="328" spans="1:60" hidden="1">
      <c r="A328" s="1041"/>
      <c r="B328" s="1109" t="s">
        <v>1223</v>
      </c>
      <c r="C328" s="1106" t="s">
        <v>262</v>
      </c>
      <c r="D328" s="1183"/>
      <c r="E328" s="413" t="s">
        <v>1058</v>
      </c>
      <c r="F328" s="296"/>
      <c r="G328" s="894" t="str">
        <f ca="1">fitformule_Ehc_nd_EP</f>
        <v>Ehc;nd;EP</v>
      </c>
      <c r="H328" s="295" t="s">
        <v>65</v>
      </c>
      <c r="I328" s="259"/>
      <c r="J328" s="895"/>
      <c r="K328" s="896"/>
      <c r="L328" s="896"/>
      <c r="M328" s="895"/>
      <c r="N328" s="897" t="s">
        <v>84</v>
      </c>
      <c r="O328" s="1156" t="e">
        <f t="shared" ref="O328:W328" ca="1" si="406">$F$6
&amp;INDEX(gebruiksfuncties_fitcurve_NTA8800,MATCH(O$19,gebruiksfuncties_namen,0))
&amp;INDEX(ventilatiesystemen_code,MATCH(O$40,ventilatiesystemen_namen,0))
&amp;O$49
&amp;$G328</f>
        <v>#N/A</v>
      </c>
      <c r="P328" s="1157" t="e">
        <f t="shared" ca="1" si="406"/>
        <v>#N/A</v>
      </c>
      <c r="Q328" s="1157" t="e">
        <f t="shared" ca="1" si="406"/>
        <v>#N/A</v>
      </c>
      <c r="R328" s="1157" t="e">
        <f t="shared" ca="1" si="406"/>
        <v>#N/A</v>
      </c>
      <c r="S328" s="1157" t="e">
        <f t="shared" ca="1" si="406"/>
        <v>#N/A</v>
      </c>
      <c r="T328" s="1157" t="e">
        <f t="shared" ca="1" si="406"/>
        <v>#N/A</v>
      </c>
      <c r="U328" s="1157" t="e">
        <f t="shared" ca="1" si="406"/>
        <v>#N/A</v>
      </c>
      <c r="V328" s="1157" t="e">
        <f t="shared" ca="1" si="406"/>
        <v>#N/A</v>
      </c>
      <c r="W328" s="1157" t="e">
        <f t="shared" ca="1" si="406"/>
        <v>#N/A</v>
      </c>
      <c r="X328" s="896"/>
      <c r="Y328" s="895"/>
      <c r="Z328" s="897" t="s">
        <v>84</v>
      </c>
      <c r="AA328" s="880" t="e">
        <f t="shared" ref="AA328:AI328" ca="1" si="407">$F$6
&amp;INDEX(gebruiksfuncties_fitcurve_NTA8800,MATCH(AA$19,gebruiksfuncties_namen,0))
&amp;INDEX(ventilatiesystemen_code,MATCH(AA$40,ventilatiesystemen_namen,0))
&amp;AA$49
&amp;$G328</f>
        <v>#N/A</v>
      </c>
      <c r="AB328" s="880" t="e">
        <f t="shared" ca="1" si="407"/>
        <v>#N/A</v>
      </c>
      <c r="AC328" s="880" t="e">
        <f t="shared" ca="1" si="407"/>
        <v>#N/A</v>
      </c>
      <c r="AD328" s="880" t="e">
        <f t="shared" ca="1" si="407"/>
        <v>#N/A</v>
      </c>
      <c r="AE328" s="880" t="e">
        <f t="shared" ca="1" si="407"/>
        <v>#N/A</v>
      </c>
      <c r="AF328" s="880" t="e">
        <f t="shared" ca="1" si="407"/>
        <v>#N/A</v>
      </c>
      <c r="AG328" s="880" t="e">
        <f t="shared" ca="1" si="407"/>
        <v>#N/A</v>
      </c>
      <c r="AH328" s="880" t="e">
        <f t="shared" ca="1" si="407"/>
        <v>#N/A</v>
      </c>
      <c r="AI328" s="880" t="e">
        <f t="shared" ca="1" si="407"/>
        <v>#N/A</v>
      </c>
      <c r="AJ328" s="896"/>
      <c r="AK328" s="895"/>
      <c r="AL328" s="897" t="s">
        <v>84</v>
      </c>
      <c r="AM328" s="880" t="e">
        <f t="shared" ref="AM328:AU328" ca="1" si="408">$F$6
&amp;INDEX(gebruiksfuncties_fitcurve_NTA8800,MATCH(AM$19,gebruiksfuncties_namen,0))
&amp;INDEX(ventilatiesystemen_code,MATCH(AM$40,ventilatiesystemen_namen,0))
&amp;AM$49
&amp;$G328</f>
        <v>#N/A</v>
      </c>
      <c r="AN328" s="880" t="e">
        <f t="shared" ca="1" si="408"/>
        <v>#N/A</v>
      </c>
      <c r="AO328" s="880" t="e">
        <f t="shared" ca="1" si="408"/>
        <v>#N/A</v>
      </c>
      <c r="AP328" s="880" t="e">
        <f t="shared" ca="1" si="408"/>
        <v>#N/A</v>
      </c>
      <c r="AQ328" s="880" t="e">
        <f t="shared" ca="1" si="408"/>
        <v>#N/A</v>
      </c>
      <c r="AR328" s="880" t="e">
        <f t="shared" ca="1" si="408"/>
        <v>#N/A</v>
      </c>
      <c r="AS328" s="880" t="e">
        <f t="shared" ca="1" si="408"/>
        <v>#N/A</v>
      </c>
      <c r="AT328" s="880" t="e">
        <f t="shared" ca="1" si="408"/>
        <v>#N/A</v>
      </c>
      <c r="AU328" s="880" t="e">
        <f t="shared" ca="1" si="408"/>
        <v>#N/A</v>
      </c>
      <c r="AV328" s="896"/>
      <c r="AW328" s="895"/>
      <c r="AX328" s="897" t="s">
        <v>84</v>
      </c>
      <c r="AY328" s="880" t="e">
        <f t="shared" ref="AY328:BG328" ca="1" si="409">$F$6
&amp;INDEX(gebruiksfuncties_fitcurve_NTA8800,MATCH(AY$19,gebruiksfuncties_namen,0))
&amp;INDEX(ventilatiesystemen_code,MATCH(AY$40,ventilatiesystemen_namen,0))
&amp;AY$49
&amp;$G328</f>
        <v>#N/A</v>
      </c>
      <c r="AZ328" s="880" t="e">
        <f t="shared" ca="1" si="409"/>
        <v>#N/A</v>
      </c>
      <c r="BA328" s="880" t="e">
        <f t="shared" ca="1" si="409"/>
        <v>#N/A</v>
      </c>
      <c r="BB328" s="880" t="e">
        <f t="shared" ca="1" si="409"/>
        <v>#N/A</v>
      </c>
      <c r="BC328" s="880" t="e">
        <f t="shared" ca="1" si="409"/>
        <v>#N/A</v>
      </c>
      <c r="BD328" s="880" t="e">
        <f t="shared" ca="1" si="409"/>
        <v>#N/A</v>
      </c>
      <c r="BE328" s="880" t="e">
        <f t="shared" ca="1" si="409"/>
        <v>#N/A</v>
      </c>
      <c r="BF328" s="880" t="e">
        <f t="shared" ca="1" si="409"/>
        <v>#N/A</v>
      </c>
      <c r="BG328" s="880" t="e">
        <f t="shared" ca="1" si="409"/>
        <v>#N/A</v>
      </c>
      <c r="BH328" s="218"/>
    </row>
    <row r="329" spans="1:60">
      <c r="A329" s="1040"/>
      <c r="B329" s="1109" t="s">
        <v>1223</v>
      </c>
      <c r="C329" s="1107" t="s">
        <v>104</v>
      </c>
      <c r="D329" s="640" t="s">
        <v>45</v>
      </c>
      <c r="E329" s="203" t="s">
        <v>279</v>
      </c>
      <c r="F329" s="203"/>
      <c r="G329" s="203"/>
      <c r="H329" s="204" t="s">
        <v>154</v>
      </c>
      <c r="I329" s="205"/>
      <c r="J329" s="206"/>
      <c r="K329" s="79"/>
      <c r="L329" s="79"/>
      <c r="M329" s="206"/>
      <c r="N329" s="205"/>
      <c r="O329" s="1158" t="str">
        <f t="shared" ref="O329:W329" si="410">IFERROR(IF(OR(O$17="",O$38="",O$40=""),"",MAX(warmtebehoefte_verwarming_ondergrens,
HLOOKUP(O$328,fitcurves_NTA8800,MATCH(fit_a0,parameters_fitformule,0),FALSE)
+HLOOKUP(O$328,fitcurves_NTA8800,MATCH(fit_a1,parameters_fitformule,0),FALSE)
*O$54*O$32^HLOOKUP(O$328,fitcurves_NTA8800,MATCH(fit_n1,parameters_fitformule,0),FALSE)
)),0)</f>
        <v/>
      </c>
      <c r="P329" s="1158" t="str">
        <f t="shared" si="410"/>
        <v/>
      </c>
      <c r="Q329" s="1158" t="str">
        <f t="shared" si="410"/>
        <v/>
      </c>
      <c r="R329" s="1158" t="str">
        <f t="shared" si="410"/>
        <v/>
      </c>
      <c r="S329" s="1158" t="str">
        <f t="shared" si="410"/>
        <v/>
      </c>
      <c r="T329" s="1158" t="str">
        <f t="shared" si="410"/>
        <v/>
      </c>
      <c r="U329" s="1158" t="str">
        <f t="shared" si="410"/>
        <v/>
      </c>
      <c r="V329" s="1158" t="str">
        <f t="shared" si="410"/>
        <v/>
      </c>
      <c r="W329" s="1158" t="str">
        <f t="shared" si="410"/>
        <v/>
      </c>
      <c r="X329" s="108"/>
      <c r="Y329" s="206"/>
      <c r="Z329" s="205"/>
      <c r="AA329" s="1090" t="str">
        <f t="shared" ref="AA329:AI329" si="411">IFERROR(IF(OR(AA$17="",AA$38="",AA$40=""),"",MAX(warmtebehoefte_verwarming_ondergrens,
HLOOKUP(AA$328,fitcurves_NTA8800,MATCH(fit_a0,parameters_fitformule,0),FALSE)
+HLOOKUP(AA$328,fitcurves_NTA8800,MATCH(fit_a1,parameters_fitformule,0),FALSE)
*AA$54*AA$32^HLOOKUP(AA$328,fitcurves_NTA8800,MATCH(fit_n1,parameters_fitformule,0),FALSE)
)),0)</f>
        <v/>
      </c>
      <c r="AB329" s="1090" t="str">
        <f t="shared" si="411"/>
        <v/>
      </c>
      <c r="AC329" s="1090" t="str">
        <f t="shared" si="411"/>
        <v/>
      </c>
      <c r="AD329" s="1090" t="str">
        <f t="shared" si="411"/>
        <v/>
      </c>
      <c r="AE329" s="1090" t="str">
        <f t="shared" si="411"/>
        <v/>
      </c>
      <c r="AF329" s="1090" t="str">
        <f t="shared" si="411"/>
        <v/>
      </c>
      <c r="AG329" s="1090" t="str">
        <f t="shared" si="411"/>
        <v/>
      </c>
      <c r="AH329" s="1090" t="str">
        <f t="shared" si="411"/>
        <v/>
      </c>
      <c r="AI329" s="1090" t="str">
        <f t="shared" si="411"/>
        <v/>
      </c>
      <c r="AJ329" s="108"/>
      <c r="AK329" s="206"/>
      <c r="AL329" s="205"/>
      <c r="AM329" s="1090" t="str">
        <f t="shared" ref="AM329:AU329" si="412">IFERROR(IF(OR(AM$17="",AM$38="",AM$40=""),"",MAX(warmtebehoefte_verwarming_ondergrens,
HLOOKUP(AM$328,fitcurves_NTA8800,MATCH(fit_a0,parameters_fitformule,0),FALSE)
+HLOOKUP(AM$328,fitcurves_NTA8800,MATCH(fit_a1,parameters_fitformule,0),FALSE)
*AM$54*AM$32^HLOOKUP(AM$328,fitcurves_NTA8800,MATCH(fit_n1,parameters_fitformule,0),FALSE)
)),0)</f>
        <v/>
      </c>
      <c r="AN329" s="1090" t="str">
        <f t="shared" si="412"/>
        <v/>
      </c>
      <c r="AO329" s="1090" t="str">
        <f t="shared" si="412"/>
        <v/>
      </c>
      <c r="AP329" s="1090" t="str">
        <f t="shared" si="412"/>
        <v/>
      </c>
      <c r="AQ329" s="1090" t="str">
        <f t="shared" si="412"/>
        <v/>
      </c>
      <c r="AR329" s="1090" t="str">
        <f t="shared" si="412"/>
        <v/>
      </c>
      <c r="AS329" s="1090" t="str">
        <f t="shared" si="412"/>
        <v/>
      </c>
      <c r="AT329" s="1090" t="str">
        <f t="shared" si="412"/>
        <v/>
      </c>
      <c r="AU329" s="1090" t="str">
        <f t="shared" si="412"/>
        <v/>
      </c>
      <c r="AV329" s="108"/>
      <c r="AW329" s="206"/>
      <c r="AX329" s="205"/>
      <c r="AY329" s="1090" t="str">
        <f t="shared" ref="AY329:BG329" si="413">IFERROR(IF(OR(AY$17="",AY$38="",AY$40=""),"",MAX(warmtebehoefte_verwarming_ondergrens,
HLOOKUP(AY$328,fitcurves_NTA8800,MATCH(fit_a0,parameters_fitformule,0),FALSE)
+HLOOKUP(AY$328,fitcurves_NTA8800,MATCH(fit_a1,parameters_fitformule,0),FALSE)
*AY$54*AY$32^HLOOKUP(AY$328,fitcurves_NTA8800,MATCH(fit_n1,parameters_fitformule,0),FALSE)
)),0)</f>
        <v/>
      </c>
      <c r="AZ329" s="1090" t="str">
        <f t="shared" si="413"/>
        <v/>
      </c>
      <c r="BA329" s="1090" t="str">
        <f t="shared" si="413"/>
        <v/>
      </c>
      <c r="BB329" s="1090" t="str">
        <f t="shared" si="413"/>
        <v/>
      </c>
      <c r="BC329" s="1090" t="str">
        <f t="shared" si="413"/>
        <v/>
      </c>
      <c r="BD329" s="1090" t="str">
        <f t="shared" si="413"/>
        <v/>
      </c>
      <c r="BE329" s="1090" t="str">
        <f t="shared" si="413"/>
        <v/>
      </c>
      <c r="BF329" s="1090" t="str">
        <f t="shared" si="413"/>
        <v/>
      </c>
      <c r="BG329" s="1090" t="str">
        <f t="shared" si="413"/>
        <v/>
      </c>
      <c r="BH329" s="210"/>
    </row>
    <row r="330" spans="1:60">
      <c r="A330" s="1040"/>
      <c r="B330" s="1109" t="s">
        <v>1223</v>
      </c>
      <c r="C330" s="1107" t="s">
        <v>104</v>
      </c>
      <c r="D330" s="640" t="s">
        <v>45</v>
      </c>
      <c r="E330" s="203" t="s">
        <v>280</v>
      </c>
      <c r="F330" s="203"/>
      <c r="G330" s="203"/>
      <c r="H330" s="204" t="s">
        <v>267</v>
      </c>
      <c r="I330" s="205"/>
      <c r="J330" s="206"/>
      <c r="K330" s="79"/>
      <c r="L330" s="79"/>
      <c r="M330" s="206"/>
      <c r="N330" s="205"/>
      <c r="O330" s="1158" t="str">
        <f t="shared" ref="O330:W330" si="414">IF(OR(O$17="",O$22=0,O$29=0),"",ROUNDUP(O$298-O$287-O$288-O$289-IF(OR(O$19=woning,O$19=woongebouw),O285,0),2)-O$292)</f>
        <v/>
      </c>
      <c r="P330" s="1158" t="str">
        <f t="shared" si="414"/>
        <v/>
      </c>
      <c r="Q330" s="1158" t="str">
        <f t="shared" si="414"/>
        <v/>
      </c>
      <c r="R330" s="1158" t="str">
        <f t="shared" si="414"/>
        <v/>
      </c>
      <c r="S330" s="1158" t="str">
        <f t="shared" si="414"/>
        <v/>
      </c>
      <c r="T330" s="1158" t="str">
        <f t="shared" si="414"/>
        <v/>
      </c>
      <c r="U330" s="1158" t="str">
        <f t="shared" si="414"/>
        <v/>
      </c>
      <c r="V330" s="1158" t="str">
        <f t="shared" si="414"/>
        <v/>
      </c>
      <c r="W330" s="1158" t="str">
        <f t="shared" si="414"/>
        <v/>
      </c>
      <c r="X330" s="108"/>
      <c r="Y330" s="206"/>
      <c r="Z330" s="205"/>
      <c r="AA330" s="1090" t="str">
        <f t="shared" ref="AA330:AI330" si="415">IF(OR(AA$17="",AA$22=0,AA$29=0),"",ROUNDUP(AA$298-AA$287-AA$288-AA$289-IF(OR(AA$19=woning,AA$19=woongebouw),AA285,0),2)-AA$292)</f>
        <v/>
      </c>
      <c r="AB330" s="1090" t="str">
        <f t="shared" si="415"/>
        <v/>
      </c>
      <c r="AC330" s="1090" t="str">
        <f t="shared" si="415"/>
        <v/>
      </c>
      <c r="AD330" s="1090" t="str">
        <f t="shared" si="415"/>
        <v/>
      </c>
      <c r="AE330" s="1090" t="str">
        <f t="shared" si="415"/>
        <v/>
      </c>
      <c r="AF330" s="1090" t="str">
        <f t="shared" si="415"/>
        <v/>
      </c>
      <c r="AG330" s="1090" t="str">
        <f t="shared" si="415"/>
        <v/>
      </c>
      <c r="AH330" s="1090" t="str">
        <f t="shared" si="415"/>
        <v/>
      </c>
      <c r="AI330" s="1090" t="str">
        <f t="shared" si="415"/>
        <v/>
      </c>
      <c r="AJ330" s="108"/>
      <c r="AK330" s="206"/>
      <c r="AL330" s="205"/>
      <c r="AM330" s="1090" t="str">
        <f t="shared" ref="AM330:AU330" si="416">IF(OR(AM$17="",AM$22=0,AM$29=0),"",ROUNDUP(AM$298-AM$287-AM$288-AM$289-IF(OR(AM$19=woning,AM$19=woongebouw),AM285,0),2)-AM$292)</f>
        <v/>
      </c>
      <c r="AN330" s="1090" t="str">
        <f t="shared" si="416"/>
        <v/>
      </c>
      <c r="AO330" s="1090" t="str">
        <f t="shared" si="416"/>
        <v/>
      </c>
      <c r="AP330" s="1090" t="str">
        <f t="shared" si="416"/>
        <v/>
      </c>
      <c r="AQ330" s="1090" t="str">
        <f t="shared" si="416"/>
        <v/>
      </c>
      <c r="AR330" s="1090" t="str">
        <f t="shared" si="416"/>
        <v/>
      </c>
      <c r="AS330" s="1090" t="str">
        <f t="shared" si="416"/>
        <v/>
      </c>
      <c r="AT330" s="1090" t="str">
        <f t="shared" si="416"/>
        <v/>
      </c>
      <c r="AU330" s="1090" t="str">
        <f t="shared" si="416"/>
        <v/>
      </c>
      <c r="AV330" s="108"/>
      <c r="AW330" s="206"/>
      <c r="AX330" s="205"/>
      <c r="AY330" s="1090" t="str">
        <f t="shared" ref="AY330:BG330" si="417">IF(OR(AY$17="",AY$22=0,AY$29=0),"",ROUNDUP(AY$298-AY$287-AY$288-AY$289-IF(OR(AY$19=woning,AY$19=woongebouw),AY285,0),2)-AY$292)</f>
        <v/>
      </c>
      <c r="AZ330" s="1090" t="str">
        <f t="shared" si="417"/>
        <v/>
      </c>
      <c r="BA330" s="1090" t="str">
        <f t="shared" si="417"/>
        <v/>
      </c>
      <c r="BB330" s="1090" t="str">
        <f t="shared" si="417"/>
        <v/>
      </c>
      <c r="BC330" s="1090" t="str">
        <f t="shared" si="417"/>
        <v/>
      </c>
      <c r="BD330" s="1090" t="str">
        <f t="shared" si="417"/>
        <v/>
      </c>
      <c r="BE330" s="1090" t="str">
        <f t="shared" si="417"/>
        <v/>
      </c>
      <c r="BF330" s="1090" t="str">
        <f t="shared" si="417"/>
        <v/>
      </c>
      <c r="BG330" s="1090" t="str">
        <f t="shared" si="417"/>
        <v/>
      </c>
      <c r="BH330" s="210"/>
    </row>
    <row r="331" spans="1:60">
      <c r="A331" s="1040"/>
      <c r="B331" s="1109" t="s">
        <v>1223</v>
      </c>
      <c r="C331" s="1107" t="s">
        <v>104</v>
      </c>
      <c r="D331" s="641" t="s">
        <v>45</v>
      </c>
      <c r="E331" s="203" t="s">
        <v>281</v>
      </c>
      <c r="F331" s="203"/>
      <c r="G331" s="203"/>
      <c r="H331" s="204" t="s">
        <v>139</v>
      </c>
      <c r="I331" s="205"/>
      <c r="J331" s="206"/>
      <c r="K331" s="79"/>
      <c r="L331" s="79"/>
      <c r="M331" s="206"/>
      <c r="N331" s="205"/>
      <c r="O331" s="1160" t="str">
        <f t="shared" ref="O331:W331" si="418">IF(O$322="","",O317)</f>
        <v/>
      </c>
      <c r="P331" s="1089" t="str">
        <f t="shared" si="418"/>
        <v/>
      </c>
      <c r="Q331" s="1089" t="str">
        <f t="shared" si="418"/>
        <v/>
      </c>
      <c r="R331" s="1089" t="str">
        <f t="shared" si="418"/>
        <v/>
      </c>
      <c r="S331" s="1089" t="str">
        <f t="shared" si="418"/>
        <v/>
      </c>
      <c r="T331" s="1089" t="str">
        <f t="shared" si="418"/>
        <v/>
      </c>
      <c r="U331" s="1089" t="str">
        <f t="shared" si="418"/>
        <v/>
      </c>
      <c r="V331" s="1089" t="str">
        <f t="shared" si="418"/>
        <v/>
      </c>
      <c r="W331" s="1089" t="str">
        <f t="shared" si="418"/>
        <v/>
      </c>
      <c r="X331" s="597"/>
      <c r="Y331" s="598"/>
      <c r="Z331" s="599"/>
      <c r="AA331" s="1089" t="str">
        <f t="shared" ref="AA331:AI331" si="419">IF(AA$322="","",AA317)</f>
        <v/>
      </c>
      <c r="AB331" s="1089" t="str">
        <f t="shared" si="419"/>
        <v/>
      </c>
      <c r="AC331" s="1089" t="str">
        <f t="shared" si="419"/>
        <v/>
      </c>
      <c r="AD331" s="1089" t="str">
        <f t="shared" si="419"/>
        <v/>
      </c>
      <c r="AE331" s="1089" t="str">
        <f t="shared" si="419"/>
        <v/>
      </c>
      <c r="AF331" s="1089" t="str">
        <f t="shared" si="419"/>
        <v/>
      </c>
      <c r="AG331" s="1089" t="str">
        <f t="shared" si="419"/>
        <v/>
      </c>
      <c r="AH331" s="1089" t="str">
        <f t="shared" si="419"/>
        <v/>
      </c>
      <c r="AI331" s="1089" t="str">
        <f t="shared" si="419"/>
        <v/>
      </c>
      <c r="AJ331" s="597"/>
      <c r="AK331" s="598"/>
      <c r="AL331" s="599"/>
      <c r="AM331" s="1089" t="str">
        <f>IF(AM$322="","",AM317)</f>
        <v/>
      </c>
      <c r="AN331" s="1089" t="str">
        <f t="shared" ref="AN331:AU331" si="420">IF(AN$322="","",AN317)</f>
        <v/>
      </c>
      <c r="AO331" s="1089" t="str">
        <f t="shared" si="420"/>
        <v/>
      </c>
      <c r="AP331" s="1089" t="str">
        <f t="shared" si="420"/>
        <v/>
      </c>
      <c r="AQ331" s="1089" t="str">
        <f t="shared" si="420"/>
        <v/>
      </c>
      <c r="AR331" s="1089" t="str">
        <f t="shared" si="420"/>
        <v/>
      </c>
      <c r="AS331" s="1089" t="str">
        <f t="shared" si="420"/>
        <v/>
      </c>
      <c r="AT331" s="1089" t="str">
        <f t="shared" si="420"/>
        <v/>
      </c>
      <c r="AU331" s="1089" t="str">
        <f t="shared" si="420"/>
        <v/>
      </c>
      <c r="AV331" s="597"/>
      <c r="AW331" s="598"/>
      <c r="AX331" s="599"/>
      <c r="AY331" s="1089" t="str">
        <f>IF(AY$322="","",AY317)</f>
        <v/>
      </c>
      <c r="AZ331" s="1089" t="str">
        <f t="shared" ref="AZ331:BG331" si="421">IF(AZ$322="","",AZ317)</f>
        <v/>
      </c>
      <c r="BA331" s="1089" t="str">
        <f t="shared" si="421"/>
        <v/>
      </c>
      <c r="BB331" s="1089" t="str">
        <f t="shared" si="421"/>
        <v/>
      </c>
      <c r="BC331" s="1089" t="str">
        <f t="shared" si="421"/>
        <v/>
      </c>
      <c r="BD331" s="1089" t="str">
        <f t="shared" si="421"/>
        <v/>
      </c>
      <c r="BE331" s="1089" t="str">
        <f t="shared" si="421"/>
        <v/>
      </c>
      <c r="BF331" s="1089" t="str">
        <f t="shared" si="421"/>
        <v/>
      </c>
      <c r="BG331" s="1089" t="str">
        <f t="shared" si="421"/>
        <v/>
      </c>
      <c r="BH331" s="210"/>
    </row>
    <row r="332" spans="1:60">
      <c r="A332" s="1040"/>
      <c r="B332" s="1109" t="s">
        <v>1223</v>
      </c>
      <c r="C332" s="1106" t="s">
        <v>96</v>
      </c>
      <c r="D332" s="638"/>
      <c r="E332" s="942" t="s">
        <v>282</v>
      </c>
      <c r="F332" s="942"/>
      <c r="G332" s="942"/>
      <c r="H332" s="942"/>
      <c r="I332" s="129"/>
      <c r="J332" s="943"/>
      <c r="K332" s="126"/>
      <c r="L332" s="126"/>
      <c r="M332" s="944"/>
      <c r="N332" s="195"/>
      <c r="O332" s="258" t="str">
        <f>O$17</f>
        <v/>
      </c>
      <c r="P332" s="258" t="str">
        <f t="shared" ref="P332:W332" si="422">P$17</f>
        <v/>
      </c>
      <c r="Q332" s="258" t="str">
        <f t="shared" si="422"/>
        <v/>
      </c>
      <c r="R332" s="258" t="str">
        <f t="shared" si="422"/>
        <v/>
      </c>
      <c r="S332" s="258" t="str">
        <f t="shared" si="422"/>
        <v/>
      </c>
      <c r="T332" s="258" t="str">
        <f t="shared" si="422"/>
        <v/>
      </c>
      <c r="U332" s="258" t="str">
        <f t="shared" si="422"/>
        <v/>
      </c>
      <c r="V332" s="258" t="str">
        <f t="shared" si="422"/>
        <v/>
      </c>
      <c r="W332" s="258" t="str">
        <f t="shared" si="422"/>
        <v/>
      </c>
      <c r="X332" s="195"/>
      <c r="Y332" s="944"/>
      <c r="Z332" s="195"/>
      <c r="AA332" s="258" t="str">
        <f>AA$17</f>
        <v/>
      </c>
      <c r="AB332" s="258" t="str">
        <f t="shared" ref="AB332:AI332" si="423">AB$17</f>
        <v/>
      </c>
      <c r="AC332" s="258" t="str">
        <f t="shared" si="423"/>
        <v/>
      </c>
      <c r="AD332" s="258" t="str">
        <f t="shared" si="423"/>
        <v/>
      </c>
      <c r="AE332" s="258" t="str">
        <f t="shared" si="423"/>
        <v/>
      </c>
      <c r="AF332" s="258" t="str">
        <f t="shared" si="423"/>
        <v/>
      </c>
      <c r="AG332" s="258" t="str">
        <f t="shared" si="423"/>
        <v/>
      </c>
      <c r="AH332" s="258" t="str">
        <f t="shared" si="423"/>
        <v/>
      </c>
      <c r="AI332" s="258" t="str">
        <f t="shared" si="423"/>
        <v/>
      </c>
      <c r="AJ332" s="195"/>
      <c r="AK332" s="944"/>
      <c r="AL332" s="195"/>
      <c r="AM332" s="258" t="str">
        <f>AM$17</f>
        <v/>
      </c>
      <c r="AN332" s="258" t="str">
        <f t="shared" ref="AN332:AU332" si="424">AN$17</f>
        <v/>
      </c>
      <c r="AO332" s="258" t="str">
        <f t="shared" si="424"/>
        <v/>
      </c>
      <c r="AP332" s="258" t="str">
        <f t="shared" si="424"/>
        <v/>
      </c>
      <c r="AQ332" s="258" t="str">
        <f t="shared" si="424"/>
        <v/>
      </c>
      <c r="AR332" s="258" t="str">
        <f t="shared" si="424"/>
        <v/>
      </c>
      <c r="AS332" s="258" t="str">
        <f t="shared" si="424"/>
        <v/>
      </c>
      <c r="AT332" s="258" t="str">
        <f t="shared" si="424"/>
        <v/>
      </c>
      <c r="AU332" s="258" t="str">
        <f t="shared" si="424"/>
        <v/>
      </c>
      <c r="AV332" s="195"/>
      <c r="AW332" s="944"/>
      <c r="AX332" s="195"/>
      <c r="AY332" s="258" t="str">
        <f>AY$17</f>
        <v/>
      </c>
      <c r="AZ332" s="258" t="str">
        <f t="shared" ref="AZ332:BG332" si="425">AZ$17</f>
        <v/>
      </c>
      <c r="BA332" s="258" t="str">
        <f t="shared" si="425"/>
        <v/>
      </c>
      <c r="BB332" s="258" t="str">
        <f t="shared" si="425"/>
        <v/>
      </c>
      <c r="BC332" s="258" t="str">
        <f t="shared" si="425"/>
        <v/>
      </c>
      <c r="BD332" s="258" t="str">
        <f t="shared" si="425"/>
        <v/>
      </c>
      <c r="BE332" s="258" t="str">
        <f t="shared" si="425"/>
        <v/>
      </c>
      <c r="BF332" s="258" t="str">
        <f t="shared" si="425"/>
        <v/>
      </c>
      <c r="BG332" s="258" t="str">
        <f t="shared" si="425"/>
        <v/>
      </c>
      <c r="BH332" s="36"/>
    </row>
    <row r="333" spans="1:60">
      <c r="A333" s="1040"/>
      <c r="B333" s="1109" t="s">
        <v>1223</v>
      </c>
      <c r="C333" s="1107" t="s">
        <v>104</v>
      </c>
      <c r="D333" s="640" t="s">
        <v>45</v>
      </c>
      <c r="E333" s="1134" t="s">
        <v>282</v>
      </c>
      <c r="F333" s="203"/>
      <c r="G333" s="203"/>
      <c r="H333" s="204" t="s">
        <v>65</v>
      </c>
      <c r="I333" s="114"/>
      <c r="J333" s="202"/>
      <c r="K333" s="195"/>
      <c r="L333" s="195"/>
      <c r="M333" s="202"/>
      <c r="N333" s="114"/>
      <c r="O333" s="168" t="str">
        <f ca="1">IF(OR(O$22=0,$O$78=0),"",
INDEX(energielabels_labelnamen,MATCH(O330,OFFSET(bibliotheek!$H$488,0,MATCH(O$19,gebruiksfuncties_namen,0)-1,ROWS(energielabels_labelnamen),1),-1)))</f>
        <v/>
      </c>
      <c r="P333" s="168" t="str">
        <f ca="1">IF(OR(P$22=0,$O$78=0),"",
INDEX(energielabels_labelnamen,MATCH(P330,OFFSET(bibliotheek!$H$488,0,MATCH(P$19,gebruiksfuncties_namen,0)-1,ROWS(energielabels_labelnamen),1),-1)))</f>
        <v/>
      </c>
      <c r="Q333" s="168" t="str">
        <f ca="1">IF(OR(Q$22=0,$O$78=0),"",
INDEX(energielabels_labelnamen,MATCH(Q330,OFFSET(bibliotheek!$H$488,0,MATCH(Q$19,gebruiksfuncties_namen,0)-1,ROWS(energielabels_labelnamen),1),-1)))</f>
        <v/>
      </c>
      <c r="R333" s="168" t="str">
        <f ca="1">IF(OR(R$22=0,$O$78=0),"",
INDEX(energielabels_labelnamen,MATCH(R330,OFFSET(bibliotheek!$H$488,0,MATCH(R$19,gebruiksfuncties_namen,0)-1,ROWS(energielabels_labelnamen),1),-1)))</f>
        <v/>
      </c>
      <c r="S333" s="168" t="str">
        <f ca="1">IF(OR(S$22=0,$O$78=0),"",
INDEX(energielabels_labelnamen,MATCH(S330,OFFSET(bibliotheek!$H$488,0,MATCH(S$19,gebruiksfuncties_namen,0)-1,ROWS(energielabels_labelnamen),1),-1)))</f>
        <v/>
      </c>
      <c r="T333" s="168" t="str">
        <f ca="1">IF(OR(T$22=0,$O$78=0),"",
INDEX(energielabels_labelnamen,MATCH(T330,OFFSET(bibliotheek!$H$488,0,MATCH(T$19,gebruiksfuncties_namen,0)-1,ROWS(energielabels_labelnamen),1),-1)))</f>
        <v/>
      </c>
      <c r="U333" s="168" t="str">
        <f ca="1">IF(OR(U$22=0,$O$78=0),"",
INDEX(energielabels_labelnamen,MATCH(U330,OFFSET(bibliotheek!$H$488,0,MATCH(U$19,gebruiksfuncties_namen,0)-1,ROWS(energielabels_labelnamen),1),-1)))</f>
        <v/>
      </c>
      <c r="V333" s="168" t="str">
        <f ca="1">IF(OR(V$22=0,$O$78=0),"",
INDEX(energielabels_labelnamen,MATCH(V330,OFFSET(bibliotheek!$H$488,0,MATCH(V$19,gebruiksfuncties_namen,0)-1,ROWS(energielabels_labelnamen),1),-1)))</f>
        <v/>
      </c>
      <c r="W333" s="168" t="str">
        <f ca="1">IF(OR(W$22=0,$O$78=0),"",
INDEX(energielabels_labelnamen,MATCH(W330,OFFSET(bibliotheek!$H$488,0,MATCH(W$19,gebruiksfuncties_namen,0)-1,ROWS(energielabels_labelnamen),1),-1)))</f>
        <v/>
      </c>
      <c r="X333" s="113"/>
      <c r="Y333" s="202"/>
      <c r="Z333" s="114"/>
      <c r="AA333" s="168" t="str">
        <f ca="1">IF(OR(AA$22=0,$AA$78=0),"",
INDEX(energielabels_labelnamen,MATCH(AA330,OFFSET(bibliotheek!$H$488,0,MATCH(AA$19,gebruiksfuncties_namen,0)-1,ROWS(energielabels_labelnamen),1),-1)))</f>
        <v/>
      </c>
      <c r="AB333" s="168" t="str">
        <f ca="1">IF(OR(AB$22=0,$AA$78=0),"",
INDEX(energielabels_labelnamen,MATCH(AB330,OFFSET(bibliotheek!$H$488,0,MATCH(AB$19,gebruiksfuncties_namen,0)-1,ROWS(energielabels_labelnamen),1),-1)))</f>
        <v/>
      </c>
      <c r="AC333" s="168" t="str">
        <f ca="1">IF(OR(AC$22=0,$AA$78=0),"",
INDEX(energielabels_labelnamen,MATCH(AC330,OFFSET(bibliotheek!$H$488,0,MATCH(AC$19,gebruiksfuncties_namen,0)-1,ROWS(energielabels_labelnamen),1),-1)))</f>
        <v/>
      </c>
      <c r="AD333" s="168" t="str">
        <f ca="1">IF(OR(AD$22=0,$AA$78=0),"",
INDEX(energielabels_labelnamen,MATCH(AD330,OFFSET(bibliotheek!$H$488,0,MATCH(AD$19,gebruiksfuncties_namen,0)-1,ROWS(energielabels_labelnamen),1),-1)))</f>
        <v/>
      </c>
      <c r="AE333" s="168" t="str">
        <f ca="1">IF(OR(AE$22=0,$AA$78=0),"",
INDEX(energielabels_labelnamen,MATCH(AE330,OFFSET(bibliotheek!$H$488,0,MATCH(AE$19,gebruiksfuncties_namen,0)-1,ROWS(energielabels_labelnamen),1),-1)))</f>
        <v/>
      </c>
      <c r="AF333" s="168" t="str">
        <f ca="1">IF(OR(AF$22=0,$AA$78=0),"",
INDEX(energielabels_labelnamen,MATCH(AF330,OFFSET(bibliotheek!$H$488,0,MATCH(AF$19,gebruiksfuncties_namen,0)-1,ROWS(energielabels_labelnamen),1),-1)))</f>
        <v/>
      </c>
      <c r="AG333" s="168" t="str">
        <f ca="1">IF(OR(AG$22=0,$AA$78=0),"",
INDEX(energielabels_labelnamen,MATCH(AG330,OFFSET(bibliotheek!$H$488,0,MATCH(AG$19,gebruiksfuncties_namen,0)-1,ROWS(energielabels_labelnamen),1),-1)))</f>
        <v/>
      </c>
      <c r="AH333" s="168" t="str">
        <f ca="1">IF(OR(AH$22=0,$AA$78=0),"",
INDEX(energielabels_labelnamen,MATCH(AH330,OFFSET(bibliotheek!$H$488,0,MATCH(AH$19,gebruiksfuncties_namen,0)-1,ROWS(energielabels_labelnamen),1),-1)))</f>
        <v/>
      </c>
      <c r="AI333" s="168" t="str">
        <f ca="1">IF(OR(AI$22=0,$AA$78=0),"",
INDEX(energielabels_labelnamen,MATCH(AI330,OFFSET(bibliotheek!$H$488,0,MATCH(AI$19,gebruiksfuncties_namen,0)-1,ROWS(energielabels_labelnamen),1),-1)))</f>
        <v/>
      </c>
      <c r="AJ333" s="113"/>
      <c r="AK333" s="202"/>
      <c r="AL333" s="114"/>
      <c r="AM333" s="168" t="str">
        <f ca="1">IF(OR(AM$22=0,$AM$78=0),"",
INDEX(energielabels_labelnamen,MATCH(AM330,OFFSET(bibliotheek!$H$488,0,MATCH(AM$19,gebruiksfuncties_namen,0)-1,ROWS(energielabels_labelnamen),1),-1)))</f>
        <v/>
      </c>
      <c r="AN333" s="168" t="str">
        <f ca="1">IF(OR(AN$22=0,$AM$78=0),"",
INDEX(energielabels_labelnamen,MATCH(AN330,OFFSET(bibliotheek!$H$488,0,MATCH(AN$19,gebruiksfuncties_namen,0)-1,ROWS(energielabels_labelnamen),1),-1)))</f>
        <v/>
      </c>
      <c r="AO333" s="168" t="str">
        <f ca="1">IF(OR(AO$22=0,$AM$78=0),"",
INDEX(energielabels_labelnamen,MATCH(AO330,OFFSET(bibliotheek!$H$488,0,MATCH(AO$19,gebruiksfuncties_namen,0)-1,ROWS(energielabels_labelnamen),1),-1)))</f>
        <v/>
      </c>
      <c r="AP333" s="168" t="str">
        <f ca="1">IF(OR(AP$22=0,$AM$78=0),"",
INDEX(energielabels_labelnamen,MATCH(AP330,OFFSET(bibliotheek!$H$488,0,MATCH(AP$19,gebruiksfuncties_namen,0)-1,ROWS(energielabels_labelnamen),1),-1)))</f>
        <v/>
      </c>
      <c r="AQ333" s="168" t="str">
        <f ca="1">IF(OR(AQ$22=0,$AM$78=0),"",
INDEX(energielabels_labelnamen,MATCH(AQ330,OFFSET(bibliotheek!$H$488,0,MATCH(AQ$19,gebruiksfuncties_namen,0)-1,ROWS(energielabels_labelnamen),1),-1)))</f>
        <v/>
      </c>
      <c r="AR333" s="168" t="str">
        <f ca="1">IF(OR(AR$22=0,$AM$78=0),"",
INDEX(energielabels_labelnamen,MATCH(AR330,OFFSET(bibliotheek!$H$488,0,MATCH(AR$19,gebruiksfuncties_namen,0)-1,ROWS(energielabels_labelnamen),1),-1)))</f>
        <v/>
      </c>
      <c r="AS333" s="168" t="str">
        <f ca="1">IF(OR(AS$22=0,$AM$78=0),"",
INDEX(energielabels_labelnamen,MATCH(AS330,OFFSET(bibliotheek!$H$488,0,MATCH(AS$19,gebruiksfuncties_namen,0)-1,ROWS(energielabels_labelnamen),1),-1)))</f>
        <v/>
      </c>
      <c r="AT333" s="168" t="str">
        <f ca="1">IF(OR(AT$22=0,$AM$78=0),"",
INDEX(energielabels_labelnamen,MATCH(AT330,OFFSET(bibliotheek!$H$488,0,MATCH(AT$19,gebruiksfuncties_namen,0)-1,ROWS(energielabels_labelnamen),1),-1)))</f>
        <v/>
      </c>
      <c r="AU333" s="168" t="str">
        <f ca="1">IF(OR(AU$22=0,$AM$78=0),"",
INDEX(energielabels_labelnamen,MATCH(AU330,OFFSET(bibliotheek!$H$488,0,MATCH(AU$19,gebruiksfuncties_namen,0)-1,ROWS(energielabels_labelnamen),1),-1)))</f>
        <v/>
      </c>
      <c r="AV333" s="113"/>
      <c r="AW333" s="202"/>
      <c r="AX333" s="114"/>
      <c r="AY333" s="168" t="str">
        <f ca="1">IF(OR(AY$22=0,$AW$78=0),"",
INDEX(energielabels_labelnamen,MATCH(AY330,OFFSET(bibliotheek!$H$488,0,MATCH(AY$19,gebruiksfuncties_namen,0)-1,ROWS(energielabels_labelnamen),1),-1)))</f>
        <v/>
      </c>
      <c r="AZ333" s="168" t="str">
        <f ca="1">IF(OR(AZ$22=0,$AW$78=0),"",
INDEX(energielabels_labelnamen,MATCH(AZ330,OFFSET(bibliotheek!$H$488,0,MATCH(AZ$19,gebruiksfuncties_namen,0)-1,ROWS(energielabels_labelnamen),1),-1)))</f>
        <v/>
      </c>
      <c r="BA333" s="168" t="str">
        <f ca="1">IF(OR(BA$22=0,$AW$78=0),"",
INDEX(energielabels_labelnamen,MATCH(BA330,OFFSET(bibliotheek!$H$488,0,MATCH(BA$19,gebruiksfuncties_namen,0)-1,ROWS(energielabels_labelnamen),1),-1)))</f>
        <v/>
      </c>
      <c r="BB333" s="168" t="str">
        <f ca="1">IF(OR(BB$22=0,$AW$78=0),"",
INDEX(energielabels_labelnamen,MATCH(BB330,OFFSET(bibliotheek!$H$488,0,MATCH(BB$19,gebruiksfuncties_namen,0)-1,ROWS(energielabels_labelnamen),1),-1)))</f>
        <v/>
      </c>
      <c r="BC333" s="168" t="str">
        <f ca="1">IF(OR(BC$22=0,$AW$78=0),"",
INDEX(energielabels_labelnamen,MATCH(BC330,OFFSET(bibliotheek!$H$488,0,MATCH(BC$19,gebruiksfuncties_namen,0)-1,ROWS(energielabels_labelnamen),1),-1)))</f>
        <v/>
      </c>
      <c r="BD333" s="168" t="str">
        <f ca="1">IF(OR(BD$22=0,$AW$78=0),"",
INDEX(energielabels_labelnamen,MATCH(BD330,OFFSET(bibliotheek!$H$488,0,MATCH(BD$19,gebruiksfuncties_namen,0)-1,ROWS(energielabels_labelnamen),1),-1)))</f>
        <v/>
      </c>
      <c r="BE333" s="168" t="str">
        <f ca="1">IF(OR(BE$22=0,$AW$78=0),"",
INDEX(energielabels_labelnamen,MATCH(BE330,OFFSET(bibliotheek!$H$488,0,MATCH(BE$19,gebruiksfuncties_namen,0)-1,ROWS(energielabels_labelnamen),1),-1)))</f>
        <v/>
      </c>
      <c r="BF333" s="168" t="str">
        <f ca="1">IF(OR(BF$22=0,$AW$78=0),"",
INDEX(energielabels_labelnamen,MATCH(BF330,OFFSET(bibliotheek!$H$488,0,MATCH(BF$19,gebruiksfuncties_namen,0)-1,ROWS(energielabels_labelnamen),1),-1)))</f>
        <v/>
      </c>
      <c r="BG333" s="168" t="str">
        <f ca="1">IF(OR(BG$22=0,$AW$78=0),"",
INDEX(energielabels_labelnamen,MATCH(BG330,OFFSET(bibliotheek!$H$488,0,MATCH(BG$19,gebruiksfuncties_namen,0)-1,ROWS(energielabels_labelnamen),1),-1)))</f>
        <v/>
      </c>
      <c r="BH333" s="210"/>
    </row>
    <row r="334" spans="1:60">
      <c r="A334" s="1040"/>
      <c r="B334" s="1109" t="s">
        <v>1223</v>
      </c>
      <c r="C334" s="1107" t="s">
        <v>104</v>
      </c>
      <c r="D334" s="640" t="s">
        <v>45</v>
      </c>
      <c r="E334" s="203" t="s">
        <v>1015</v>
      </c>
      <c r="F334" s="862"/>
      <c r="G334" s="862"/>
      <c r="H334" s="204" t="s">
        <v>65</v>
      </c>
      <c r="I334" s="114"/>
      <c r="J334" s="202"/>
      <c r="K334" s="195"/>
      <c r="L334" s="195"/>
      <c r="M334" s="202"/>
      <c r="N334" s="114"/>
      <c r="O334" s="168" t="str">
        <f t="shared" ref="O334:W334" si="426">IF(O$26=0,"",INDEX(eindnorm_utiliteit_energielabel,MATCH(O$19,gebruiksfuncties_namen,0)))</f>
        <v/>
      </c>
      <c r="P334" s="168" t="str">
        <f>IF(P$26=0,"",INDEX(eindnorm_utiliteit_energielabel,MATCH(P$19,gebruiksfuncties_namen,0)))</f>
        <v/>
      </c>
      <c r="Q334" s="168" t="str">
        <f t="shared" si="426"/>
        <v/>
      </c>
      <c r="R334" s="168" t="str">
        <f t="shared" si="426"/>
        <v/>
      </c>
      <c r="S334" s="168" t="str">
        <f t="shared" si="426"/>
        <v/>
      </c>
      <c r="T334" s="168" t="str">
        <f t="shared" si="426"/>
        <v/>
      </c>
      <c r="U334" s="168" t="str">
        <f t="shared" si="426"/>
        <v/>
      </c>
      <c r="V334" s="168" t="str">
        <f t="shared" si="426"/>
        <v/>
      </c>
      <c r="W334" s="168" t="str">
        <f t="shared" si="426"/>
        <v/>
      </c>
      <c r="X334" s="113"/>
      <c r="Y334" s="202"/>
      <c r="Z334" s="114"/>
      <c r="AA334" s="168" t="str">
        <f t="shared" ref="AA334:AI334" si="427">IF(AA$26=0,"",INDEX(eindnorm_utiliteit_energielabel,MATCH(AA$19,gebruiksfuncties_namen,0)))</f>
        <v/>
      </c>
      <c r="AB334" s="168" t="str">
        <f t="shared" si="427"/>
        <v/>
      </c>
      <c r="AC334" s="168" t="str">
        <f t="shared" si="427"/>
        <v/>
      </c>
      <c r="AD334" s="168" t="str">
        <f t="shared" si="427"/>
        <v/>
      </c>
      <c r="AE334" s="168" t="str">
        <f t="shared" si="427"/>
        <v/>
      </c>
      <c r="AF334" s="168" t="str">
        <f t="shared" si="427"/>
        <v/>
      </c>
      <c r="AG334" s="168" t="str">
        <f t="shared" si="427"/>
        <v/>
      </c>
      <c r="AH334" s="168" t="str">
        <f t="shared" si="427"/>
        <v/>
      </c>
      <c r="AI334" s="168" t="str">
        <f t="shared" si="427"/>
        <v/>
      </c>
      <c r="AJ334" s="113"/>
      <c r="AK334" s="202"/>
      <c r="AL334" s="114"/>
      <c r="AM334" s="168" t="str">
        <f t="shared" ref="AM334:AU334" si="428">IF(AM$26=0,"",INDEX(eindnorm_utiliteit_energielabel,MATCH(AM$19,gebruiksfuncties_namen,0)))</f>
        <v/>
      </c>
      <c r="AN334" s="168" t="str">
        <f t="shared" si="428"/>
        <v/>
      </c>
      <c r="AO334" s="168" t="str">
        <f t="shared" si="428"/>
        <v/>
      </c>
      <c r="AP334" s="168" t="str">
        <f t="shared" si="428"/>
        <v/>
      </c>
      <c r="AQ334" s="168" t="str">
        <f t="shared" si="428"/>
        <v/>
      </c>
      <c r="AR334" s="168" t="str">
        <f t="shared" si="428"/>
        <v/>
      </c>
      <c r="AS334" s="168" t="str">
        <f t="shared" si="428"/>
        <v/>
      </c>
      <c r="AT334" s="168" t="str">
        <f t="shared" si="428"/>
        <v/>
      </c>
      <c r="AU334" s="168" t="str">
        <f t="shared" si="428"/>
        <v/>
      </c>
      <c r="AV334" s="113"/>
      <c r="AW334" s="202"/>
      <c r="AX334" s="114"/>
      <c r="AY334" s="168" t="str">
        <f t="shared" ref="AY334:BG334" si="429">IF(AY$26=0,"",INDEX(eindnorm_utiliteit_energielabel,MATCH(AY$19,gebruiksfuncties_namen,0)))</f>
        <v/>
      </c>
      <c r="AZ334" s="168" t="str">
        <f t="shared" si="429"/>
        <v/>
      </c>
      <c r="BA334" s="168" t="str">
        <f t="shared" si="429"/>
        <v/>
      </c>
      <c r="BB334" s="168" t="str">
        <f t="shared" si="429"/>
        <v/>
      </c>
      <c r="BC334" s="168" t="str">
        <f t="shared" si="429"/>
        <v/>
      </c>
      <c r="BD334" s="168" t="str">
        <f t="shared" si="429"/>
        <v/>
      </c>
      <c r="BE334" s="168" t="str">
        <f t="shared" si="429"/>
        <v/>
      </c>
      <c r="BF334" s="168" t="str">
        <f t="shared" si="429"/>
        <v/>
      </c>
      <c r="BG334" s="168" t="str">
        <f t="shared" si="429"/>
        <v/>
      </c>
      <c r="BH334" s="210"/>
    </row>
    <row r="335" spans="1:60">
      <c r="A335" s="1040"/>
      <c r="B335" s="1109" t="s">
        <v>1223</v>
      </c>
      <c r="C335" s="1106" t="s">
        <v>96</v>
      </c>
      <c r="D335" s="640" t="s">
        <v>45</v>
      </c>
      <c r="E335" s="942" t="s">
        <v>283</v>
      </c>
      <c r="F335" s="942"/>
      <c r="G335" s="942"/>
      <c r="H335" s="942"/>
      <c r="I335" s="129"/>
      <c r="J335" s="943"/>
      <c r="K335" s="126"/>
      <c r="L335" s="126"/>
      <c r="M335" s="944"/>
      <c r="N335" s="195"/>
      <c r="O335" s="258" t="str">
        <f>O$17</f>
        <v/>
      </c>
      <c r="P335" s="258" t="str">
        <f t="shared" ref="P335:W335" si="430">P$17</f>
        <v/>
      </c>
      <c r="Q335" s="258" t="str">
        <f t="shared" si="430"/>
        <v/>
      </c>
      <c r="R335" s="258" t="str">
        <f t="shared" si="430"/>
        <v/>
      </c>
      <c r="S335" s="258" t="str">
        <f t="shared" si="430"/>
        <v/>
      </c>
      <c r="T335" s="258" t="str">
        <f t="shared" si="430"/>
        <v/>
      </c>
      <c r="U335" s="258" t="str">
        <f t="shared" si="430"/>
        <v/>
      </c>
      <c r="V335" s="258" t="str">
        <f t="shared" si="430"/>
        <v/>
      </c>
      <c r="W335" s="258" t="str">
        <f t="shared" si="430"/>
        <v/>
      </c>
      <c r="X335" s="195"/>
      <c r="Y335" s="944"/>
      <c r="Z335" s="195"/>
      <c r="AA335" s="258" t="str">
        <f>AA$17</f>
        <v/>
      </c>
      <c r="AB335" s="258" t="str">
        <f t="shared" ref="AB335:AI335" si="431">AB$17</f>
        <v/>
      </c>
      <c r="AC335" s="258" t="str">
        <f t="shared" si="431"/>
        <v/>
      </c>
      <c r="AD335" s="258" t="str">
        <f t="shared" si="431"/>
        <v/>
      </c>
      <c r="AE335" s="258" t="str">
        <f t="shared" si="431"/>
        <v/>
      </c>
      <c r="AF335" s="258" t="str">
        <f t="shared" si="431"/>
        <v/>
      </c>
      <c r="AG335" s="258" t="str">
        <f t="shared" si="431"/>
        <v/>
      </c>
      <c r="AH335" s="258" t="str">
        <f t="shared" si="431"/>
        <v/>
      </c>
      <c r="AI335" s="258" t="str">
        <f t="shared" si="431"/>
        <v/>
      </c>
      <c r="AJ335" s="195"/>
      <c r="AK335" s="944"/>
      <c r="AL335" s="195"/>
      <c r="AM335" s="258" t="str">
        <f>AM$17</f>
        <v/>
      </c>
      <c r="AN335" s="258" t="str">
        <f t="shared" ref="AN335:AU335" si="432">AN$17</f>
        <v/>
      </c>
      <c r="AO335" s="258" t="str">
        <f t="shared" si="432"/>
        <v/>
      </c>
      <c r="AP335" s="258" t="str">
        <f t="shared" si="432"/>
        <v/>
      </c>
      <c r="AQ335" s="258" t="str">
        <f t="shared" si="432"/>
        <v/>
      </c>
      <c r="AR335" s="258" t="str">
        <f t="shared" si="432"/>
        <v/>
      </c>
      <c r="AS335" s="258" t="str">
        <f t="shared" si="432"/>
        <v/>
      </c>
      <c r="AT335" s="258" t="str">
        <f t="shared" si="432"/>
        <v/>
      </c>
      <c r="AU335" s="258" t="str">
        <f t="shared" si="432"/>
        <v/>
      </c>
      <c r="AV335" s="195"/>
      <c r="AW335" s="944"/>
      <c r="AX335" s="195"/>
      <c r="AY335" s="258" t="str">
        <f>AY$17</f>
        <v/>
      </c>
      <c r="AZ335" s="258" t="str">
        <f t="shared" ref="AZ335:BG335" si="433">AZ$17</f>
        <v/>
      </c>
      <c r="BA335" s="258" t="str">
        <f t="shared" si="433"/>
        <v/>
      </c>
      <c r="BB335" s="258" t="str">
        <f t="shared" si="433"/>
        <v/>
      </c>
      <c r="BC335" s="258" t="str">
        <f t="shared" si="433"/>
        <v/>
      </c>
      <c r="BD335" s="258" t="str">
        <f t="shared" si="433"/>
        <v/>
      </c>
      <c r="BE335" s="258" t="str">
        <f t="shared" si="433"/>
        <v/>
      </c>
      <c r="BF335" s="258" t="str">
        <f t="shared" si="433"/>
        <v/>
      </c>
      <c r="BG335" s="258" t="str">
        <f t="shared" si="433"/>
        <v/>
      </c>
      <c r="BH335" s="36"/>
    </row>
    <row r="336" spans="1:60">
      <c r="A336" s="1040"/>
      <c r="B336" s="1109" t="s">
        <v>1223</v>
      </c>
      <c r="C336" s="1107" t="s">
        <v>104</v>
      </c>
      <c r="D336" s="641"/>
      <c r="E336" s="203" t="s">
        <v>284</v>
      </c>
      <c r="F336" s="203"/>
      <c r="G336" s="203"/>
      <c r="H336" s="204" t="s">
        <v>154</v>
      </c>
      <c r="I336" s="205"/>
      <c r="J336" s="206"/>
      <c r="K336" s="79"/>
      <c r="L336" s="79"/>
      <c r="M336" s="206"/>
      <c r="N336" s="205"/>
      <c r="O336" s="542" t="str">
        <f t="shared" ref="O336:W336" si="434">IF(O$337="","",IF(O$337="nvt","nvt",
INDEX(standaardwaarde_basis,MATCH(O$19,standaardwaarden_gebruiksfuncties,0))+
MAX(0,O$32-1)*INDEX(standaardwaarde_extra_vraag_boven_grenswaarde_vormfactor,MATCH(O$19,standaardwaarden_gebruiksfuncties,0))))</f>
        <v/>
      </c>
      <c r="P336" s="542" t="str">
        <f t="shared" si="434"/>
        <v/>
      </c>
      <c r="Q336" s="542" t="str">
        <f t="shared" si="434"/>
        <v/>
      </c>
      <c r="R336" s="542" t="str">
        <f t="shared" si="434"/>
        <v/>
      </c>
      <c r="S336" s="542" t="str">
        <f t="shared" si="434"/>
        <v/>
      </c>
      <c r="T336" s="542" t="str">
        <f t="shared" si="434"/>
        <v/>
      </c>
      <c r="U336" s="542" t="str">
        <f t="shared" si="434"/>
        <v/>
      </c>
      <c r="V336" s="542" t="str">
        <f t="shared" si="434"/>
        <v/>
      </c>
      <c r="W336" s="542" t="str">
        <f t="shared" si="434"/>
        <v/>
      </c>
      <c r="X336" s="108"/>
      <c r="Y336" s="206"/>
      <c r="Z336" s="1091"/>
      <c r="AA336" s="542" t="str">
        <f t="shared" ref="AA336:AI336" si="435">IF(AA$337="","",IF(AA$337="nvt","nvt",
INDEX(standaardwaarde_basis,MATCH(AA$19,standaardwaarden_gebruiksfuncties,0))+
MAX(0,AA$32-1)*INDEX(standaardwaarde_extra_vraag_boven_grenswaarde_vormfactor,MATCH(AA$19,standaardwaarden_gebruiksfuncties,0))))</f>
        <v/>
      </c>
      <c r="AB336" s="542" t="str">
        <f t="shared" si="435"/>
        <v/>
      </c>
      <c r="AC336" s="542" t="str">
        <f t="shared" si="435"/>
        <v/>
      </c>
      <c r="AD336" s="542" t="str">
        <f t="shared" si="435"/>
        <v/>
      </c>
      <c r="AE336" s="542" t="str">
        <f t="shared" si="435"/>
        <v/>
      </c>
      <c r="AF336" s="542" t="str">
        <f t="shared" si="435"/>
        <v/>
      </c>
      <c r="AG336" s="542" t="str">
        <f t="shared" si="435"/>
        <v/>
      </c>
      <c r="AH336" s="542" t="str">
        <f t="shared" si="435"/>
        <v/>
      </c>
      <c r="AI336" s="542" t="str">
        <f t="shared" si="435"/>
        <v/>
      </c>
      <c r="AJ336" s="108"/>
      <c r="AK336" s="206"/>
      <c r="AL336" s="1091"/>
      <c r="AM336" s="542" t="str">
        <f t="shared" ref="AM336:AU336" si="436">IF(AM$337="","",IF(AM$337="nvt","nvt",
INDEX(standaardwaarde_basis,MATCH(AM$19,standaardwaarden_gebruiksfuncties,0))+
MAX(0,AM$32-1)*INDEX(standaardwaarde_extra_vraag_boven_grenswaarde_vormfactor,MATCH(AM$19,standaardwaarden_gebruiksfuncties,0))))</f>
        <v/>
      </c>
      <c r="AN336" s="542" t="str">
        <f t="shared" si="436"/>
        <v/>
      </c>
      <c r="AO336" s="542" t="str">
        <f t="shared" si="436"/>
        <v/>
      </c>
      <c r="AP336" s="542" t="str">
        <f t="shared" si="436"/>
        <v/>
      </c>
      <c r="AQ336" s="542" t="str">
        <f t="shared" si="436"/>
        <v/>
      </c>
      <c r="AR336" s="542" t="str">
        <f t="shared" si="436"/>
        <v/>
      </c>
      <c r="AS336" s="542" t="str">
        <f t="shared" si="436"/>
        <v/>
      </c>
      <c r="AT336" s="542" t="str">
        <f t="shared" si="436"/>
        <v/>
      </c>
      <c r="AU336" s="542" t="str">
        <f t="shared" si="436"/>
        <v/>
      </c>
      <c r="AV336" s="108"/>
      <c r="AW336" s="206"/>
      <c r="AX336" s="1091"/>
      <c r="AY336" s="542" t="str">
        <f t="shared" ref="AY336:BG336" si="437">IF(AY$337="","",IF(AY$337="nvt","nvt",
INDEX(standaardwaarde_basis,MATCH(AY$19,standaardwaarden_gebruiksfuncties,0))+
MAX(0,AY$32-1)*INDEX(standaardwaarde_extra_vraag_boven_grenswaarde_vormfactor,MATCH(AY$19,standaardwaarden_gebruiksfuncties,0))))</f>
        <v/>
      </c>
      <c r="AZ336" s="542" t="str">
        <f t="shared" si="437"/>
        <v/>
      </c>
      <c r="BA336" s="542" t="str">
        <f t="shared" si="437"/>
        <v/>
      </c>
      <c r="BB336" s="542" t="str">
        <f t="shared" si="437"/>
        <v/>
      </c>
      <c r="BC336" s="542" t="str">
        <f t="shared" si="437"/>
        <v/>
      </c>
      <c r="BD336" s="542" t="str">
        <f t="shared" si="437"/>
        <v/>
      </c>
      <c r="BE336" s="542" t="str">
        <f t="shared" si="437"/>
        <v/>
      </c>
      <c r="BF336" s="542" t="str">
        <f t="shared" si="437"/>
        <v/>
      </c>
      <c r="BG336" s="542" t="str">
        <f t="shared" si="437"/>
        <v/>
      </c>
      <c r="BH336" s="210"/>
    </row>
    <row r="337" spans="1:60">
      <c r="A337" s="1040"/>
      <c r="B337" s="1109" t="s">
        <v>1223</v>
      </c>
      <c r="C337" s="1107" t="s">
        <v>104</v>
      </c>
      <c r="D337" s="641"/>
      <c r="E337" s="203" t="s">
        <v>285</v>
      </c>
      <c r="F337" s="203"/>
      <c r="G337" s="203"/>
      <c r="H337" s="204" t="s">
        <v>154</v>
      </c>
      <c r="I337" s="205"/>
      <c r="J337" s="206"/>
      <c r="K337" s="79"/>
      <c r="L337" s="79"/>
      <c r="M337" s="206"/>
      <c r="N337" s="205"/>
      <c r="O337" s="542" t="str">
        <f t="shared" ref="O337:W337" si="438">IF(OR(O$17="",O$38="",O$40="",O$322=""),"",IF(OR(O$19=woning,O$19=woongebouw),O$269,"nvt"))</f>
        <v/>
      </c>
      <c r="P337" s="542" t="str">
        <f t="shared" si="438"/>
        <v/>
      </c>
      <c r="Q337" s="542" t="str">
        <f t="shared" si="438"/>
        <v/>
      </c>
      <c r="R337" s="542" t="str">
        <f t="shared" si="438"/>
        <v/>
      </c>
      <c r="S337" s="542" t="str">
        <f t="shared" si="438"/>
        <v/>
      </c>
      <c r="T337" s="542" t="str">
        <f t="shared" si="438"/>
        <v/>
      </c>
      <c r="U337" s="542" t="str">
        <f t="shared" si="438"/>
        <v/>
      </c>
      <c r="V337" s="542" t="str">
        <f t="shared" si="438"/>
        <v/>
      </c>
      <c r="W337" s="542" t="str">
        <f t="shared" si="438"/>
        <v/>
      </c>
      <c r="X337" s="108"/>
      <c r="Y337" s="206"/>
      <c r="Z337" s="1091"/>
      <c r="AA337" s="542" t="str">
        <f t="shared" ref="AA337:AI337" si="439">IF(OR(AA$17="",AA$38="",AA$40="",AA$322=""),"",IF(OR(AA$19=woning,AA$19=woongebouw),AA$269,"nvt"))</f>
        <v/>
      </c>
      <c r="AB337" s="542" t="str">
        <f t="shared" si="439"/>
        <v/>
      </c>
      <c r="AC337" s="542" t="str">
        <f t="shared" si="439"/>
        <v/>
      </c>
      <c r="AD337" s="542" t="str">
        <f t="shared" si="439"/>
        <v/>
      </c>
      <c r="AE337" s="542" t="str">
        <f t="shared" si="439"/>
        <v/>
      </c>
      <c r="AF337" s="542" t="str">
        <f t="shared" si="439"/>
        <v/>
      </c>
      <c r="AG337" s="542" t="str">
        <f t="shared" si="439"/>
        <v/>
      </c>
      <c r="AH337" s="542" t="str">
        <f t="shared" si="439"/>
        <v/>
      </c>
      <c r="AI337" s="542" t="str">
        <f t="shared" si="439"/>
        <v/>
      </c>
      <c r="AJ337" s="108"/>
      <c r="AK337" s="206"/>
      <c r="AL337" s="1091"/>
      <c r="AM337" s="542" t="str">
        <f t="shared" ref="AM337:AU337" si="440">IF(OR(AM$17="",AM$38="",AM$40="",AM$322=""),"",IF(OR(AM$19=woning,AM$19=woongebouw),AM$269,"nvt"))</f>
        <v/>
      </c>
      <c r="AN337" s="542" t="str">
        <f t="shared" si="440"/>
        <v/>
      </c>
      <c r="AO337" s="542" t="str">
        <f t="shared" si="440"/>
        <v/>
      </c>
      <c r="AP337" s="542" t="str">
        <f t="shared" si="440"/>
        <v/>
      </c>
      <c r="AQ337" s="542" t="str">
        <f t="shared" si="440"/>
        <v/>
      </c>
      <c r="AR337" s="542" t="str">
        <f t="shared" si="440"/>
        <v/>
      </c>
      <c r="AS337" s="542" t="str">
        <f t="shared" si="440"/>
        <v/>
      </c>
      <c r="AT337" s="542" t="str">
        <f t="shared" si="440"/>
        <v/>
      </c>
      <c r="AU337" s="542" t="str">
        <f t="shared" si="440"/>
        <v/>
      </c>
      <c r="AV337" s="108"/>
      <c r="AW337" s="206"/>
      <c r="AX337" s="1091"/>
      <c r="AY337" s="542" t="str">
        <f t="shared" ref="AY337:BG337" si="441">IF(OR(AY$17="",AY$38="",AY$40="",AY$322=""),"",IF(OR(AY$19=woning,AY$19=woongebouw),AY$269,"nvt"))</f>
        <v/>
      </c>
      <c r="AZ337" s="542" t="str">
        <f t="shared" si="441"/>
        <v/>
      </c>
      <c r="BA337" s="542" t="str">
        <f t="shared" si="441"/>
        <v/>
      </c>
      <c r="BB337" s="542" t="str">
        <f t="shared" si="441"/>
        <v/>
      </c>
      <c r="BC337" s="542" t="str">
        <f t="shared" si="441"/>
        <v/>
      </c>
      <c r="BD337" s="542" t="str">
        <f t="shared" si="441"/>
        <v/>
      </c>
      <c r="BE337" s="542" t="str">
        <f t="shared" si="441"/>
        <v/>
      </c>
      <c r="BF337" s="542" t="str">
        <f t="shared" si="441"/>
        <v/>
      </c>
      <c r="BG337" s="542" t="str">
        <f t="shared" si="441"/>
        <v/>
      </c>
      <c r="BH337" s="210"/>
    </row>
    <row r="338" spans="1:60">
      <c r="A338" s="1040"/>
      <c r="B338" s="1109" t="s">
        <v>1223</v>
      </c>
      <c r="C338" s="1106" t="s">
        <v>96</v>
      </c>
      <c r="D338" s="638"/>
      <c r="E338" s="942" t="s">
        <v>286</v>
      </c>
      <c r="F338" s="942"/>
      <c r="G338" s="942"/>
      <c r="H338" s="942"/>
      <c r="I338" s="129"/>
      <c r="J338" s="943"/>
      <c r="K338" s="126"/>
      <c r="L338" s="126"/>
      <c r="M338" s="944"/>
      <c r="N338" s="195"/>
      <c r="O338" s="258" t="str">
        <f>O$17</f>
        <v/>
      </c>
      <c r="P338" s="258" t="str">
        <f t="shared" ref="P338:W338" si="442">P$17</f>
        <v/>
      </c>
      <c r="Q338" s="258" t="str">
        <f t="shared" si="442"/>
        <v/>
      </c>
      <c r="R338" s="258" t="str">
        <f t="shared" si="442"/>
        <v/>
      </c>
      <c r="S338" s="258" t="str">
        <f t="shared" si="442"/>
        <v/>
      </c>
      <c r="T338" s="258" t="str">
        <f t="shared" si="442"/>
        <v/>
      </c>
      <c r="U338" s="258" t="str">
        <f t="shared" si="442"/>
        <v/>
      </c>
      <c r="V338" s="258" t="str">
        <f t="shared" si="442"/>
        <v/>
      </c>
      <c r="W338" s="258" t="str">
        <f t="shared" si="442"/>
        <v/>
      </c>
      <c r="X338" s="1092"/>
      <c r="Y338" s="944"/>
      <c r="Z338" s="1092"/>
      <c r="AA338" s="258" t="str">
        <f>AA$17</f>
        <v/>
      </c>
      <c r="AB338" s="258" t="str">
        <f t="shared" ref="AB338:AI338" si="443">AB$17</f>
        <v/>
      </c>
      <c r="AC338" s="258" t="str">
        <f t="shared" si="443"/>
        <v/>
      </c>
      <c r="AD338" s="258" t="str">
        <f t="shared" si="443"/>
        <v/>
      </c>
      <c r="AE338" s="258" t="str">
        <f t="shared" si="443"/>
        <v/>
      </c>
      <c r="AF338" s="258" t="str">
        <f t="shared" si="443"/>
        <v/>
      </c>
      <c r="AG338" s="258" t="str">
        <f t="shared" si="443"/>
        <v/>
      </c>
      <c r="AH338" s="258" t="str">
        <f t="shared" si="443"/>
        <v/>
      </c>
      <c r="AI338" s="258" t="str">
        <f t="shared" si="443"/>
        <v/>
      </c>
      <c r="AJ338" s="1092"/>
      <c r="AK338" s="944"/>
      <c r="AL338" s="1092"/>
      <c r="AM338" s="258" t="str">
        <f>AM$17</f>
        <v/>
      </c>
      <c r="AN338" s="258" t="str">
        <f t="shared" ref="AN338:AU338" si="444">AN$17</f>
        <v/>
      </c>
      <c r="AO338" s="258" t="str">
        <f t="shared" si="444"/>
        <v/>
      </c>
      <c r="AP338" s="258" t="str">
        <f t="shared" si="444"/>
        <v/>
      </c>
      <c r="AQ338" s="258" t="str">
        <f t="shared" si="444"/>
        <v/>
      </c>
      <c r="AR338" s="258" t="str">
        <f t="shared" si="444"/>
        <v/>
      </c>
      <c r="AS338" s="258" t="str">
        <f t="shared" si="444"/>
        <v/>
      </c>
      <c r="AT338" s="258" t="str">
        <f t="shared" si="444"/>
        <v/>
      </c>
      <c r="AU338" s="258" t="str">
        <f t="shared" si="444"/>
        <v/>
      </c>
      <c r="AV338" s="1092"/>
      <c r="AW338" s="944"/>
      <c r="AX338" s="1092"/>
      <c r="AY338" s="258" t="str">
        <f>AY$17</f>
        <v/>
      </c>
      <c r="AZ338" s="258" t="str">
        <f t="shared" ref="AZ338:BG338" si="445">AZ$17</f>
        <v/>
      </c>
      <c r="BA338" s="258" t="str">
        <f t="shared" si="445"/>
        <v/>
      </c>
      <c r="BB338" s="258" t="str">
        <f t="shared" si="445"/>
        <v/>
      </c>
      <c r="BC338" s="258" t="str">
        <f t="shared" si="445"/>
        <v/>
      </c>
      <c r="BD338" s="258" t="str">
        <f t="shared" si="445"/>
        <v/>
      </c>
      <c r="BE338" s="258" t="str">
        <f t="shared" si="445"/>
        <v/>
      </c>
      <c r="BF338" s="258" t="str">
        <f t="shared" si="445"/>
        <v/>
      </c>
      <c r="BG338" s="258" t="str">
        <f t="shared" si="445"/>
        <v/>
      </c>
      <c r="BH338" s="36"/>
    </row>
    <row r="339" spans="1:60">
      <c r="A339" s="1040"/>
      <c r="B339" s="1109" t="s">
        <v>1223</v>
      </c>
      <c r="C339" s="1107" t="s">
        <v>104</v>
      </c>
      <c r="D339" s="641"/>
      <c r="E339" s="203" t="s">
        <v>287</v>
      </c>
      <c r="F339" s="203"/>
      <c r="G339" s="203"/>
      <c r="H339" s="204" t="s">
        <v>154</v>
      </c>
      <c r="I339" s="205"/>
      <c r="J339" s="206"/>
      <c r="K339" s="79"/>
      <c r="L339" s="79"/>
      <c r="M339" s="206"/>
      <c r="N339" s="205"/>
      <c r="O339" s="542" t="str" cm="1">
        <f t="array" ref="O339">IF(O$337="","",IF(O$337="nvt","nvt",
INDEX(standaardwaarde_basis,MATCH(O$19,standaardwaarden_gebruiksfuncties,0)+1)+
MAX(0,O$32-1)*INDEX(standaardwaarde_extra_vraag_boven_grenswaarde_vormfactor,MATCH(O$19,standaardwaarden_gebruiksfuncties,0)+1)))</f>
        <v/>
      </c>
      <c r="P339" s="542" t="str" cm="1">
        <f t="array" ref="P339">IF(P$337="","",IF(P$337="nvt","nvt",
INDEX(standaardwaarde_basis,MATCH(P$19,standaardwaarden_gebruiksfuncties,0)+1)+
MAX(0,P$32-1)*INDEX(standaardwaarde_extra_vraag_boven_grenswaarde_vormfactor,MATCH(P$19,standaardwaarden_gebruiksfuncties,0)+1)))</f>
        <v/>
      </c>
      <c r="Q339" s="542" t="str" cm="1">
        <f t="array" ref="Q339">IF(Q$337="","",IF(Q$337="nvt","nvt",
INDEX(standaardwaarde_basis,MATCH(Q$19,standaardwaarden_gebruiksfuncties,0)+1)+
MAX(0,Q$32-1)*INDEX(standaardwaarde_extra_vraag_boven_grenswaarde_vormfactor,MATCH(Q$19,standaardwaarden_gebruiksfuncties,0)+1)))</f>
        <v/>
      </c>
      <c r="R339" s="542" t="str" cm="1">
        <f t="array" ref="R339">IF(R$337="","",IF(R$337="nvt","nvt",
INDEX(standaardwaarde_basis,MATCH(R$19,standaardwaarden_gebruiksfuncties,0)+1)+
MAX(0,R$32-1)*INDEX(standaardwaarde_extra_vraag_boven_grenswaarde_vormfactor,MATCH(R$19,standaardwaarden_gebruiksfuncties,0)+1)))</f>
        <v/>
      </c>
      <c r="S339" s="542" t="str" cm="1">
        <f t="array" ref="S339">IF(S$337="","",IF(S$337="nvt","nvt",
INDEX(standaardwaarde_basis,MATCH(S$19,standaardwaarden_gebruiksfuncties,0)+1)+
MAX(0,S$32-1)*INDEX(standaardwaarde_extra_vraag_boven_grenswaarde_vormfactor,MATCH(S$19,standaardwaarden_gebruiksfuncties,0)+1)))</f>
        <v/>
      </c>
      <c r="T339" s="542" t="str" cm="1">
        <f t="array" ref="T339">IF(T$337="","",IF(T$337="nvt","nvt",
INDEX(standaardwaarde_basis,MATCH(T$19,standaardwaarden_gebruiksfuncties,0)+1)+
MAX(0,T$32-1)*INDEX(standaardwaarde_extra_vraag_boven_grenswaarde_vormfactor,MATCH(T$19,standaardwaarden_gebruiksfuncties,0)+1)))</f>
        <v/>
      </c>
      <c r="U339" s="542" t="str" cm="1">
        <f t="array" ref="U339">IF(U$337="","",IF(U$337="nvt","nvt",
INDEX(standaardwaarde_basis,MATCH(U$19,standaardwaarden_gebruiksfuncties,0)+1)+
MAX(0,U$32-1)*INDEX(standaardwaarde_extra_vraag_boven_grenswaarde_vormfactor,MATCH(U$19,standaardwaarden_gebruiksfuncties,0)+1)))</f>
        <v/>
      </c>
      <c r="V339" s="542" t="str" cm="1">
        <f t="array" ref="V339">IF(V$337="","",IF(V$337="nvt","nvt",
INDEX(standaardwaarde_basis,MATCH(V$19,standaardwaarden_gebruiksfuncties,0)+1)+
MAX(0,V$32-1)*INDEX(standaardwaarde_extra_vraag_boven_grenswaarde_vormfactor,MATCH(V$19,standaardwaarden_gebruiksfuncties,0)+1)))</f>
        <v/>
      </c>
      <c r="W339" s="542" t="str" cm="1">
        <f t="array" ref="W339">IF(W$337="","",IF(W$337="nvt","nvt",
INDEX(standaardwaarde_basis,MATCH(W$19,standaardwaarden_gebruiksfuncties,0)+1)+
MAX(0,W$32-1)*INDEX(standaardwaarde_extra_vraag_boven_grenswaarde_vormfactor,MATCH(W$19,standaardwaarden_gebruiksfuncties,0)+1)))</f>
        <v/>
      </c>
      <c r="X339" s="108"/>
      <c r="Y339" s="206"/>
      <c r="Z339" s="1091"/>
      <c r="AA339" s="542" t="str" cm="1">
        <f t="array" ref="AA339">IF(AA$337="","",IF(AA$337="nvt","nvt",
INDEX(standaardwaarde_basis,MATCH(AA$19,standaardwaarden_gebruiksfuncties,0)+1)+
MAX(0,AA$32-1)*INDEX(standaardwaarde_extra_vraag_boven_grenswaarde_vormfactor,MATCH(AA$19,standaardwaarden_gebruiksfuncties,0)+1)))</f>
        <v/>
      </c>
      <c r="AB339" s="542" t="str" cm="1">
        <f t="array" ref="AB339">IF(AB$337="","",IF(AB$337="nvt","nvt",
INDEX(standaardwaarde_basis,MATCH(AB$19,standaardwaarden_gebruiksfuncties,0)+1)+
MAX(0,AB$32-1)*INDEX(standaardwaarde_extra_vraag_boven_grenswaarde_vormfactor,MATCH(AB$19,standaardwaarden_gebruiksfuncties,0)+1)))</f>
        <v/>
      </c>
      <c r="AC339" s="542" t="str" cm="1">
        <f t="array" ref="AC339">IF(AC$337="","",IF(AC$337="nvt","nvt",
INDEX(standaardwaarde_basis,MATCH(AC$19,standaardwaarden_gebruiksfuncties,0)+1)+
MAX(0,AC$32-1)*INDEX(standaardwaarde_extra_vraag_boven_grenswaarde_vormfactor,MATCH(AC$19,standaardwaarden_gebruiksfuncties,0)+1)))</f>
        <v/>
      </c>
      <c r="AD339" s="542" t="str" cm="1">
        <f t="array" ref="AD339">IF(AD$337="","",IF(AD$337="nvt","nvt",
INDEX(standaardwaarde_basis,MATCH(AD$19,standaardwaarden_gebruiksfuncties,0)+1)+
MAX(0,AD$32-1)*INDEX(standaardwaarde_extra_vraag_boven_grenswaarde_vormfactor,MATCH(AD$19,standaardwaarden_gebruiksfuncties,0)+1)))</f>
        <v/>
      </c>
      <c r="AE339" s="542" t="str" cm="1">
        <f t="array" ref="AE339">IF(AE$337="","",IF(AE$337="nvt","nvt",
INDEX(standaardwaarde_basis,MATCH(AE$19,standaardwaarden_gebruiksfuncties,0)+1)+
MAX(0,AE$32-1)*INDEX(standaardwaarde_extra_vraag_boven_grenswaarde_vormfactor,MATCH(AE$19,standaardwaarden_gebruiksfuncties,0)+1)))</f>
        <v/>
      </c>
      <c r="AF339" s="542" t="str" cm="1">
        <f t="array" ref="AF339">IF(AF$337="","",IF(AF$337="nvt","nvt",
INDEX(standaardwaarde_basis,MATCH(AF$19,standaardwaarden_gebruiksfuncties,0)+1)+
MAX(0,AF$32-1)*INDEX(standaardwaarde_extra_vraag_boven_grenswaarde_vormfactor,MATCH(AF$19,standaardwaarden_gebruiksfuncties,0)+1)))</f>
        <v/>
      </c>
      <c r="AG339" s="542" t="str" cm="1">
        <f t="array" ref="AG339">IF(AG$337="","",IF(AG$337="nvt","nvt",
INDEX(standaardwaarde_basis,MATCH(AG$19,standaardwaarden_gebruiksfuncties,0)+1)+
MAX(0,AG$32-1)*INDEX(standaardwaarde_extra_vraag_boven_grenswaarde_vormfactor,MATCH(AG$19,standaardwaarden_gebruiksfuncties,0)+1)))</f>
        <v/>
      </c>
      <c r="AH339" s="542" t="str" cm="1">
        <f t="array" ref="AH339">IF(AH$337="","",IF(AH$337="nvt","nvt",
INDEX(standaardwaarde_basis,MATCH(AH$19,standaardwaarden_gebruiksfuncties,0)+1)+
MAX(0,AH$32-1)*INDEX(standaardwaarde_extra_vraag_boven_grenswaarde_vormfactor,MATCH(AH$19,standaardwaarden_gebruiksfuncties,0)+1)))</f>
        <v/>
      </c>
      <c r="AI339" s="542" t="str" cm="1">
        <f t="array" ref="AI339">IF(AI$337="","",IF(AI$337="nvt","nvt",
INDEX(standaardwaarde_basis,MATCH(AI$19,standaardwaarden_gebruiksfuncties,0)+1)+
MAX(0,AI$32-1)*INDEX(standaardwaarde_extra_vraag_boven_grenswaarde_vormfactor,MATCH(AI$19,standaardwaarden_gebruiksfuncties,0)+1)))</f>
        <v/>
      </c>
      <c r="AJ339" s="108"/>
      <c r="AK339" s="206"/>
      <c r="AL339" s="1091"/>
      <c r="AM339" s="542" t="str" cm="1">
        <f t="array" ref="AM339">IF(AM$337="","",IF(AM$337="nvt","nvt",
INDEX(standaardwaarde_basis,MATCH(AM$19,standaardwaarden_gebruiksfuncties,0)+1)+
MAX(0,AM$32-1)*INDEX(standaardwaarde_extra_vraag_boven_grenswaarde_vormfactor,MATCH(AM$19,standaardwaarden_gebruiksfuncties,0)+1)))</f>
        <v/>
      </c>
      <c r="AN339" s="542" t="str" cm="1">
        <f t="array" ref="AN339">IF(AN$337="","",IF(AN$337="nvt","nvt",
INDEX(standaardwaarde_basis,MATCH(AN$19,standaardwaarden_gebruiksfuncties,0)+1)+
MAX(0,AN$32-1)*INDEX(standaardwaarde_extra_vraag_boven_grenswaarde_vormfactor,MATCH(AN$19,standaardwaarden_gebruiksfuncties,0)+1)))</f>
        <v/>
      </c>
      <c r="AO339" s="542" t="str" cm="1">
        <f t="array" ref="AO339">IF(AO$337="","",IF(AO$337="nvt","nvt",
INDEX(standaardwaarde_basis,MATCH(AO$19,standaardwaarden_gebruiksfuncties,0)+1)+
MAX(0,AO$32-1)*INDEX(standaardwaarde_extra_vraag_boven_grenswaarde_vormfactor,MATCH(AO$19,standaardwaarden_gebruiksfuncties,0)+1)))</f>
        <v/>
      </c>
      <c r="AP339" s="542" t="str" cm="1">
        <f t="array" ref="AP339">IF(AP$337="","",IF(AP$337="nvt","nvt",
INDEX(standaardwaarde_basis,MATCH(AP$19,standaardwaarden_gebruiksfuncties,0)+1)+
MAX(0,AP$32-1)*INDEX(standaardwaarde_extra_vraag_boven_grenswaarde_vormfactor,MATCH(AP$19,standaardwaarden_gebruiksfuncties,0)+1)))</f>
        <v/>
      </c>
      <c r="AQ339" s="542" t="str" cm="1">
        <f t="array" ref="AQ339">IF(AQ$337="","",IF(AQ$337="nvt","nvt",
INDEX(standaardwaarde_basis,MATCH(AQ$19,standaardwaarden_gebruiksfuncties,0)+1)+
MAX(0,AQ$32-1)*INDEX(standaardwaarde_extra_vraag_boven_grenswaarde_vormfactor,MATCH(AQ$19,standaardwaarden_gebruiksfuncties,0)+1)))</f>
        <v/>
      </c>
      <c r="AR339" s="542" t="str" cm="1">
        <f t="array" ref="AR339">IF(AR$337="","",IF(AR$337="nvt","nvt",
INDEX(standaardwaarde_basis,MATCH(AR$19,standaardwaarden_gebruiksfuncties,0)+1)+
MAX(0,AR$32-1)*INDEX(standaardwaarde_extra_vraag_boven_grenswaarde_vormfactor,MATCH(AR$19,standaardwaarden_gebruiksfuncties,0)+1)))</f>
        <v/>
      </c>
      <c r="AS339" s="542" t="str" cm="1">
        <f t="array" ref="AS339">IF(AS$337="","",IF(AS$337="nvt","nvt",
INDEX(standaardwaarde_basis,MATCH(AS$19,standaardwaarden_gebruiksfuncties,0)+1)+
MAX(0,AS$32-1)*INDEX(standaardwaarde_extra_vraag_boven_grenswaarde_vormfactor,MATCH(AS$19,standaardwaarden_gebruiksfuncties,0)+1)))</f>
        <v/>
      </c>
      <c r="AT339" s="542" t="str" cm="1">
        <f t="array" ref="AT339">IF(AT$337="","",IF(AT$337="nvt","nvt",
INDEX(standaardwaarde_basis,MATCH(AT$19,standaardwaarden_gebruiksfuncties,0)+1)+
MAX(0,AT$32-1)*INDEX(standaardwaarde_extra_vraag_boven_grenswaarde_vormfactor,MATCH(AT$19,standaardwaarden_gebruiksfuncties,0)+1)))</f>
        <v/>
      </c>
      <c r="AU339" s="542" t="str" cm="1">
        <f t="array" ref="AU339">IF(AU$337="","",IF(AU$337="nvt","nvt",
INDEX(standaardwaarde_basis,MATCH(AU$19,standaardwaarden_gebruiksfuncties,0)+1)+
MAX(0,AU$32-1)*INDEX(standaardwaarde_extra_vraag_boven_grenswaarde_vormfactor,MATCH(AU$19,standaardwaarden_gebruiksfuncties,0)+1)))</f>
        <v/>
      </c>
      <c r="AV339" s="108"/>
      <c r="AW339" s="206"/>
      <c r="AX339" s="1091"/>
      <c r="AY339" s="542" t="str" cm="1">
        <f t="array" ref="AY339">IF(AY$337="","",IF(AY$337="nvt","nvt",
INDEX(standaardwaarde_basis,MATCH(AY$19,standaardwaarden_gebruiksfuncties,0)+1)+
MAX(0,AY$32-1)*INDEX(standaardwaarde_extra_vraag_boven_grenswaarde_vormfactor,MATCH(AY$19,standaardwaarden_gebruiksfuncties,0)+1)))</f>
        <v/>
      </c>
      <c r="AZ339" s="542" t="str" cm="1">
        <f t="array" ref="AZ339">IF(AZ$337="","",IF(AZ$337="nvt","nvt",
INDEX(standaardwaarde_basis,MATCH(AZ$19,standaardwaarden_gebruiksfuncties,0)+1)+
MAX(0,AZ$32-1)*INDEX(standaardwaarde_extra_vraag_boven_grenswaarde_vormfactor,MATCH(AZ$19,standaardwaarden_gebruiksfuncties,0)+1)))</f>
        <v/>
      </c>
      <c r="BA339" s="542" t="str" cm="1">
        <f t="array" ref="BA339">IF(BA$337="","",IF(BA$337="nvt","nvt",
INDEX(standaardwaarde_basis,MATCH(BA$19,standaardwaarden_gebruiksfuncties,0)+1)+
MAX(0,BA$32-1)*INDEX(standaardwaarde_extra_vraag_boven_grenswaarde_vormfactor,MATCH(BA$19,standaardwaarden_gebruiksfuncties,0)+1)))</f>
        <v/>
      </c>
      <c r="BB339" s="542" t="str" cm="1">
        <f t="array" ref="BB339">IF(BB$337="","",IF(BB$337="nvt","nvt",
INDEX(standaardwaarde_basis,MATCH(BB$19,standaardwaarden_gebruiksfuncties,0)+1)+
MAX(0,BB$32-1)*INDEX(standaardwaarde_extra_vraag_boven_grenswaarde_vormfactor,MATCH(BB$19,standaardwaarden_gebruiksfuncties,0)+1)))</f>
        <v/>
      </c>
      <c r="BC339" s="542" t="str" cm="1">
        <f t="array" ref="BC339">IF(BC$337="","",IF(BC$337="nvt","nvt",
INDEX(standaardwaarde_basis,MATCH(BC$19,standaardwaarden_gebruiksfuncties,0)+1)+
MAX(0,BC$32-1)*INDEX(standaardwaarde_extra_vraag_boven_grenswaarde_vormfactor,MATCH(BC$19,standaardwaarden_gebruiksfuncties,0)+1)))</f>
        <v/>
      </c>
      <c r="BD339" s="542" t="str" cm="1">
        <f t="array" ref="BD339">IF(BD$337="","",IF(BD$337="nvt","nvt",
INDEX(standaardwaarde_basis,MATCH(BD$19,standaardwaarden_gebruiksfuncties,0)+1)+
MAX(0,BD$32-1)*INDEX(standaardwaarde_extra_vraag_boven_grenswaarde_vormfactor,MATCH(BD$19,standaardwaarden_gebruiksfuncties,0)+1)))</f>
        <v/>
      </c>
      <c r="BE339" s="542" t="str" cm="1">
        <f t="array" ref="BE339">IF(BE$337="","",IF(BE$337="nvt","nvt",
INDEX(standaardwaarde_basis,MATCH(BE$19,standaardwaarden_gebruiksfuncties,0)+1)+
MAX(0,BE$32-1)*INDEX(standaardwaarde_extra_vraag_boven_grenswaarde_vormfactor,MATCH(BE$19,standaardwaarden_gebruiksfuncties,0)+1)))</f>
        <v/>
      </c>
      <c r="BF339" s="542" t="str" cm="1">
        <f t="array" ref="BF339">IF(BF$337="","",IF(BF$337="nvt","nvt",
INDEX(standaardwaarde_basis,MATCH(BF$19,standaardwaarden_gebruiksfuncties,0)+1)+
MAX(0,BF$32-1)*INDEX(standaardwaarde_extra_vraag_boven_grenswaarde_vormfactor,MATCH(BF$19,standaardwaarden_gebruiksfuncties,0)+1)))</f>
        <v/>
      </c>
      <c r="BG339" s="542" t="str" cm="1">
        <f t="array" ref="BG339">IF(BG$337="","",IF(BG$337="nvt","nvt",
INDEX(standaardwaarde_basis,MATCH(BG$19,standaardwaarden_gebruiksfuncties,0)+1)+
MAX(0,BG$32-1)*INDEX(standaardwaarde_extra_vraag_boven_grenswaarde_vormfactor,MATCH(BG$19,standaardwaarden_gebruiksfuncties,0)+1)))</f>
        <v/>
      </c>
      <c r="BH339" s="210"/>
    </row>
    <row r="340" spans="1:60">
      <c r="A340" s="1040"/>
      <c r="B340" s="1109" t="s">
        <v>1223</v>
      </c>
      <c r="C340" s="1107" t="s">
        <v>104</v>
      </c>
      <c r="D340" s="641"/>
      <c r="E340" s="203" t="s">
        <v>285</v>
      </c>
      <c r="F340" s="203"/>
      <c r="G340" s="203"/>
      <c r="H340" s="204" t="s">
        <v>154</v>
      </c>
      <c r="I340" s="205"/>
      <c r="J340" s="206"/>
      <c r="K340" s="79"/>
      <c r="L340" s="79"/>
      <c r="M340" s="206"/>
      <c r="N340" s="205"/>
      <c r="O340" s="542" t="str">
        <f t="shared" ref="O340:W340" si="446">IF(OR(O$17="",O$38="",O$40="",O$322=""),"",IF(OR(O$19=woning,O$19=woongebouw),O$269,"nvt"))</f>
        <v/>
      </c>
      <c r="P340" s="542" t="str">
        <f t="shared" si="446"/>
        <v/>
      </c>
      <c r="Q340" s="542" t="str">
        <f t="shared" si="446"/>
        <v/>
      </c>
      <c r="R340" s="542" t="str">
        <f t="shared" si="446"/>
        <v/>
      </c>
      <c r="S340" s="542" t="str">
        <f t="shared" si="446"/>
        <v/>
      </c>
      <c r="T340" s="542" t="str">
        <f t="shared" si="446"/>
        <v/>
      </c>
      <c r="U340" s="542" t="str">
        <f t="shared" si="446"/>
        <v/>
      </c>
      <c r="V340" s="542" t="str">
        <f t="shared" si="446"/>
        <v/>
      </c>
      <c r="W340" s="542" t="str">
        <f t="shared" si="446"/>
        <v/>
      </c>
      <c r="X340" s="108"/>
      <c r="Y340" s="206"/>
      <c r="Z340" s="1091"/>
      <c r="AA340" s="542" t="str">
        <f t="shared" ref="AA340:AI340" si="447">IF(OR(AA$17="",AA$38="",AA$40="",AA$322=""),"",IF(OR(AA$19=woning,AA$19=woongebouw),AA$269,"nvt"))</f>
        <v/>
      </c>
      <c r="AB340" s="542" t="str">
        <f t="shared" si="447"/>
        <v/>
      </c>
      <c r="AC340" s="542" t="str">
        <f t="shared" si="447"/>
        <v/>
      </c>
      <c r="AD340" s="542" t="str">
        <f t="shared" si="447"/>
        <v/>
      </c>
      <c r="AE340" s="542" t="str">
        <f t="shared" si="447"/>
        <v/>
      </c>
      <c r="AF340" s="542" t="str">
        <f t="shared" si="447"/>
        <v/>
      </c>
      <c r="AG340" s="542" t="str">
        <f t="shared" si="447"/>
        <v/>
      </c>
      <c r="AH340" s="542" t="str">
        <f t="shared" si="447"/>
        <v/>
      </c>
      <c r="AI340" s="542" t="str">
        <f t="shared" si="447"/>
        <v/>
      </c>
      <c r="AJ340" s="108"/>
      <c r="AK340" s="206"/>
      <c r="AL340" s="1091"/>
      <c r="AM340" s="542" t="str">
        <f t="shared" ref="AM340:AU340" si="448">IF(OR(AM$17="",AM$38="",AM$40="",AM$322=""),"",IF(OR(AM$19=woning,AM$19=woongebouw),AM$269,"nvt"))</f>
        <v/>
      </c>
      <c r="AN340" s="542" t="str">
        <f t="shared" si="448"/>
        <v/>
      </c>
      <c r="AO340" s="542" t="str">
        <f t="shared" si="448"/>
        <v/>
      </c>
      <c r="AP340" s="542" t="str">
        <f t="shared" si="448"/>
        <v/>
      </c>
      <c r="AQ340" s="542" t="str">
        <f t="shared" si="448"/>
        <v/>
      </c>
      <c r="AR340" s="542" t="str">
        <f t="shared" si="448"/>
        <v/>
      </c>
      <c r="AS340" s="542" t="str">
        <f t="shared" si="448"/>
        <v/>
      </c>
      <c r="AT340" s="542" t="str">
        <f t="shared" si="448"/>
        <v/>
      </c>
      <c r="AU340" s="542" t="str">
        <f t="shared" si="448"/>
        <v/>
      </c>
      <c r="AV340" s="108"/>
      <c r="AW340" s="206"/>
      <c r="AX340" s="1091"/>
      <c r="AY340" s="542" t="str">
        <f t="shared" ref="AY340:BG340" si="449">IF(OR(AY$17="",AY$38="",AY$40="",AY$322=""),"",IF(OR(AY$19=woning,AY$19=woongebouw),AY$269,"nvt"))</f>
        <v/>
      </c>
      <c r="AZ340" s="542" t="str">
        <f t="shared" si="449"/>
        <v/>
      </c>
      <c r="BA340" s="542" t="str">
        <f t="shared" si="449"/>
        <v/>
      </c>
      <c r="BB340" s="542" t="str">
        <f t="shared" si="449"/>
        <v/>
      </c>
      <c r="BC340" s="542" t="str">
        <f t="shared" si="449"/>
        <v/>
      </c>
      <c r="BD340" s="542" t="str">
        <f t="shared" si="449"/>
        <v/>
      </c>
      <c r="BE340" s="542" t="str">
        <f t="shared" si="449"/>
        <v/>
      </c>
      <c r="BF340" s="542" t="str">
        <f t="shared" si="449"/>
        <v/>
      </c>
      <c r="BG340" s="542" t="str">
        <f t="shared" si="449"/>
        <v/>
      </c>
      <c r="BH340" s="210"/>
    </row>
    <row r="341" spans="1:60">
      <c r="A341" s="1040"/>
      <c r="B341" s="1109" t="s">
        <v>1223</v>
      </c>
      <c r="C341" s="1106" t="s">
        <v>96</v>
      </c>
      <c r="D341" s="638"/>
      <c r="E341" s="79"/>
      <c r="F341" s="79"/>
      <c r="G341" s="79"/>
      <c r="H341" s="85"/>
      <c r="I341" s="79"/>
      <c r="J341" s="82"/>
      <c r="K341" s="79"/>
      <c r="L341" s="79"/>
      <c r="M341" s="82"/>
      <c r="N341" s="79"/>
      <c r="O341" s="108"/>
      <c r="P341" s="108"/>
      <c r="Q341" s="108"/>
      <c r="R341" s="108"/>
      <c r="S341" s="108"/>
      <c r="T341" s="108"/>
      <c r="U341" s="108"/>
      <c r="V341" s="108"/>
      <c r="W341" s="108"/>
      <c r="X341" s="82"/>
      <c r="Y341" s="82"/>
      <c r="Z341" s="79"/>
      <c r="AA341" s="108"/>
      <c r="AB341" s="108"/>
      <c r="AC341" s="108"/>
      <c r="AD341" s="108"/>
      <c r="AE341" s="108"/>
      <c r="AF341" s="108"/>
      <c r="AG341" s="108"/>
      <c r="AH341" s="108"/>
      <c r="AI341" s="108"/>
      <c r="AJ341" s="82"/>
      <c r="AK341" s="82"/>
      <c r="AL341" s="79"/>
      <c r="AM341" s="108"/>
      <c r="AN341" s="108"/>
      <c r="AO341" s="108"/>
      <c r="AP341" s="108"/>
      <c r="AQ341" s="108"/>
      <c r="AR341" s="108"/>
      <c r="AS341" s="108"/>
      <c r="AT341" s="108"/>
      <c r="AU341" s="108"/>
      <c r="AV341" s="82"/>
      <c r="AW341" s="82"/>
      <c r="AX341" s="79"/>
      <c r="AY341" s="108"/>
      <c r="AZ341" s="108"/>
      <c r="BA341" s="108"/>
      <c r="BB341" s="108"/>
      <c r="BC341" s="108"/>
      <c r="BD341" s="108"/>
      <c r="BE341" s="108"/>
      <c r="BF341" s="108"/>
      <c r="BG341" s="108"/>
      <c r="BH341" s="1"/>
    </row>
    <row r="342" spans="1:60">
      <c r="A342" s="1040"/>
      <c r="B342" s="1109" t="s">
        <v>1224</v>
      </c>
      <c r="C342" s="1107" t="s">
        <v>96</v>
      </c>
      <c r="D342" s="638"/>
      <c r="E342" s="79"/>
      <c r="F342" s="79"/>
      <c r="G342" s="79"/>
      <c r="H342" s="85"/>
      <c r="I342" s="79"/>
      <c r="J342" s="82"/>
      <c r="K342" s="79"/>
      <c r="L342" s="79"/>
      <c r="M342" s="82"/>
      <c r="N342" s="79"/>
      <c r="O342" s="82"/>
      <c r="P342" s="82"/>
      <c r="Q342" s="82"/>
      <c r="R342" s="82"/>
      <c r="S342" s="82"/>
      <c r="T342" s="82"/>
      <c r="U342" s="82"/>
      <c r="V342" s="82"/>
      <c r="W342" s="82"/>
      <c r="X342" s="82"/>
      <c r="Y342" s="82"/>
      <c r="Z342" s="79"/>
      <c r="AA342" s="82"/>
      <c r="AB342" s="82"/>
      <c r="AC342" s="82"/>
      <c r="AD342" s="82"/>
      <c r="AE342" s="82"/>
      <c r="AF342" s="82"/>
      <c r="AG342" s="82"/>
      <c r="AH342" s="82"/>
      <c r="AI342" s="82"/>
      <c r="AJ342" s="82"/>
      <c r="AK342" s="82"/>
      <c r="AL342" s="79"/>
      <c r="AM342" s="82"/>
      <c r="AN342" s="82"/>
      <c r="AO342" s="82"/>
      <c r="AP342" s="82"/>
      <c r="AQ342" s="82"/>
      <c r="AR342" s="82"/>
      <c r="AS342" s="82"/>
      <c r="AT342" s="82"/>
      <c r="AU342" s="82"/>
      <c r="AV342" s="82"/>
      <c r="AW342" s="82"/>
      <c r="AX342" s="79"/>
      <c r="AY342" s="82"/>
      <c r="AZ342" s="82"/>
      <c r="BA342" s="82"/>
      <c r="BB342" s="82"/>
      <c r="BC342" s="82"/>
      <c r="BD342" s="82"/>
      <c r="BE342" s="82"/>
      <c r="BF342" s="82"/>
      <c r="BG342" s="82"/>
      <c r="BH342" s="1"/>
    </row>
    <row r="343" spans="1:60" s="2" customFormat="1" ht="21">
      <c r="A343" s="1038"/>
      <c r="B343" s="1109" t="s">
        <v>1224</v>
      </c>
      <c r="C343" s="1106" t="s">
        <v>96</v>
      </c>
      <c r="D343" s="640" t="s">
        <v>45</v>
      </c>
      <c r="E343" s="209" t="s">
        <v>1361</v>
      </c>
      <c r="F343" s="209"/>
      <c r="G343" s="209"/>
      <c r="H343" s="209"/>
      <c r="I343" s="129"/>
      <c r="J343" s="256" t="str">
        <f>"ton CO2 "&amp;J$8</f>
        <v>ton CO2 alle locaties</v>
      </c>
      <c r="K343" s="126"/>
      <c r="L343" s="126"/>
      <c r="M343" s="256" t="str">
        <f>"ton CO2 "&amp;M$8</f>
        <v>ton CO2 locatie 1</v>
      </c>
      <c r="N343" s="182"/>
      <c r="O343" s="955" t="str">
        <f>$E343&amp;" per woning-/gebouwtype"</f>
        <v>CO2 emissie indicatie op basis van berekening fossiel per woning-/gebouwtype</v>
      </c>
      <c r="P343" s="945"/>
      <c r="Q343" s="945"/>
      <c r="R343" s="945"/>
      <c r="S343" s="945"/>
      <c r="T343" s="945"/>
      <c r="U343" s="945"/>
      <c r="V343" s="945"/>
      <c r="W343" s="257"/>
      <c r="X343" s="174"/>
      <c r="Y343" s="256" t="str">
        <f>"ton CO2 "&amp;Y$8</f>
        <v>ton CO2 locatie 2</v>
      </c>
      <c r="Z343" s="182"/>
      <c r="AA343" s="955" t="str">
        <f>$E343&amp;" per woning-/gebouwtype"</f>
        <v>CO2 emissie indicatie op basis van berekening fossiel per woning-/gebouwtype</v>
      </c>
      <c r="AB343" s="945"/>
      <c r="AC343" s="945"/>
      <c r="AD343" s="945"/>
      <c r="AE343" s="945"/>
      <c r="AF343" s="945"/>
      <c r="AG343" s="945"/>
      <c r="AH343" s="945"/>
      <c r="AI343" s="257"/>
      <c r="AJ343" s="174"/>
      <c r="AK343" s="256" t="str">
        <f>"ton CO2 "&amp;AK$8</f>
        <v>ton CO2 locatie 3</v>
      </c>
      <c r="AL343" s="182"/>
      <c r="AM343" s="955" t="str">
        <f>$E343&amp;" per woning-/gebouwtype"</f>
        <v>CO2 emissie indicatie op basis van berekening fossiel per woning-/gebouwtype</v>
      </c>
      <c r="AN343" s="945"/>
      <c r="AO343" s="945"/>
      <c r="AP343" s="945"/>
      <c r="AQ343" s="945"/>
      <c r="AR343" s="945"/>
      <c r="AS343" s="945"/>
      <c r="AT343" s="945"/>
      <c r="AU343" s="257"/>
      <c r="AV343" s="174"/>
      <c r="AW343" s="256" t="str">
        <f>"ton CO2 "&amp;AW$8</f>
        <v>ton CO2 locatie 4</v>
      </c>
      <c r="AX343" s="182"/>
      <c r="AY343" s="955" t="str">
        <f>$E343&amp;" per woning-/gebouwtype"</f>
        <v>CO2 emissie indicatie op basis van berekening fossiel per woning-/gebouwtype</v>
      </c>
      <c r="AZ343" s="945"/>
      <c r="BA343" s="945"/>
      <c r="BB343" s="945"/>
      <c r="BC343" s="945"/>
      <c r="BD343" s="945"/>
      <c r="BE343" s="945"/>
      <c r="BF343" s="945"/>
      <c r="BG343" s="257"/>
      <c r="BH343" s="1"/>
    </row>
    <row r="344" spans="1:60">
      <c r="A344" s="1040"/>
      <c r="B344" s="1109" t="s">
        <v>1224</v>
      </c>
      <c r="C344" s="1106" t="s">
        <v>96</v>
      </c>
      <c r="D344" s="638"/>
      <c r="E344" s="942" t="s">
        <v>288</v>
      </c>
      <c r="F344" s="942"/>
      <c r="G344" s="942"/>
      <c r="H344" s="942"/>
      <c r="I344" s="129"/>
      <c r="J344" s="943"/>
      <c r="K344" s="126"/>
      <c r="L344" s="126"/>
      <c r="M344" s="944"/>
      <c r="N344" s="195"/>
      <c r="O344" s="258" t="str">
        <f>O$17</f>
        <v/>
      </c>
      <c r="P344" s="258" t="str">
        <f t="shared" ref="P344:W344" si="450">P$17</f>
        <v/>
      </c>
      <c r="Q344" s="258" t="str">
        <f t="shared" si="450"/>
        <v/>
      </c>
      <c r="R344" s="258" t="str">
        <f t="shared" si="450"/>
        <v/>
      </c>
      <c r="S344" s="258" t="str">
        <f t="shared" si="450"/>
        <v/>
      </c>
      <c r="T344" s="258" t="str">
        <f t="shared" si="450"/>
        <v/>
      </c>
      <c r="U344" s="258" t="str">
        <f t="shared" si="450"/>
        <v/>
      </c>
      <c r="V344" s="258" t="str">
        <f t="shared" si="450"/>
        <v/>
      </c>
      <c r="W344" s="258" t="str">
        <f t="shared" si="450"/>
        <v/>
      </c>
      <c r="X344" s="195"/>
      <c r="Y344" s="944"/>
      <c r="Z344" s="195"/>
      <c r="AA344" s="258" t="str">
        <f>AA$17</f>
        <v/>
      </c>
      <c r="AB344" s="258" t="str">
        <f t="shared" ref="AB344:AI344" si="451">AB$17</f>
        <v/>
      </c>
      <c r="AC344" s="258" t="str">
        <f t="shared" si="451"/>
        <v/>
      </c>
      <c r="AD344" s="258" t="str">
        <f t="shared" si="451"/>
        <v/>
      </c>
      <c r="AE344" s="258" t="str">
        <f t="shared" si="451"/>
        <v/>
      </c>
      <c r="AF344" s="258" t="str">
        <f t="shared" si="451"/>
        <v/>
      </c>
      <c r="AG344" s="258" t="str">
        <f t="shared" si="451"/>
        <v/>
      </c>
      <c r="AH344" s="258" t="str">
        <f t="shared" si="451"/>
        <v/>
      </c>
      <c r="AI344" s="258" t="str">
        <f t="shared" si="451"/>
        <v/>
      </c>
      <c r="AJ344" s="195"/>
      <c r="AK344" s="944"/>
      <c r="AL344" s="195"/>
      <c r="AM344" s="258" t="str">
        <f>AM$17</f>
        <v/>
      </c>
      <c r="AN344" s="258" t="str">
        <f t="shared" ref="AN344:AU344" si="452">AN$17</f>
        <v/>
      </c>
      <c r="AO344" s="258" t="str">
        <f t="shared" si="452"/>
        <v/>
      </c>
      <c r="AP344" s="258" t="str">
        <f t="shared" si="452"/>
        <v/>
      </c>
      <c r="AQ344" s="258" t="str">
        <f t="shared" si="452"/>
        <v/>
      </c>
      <c r="AR344" s="258" t="str">
        <f t="shared" si="452"/>
        <v/>
      </c>
      <c r="AS344" s="258" t="str">
        <f t="shared" si="452"/>
        <v/>
      </c>
      <c r="AT344" s="258" t="str">
        <f t="shared" si="452"/>
        <v/>
      </c>
      <c r="AU344" s="258" t="str">
        <f t="shared" si="452"/>
        <v/>
      </c>
      <c r="AV344" s="195"/>
      <c r="AW344" s="944"/>
      <c r="AX344" s="195"/>
      <c r="AY344" s="258" t="str">
        <f>AY$17</f>
        <v/>
      </c>
      <c r="AZ344" s="258" t="str">
        <f t="shared" ref="AZ344:BG344" si="453">AZ$17</f>
        <v/>
      </c>
      <c r="BA344" s="258" t="str">
        <f t="shared" si="453"/>
        <v/>
      </c>
      <c r="BB344" s="258" t="str">
        <f t="shared" si="453"/>
        <v/>
      </c>
      <c r="BC344" s="258" t="str">
        <f t="shared" si="453"/>
        <v/>
      </c>
      <c r="BD344" s="258" t="str">
        <f t="shared" si="453"/>
        <v/>
      </c>
      <c r="BE344" s="258" t="str">
        <f t="shared" si="453"/>
        <v/>
      </c>
      <c r="BF344" s="258" t="str">
        <f t="shared" si="453"/>
        <v/>
      </c>
      <c r="BG344" s="258" t="str">
        <f t="shared" si="453"/>
        <v/>
      </c>
      <c r="BH344" s="36"/>
    </row>
    <row r="345" spans="1:60" s="2" customFormat="1">
      <c r="A345" s="1038"/>
      <c r="B345" s="1110" t="s">
        <v>1224</v>
      </c>
      <c r="C345" s="1106" t="s">
        <v>104</v>
      </c>
      <c r="D345" s="645"/>
      <c r="E345" s="304" t="str">
        <f>$O$10</f>
        <v>verwarming</v>
      </c>
      <c r="F345" s="203"/>
      <c r="G345" s="203"/>
      <c r="H345" s="204" t="s">
        <v>289</v>
      </c>
      <c r="I345" s="205"/>
      <c r="J345" s="206">
        <f t="shared" ref="J345:J353" si="454">M345+Y345+AK345+AW345</f>
        <v>0</v>
      </c>
      <c r="K345" s="220"/>
      <c r="L345" s="220"/>
      <c r="M345" s="206">
        <f t="shared" ref="M345:M352" si="455">SUMPRODUCT(N345:X345,N$22:X$22,N$29:X$29)/1000</f>
        <v>0</v>
      </c>
      <c r="N345" s="220"/>
      <c r="O345" s="1093">
        <f t="shared" ref="O345:W345" si="456">IF($O$78=0,0,
($O$130+$O$161+$O$181)/$O$78*O62)</f>
        <v>0</v>
      </c>
      <c r="P345" s="1093">
        <f t="shared" si="456"/>
        <v>0</v>
      </c>
      <c r="Q345" s="1093">
        <f t="shared" si="456"/>
        <v>0</v>
      </c>
      <c r="R345" s="1093">
        <f t="shared" si="456"/>
        <v>0</v>
      </c>
      <c r="S345" s="1093">
        <f t="shared" si="456"/>
        <v>0</v>
      </c>
      <c r="T345" s="1093">
        <f t="shared" si="456"/>
        <v>0</v>
      </c>
      <c r="U345" s="1093">
        <f t="shared" si="456"/>
        <v>0</v>
      </c>
      <c r="V345" s="1093">
        <f t="shared" si="456"/>
        <v>0</v>
      </c>
      <c r="W345" s="1093">
        <f t="shared" si="456"/>
        <v>0</v>
      </c>
      <c r="X345" s="174"/>
      <c r="Y345" s="206">
        <f t="shared" ref="Y345:Y352" si="457">SUMPRODUCT(Z345:AJ345,Z$22:AJ$22,Z$29:AJ$29)/1000</f>
        <v>0</v>
      </c>
      <c r="Z345" s="220"/>
      <c r="AA345" s="1093">
        <f t="shared" ref="AA345:AI345" si="458">IF($AA$78=0,0,
($AA$130+$AA$161+$AA$181)/$AA$78*AA62)</f>
        <v>0</v>
      </c>
      <c r="AB345" s="1093">
        <f t="shared" si="458"/>
        <v>0</v>
      </c>
      <c r="AC345" s="1093">
        <f t="shared" si="458"/>
        <v>0</v>
      </c>
      <c r="AD345" s="1093">
        <f t="shared" si="458"/>
        <v>0</v>
      </c>
      <c r="AE345" s="1093">
        <f t="shared" si="458"/>
        <v>0</v>
      </c>
      <c r="AF345" s="1093">
        <f t="shared" si="458"/>
        <v>0</v>
      </c>
      <c r="AG345" s="1093">
        <f t="shared" si="458"/>
        <v>0</v>
      </c>
      <c r="AH345" s="1093">
        <f t="shared" si="458"/>
        <v>0</v>
      </c>
      <c r="AI345" s="1093">
        <f t="shared" si="458"/>
        <v>0</v>
      </c>
      <c r="AJ345" s="174"/>
      <c r="AK345" s="206">
        <f t="shared" ref="AK345:AK352" si="459">SUMPRODUCT(AL345:AV345,AL$22:AV$22,AL$29:AV$29)/1000</f>
        <v>0</v>
      </c>
      <c r="AL345" s="1091"/>
      <c r="AM345" s="1093">
        <f t="shared" ref="AM345:AU345" si="460">IF($AM$78=0,0,
($AM$130+$AM$161+$AM$181)/$AM$78*AM62)</f>
        <v>0</v>
      </c>
      <c r="AN345" s="1093">
        <f t="shared" si="460"/>
        <v>0</v>
      </c>
      <c r="AO345" s="1093">
        <f t="shared" si="460"/>
        <v>0</v>
      </c>
      <c r="AP345" s="1093">
        <f t="shared" si="460"/>
        <v>0</v>
      </c>
      <c r="AQ345" s="1093">
        <f t="shared" si="460"/>
        <v>0</v>
      </c>
      <c r="AR345" s="1093">
        <f t="shared" si="460"/>
        <v>0</v>
      </c>
      <c r="AS345" s="1093">
        <f t="shared" si="460"/>
        <v>0</v>
      </c>
      <c r="AT345" s="1093">
        <f t="shared" si="460"/>
        <v>0</v>
      </c>
      <c r="AU345" s="1093">
        <f t="shared" si="460"/>
        <v>0</v>
      </c>
      <c r="AV345" s="174"/>
      <c r="AW345" s="206">
        <f t="shared" ref="AW345:AW352" si="461">SUMPRODUCT(AX345:BH345,AX$22:BH$22,AX$29:BH$29)/1000</f>
        <v>0</v>
      </c>
      <c r="AX345" s="1091"/>
      <c r="AY345" s="1093">
        <f t="shared" ref="AY345:BG345" si="462">IF($AY$78=0,0,
($AY$130+$AY$161+$AY$181)/$AY$78*AY62)</f>
        <v>0</v>
      </c>
      <c r="AZ345" s="1093">
        <f t="shared" si="462"/>
        <v>0</v>
      </c>
      <c r="BA345" s="1093">
        <f t="shared" si="462"/>
        <v>0</v>
      </c>
      <c r="BB345" s="1093">
        <f t="shared" si="462"/>
        <v>0</v>
      </c>
      <c r="BC345" s="1093">
        <f t="shared" si="462"/>
        <v>0</v>
      </c>
      <c r="BD345" s="1093">
        <f t="shared" si="462"/>
        <v>0</v>
      </c>
      <c r="BE345" s="1093">
        <f t="shared" si="462"/>
        <v>0</v>
      </c>
      <c r="BF345" s="1093">
        <f t="shared" si="462"/>
        <v>0</v>
      </c>
      <c r="BG345" s="1093">
        <f t="shared" si="462"/>
        <v>0</v>
      </c>
      <c r="BH345" s="210"/>
    </row>
    <row r="346" spans="1:60" s="2" customFormat="1">
      <c r="A346" s="1038"/>
      <c r="B346" s="1110" t="s">
        <v>1224</v>
      </c>
      <c r="C346" s="1106" t="s">
        <v>104</v>
      </c>
      <c r="D346" s="645"/>
      <c r="E346" s="304" t="str">
        <f>$P$10</f>
        <v>koeling</v>
      </c>
      <c r="F346" s="203"/>
      <c r="G346" s="203"/>
      <c r="H346" s="204" t="s">
        <v>289</v>
      </c>
      <c r="I346" s="205"/>
      <c r="J346" s="206">
        <f t="shared" si="454"/>
        <v>0</v>
      </c>
      <c r="K346" s="220"/>
      <c r="L346" s="220"/>
      <c r="M346" s="206">
        <f t="shared" si="455"/>
        <v>0</v>
      </c>
      <c r="N346" s="220"/>
      <c r="O346" s="1093">
        <f t="shared" ref="O346:W346" si="463">IF($P$78=0,0,
($P$130+$P$161+$P$181)/$P$78*O64)</f>
        <v>0</v>
      </c>
      <c r="P346" s="1093">
        <f t="shared" si="463"/>
        <v>0</v>
      </c>
      <c r="Q346" s="1093">
        <f t="shared" si="463"/>
        <v>0</v>
      </c>
      <c r="R346" s="1093">
        <f t="shared" si="463"/>
        <v>0</v>
      </c>
      <c r="S346" s="1093">
        <f t="shared" si="463"/>
        <v>0</v>
      </c>
      <c r="T346" s="1093">
        <f t="shared" si="463"/>
        <v>0</v>
      </c>
      <c r="U346" s="1093">
        <f t="shared" si="463"/>
        <v>0</v>
      </c>
      <c r="V346" s="1093">
        <f t="shared" si="463"/>
        <v>0</v>
      </c>
      <c r="W346" s="1093">
        <f t="shared" si="463"/>
        <v>0</v>
      </c>
      <c r="X346" s="174"/>
      <c r="Y346" s="206">
        <f t="shared" si="457"/>
        <v>0</v>
      </c>
      <c r="Z346" s="220"/>
      <c r="AA346" s="1093">
        <f t="shared" ref="AA346:AI346" si="464">IF($AB$78=0,0,
($AB$130+$AB$161+$AB$181)/$AB$78*AA64)</f>
        <v>0</v>
      </c>
      <c r="AB346" s="1093">
        <f t="shared" si="464"/>
        <v>0</v>
      </c>
      <c r="AC346" s="1093">
        <f t="shared" si="464"/>
        <v>0</v>
      </c>
      <c r="AD346" s="1093">
        <f t="shared" si="464"/>
        <v>0</v>
      </c>
      <c r="AE346" s="1093">
        <f t="shared" si="464"/>
        <v>0</v>
      </c>
      <c r="AF346" s="1093">
        <f t="shared" si="464"/>
        <v>0</v>
      </c>
      <c r="AG346" s="1093">
        <f t="shared" si="464"/>
        <v>0</v>
      </c>
      <c r="AH346" s="1093">
        <f t="shared" si="464"/>
        <v>0</v>
      </c>
      <c r="AI346" s="1093">
        <f t="shared" si="464"/>
        <v>0</v>
      </c>
      <c r="AJ346" s="174"/>
      <c r="AK346" s="206">
        <f t="shared" si="459"/>
        <v>0</v>
      </c>
      <c r="AL346" s="1091"/>
      <c r="AM346" s="1093">
        <f t="shared" ref="AM346:AU346" si="465">IF($AN$78=0,0,
($AN$130+$AN$161+$AN$181)/$AN$78*AM64)</f>
        <v>0</v>
      </c>
      <c r="AN346" s="1093">
        <f t="shared" si="465"/>
        <v>0</v>
      </c>
      <c r="AO346" s="1093">
        <f t="shared" si="465"/>
        <v>0</v>
      </c>
      <c r="AP346" s="1093">
        <f t="shared" si="465"/>
        <v>0</v>
      </c>
      <c r="AQ346" s="1093">
        <f t="shared" si="465"/>
        <v>0</v>
      </c>
      <c r="AR346" s="1093">
        <f t="shared" si="465"/>
        <v>0</v>
      </c>
      <c r="AS346" s="1093">
        <f t="shared" si="465"/>
        <v>0</v>
      </c>
      <c r="AT346" s="1093">
        <f t="shared" si="465"/>
        <v>0</v>
      </c>
      <c r="AU346" s="1093">
        <f t="shared" si="465"/>
        <v>0</v>
      </c>
      <c r="AV346" s="174"/>
      <c r="AW346" s="206">
        <f t="shared" si="461"/>
        <v>0</v>
      </c>
      <c r="AX346" s="1091"/>
      <c r="AY346" s="1093">
        <f t="shared" ref="AY346:BG346" si="466">IF($AZ$78=0,0,
($AZ$130+$AZ$161+$AZ$181)/$AZ$78*AY64)</f>
        <v>0</v>
      </c>
      <c r="AZ346" s="1093">
        <f t="shared" si="466"/>
        <v>0</v>
      </c>
      <c r="BA346" s="1093">
        <f t="shared" si="466"/>
        <v>0</v>
      </c>
      <c r="BB346" s="1093">
        <f t="shared" si="466"/>
        <v>0</v>
      </c>
      <c r="BC346" s="1093">
        <f t="shared" si="466"/>
        <v>0</v>
      </c>
      <c r="BD346" s="1093">
        <f t="shared" si="466"/>
        <v>0</v>
      </c>
      <c r="BE346" s="1093">
        <f t="shared" si="466"/>
        <v>0</v>
      </c>
      <c r="BF346" s="1093">
        <f t="shared" si="466"/>
        <v>0</v>
      </c>
      <c r="BG346" s="1093">
        <f t="shared" si="466"/>
        <v>0</v>
      </c>
      <c r="BH346" s="210"/>
    </row>
    <row r="347" spans="1:60" s="2" customFormat="1">
      <c r="A347" s="1038"/>
      <c r="B347" s="1110" t="s">
        <v>1224</v>
      </c>
      <c r="C347" s="1106" t="s">
        <v>104</v>
      </c>
      <c r="D347" s="645"/>
      <c r="E347" s="304" t="str">
        <f>$Q$10</f>
        <v>tapwater</v>
      </c>
      <c r="F347" s="203"/>
      <c r="G347" s="203"/>
      <c r="H347" s="204" t="s">
        <v>289</v>
      </c>
      <c r="I347" s="205"/>
      <c r="J347" s="206">
        <f t="shared" si="454"/>
        <v>0</v>
      </c>
      <c r="K347" s="220"/>
      <c r="L347" s="220"/>
      <c r="M347" s="206">
        <f t="shared" si="455"/>
        <v>0</v>
      </c>
      <c r="N347" s="220"/>
      <c r="O347" s="1093">
        <f t="shared" ref="O347:W347" si="467">IF($Q$78=0,0,
($Q$130+$Q$161+$Q$181)/$Q$78*O65)</f>
        <v>0</v>
      </c>
      <c r="P347" s="1093">
        <f t="shared" si="467"/>
        <v>0</v>
      </c>
      <c r="Q347" s="1093">
        <f t="shared" si="467"/>
        <v>0</v>
      </c>
      <c r="R347" s="1093">
        <f t="shared" si="467"/>
        <v>0</v>
      </c>
      <c r="S347" s="1093">
        <f t="shared" si="467"/>
        <v>0</v>
      </c>
      <c r="T347" s="1093">
        <f t="shared" si="467"/>
        <v>0</v>
      </c>
      <c r="U347" s="1093">
        <f t="shared" si="467"/>
        <v>0</v>
      </c>
      <c r="V347" s="1093">
        <f t="shared" si="467"/>
        <v>0</v>
      </c>
      <c r="W347" s="1093">
        <f t="shared" si="467"/>
        <v>0</v>
      </c>
      <c r="X347" s="174"/>
      <c r="Y347" s="206">
        <f t="shared" si="457"/>
        <v>0</v>
      </c>
      <c r="Z347" s="220"/>
      <c r="AA347" s="1093">
        <f t="shared" ref="AA347:AI347" si="468">IF($AC$78=0,0,
($AC$130+$AC$161+$AC$181)/$AC$78*AA65)</f>
        <v>0</v>
      </c>
      <c r="AB347" s="1093">
        <f t="shared" si="468"/>
        <v>0</v>
      </c>
      <c r="AC347" s="1093">
        <f t="shared" si="468"/>
        <v>0</v>
      </c>
      <c r="AD347" s="1093">
        <f t="shared" si="468"/>
        <v>0</v>
      </c>
      <c r="AE347" s="1093">
        <f t="shared" si="468"/>
        <v>0</v>
      </c>
      <c r="AF347" s="1093">
        <f t="shared" si="468"/>
        <v>0</v>
      </c>
      <c r="AG347" s="1093">
        <f t="shared" si="468"/>
        <v>0</v>
      </c>
      <c r="AH347" s="1093">
        <f t="shared" si="468"/>
        <v>0</v>
      </c>
      <c r="AI347" s="1093">
        <f t="shared" si="468"/>
        <v>0</v>
      </c>
      <c r="AJ347" s="174"/>
      <c r="AK347" s="206">
        <f t="shared" si="459"/>
        <v>0</v>
      </c>
      <c r="AL347" s="1091"/>
      <c r="AM347" s="1093">
        <f t="shared" ref="AM347:AU347" si="469">IF($AO$78=0,0,
($AO$130+$AO$161+$AO$181)/$AO$78*AM65)</f>
        <v>0</v>
      </c>
      <c r="AN347" s="1093">
        <f t="shared" si="469"/>
        <v>0</v>
      </c>
      <c r="AO347" s="1093">
        <f t="shared" si="469"/>
        <v>0</v>
      </c>
      <c r="AP347" s="1093">
        <f t="shared" si="469"/>
        <v>0</v>
      </c>
      <c r="AQ347" s="1093">
        <f t="shared" si="469"/>
        <v>0</v>
      </c>
      <c r="AR347" s="1093">
        <f t="shared" si="469"/>
        <v>0</v>
      </c>
      <c r="AS347" s="1093">
        <f t="shared" si="469"/>
        <v>0</v>
      </c>
      <c r="AT347" s="1093">
        <f t="shared" si="469"/>
        <v>0</v>
      </c>
      <c r="AU347" s="1093">
        <f t="shared" si="469"/>
        <v>0</v>
      </c>
      <c r="AV347" s="174"/>
      <c r="AW347" s="206">
        <f t="shared" si="461"/>
        <v>0</v>
      </c>
      <c r="AX347" s="1091"/>
      <c r="AY347" s="1093">
        <f t="shared" ref="AY347:BG347" si="470">IF($BA$78=0,0,
($BA$130+$BA$161+$BA$181)/$BA$78*AY65)</f>
        <v>0</v>
      </c>
      <c r="AZ347" s="1093">
        <f t="shared" si="470"/>
        <v>0</v>
      </c>
      <c r="BA347" s="1093">
        <f t="shared" si="470"/>
        <v>0</v>
      </c>
      <c r="BB347" s="1093">
        <f t="shared" si="470"/>
        <v>0</v>
      </c>
      <c r="BC347" s="1093">
        <f t="shared" si="470"/>
        <v>0</v>
      </c>
      <c r="BD347" s="1093">
        <f t="shared" si="470"/>
        <v>0</v>
      </c>
      <c r="BE347" s="1093">
        <f t="shared" si="470"/>
        <v>0</v>
      </c>
      <c r="BF347" s="1093">
        <f t="shared" si="470"/>
        <v>0</v>
      </c>
      <c r="BG347" s="1093">
        <f t="shared" si="470"/>
        <v>0</v>
      </c>
      <c r="BH347" s="210"/>
    </row>
    <row r="348" spans="1:60" s="2" customFormat="1">
      <c r="A348" s="1038"/>
      <c r="B348" s="1110" t="s">
        <v>1224</v>
      </c>
      <c r="C348" s="1106" t="s">
        <v>104</v>
      </c>
      <c r="D348" s="645"/>
      <c r="E348" s="304" t="str">
        <f>$R$10</f>
        <v>verlichting</v>
      </c>
      <c r="F348" s="203"/>
      <c r="G348" s="203"/>
      <c r="H348" s="204" t="s">
        <v>289</v>
      </c>
      <c r="I348" s="205"/>
      <c r="J348" s="206">
        <f t="shared" si="454"/>
        <v>0</v>
      </c>
      <c r="K348" s="220"/>
      <c r="L348" s="220"/>
      <c r="M348" s="206">
        <f t="shared" si="455"/>
        <v>0</v>
      </c>
      <c r="N348" s="220"/>
      <c r="O348" s="1093">
        <f t="shared" ref="O348:W348" si="471">IF($R$78=0,0,$R$181/$R$78*O66)</f>
        <v>0</v>
      </c>
      <c r="P348" s="1093">
        <f t="shared" si="471"/>
        <v>0</v>
      </c>
      <c r="Q348" s="1093">
        <f t="shared" si="471"/>
        <v>0</v>
      </c>
      <c r="R348" s="1093">
        <f t="shared" si="471"/>
        <v>0</v>
      </c>
      <c r="S348" s="1093">
        <f t="shared" si="471"/>
        <v>0</v>
      </c>
      <c r="T348" s="1093">
        <f t="shared" si="471"/>
        <v>0</v>
      </c>
      <c r="U348" s="1093">
        <f t="shared" si="471"/>
        <v>0</v>
      </c>
      <c r="V348" s="1093">
        <f t="shared" si="471"/>
        <v>0</v>
      </c>
      <c r="W348" s="1093">
        <f t="shared" si="471"/>
        <v>0</v>
      </c>
      <c r="X348" s="174"/>
      <c r="Y348" s="206">
        <f t="shared" si="457"/>
        <v>0</v>
      </c>
      <c r="Z348" s="220"/>
      <c r="AA348" s="1093">
        <f t="shared" ref="AA348:AI348" si="472">IF($AD$78=0,0,$AD$181/$AD$78*AA66)</f>
        <v>0</v>
      </c>
      <c r="AB348" s="1093">
        <f t="shared" si="472"/>
        <v>0</v>
      </c>
      <c r="AC348" s="1093">
        <f t="shared" si="472"/>
        <v>0</v>
      </c>
      <c r="AD348" s="1093">
        <f t="shared" si="472"/>
        <v>0</v>
      </c>
      <c r="AE348" s="1093">
        <f t="shared" si="472"/>
        <v>0</v>
      </c>
      <c r="AF348" s="1093">
        <f t="shared" si="472"/>
        <v>0</v>
      </c>
      <c r="AG348" s="1093">
        <f t="shared" si="472"/>
        <v>0</v>
      </c>
      <c r="AH348" s="1093">
        <f t="shared" si="472"/>
        <v>0</v>
      </c>
      <c r="AI348" s="1093">
        <f t="shared" si="472"/>
        <v>0</v>
      </c>
      <c r="AJ348" s="174"/>
      <c r="AK348" s="206">
        <f t="shared" si="459"/>
        <v>0</v>
      </c>
      <c r="AL348" s="1091"/>
      <c r="AM348" s="1093">
        <f t="shared" ref="AM348:AU348" si="473">IF($AP$78=0,0,$AP$181/$AP$78*AM66)</f>
        <v>0</v>
      </c>
      <c r="AN348" s="1093">
        <f t="shared" si="473"/>
        <v>0</v>
      </c>
      <c r="AO348" s="1093">
        <f t="shared" si="473"/>
        <v>0</v>
      </c>
      <c r="AP348" s="1093">
        <f t="shared" si="473"/>
        <v>0</v>
      </c>
      <c r="AQ348" s="1093">
        <f t="shared" si="473"/>
        <v>0</v>
      </c>
      <c r="AR348" s="1093">
        <f t="shared" si="473"/>
        <v>0</v>
      </c>
      <c r="AS348" s="1093">
        <f t="shared" si="473"/>
        <v>0</v>
      </c>
      <c r="AT348" s="1093">
        <f t="shared" si="473"/>
        <v>0</v>
      </c>
      <c r="AU348" s="1093">
        <f t="shared" si="473"/>
        <v>0</v>
      </c>
      <c r="AV348" s="174"/>
      <c r="AW348" s="206">
        <f t="shared" si="461"/>
        <v>0</v>
      </c>
      <c r="AX348" s="1091"/>
      <c r="AY348" s="1093">
        <f t="shared" ref="AY348:BG348" si="474">IF($BB$78=0,0,$BB$181/$BB$78*AY66)</f>
        <v>0</v>
      </c>
      <c r="AZ348" s="1093">
        <f t="shared" si="474"/>
        <v>0</v>
      </c>
      <c r="BA348" s="1093">
        <f t="shared" si="474"/>
        <v>0</v>
      </c>
      <c r="BB348" s="1093">
        <f t="shared" si="474"/>
        <v>0</v>
      </c>
      <c r="BC348" s="1093">
        <f t="shared" si="474"/>
        <v>0</v>
      </c>
      <c r="BD348" s="1093">
        <f t="shared" si="474"/>
        <v>0</v>
      </c>
      <c r="BE348" s="1093">
        <f t="shared" si="474"/>
        <v>0</v>
      </c>
      <c r="BF348" s="1093">
        <f t="shared" si="474"/>
        <v>0</v>
      </c>
      <c r="BG348" s="1093">
        <f t="shared" si="474"/>
        <v>0</v>
      </c>
      <c r="BH348" s="210"/>
    </row>
    <row r="349" spans="1:60" s="2" customFormat="1">
      <c r="A349" s="1038"/>
      <c r="B349" s="1110" t="s">
        <v>1224</v>
      </c>
      <c r="C349" s="1106" t="s">
        <v>104</v>
      </c>
      <c r="D349" s="645"/>
      <c r="E349" s="304" t="str">
        <f>$S$10</f>
        <v>ventilatoren</v>
      </c>
      <c r="F349" s="203"/>
      <c r="G349" s="203"/>
      <c r="H349" s="204" t="s">
        <v>289</v>
      </c>
      <c r="I349" s="205"/>
      <c r="J349" s="206">
        <f t="shared" si="454"/>
        <v>0</v>
      </c>
      <c r="K349" s="220"/>
      <c r="L349" s="220"/>
      <c r="M349" s="206">
        <f t="shared" si="455"/>
        <v>0</v>
      </c>
      <c r="N349" s="220"/>
      <c r="O349" s="1093">
        <f t="shared" ref="O349:W349" si="475">IF($S$78=0,0,$S$181/$S$78*O67)</f>
        <v>0</v>
      </c>
      <c r="P349" s="1093">
        <f t="shared" si="475"/>
        <v>0</v>
      </c>
      <c r="Q349" s="1093">
        <f t="shared" si="475"/>
        <v>0</v>
      </c>
      <c r="R349" s="1093">
        <f t="shared" si="475"/>
        <v>0</v>
      </c>
      <c r="S349" s="1093">
        <f t="shared" si="475"/>
        <v>0</v>
      </c>
      <c r="T349" s="1093">
        <f t="shared" si="475"/>
        <v>0</v>
      </c>
      <c r="U349" s="1093">
        <f t="shared" si="475"/>
        <v>0</v>
      </c>
      <c r="V349" s="1093">
        <f t="shared" si="475"/>
        <v>0</v>
      </c>
      <c r="W349" s="1093">
        <f t="shared" si="475"/>
        <v>0</v>
      </c>
      <c r="X349" s="174"/>
      <c r="Y349" s="206">
        <f t="shared" si="457"/>
        <v>0</v>
      </c>
      <c r="Z349" s="220"/>
      <c r="AA349" s="1093">
        <f t="shared" ref="AA349:AI349" si="476">IF($AE$78=0,0,$AE$181/$AE$78*AA67)</f>
        <v>0</v>
      </c>
      <c r="AB349" s="1093">
        <f t="shared" si="476"/>
        <v>0</v>
      </c>
      <c r="AC349" s="1093">
        <f t="shared" si="476"/>
        <v>0</v>
      </c>
      <c r="AD349" s="1093">
        <f t="shared" si="476"/>
        <v>0</v>
      </c>
      <c r="AE349" s="1093">
        <f t="shared" si="476"/>
        <v>0</v>
      </c>
      <c r="AF349" s="1093">
        <f t="shared" si="476"/>
        <v>0</v>
      </c>
      <c r="AG349" s="1093">
        <f t="shared" si="476"/>
        <v>0</v>
      </c>
      <c r="AH349" s="1093">
        <f t="shared" si="476"/>
        <v>0</v>
      </c>
      <c r="AI349" s="1093">
        <f t="shared" si="476"/>
        <v>0</v>
      </c>
      <c r="AJ349" s="174"/>
      <c r="AK349" s="206">
        <f t="shared" si="459"/>
        <v>0</v>
      </c>
      <c r="AL349" s="1091"/>
      <c r="AM349" s="1093">
        <f t="shared" ref="AM349:AU349" si="477">IF($AQ$78=0,0,$AQ$181/$AQ$78*AM67)</f>
        <v>0</v>
      </c>
      <c r="AN349" s="1093">
        <f t="shared" si="477"/>
        <v>0</v>
      </c>
      <c r="AO349" s="1093">
        <f t="shared" si="477"/>
        <v>0</v>
      </c>
      <c r="AP349" s="1093">
        <f t="shared" si="477"/>
        <v>0</v>
      </c>
      <c r="AQ349" s="1093">
        <f t="shared" si="477"/>
        <v>0</v>
      </c>
      <c r="AR349" s="1093">
        <f t="shared" si="477"/>
        <v>0</v>
      </c>
      <c r="AS349" s="1093">
        <f t="shared" si="477"/>
        <v>0</v>
      </c>
      <c r="AT349" s="1093">
        <f t="shared" si="477"/>
        <v>0</v>
      </c>
      <c r="AU349" s="1093">
        <f t="shared" si="477"/>
        <v>0</v>
      </c>
      <c r="AV349" s="174"/>
      <c r="AW349" s="206">
        <f t="shared" si="461"/>
        <v>0</v>
      </c>
      <c r="AX349" s="1091"/>
      <c r="AY349" s="1093">
        <f t="shared" ref="AY349:BG349" si="478">IF($BC$78=0,0,$BC$181/$BC$78*AY67)</f>
        <v>0</v>
      </c>
      <c r="AZ349" s="1093">
        <f t="shared" si="478"/>
        <v>0</v>
      </c>
      <c r="BA349" s="1093">
        <f t="shared" si="478"/>
        <v>0</v>
      </c>
      <c r="BB349" s="1093">
        <f t="shared" si="478"/>
        <v>0</v>
      </c>
      <c r="BC349" s="1093">
        <f t="shared" si="478"/>
        <v>0</v>
      </c>
      <c r="BD349" s="1093">
        <f t="shared" si="478"/>
        <v>0</v>
      </c>
      <c r="BE349" s="1093">
        <f t="shared" si="478"/>
        <v>0</v>
      </c>
      <c r="BF349" s="1093">
        <f t="shared" si="478"/>
        <v>0</v>
      </c>
      <c r="BG349" s="1093">
        <f t="shared" si="478"/>
        <v>0</v>
      </c>
      <c r="BH349" s="210"/>
    </row>
    <row r="350" spans="1:60" s="2" customFormat="1">
      <c r="A350" s="1038"/>
      <c r="B350" s="1110" t="s">
        <v>1224</v>
      </c>
      <c r="C350" s="1106" t="s">
        <v>104</v>
      </c>
      <c r="D350" s="645"/>
      <c r="E350" s="304" t="str">
        <f>$T$10</f>
        <v>kookgas</v>
      </c>
      <c r="F350" s="203"/>
      <c r="G350" s="203"/>
      <c r="H350" s="204" t="s">
        <v>289</v>
      </c>
      <c r="I350" s="205"/>
      <c r="J350" s="206">
        <f t="shared" si="454"/>
        <v>0</v>
      </c>
      <c r="K350" s="220"/>
      <c r="L350" s="220"/>
      <c r="M350" s="206">
        <f t="shared" si="455"/>
        <v>0</v>
      </c>
      <c r="N350" s="220"/>
      <c r="O350" s="1093">
        <f t="shared" ref="O350:W350" si="479">IF($T$78=0,0,$T$181/$T$78*O68)</f>
        <v>0</v>
      </c>
      <c r="P350" s="1093">
        <f t="shared" si="479"/>
        <v>0</v>
      </c>
      <c r="Q350" s="1093">
        <f t="shared" si="479"/>
        <v>0</v>
      </c>
      <c r="R350" s="1093">
        <f t="shared" si="479"/>
        <v>0</v>
      </c>
      <c r="S350" s="1093">
        <f t="shared" si="479"/>
        <v>0</v>
      </c>
      <c r="T350" s="1093">
        <f t="shared" si="479"/>
        <v>0</v>
      </c>
      <c r="U350" s="1093">
        <f t="shared" si="479"/>
        <v>0</v>
      </c>
      <c r="V350" s="1093">
        <f t="shared" si="479"/>
        <v>0</v>
      </c>
      <c r="W350" s="1093">
        <f t="shared" si="479"/>
        <v>0</v>
      </c>
      <c r="X350" s="174"/>
      <c r="Y350" s="206">
        <f t="shared" si="457"/>
        <v>0</v>
      </c>
      <c r="Z350" s="220"/>
      <c r="AA350" s="1093">
        <f t="shared" ref="AA350:AI350" si="480">IF($AF$78=0,0,$AF$181/$AF$78*AA68)</f>
        <v>0</v>
      </c>
      <c r="AB350" s="1093">
        <f t="shared" si="480"/>
        <v>0</v>
      </c>
      <c r="AC350" s="1093">
        <f t="shared" si="480"/>
        <v>0</v>
      </c>
      <c r="AD350" s="1093">
        <f t="shared" si="480"/>
        <v>0</v>
      </c>
      <c r="AE350" s="1093">
        <f t="shared" si="480"/>
        <v>0</v>
      </c>
      <c r="AF350" s="1093">
        <f t="shared" si="480"/>
        <v>0</v>
      </c>
      <c r="AG350" s="1093">
        <f t="shared" si="480"/>
        <v>0</v>
      </c>
      <c r="AH350" s="1093">
        <f t="shared" si="480"/>
        <v>0</v>
      </c>
      <c r="AI350" s="1093">
        <f t="shared" si="480"/>
        <v>0</v>
      </c>
      <c r="AJ350" s="174"/>
      <c r="AK350" s="206">
        <f t="shared" si="459"/>
        <v>0</v>
      </c>
      <c r="AL350" s="1091"/>
      <c r="AM350" s="1093">
        <f t="shared" ref="AM350:AU350" si="481">IF($AR$78=0,0,$AR$181/$AR$78*AM68)</f>
        <v>0</v>
      </c>
      <c r="AN350" s="1093">
        <f t="shared" si="481"/>
        <v>0</v>
      </c>
      <c r="AO350" s="1093">
        <f t="shared" si="481"/>
        <v>0</v>
      </c>
      <c r="AP350" s="1093">
        <f t="shared" si="481"/>
        <v>0</v>
      </c>
      <c r="AQ350" s="1093">
        <f t="shared" si="481"/>
        <v>0</v>
      </c>
      <c r="AR350" s="1093">
        <f t="shared" si="481"/>
        <v>0</v>
      </c>
      <c r="AS350" s="1093">
        <f t="shared" si="481"/>
        <v>0</v>
      </c>
      <c r="AT350" s="1093">
        <f t="shared" si="481"/>
        <v>0</v>
      </c>
      <c r="AU350" s="1093">
        <f t="shared" si="481"/>
        <v>0</v>
      </c>
      <c r="AV350" s="174"/>
      <c r="AW350" s="206">
        <f t="shared" si="461"/>
        <v>0</v>
      </c>
      <c r="AX350" s="1091"/>
      <c r="AY350" s="1093">
        <f t="shared" ref="AY350:BG350" si="482">IF($BD$78=0,0,$BD$181/$BD$78*AY68)</f>
        <v>0</v>
      </c>
      <c r="AZ350" s="1093">
        <f t="shared" si="482"/>
        <v>0</v>
      </c>
      <c r="BA350" s="1093">
        <f t="shared" si="482"/>
        <v>0</v>
      </c>
      <c r="BB350" s="1093">
        <f t="shared" si="482"/>
        <v>0</v>
      </c>
      <c r="BC350" s="1093">
        <f t="shared" si="482"/>
        <v>0</v>
      </c>
      <c r="BD350" s="1093">
        <f t="shared" si="482"/>
        <v>0</v>
      </c>
      <c r="BE350" s="1093">
        <f t="shared" si="482"/>
        <v>0</v>
      </c>
      <c r="BF350" s="1093">
        <f t="shared" si="482"/>
        <v>0</v>
      </c>
      <c r="BG350" s="1093">
        <f t="shared" si="482"/>
        <v>0</v>
      </c>
      <c r="BH350" s="210"/>
    </row>
    <row r="351" spans="1:60" s="2" customFormat="1">
      <c r="A351" s="1038"/>
      <c r="B351" s="1110" t="s">
        <v>1224</v>
      </c>
      <c r="C351" s="1106" t="s">
        <v>104</v>
      </c>
      <c r="D351" s="645"/>
      <c r="E351" s="304" t="str">
        <f>$U$10</f>
        <v>overig elektra</v>
      </c>
      <c r="F351" s="203"/>
      <c r="G351" s="203"/>
      <c r="H351" s="204" t="s">
        <v>289</v>
      </c>
      <c r="I351" s="205"/>
      <c r="J351" s="206">
        <f t="shared" si="454"/>
        <v>0</v>
      </c>
      <c r="K351" s="220"/>
      <c r="L351" s="220"/>
      <c r="M351" s="206">
        <f t="shared" si="455"/>
        <v>0</v>
      </c>
      <c r="N351" s="220"/>
      <c r="O351" s="1093">
        <f t="shared" ref="O351:W351" si="483">IF($U$78=0,0,$U$181/$U$78*O69)</f>
        <v>0</v>
      </c>
      <c r="P351" s="1093">
        <f t="shared" si="483"/>
        <v>0</v>
      </c>
      <c r="Q351" s="1093">
        <f t="shared" si="483"/>
        <v>0</v>
      </c>
      <c r="R351" s="1093">
        <f t="shared" si="483"/>
        <v>0</v>
      </c>
      <c r="S351" s="1093">
        <f t="shared" si="483"/>
        <v>0</v>
      </c>
      <c r="T351" s="1093">
        <f t="shared" si="483"/>
        <v>0</v>
      </c>
      <c r="U351" s="1093">
        <f t="shared" si="483"/>
        <v>0</v>
      </c>
      <c r="V351" s="1093">
        <f t="shared" si="483"/>
        <v>0</v>
      </c>
      <c r="W351" s="1093">
        <f t="shared" si="483"/>
        <v>0</v>
      </c>
      <c r="X351" s="174"/>
      <c r="Y351" s="206">
        <f t="shared" si="457"/>
        <v>0</v>
      </c>
      <c r="Z351" s="220"/>
      <c r="AA351" s="1093">
        <f t="shared" ref="AA351:AI351" si="484">IF($AG$78=0,0,$AG$181/$AG$78*AA69)</f>
        <v>0</v>
      </c>
      <c r="AB351" s="1093">
        <f t="shared" si="484"/>
        <v>0</v>
      </c>
      <c r="AC351" s="1093">
        <f t="shared" si="484"/>
        <v>0</v>
      </c>
      <c r="AD351" s="1093">
        <f t="shared" si="484"/>
        <v>0</v>
      </c>
      <c r="AE351" s="1093">
        <f t="shared" si="484"/>
        <v>0</v>
      </c>
      <c r="AF351" s="1093">
        <f t="shared" si="484"/>
        <v>0</v>
      </c>
      <c r="AG351" s="1093">
        <f t="shared" si="484"/>
        <v>0</v>
      </c>
      <c r="AH351" s="1093">
        <f t="shared" si="484"/>
        <v>0</v>
      </c>
      <c r="AI351" s="1093">
        <f t="shared" si="484"/>
        <v>0</v>
      </c>
      <c r="AJ351" s="174"/>
      <c r="AK351" s="206">
        <f t="shared" si="459"/>
        <v>0</v>
      </c>
      <c r="AL351" s="1091"/>
      <c r="AM351" s="1093">
        <f t="shared" ref="AM351:AU351" si="485">IF($AS$78=0,0,$AS$181/$AS$78*AM69)</f>
        <v>0</v>
      </c>
      <c r="AN351" s="1093">
        <f t="shared" si="485"/>
        <v>0</v>
      </c>
      <c r="AO351" s="1093">
        <f t="shared" si="485"/>
        <v>0</v>
      </c>
      <c r="AP351" s="1093">
        <f t="shared" si="485"/>
        <v>0</v>
      </c>
      <c r="AQ351" s="1093">
        <f t="shared" si="485"/>
        <v>0</v>
      </c>
      <c r="AR351" s="1093">
        <f t="shared" si="485"/>
        <v>0</v>
      </c>
      <c r="AS351" s="1093">
        <f t="shared" si="485"/>
        <v>0</v>
      </c>
      <c r="AT351" s="1093">
        <f t="shared" si="485"/>
        <v>0</v>
      </c>
      <c r="AU351" s="1093">
        <f t="shared" si="485"/>
        <v>0</v>
      </c>
      <c r="AV351" s="174"/>
      <c r="AW351" s="206">
        <f t="shared" si="461"/>
        <v>0</v>
      </c>
      <c r="AX351" s="1091"/>
      <c r="AY351" s="1093">
        <f t="shared" ref="AY351:BG351" si="486">IF($BE$78=0,0,$BE$181/$BE$78*AY69)</f>
        <v>0</v>
      </c>
      <c r="AZ351" s="1093">
        <f t="shared" si="486"/>
        <v>0</v>
      </c>
      <c r="BA351" s="1093">
        <f t="shared" si="486"/>
        <v>0</v>
      </c>
      <c r="BB351" s="1093">
        <f t="shared" si="486"/>
        <v>0</v>
      </c>
      <c r="BC351" s="1093">
        <f t="shared" si="486"/>
        <v>0</v>
      </c>
      <c r="BD351" s="1093">
        <f t="shared" si="486"/>
        <v>0</v>
      </c>
      <c r="BE351" s="1093">
        <f t="shared" si="486"/>
        <v>0</v>
      </c>
      <c r="BF351" s="1093">
        <f t="shared" si="486"/>
        <v>0</v>
      </c>
      <c r="BG351" s="1093">
        <f t="shared" si="486"/>
        <v>0</v>
      </c>
      <c r="BH351" s="210"/>
    </row>
    <row r="352" spans="1:60" s="2" customFormat="1">
      <c r="A352" s="1038"/>
      <c r="B352" s="1110" t="s">
        <v>1224</v>
      </c>
      <c r="C352" s="1106" t="s">
        <v>104</v>
      </c>
      <c r="D352" s="645"/>
      <c r="E352" s="304" t="str">
        <f>$V$10</f>
        <v>mobiliteit</v>
      </c>
      <c r="F352" s="203"/>
      <c r="G352" s="203"/>
      <c r="H352" s="204" t="s">
        <v>289</v>
      </c>
      <c r="I352" s="205"/>
      <c r="J352" s="206">
        <f t="shared" si="454"/>
        <v>0</v>
      </c>
      <c r="K352" s="220"/>
      <c r="L352" s="220"/>
      <c r="M352" s="206">
        <f t="shared" si="455"/>
        <v>0</v>
      </c>
      <c r="N352" s="220"/>
      <c r="O352" s="1093">
        <f t="shared" ref="O352:W352" si="487">IF(OR($V$169=0,O$29=0),0,$V$181/$V$169*O$71/O$29)</f>
        <v>0</v>
      </c>
      <c r="P352" s="1093">
        <f t="shared" si="487"/>
        <v>0</v>
      </c>
      <c r="Q352" s="1093">
        <f t="shared" si="487"/>
        <v>0</v>
      </c>
      <c r="R352" s="1093">
        <f t="shared" si="487"/>
        <v>0</v>
      </c>
      <c r="S352" s="1093">
        <f t="shared" si="487"/>
        <v>0</v>
      </c>
      <c r="T352" s="1093">
        <f t="shared" si="487"/>
        <v>0</v>
      </c>
      <c r="U352" s="1093">
        <f t="shared" si="487"/>
        <v>0</v>
      </c>
      <c r="V352" s="1093">
        <f t="shared" si="487"/>
        <v>0</v>
      </c>
      <c r="W352" s="1093">
        <f t="shared" si="487"/>
        <v>0</v>
      </c>
      <c r="X352" s="174"/>
      <c r="Y352" s="206">
        <f t="shared" si="457"/>
        <v>0</v>
      </c>
      <c r="Z352" s="220"/>
      <c r="AA352" s="1093">
        <f t="shared" ref="AA352:AI352" si="488">IF(OR($AH$169=0,AA$29=0),0,$AH$181/$AH$169*AA$71/AA$29)</f>
        <v>0</v>
      </c>
      <c r="AB352" s="1093">
        <f t="shared" si="488"/>
        <v>0</v>
      </c>
      <c r="AC352" s="1093">
        <f t="shared" si="488"/>
        <v>0</v>
      </c>
      <c r="AD352" s="1093">
        <f t="shared" si="488"/>
        <v>0</v>
      </c>
      <c r="AE352" s="1093">
        <f t="shared" si="488"/>
        <v>0</v>
      </c>
      <c r="AF352" s="1093">
        <f t="shared" si="488"/>
        <v>0</v>
      </c>
      <c r="AG352" s="1093">
        <f t="shared" si="488"/>
        <v>0</v>
      </c>
      <c r="AH352" s="1093">
        <f t="shared" si="488"/>
        <v>0</v>
      </c>
      <c r="AI352" s="1093">
        <f t="shared" si="488"/>
        <v>0</v>
      </c>
      <c r="AJ352" s="174"/>
      <c r="AK352" s="206">
        <f t="shared" si="459"/>
        <v>0</v>
      </c>
      <c r="AL352" s="1091"/>
      <c r="AM352" s="1093">
        <f t="shared" ref="AM352:AU352" si="489">IF(OR($AT$169=0,AM$29=0),0,$AT$181/$AT$169*AM$71/AM$29)</f>
        <v>0</v>
      </c>
      <c r="AN352" s="1093">
        <f t="shared" si="489"/>
        <v>0</v>
      </c>
      <c r="AO352" s="1093">
        <f t="shared" si="489"/>
        <v>0</v>
      </c>
      <c r="AP352" s="1093">
        <f t="shared" si="489"/>
        <v>0</v>
      </c>
      <c r="AQ352" s="1093">
        <f t="shared" si="489"/>
        <v>0</v>
      </c>
      <c r="AR352" s="1093">
        <f t="shared" si="489"/>
        <v>0</v>
      </c>
      <c r="AS352" s="1093">
        <f t="shared" si="489"/>
        <v>0</v>
      </c>
      <c r="AT352" s="1093">
        <f t="shared" si="489"/>
        <v>0</v>
      </c>
      <c r="AU352" s="1093">
        <f t="shared" si="489"/>
        <v>0</v>
      </c>
      <c r="AV352" s="174"/>
      <c r="AW352" s="206">
        <f t="shared" si="461"/>
        <v>0</v>
      </c>
      <c r="AX352" s="1091"/>
      <c r="AY352" s="1093">
        <f t="shared" ref="AY352:BG352" si="490">IF(OR($BF$169=0,AY$29=0),0,$BF$181/$BF$169*AY$71/AY$29)</f>
        <v>0</v>
      </c>
      <c r="AZ352" s="1093">
        <f t="shared" si="490"/>
        <v>0</v>
      </c>
      <c r="BA352" s="1093">
        <f t="shared" si="490"/>
        <v>0</v>
      </c>
      <c r="BB352" s="1093">
        <f t="shared" si="490"/>
        <v>0</v>
      </c>
      <c r="BC352" s="1093">
        <f t="shared" si="490"/>
        <v>0</v>
      </c>
      <c r="BD352" s="1093">
        <f t="shared" si="490"/>
        <v>0</v>
      </c>
      <c r="BE352" s="1093">
        <f t="shared" si="490"/>
        <v>0</v>
      </c>
      <c r="BF352" s="1093">
        <f t="shared" si="490"/>
        <v>0</v>
      </c>
      <c r="BG352" s="1093">
        <f t="shared" si="490"/>
        <v>0</v>
      </c>
      <c r="BH352" s="210"/>
    </row>
    <row r="353" spans="1:60" s="2" customFormat="1">
      <c r="A353" s="1038"/>
      <c r="B353" s="1110" t="s">
        <v>1224</v>
      </c>
      <c r="C353" s="1106" t="s">
        <v>104</v>
      </c>
      <c r="D353" s="645"/>
      <c r="E353" s="203" t="s">
        <v>1278</v>
      </c>
      <c r="F353" s="203"/>
      <c r="G353" s="203"/>
      <c r="H353" s="204" t="s">
        <v>289</v>
      </c>
      <c r="I353" s="205"/>
      <c r="J353" s="206">
        <f t="shared" si="454"/>
        <v>0</v>
      </c>
      <c r="K353" s="220"/>
      <c r="L353" s="220"/>
      <c r="M353" s="206">
        <f>SUM(M345:M352)</f>
        <v>0</v>
      </c>
      <c r="N353" s="220"/>
      <c r="O353" s="1093">
        <f t="shared" ref="O353:W353" si="491">SUM(O345:O352)</f>
        <v>0</v>
      </c>
      <c r="P353" s="1093">
        <f t="shared" si="491"/>
        <v>0</v>
      </c>
      <c r="Q353" s="1093">
        <f t="shared" si="491"/>
        <v>0</v>
      </c>
      <c r="R353" s="1093">
        <f t="shared" si="491"/>
        <v>0</v>
      </c>
      <c r="S353" s="1093">
        <f t="shared" si="491"/>
        <v>0</v>
      </c>
      <c r="T353" s="1093">
        <f t="shared" si="491"/>
        <v>0</v>
      </c>
      <c r="U353" s="1093">
        <f t="shared" si="491"/>
        <v>0</v>
      </c>
      <c r="V353" s="1093">
        <f t="shared" si="491"/>
        <v>0</v>
      </c>
      <c r="W353" s="1093">
        <f t="shared" si="491"/>
        <v>0</v>
      </c>
      <c r="X353" s="174"/>
      <c r="Y353" s="206">
        <f>SUM(Y345:Y352)</f>
        <v>0</v>
      </c>
      <c r="Z353" s="220"/>
      <c r="AA353" s="1093">
        <f t="shared" ref="AA353:AI353" si="492">SUM(AA345:AA352)</f>
        <v>0</v>
      </c>
      <c r="AB353" s="1093">
        <f t="shared" si="492"/>
        <v>0</v>
      </c>
      <c r="AC353" s="1093">
        <f t="shared" si="492"/>
        <v>0</v>
      </c>
      <c r="AD353" s="1093">
        <f t="shared" si="492"/>
        <v>0</v>
      </c>
      <c r="AE353" s="1093">
        <f t="shared" si="492"/>
        <v>0</v>
      </c>
      <c r="AF353" s="1093">
        <f t="shared" si="492"/>
        <v>0</v>
      </c>
      <c r="AG353" s="1093">
        <f t="shared" si="492"/>
        <v>0</v>
      </c>
      <c r="AH353" s="1093">
        <f t="shared" si="492"/>
        <v>0</v>
      </c>
      <c r="AI353" s="1093">
        <f t="shared" si="492"/>
        <v>0</v>
      </c>
      <c r="AJ353" s="174"/>
      <c r="AK353" s="206">
        <f>SUM(AK345:AK352)</f>
        <v>0</v>
      </c>
      <c r="AL353" s="1091"/>
      <c r="AM353" s="1093">
        <f t="shared" ref="AM353:AU353" si="493">SUM(AM345:AM352)</f>
        <v>0</v>
      </c>
      <c r="AN353" s="1093">
        <f t="shared" si="493"/>
        <v>0</v>
      </c>
      <c r="AO353" s="1093">
        <f t="shared" si="493"/>
        <v>0</v>
      </c>
      <c r="AP353" s="1093">
        <f t="shared" si="493"/>
        <v>0</v>
      </c>
      <c r="AQ353" s="1093">
        <f t="shared" si="493"/>
        <v>0</v>
      </c>
      <c r="AR353" s="1093">
        <f t="shared" si="493"/>
        <v>0</v>
      </c>
      <c r="AS353" s="1093">
        <f t="shared" si="493"/>
        <v>0</v>
      </c>
      <c r="AT353" s="1093">
        <f t="shared" si="493"/>
        <v>0</v>
      </c>
      <c r="AU353" s="1093">
        <f t="shared" si="493"/>
        <v>0</v>
      </c>
      <c r="AV353" s="174"/>
      <c r="AW353" s="206">
        <f>SUM(AW345:AW352)</f>
        <v>0</v>
      </c>
      <c r="AX353" s="1091"/>
      <c r="AY353" s="1093">
        <f t="shared" ref="AY353:BG353" si="494">SUM(AY345:AY352)</f>
        <v>0</v>
      </c>
      <c r="AZ353" s="1093">
        <f t="shared" si="494"/>
        <v>0</v>
      </c>
      <c r="BA353" s="1093">
        <f t="shared" si="494"/>
        <v>0</v>
      </c>
      <c r="BB353" s="1093">
        <f t="shared" si="494"/>
        <v>0</v>
      </c>
      <c r="BC353" s="1093">
        <f t="shared" si="494"/>
        <v>0</v>
      </c>
      <c r="BD353" s="1093">
        <f t="shared" si="494"/>
        <v>0</v>
      </c>
      <c r="BE353" s="1093">
        <f t="shared" si="494"/>
        <v>0</v>
      </c>
      <c r="BF353" s="1093">
        <f t="shared" si="494"/>
        <v>0</v>
      </c>
      <c r="BG353" s="1093">
        <f t="shared" si="494"/>
        <v>0</v>
      </c>
      <c r="BH353" s="210"/>
    </row>
    <row r="354" spans="1:60" s="2" customFormat="1">
      <c r="A354" s="1038"/>
      <c r="B354" s="1110" t="s">
        <v>1224</v>
      </c>
      <c r="C354" s="1106" t="s">
        <v>96</v>
      </c>
      <c r="D354" s="644"/>
      <c r="E354" s="942" t="s">
        <v>290</v>
      </c>
      <c r="F354" s="942"/>
      <c r="G354" s="942"/>
      <c r="H354" s="942"/>
      <c r="I354" s="129"/>
      <c r="J354" s="943"/>
      <c r="K354" s="1094"/>
      <c r="L354" s="1094"/>
      <c r="M354" s="944"/>
      <c r="N354" s="1095"/>
      <c r="O354" s="258" t="str">
        <f>O$17</f>
        <v/>
      </c>
      <c r="P354" s="258" t="str">
        <f t="shared" ref="P354:W354" si="495">P$17</f>
        <v/>
      </c>
      <c r="Q354" s="258" t="str">
        <f t="shared" si="495"/>
        <v/>
      </c>
      <c r="R354" s="258" t="str">
        <f t="shared" si="495"/>
        <v/>
      </c>
      <c r="S354" s="258" t="str">
        <f t="shared" si="495"/>
        <v/>
      </c>
      <c r="T354" s="258" t="str">
        <f t="shared" si="495"/>
        <v/>
      </c>
      <c r="U354" s="258" t="str">
        <f t="shared" si="495"/>
        <v/>
      </c>
      <c r="V354" s="258" t="str">
        <f t="shared" si="495"/>
        <v/>
      </c>
      <c r="W354" s="258" t="str">
        <f t="shared" si="495"/>
        <v/>
      </c>
      <c r="X354" s="1095"/>
      <c r="Y354" s="944"/>
      <c r="Z354" s="1095"/>
      <c r="AA354" s="258" t="str">
        <f>AA$17</f>
        <v/>
      </c>
      <c r="AB354" s="258" t="str">
        <f t="shared" ref="AB354:AI354" si="496">AB$17</f>
        <v/>
      </c>
      <c r="AC354" s="258" t="str">
        <f t="shared" si="496"/>
        <v/>
      </c>
      <c r="AD354" s="258" t="str">
        <f t="shared" si="496"/>
        <v/>
      </c>
      <c r="AE354" s="258" t="str">
        <f t="shared" si="496"/>
        <v/>
      </c>
      <c r="AF354" s="258" t="str">
        <f t="shared" si="496"/>
        <v/>
      </c>
      <c r="AG354" s="258" t="str">
        <f t="shared" si="496"/>
        <v/>
      </c>
      <c r="AH354" s="258" t="str">
        <f t="shared" si="496"/>
        <v/>
      </c>
      <c r="AI354" s="258" t="str">
        <f t="shared" si="496"/>
        <v/>
      </c>
      <c r="AJ354" s="1095"/>
      <c r="AK354" s="944"/>
      <c r="AL354" s="1095"/>
      <c r="AM354" s="258" t="str">
        <f>AM$17</f>
        <v/>
      </c>
      <c r="AN354" s="258" t="str">
        <f t="shared" ref="AN354:AU354" si="497">AN$17</f>
        <v/>
      </c>
      <c r="AO354" s="258" t="str">
        <f t="shared" si="497"/>
        <v/>
      </c>
      <c r="AP354" s="258" t="str">
        <f t="shared" si="497"/>
        <v/>
      </c>
      <c r="AQ354" s="258" t="str">
        <f t="shared" si="497"/>
        <v/>
      </c>
      <c r="AR354" s="258" t="str">
        <f t="shared" si="497"/>
        <v/>
      </c>
      <c r="AS354" s="258" t="str">
        <f t="shared" si="497"/>
        <v/>
      </c>
      <c r="AT354" s="258" t="str">
        <f t="shared" si="497"/>
        <v/>
      </c>
      <c r="AU354" s="258" t="str">
        <f t="shared" si="497"/>
        <v/>
      </c>
      <c r="AV354" s="1095"/>
      <c r="AW354" s="944"/>
      <c r="AX354" s="1095"/>
      <c r="AY354" s="258" t="str">
        <f>AY$17</f>
        <v/>
      </c>
      <c r="AZ354" s="258" t="str">
        <f t="shared" ref="AZ354:BG354" si="498">AZ$17</f>
        <v/>
      </c>
      <c r="BA354" s="258" t="str">
        <f t="shared" si="498"/>
        <v/>
      </c>
      <c r="BB354" s="258" t="str">
        <f t="shared" si="498"/>
        <v/>
      </c>
      <c r="BC354" s="258" t="str">
        <f t="shared" si="498"/>
        <v/>
      </c>
      <c r="BD354" s="258" t="str">
        <f t="shared" si="498"/>
        <v/>
      </c>
      <c r="BE354" s="258" t="str">
        <f t="shared" si="498"/>
        <v/>
      </c>
      <c r="BF354" s="258" t="str">
        <f t="shared" si="498"/>
        <v/>
      </c>
      <c r="BG354" s="258" t="str">
        <f t="shared" si="498"/>
        <v/>
      </c>
    </row>
    <row r="355" spans="1:60" s="2" customFormat="1">
      <c r="A355" s="1038"/>
      <c r="B355" s="1110" t="s">
        <v>1224</v>
      </c>
      <c r="C355" s="1106" t="s">
        <v>104</v>
      </c>
      <c r="D355" s="645"/>
      <c r="E355" s="180" t="s">
        <v>291</v>
      </c>
      <c r="F355" s="203"/>
      <c r="G355" s="203"/>
      <c r="H355" s="204" t="s">
        <v>289</v>
      </c>
      <c r="I355" s="205"/>
      <c r="J355" s="206">
        <f>M355+Y355+AK355+AW355</f>
        <v>0</v>
      </c>
      <c r="K355" s="220"/>
      <c r="L355" s="220"/>
      <c r="M355" s="206">
        <f>SUMPRODUCT(N355:X355,N$22:X$22,N$29:X$29)/1000</f>
        <v>0</v>
      </c>
      <c r="N355" s="220"/>
      <c r="O355" s="1093">
        <f t="shared" ref="O355:W355" si="499">IF(OR(O$22=0,O$29=0,($M$187+$M$186)=0),0,
-(O275*$M$187/($M$187+$M$186)*$M$224*1000)/(O22*O29))</f>
        <v>0</v>
      </c>
      <c r="P355" s="1093">
        <f t="shared" si="499"/>
        <v>0</v>
      </c>
      <c r="Q355" s="1093">
        <f t="shared" si="499"/>
        <v>0</v>
      </c>
      <c r="R355" s="1093">
        <f t="shared" si="499"/>
        <v>0</v>
      </c>
      <c r="S355" s="1093">
        <f t="shared" si="499"/>
        <v>0</v>
      </c>
      <c r="T355" s="1093">
        <f t="shared" si="499"/>
        <v>0</v>
      </c>
      <c r="U355" s="1093">
        <f t="shared" si="499"/>
        <v>0</v>
      </c>
      <c r="V355" s="1093">
        <f t="shared" si="499"/>
        <v>0</v>
      </c>
      <c r="W355" s="1093">
        <f t="shared" si="499"/>
        <v>0</v>
      </c>
      <c r="X355" s="174"/>
      <c r="Y355" s="206">
        <f>SUMPRODUCT(Z355:AJ355,Z$22:AJ$22,Z$29:AJ$29)/1000</f>
        <v>0</v>
      </c>
      <c r="Z355" s="220"/>
      <c r="AA355" s="1093">
        <f t="shared" ref="AA355:AI355" si="500">IF(OR(AA$22=0,AA$29=0,($Y$187+$Y$186)=0),0,
-(AA275*$Y$187/($Y$187+$Y$186)*$Y$224*1000)/(AA22*AA29))</f>
        <v>0</v>
      </c>
      <c r="AB355" s="1093">
        <f t="shared" si="500"/>
        <v>0</v>
      </c>
      <c r="AC355" s="1093">
        <f t="shared" si="500"/>
        <v>0</v>
      </c>
      <c r="AD355" s="1093">
        <f t="shared" si="500"/>
        <v>0</v>
      </c>
      <c r="AE355" s="1093">
        <f t="shared" si="500"/>
        <v>0</v>
      </c>
      <c r="AF355" s="1093">
        <f t="shared" si="500"/>
        <v>0</v>
      </c>
      <c r="AG355" s="1093">
        <f t="shared" si="500"/>
        <v>0</v>
      </c>
      <c r="AH355" s="1093">
        <f t="shared" si="500"/>
        <v>0</v>
      </c>
      <c r="AI355" s="1093">
        <f t="shared" si="500"/>
        <v>0</v>
      </c>
      <c r="AJ355" s="174"/>
      <c r="AK355" s="206">
        <f>SUMPRODUCT(AL355:AV355,AL$22:AV$22,AL$29:AV$29)/1000</f>
        <v>0</v>
      </c>
      <c r="AL355" s="1091"/>
      <c r="AM355" s="1093">
        <f t="shared" ref="AM355:AU355" si="501">IF(OR(AM$22=0,AM$29=0,($AK$187+$AK$186)=0),0,
-(AM275*$AK$187/($AK$187+$AK$186)*$AK$224*1000)/(AM22*AM29))</f>
        <v>0</v>
      </c>
      <c r="AN355" s="1093">
        <f t="shared" si="501"/>
        <v>0</v>
      </c>
      <c r="AO355" s="1093">
        <f t="shared" si="501"/>
        <v>0</v>
      </c>
      <c r="AP355" s="1093">
        <f t="shared" si="501"/>
        <v>0</v>
      </c>
      <c r="AQ355" s="1093">
        <f t="shared" si="501"/>
        <v>0</v>
      </c>
      <c r="AR355" s="1093">
        <f t="shared" si="501"/>
        <v>0</v>
      </c>
      <c r="AS355" s="1093">
        <f t="shared" si="501"/>
        <v>0</v>
      </c>
      <c r="AT355" s="1093">
        <f t="shared" si="501"/>
        <v>0</v>
      </c>
      <c r="AU355" s="1093">
        <f t="shared" si="501"/>
        <v>0</v>
      </c>
      <c r="AV355" s="174"/>
      <c r="AW355" s="206">
        <f>SUMPRODUCT(AX355:BH355,AX$22:BH$22,AX$29:BH$29)/1000</f>
        <v>0</v>
      </c>
      <c r="AX355" s="1091"/>
      <c r="AY355" s="1093">
        <f t="shared" ref="AY355:BG355" si="502">IF(OR(AY$22=0,AY$29=0,($AW$187+$AW$186)=0),0,
-(AY275*$AW$187/($AW$187+$AW$186)*$AW$224*1000)/(AY22*AY29))</f>
        <v>0</v>
      </c>
      <c r="AZ355" s="1093">
        <f t="shared" si="502"/>
        <v>0</v>
      </c>
      <c r="BA355" s="1093">
        <f t="shared" si="502"/>
        <v>0</v>
      </c>
      <c r="BB355" s="1093">
        <f t="shared" si="502"/>
        <v>0</v>
      </c>
      <c r="BC355" s="1093">
        <f t="shared" si="502"/>
        <v>0</v>
      </c>
      <c r="BD355" s="1093">
        <f t="shared" si="502"/>
        <v>0</v>
      </c>
      <c r="BE355" s="1093">
        <f t="shared" si="502"/>
        <v>0</v>
      </c>
      <c r="BF355" s="1093">
        <f t="shared" si="502"/>
        <v>0</v>
      </c>
      <c r="BG355" s="1093">
        <f t="shared" si="502"/>
        <v>0</v>
      </c>
      <c r="BH355" s="210"/>
    </row>
    <row r="356" spans="1:60" s="2" customFormat="1">
      <c r="A356" s="1038"/>
      <c r="B356" s="1110" t="s">
        <v>1224</v>
      </c>
      <c r="C356" s="1106" t="s">
        <v>104</v>
      </c>
      <c r="D356" s="645"/>
      <c r="E356" s="180" t="s">
        <v>292</v>
      </c>
      <c r="F356" s="203"/>
      <c r="G356" s="203"/>
      <c r="H356" s="204" t="s">
        <v>289</v>
      </c>
      <c r="I356" s="205"/>
      <c r="J356" s="206">
        <f>M356+Y356+AK356+AW356</f>
        <v>0</v>
      </c>
      <c r="K356" s="220"/>
      <c r="L356" s="220"/>
      <c r="M356" s="206">
        <f>SUMPRODUCT(N356:X356,N$22:X$22,N$29:X$29)/1000</f>
        <v>0</v>
      </c>
      <c r="N356" s="220"/>
      <c r="O356" s="1093">
        <f t="shared" ref="O356:W356" si="503">IF(OR(O$22=0,O$29=0,($M$187+$M$186)=0),0,
-O73*$M$224/($M$187+$M$186)/O29)</f>
        <v>0</v>
      </c>
      <c r="P356" s="1093">
        <f t="shared" si="503"/>
        <v>0</v>
      </c>
      <c r="Q356" s="1093">
        <f t="shared" si="503"/>
        <v>0</v>
      </c>
      <c r="R356" s="1093">
        <f t="shared" si="503"/>
        <v>0</v>
      </c>
      <c r="S356" s="1093">
        <f t="shared" si="503"/>
        <v>0</v>
      </c>
      <c r="T356" s="1093">
        <f t="shared" si="503"/>
        <v>0</v>
      </c>
      <c r="U356" s="1093">
        <f t="shared" si="503"/>
        <v>0</v>
      </c>
      <c r="V356" s="1093">
        <f t="shared" si="503"/>
        <v>0</v>
      </c>
      <c r="W356" s="1093">
        <f t="shared" si="503"/>
        <v>0</v>
      </c>
      <c r="X356" s="174"/>
      <c r="Y356" s="206">
        <f>SUMPRODUCT(Z356:AJ356,Z$22:AJ$22,Z$29:AJ$29)/1000</f>
        <v>0</v>
      </c>
      <c r="Z356" s="220"/>
      <c r="AA356" s="1093">
        <f t="shared" ref="AA356:AI356" si="504">IF(OR(AA$22=0,AA$29=0,($Y$187+$Y$186)=0),0,
-AA73*$Y$224/($Y$187+$Y$186)/AA29)</f>
        <v>0</v>
      </c>
      <c r="AB356" s="1093">
        <f t="shared" si="504"/>
        <v>0</v>
      </c>
      <c r="AC356" s="1093">
        <f t="shared" si="504"/>
        <v>0</v>
      </c>
      <c r="AD356" s="1093">
        <f t="shared" si="504"/>
        <v>0</v>
      </c>
      <c r="AE356" s="1093">
        <f t="shared" si="504"/>
        <v>0</v>
      </c>
      <c r="AF356" s="1093">
        <f t="shared" si="504"/>
        <v>0</v>
      </c>
      <c r="AG356" s="1093">
        <f t="shared" si="504"/>
        <v>0</v>
      </c>
      <c r="AH356" s="1093">
        <f t="shared" si="504"/>
        <v>0</v>
      </c>
      <c r="AI356" s="1093">
        <f t="shared" si="504"/>
        <v>0</v>
      </c>
      <c r="AJ356" s="174"/>
      <c r="AK356" s="206">
        <f>SUMPRODUCT(AL356:AV356,AL$22:AV$22,AL$29:AV$29)/1000</f>
        <v>0</v>
      </c>
      <c r="AL356" s="1091"/>
      <c r="AM356" s="1093">
        <f t="shared" ref="AM356:AU356" si="505">IF(OR(AM$22=0,AM$29=0,($AK$187+$AK$186)=0),0,
-AM73*$AK$224/($AK$187+$AK$186)/AM29)</f>
        <v>0</v>
      </c>
      <c r="AN356" s="1093">
        <f t="shared" si="505"/>
        <v>0</v>
      </c>
      <c r="AO356" s="1093">
        <f t="shared" si="505"/>
        <v>0</v>
      </c>
      <c r="AP356" s="1093">
        <f t="shared" si="505"/>
        <v>0</v>
      </c>
      <c r="AQ356" s="1093">
        <f t="shared" si="505"/>
        <v>0</v>
      </c>
      <c r="AR356" s="1093">
        <f t="shared" si="505"/>
        <v>0</v>
      </c>
      <c r="AS356" s="1093">
        <f t="shared" si="505"/>
        <v>0</v>
      </c>
      <c r="AT356" s="1093">
        <f t="shared" si="505"/>
        <v>0</v>
      </c>
      <c r="AU356" s="1093">
        <f t="shared" si="505"/>
        <v>0</v>
      </c>
      <c r="AV356" s="174"/>
      <c r="AW356" s="206">
        <f>SUMPRODUCT(AX356:BH356,AX$22:BH$22,AX$29:BH$29)/1000</f>
        <v>0</v>
      </c>
      <c r="AX356" s="1091"/>
      <c r="AY356" s="1093">
        <f t="shared" ref="AY356:BG356" si="506">IF(OR(AY$22=0,AY$29=0,($AW$187+$AW$186)=0),0,
-AY73*$AW$224/($AW$187+$AW$186)/AY29)</f>
        <v>0</v>
      </c>
      <c r="AZ356" s="1093">
        <f t="shared" si="506"/>
        <v>0</v>
      </c>
      <c r="BA356" s="1093">
        <f t="shared" si="506"/>
        <v>0</v>
      </c>
      <c r="BB356" s="1093">
        <f t="shared" si="506"/>
        <v>0</v>
      </c>
      <c r="BC356" s="1093">
        <f t="shared" si="506"/>
        <v>0</v>
      </c>
      <c r="BD356" s="1093">
        <f t="shared" si="506"/>
        <v>0</v>
      </c>
      <c r="BE356" s="1093">
        <f t="shared" si="506"/>
        <v>0</v>
      </c>
      <c r="BF356" s="1093">
        <f t="shared" si="506"/>
        <v>0</v>
      </c>
      <c r="BG356" s="1093">
        <f t="shared" si="506"/>
        <v>0</v>
      </c>
      <c r="BH356" s="210"/>
    </row>
    <row r="357" spans="1:60" s="2" customFormat="1">
      <c r="A357" s="1038"/>
      <c r="B357" s="1110" t="s">
        <v>1224</v>
      </c>
      <c r="C357" s="1106" t="s">
        <v>104</v>
      </c>
      <c r="D357" s="645"/>
      <c r="E357" s="203" t="s">
        <v>293</v>
      </c>
      <c r="F357" s="203"/>
      <c r="G357" s="203"/>
      <c r="H357" s="204" t="s">
        <v>289</v>
      </c>
      <c r="I357" s="205"/>
      <c r="J357" s="206">
        <f>M357+Y357+AK357+AW357</f>
        <v>0</v>
      </c>
      <c r="K357" s="220"/>
      <c r="L357" s="220"/>
      <c r="M357" s="206">
        <f>M355+M356</f>
        <v>0</v>
      </c>
      <c r="N357" s="220"/>
      <c r="O357" s="1093">
        <f t="shared" ref="O357:W357" si="507">O355+O356</f>
        <v>0</v>
      </c>
      <c r="P357" s="1093">
        <f t="shared" si="507"/>
        <v>0</v>
      </c>
      <c r="Q357" s="1093">
        <f t="shared" si="507"/>
        <v>0</v>
      </c>
      <c r="R357" s="1093">
        <f t="shared" si="507"/>
        <v>0</v>
      </c>
      <c r="S357" s="1093">
        <f t="shared" si="507"/>
        <v>0</v>
      </c>
      <c r="T357" s="1093">
        <f>T355+T356</f>
        <v>0</v>
      </c>
      <c r="U357" s="1093">
        <f t="shared" si="507"/>
        <v>0</v>
      </c>
      <c r="V357" s="1093">
        <f t="shared" si="507"/>
        <v>0</v>
      </c>
      <c r="W357" s="1093">
        <f t="shared" si="507"/>
        <v>0</v>
      </c>
      <c r="X357" s="174"/>
      <c r="Y357" s="206">
        <f>Y355+Y356</f>
        <v>0</v>
      </c>
      <c r="Z357" s="220"/>
      <c r="AA357" s="1093">
        <f t="shared" ref="AA357:AI357" si="508">AA355+AA356</f>
        <v>0</v>
      </c>
      <c r="AB357" s="1093">
        <f t="shared" si="508"/>
        <v>0</v>
      </c>
      <c r="AC357" s="1093">
        <f t="shared" si="508"/>
        <v>0</v>
      </c>
      <c r="AD357" s="1093">
        <f t="shared" si="508"/>
        <v>0</v>
      </c>
      <c r="AE357" s="1093">
        <f t="shared" si="508"/>
        <v>0</v>
      </c>
      <c r="AF357" s="1093">
        <f>AF355+AF356</f>
        <v>0</v>
      </c>
      <c r="AG357" s="1093">
        <f t="shared" si="508"/>
        <v>0</v>
      </c>
      <c r="AH357" s="1093">
        <f t="shared" si="508"/>
        <v>0</v>
      </c>
      <c r="AI357" s="1093">
        <f t="shared" si="508"/>
        <v>0</v>
      </c>
      <c r="AJ357" s="174"/>
      <c r="AK357" s="206">
        <f>AK355+AK356</f>
        <v>0</v>
      </c>
      <c r="AL357" s="1091"/>
      <c r="AM357" s="1093">
        <f t="shared" ref="AM357:AU357" si="509">AM355+AM356</f>
        <v>0</v>
      </c>
      <c r="AN357" s="1093">
        <f t="shared" si="509"/>
        <v>0</v>
      </c>
      <c r="AO357" s="1093">
        <f t="shared" si="509"/>
        <v>0</v>
      </c>
      <c r="AP357" s="1093">
        <f t="shared" si="509"/>
        <v>0</v>
      </c>
      <c r="AQ357" s="1093">
        <f t="shared" si="509"/>
        <v>0</v>
      </c>
      <c r="AR357" s="1093">
        <f>AR355+AR356</f>
        <v>0</v>
      </c>
      <c r="AS357" s="1093">
        <f t="shared" si="509"/>
        <v>0</v>
      </c>
      <c r="AT357" s="1093">
        <f t="shared" si="509"/>
        <v>0</v>
      </c>
      <c r="AU357" s="1093">
        <f t="shared" si="509"/>
        <v>0</v>
      </c>
      <c r="AV357" s="174"/>
      <c r="AW357" s="206">
        <f>AW355+AW356</f>
        <v>0</v>
      </c>
      <c r="AX357" s="1091"/>
      <c r="AY357" s="1093">
        <f t="shared" ref="AY357:BG357" si="510">AY355+AY356</f>
        <v>0</v>
      </c>
      <c r="AZ357" s="1093">
        <f t="shared" si="510"/>
        <v>0</v>
      </c>
      <c r="BA357" s="1093">
        <f t="shared" si="510"/>
        <v>0</v>
      </c>
      <c r="BB357" s="1093">
        <f t="shared" si="510"/>
        <v>0</v>
      </c>
      <c r="BC357" s="1093">
        <f t="shared" si="510"/>
        <v>0</v>
      </c>
      <c r="BD357" s="1093">
        <f>BD355+BD356</f>
        <v>0</v>
      </c>
      <c r="BE357" s="1093">
        <f t="shared" si="510"/>
        <v>0</v>
      </c>
      <c r="BF357" s="1093">
        <f t="shared" si="510"/>
        <v>0</v>
      </c>
      <c r="BG357" s="1093">
        <f t="shared" si="510"/>
        <v>0</v>
      </c>
      <c r="BH357" s="210"/>
    </row>
    <row r="358" spans="1:60" s="2" customFormat="1">
      <c r="A358" s="1038"/>
      <c r="B358" s="1110" t="s">
        <v>1224</v>
      </c>
      <c r="C358" s="1106" t="s">
        <v>96</v>
      </c>
      <c r="D358" s="644"/>
      <c r="E358" s="942" t="s">
        <v>107</v>
      </c>
      <c r="F358" s="942"/>
      <c r="G358" s="942"/>
      <c r="H358" s="942"/>
      <c r="I358" s="129"/>
      <c r="J358" s="943"/>
      <c r="K358" s="1094"/>
      <c r="L358" s="1094"/>
      <c r="M358" s="944"/>
      <c r="N358" s="1095"/>
      <c r="O358" s="258" t="str">
        <f>O$17</f>
        <v/>
      </c>
      <c r="P358" s="258" t="str">
        <f t="shared" ref="P358:W358" si="511">P$17</f>
        <v/>
      </c>
      <c r="Q358" s="258" t="str">
        <f t="shared" si="511"/>
        <v/>
      </c>
      <c r="R358" s="258" t="str">
        <f t="shared" si="511"/>
        <v/>
      </c>
      <c r="S358" s="258" t="str">
        <f t="shared" si="511"/>
        <v/>
      </c>
      <c r="T358" s="258" t="str">
        <f t="shared" si="511"/>
        <v/>
      </c>
      <c r="U358" s="258" t="str">
        <f t="shared" si="511"/>
        <v/>
      </c>
      <c r="V358" s="258" t="str">
        <f t="shared" si="511"/>
        <v/>
      </c>
      <c r="W358" s="258" t="str">
        <f t="shared" si="511"/>
        <v/>
      </c>
      <c r="X358" s="1095"/>
      <c r="Y358" s="944"/>
      <c r="Z358" s="1095"/>
      <c r="AA358" s="258" t="str">
        <f>AA$17</f>
        <v/>
      </c>
      <c r="AB358" s="258" t="str">
        <f t="shared" ref="AB358:AI358" si="512">AB$17</f>
        <v/>
      </c>
      <c r="AC358" s="258" t="str">
        <f t="shared" si="512"/>
        <v/>
      </c>
      <c r="AD358" s="258" t="str">
        <f t="shared" si="512"/>
        <v/>
      </c>
      <c r="AE358" s="258" t="str">
        <f t="shared" si="512"/>
        <v/>
      </c>
      <c r="AF358" s="258" t="str">
        <f t="shared" si="512"/>
        <v/>
      </c>
      <c r="AG358" s="258" t="str">
        <f t="shared" si="512"/>
        <v/>
      </c>
      <c r="AH358" s="258" t="str">
        <f t="shared" si="512"/>
        <v/>
      </c>
      <c r="AI358" s="258" t="str">
        <f t="shared" si="512"/>
        <v/>
      </c>
      <c r="AJ358" s="1095"/>
      <c r="AK358" s="944"/>
      <c r="AL358" s="1095"/>
      <c r="AM358" s="258" t="str">
        <f>AM$17</f>
        <v/>
      </c>
      <c r="AN358" s="258" t="str">
        <f t="shared" ref="AN358:AU358" si="513">AN$17</f>
        <v/>
      </c>
      <c r="AO358" s="258" t="str">
        <f t="shared" si="513"/>
        <v/>
      </c>
      <c r="AP358" s="258" t="str">
        <f t="shared" si="513"/>
        <v/>
      </c>
      <c r="AQ358" s="258" t="str">
        <f t="shared" si="513"/>
        <v/>
      </c>
      <c r="AR358" s="258" t="str">
        <f t="shared" si="513"/>
        <v/>
      </c>
      <c r="AS358" s="258" t="str">
        <f t="shared" si="513"/>
        <v/>
      </c>
      <c r="AT358" s="258" t="str">
        <f t="shared" si="513"/>
        <v/>
      </c>
      <c r="AU358" s="258" t="str">
        <f t="shared" si="513"/>
        <v/>
      </c>
      <c r="AV358" s="1095"/>
      <c r="AW358" s="944"/>
      <c r="AX358" s="1095"/>
      <c r="AY358" s="258" t="str">
        <f>AY$17</f>
        <v/>
      </c>
      <c r="AZ358" s="258" t="str">
        <f t="shared" ref="AZ358:BG358" si="514">AZ$17</f>
        <v/>
      </c>
      <c r="BA358" s="258" t="str">
        <f t="shared" si="514"/>
        <v/>
      </c>
      <c r="BB358" s="258" t="str">
        <f t="shared" si="514"/>
        <v/>
      </c>
      <c r="BC358" s="258" t="str">
        <f t="shared" si="514"/>
        <v/>
      </c>
      <c r="BD358" s="258" t="str">
        <f t="shared" si="514"/>
        <v/>
      </c>
      <c r="BE358" s="258" t="str">
        <f t="shared" si="514"/>
        <v/>
      </c>
      <c r="BF358" s="258" t="str">
        <f t="shared" si="514"/>
        <v/>
      </c>
      <c r="BG358" s="258" t="str">
        <f t="shared" si="514"/>
        <v/>
      </c>
    </row>
    <row r="359" spans="1:60" s="2" customFormat="1">
      <c r="A359" s="1038"/>
      <c r="B359" s="1110" t="s">
        <v>1224</v>
      </c>
      <c r="C359" s="1106" t="s">
        <v>104</v>
      </c>
      <c r="D359" s="645"/>
      <c r="E359" s="203" t="s">
        <v>1340</v>
      </c>
      <c r="F359" s="203"/>
      <c r="G359" s="203"/>
      <c r="H359" s="204" t="s">
        <v>289</v>
      </c>
      <c r="I359" s="205"/>
      <c r="J359" s="206">
        <f>M359+Y359+AK359+AW359</f>
        <v>0</v>
      </c>
      <c r="K359" s="220"/>
      <c r="L359" s="220"/>
      <c r="M359" s="206">
        <f>SUMPRODUCT(N359:X359,N$22:X$22,N$29:X$29)/1000</f>
        <v>0</v>
      </c>
      <c r="N359" s="220"/>
      <c r="O359" s="1093">
        <f t="shared" ref="O359:W359" si="515">O353+O357</f>
        <v>0</v>
      </c>
      <c r="P359" s="1093">
        <f t="shared" si="515"/>
        <v>0</v>
      </c>
      <c r="Q359" s="1093">
        <f t="shared" si="515"/>
        <v>0</v>
      </c>
      <c r="R359" s="1093">
        <f t="shared" si="515"/>
        <v>0</v>
      </c>
      <c r="S359" s="1093">
        <f t="shared" si="515"/>
        <v>0</v>
      </c>
      <c r="T359" s="1093">
        <f>T353+T357</f>
        <v>0</v>
      </c>
      <c r="U359" s="1093">
        <f t="shared" si="515"/>
        <v>0</v>
      </c>
      <c r="V359" s="1093">
        <f t="shared" si="515"/>
        <v>0</v>
      </c>
      <c r="W359" s="1093">
        <f t="shared" si="515"/>
        <v>0</v>
      </c>
      <c r="X359" s="174"/>
      <c r="Y359" s="206">
        <f>SUMPRODUCT(Z359:AJ359,Z$22:AJ$22,Z$29:AJ$29)/1000</f>
        <v>0</v>
      </c>
      <c r="Z359" s="220"/>
      <c r="AA359" s="1093">
        <f t="shared" ref="AA359:AE359" si="516">AA353+AA357</f>
        <v>0</v>
      </c>
      <c r="AB359" s="1093">
        <f t="shared" si="516"/>
        <v>0</v>
      </c>
      <c r="AC359" s="1093">
        <f t="shared" si="516"/>
        <v>0</v>
      </c>
      <c r="AD359" s="1093">
        <f t="shared" si="516"/>
        <v>0</v>
      </c>
      <c r="AE359" s="1093">
        <f t="shared" si="516"/>
        <v>0</v>
      </c>
      <c r="AF359" s="1093">
        <f>AF353+AF357</f>
        <v>0</v>
      </c>
      <c r="AG359" s="1093">
        <f t="shared" ref="AG359:AI359" si="517">AG353+AG357</f>
        <v>0</v>
      </c>
      <c r="AH359" s="1093">
        <f t="shared" si="517"/>
        <v>0</v>
      </c>
      <c r="AI359" s="1093">
        <f t="shared" si="517"/>
        <v>0</v>
      </c>
      <c r="AJ359" s="174"/>
      <c r="AK359" s="206">
        <f>SUMPRODUCT(AL359:AV359,AL$22:AV$22,AL$29:AV$29)/1000</f>
        <v>0</v>
      </c>
      <c r="AL359" s="1091"/>
      <c r="AM359" s="1093">
        <f t="shared" ref="AM359:AQ359" si="518">AM353+AM357</f>
        <v>0</v>
      </c>
      <c r="AN359" s="1093">
        <f t="shared" si="518"/>
        <v>0</v>
      </c>
      <c r="AO359" s="1093">
        <f t="shared" si="518"/>
        <v>0</v>
      </c>
      <c r="AP359" s="1093">
        <f t="shared" si="518"/>
        <v>0</v>
      </c>
      <c r="AQ359" s="1093">
        <f t="shared" si="518"/>
        <v>0</v>
      </c>
      <c r="AR359" s="1093">
        <f>AR353+AR357</f>
        <v>0</v>
      </c>
      <c r="AS359" s="1093">
        <f t="shared" ref="AS359:AU359" si="519">AS353+AS357</f>
        <v>0</v>
      </c>
      <c r="AT359" s="1093">
        <f t="shared" si="519"/>
        <v>0</v>
      </c>
      <c r="AU359" s="1093">
        <f t="shared" si="519"/>
        <v>0</v>
      </c>
      <c r="AV359" s="174"/>
      <c r="AW359" s="206">
        <f>SUMPRODUCT(AX359:BH359,AX$22:BH$22,AX$29:BH$29)/1000</f>
        <v>0</v>
      </c>
      <c r="AX359" s="1091"/>
      <c r="AY359" s="1093">
        <f t="shared" ref="AY359:BC359" si="520">AY353+AY357</f>
        <v>0</v>
      </c>
      <c r="AZ359" s="1093">
        <f t="shared" si="520"/>
        <v>0</v>
      </c>
      <c r="BA359" s="1093">
        <f t="shared" si="520"/>
        <v>0</v>
      </c>
      <c r="BB359" s="1093">
        <f t="shared" si="520"/>
        <v>0</v>
      </c>
      <c r="BC359" s="1093">
        <f t="shared" si="520"/>
        <v>0</v>
      </c>
      <c r="BD359" s="1093">
        <f>BD353+BD357</f>
        <v>0</v>
      </c>
      <c r="BE359" s="1093">
        <f t="shared" ref="BE359:BG359" si="521">BE353+BE357</f>
        <v>0</v>
      </c>
      <c r="BF359" s="1093">
        <f t="shared" si="521"/>
        <v>0</v>
      </c>
      <c r="BG359" s="1093">
        <f t="shared" si="521"/>
        <v>0</v>
      </c>
      <c r="BH359" s="210"/>
    </row>
    <row r="360" spans="1:60" s="2" customFormat="1">
      <c r="A360" s="1038"/>
      <c r="B360" s="1110" t="s">
        <v>1224</v>
      </c>
      <c r="C360" s="1106" t="s">
        <v>104</v>
      </c>
      <c r="D360" s="645"/>
      <c r="E360" s="203" t="s">
        <v>1341</v>
      </c>
      <c r="F360" s="203"/>
      <c r="G360" s="203"/>
      <c r="H360" s="204" t="s">
        <v>289</v>
      </c>
      <c r="I360" s="205"/>
      <c r="J360" s="206">
        <f>M360+Y360+AK360+AW360</f>
        <v>0</v>
      </c>
      <c r="K360" s="220"/>
      <c r="L360" s="220"/>
      <c r="M360" s="206">
        <f>SUMPRODUCT(N360:X360,N$22:X$22,N$29:X$29)/1000</f>
        <v>0</v>
      </c>
      <c r="N360" s="220"/>
      <c r="O360" s="1093">
        <f t="shared" ref="O360:W360" si="522">O$345+O$346+O$347+IF(OR(O$19=woning,O$19=woongebouw),0,O$348)+O$349+O$357</f>
        <v>0</v>
      </c>
      <c r="P360" s="1093">
        <f t="shared" si="522"/>
        <v>0</v>
      </c>
      <c r="Q360" s="1093">
        <f t="shared" si="522"/>
        <v>0</v>
      </c>
      <c r="R360" s="1093">
        <f t="shared" si="522"/>
        <v>0</v>
      </c>
      <c r="S360" s="1093">
        <f t="shared" si="522"/>
        <v>0</v>
      </c>
      <c r="T360" s="1093">
        <f t="shared" si="522"/>
        <v>0</v>
      </c>
      <c r="U360" s="1093">
        <f t="shared" si="522"/>
        <v>0</v>
      </c>
      <c r="V360" s="1093">
        <f t="shared" si="522"/>
        <v>0</v>
      </c>
      <c r="W360" s="1093">
        <f t="shared" si="522"/>
        <v>0</v>
      </c>
      <c r="X360" s="174"/>
      <c r="Y360" s="206">
        <f>SUMPRODUCT(Z360:AJ360,Z$22:AJ$22,Z$29:AJ$29)/1000</f>
        <v>0</v>
      </c>
      <c r="Z360" s="220"/>
      <c r="AA360" s="1093">
        <f t="shared" ref="AA360:AI360" si="523">AA$345+AA$346+AA$347+IF(OR(AA$19=woning,AA$19=woongebouw),0,AA$348)+AA$349+AA$357</f>
        <v>0</v>
      </c>
      <c r="AB360" s="1093">
        <f t="shared" si="523"/>
        <v>0</v>
      </c>
      <c r="AC360" s="1093">
        <f t="shared" si="523"/>
        <v>0</v>
      </c>
      <c r="AD360" s="1093">
        <f t="shared" si="523"/>
        <v>0</v>
      </c>
      <c r="AE360" s="1093">
        <f t="shared" si="523"/>
        <v>0</v>
      </c>
      <c r="AF360" s="1093">
        <f t="shared" si="523"/>
        <v>0</v>
      </c>
      <c r="AG360" s="1093">
        <f t="shared" si="523"/>
        <v>0</v>
      </c>
      <c r="AH360" s="1093">
        <f t="shared" si="523"/>
        <v>0</v>
      </c>
      <c r="AI360" s="1093">
        <f t="shared" si="523"/>
        <v>0</v>
      </c>
      <c r="AJ360" s="174"/>
      <c r="AK360" s="206">
        <f>SUMPRODUCT(AL360:AV360,AL$22:AV$22,AL$29:AV$29)/1000</f>
        <v>0</v>
      </c>
      <c r="AL360" s="1091"/>
      <c r="AM360" s="1093">
        <f t="shared" ref="AM360:AU360" si="524">AM$345+AM$346+AM$347+IF(OR(AM$19=woning,AM$19=woongebouw),0,AM$348)+AM$349+AM$357</f>
        <v>0</v>
      </c>
      <c r="AN360" s="1093">
        <f t="shared" si="524"/>
        <v>0</v>
      </c>
      <c r="AO360" s="1093">
        <f t="shared" si="524"/>
        <v>0</v>
      </c>
      <c r="AP360" s="1093">
        <f t="shared" si="524"/>
        <v>0</v>
      </c>
      <c r="AQ360" s="1093">
        <f t="shared" si="524"/>
        <v>0</v>
      </c>
      <c r="AR360" s="1093">
        <f t="shared" si="524"/>
        <v>0</v>
      </c>
      <c r="AS360" s="1093">
        <f t="shared" si="524"/>
        <v>0</v>
      </c>
      <c r="AT360" s="1093">
        <f t="shared" si="524"/>
        <v>0</v>
      </c>
      <c r="AU360" s="1093">
        <f t="shared" si="524"/>
        <v>0</v>
      </c>
      <c r="AV360" s="174"/>
      <c r="AW360" s="206">
        <f>SUMPRODUCT(AX360:BH360,AX$22:BH$22,AX$29:BH$29)/1000</f>
        <v>0</v>
      </c>
      <c r="AX360" s="1091"/>
      <c r="AY360" s="1093">
        <f t="shared" ref="AY360:BG360" si="525">AY$345+AY$346+AY$347+IF(OR(AY$19=woning,AY$19=woongebouw),0,AY$348)+AY$349+AY$357</f>
        <v>0</v>
      </c>
      <c r="AZ360" s="1093">
        <f t="shared" si="525"/>
        <v>0</v>
      </c>
      <c r="BA360" s="1093">
        <f t="shared" si="525"/>
        <v>0</v>
      </c>
      <c r="BB360" s="1093">
        <f t="shared" si="525"/>
        <v>0</v>
      </c>
      <c r="BC360" s="1093">
        <f t="shared" si="525"/>
        <v>0</v>
      </c>
      <c r="BD360" s="1093">
        <f t="shared" si="525"/>
        <v>0</v>
      </c>
      <c r="BE360" s="1093">
        <f t="shared" si="525"/>
        <v>0</v>
      </c>
      <c r="BF360" s="1093">
        <f t="shared" si="525"/>
        <v>0</v>
      </c>
      <c r="BG360" s="1093">
        <f t="shared" si="525"/>
        <v>0</v>
      </c>
      <c r="BH360" s="210"/>
    </row>
    <row r="361" spans="1:60">
      <c r="A361" s="1040"/>
      <c r="B361" s="1109" t="s">
        <v>1219</v>
      </c>
      <c r="C361" s="1106" t="s">
        <v>96</v>
      </c>
      <c r="D361" s="638"/>
      <c r="E361" s="79"/>
      <c r="F361" s="79"/>
      <c r="G361" s="79"/>
      <c r="H361" s="85"/>
      <c r="I361" s="79"/>
      <c r="J361" s="113"/>
      <c r="K361" s="79"/>
      <c r="L361" s="79"/>
      <c r="M361" s="113"/>
      <c r="N361" s="79"/>
      <c r="O361" s="81"/>
      <c r="P361" s="1163"/>
      <c r="Q361" s="81"/>
      <c r="R361" s="81"/>
      <c r="S361" s="81"/>
      <c r="T361" s="81"/>
      <c r="U361" s="81"/>
      <c r="V361" s="81"/>
      <c r="W361" s="81"/>
      <c r="X361" s="82"/>
      <c r="Y361" s="82"/>
      <c r="Z361" s="79"/>
      <c r="AA361" s="79"/>
      <c r="AB361" s="79"/>
      <c r="AC361" s="79"/>
      <c r="AD361" s="79"/>
      <c r="AE361" s="79"/>
      <c r="AF361" s="79"/>
      <c r="AG361" s="79"/>
      <c r="AH361" s="79"/>
      <c r="AI361" s="79"/>
      <c r="AJ361" s="79"/>
      <c r="AK361" s="113"/>
      <c r="AL361" s="79"/>
      <c r="AM361" s="82"/>
      <c r="AN361" s="82"/>
      <c r="AO361" s="82"/>
      <c r="AP361" s="82"/>
      <c r="AQ361" s="82"/>
      <c r="AR361" s="82"/>
      <c r="AS361" s="82"/>
      <c r="AT361" s="82"/>
      <c r="AU361" s="82"/>
      <c r="AV361" s="82"/>
      <c r="AW361" s="82"/>
      <c r="AX361" s="79"/>
      <c r="AY361" s="82"/>
      <c r="AZ361" s="82"/>
      <c r="BA361" s="82"/>
      <c r="BB361" s="82"/>
      <c r="BC361" s="82"/>
      <c r="BD361" s="82"/>
      <c r="BE361" s="82"/>
      <c r="BF361" s="82"/>
      <c r="BG361" s="82"/>
      <c r="BH361" s="1"/>
    </row>
    <row r="362" spans="1:60">
      <c r="A362" s="1040"/>
      <c r="B362" s="1109" t="s">
        <v>1221</v>
      </c>
      <c r="C362" s="1106" t="s">
        <v>96</v>
      </c>
      <c r="D362" s="638"/>
      <c r="E362" s="1184"/>
      <c r="F362" s="79"/>
      <c r="G362" s="79"/>
      <c r="H362" s="85"/>
      <c r="I362" s="79"/>
      <c r="J362" s="1088"/>
      <c r="K362" s="79"/>
      <c r="L362" s="79"/>
      <c r="M362" s="113"/>
      <c r="N362" s="79"/>
      <c r="O362" s="1087"/>
      <c r="P362" s="1087"/>
      <c r="Q362" s="1087"/>
      <c r="R362" s="1087"/>
      <c r="S362" s="1087"/>
      <c r="T362" s="1087"/>
      <c r="U362" s="1087"/>
      <c r="V362" s="1087"/>
      <c r="W362" s="1087"/>
      <c r="X362" s="82"/>
      <c r="Y362" s="82"/>
      <c r="Z362" s="79"/>
      <c r="AA362" s="79"/>
      <c r="AB362" s="79"/>
      <c r="AC362" s="79"/>
      <c r="AD362" s="79"/>
      <c r="AE362" s="79"/>
      <c r="AF362" s="79"/>
      <c r="AG362" s="79"/>
      <c r="AH362" s="79"/>
      <c r="AI362" s="79"/>
      <c r="AJ362" s="79"/>
      <c r="AK362" s="113"/>
      <c r="AL362" s="79"/>
      <c r="AM362" s="82"/>
      <c r="AN362" s="82"/>
      <c r="AO362" s="82"/>
      <c r="AP362" s="82"/>
      <c r="AQ362" s="82"/>
      <c r="AR362" s="82"/>
      <c r="AS362" s="82"/>
      <c r="AT362" s="82"/>
      <c r="AU362" s="82"/>
      <c r="AV362" s="82"/>
      <c r="AW362" s="82"/>
      <c r="AX362" s="79"/>
      <c r="AY362" s="82"/>
      <c r="AZ362" s="82"/>
      <c r="BA362" s="82"/>
      <c r="BB362" s="82"/>
      <c r="BC362" s="82"/>
      <c r="BD362" s="82"/>
      <c r="BE362" s="82"/>
      <c r="BF362" s="82"/>
      <c r="BG362" s="82"/>
      <c r="BH362" s="1"/>
    </row>
    <row r="363" spans="1:60" ht="21">
      <c r="A363" s="1040"/>
      <c r="B363" s="1109" t="s">
        <v>1221</v>
      </c>
      <c r="C363" s="1106" t="s">
        <v>96</v>
      </c>
      <c r="D363" s="645" t="s">
        <v>45</v>
      </c>
      <c r="E363" s="209" t="s">
        <v>1362</v>
      </c>
      <c r="F363" s="209"/>
      <c r="G363" s="209"/>
      <c r="H363" s="1188" t="str">
        <f>IF(OR($F$5&lt;&gt;"NTA8800:2026",$F$6&lt;&gt;"EP"),"Voor correcte EP: Kies linksboven 'NTA8800:2026' en 'EP'","")</f>
        <v/>
      </c>
      <c r="I363" s="129"/>
      <c r="J363" s="256"/>
      <c r="K363" s="126"/>
      <c r="L363" s="126"/>
      <c r="M363" s="256" t="str">
        <f>"MWh "&amp;M$8</f>
        <v>MWh locatie 1</v>
      </c>
      <c r="N363" s="182"/>
      <c r="O363" s="955" t="str">
        <f>$E363&amp;" per woning-/gebouwtype"</f>
        <v>primair totaal energiegebruik ZEB per woning-/gebouwtype</v>
      </c>
      <c r="P363" s="945"/>
      <c r="Q363" s="945"/>
      <c r="R363" s="945"/>
      <c r="S363" s="945"/>
      <c r="T363" s="945"/>
      <c r="U363" s="945"/>
      <c r="V363" s="945"/>
      <c r="W363" s="257"/>
      <c r="X363" s="82"/>
      <c r="Y363" s="256" t="str">
        <f>"MWh "&amp;Y$8</f>
        <v>MWh locatie 2</v>
      </c>
      <c r="Z363" s="182"/>
      <c r="AA363" s="955" t="str">
        <f>$E363&amp;" per woning-/gebouwtype"</f>
        <v>primair totaal energiegebruik ZEB per woning-/gebouwtype</v>
      </c>
      <c r="AB363" s="945"/>
      <c r="AC363" s="945"/>
      <c r="AD363" s="945"/>
      <c r="AE363" s="945"/>
      <c r="AF363" s="945"/>
      <c r="AG363" s="945"/>
      <c r="AH363" s="945"/>
      <c r="AI363" s="257"/>
      <c r="AJ363" s="79"/>
      <c r="AK363" s="256" t="str">
        <f>"MWh "&amp;AK$8</f>
        <v>MWh locatie 3</v>
      </c>
      <c r="AL363" s="182"/>
      <c r="AM363" s="955" t="str">
        <f>$E363&amp;" per woning-/gebouwtype"</f>
        <v>primair totaal energiegebruik ZEB per woning-/gebouwtype</v>
      </c>
      <c r="AN363" s="945"/>
      <c r="AO363" s="945"/>
      <c r="AP363" s="945"/>
      <c r="AQ363" s="945"/>
      <c r="AR363" s="945"/>
      <c r="AS363" s="945"/>
      <c r="AT363" s="945"/>
      <c r="AU363" s="257"/>
      <c r="AV363" s="82"/>
      <c r="AW363" s="256" t="str">
        <f>"MWh "&amp;AW$8</f>
        <v>MWh locatie 4</v>
      </c>
      <c r="AX363" s="182"/>
      <c r="AY363" s="955" t="str">
        <f>$E363&amp;" per woning-/gebouwtype"</f>
        <v>primair totaal energiegebruik ZEB per woning-/gebouwtype</v>
      </c>
      <c r="AZ363" s="945"/>
      <c r="BA363" s="945"/>
      <c r="BB363" s="945"/>
      <c r="BC363" s="945"/>
      <c r="BD363" s="945"/>
      <c r="BE363" s="945"/>
      <c r="BF363" s="945"/>
      <c r="BG363" s="257"/>
      <c r="BH363" s="1"/>
    </row>
    <row r="364" spans="1:60">
      <c r="A364" s="1040"/>
      <c r="B364" s="1109" t="s">
        <v>1221</v>
      </c>
      <c r="C364" s="1106" t="s">
        <v>96</v>
      </c>
      <c r="D364" s="645"/>
      <c r="E364" s="942" t="s">
        <v>1330</v>
      </c>
      <c r="F364" s="942"/>
      <c r="G364" s="942"/>
      <c r="H364" s="942"/>
      <c r="I364" s="129"/>
      <c r="J364" s="943"/>
      <c r="K364" s="126"/>
      <c r="L364" s="126"/>
      <c r="M364" s="944"/>
      <c r="N364" s="195"/>
      <c r="O364" s="258" t="str">
        <f>O$17</f>
        <v/>
      </c>
      <c r="P364" s="258" t="str">
        <f t="shared" ref="P364:W364" si="526">P$17</f>
        <v/>
      </c>
      <c r="Q364" s="258" t="str">
        <f t="shared" si="526"/>
        <v/>
      </c>
      <c r="R364" s="258" t="str">
        <f t="shared" si="526"/>
        <v/>
      </c>
      <c r="S364" s="258" t="str">
        <f t="shared" si="526"/>
        <v/>
      </c>
      <c r="T364" s="258" t="str">
        <f t="shared" si="526"/>
        <v/>
      </c>
      <c r="U364" s="258" t="str">
        <f t="shared" si="526"/>
        <v/>
      </c>
      <c r="V364" s="258" t="str">
        <f t="shared" si="526"/>
        <v/>
      </c>
      <c r="W364" s="258" t="str">
        <f t="shared" si="526"/>
        <v/>
      </c>
      <c r="X364" s="82"/>
      <c r="Y364" s="944"/>
      <c r="Z364" s="195"/>
      <c r="AA364" s="258" t="str">
        <f>AA$17</f>
        <v/>
      </c>
      <c r="AB364" s="258" t="str">
        <f t="shared" ref="AB364:AI364" si="527">AB$17</f>
        <v/>
      </c>
      <c r="AC364" s="258" t="str">
        <f t="shared" si="527"/>
        <v/>
      </c>
      <c r="AD364" s="258" t="str">
        <f t="shared" si="527"/>
        <v/>
      </c>
      <c r="AE364" s="258" t="str">
        <f t="shared" si="527"/>
        <v/>
      </c>
      <c r="AF364" s="258" t="str">
        <f t="shared" si="527"/>
        <v/>
      </c>
      <c r="AG364" s="258" t="str">
        <f t="shared" si="527"/>
        <v/>
      </c>
      <c r="AH364" s="258" t="str">
        <f t="shared" si="527"/>
        <v/>
      </c>
      <c r="AI364" s="258" t="str">
        <f t="shared" si="527"/>
        <v/>
      </c>
      <c r="AJ364" s="79"/>
      <c r="AK364" s="944"/>
      <c r="AL364" s="195"/>
      <c r="AM364" s="258" t="str">
        <f>AM$17</f>
        <v/>
      </c>
      <c r="AN364" s="258" t="str">
        <f t="shared" ref="AN364:AU364" si="528">AN$17</f>
        <v/>
      </c>
      <c r="AO364" s="258" t="str">
        <f t="shared" si="528"/>
        <v/>
      </c>
      <c r="AP364" s="258" t="str">
        <f t="shared" si="528"/>
        <v/>
      </c>
      <c r="AQ364" s="258" t="str">
        <f t="shared" si="528"/>
        <v/>
      </c>
      <c r="AR364" s="258" t="str">
        <f t="shared" si="528"/>
        <v/>
      </c>
      <c r="AS364" s="258" t="str">
        <f t="shared" si="528"/>
        <v/>
      </c>
      <c r="AT364" s="258" t="str">
        <f t="shared" si="528"/>
        <v/>
      </c>
      <c r="AU364" s="258" t="str">
        <f t="shared" si="528"/>
        <v/>
      </c>
      <c r="AV364" s="82"/>
      <c r="AW364" s="944"/>
      <c r="AX364" s="195"/>
      <c r="AY364" s="258" t="str">
        <f>AY$17</f>
        <v/>
      </c>
      <c r="AZ364" s="258" t="str">
        <f t="shared" ref="AZ364:BG364" si="529">AZ$17</f>
        <v/>
      </c>
      <c r="BA364" s="258" t="str">
        <f t="shared" si="529"/>
        <v/>
      </c>
      <c r="BB364" s="258" t="str">
        <f t="shared" si="529"/>
        <v/>
      </c>
      <c r="BC364" s="258" t="str">
        <f t="shared" si="529"/>
        <v/>
      </c>
      <c r="BD364" s="258" t="str">
        <f t="shared" si="529"/>
        <v/>
      </c>
      <c r="BE364" s="258" t="str">
        <f t="shared" si="529"/>
        <v/>
      </c>
      <c r="BF364" s="258" t="str">
        <f t="shared" si="529"/>
        <v/>
      </c>
      <c r="BG364" s="258" t="str">
        <f t="shared" si="529"/>
        <v/>
      </c>
      <c r="BH364" s="1"/>
    </row>
    <row r="365" spans="1:60">
      <c r="A365" s="1040"/>
      <c r="B365" s="1109" t="s">
        <v>1221</v>
      </c>
      <c r="C365" s="1107" t="s">
        <v>104</v>
      </c>
      <c r="D365" s="645"/>
      <c r="E365" s="304" t="str">
        <f>$O$10</f>
        <v>verwarming</v>
      </c>
      <c r="F365" s="180"/>
      <c r="G365" s="180"/>
      <c r="H365" s="201" t="s">
        <v>1207</v>
      </c>
      <c r="I365" s="114"/>
      <c r="J365" s="190"/>
      <c r="K365" s="1092"/>
      <c r="L365" s="1092"/>
      <c r="M365" s="190">
        <f>SUMPRODUCT(N365:X365,N$22:X$22,N$29:X$29)/1000</f>
        <v>0</v>
      </c>
      <c r="N365" s="119"/>
      <c r="O365" s="183">
        <f>IF(OR(O$22=0,$O$78=0),0,
(($O$126+$O$157+$O$178)/$O$78)*O$62)</f>
        <v>0</v>
      </c>
      <c r="P365" s="183">
        <f t="shared" ref="P365:W365" si="530">IF(OR(P$22=0,$O$78=0),0,
(($O$126+$O$157+$O$178)/$O$78)*P$62)</f>
        <v>0</v>
      </c>
      <c r="Q365" s="183">
        <f t="shared" si="530"/>
        <v>0</v>
      </c>
      <c r="R365" s="183">
        <f t="shared" si="530"/>
        <v>0</v>
      </c>
      <c r="S365" s="183">
        <f t="shared" si="530"/>
        <v>0</v>
      </c>
      <c r="T365" s="183">
        <f t="shared" si="530"/>
        <v>0</v>
      </c>
      <c r="U365" s="183">
        <f t="shared" si="530"/>
        <v>0</v>
      </c>
      <c r="V365" s="183">
        <f t="shared" si="530"/>
        <v>0</v>
      </c>
      <c r="W365" s="183">
        <f t="shared" si="530"/>
        <v>0</v>
      </c>
      <c r="X365" s="108"/>
      <c r="Y365" s="190">
        <f>SUMPRODUCT(Z365:AJ365,Z$22:AJ$22,Z$29:AJ$29)/1000</f>
        <v>0</v>
      </c>
      <c r="Z365" s="119"/>
      <c r="AA365" s="183">
        <f>IF(OR(AA$22=0,$AA$78=0),0,
(($AA$126+$AA$157+$AA$178)/$AA$78)*AA$62)</f>
        <v>0</v>
      </c>
      <c r="AB365" s="183">
        <f t="shared" ref="AB365:AI365" si="531">IF(OR(AB$22=0,$AA$78=0),0,
(($AA$126+$AA$157+$AA$178)/$AA$78)*AB$62)</f>
        <v>0</v>
      </c>
      <c r="AC365" s="183">
        <f t="shared" si="531"/>
        <v>0</v>
      </c>
      <c r="AD365" s="183">
        <f t="shared" si="531"/>
        <v>0</v>
      </c>
      <c r="AE365" s="183">
        <f t="shared" si="531"/>
        <v>0</v>
      </c>
      <c r="AF365" s="183">
        <f t="shared" si="531"/>
        <v>0</v>
      </c>
      <c r="AG365" s="183">
        <f t="shared" si="531"/>
        <v>0</v>
      </c>
      <c r="AH365" s="183">
        <f t="shared" si="531"/>
        <v>0</v>
      </c>
      <c r="AI365" s="183">
        <f t="shared" si="531"/>
        <v>0</v>
      </c>
      <c r="AJ365" s="1051"/>
      <c r="AK365" s="190">
        <f>SUMPRODUCT(AL365:AV365,AL$22:AV$22,AL$29:AV$29)/1000</f>
        <v>0</v>
      </c>
      <c r="AL365" s="119"/>
      <c r="AM365" s="183">
        <f>IF(OR(AM$22=0,$AM$78=0),0,
(($AM$126+$AM$157+$AM$178)/$AM$78)*AM$62)</f>
        <v>0</v>
      </c>
      <c r="AN365" s="183">
        <f t="shared" ref="AN365:AU365" si="532">IF(OR(AN$22=0,$AM$78=0),0,
(($AM$126+$AM$157+$AM$178)/$AM$78)*AN$62)</f>
        <v>0</v>
      </c>
      <c r="AO365" s="183">
        <f t="shared" si="532"/>
        <v>0</v>
      </c>
      <c r="AP365" s="183">
        <f t="shared" si="532"/>
        <v>0</v>
      </c>
      <c r="AQ365" s="183">
        <f t="shared" si="532"/>
        <v>0</v>
      </c>
      <c r="AR365" s="183">
        <f t="shared" si="532"/>
        <v>0</v>
      </c>
      <c r="AS365" s="183">
        <f t="shared" si="532"/>
        <v>0</v>
      </c>
      <c r="AT365" s="183">
        <f t="shared" si="532"/>
        <v>0</v>
      </c>
      <c r="AU365" s="183">
        <f t="shared" si="532"/>
        <v>0</v>
      </c>
      <c r="AV365" s="108"/>
      <c r="AW365" s="190">
        <f>SUMPRODUCT(AX365:BH365,AX$22:BH$22,AX$29:BH$29)/1000</f>
        <v>0</v>
      </c>
      <c r="AX365" s="119"/>
      <c r="AY365" s="183">
        <f>IF(OR(AY$22=0,$AY$78=0),0,
(($AY$126+$AY$157+$AY$178)/$AY$78)*AY$62)</f>
        <v>0</v>
      </c>
      <c r="AZ365" s="183">
        <f t="shared" ref="AZ365:BG365" si="533">IF(OR(AZ$22=0,$AY$78=0),0,
(($AY$126+$AY$157+$AY$178)/$AY$78)*AZ$62)</f>
        <v>0</v>
      </c>
      <c r="BA365" s="183">
        <f t="shared" si="533"/>
        <v>0</v>
      </c>
      <c r="BB365" s="183">
        <f t="shared" si="533"/>
        <v>0</v>
      </c>
      <c r="BC365" s="183">
        <f t="shared" si="533"/>
        <v>0</v>
      </c>
      <c r="BD365" s="183">
        <f t="shared" si="533"/>
        <v>0</v>
      </c>
      <c r="BE365" s="183">
        <f t="shared" si="533"/>
        <v>0</v>
      </c>
      <c r="BF365" s="183">
        <f t="shared" si="533"/>
        <v>0</v>
      </c>
      <c r="BG365" s="183">
        <f t="shared" si="533"/>
        <v>0</v>
      </c>
      <c r="BH365" s="1"/>
    </row>
    <row r="366" spans="1:60">
      <c r="A366" s="1040"/>
      <c r="B366" s="1109" t="s">
        <v>1221</v>
      </c>
      <c r="C366" s="1107" t="s">
        <v>104</v>
      </c>
      <c r="D366" s="645"/>
      <c r="E366" s="304" t="str">
        <f>$P$10</f>
        <v>koeling</v>
      </c>
      <c r="F366" s="180"/>
      <c r="G366" s="180"/>
      <c r="H366" s="201" t="s">
        <v>1207</v>
      </c>
      <c r="I366" s="114"/>
      <c r="J366" s="190"/>
      <c r="K366" s="1092"/>
      <c r="L366" s="1092"/>
      <c r="M366" s="190">
        <f t="shared" ref="M366:M374" si="534">SUMPRODUCT(N366:X366,N$22:X$22,N$29:X$29)/1000</f>
        <v>0</v>
      </c>
      <c r="N366" s="119"/>
      <c r="O366" s="183">
        <f t="shared" ref="O366:W366" si="535">IF(OR(O$22=0,$P$78=0),0,
(($P$126+$P$157+$P$178)/$P$78)*O64)</f>
        <v>0</v>
      </c>
      <c r="P366" s="183">
        <f t="shared" si="535"/>
        <v>0</v>
      </c>
      <c r="Q366" s="183">
        <f t="shared" si="535"/>
        <v>0</v>
      </c>
      <c r="R366" s="183">
        <f t="shared" si="535"/>
        <v>0</v>
      </c>
      <c r="S366" s="183">
        <f t="shared" si="535"/>
        <v>0</v>
      </c>
      <c r="T366" s="183">
        <f t="shared" si="535"/>
        <v>0</v>
      </c>
      <c r="U366" s="183">
        <f t="shared" si="535"/>
        <v>0</v>
      </c>
      <c r="V366" s="183">
        <f t="shared" si="535"/>
        <v>0</v>
      </c>
      <c r="W366" s="183">
        <f t="shared" si="535"/>
        <v>0</v>
      </c>
      <c r="X366" s="108"/>
      <c r="Y366" s="190">
        <f t="shared" ref="Y366:Y374" si="536">SUMPRODUCT(Z366:AJ366,Z$22:AJ$22,Z$29:AJ$29)/1000</f>
        <v>0</v>
      </c>
      <c r="Z366" s="119"/>
      <c r="AA366" s="183">
        <f t="shared" ref="AA366:AI366" si="537">IF(OR(AA$22=0,$AB$78=0),0,
(($AB$126+$AB$157+$AB$178)/$AB$78)*AA64)</f>
        <v>0</v>
      </c>
      <c r="AB366" s="183">
        <f t="shared" si="537"/>
        <v>0</v>
      </c>
      <c r="AC366" s="183">
        <f t="shared" si="537"/>
        <v>0</v>
      </c>
      <c r="AD366" s="183">
        <f t="shared" si="537"/>
        <v>0</v>
      </c>
      <c r="AE366" s="183">
        <f t="shared" si="537"/>
        <v>0</v>
      </c>
      <c r="AF366" s="183">
        <f t="shared" si="537"/>
        <v>0</v>
      </c>
      <c r="AG366" s="183">
        <f t="shared" si="537"/>
        <v>0</v>
      </c>
      <c r="AH366" s="183">
        <f t="shared" si="537"/>
        <v>0</v>
      </c>
      <c r="AI366" s="183">
        <f t="shared" si="537"/>
        <v>0</v>
      </c>
      <c r="AJ366" s="1051"/>
      <c r="AK366" s="190">
        <f t="shared" ref="AK366:AK374" si="538">SUMPRODUCT(AL366:AV366,AL$22:AV$22,AL$29:AV$29)/1000</f>
        <v>0</v>
      </c>
      <c r="AL366" s="119"/>
      <c r="AM366" s="183">
        <f t="shared" ref="AM366:AU366" si="539">IF(OR(AM$22=0,$AN$78=0),0,
(($AN$126+$AN$157+$AN$178)/$AN$78)*AM64)</f>
        <v>0</v>
      </c>
      <c r="AN366" s="183">
        <f t="shared" si="539"/>
        <v>0</v>
      </c>
      <c r="AO366" s="183">
        <f t="shared" si="539"/>
        <v>0</v>
      </c>
      <c r="AP366" s="183">
        <f t="shared" si="539"/>
        <v>0</v>
      </c>
      <c r="AQ366" s="183">
        <f t="shared" si="539"/>
        <v>0</v>
      </c>
      <c r="AR366" s="183">
        <f t="shared" si="539"/>
        <v>0</v>
      </c>
      <c r="AS366" s="183">
        <f t="shared" si="539"/>
        <v>0</v>
      </c>
      <c r="AT366" s="183">
        <f t="shared" si="539"/>
        <v>0</v>
      </c>
      <c r="AU366" s="183">
        <f t="shared" si="539"/>
        <v>0</v>
      </c>
      <c r="AV366" s="108"/>
      <c r="AW366" s="190">
        <f t="shared" ref="AW366:AW374" si="540">SUMPRODUCT(AX366:BH366,AX$22:BH$22,AX$29:BH$29)/1000</f>
        <v>0</v>
      </c>
      <c r="AX366" s="119"/>
      <c r="AY366" s="183">
        <f t="shared" ref="AY366:BG366" si="541">IF(OR(AY$22=0,$AZ$78=0),0,
(($AZ$126+$AZ$157+$AZ$178)/$AZ$78)*AY64)</f>
        <v>0</v>
      </c>
      <c r="AZ366" s="183">
        <f t="shared" si="541"/>
        <v>0</v>
      </c>
      <c r="BA366" s="183">
        <f t="shared" si="541"/>
        <v>0</v>
      </c>
      <c r="BB366" s="183">
        <f t="shared" si="541"/>
        <v>0</v>
      </c>
      <c r="BC366" s="183">
        <f t="shared" si="541"/>
        <v>0</v>
      </c>
      <c r="BD366" s="183">
        <f t="shared" si="541"/>
        <v>0</v>
      </c>
      <c r="BE366" s="183">
        <f t="shared" si="541"/>
        <v>0</v>
      </c>
      <c r="BF366" s="183">
        <f t="shared" si="541"/>
        <v>0</v>
      </c>
      <c r="BG366" s="183">
        <f t="shared" si="541"/>
        <v>0</v>
      </c>
      <c r="BH366" s="1"/>
    </row>
    <row r="367" spans="1:60">
      <c r="A367" s="1040"/>
      <c r="B367" s="1109" t="s">
        <v>1221</v>
      </c>
      <c r="C367" s="1107" t="s">
        <v>104</v>
      </c>
      <c r="D367" s="645"/>
      <c r="E367" s="304" t="str">
        <f>$Q$10</f>
        <v>tapwater</v>
      </c>
      <c r="F367" s="180"/>
      <c r="G367" s="180"/>
      <c r="H367" s="201" t="s">
        <v>1207</v>
      </c>
      <c r="I367" s="114"/>
      <c r="J367" s="190"/>
      <c r="K367" s="1092"/>
      <c r="L367" s="1092"/>
      <c r="M367" s="190">
        <f t="shared" si="534"/>
        <v>0</v>
      </c>
      <c r="N367" s="119"/>
      <c r="O367" s="183">
        <f>IF(O$22=0,0,
(($Q$126+$Q$157+$Q$178)/$Q$78)*O$65)</f>
        <v>0</v>
      </c>
      <c r="P367" s="183">
        <f t="shared" ref="P367:W367" si="542">IF(P$22=0,0,
(($Q$126+$Q$157+$Q$178)/$Q$78)*P$65)</f>
        <v>0</v>
      </c>
      <c r="Q367" s="183">
        <f t="shared" si="542"/>
        <v>0</v>
      </c>
      <c r="R367" s="183">
        <f t="shared" si="542"/>
        <v>0</v>
      </c>
      <c r="S367" s="183">
        <f t="shared" si="542"/>
        <v>0</v>
      </c>
      <c r="T367" s="183">
        <f t="shared" si="542"/>
        <v>0</v>
      </c>
      <c r="U367" s="183">
        <f t="shared" si="542"/>
        <v>0</v>
      </c>
      <c r="V367" s="183">
        <f t="shared" si="542"/>
        <v>0</v>
      </c>
      <c r="W367" s="183">
        <f t="shared" si="542"/>
        <v>0</v>
      </c>
      <c r="X367" s="108"/>
      <c r="Y367" s="190">
        <f t="shared" si="536"/>
        <v>0</v>
      </c>
      <c r="Z367" s="119"/>
      <c r="AA367" s="183">
        <f>IF(AA$22=0,0,
(($AC$126+$AC$157+$AC$178)/$AC$78)*AA$65)</f>
        <v>0</v>
      </c>
      <c r="AB367" s="183">
        <f t="shared" ref="AB367:AI367" si="543">IF(AB$22=0,0,
(($AC$126+$AC$157+$AC$178)/$AC$78)*AB$65)</f>
        <v>0</v>
      </c>
      <c r="AC367" s="183">
        <f t="shared" si="543"/>
        <v>0</v>
      </c>
      <c r="AD367" s="183">
        <f t="shared" si="543"/>
        <v>0</v>
      </c>
      <c r="AE367" s="183">
        <f t="shared" si="543"/>
        <v>0</v>
      </c>
      <c r="AF367" s="183">
        <f t="shared" si="543"/>
        <v>0</v>
      </c>
      <c r="AG367" s="183">
        <f t="shared" si="543"/>
        <v>0</v>
      </c>
      <c r="AH367" s="183">
        <f t="shared" si="543"/>
        <v>0</v>
      </c>
      <c r="AI367" s="183">
        <f t="shared" si="543"/>
        <v>0</v>
      </c>
      <c r="AJ367" s="1051"/>
      <c r="AK367" s="190">
        <f t="shared" si="538"/>
        <v>0</v>
      </c>
      <c r="AL367" s="119"/>
      <c r="AM367" s="183">
        <f>IF(AM$22=0,0,
(($AO$126+$AO$157+$AO$178)/$AO$78)*AM$65)</f>
        <v>0</v>
      </c>
      <c r="AN367" s="183">
        <f t="shared" ref="AN367:AU367" si="544">IF(AN$22=0,0,
(($AO$126+$AO$157+$AO$178)/$AO$78)*AN$65)</f>
        <v>0</v>
      </c>
      <c r="AO367" s="183">
        <f t="shared" si="544"/>
        <v>0</v>
      </c>
      <c r="AP367" s="183">
        <f t="shared" si="544"/>
        <v>0</v>
      </c>
      <c r="AQ367" s="183">
        <f t="shared" si="544"/>
        <v>0</v>
      </c>
      <c r="AR367" s="183">
        <f t="shared" si="544"/>
        <v>0</v>
      </c>
      <c r="AS367" s="183">
        <f t="shared" si="544"/>
        <v>0</v>
      </c>
      <c r="AT367" s="183">
        <f t="shared" si="544"/>
        <v>0</v>
      </c>
      <c r="AU367" s="183">
        <f t="shared" si="544"/>
        <v>0</v>
      </c>
      <c r="AV367" s="108"/>
      <c r="AW367" s="190">
        <f t="shared" si="540"/>
        <v>0</v>
      </c>
      <c r="AX367" s="119"/>
      <c r="AY367" s="183">
        <f>IF(AY$22=0,0,
(($BA$126+$BA$157+$BA$178)/$BA$78)*AY$65)</f>
        <v>0</v>
      </c>
      <c r="AZ367" s="183">
        <f t="shared" ref="AZ367:BF367" si="545">IF(AZ$22=0,0,
(($BA$126+$BA$157+$BA$178)/$BA$78)*AZ$65)</f>
        <v>0</v>
      </c>
      <c r="BA367" s="183">
        <f t="shared" si="545"/>
        <v>0</v>
      </c>
      <c r="BB367" s="183">
        <f t="shared" si="545"/>
        <v>0</v>
      </c>
      <c r="BC367" s="183">
        <f t="shared" si="545"/>
        <v>0</v>
      </c>
      <c r="BD367" s="183">
        <f t="shared" si="545"/>
        <v>0</v>
      </c>
      <c r="BE367" s="183">
        <f t="shared" si="545"/>
        <v>0</v>
      </c>
      <c r="BF367" s="183">
        <f t="shared" si="545"/>
        <v>0</v>
      </c>
      <c r="BG367" s="183">
        <f>IF(BG$22=0,0,
(($BA$126+$BA$157+$BA$178)/$BA$78)*BG$65)</f>
        <v>0</v>
      </c>
      <c r="BH367" s="1"/>
    </row>
    <row r="368" spans="1:60">
      <c r="A368" s="1040"/>
      <c r="B368" s="1109" t="s">
        <v>1221</v>
      </c>
      <c r="C368" s="1107" t="s">
        <v>104</v>
      </c>
      <c r="D368" s="645"/>
      <c r="E368" s="304" t="str">
        <f>$R$10</f>
        <v>verlichting</v>
      </c>
      <c r="F368" s="180"/>
      <c r="G368" s="180"/>
      <c r="H368" s="201" t="s">
        <v>1207</v>
      </c>
      <c r="I368" s="114"/>
      <c r="J368" s="190"/>
      <c r="K368" s="1092"/>
      <c r="L368" s="1092"/>
      <c r="M368" s="190">
        <f t="shared" si="534"/>
        <v>0</v>
      </c>
      <c r="N368" s="119"/>
      <c r="O368" s="183">
        <f>IF(OR(O$19=woning,O$19=woongebouw,O$22=0),0,O66*bibliotheek!$I$307)</f>
        <v>0</v>
      </c>
      <c r="P368" s="183">
        <f>IF(OR(P$19=woning,P$19=woongebouw,P$22=0),0,P66*bibliotheek!$I$307)</f>
        <v>0</v>
      </c>
      <c r="Q368" s="183">
        <f>IF(OR(Q$19=woning,Q$19=woongebouw,Q$22=0),0,Q66*bibliotheek!$I$307)</f>
        <v>0</v>
      </c>
      <c r="R368" s="183">
        <f>IF(OR(R$19=woning,R$19=woongebouw,R$22=0),0,R66*bibliotheek!$I$307)</f>
        <v>0</v>
      </c>
      <c r="S368" s="183">
        <f>IF(OR(S$19=woning,S$19=woongebouw,S$22=0),0,S66*bibliotheek!$I$307)</f>
        <v>0</v>
      </c>
      <c r="T368" s="183">
        <f>IF(OR(T$19=woning,T$19=woongebouw,T$22=0),0,T66*bibliotheek!$I$307)</f>
        <v>0</v>
      </c>
      <c r="U368" s="183">
        <f>IF(OR(U$19=woning,U$19=woongebouw,U$22=0),0,U66*bibliotheek!$I$307)</f>
        <v>0</v>
      </c>
      <c r="V368" s="183">
        <f>IF(OR(V$19=woning,V$19=woongebouw,V$22=0),0,V66*bibliotheek!$I$307)</f>
        <v>0</v>
      </c>
      <c r="W368" s="183">
        <f>IF(OR(W$19=woning,W$19=woongebouw,W$22=0),0,W66*bibliotheek!$I$307)</f>
        <v>0</v>
      </c>
      <c r="X368" s="108"/>
      <c r="Y368" s="190">
        <f t="shared" si="536"/>
        <v>0</v>
      </c>
      <c r="Z368" s="119"/>
      <c r="AA368" s="183">
        <f>IF(OR(AA$19=woning,AA$19=woongebouw,AA$22=0),0,AA66*bibliotheek!$I$307)</f>
        <v>0</v>
      </c>
      <c r="AB368" s="183">
        <f>IF(OR(AB$19=woning,AB$19=woongebouw,AB$22=0),0,AB66*bibliotheek!$I$307)</f>
        <v>0</v>
      </c>
      <c r="AC368" s="183">
        <f>IF(OR(AC$19=woning,AC$19=woongebouw,AC$22=0),0,AC66*bibliotheek!$I$307)</f>
        <v>0</v>
      </c>
      <c r="AD368" s="183">
        <f>IF(OR(AD$19=woning,AD$19=woongebouw,AD$22=0),0,AD66*bibliotheek!$I$307)</f>
        <v>0</v>
      </c>
      <c r="AE368" s="183">
        <f>IF(OR(AE$19=woning,AE$19=woongebouw,AE$22=0),0,AE66*bibliotheek!$I$307)</f>
        <v>0</v>
      </c>
      <c r="AF368" s="183">
        <f>IF(OR(AF$19=woning,AF$19=woongebouw,AF$22=0),0,AF66*bibliotheek!$I$307)</f>
        <v>0</v>
      </c>
      <c r="AG368" s="183">
        <f>IF(OR(AG$19=woning,AG$19=woongebouw,AG$22=0),0,AG66*bibliotheek!$I$307)</f>
        <v>0</v>
      </c>
      <c r="AH368" s="183">
        <f>IF(OR(AH$19=woning,AH$19=woongebouw,AH$22=0),0,AH66*bibliotheek!$I$307)</f>
        <v>0</v>
      </c>
      <c r="AI368" s="183">
        <f>IF(OR(AI$19=woning,AI$19=woongebouw,AI$22=0),0,AI66*bibliotheek!$I$307)</f>
        <v>0</v>
      </c>
      <c r="AJ368" s="1051"/>
      <c r="AK368" s="190">
        <f t="shared" si="538"/>
        <v>0</v>
      </c>
      <c r="AL368" s="119"/>
      <c r="AM368" s="183">
        <f>IF(OR(AM$19=woning,AM$19=woongebouw,AM$22=0),0,AM66*bibliotheek!$I$307)</f>
        <v>0</v>
      </c>
      <c r="AN368" s="183">
        <f>IF(OR(AN$19=woning,AN$19=woongebouw,AN$22=0),0,AN66*bibliotheek!$I$307)</f>
        <v>0</v>
      </c>
      <c r="AO368" s="183">
        <f>IF(OR(AO$19=woning,AO$19=woongebouw,AO$22=0),0,AO66*bibliotheek!$I$307)</f>
        <v>0</v>
      </c>
      <c r="AP368" s="183">
        <f>IF(OR(AP$19=woning,AP$19=woongebouw,AP$22=0),0,AP66*bibliotheek!$I$307)</f>
        <v>0</v>
      </c>
      <c r="AQ368" s="183">
        <f>IF(OR(AQ$19=woning,AQ$19=woongebouw,AQ$22=0),0,AQ66*bibliotheek!$I$307)</f>
        <v>0</v>
      </c>
      <c r="AR368" s="183">
        <f>IF(OR(AR$19=woning,AR$19=woongebouw,AR$22=0),0,AR66*bibliotheek!$I$307)</f>
        <v>0</v>
      </c>
      <c r="AS368" s="183">
        <f>IF(OR(AS$19=woning,AS$19=woongebouw,AS$22=0),0,AS66*bibliotheek!$I$307)</f>
        <v>0</v>
      </c>
      <c r="AT368" s="183">
        <f>IF(OR(AT$19=woning,AT$19=woongebouw,AT$22=0),0,AT66*bibliotheek!$I$307)</f>
        <v>0</v>
      </c>
      <c r="AU368" s="183">
        <f>IF(OR(AU$19=woning,AU$19=woongebouw,AU$22=0),0,AU66*bibliotheek!$I$307)</f>
        <v>0</v>
      </c>
      <c r="AV368" s="108"/>
      <c r="AW368" s="190">
        <f t="shared" si="540"/>
        <v>0</v>
      </c>
      <c r="AX368" s="119"/>
      <c r="AY368" s="183">
        <f>IF(OR(AY$19=woning,AY$19=woongebouw,AY$22=0),0,AY66*bibliotheek!$I$307)</f>
        <v>0</v>
      </c>
      <c r="AZ368" s="183">
        <f>IF(OR(AZ$19=woning,AZ$19=woongebouw,AZ$22=0),0,AZ66*bibliotheek!$I$307)</f>
        <v>0</v>
      </c>
      <c r="BA368" s="183">
        <f>IF(OR(BA$19=woning,BA$19=woongebouw,BA$22=0),0,BA66*bibliotheek!$I$307)</f>
        <v>0</v>
      </c>
      <c r="BB368" s="183">
        <f>IF(OR(BB$19=woning,BB$19=woongebouw,BB$22=0),0,BB66*bibliotheek!$I$307)</f>
        <v>0</v>
      </c>
      <c r="BC368" s="183">
        <f>IF(OR(BC$19=woning,BC$19=woongebouw,BC$22=0),0,BC66*bibliotheek!$I$307)</f>
        <v>0</v>
      </c>
      <c r="BD368" s="183">
        <f>IF(OR(BD$19=woning,BD$19=woongebouw,BD$22=0),0,BD66*bibliotheek!$I$307)</f>
        <v>0</v>
      </c>
      <c r="BE368" s="183">
        <f>IF(OR(BE$19=woning,BE$19=woongebouw,BE$22=0),0,BE66*bibliotheek!$I$307)</f>
        <v>0</v>
      </c>
      <c r="BF368" s="183">
        <f>IF(OR(BF$19=woning,BF$19=woongebouw,BF$22=0),0,BF66*bibliotheek!$I$307)</f>
        <v>0</v>
      </c>
      <c r="BG368" s="183">
        <f>IF(OR(BG$19=woning,BG$19=woongebouw,BG$22=0),0,BG66*bibliotheek!$I$307)</f>
        <v>0</v>
      </c>
      <c r="BH368" s="1"/>
    </row>
    <row r="369" spans="1:60">
      <c r="A369" s="1040"/>
      <c r="B369" s="1109" t="s">
        <v>1221</v>
      </c>
      <c r="C369" s="1107" t="s">
        <v>104</v>
      </c>
      <c r="D369" s="645"/>
      <c r="E369" s="304" t="str">
        <f>$S$10</f>
        <v>ventilatoren</v>
      </c>
      <c r="F369" s="180"/>
      <c r="G369" s="180"/>
      <c r="H369" s="201" t="s">
        <v>1207</v>
      </c>
      <c r="I369" s="114"/>
      <c r="J369" s="190"/>
      <c r="K369" s="1092"/>
      <c r="L369" s="1092"/>
      <c r="M369" s="190">
        <f t="shared" si="534"/>
        <v>0</v>
      </c>
      <c r="N369" s="119"/>
      <c r="O369" s="183">
        <f>IF(OR(O$22=0,$S$78=0),0,$S$178/$S$78*O$67)</f>
        <v>0</v>
      </c>
      <c r="P369" s="183">
        <f t="shared" ref="P369:W369" si="546">IF(OR(P$22=0,$S$78=0),0,$S$178/$S$78*P$67)</f>
        <v>0</v>
      </c>
      <c r="Q369" s="183">
        <f t="shared" si="546"/>
        <v>0</v>
      </c>
      <c r="R369" s="183">
        <f t="shared" si="546"/>
        <v>0</v>
      </c>
      <c r="S369" s="183">
        <f t="shared" si="546"/>
        <v>0</v>
      </c>
      <c r="T369" s="183">
        <f t="shared" si="546"/>
        <v>0</v>
      </c>
      <c r="U369" s="183">
        <f t="shared" si="546"/>
        <v>0</v>
      </c>
      <c r="V369" s="183">
        <f t="shared" si="546"/>
        <v>0</v>
      </c>
      <c r="W369" s="183">
        <f t="shared" si="546"/>
        <v>0</v>
      </c>
      <c r="X369" s="108"/>
      <c r="Y369" s="190">
        <f t="shared" si="536"/>
        <v>0</v>
      </c>
      <c r="Z369" s="119"/>
      <c r="AA369" s="183">
        <f>IF(OR(AA$22=0,$AE$78=0),0,$AE$178/$AE$78*AA$67)</f>
        <v>0</v>
      </c>
      <c r="AB369" s="183">
        <f t="shared" ref="AB369:AI369" si="547">IF(OR(AB$22=0,$AE$78=0),0,$AE$178/$AE$78*AB$67)</f>
        <v>0</v>
      </c>
      <c r="AC369" s="183">
        <f t="shared" si="547"/>
        <v>0</v>
      </c>
      <c r="AD369" s="183">
        <f t="shared" si="547"/>
        <v>0</v>
      </c>
      <c r="AE369" s="183">
        <f t="shared" si="547"/>
        <v>0</v>
      </c>
      <c r="AF369" s="183">
        <f t="shared" si="547"/>
        <v>0</v>
      </c>
      <c r="AG369" s="183">
        <f t="shared" si="547"/>
        <v>0</v>
      </c>
      <c r="AH369" s="183">
        <f t="shared" si="547"/>
        <v>0</v>
      </c>
      <c r="AI369" s="183">
        <f t="shared" si="547"/>
        <v>0</v>
      </c>
      <c r="AJ369" s="1051"/>
      <c r="AK369" s="190">
        <f t="shared" si="538"/>
        <v>0</v>
      </c>
      <c r="AL369" s="119"/>
      <c r="AM369" s="183">
        <f>IF(OR(AM$22=0,$AQ$78=0),0,$AQ$178/$AQ$78*AM$67)</f>
        <v>0</v>
      </c>
      <c r="AN369" s="183">
        <f t="shared" ref="AN369:AU369" si="548">IF(OR(AN$22=0,$AQ$78=0),0,$AQ$178/$AQ$78*AN$67)</f>
        <v>0</v>
      </c>
      <c r="AO369" s="183">
        <f t="shared" si="548"/>
        <v>0</v>
      </c>
      <c r="AP369" s="183">
        <f t="shared" si="548"/>
        <v>0</v>
      </c>
      <c r="AQ369" s="183">
        <f t="shared" si="548"/>
        <v>0</v>
      </c>
      <c r="AR369" s="183">
        <f t="shared" si="548"/>
        <v>0</v>
      </c>
      <c r="AS369" s="183">
        <f t="shared" si="548"/>
        <v>0</v>
      </c>
      <c r="AT369" s="183">
        <f t="shared" si="548"/>
        <v>0</v>
      </c>
      <c r="AU369" s="183">
        <f t="shared" si="548"/>
        <v>0</v>
      </c>
      <c r="AV369" s="108"/>
      <c r="AW369" s="190">
        <f t="shared" si="540"/>
        <v>0</v>
      </c>
      <c r="AX369" s="119"/>
      <c r="AY369" s="183">
        <f>IF(OR(AY$22=0,$BC$78=0),0,$BC$178/$BC$78*AY$67)</f>
        <v>0</v>
      </c>
      <c r="AZ369" s="183">
        <f t="shared" ref="AZ369:BF369" si="549">IF(OR(AZ$22=0,$BC$78=0),0,$BC$178/$BC$78*AZ$67)</f>
        <v>0</v>
      </c>
      <c r="BA369" s="183">
        <f t="shared" si="549"/>
        <v>0</v>
      </c>
      <c r="BB369" s="183">
        <f t="shared" si="549"/>
        <v>0</v>
      </c>
      <c r="BC369" s="183">
        <f t="shared" si="549"/>
        <v>0</v>
      </c>
      <c r="BD369" s="183">
        <f t="shared" si="549"/>
        <v>0</v>
      </c>
      <c r="BE369" s="183">
        <f t="shared" si="549"/>
        <v>0</v>
      </c>
      <c r="BF369" s="183">
        <f t="shared" si="549"/>
        <v>0</v>
      </c>
      <c r="BG369" s="183">
        <f>IF(OR(BG$22=0,$BC$78=0),0,$BC$178/$BC$78*BG$67)</f>
        <v>0</v>
      </c>
      <c r="BH369" s="1"/>
    </row>
    <row r="370" spans="1:60">
      <c r="A370" s="1040"/>
      <c r="B370" s="1109" t="s">
        <v>1221</v>
      </c>
      <c r="C370" s="1107" t="s">
        <v>104</v>
      </c>
      <c r="D370" s="645"/>
      <c r="E370" s="203" t="s">
        <v>232</v>
      </c>
      <c r="F370" s="203"/>
      <c r="G370" s="180"/>
      <c r="H370" s="201" t="s">
        <v>1207</v>
      </c>
      <c r="I370" s="114"/>
      <c r="J370" s="190"/>
      <c r="K370" s="1092"/>
      <c r="L370" s="1092"/>
      <c r="M370" s="190">
        <f t="shared" si="534"/>
        <v>0</v>
      </c>
      <c r="N370" s="119"/>
      <c r="O370" s="183">
        <f t="shared" ref="O370:W370" si="550">SUM(O365:O369)</f>
        <v>0</v>
      </c>
      <c r="P370" s="183">
        <f t="shared" si="550"/>
        <v>0</v>
      </c>
      <c r="Q370" s="183">
        <f t="shared" si="550"/>
        <v>0</v>
      </c>
      <c r="R370" s="183">
        <f t="shared" si="550"/>
        <v>0</v>
      </c>
      <c r="S370" s="183">
        <f t="shared" si="550"/>
        <v>0</v>
      </c>
      <c r="T370" s="183">
        <f t="shared" si="550"/>
        <v>0</v>
      </c>
      <c r="U370" s="183">
        <f t="shared" si="550"/>
        <v>0</v>
      </c>
      <c r="V370" s="183">
        <f t="shared" si="550"/>
        <v>0</v>
      </c>
      <c r="W370" s="183">
        <f t="shared" si="550"/>
        <v>0</v>
      </c>
      <c r="X370" s="108"/>
      <c r="Y370" s="190">
        <f t="shared" si="536"/>
        <v>0</v>
      </c>
      <c r="Z370" s="119"/>
      <c r="AA370" s="183">
        <f t="shared" ref="AA370:AI370" si="551">SUM(AA365:AA369)</f>
        <v>0</v>
      </c>
      <c r="AB370" s="183">
        <f t="shared" si="551"/>
        <v>0</v>
      </c>
      <c r="AC370" s="183">
        <f t="shared" si="551"/>
        <v>0</v>
      </c>
      <c r="AD370" s="183">
        <f t="shared" si="551"/>
        <v>0</v>
      </c>
      <c r="AE370" s="183">
        <f t="shared" si="551"/>
        <v>0</v>
      </c>
      <c r="AF370" s="183">
        <f t="shared" si="551"/>
        <v>0</v>
      </c>
      <c r="AG370" s="183">
        <f t="shared" si="551"/>
        <v>0</v>
      </c>
      <c r="AH370" s="183">
        <f t="shared" si="551"/>
        <v>0</v>
      </c>
      <c r="AI370" s="183">
        <f t="shared" si="551"/>
        <v>0</v>
      </c>
      <c r="AJ370" s="1051"/>
      <c r="AK370" s="190">
        <f t="shared" si="538"/>
        <v>0</v>
      </c>
      <c r="AL370" s="119"/>
      <c r="AM370" s="183">
        <f t="shared" ref="AM370:AU370" si="552">SUM(AM365:AM369)</f>
        <v>0</v>
      </c>
      <c r="AN370" s="183">
        <f t="shared" si="552"/>
        <v>0</v>
      </c>
      <c r="AO370" s="183">
        <f t="shared" si="552"/>
        <v>0</v>
      </c>
      <c r="AP370" s="183">
        <f t="shared" si="552"/>
        <v>0</v>
      </c>
      <c r="AQ370" s="183">
        <f t="shared" si="552"/>
        <v>0</v>
      </c>
      <c r="AR370" s="183">
        <f t="shared" si="552"/>
        <v>0</v>
      </c>
      <c r="AS370" s="183">
        <f t="shared" si="552"/>
        <v>0</v>
      </c>
      <c r="AT370" s="183">
        <f t="shared" si="552"/>
        <v>0</v>
      </c>
      <c r="AU370" s="183">
        <f t="shared" si="552"/>
        <v>0</v>
      </c>
      <c r="AV370" s="108"/>
      <c r="AW370" s="190">
        <f t="shared" si="540"/>
        <v>0</v>
      </c>
      <c r="AX370" s="119"/>
      <c r="AY370" s="183">
        <f t="shared" ref="AY370:BG370" si="553">SUM(AY365:AY369)</f>
        <v>0</v>
      </c>
      <c r="AZ370" s="183">
        <f t="shared" si="553"/>
        <v>0</v>
      </c>
      <c r="BA370" s="183">
        <f t="shared" si="553"/>
        <v>0</v>
      </c>
      <c r="BB370" s="183">
        <f t="shared" si="553"/>
        <v>0</v>
      </c>
      <c r="BC370" s="183">
        <f t="shared" si="553"/>
        <v>0</v>
      </c>
      <c r="BD370" s="183">
        <f t="shared" si="553"/>
        <v>0</v>
      </c>
      <c r="BE370" s="183">
        <f t="shared" si="553"/>
        <v>0</v>
      </c>
      <c r="BF370" s="183">
        <f t="shared" si="553"/>
        <v>0</v>
      </c>
      <c r="BG370" s="183">
        <f t="shared" si="553"/>
        <v>0</v>
      </c>
      <c r="BH370" s="1"/>
    </row>
    <row r="371" spans="1:60">
      <c r="A371" s="1040"/>
      <c r="B371" s="1109" t="s">
        <v>1221</v>
      </c>
      <c r="C371" s="1106" t="s">
        <v>96</v>
      </c>
      <c r="D371" s="645"/>
      <c r="E371" s="942" t="s">
        <v>1331</v>
      </c>
      <c r="F371" s="942"/>
      <c r="G371" s="942"/>
      <c r="H371" s="942"/>
      <c r="I371" s="129"/>
      <c r="J371" s="943"/>
      <c r="K371" s="126"/>
      <c r="L371" s="126"/>
      <c r="M371" s="944"/>
      <c r="N371" s="195"/>
      <c r="O371" s="258"/>
      <c r="P371" s="258"/>
      <c r="Q371" s="258"/>
      <c r="R371" s="258"/>
      <c r="S371" s="258"/>
      <c r="T371" s="258"/>
      <c r="U371" s="258"/>
      <c r="V371" s="258"/>
      <c r="W371" s="258"/>
      <c r="X371" s="82"/>
      <c r="Y371" s="944"/>
      <c r="Z371" s="195"/>
      <c r="AA371" s="258"/>
      <c r="AB371" s="258"/>
      <c r="AC371" s="258"/>
      <c r="AD371" s="258"/>
      <c r="AE371" s="258"/>
      <c r="AF371" s="258"/>
      <c r="AG371" s="258"/>
      <c r="AH371" s="258"/>
      <c r="AI371" s="258"/>
      <c r="AJ371" s="79"/>
      <c r="AK371" s="944"/>
      <c r="AL371" s="195"/>
      <c r="AM371" s="258"/>
      <c r="AN371" s="258"/>
      <c r="AO371" s="258"/>
      <c r="AP371" s="258"/>
      <c r="AQ371" s="258"/>
      <c r="AR371" s="258"/>
      <c r="AS371" s="258"/>
      <c r="AT371" s="258"/>
      <c r="AU371" s="258"/>
      <c r="AV371" s="82"/>
      <c r="AW371" s="944"/>
      <c r="AX371" s="195"/>
      <c r="AY371" s="258"/>
      <c r="AZ371" s="258"/>
      <c r="BA371" s="258"/>
      <c r="BB371" s="258"/>
      <c r="BC371" s="258"/>
      <c r="BD371" s="258"/>
      <c r="BE371" s="258"/>
      <c r="BF371" s="258"/>
      <c r="BG371" s="258"/>
      <c r="BH371" s="1"/>
    </row>
    <row r="372" spans="1:60">
      <c r="A372" s="1040"/>
      <c r="B372" s="1109" t="s">
        <v>1221</v>
      </c>
      <c r="C372" s="1107" t="s">
        <v>104</v>
      </c>
      <c r="D372" s="645"/>
      <c r="E372" s="203" t="s">
        <v>232</v>
      </c>
      <c r="F372" s="203"/>
      <c r="G372" s="180"/>
      <c r="H372" s="201" t="s">
        <v>1207</v>
      </c>
      <c r="I372" s="114"/>
      <c r="J372" s="190"/>
      <c r="K372" s="1092"/>
      <c r="L372" s="1092"/>
      <c r="M372" s="190" t="e">
        <f t="shared" si="534"/>
        <v>#DIV/0!</v>
      </c>
      <c r="N372" s="119"/>
      <c r="O372" s="183" t="e">
        <f>-$M$220*1000/O$31</f>
        <v>#DIV/0!</v>
      </c>
      <c r="P372" s="183" t="e">
        <f t="shared" ref="P372:W372" si="554">-$M$220*1000/P$31</f>
        <v>#DIV/0!</v>
      </c>
      <c r="Q372" s="183" t="e">
        <f t="shared" si="554"/>
        <v>#DIV/0!</v>
      </c>
      <c r="R372" s="183" t="e">
        <f t="shared" si="554"/>
        <v>#DIV/0!</v>
      </c>
      <c r="S372" s="183" t="e">
        <f t="shared" si="554"/>
        <v>#DIV/0!</v>
      </c>
      <c r="T372" s="183" t="e">
        <f t="shared" si="554"/>
        <v>#DIV/0!</v>
      </c>
      <c r="U372" s="183" t="e">
        <f t="shared" si="554"/>
        <v>#DIV/0!</v>
      </c>
      <c r="V372" s="183" t="e">
        <f t="shared" si="554"/>
        <v>#DIV/0!</v>
      </c>
      <c r="W372" s="183" t="e">
        <f t="shared" si="554"/>
        <v>#DIV/0!</v>
      </c>
      <c r="X372" s="108"/>
      <c r="Y372" s="190" t="e">
        <f t="shared" si="536"/>
        <v>#DIV/0!</v>
      </c>
      <c r="Z372" s="119"/>
      <c r="AA372" s="183" t="e">
        <f t="shared" ref="AA372:AI372" si="555">-$Y$220*1000/AA$31</f>
        <v>#DIV/0!</v>
      </c>
      <c r="AB372" s="183" t="e">
        <f t="shared" si="555"/>
        <v>#DIV/0!</v>
      </c>
      <c r="AC372" s="183" t="e">
        <f t="shared" si="555"/>
        <v>#DIV/0!</v>
      </c>
      <c r="AD372" s="183" t="e">
        <f t="shared" si="555"/>
        <v>#DIV/0!</v>
      </c>
      <c r="AE372" s="183" t="e">
        <f t="shared" si="555"/>
        <v>#DIV/0!</v>
      </c>
      <c r="AF372" s="183" t="e">
        <f t="shared" si="555"/>
        <v>#DIV/0!</v>
      </c>
      <c r="AG372" s="183" t="e">
        <f t="shared" si="555"/>
        <v>#DIV/0!</v>
      </c>
      <c r="AH372" s="183" t="e">
        <f t="shared" si="555"/>
        <v>#DIV/0!</v>
      </c>
      <c r="AI372" s="183" t="e">
        <f t="shared" si="555"/>
        <v>#DIV/0!</v>
      </c>
      <c r="AJ372" s="1051"/>
      <c r="AK372" s="190" t="e">
        <f t="shared" si="538"/>
        <v>#DIV/0!</v>
      </c>
      <c r="AL372" s="119"/>
      <c r="AM372" s="183" t="e">
        <f t="shared" ref="AM372:AU372" si="556">-$AK$220*1000/AM$31</f>
        <v>#DIV/0!</v>
      </c>
      <c r="AN372" s="183" t="e">
        <f t="shared" si="556"/>
        <v>#DIV/0!</v>
      </c>
      <c r="AO372" s="183" t="e">
        <f t="shared" si="556"/>
        <v>#DIV/0!</v>
      </c>
      <c r="AP372" s="183" t="e">
        <f t="shared" si="556"/>
        <v>#DIV/0!</v>
      </c>
      <c r="AQ372" s="183" t="e">
        <f t="shared" si="556"/>
        <v>#DIV/0!</v>
      </c>
      <c r="AR372" s="183" t="e">
        <f t="shared" si="556"/>
        <v>#DIV/0!</v>
      </c>
      <c r="AS372" s="183" t="e">
        <f t="shared" si="556"/>
        <v>#DIV/0!</v>
      </c>
      <c r="AT372" s="183" t="e">
        <f t="shared" si="556"/>
        <v>#DIV/0!</v>
      </c>
      <c r="AU372" s="183" t="e">
        <f t="shared" si="556"/>
        <v>#DIV/0!</v>
      </c>
      <c r="AV372" s="108"/>
      <c r="AW372" s="190" t="e">
        <f t="shared" si="540"/>
        <v>#DIV/0!</v>
      </c>
      <c r="AX372" s="119"/>
      <c r="AY372" s="183" t="e">
        <f t="shared" ref="AY372:BG372" si="557">-$AW$220*1000/AY$31</f>
        <v>#DIV/0!</v>
      </c>
      <c r="AZ372" s="183" t="e">
        <f t="shared" si="557"/>
        <v>#DIV/0!</v>
      </c>
      <c r="BA372" s="183" t="e">
        <f t="shared" si="557"/>
        <v>#DIV/0!</v>
      </c>
      <c r="BB372" s="183" t="e">
        <f t="shared" si="557"/>
        <v>#DIV/0!</v>
      </c>
      <c r="BC372" s="183" t="e">
        <f t="shared" si="557"/>
        <v>#DIV/0!</v>
      </c>
      <c r="BD372" s="183" t="e">
        <f t="shared" si="557"/>
        <v>#DIV/0!</v>
      </c>
      <c r="BE372" s="183" t="e">
        <f t="shared" si="557"/>
        <v>#DIV/0!</v>
      </c>
      <c r="BF372" s="183" t="e">
        <f t="shared" si="557"/>
        <v>#DIV/0!</v>
      </c>
      <c r="BG372" s="183" t="e">
        <f t="shared" si="557"/>
        <v>#DIV/0!</v>
      </c>
    </row>
    <row r="373" spans="1:60">
      <c r="A373" s="1040"/>
      <c r="B373" s="1109" t="s">
        <v>1221</v>
      </c>
      <c r="C373" s="1106" t="s">
        <v>96</v>
      </c>
      <c r="D373" s="645"/>
      <c r="E373" s="942" t="s">
        <v>1200</v>
      </c>
      <c r="F373" s="942"/>
      <c r="G373" s="942"/>
      <c r="H373" s="942"/>
      <c r="I373" s="129"/>
      <c r="J373" s="943"/>
      <c r="K373" s="126"/>
      <c r="L373" s="126"/>
      <c r="M373" s="944"/>
      <c r="N373" s="195"/>
      <c r="O373" s="258"/>
      <c r="P373" s="258"/>
      <c r="Q373" s="258"/>
      <c r="R373" s="258"/>
      <c r="S373" s="258"/>
      <c r="T373" s="258"/>
      <c r="U373" s="258"/>
      <c r="V373" s="258"/>
      <c r="W373" s="258"/>
      <c r="X373" s="82"/>
      <c r="Y373" s="944"/>
      <c r="Z373" s="195"/>
      <c r="AA373" s="258"/>
      <c r="AB373" s="258"/>
      <c r="AC373" s="258"/>
      <c r="AD373" s="258"/>
      <c r="AE373" s="258"/>
      <c r="AF373" s="258"/>
      <c r="AG373" s="258"/>
      <c r="AH373" s="258"/>
      <c r="AI373" s="258"/>
      <c r="AJ373" s="79"/>
      <c r="AK373" s="944"/>
      <c r="AL373" s="195"/>
      <c r="AM373" s="258"/>
      <c r="AN373" s="258"/>
      <c r="AO373" s="258"/>
      <c r="AP373" s="258"/>
      <c r="AQ373" s="258"/>
      <c r="AR373" s="258"/>
      <c r="AS373" s="258"/>
      <c r="AT373" s="258"/>
      <c r="AU373" s="258"/>
      <c r="AV373" s="82"/>
      <c r="AW373" s="944"/>
      <c r="AX373" s="195"/>
      <c r="AY373" s="258"/>
      <c r="AZ373" s="258"/>
      <c r="BA373" s="258"/>
      <c r="BB373" s="258"/>
      <c r="BC373" s="258"/>
      <c r="BD373" s="258"/>
      <c r="BE373" s="258"/>
      <c r="BF373" s="258"/>
      <c r="BG373" s="258"/>
      <c r="BH373" s="1"/>
    </row>
    <row r="374" spans="1:60">
      <c r="A374" s="1040"/>
      <c r="B374" s="1109" t="s">
        <v>1221</v>
      </c>
      <c r="C374" s="1107" t="s">
        <v>104</v>
      </c>
      <c r="D374" s="645"/>
      <c r="E374" s="203" t="s">
        <v>232</v>
      </c>
      <c r="F374" s="203"/>
      <c r="G374" s="180"/>
      <c r="H374" s="201" t="s">
        <v>1207</v>
      </c>
      <c r="I374" s="114"/>
      <c r="J374" s="190"/>
      <c r="K374" s="1092"/>
      <c r="L374" s="1092"/>
      <c r="M374" s="190" t="e">
        <f t="shared" si="534"/>
        <v>#DIV/0!</v>
      </c>
      <c r="N374" s="119"/>
      <c r="O374" s="183" t="e">
        <f>O370+O372</f>
        <v>#DIV/0!</v>
      </c>
      <c r="P374" s="183" t="e">
        <f t="shared" ref="P374:W374" si="558">P370+P372</f>
        <v>#DIV/0!</v>
      </c>
      <c r="Q374" s="183" t="e">
        <f t="shared" si="558"/>
        <v>#DIV/0!</v>
      </c>
      <c r="R374" s="183" t="e">
        <f t="shared" si="558"/>
        <v>#DIV/0!</v>
      </c>
      <c r="S374" s="183" t="e">
        <f t="shared" si="558"/>
        <v>#DIV/0!</v>
      </c>
      <c r="T374" s="183" t="e">
        <f t="shared" si="558"/>
        <v>#DIV/0!</v>
      </c>
      <c r="U374" s="183" t="e">
        <f t="shared" si="558"/>
        <v>#DIV/0!</v>
      </c>
      <c r="V374" s="183" t="e">
        <f t="shared" si="558"/>
        <v>#DIV/0!</v>
      </c>
      <c r="W374" s="183" t="e">
        <f t="shared" si="558"/>
        <v>#DIV/0!</v>
      </c>
      <c r="X374" s="108"/>
      <c r="Y374" s="190" t="e">
        <f t="shared" si="536"/>
        <v>#DIV/0!</v>
      </c>
      <c r="Z374" s="119"/>
      <c r="AA374" s="183" t="e">
        <f t="shared" ref="AA374:AI374" si="559">AA370+AA372</f>
        <v>#DIV/0!</v>
      </c>
      <c r="AB374" s="183" t="e">
        <f t="shared" si="559"/>
        <v>#DIV/0!</v>
      </c>
      <c r="AC374" s="183" t="e">
        <f t="shared" si="559"/>
        <v>#DIV/0!</v>
      </c>
      <c r="AD374" s="183" t="e">
        <f t="shared" si="559"/>
        <v>#DIV/0!</v>
      </c>
      <c r="AE374" s="183" t="e">
        <f t="shared" si="559"/>
        <v>#DIV/0!</v>
      </c>
      <c r="AF374" s="183" t="e">
        <f t="shared" si="559"/>
        <v>#DIV/0!</v>
      </c>
      <c r="AG374" s="183" t="e">
        <f t="shared" si="559"/>
        <v>#DIV/0!</v>
      </c>
      <c r="AH374" s="183" t="e">
        <f t="shared" si="559"/>
        <v>#DIV/0!</v>
      </c>
      <c r="AI374" s="183" t="e">
        <f t="shared" si="559"/>
        <v>#DIV/0!</v>
      </c>
      <c r="AJ374" s="1051"/>
      <c r="AK374" s="190" t="e">
        <f t="shared" si="538"/>
        <v>#DIV/0!</v>
      </c>
      <c r="AL374" s="119"/>
      <c r="AM374" s="183" t="e">
        <f t="shared" ref="AM374:AU374" si="560">AM370+AM372</f>
        <v>#DIV/0!</v>
      </c>
      <c r="AN374" s="183" t="e">
        <f t="shared" si="560"/>
        <v>#DIV/0!</v>
      </c>
      <c r="AO374" s="183" t="e">
        <f t="shared" si="560"/>
        <v>#DIV/0!</v>
      </c>
      <c r="AP374" s="183" t="e">
        <f t="shared" si="560"/>
        <v>#DIV/0!</v>
      </c>
      <c r="AQ374" s="183" t="e">
        <f t="shared" si="560"/>
        <v>#DIV/0!</v>
      </c>
      <c r="AR374" s="183" t="e">
        <f t="shared" si="560"/>
        <v>#DIV/0!</v>
      </c>
      <c r="AS374" s="183" t="e">
        <f t="shared" si="560"/>
        <v>#DIV/0!</v>
      </c>
      <c r="AT374" s="183" t="e">
        <f t="shared" si="560"/>
        <v>#DIV/0!</v>
      </c>
      <c r="AU374" s="183" t="e">
        <f t="shared" si="560"/>
        <v>#DIV/0!</v>
      </c>
      <c r="AV374" s="108"/>
      <c r="AW374" s="190" t="e">
        <f t="shared" si="540"/>
        <v>#DIV/0!</v>
      </c>
      <c r="AX374" s="119"/>
      <c r="AY374" s="183" t="e">
        <f t="shared" ref="AY374:BG374" si="561">AY370+AY372</f>
        <v>#DIV/0!</v>
      </c>
      <c r="AZ374" s="183" t="e">
        <f t="shared" si="561"/>
        <v>#DIV/0!</v>
      </c>
      <c r="BA374" s="183" t="e">
        <f t="shared" si="561"/>
        <v>#DIV/0!</v>
      </c>
      <c r="BB374" s="183" t="e">
        <f t="shared" si="561"/>
        <v>#DIV/0!</v>
      </c>
      <c r="BC374" s="183" t="e">
        <f t="shared" si="561"/>
        <v>#DIV/0!</v>
      </c>
      <c r="BD374" s="183" t="e">
        <f t="shared" si="561"/>
        <v>#DIV/0!</v>
      </c>
      <c r="BE374" s="183" t="e">
        <f t="shared" si="561"/>
        <v>#DIV/0!</v>
      </c>
      <c r="BF374" s="183" t="e">
        <f t="shared" si="561"/>
        <v>#DIV/0!</v>
      </c>
      <c r="BG374" s="183" t="e">
        <f t="shared" si="561"/>
        <v>#DIV/0!</v>
      </c>
      <c r="BH374" s="1"/>
    </row>
    <row r="375" spans="1:60">
      <c r="A375" s="1040"/>
      <c r="B375" s="1109" t="s">
        <v>1224</v>
      </c>
      <c r="C375" s="1106" t="s">
        <v>96</v>
      </c>
      <c r="D375" s="638"/>
      <c r="E375" s="79"/>
      <c r="F375" s="79"/>
      <c r="G375" s="79"/>
      <c r="H375" s="85"/>
      <c r="I375" s="79"/>
      <c r="J375" s="82"/>
      <c r="K375" s="79"/>
      <c r="L375" s="79"/>
      <c r="M375" s="108"/>
      <c r="N375" s="79"/>
      <c r="O375" s="108"/>
      <c r="P375" s="356"/>
      <c r="Q375" s="108"/>
      <c r="R375" s="108"/>
      <c r="S375" s="108"/>
      <c r="T375" s="108"/>
      <c r="U375" s="108"/>
      <c r="V375" s="108"/>
      <c r="W375" s="108"/>
      <c r="X375" s="82"/>
      <c r="Y375" s="82"/>
      <c r="Z375" s="79"/>
      <c r="AA375" s="82"/>
      <c r="AB375" s="82"/>
      <c r="AC375" s="82"/>
      <c r="AD375" s="82"/>
      <c r="AE375" s="82"/>
      <c r="AF375" s="82"/>
      <c r="AG375" s="82"/>
      <c r="AH375" s="82"/>
      <c r="AI375" s="82"/>
      <c r="AJ375" s="82"/>
      <c r="AK375" s="82"/>
      <c r="AL375" s="79"/>
      <c r="AM375" s="82"/>
      <c r="AN375" s="82"/>
      <c r="AO375" s="82"/>
      <c r="AP375" s="82"/>
      <c r="AQ375" s="82"/>
      <c r="AR375" s="82"/>
      <c r="AS375" s="82"/>
      <c r="AT375" s="82"/>
      <c r="AU375" s="82"/>
      <c r="AV375" s="82"/>
      <c r="AW375" s="82"/>
      <c r="AX375" s="79"/>
      <c r="AY375" s="82"/>
      <c r="AZ375" s="82"/>
      <c r="BA375" s="82"/>
      <c r="BB375" s="82"/>
      <c r="BC375" s="82"/>
      <c r="BD375" s="82"/>
      <c r="BE375" s="82"/>
      <c r="BF375" s="82"/>
      <c r="BG375" s="82"/>
      <c r="BH375" s="1"/>
    </row>
    <row r="376" spans="1:60" ht="21">
      <c r="A376" s="1040"/>
      <c r="B376" s="1109" t="s">
        <v>294</v>
      </c>
      <c r="C376" s="1107" t="s">
        <v>96</v>
      </c>
      <c r="D376" s="643" t="s">
        <v>84</v>
      </c>
      <c r="E376" s="1219" t="s">
        <v>82</v>
      </c>
      <c r="F376" s="480"/>
      <c r="G376" s="480"/>
      <c r="H376" s="481"/>
      <c r="I376" s="481"/>
      <c r="J376" s="482"/>
      <c r="K376" s="691"/>
      <c r="L376" s="691"/>
      <c r="M376" s="482"/>
      <c r="N376" s="482"/>
      <c r="O376" s="1167"/>
      <c r="P376" s="482"/>
      <c r="Q376" s="482"/>
      <c r="R376" s="482"/>
      <c r="S376" s="482"/>
      <c r="T376" s="482"/>
      <c r="U376" s="482"/>
      <c r="V376" s="482"/>
      <c r="W376" s="482"/>
      <c r="X376" s="482"/>
      <c r="Y376" s="482"/>
      <c r="Z376" s="482"/>
      <c r="AA376" s="482"/>
      <c r="AB376" s="482"/>
      <c r="AC376" s="482"/>
      <c r="AD376" s="482"/>
      <c r="AE376" s="482"/>
      <c r="AF376" s="482"/>
      <c r="AG376" s="482"/>
      <c r="AH376" s="482"/>
      <c r="AI376" s="482"/>
      <c r="AJ376" s="482"/>
      <c r="AK376" s="482"/>
      <c r="AL376" s="482"/>
      <c r="AM376" s="482"/>
      <c r="AN376" s="482"/>
      <c r="AO376" s="482"/>
      <c r="AP376" s="482"/>
      <c r="AQ376" s="482"/>
      <c r="AR376" s="482"/>
      <c r="AS376" s="482"/>
      <c r="AT376" s="482"/>
      <c r="AU376" s="482"/>
      <c r="AV376" s="482"/>
      <c r="AW376" s="482"/>
      <c r="AX376" s="482"/>
      <c r="AY376" s="483"/>
      <c r="AZ376" s="483"/>
      <c r="BA376" s="483"/>
      <c r="BB376" s="483"/>
      <c r="BC376" s="483"/>
      <c r="BD376" s="483"/>
      <c r="BE376" s="483"/>
      <c r="BF376" s="483"/>
      <c r="BG376" s="483"/>
      <c r="BH376" s="225"/>
    </row>
  </sheetData>
  <sheetProtection algorithmName="SHA-512" hashValue="qg2HCTri4ApL+YDe5H0PIWMKwjz3hMQFJHr9YmIzZL0G44y8KjDhP32u7Eu4xvsyloW0thuh7nVsapF9VKcGRw==" saltValue="jZCB7RYNia5wJdEOY/D6QA==" spinCount="100000" sheet="1" objects="1" scenarios="1" formatColumns="0" autoFilter="0"/>
  <autoFilter ref="B8:C376" xr:uid="{41D3E58C-B86B-4AE1-8380-FDD6F14E9537}">
    <filterColumn colId="1">
      <filters>
        <filter val="00. kop"/>
        <filter val="01. invoer"/>
        <filter val="04. resultaat"/>
      </filters>
    </filterColumn>
  </autoFilter>
  <dataConsolidate/>
  <mergeCells count="5">
    <mergeCell ref="E3:F3"/>
    <mergeCell ref="F4:H4"/>
    <mergeCell ref="B5:B7"/>
    <mergeCell ref="C5:C7"/>
    <mergeCell ref="E40:G40"/>
  </mergeCells>
  <conditionalFormatting sqref="C10:C24 B15:B24 B25:C42 B44:C360 B363:C376">
    <cfRule type="expression" dxfId="497" priority="167">
      <formula>B10=""</formula>
    </cfRule>
  </conditionalFormatting>
  <conditionalFormatting sqref="E56">
    <cfRule type="expression" dxfId="496" priority="121">
      <formula>$G$6=FALSE</formula>
    </cfRule>
  </conditionalFormatting>
  <conditionalFormatting sqref="F4:F6 H3">
    <cfRule type="expression" dxfId="495" priority="213">
      <formula>F3=""</formula>
    </cfRule>
  </conditionalFormatting>
  <conditionalFormatting sqref="F5">
    <cfRule type="expression" dxfId="494" priority="211">
      <formula>OR($F$5="",ISERROR(MATCH(F5,opwekking_elektriciteit,0))=TRUE)</formula>
    </cfRule>
  </conditionalFormatting>
  <conditionalFormatting sqref="F6">
    <cfRule type="expression" dxfId="493" priority="103">
      <formula>OR($F$5="",ISERROR(MATCH(F6,rekenmethode_EP_MWA,0))=TRUE)</formula>
    </cfRule>
  </conditionalFormatting>
  <conditionalFormatting sqref="F2:H2">
    <cfRule type="expression" dxfId="492" priority="219">
      <formula>$F$2&lt;&gt;""</formula>
    </cfRule>
  </conditionalFormatting>
  <conditionalFormatting sqref="F44:H44">
    <cfRule type="expression" dxfId="491" priority="85">
      <formula>$F$6=EP</formula>
    </cfRule>
  </conditionalFormatting>
  <conditionalFormatting sqref="G61">
    <cfRule type="expression" dxfId="490" priority="116">
      <formula>OR(G61="",ISERROR(MATCH(G61,beschikbare_fitformules_NTA8800,0))=TRUE)</formula>
    </cfRule>
  </conditionalFormatting>
  <conditionalFormatting sqref="G63">
    <cfRule type="expression" dxfId="489" priority="113">
      <formula>OR(G63="",ISERROR(MATCH(G63,beschikbare_fitformules_NTA8800,0))=TRUE)</formula>
    </cfRule>
  </conditionalFormatting>
  <conditionalFormatting sqref="G328">
    <cfRule type="expression" dxfId="488" priority="110">
      <formula>OR(G328="",ISERROR(MATCH(G328,beschikbare_fitformules_NTA8800,0))=TRUE)</formula>
    </cfRule>
  </conditionalFormatting>
  <conditionalFormatting sqref="H320:J320">
    <cfRule type="expression" dxfId="487" priority="109">
      <formula>OR($F$5&lt;&gt;"NTA8800:2026",$F$6=MWA)</formula>
    </cfRule>
  </conditionalFormatting>
  <conditionalFormatting sqref="H363:J363">
    <cfRule type="expression" dxfId="486" priority="1">
      <formula>OR($F$5&lt;&gt;"NTA8800:2026",$F$6=MWA)</formula>
    </cfRule>
  </conditionalFormatting>
  <conditionalFormatting sqref="J30:J31">
    <cfRule type="cellIs" dxfId="485" priority="198" operator="greaterThan">
      <formula>0</formula>
    </cfRule>
  </conditionalFormatting>
  <conditionalFormatting sqref="J38:J40">
    <cfRule type="expression" dxfId="484" priority="166">
      <formula>J38="OK"</formula>
    </cfRule>
  </conditionalFormatting>
  <conditionalFormatting sqref="J46:J47">
    <cfRule type="expression" dxfId="483" priority="165">
      <formula>J46="OK"</formula>
    </cfRule>
  </conditionalFormatting>
  <conditionalFormatting sqref="J50">
    <cfRule type="expression" dxfId="482" priority="20">
      <formula>J50="OK"</formula>
    </cfRule>
  </conditionalFormatting>
  <conditionalFormatting sqref="J52">
    <cfRule type="cellIs" dxfId="481" priority="163" operator="equal">
      <formula>"nee"</formula>
    </cfRule>
  </conditionalFormatting>
  <conditionalFormatting sqref="J83">
    <cfRule type="cellIs" dxfId="480" priority="199" operator="equal">
      <formula>"nee"</formula>
    </cfRule>
  </conditionalFormatting>
  <conditionalFormatting sqref="J144">
    <cfRule type="cellIs" dxfId="479" priority="154" operator="equal">
      <formula>0</formula>
    </cfRule>
  </conditionalFormatting>
  <conditionalFormatting sqref="M30:M31">
    <cfRule type="cellIs" dxfId="478" priority="197" operator="greaterThan">
      <formula>0</formula>
    </cfRule>
  </conditionalFormatting>
  <conditionalFormatting sqref="M50">
    <cfRule type="expression" dxfId="477" priority="19">
      <formula>AND(M$22&gt;0,M50&lt;&gt;"ja",M50&lt;&gt;"nee")</formula>
    </cfRule>
    <cfRule type="expression" dxfId="476" priority="18">
      <formula>M$22=0</formula>
    </cfRule>
  </conditionalFormatting>
  <conditionalFormatting sqref="M52">
    <cfRule type="cellIs" dxfId="475" priority="84" operator="equal">
      <formula>"nee"</formula>
    </cfRule>
  </conditionalFormatting>
  <conditionalFormatting sqref="M83">
    <cfRule type="cellIs" dxfId="474" priority="80" operator="equal">
      <formula>"nee"</formula>
    </cfRule>
  </conditionalFormatting>
  <conditionalFormatting sqref="M140:M147 Y140:Y147 AK140:AK147 AW140:AW147 M149:M157 Y149:Y157 AK149:AK157 AW149:AW157 M159:M161 Y159:Y161 AK159:AK161 AW159:AW161">
    <cfRule type="expression" dxfId="473" priority="216">
      <formula>SUM(M$140:M$161)=0</formula>
    </cfRule>
  </conditionalFormatting>
  <conditionalFormatting sqref="M144 Y144 AK144 AW144 J147 M147 Y147 AK147 AW147 J151:J153 M151:M153 Y151:Y153 AK151:AK153 AW151:AW153 J155 M155 Y155 AK155 AW155 J157 M157 Y157 AK157 AW157 J161 M161 Y161 AK161 AW161">
    <cfRule type="cellIs" dxfId="472" priority="158" operator="equal">
      <formula>0</formula>
    </cfRule>
  </conditionalFormatting>
  <conditionalFormatting sqref="M317 O317:X317 AJ317 AV317 BH317">
    <cfRule type="expression" dxfId="471" priority="221">
      <formula>#REF!&gt;M317</formula>
    </cfRule>
  </conditionalFormatting>
  <conditionalFormatting sqref="O83 AA83 AM83 AY83">
    <cfRule type="expression" dxfId="470" priority="162">
      <formula>OR(AND(O83="",O$22&gt;0),ISERROR(MATCH(O83,toestellen_RV_invoer,0)))</formula>
    </cfRule>
  </conditionalFormatting>
  <conditionalFormatting sqref="O90 Q90 AA90 AC90 AM90 AO90 AY90 BA90">
    <cfRule type="expression" dxfId="469" priority="212">
      <formula>OR(AND(O$78&gt;0,O90=""),AND(O90&lt;&gt;"ja",O90&lt;&gt;"nee",O90&lt;&gt;""))</formula>
    </cfRule>
  </conditionalFormatting>
  <conditionalFormatting sqref="O135 Q135 AA135 AC135 AM135 AO135 AY135 BA135">
    <cfRule type="expression" dxfId="468" priority="226">
      <formula>O$134=0</formula>
    </cfRule>
  </conditionalFormatting>
  <conditionalFormatting sqref="O90:Q91 AA90:AC91 AM90:AO91 AY90:BA91 O86:Q88 AA86:AC88 AM86:AO88 AY86:BA88 O93:Q95 AA93:AC95 AM93:AO95 AY93:BA95 O83:Q84 AA83:AC84 AM83:AO84 AY83:BA84 O97:Q99 AA97:AC99 AM97:AO99 AY97:BA99">
    <cfRule type="expression" dxfId="467" priority="241">
      <formula>O$27=0</formula>
    </cfRule>
    <cfRule type="expression" dxfId="466" priority="242">
      <formula>O$78=0</formula>
    </cfRule>
  </conditionalFormatting>
  <conditionalFormatting sqref="O104:Q104 AA104:AC104 AM104:AO104 AY104:BA104 AA140:AC140 AM140:AO140 AY140:BA140">
    <cfRule type="expression" dxfId="465" priority="208">
      <formula>O$78=0</formula>
    </cfRule>
  </conditionalFormatting>
  <conditionalFormatting sqref="O109:Q109 AA109:AC109 AM109:AO109 O112:Q112 AA112:AC112 AM112:AO112 AY112:BA112 O119:Q119 AA119:AC119 AM119:AO119 AY119:BA119 O129:Q129 AA129:AC129 AM129:AO129 AY129:BA129 O135:Q135 AA135:AC135 AM135:AO135 AY135:BA135 O87 Q87 AA87 AC87 AM87 AO87 AY87 BA87 O94 Q94 AA94 AC94 AM94 AO94 AY94 BA94">
    <cfRule type="expression" dxfId="464" priority="202">
      <formula>AND(O$78&gt;0,O87="")</formula>
    </cfRule>
  </conditionalFormatting>
  <conditionalFormatting sqref="O122:Q125 AA122:AC125 AM122:AO125 AY122:BA125 AA104:AC106 AM104:AO106 AY104:BA106 O105:Q106 O108:Q116 AA108:AC116 AM108:AO116 AY108:BA116 O118:Q119 AA118:AC120 AM118:AO120 AY118:BA120 P120:Q120 O128:Q130 AA128:AC130 AM128:AO130 AY128:BA130 O132:Q135 AA132:AC135 AM132:AO135 AY132:BA135">
    <cfRule type="expression" dxfId="463" priority="155">
      <formula>OR(O$78=0,O$104="geen")</formula>
    </cfRule>
  </conditionalFormatting>
  <conditionalFormatting sqref="O123:Q123">
    <cfRule type="expression" dxfId="462" priority="73">
      <formula>AND(O$78&gt;0,O123="")</formula>
    </cfRule>
  </conditionalFormatting>
  <conditionalFormatting sqref="O125:Q125">
    <cfRule type="expression" dxfId="461" priority="76">
      <formula>AND(O$78&gt;0,O125="")</formula>
    </cfRule>
  </conditionalFormatting>
  <conditionalFormatting sqref="O140:Q140">
    <cfRule type="expression" dxfId="460" priority="205">
      <formula>O$78=0</formula>
    </cfRule>
  </conditionalFormatting>
  <conditionalFormatting sqref="O146:Q146 AA146:AC146 AM146:AO146 AY146:BA146 O150:Q150 AA150:AC150 AM150:AO150 AY150:BA150 O160:Q160 AA160:AC160 AM160:AO160 AY160:BA160">
    <cfRule type="expression" dxfId="459" priority="237">
      <formula>AND(O$78&gt;0,O$140&lt;&gt;"geen",O146="")</formula>
    </cfRule>
  </conditionalFormatting>
  <conditionalFormatting sqref="O153:Q157 AA153:AC157 AM153:AO157 AY153:BA157 O141:Q147 AA141:AC147 AM141:AO147 AY141:BA147 O149:Q151 AA149:AC151 AM149:AO151 AY149:BA151 O159:Q161 AA159:AC161 AM159:AO161 AY159:BA161">
    <cfRule type="expression" dxfId="458" priority="153">
      <formula>OR(O$78=0,O$140="geen")</formula>
    </cfRule>
  </conditionalFormatting>
  <conditionalFormatting sqref="O154:Q154">
    <cfRule type="expression" dxfId="457" priority="75">
      <formula>AND(O$78&gt;0,O$140&lt;&gt;"geen",O154="")</formula>
    </cfRule>
  </conditionalFormatting>
  <conditionalFormatting sqref="O156:Q156">
    <cfRule type="expression" dxfId="456" priority="74">
      <formula>AND(O$78&gt;0,O$140&lt;&gt;"geen",O156="")</formula>
    </cfRule>
  </conditionalFormatting>
  <conditionalFormatting sqref="O166:Q168 AA166:AC168 AM166:AO168 AY166:BA168">
    <cfRule type="expression" dxfId="455" priority="243">
      <formula>OR(O$27=0,O$132=0)</formula>
    </cfRule>
  </conditionalFormatting>
  <conditionalFormatting sqref="O167:Q167 AA167:AC167 AM167:AO167 AY167:BA167">
    <cfRule type="expression" dxfId="454" priority="207">
      <formula>AND(O$132&gt;0,O167="")</formula>
    </cfRule>
  </conditionalFormatting>
  <conditionalFormatting sqref="O186:T188 T229:W231 AF229:AF231 AR229:AR231 BD229:BD231 AA230 AM230 AY230 O251:T258">
    <cfRule type="expression" dxfId="453" priority="188">
      <formula>O$27=0</formula>
    </cfRule>
  </conditionalFormatting>
  <conditionalFormatting sqref="O17:W17">
    <cfRule type="expression" dxfId="452" priority="101">
      <formula>AND(O17&lt;&gt;"",ISERROR(MATCH(O17,woningen_gebouwen_namen,0))=TRUE)</formula>
    </cfRule>
  </conditionalFormatting>
  <conditionalFormatting sqref="O20:W20">
    <cfRule type="expression" dxfId="451" priority="196">
      <formula>OR(O$17="",AND(O$19&lt;&gt;woning,O$19&lt;&gt;woongebouw))</formula>
    </cfRule>
  </conditionalFormatting>
  <conditionalFormatting sqref="O21:W21">
    <cfRule type="expression" dxfId="450" priority="102">
      <formula>AND(O21&lt;&gt;"",ISERROR(MATCH(O21,woningen_gebouwen_namen,0))=TRUE)</formula>
    </cfRule>
  </conditionalFormatting>
  <conditionalFormatting sqref="O22:W23 AA22:BG23">
    <cfRule type="expression" dxfId="449" priority="184">
      <formula>O$17=""</formula>
    </cfRule>
  </conditionalFormatting>
  <conditionalFormatting sqref="O23:W23 AM23:AU23 AY23:BG23">
    <cfRule type="expression" dxfId="448" priority="222">
      <formula>AND(O$17="",O23&gt;0)</formula>
    </cfRule>
    <cfRule type="expression" dxfId="447" priority="223">
      <formula>AND(O$17&lt;&gt;"",O23="")</formula>
    </cfRule>
  </conditionalFormatting>
  <conditionalFormatting sqref="O28:W28">
    <cfRule type="expression" dxfId="446" priority="100">
      <formula>AND(O28&lt;&gt;"",ISERROR(MATCH(O28,woningen_gebouwen_namen,0))=TRUE)</formula>
    </cfRule>
  </conditionalFormatting>
  <conditionalFormatting sqref="O37:W37">
    <cfRule type="expression" dxfId="445" priority="91">
      <formula>AND(O37&lt;&gt;"",ISERROR(MATCH(O37,woningen_gebouwen_namen,0))=TRUE)</formula>
    </cfRule>
  </conditionalFormatting>
  <conditionalFormatting sqref="O38:W43">
    <cfRule type="expression" dxfId="444" priority="11">
      <formula>OR(O$17="",O$22=0)</formula>
    </cfRule>
  </conditionalFormatting>
  <conditionalFormatting sqref="O40:W40 AA40:AI40 AM40:AU40 AY40:BG40">
    <cfRule type="expression" dxfId="443" priority="224">
      <formula>OR(AND(O$17&lt;&gt;"",O$22&gt;0,O40=""),ISERROR(MATCH(O40,ventilatiesystemen_namen,0))=TRUE)</formula>
    </cfRule>
  </conditionalFormatting>
  <conditionalFormatting sqref="O41:W41 AA41:AI41 AM41:AU41 AY41:BG41">
    <cfRule type="expression" dxfId="442" priority="240">
      <formula>OR(O$17="",O$22=0,LEFT(INDEX(ventilatiesystemen_code,MATCH(O$40,ventilatiesystemen_namen,0)),1)="A")</formula>
    </cfRule>
    <cfRule type="expression" dxfId="441" priority="225">
      <formula>OR(AND(O$17&lt;&gt;"",O$22&gt;0,O41=""),ISERROR(MATCH(O41,ventilatoren_typen,0))=TRUE)</formula>
    </cfRule>
  </conditionalFormatting>
  <conditionalFormatting sqref="O42:W42 AA42:AI42 AM42:AU42 AY42:BG42">
    <cfRule type="expression" dxfId="440" priority="156">
      <formula>OR(AND(O$17&lt;&gt;"",O$22&gt;0,O42=""),ISERROR(MATCH(O42,DWTW_namen,0))=TRUE)</formula>
    </cfRule>
  </conditionalFormatting>
  <conditionalFormatting sqref="O44:W44 AA44:AI44 AM44:AU44 AY44:BG44">
    <cfRule type="expression" dxfId="439" priority="86">
      <formula>$F$6=EP</formula>
    </cfRule>
  </conditionalFormatting>
  <conditionalFormatting sqref="O44:W49 AY44:BG49 O24:W27 AM24:AU27 AY24:BG27 O29:W33 AA29:AI33 AM29:AU33 AY29:BG33 O52:W52 O54:W56 AM61:AU69 AY61:BG69 O71:W71 AM71:AU71 AY71:BG71 O73:W73 AM328:AU328 AY328:BG328">
    <cfRule type="expression" dxfId="438" priority="104">
      <formula>OR(O$17="",O$22=0)</formula>
    </cfRule>
  </conditionalFormatting>
  <conditionalFormatting sqref="O45:W46 AA45:AI46 AM45:AU46 AY45:BG46">
    <cfRule type="expression" dxfId="437" priority="164">
      <formula>OR(O$17="",O$26=0)</formula>
    </cfRule>
    <cfRule type="expression" dxfId="436" priority="229">
      <formula>AND(O$17&lt;&gt;"",O$26&gt;0,O45="")</formula>
    </cfRule>
  </conditionalFormatting>
  <conditionalFormatting sqref="O46:W46 AA46:AI46 AM46:AU46 AY46:BG46">
    <cfRule type="expression" dxfId="435" priority="231">
      <formula>AND(O46&lt;&gt;"",ISERROR(MATCH(O46,verlichtingsregeling_namen,0))=TRUE)</formula>
    </cfRule>
  </conditionalFormatting>
  <conditionalFormatting sqref="O47:W47 AA47:AI47 AM47:AU47 AY47:BG47">
    <cfRule type="expression" dxfId="434" priority="174">
      <formula>OR(O$17="",O$24+O$25=0,AND(O$19&lt;&gt;woning,O$19&lt;&gt;woongebouw))</formula>
    </cfRule>
    <cfRule type="expression" dxfId="433" priority="232">
      <formula>OR(AND(O$17&lt;&gt;"",O$22&gt;0,O47=""),AND(O47&lt;&gt;elektriciteit,O47&lt;&gt;aardgas))</formula>
    </cfRule>
  </conditionalFormatting>
  <conditionalFormatting sqref="O49:W49">
    <cfRule type="expression" dxfId="432" priority="118">
      <formula>IF(AND($O$36&lt;&gt;"",$O$49=""),TRUE,FALSE)</formula>
    </cfRule>
  </conditionalFormatting>
  <conditionalFormatting sqref="O51:W51 O53:W53">
    <cfRule type="expression" dxfId="431" priority="99">
      <formula>AND(O51&lt;&gt;"",ISERROR(MATCH(O51,woningen_gebouwen_namen,0))=TRUE)</formula>
    </cfRule>
  </conditionalFormatting>
  <conditionalFormatting sqref="O52:W52 AA52:AI52 AM52:AU52 AY52:BG52">
    <cfRule type="expression" dxfId="430" priority="173">
      <formula>$O17=""</formula>
    </cfRule>
    <cfRule type="cellIs" dxfId="429" priority="236" operator="equal">
      <formula>"nee"</formula>
    </cfRule>
  </conditionalFormatting>
  <conditionalFormatting sqref="O55:W55 AA55:AI55 AM55:AU55 AY55:BG55">
    <cfRule type="cellIs" dxfId="428" priority="127" operator="equal">
      <formula>0</formula>
    </cfRule>
  </conditionalFormatting>
  <conditionalFormatting sqref="O56:W56 AA56:AI56 AM56:AU56 AY56:BG56">
    <cfRule type="expression" dxfId="427" priority="246">
      <formula>AND(O$22&gt;0,O56="",$F$6=MWA)</formula>
    </cfRule>
    <cfRule type="expression" dxfId="426" priority="247">
      <formula>AND(O$22&gt;0,O$56&gt;0,$F$6=MWA)</formula>
    </cfRule>
    <cfRule type="expression" dxfId="425" priority="245">
      <formula>O$22=0</formula>
    </cfRule>
  </conditionalFormatting>
  <conditionalFormatting sqref="O60:W60">
    <cfRule type="expression" dxfId="424" priority="98">
      <formula>AND(O60&lt;&gt;"",ISERROR(MATCH(O60,woningen_gebouwen_namen,0))=TRUE)</formula>
    </cfRule>
  </conditionalFormatting>
  <conditionalFormatting sqref="O61:W69">
    <cfRule type="expression" dxfId="423" priority="114">
      <formula>OR(O$17="",O$22=0)</formula>
    </cfRule>
  </conditionalFormatting>
  <conditionalFormatting sqref="O70:W70">
    <cfRule type="expression" dxfId="422" priority="97">
      <formula>AND(O70&lt;&gt;"",ISERROR(MATCH(O70,woningen_gebouwen_namen,0))=TRUE)</formula>
    </cfRule>
  </conditionalFormatting>
  <conditionalFormatting sqref="O71:W71 AM71:AU71 AY71:BG71 O73:W73">
    <cfRule type="expression" dxfId="421" priority="157">
      <formula>AND(O$17&lt;&gt;"",O71="")</formula>
    </cfRule>
  </conditionalFormatting>
  <conditionalFormatting sqref="O72:W72">
    <cfRule type="expression" dxfId="420" priority="96">
      <formula>AND(O72&lt;&gt;"",ISERROR(MATCH(O72,woningen_gebouwen_namen,0))=TRUE)</formula>
    </cfRule>
  </conditionalFormatting>
  <conditionalFormatting sqref="O78:W78">
    <cfRule type="expression" dxfId="419" priority="206">
      <formula>O$27=0</formula>
    </cfRule>
  </conditionalFormatting>
  <conditionalFormatting sqref="O268:W268">
    <cfRule type="expression" dxfId="418" priority="90">
      <formula>AND(O268&lt;&gt;"",ISERROR(MATCH(O268,woningen_gebouwen_namen,0))=TRUE)</formula>
    </cfRule>
  </conditionalFormatting>
  <conditionalFormatting sqref="O274:W274 O281:W281">
    <cfRule type="expression" dxfId="417" priority="89">
      <formula>AND(O274&lt;&gt;"",ISERROR(MATCH(O274,woningen_gebouwen_namen,0))=TRUE)</formula>
    </cfRule>
  </conditionalFormatting>
  <conditionalFormatting sqref="O291:W291">
    <cfRule type="expression" dxfId="416" priority="7">
      <formula>AND(O291&lt;&gt;"",ISERROR(MATCH(O291,woningen_gebouwen_namen,0))=TRUE)</formula>
    </cfRule>
  </conditionalFormatting>
  <conditionalFormatting sqref="O292:W292 AA292:AI292 AM292:AU292 AY292:BG292 AM364:AU372 O364:W374 AA364:AI374">
    <cfRule type="expression" dxfId="415" priority="6">
      <formula>O$22=0</formula>
    </cfRule>
  </conditionalFormatting>
  <conditionalFormatting sqref="O293:W293 O297:W297">
    <cfRule type="expression" dxfId="414" priority="95">
      <formula>AND(O293&lt;&gt;"",ISERROR(MATCH(O293,woningen_gebouwen_namen,0))=TRUE)</formula>
    </cfRule>
  </conditionalFormatting>
  <conditionalFormatting sqref="O305:W305 O312:W312 O314:W314 O316:W316">
    <cfRule type="expression" dxfId="413" priority="94">
      <formula>AND(O305&lt;&gt;"",ISERROR(MATCH(O305,woningen_gebouwen_namen,0))=TRUE)</formula>
    </cfRule>
  </conditionalFormatting>
  <conditionalFormatting sqref="O321:W321">
    <cfRule type="expression" dxfId="412" priority="88">
      <formula>AND(O321&lt;&gt;"",ISERROR(MATCH(O321,woningen_gebouwen_namen,0))=TRUE)</formula>
    </cfRule>
  </conditionalFormatting>
  <conditionalFormatting sqref="O323:W323 O327:W327 O332:W332 O335:W335 O338:W338">
    <cfRule type="expression" dxfId="411" priority="93">
      <formula>AND(O323&lt;&gt;"",ISERROR(MATCH(O323,woningen_gebouwen_namen,0))=TRUE)</formula>
    </cfRule>
  </conditionalFormatting>
  <conditionalFormatting sqref="O328:W328">
    <cfRule type="expression" dxfId="410" priority="111">
      <formula>OR(O$17="",O$22=0)</formula>
    </cfRule>
  </conditionalFormatting>
  <conditionalFormatting sqref="O329:W330">
    <cfRule type="expression" dxfId="409" priority="217">
      <formula>O329&gt;O324</formula>
    </cfRule>
  </conditionalFormatting>
  <conditionalFormatting sqref="O331:W331 AA331:AI331 AM331:AU331 AY331:BG331">
    <cfRule type="expression" dxfId="408" priority="119">
      <formula>$O$331&lt;$O$326</formula>
    </cfRule>
  </conditionalFormatting>
  <conditionalFormatting sqref="O333:W334 AA333:AI334 O317:W317 O329:W331 O339:W340 AY339:BG340 O269:W270 AA269:AI270 AA275:AI277 AM275:AU277 AY275:BG277 O282:W290 AA282:AI290 AK282:AK290 AM282:AU290 AW282:AW290 AY282:BG290 O298:W299 AA298:AI299 AM298:AU299 AY298:BG299 O304:W304 AA304:AI304 AY304:BG304 O306:W311 AA306:AI311 AY306:BG311 O313:W313 AA313:AI313 AY313:BG313 O315:W315 AA315:AI315 AY315:BG315 AA317:AI317 AY317:BG317 AA322:AI322 AY322:BG322 O324:W326 AA324:AI326 AY324:BG326 O345:W353 AY345:BG353 O355:W357 AA355:AI357 AM355:AU357">
    <cfRule type="expression" dxfId="407" priority="239">
      <formula>O$22=0</formula>
    </cfRule>
  </conditionalFormatting>
  <conditionalFormatting sqref="O336:W337">
    <cfRule type="expression" dxfId="406" priority="176">
      <formula>O$22=0</formula>
    </cfRule>
  </conditionalFormatting>
  <conditionalFormatting sqref="O337:W337">
    <cfRule type="expression" dxfId="405" priority="143">
      <formula>AND(O337&lt;&gt;"nvt",O337&gt;O336)</formula>
    </cfRule>
    <cfRule type="expression" dxfId="404" priority="144">
      <formula>AND(O337&lt;&gt;"nvt",O337&lt;=O336)</formula>
    </cfRule>
  </conditionalFormatting>
  <conditionalFormatting sqref="O340:W340">
    <cfRule type="expression" dxfId="403" priority="141">
      <formula>AND(O340&lt;&gt;"nvt",O340&gt;O339)</formula>
    </cfRule>
    <cfRule type="expression" dxfId="402" priority="142">
      <formula>AND(O340&lt;&gt;"nvt",O340&lt;=O339)</formula>
    </cfRule>
  </conditionalFormatting>
  <conditionalFormatting sqref="O344:W344">
    <cfRule type="expression" dxfId="401" priority="87">
      <formula>AND(O344&lt;&gt;"",ISERROR(MATCH(O344,woningen_gebouwen_namen,0))=TRUE)</formula>
    </cfRule>
  </conditionalFormatting>
  <conditionalFormatting sqref="O354:W354 O358:W358">
    <cfRule type="expression" dxfId="400" priority="92">
      <formula>AND(O354&lt;&gt;"",ISERROR(MATCH(O354,woningen_gebouwen_namen,0))=TRUE)</formula>
    </cfRule>
  </conditionalFormatting>
  <conditionalFormatting sqref="O364:W364">
    <cfRule type="expression" dxfId="399" priority="70">
      <formula>AND(O364&lt;&gt;"",ISERROR(MATCH(O364,woningen_gebouwen_namen,0))=TRUE)</formula>
    </cfRule>
  </conditionalFormatting>
  <conditionalFormatting sqref="O371:W371 O373:W373">
    <cfRule type="expression" dxfId="398" priority="71">
      <formula>AND(O371&lt;&gt;"",ISERROR(MATCH(O371,woningen_gebouwen_namen,0))=TRUE)</formula>
    </cfRule>
  </conditionalFormatting>
  <conditionalFormatting sqref="P83 AB83 AN83 AZ83">
    <cfRule type="expression" dxfId="397" priority="200">
      <formula>OR(AND(P83="",P$22&gt;0),ISERROR(MATCH(P83,toestellen_KOEL_invoer,0)))</formula>
    </cfRule>
  </conditionalFormatting>
  <conditionalFormatting sqref="P84 AB84 AN84 AZ84 P86:P88 AB86:AB88 AN86:AN88 AZ86:AZ88 P90:P91 AB90:AB91 AN90:AN91 AZ90:AZ91 P93:P95 AB93:AB95 AN93:AN95 AZ93:AZ95 P97:P99 AB97:AB99 AN97:AN99 AZ97:AZ99">
    <cfRule type="expression" dxfId="396" priority="148">
      <formula>P$83="geen"</formula>
    </cfRule>
  </conditionalFormatting>
  <conditionalFormatting sqref="Q83 AC83 AO83 BA83">
    <cfRule type="expression" dxfId="395" priority="201">
      <formula>OR(AND(Q83="",Q$22&gt;0),ISERROR(MATCH(Q83,toestellen_TAP_invoer,0)))</formula>
    </cfRule>
  </conditionalFormatting>
  <conditionalFormatting sqref="Q90 AC90 AO90 BA90">
    <cfRule type="expression" dxfId="394" priority="244">
      <formula>OR(AND(Q$22&gt;0,Q$78&gt;0,Q90=""),AND(Q90&lt;&gt;"ja",Q90&lt;&gt;"nee",Q90&lt;&gt;""))</formula>
    </cfRule>
  </conditionalFormatting>
  <conditionalFormatting sqref="T170:T171">
    <cfRule type="expression" dxfId="393" priority="170">
      <formula>T$27=0</formula>
    </cfRule>
  </conditionalFormatting>
  <conditionalFormatting sqref="T173:T174">
    <cfRule type="expression" dxfId="392" priority="169">
      <formula>T$27=0</formula>
    </cfRule>
  </conditionalFormatting>
  <conditionalFormatting sqref="T180">
    <cfRule type="expression" dxfId="391" priority="168">
      <formula>T$27=0</formula>
    </cfRule>
  </conditionalFormatting>
  <conditionalFormatting sqref="T233">
    <cfRule type="expression" dxfId="390" priority="171">
      <formula>T$27=0</formula>
    </cfRule>
  </conditionalFormatting>
  <conditionalFormatting sqref="T246">
    <cfRule type="expression" dxfId="389" priority="192">
      <formula>T$27=0</formula>
    </cfRule>
  </conditionalFormatting>
  <conditionalFormatting sqref="T263:T264">
    <cfRule type="expression" dxfId="388" priority="189">
      <formula>T$27=0</formula>
    </cfRule>
  </conditionalFormatting>
  <conditionalFormatting sqref="U169:W171">
    <cfRule type="expression" dxfId="387" priority="204">
      <formula>U$27=0</formula>
    </cfRule>
  </conditionalFormatting>
  <conditionalFormatting sqref="Y50">
    <cfRule type="expression" dxfId="386" priority="16">
      <formula>Y$22=0</formula>
    </cfRule>
    <cfRule type="expression" dxfId="385" priority="17">
      <formula>AND(Y$22&gt;0,Y50&lt;&gt;"ja",Y50&lt;&gt;"nee")</formula>
    </cfRule>
  </conditionalFormatting>
  <conditionalFormatting sqref="Y52">
    <cfRule type="cellIs" dxfId="384" priority="83" operator="equal">
      <formula>"nee"</formula>
    </cfRule>
  </conditionalFormatting>
  <conditionalFormatting sqref="Y83">
    <cfRule type="cellIs" dxfId="383" priority="79" operator="equal">
      <formula>"nee"</formula>
    </cfRule>
  </conditionalFormatting>
  <conditionalFormatting sqref="Z38:AI39">
    <cfRule type="expression" dxfId="382" priority="120">
      <formula>OR(Z$17="",Z$22=0)</formula>
    </cfRule>
  </conditionalFormatting>
  <conditionalFormatting sqref="AA49:AB49">
    <cfRule type="expression" dxfId="381" priority="105">
      <formula>IF(AND($O$36&lt;&gt;"",$O$49=""),TRUE,FALSE)</formula>
    </cfRule>
  </conditionalFormatting>
  <conditionalFormatting sqref="AA123:AC123">
    <cfRule type="expression" dxfId="380" priority="64">
      <formula>AND(AA$78&gt;0,AA123="")</formula>
    </cfRule>
  </conditionalFormatting>
  <conditionalFormatting sqref="AA125:AC125">
    <cfRule type="expression" dxfId="379" priority="65">
      <formula>AND(AA$78&gt;0,AA125="")</formula>
    </cfRule>
  </conditionalFormatting>
  <conditionalFormatting sqref="AA154:AC154">
    <cfRule type="expression" dxfId="378" priority="27">
      <formula>AND(AA$78&gt;0,AA$140&lt;&gt;"geen",AA154="")</formula>
    </cfRule>
  </conditionalFormatting>
  <conditionalFormatting sqref="AA156:AC156">
    <cfRule type="expression" dxfId="377" priority="26">
      <formula>AND(AA$78&gt;0,AA$140&lt;&gt;"geen",AA156="")</formula>
    </cfRule>
  </conditionalFormatting>
  <conditionalFormatting sqref="AA251:AC251">
    <cfRule type="expression" dxfId="376" priority="147">
      <formula>AA$27=0</formula>
    </cfRule>
  </conditionalFormatting>
  <conditionalFormatting sqref="AA229:AE229">
    <cfRule type="expression" dxfId="375" priority="195">
      <formula>AA$27=0</formula>
    </cfRule>
  </conditionalFormatting>
  <conditionalFormatting sqref="AA258:AE258">
    <cfRule type="expression" dxfId="374" priority="193">
      <formula>AA$27=0</formula>
    </cfRule>
  </conditionalFormatting>
  <conditionalFormatting sqref="AA17:AI17">
    <cfRule type="expression" dxfId="373" priority="59">
      <formula>AND(AA17&lt;&gt;"",ISERROR(MATCH(AA17,woningen_gebouwen_namen,0))=TRUE)</formula>
    </cfRule>
  </conditionalFormatting>
  <conditionalFormatting sqref="AA20:AI20">
    <cfRule type="expression" dxfId="372" priority="161">
      <formula>OR(AA$17="",AND(AA$19&lt;&gt;woning,AA$19&lt;&gt;woongebouw))</formula>
    </cfRule>
  </conditionalFormatting>
  <conditionalFormatting sqref="AA21:AI21">
    <cfRule type="expression" dxfId="371" priority="56">
      <formula>AND(AA21&lt;&gt;"",ISERROR(MATCH(AA21,woningen_gebouwen_namen,0))=TRUE)</formula>
    </cfRule>
  </conditionalFormatting>
  <conditionalFormatting sqref="AA23:AI23">
    <cfRule type="expression" dxfId="370" priority="235">
      <formula>AND(AA$17&lt;&gt;"",AA23="")</formula>
    </cfRule>
    <cfRule type="expression" dxfId="369" priority="234">
      <formula>AND(AA$17="",AA23&gt;0)</formula>
    </cfRule>
  </conditionalFormatting>
  <conditionalFormatting sqref="AA24:AI27">
    <cfRule type="expression" dxfId="368" priority="220">
      <formula>OR(AA$17="",AA$22=0)</formula>
    </cfRule>
  </conditionalFormatting>
  <conditionalFormatting sqref="AA28:AI28">
    <cfRule type="expression" dxfId="367" priority="55">
      <formula>AND(AA28&lt;&gt;"",ISERROR(MATCH(AA28,woningen_gebouwen_namen,0))=TRUE)</formula>
    </cfRule>
  </conditionalFormatting>
  <conditionalFormatting sqref="AA37:AI37">
    <cfRule type="expression" dxfId="366" priority="50">
      <formula>AND(AA37&lt;&gt;"",ISERROR(MATCH(AA37,woningen_gebouwen_namen,0))=TRUE)</formula>
    </cfRule>
  </conditionalFormatting>
  <conditionalFormatting sqref="AA39:AI39 O39:W39 AM39:AU39 AY39:BG39">
    <cfRule type="expression" dxfId="365" priority="123">
      <formula>AND(O$17&lt;&gt;"",O$22&gt;0,O39&lt;&gt;"",ISERROR(MATCH(O39,isolatiepakketten_gebouwschil_namen,0))=TRUE)</formula>
    </cfRule>
  </conditionalFormatting>
  <conditionalFormatting sqref="AA40:AI43">
    <cfRule type="expression" dxfId="364" priority="10">
      <formula>OR(AA$17="",AA$22=0)</formula>
    </cfRule>
  </conditionalFormatting>
  <conditionalFormatting sqref="AA44:AI49">
    <cfRule type="expression" dxfId="363" priority="106">
      <formula>OR(AA$17="",AA$22=0)</formula>
    </cfRule>
  </conditionalFormatting>
  <conditionalFormatting sqref="AA49:AI49">
    <cfRule type="expression" dxfId="362" priority="108">
      <formula>IF(AND($AA$36&lt;&gt;"",$AA$49=""),TRUE,FALSE)</formula>
    </cfRule>
  </conditionalFormatting>
  <conditionalFormatting sqref="AA51:AI51">
    <cfRule type="expression" dxfId="361" priority="49">
      <formula>AND(AA51&lt;&gt;"",ISERROR(MATCH(AA51,woningen_gebouwen_namen,0))=TRUE)</formula>
    </cfRule>
  </conditionalFormatting>
  <conditionalFormatting sqref="AA53:AI53">
    <cfRule type="expression" dxfId="360" priority="48">
      <formula>AND(AA53&lt;&gt;"",ISERROR(MATCH(AA53,woningen_gebouwen_namen,0))=TRUE)</formula>
    </cfRule>
  </conditionalFormatting>
  <conditionalFormatting sqref="AA60:AI60">
    <cfRule type="expression" dxfId="359" priority="41">
      <formula>AND(AA60&lt;&gt;"",ISERROR(MATCH(AA60,woningen_gebouwen_namen,0))=TRUE)</formula>
    </cfRule>
  </conditionalFormatting>
  <conditionalFormatting sqref="AA61:AI69">
    <cfRule type="expression" dxfId="358" priority="115">
      <formula>OR(AA$17="",AA$22=0)</formula>
    </cfRule>
  </conditionalFormatting>
  <conditionalFormatting sqref="AA70:AI70 AM70:AU70 AY70:BG70 AA72:AI72 AM72:AU72 AY72:BG72">
    <cfRule type="expression" dxfId="357" priority="38">
      <formula>AND(AA70&lt;&gt;"",ISERROR(MATCH(AA70,woningen_gebouwen_namen,0))=TRUE)</formula>
    </cfRule>
  </conditionalFormatting>
  <conditionalFormatting sqref="AA71:AI71">
    <cfRule type="expression" dxfId="356" priority="209">
      <formula>OR(AA$17="",AA$22=0)</formula>
    </cfRule>
    <cfRule type="expression" dxfId="355" priority="210">
      <formula>AND(AA$17&lt;&gt;"",AA71="")</formula>
    </cfRule>
  </conditionalFormatting>
  <conditionalFormatting sqref="AA73:AI73">
    <cfRule type="expression" dxfId="354" priority="2">
      <formula>OR(AA$17="",AA$22=0)</formula>
    </cfRule>
    <cfRule type="expression" dxfId="353" priority="3">
      <formula>AND(AA$17&lt;&gt;"",AA73="")</formula>
    </cfRule>
  </conditionalFormatting>
  <conditionalFormatting sqref="AA78:AI78">
    <cfRule type="expression" dxfId="352" priority="191">
      <formula>AA$27=0</formula>
    </cfRule>
  </conditionalFormatting>
  <conditionalFormatting sqref="AA268:AI268 AM268:AU268 AY268:BG268">
    <cfRule type="expression" dxfId="351" priority="29">
      <formula>AND(AA268&lt;&gt;"",ISERROR(MATCH(AA268,woningen_gebouwen_namen,0))=TRUE)</formula>
    </cfRule>
  </conditionalFormatting>
  <conditionalFormatting sqref="AA274:AI274 AM274:AU274 AY274:BG274">
    <cfRule type="expression" dxfId="350" priority="28">
      <formula>AND(AA274&lt;&gt;"",ISERROR(MATCH(AA274,woningen_gebouwen_namen,0))=TRUE)</formula>
    </cfRule>
  </conditionalFormatting>
  <conditionalFormatting sqref="AA281:AI281 AM281:AU281 AY281:BG281">
    <cfRule type="expression" dxfId="349" priority="37">
      <formula>AND(AA281&lt;&gt;"",ISERROR(MATCH(AA281,woningen_gebouwen_namen,0))=TRUE)</formula>
    </cfRule>
  </conditionalFormatting>
  <conditionalFormatting sqref="AA291:AI291 AM291:AU291 AY291:BG291">
    <cfRule type="expression" dxfId="348" priority="5">
      <formula>AND(AA291&lt;&gt;"",ISERROR(MATCH(AA291,woningen_gebouwen_namen,0))=TRUE)</formula>
    </cfRule>
  </conditionalFormatting>
  <conditionalFormatting sqref="AA293:AI293 AM293:AU293 AY293:BG293 AA297:AI297 AM297:AU297 AY297:BG297">
    <cfRule type="expression" dxfId="347" priority="30">
      <formula>AND(AA293&lt;&gt;"",ISERROR(MATCH(AA293,woningen_gebouwen_namen,0))=TRUE)</formula>
    </cfRule>
  </conditionalFormatting>
  <conditionalFormatting sqref="AA305:AI305 AM305:AU305 AY305:BG305 AA312:AI312 AM312:AU312 AY312:BG312 AA314:AI314 AM314:AU314 AY314:BG314 AA316:AI316 AM316:AU316 AY316:BG316">
    <cfRule type="expression" dxfId="346" priority="35">
      <formula>AND(AA305&lt;&gt;"",ISERROR(MATCH(AA305,woningen_gebouwen_namen,0))=TRUE)</formula>
    </cfRule>
  </conditionalFormatting>
  <conditionalFormatting sqref="AA321:AI321 AM321:AU321 AY321:BG321">
    <cfRule type="expression" dxfId="345" priority="34">
      <formula>AND(AA321&lt;&gt;"",ISERROR(MATCH(AA321,woningen_gebouwen_namen,0))=TRUE)</formula>
    </cfRule>
  </conditionalFormatting>
  <conditionalFormatting sqref="AA323:AI323 AM323:AU323 AY323:BG323 AA327:AI327 AM327:AU327 AY327:BG327 AA332:AI332 AM332:AU332 AY332:BG332 AA335:AI335 AM335:AU335 AY335:BG335 AA338:AI338 AM338:AU338 AY338:BG338">
    <cfRule type="expression" dxfId="344" priority="33">
      <formula>AND(AA323&lt;&gt;"",ISERROR(MATCH(AA323,woningen_gebouwen_namen,0))=TRUE)</formula>
    </cfRule>
  </conditionalFormatting>
  <conditionalFormatting sqref="AA328:AI328">
    <cfRule type="expression" dxfId="343" priority="112">
      <formula>OR(AA$17="",AA$22=0)</formula>
    </cfRule>
  </conditionalFormatting>
  <conditionalFormatting sqref="AA329:AI331 AM329:AU331">
    <cfRule type="expression" dxfId="342" priority="126">
      <formula>AA$22=0</formula>
    </cfRule>
  </conditionalFormatting>
  <conditionalFormatting sqref="AA337:AI337">
    <cfRule type="expression" dxfId="341" priority="140">
      <formula>AND(AA337&lt;&gt;"nvt",AA337&lt;=AA336)</formula>
    </cfRule>
    <cfRule type="expression" dxfId="340" priority="139">
      <formula>AND(AA337&lt;&gt;"nvt",AA337&gt;AA336)</formula>
    </cfRule>
  </conditionalFormatting>
  <conditionalFormatting sqref="AA340:AI340">
    <cfRule type="expression" dxfId="339" priority="138">
      <formula>AND(AA340&lt;&gt;"nvt",AA340&lt;=AA339)</formula>
    </cfRule>
    <cfRule type="expression" dxfId="338" priority="137">
      <formula>AND(AA340&lt;&gt;"nvt",AA340&gt;AA339)</formula>
    </cfRule>
  </conditionalFormatting>
  <conditionalFormatting sqref="AA344:AI344 AM344:AU344 AY344:BG344">
    <cfRule type="expression" dxfId="337" priority="32">
      <formula>AND(AA344&lt;&gt;"",ISERROR(MATCH(AA344,woningen_gebouwen_namen,0))=TRUE)</formula>
    </cfRule>
  </conditionalFormatting>
  <conditionalFormatting sqref="AA345:AI353">
    <cfRule type="expression" dxfId="336" priority="178">
      <formula>AA$22=0</formula>
    </cfRule>
  </conditionalFormatting>
  <conditionalFormatting sqref="AA354:AI354 AM354:AU354 AY354:BG354 AA358:AI358 AM358:AU358 AY358:BG358">
    <cfRule type="expression" dxfId="335" priority="31">
      <formula>AND(AA354&lt;&gt;"",ISERROR(MATCH(AA354,woningen_gebouwen_namen,0))=TRUE)</formula>
    </cfRule>
  </conditionalFormatting>
  <conditionalFormatting sqref="AA359:AI360">
    <cfRule type="expression" dxfId="334" priority="69">
      <formula>AA$22=0</formula>
    </cfRule>
  </conditionalFormatting>
  <conditionalFormatting sqref="AA364:AI364 AM364:AU364 AY364:BG364 O303:W303 AA303:AI303 AM303:AU303 AY303:BG303">
    <cfRule type="expression" dxfId="333" priority="36">
      <formula>AND(O303&lt;&gt;"",ISERROR(MATCH(O303,woningen_gebouwen_namen,0))=TRUE)</formula>
    </cfRule>
  </conditionalFormatting>
  <conditionalFormatting sqref="AA371:AI371 AA373:AI373">
    <cfRule type="expression" dxfId="332" priority="68">
      <formula>AND(AA371&lt;&gt;"",ISERROR(MATCH(AA371,woningen_gebouwen_namen,0))=TRUE)</formula>
    </cfRule>
  </conditionalFormatting>
  <conditionalFormatting sqref="AA329:AU330">
    <cfRule type="expression" dxfId="331" priority="215">
      <formula>AA329&gt;AA324</formula>
    </cfRule>
  </conditionalFormatting>
  <conditionalFormatting sqref="AF263:AF264">
    <cfRule type="expression" dxfId="330" priority="187">
      <formula>AF$27=0</formula>
    </cfRule>
  </conditionalFormatting>
  <conditionalFormatting sqref="AF251:AK258">
    <cfRule type="expression" dxfId="329" priority="180">
      <formula>AF$27=0</formula>
    </cfRule>
  </conditionalFormatting>
  <conditionalFormatting sqref="AJ338 AV338">
    <cfRule type="expression" dxfId="328" priority="132">
      <formula>AJ338&lt;AJ333</formula>
    </cfRule>
  </conditionalFormatting>
  <conditionalFormatting sqref="AK50">
    <cfRule type="expression" dxfId="327" priority="14">
      <formula>AK$22=0</formula>
    </cfRule>
    <cfRule type="expression" dxfId="326" priority="15">
      <formula>AND(AK$22&gt;0,AK50&lt;&gt;"ja",AK50&lt;&gt;"nee")</formula>
    </cfRule>
  </conditionalFormatting>
  <conditionalFormatting sqref="AK52">
    <cfRule type="cellIs" dxfId="325" priority="82" operator="equal">
      <formula>"nee"</formula>
    </cfRule>
  </conditionalFormatting>
  <conditionalFormatting sqref="AK83">
    <cfRule type="cellIs" dxfId="324" priority="78" operator="equal">
      <formula>"nee"</formula>
    </cfRule>
  </conditionalFormatting>
  <conditionalFormatting sqref="AM123:AO123">
    <cfRule type="expression" dxfId="323" priority="62">
      <formula>AND(AM$78&gt;0,AM123="")</formula>
    </cfRule>
  </conditionalFormatting>
  <conditionalFormatting sqref="AM125:AO125">
    <cfRule type="expression" dxfId="322" priority="63">
      <formula>AND(AM$78&gt;0,AM125="")</formula>
    </cfRule>
  </conditionalFormatting>
  <conditionalFormatting sqref="AM154:AO154">
    <cfRule type="expression" dxfId="321" priority="25">
      <formula>AND(AM$78&gt;0,AM$140&lt;&gt;"geen",AM154="")</formula>
    </cfRule>
  </conditionalFormatting>
  <conditionalFormatting sqref="AM156:AO156">
    <cfRule type="expression" dxfId="320" priority="24">
      <formula>AND(AM$78&gt;0,AM$140&lt;&gt;"geen",AM156="")</formula>
    </cfRule>
  </conditionalFormatting>
  <conditionalFormatting sqref="AM251:AO251">
    <cfRule type="expression" dxfId="319" priority="146">
      <formula>AM$27=0</formula>
    </cfRule>
  </conditionalFormatting>
  <conditionalFormatting sqref="AM17:AU17">
    <cfRule type="expression" dxfId="318" priority="58">
      <formula>AND(AM17&lt;&gt;"",ISERROR(MATCH(AM17,woningen_gebouwen_namen,0))=TRUE)</formula>
    </cfRule>
  </conditionalFormatting>
  <conditionalFormatting sqref="AM20:AU20">
    <cfRule type="expression" dxfId="317" priority="160">
      <formula>OR(AM$17="",AND(AM$19&lt;&gt;woning,AM$19&lt;&gt;woongebouw))</formula>
    </cfRule>
  </conditionalFormatting>
  <conditionalFormatting sqref="AM21:AU21">
    <cfRule type="expression" dxfId="316" priority="53">
      <formula>AND(AM21&lt;&gt;"",ISERROR(MATCH(AM21,woningen_gebouwen_namen,0))=TRUE)</formula>
    </cfRule>
  </conditionalFormatting>
  <conditionalFormatting sqref="AM28:AU28">
    <cfRule type="expression" dxfId="315" priority="54">
      <formula>AND(AM28&lt;&gt;"",ISERROR(MATCH(AM28,woningen_gebouwen_namen,0))=TRUE)</formula>
    </cfRule>
  </conditionalFormatting>
  <conditionalFormatting sqref="AM37:AU37">
    <cfRule type="expression" dxfId="314" priority="45">
      <formula>AND(AM37&lt;&gt;"",ISERROR(MATCH(AM37,woningen_gebouwen_namen,0))=TRUE)</formula>
    </cfRule>
  </conditionalFormatting>
  <conditionalFormatting sqref="AM38:AU43">
    <cfRule type="expression" dxfId="313" priority="9">
      <formula>OR(AM$17="",AM$22=0)</formula>
    </cfRule>
  </conditionalFormatting>
  <conditionalFormatting sqref="AM44:AU44 AA44:AI44 O44:W44 AY44:BG44">
    <cfRule type="expression" dxfId="312" priority="227">
      <formula>OR(O44&lt;0.5,O44&gt;2,AND(O$17&lt;&gt;"",O44=""))</formula>
    </cfRule>
  </conditionalFormatting>
  <conditionalFormatting sqref="AM44:AU49">
    <cfRule type="expression" dxfId="311" priority="122">
      <formula>OR(AM$17="",AM$22=0)</formula>
    </cfRule>
  </conditionalFormatting>
  <conditionalFormatting sqref="AM48:AU48 AA48:AI48 O48:W48 AY48:BG48">
    <cfRule type="expression" dxfId="310" priority="233">
      <formula>OR(O48&lt;0,O48&gt;1,AND(O$17&lt;&gt;"",O48=""))</formula>
    </cfRule>
  </conditionalFormatting>
  <conditionalFormatting sqref="AM49:AU49">
    <cfRule type="expression" dxfId="309" priority="117">
      <formula>IF(AND($AM$36&lt;&gt;"",$AM$49=""),TRUE,FALSE)</formula>
    </cfRule>
  </conditionalFormatting>
  <conditionalFormatting sqref="AM51:AU51">
    <cfRule type="expression" dxfId="308" priority="47">
      <formula>AND(AM51&lt;&gt;"",ISERROR(MATCH(AM51,woningen_gebouwen_namen,0))=TRUE)</formula>
    </cfRule>
  </conditionalFormatting>
  <conditionalFormatting sqref="AM53:AU53">
    <cfRule type="expression" dxfId="307" priority="46">
      <formula>AND(AM53&lt;&gt;"",ISERROR(MATCH(AM53,woningen_gebouwen_namen,0))=TRUE)</formula>
    </cfRule>
  </conditionalFormatting>
  <conditionalFormatting sqref="AM60:AU60">
    <cfRule type="expression" dxfId="306" priority="40">
      <formula>AND(AM60&lt;&gt;"",ISERROR(MATCH(AM60,woningen_gebouwen_namen,0))=TRUE)</formula>
    </cfRule>
  </conditionalFormatting>
  <conditionalFormatting sqref="AM73:AU73">
    <cfRule type="expression" dxfId="305" priority="151">
      <formula>OR(AM$17="",AM$22=0)</formula>
    </cfRule>
    <cfRule type="expression" dxfId="304" priority="152">
      <formula>AND(AM$17&lt;&gt;"",AM73="")</formula>
    </cfRule>
  </conditionalFormatting>
  <conditionalFormatting sqref="AM78:AU78 AY78:BG78 O240:T245 AM251:AU258 AW251:AW258 AY251:BD258">
    <cfRule type="expression" dxfId="303" priority="190">
      <formula>O$27=0</formula>
    </cfRule>
  </conditionalFormatting>
  <conditionalFormatting sqref="AM269:AU270">
    <cfRule type="expression" dxfId="302" priority="185">
      <formula>AM$22=0</formula>
    </cfRule>
  </conditionalFormatting>
  <conditionalFormatting sqref="AM333:AU334">
    <cfRule type="expression" dxfId="301" priority="125">
      <formula>AM$22=0</formula>
    </cfRule>
  </conditionalFormatting>
  <conditionalFormatting sqref="AM334:AU334 AY334:BG334 O334:W334 AA334:AI334">
    <cfRule type="expression" dxfId="300" priority="238">
      <formula>#REF!&lt;O$330</formula>
    </cfRule>
  </conditionalFormatting>
  <conditionalFormatting sqref="AM337:AU337">
    <cfRule type="expression" dxfId="299" priority="136">
      <formula>AND(AM337&lt;&gt;"nvt",AM337&lt;=AM336)</formula>
    </cfRule>
    <cfRule type="expression" dxfId="298" priority="135">
      <formula>AND(AM337&lt;&gt;"nvt",AM337&gt;AM336)</formula>
    </cfRule>
  </conditionalFormatting>
  <conditionalFormatting sqref="AM340:AU340">
    <cfRule type="expression" dxfId="297" priority="134">
      <formula>AND(AM340&lt;&gt;"nvt",AM340&lt;=AM339)</formula>
    </cfRule>
    <cfRule type="expression" dxfId="296" priority="133">
      <formula>AND(AM340&lt;&gt;"nvt",AM340&gt;AM339)</formula>
    </cfRule>
  </conditionalFormatting>
  <conditionalFormatting sqref="AM345:AU353">
    <cfRule type="expression" dxfId="295" priority="177">
      <formula>AM$22=0</formula>
    </cfRule>
  </conditionalFormatting>
  <conditionalFormatting sqref="AM371:AU371 AM373:AU373">
    <cfRule type="expression" dxfId="294" priority="67">
      <formula>AND(AM371&lt;&gt;"",ISERROR(MATCH(AM371,woningen_gebouwen_namen,0))=TRUE)</formula>
    </cfRule>
  </conditionalFormatting>
  <conditionalFormatting sqref="AM373:AU374 O294:W296 AA294:AI296 AM294:AU296 AY294:BG296 O359:W360 AM359:AU360 AY359:BG360">
    <cfRule type="expression" dxfId="293" priority="72">
      <formula>O$22=0</formula>
    </cfRule>
  </conditionalFormatting>
  <conditionalFormatting sqref="AM374:AU374">
    <cfRule type="expression" dxfId="292" priority="21">
      <formula>AM$22=0</formula>
    </cfRule>
  </conditionalFormatting>
  <conditionalFormatting sqref="AR263:AR264">
    <cfRule type="expression" dxfId="291" priority="186">
      <formula>AR$27=0</formula>
    </cfRule>
  </conditionalFormatting>
  <conditionalFormatting sqref="AW50">
    <cfRule type="expression" dxfId="290" priority="12">
      <formula>AW$22=0</formula>
    </cfRule>
    <cfRule type="expression" dxfId="289" priority="13">
      <formula>AND(AW$22&gt;0,AW50&lt;&gt;"ja",AW50&lt;&gt;"nee")</formula>
    </cfRule>
  </conditionalFormatting>
  <conditionalFormatting sqref="AW52">
    <cfRule type="cellIs" dxfId="288" priority="81" operator="equal">
      <formula>"nee"</formula>
    </cfRule>
  </conditionalFormatting>
  <conditionalFormatting sqref="AW83">
    <cfRule type="cellIs" dxfId="287" priority="77" operator="equal">
      <formula>"nee"</formula>
    </cfRule>
  </conditionalFormatting>
  <conditionalFormatting sqref="AY109:BA109">
    <cfRule type="expression" dxfId="286" priority="230">
      <formula>AND(AY$78&gt;0,AY109="")</formula>
    </cfRule>
  </conditionalFormatting>
  <conditionalFormatting sqref="AY123:BA123">
    <cfRule type="expression" dxfId="285" priority="60">
      <formula>AND(AY$78&gt;0,AY123="")</formula>
    </cfRule>
  </conditionalFormatting>
  <conditionalFormatting sqref="AY125:BA125">
    <cfRule type="expression" dxfId="284" priority="61">
      <formula>AND(AY$78&gt;0,AY125="")</formula>
    </cfRule>
  </conditionalFormatting>
  <conditionalFormatting sqref="AY154:BA154">
    <cfRule type="expression" dxfId="283" priority="23">
      <formula>AND(AY$78&gt;0,AY$140&lt;&gt;"geen",AY154="")</formula>
    </cfRule>
  </conditionalFormatting>
  <conditionalFormatting sqref="AY156:BA156">
    <cfRule type="expression" dxfId="282" priority="22">
      <formula>AND(AY$78&gt;0,AY$140&lt;&gt;"geen",AY156="")</formula>
    </cfRule>
  </conditionalFormatting>
  <conditionalFormatting sqref="AY251:BA251">
    <cfRule type="expression" dxfId="281" priority="145">
      <formula>AY$27=0</formula>
    </cfRule>
  </conditionalFormatting>
  <conditionalFormatting sqref="AY229:BC229">
    <cfRule type="expression" dxfId="280" priority="194">
      <formula>AY$27=0</formula>
    </cfRule>
  </conditionalFormatting>
  <conditionalFormatting sqref="AY17:BG17">
    <cfRule type="expression" dxfId="279" priority="57">
      <formula>AND(AY17&lt;&gt;"",ISERROR(MATCH(AY17,woningen_gebouwen_namen,0))=TRUE)</formula>
    </cfRule>
  </conditionalFormatting>
  <conditionalFormatting sqref="AY20:BG20">
    <cfRule type="expression" dxfId="278" priority="159">
      <formula>OR(AY$17="",AND(AY$19&lt;&gt;woning,AY$19&lt;&gt;woongebouw))</formula>
    </cfRule>
  </conditionalFormatting>
  <conditionalFormatting sqref="AY21:BG21">
    <cfRule type="expression" dxfId="277" priority="52">
      <formula>AND(AY21&lt;&gt;"",ISERROR(MATCH(AY21,woningen_gebouwen_namen,0))=TRUE)</formula>
    </cfRule>
  </conditionalFormatting>
  <conditionalFormatting sqref="AY28:BG28">
    <cfRule type="expression" dxfId="276" priority="51">
      <formula>AND(AY28&lt;&gt;"",ISERROR(MATCH(AY28,woningen_gebouwen_namen,0))=TRUE)</formula>
    </cfRule>
  </conditionalFormatting>
  <conditionalFormatting sqref="AY37:BG37">
    <cfRule type="expression" dxfId="275" priority="44">
      <formula>AND(AY37&lt;&gt;"",ISERROR(MATCH(AY37,woningen_gebouwen_namen,0))=TRUE)</formula>
    </cfRule>
  </conditionalFormatting>
  <conditionalFormatting sqref="AY38:BG43">
    <cfRule type="expression" dxfId="274" priority="8">
      <formula>OR(AY$17="",AY$22=0)</formula>
    </cfRule>
  </conditionalFormatting>
  <conditionalFormatting sqref="AY49:BG49">
    <cfRule type="expression" dxfId="273" priority="107">
      <formula>IF(AND($AY$36&lt;&gt;"",$AY$49=""),TRUE,FALSE)</formula>
    </cfRule>
  </conditionalFormatting>
  <conditionalFormatting sqref="AY51:BG51">
    <cfRule type="expression" dxfId="272" priority="43">
      <formula>AND(AY51&lt;&gt;"",ISERROR(MATCH(AY51,woningen_gebouwen_namen,0))=TRUE)</formula>
    </cfRule>
  </conditionalFormatting>
  <conditionalFormatting sqref="AY53:BG53">
    <cfRule type="expression" dxfId="271" priority="42">
      <formula>AND(AY53&lt;&gt;"",ISERROR(MATCH(AY53,woningen_gebouwen_namen,0))=TRUE)</formula>
    </cfRule>
  </conditionalFormatting>
  <conditionalFormatting sqref="AY60:BG60">
    <cfRule type="expression" dxfId="270" priority="39">
      <formula>AND(AY60&lt;&gt;"",ISERROR(MATCH(AY60,woningen_gebouwen_namen,0))=TRUE)</formula>
    </cfRule>
  </conditionalFormatting>
  <conditionalFormatting sqref="AY73:BG73">
    <cfRule type="expression" dxfId="269" priority="149">
      <formula>OR(AY$17="",AY$22=0)</formula>
    </cfRule>
    <cfRule type="expression" dxfId="268" priority="150">
      <formula>AND(AY$17&lt;&gt;"",AY73="")</formula>
    </cfRule>
  </conditionalFormatting>
  <conditionalFormatting sqref="AY269:BG270">
    <cfRule type="expression" dxfId="267" priority="179">
      <formula>AY$22=0</formula>
    </cfRule>
  </conditionalFormatting>
  <conditionalFormatting sqref="AY329:BG330">
    <cfRule type="expression" dxfId="266" priority="214">
      <formula>AY329&gt;AY324</formula>
    </cfRule>
  </conditionalFormatting>
  <conditionalFormatting sqref="AY329:BG331">
    <cfRule type="expression" dxfId="265" priority="203">
      <formula>AY$22=0</formula>
    </cfRule>
  </conditionalFormatting>
  <conditionalFormatting sqref="AY333:BG334">
    <cfRule type="expression" dxfId="264" priority="124">
      <formula>AY$22=0</formula>
    </cfRule>
  </conditionalFormatting>
  <conditionalFormatting sqref="AY336:BG337">
    <cfRule type="expression" dxfId="263" priority="175">
      <formula>AY$22=0</formula>
    </cfRule>
  </conditionalFormatting>
  <conditionalFormatting sqref="AY337:BG337">
    <cfRule type="expression" dxfId="262" priority="130">
      <formula>AND(AY337&lt;&gt;"nvt",AY337&gt;AY336)</formula>
    </cfRule>
    <cfRule type="expression" dxfId="261" priority="131">
      <formula>AND(AY337&lt;&gt;"nvt",AY337&lt;=AY336)</formula>
    </cfRule>
  </conditionalFormatting>
  <conditionalFormatting sqref="AY340:BG340">
    <cfRule type="expression" dxfId="260" priority="128">
      <formula>AND(AY340&lt;&gt;"nvt",AY340&gt;AY339)</formula>
    </cfRule>
    <cfRule type="expression" dxfId="259" priority="129">
      <formula>AND(AY340&lt;&gt;"nvt",AY340&lt;=AY339)</formula>
    </cfRule>
  </conditionalFormatting>
  <conditionalFormatting sqref="AY355:BG357">
    <cfRule type="expression" dxfId="258" priority="181">
      <formula>AY$22=0</formula>
    </cfRule>
  </conditionalFormatting>
  <conditionalFormatting sqref="AY364:BG374">
    <cfRule type="expression" dxfId="257" priority="4">
      <formula>AY$22=0</formula>
    </cfRule>
  </conditionalFormatting>
  <conditionalFormatting sqref="AY371:BG371 AY373:BG373">
    <cfRule type="expression" dxfId="256" priority="66">
      <formula>AND(AY371&lt;&gt;"",ISERROR(MATCH(AY371,woningen_gebouwen_namen,0))=TRUE)</formula>
    </cfRule>
  </conditionalFormatting>
  <conditionalFormatting sqref="BD180:BD181">
    <cfRule type="expression" dxfId="255" priority="172">
      <formula>BD$27=0</formula>
    </cfRule>
  </conditionalFormatting>
  <conditionalFormatting sqref="BD263:BD264">
    <cfRule type="expression" dxfId="254" priority="182">
      <formula>BD$27=0</formula>
    </cfRule>
  </conditionalFormatting>
  <conditionalFormatting sqref="BD331">
    <cfRule type="expression" dxfId="253" priority="183">
      <formula>BD331&lt;BD326</formula>
    </cfRule>
  </conditionalFormatting>
  <conditionalFormatting sqref="BH229 BH233">
    <cfRule type="expression" dxfId="252" priority="249">
      <formula>AND(BH229&lt;&gt;"-",BH229&gt;#REF!)</formula>
    </cfRule>
  </conditionalFormatting>
  <conditionalFormatting sqref="BH230 BH234">
    <cfRule type="expression" dxfId="251" priority="248">
      <formula>AND(BH230&lt;&gt;"-",BH230&gt;BH232)</formula>
    </cfRule>
  </conditionalFormatting>
  <conditionalFormatting sqref="BH231 BH235">
    <cfRule type="expression" dxfId="250" priority="218">
      <formula>AND(BH231&lt;&gt;"-",BH231&gt;BH232)</formula>
    </cfRule>
  </conditionalFormatting>
  <conditionalFormatting sqref="BH269">
    <cfRule type="expression" dxfId="249" priority="228">
      <formula>AND(BH269&lt;&gt;"-",BH269&gt;#REF!)</formula>
    </cfRule>
  </conditionalFormatting>
  <dataValidations count="111">
    <dataValidation showInputMessage="1" showErrorMessage="1" sqref="G328" xr:uid="{FE5194C0-D507-496B-A3CF-5E7068B37040}"/>
    <dataValidation allowBlank="1" showInputMessage="1" showErrorMessage="1" promptTitle="Batterij aanwezig?" prompt="Per locatie moet worden aangegeven of er een batterij aanwezig is voor de opslag van door PV opgewekte zonnestroom. Let op: voor de batterijcapaciteit is een ondergrens van minimaal 5kWh van toepassing om meegerekend te kunnen worden in de UMGO." sqref="D50" xr:uid="{D91485D0-4C98-404A-824D-BB3CBC455D1E}"/>
    <dataValidation allowBlank="1" showInputMessage="1" showErrorMessage="1" promptTitle="vermeden fossiel zonder batterij" prompt="De bijdrage van de batterij wordt verrekend bij het primaire fossiele energiegebruik." sqref="D214" xr:uid="{67A7F821-7629-45D5-A369-97CBC3D3D140}"/>
    <dataValidation type="decimal" allowBlank="1" showInputMessage="1" showErrorMessage="1" errorTitle="Bereik 50%-200%" error="De ingevoerde waarde valt buiten het bereik." sqref="O44:W44 AA44:AI44 AM44:AU44 AY44:BG44" xr:uid="{059A251D-7F6A-4569-8ABF-284DC5918089}">
      <formula1>0.5</formula1>
      <formula2>2</formula2>
    </dataValidation>
    <dataValidation allowBlank="1" showInputMessage="1" showErrorMessage="1" promptTitle="Primair fossiel energiegebruik" prompt="Het primair fossiel energiegebruik in kWh_prim/m2.jaar per woningtype/gebouw, per energiepost en voor het totaal._x000a__x000a_Alleen het gebouwgebonden deel van de primaire fossiele energiegebruiken wordt meegenomen voor BENG 2." sqref="D280" xr:uid="{699A316F-031E-494D-A247-4BD1AD0C5198}"/>
    <dataValidation allowBlank="1" showInputMessage="1" showErrorMessage="1" promptTitle="geëxporteerde elektriciteit" prompt="geproducreede elektriciteit MIN geproduceerde elektriciteit die gebruikt wordt ter dekking van het gebruik op eigen perceel_x000a__x000a_Volgens formule 5.26 in paragraaf 5.5.4 uit NTA 8800 2026." sqref="D202" xr:uid="{58A7B3A3-E69A-449B-A169-1B444D2E8880}"/>
    <dataValidation allowBlank="1" showInputMessage="1" showErrorMessage="1" promptTitle="correctiepost waardering opslag" prompt="Correctiepost voor de (beleidsmatige) waardering van opslagsystemen voor hernieuwbare elektriciteit in kWh._x000a__x000a_Deze wordt zonder primaire energiefactor meegenomen in het primair energiegbruik._x000a__x000a_Volgens formule 5.14a in paragraaf 5.5.2 uit NTA 8800 2026." sqref="D201" xr:uid="{F96B71FC-6BD6-4B11-9384-A4ECAEF63AF4}"/>
    <dataValidation type="list" allowBlank="1" showInputMessage="1" showErrorMessage="1" promptTitle="Energiepakket / energiebehoefte" sqref="M50 Y50 AK50 AW50" xr:uid="{CC5D5415-48DB-4EA3-B988-9DC48CFCE162}">
      <formula1>"ja,nee"</formula1>
    </dataValidation>
    <dataValidation allowBlank="1" showInputMessage="1" showErrorMessage="1" promptTitle="direct gebruik elektriciteit PV" prompt="Volgens formule AB.65 in paragraaf AB.2.3.2. uit NTA 8800 2026." sqref="D205" xr:uid="{9BCC85AB-0A74-48C2-87D9-0AA4C0439A25}"/>
    <dataValidation allowBlank="1" showInputMessage="1" showErrorMessage="1" promptTitle="direct gebruik elektriciteit wkk" prompt="Volgens formule AB.66 in paragraaf AB.2.3.2. uit NTA 8800 2026." sqref="D208" xr:uid="{9953AF4F-C463-41AD-BB1F-96747B546F52}"/>
    <dataValidation allowBlank="1" showInputMessage="1" showErrorMessage="1" promptTitle="Primair energiegebruik" prompt="De Uniforme Maatlat rekent op onderwaarde. De EPG rekent echter op bovenwaarde. De berekende primaire energiebruiken in de EPG zijn daarom hoger." sqref="D174" xr:uid="{A478AAB2-D2B3-4718-A286-85E194AD1F4B}"/>
    <dataValidation type="decimal" allowBlank="1" showInputMessage="1" showErrorMessage="1" sqref="O153:P153 AA153:AB153 AM153:AN153 AY153:AZ153" xr:uid="{52C5B077-51E0-4F2E-8ECC-E501691B6A08}">
      <formula1>0</formula1>
      <formula2>2</formula2>
    </dataValidation>
    <dataValidation type="list" allowBlank="1" showInputMessage="1" showErrorMessage="1" sqref="F6" xr:uid="{251DD95E-2013-4500-9381-B0FCF18B1A74}">
      <formula1>rekenmethode_EP_MWA</formula1>
    </dataValidation>
    <dataValidation type="list" allowBlank="1" showInputMessage="1" showErrorMessage="1" sqref="AA42:AI42 AM42:AU42 AY42:BG42 O42:W42" xr:uid="{ACD57782-92B8-463F-A41F-2CDE83D0BA67}">
      <formula1>DWTW_namen</formula1>
    </dataValidation>
    <dataValidation type="list" showInputMessage="1" showErrorMessage="1" sqref="G61 G63" xr:uid="{6B354BE4-A5EE-4D9B-A563-E3A670F8B0C0}">
      <formula1>beschikbare_fitformules_NTA8800</formula1>
    </dataValidation>
    <dataValidation allowBlank="1" showInputMessage="1" showErrorMessage="1" promptTitle="Specifieke interne warmtecapacit" prompt="450 kJ/m2K is een waarde die hoort bij zware gebouwen (steen, beton)_x000a__x000a_055 kJ/m2K hoort bij lichte gebouwen (hout-, staalskeletbouw) met gesloten plafonds." sqref="D49" xr:uid="{E2D8FB4C-8C88-48F2-AA2E-EA0C32653C03}"/>
    <dataValidation type="list" allowBlank="1" showInputMessage="1" showErrorMessage="1" sqref="AA49:AI49 AY49:BG49 O49:W49 AM49:AU49" xr:uid="{27D05FE2-ECAB-4CC1-ACC2-4BFA91550B45}">
      <formula1>specifieke_interne_warmtecapaciteit</formula1>
    </dataValidation>
    <dataValidation allowBlank="1" showInputMessage="1" showErrorMessage="1" promptTitle="Renocatiestandaard utiliteit" prompt="De renovatiestandaard is een vrijwillige richtlijn voor de energieprestatie van utiliteitsgebouwen. Na 2030 wordt er een verplichte eindnorm bepaald waaraan de energieprestaties van alle gebouwen moeten voldoen in 2050." sqref="D334" xr:uid="{8FF7B9A3-5E28-48A5-AD0E-209A3C0154E0}"/>
    <dataValidation allowBlank="1" showInputMessage="1" showErrorMessage="1" promptTitle="Energiepakket / energiebehoefte" sqref="O38:W38 Y38:AI38 AY38:BG38 AW38 AK38 AM38:AU38" xr:uid="{B30AABC2-60D8-4361-8654-22C6DBE7AC90}"/>
    <dataValidation type="list" allowBlank="1" showInputMessage="1" showErrorMessage="1" promptTitle="Energiepakket / energiebehoefte" sqref="AY39:BG39 AA39:AI39 AM39:AU39 O39:W39" xr:uid="{554A5018-8911-4191-BDAD-1C25E3A493A5}">
      <formula1>isolatiepakketten_gebouwschil_namen</formula1>
    </dataValidation>
    <dataValidation allowBlank="1" showInputMessage="1" showErrorMessage="1" promptTitle="Correctie warmtebehoefte RV" prompt="In slecht geïsoleerde gebouwen berekent NTA8800 gemiddeld té hoge energiegebruiken voor ruimteverwarming._x000a_De correctie corrigeert de NTA berekening op basis van de gemiddelde U-waarde._x000a__x000a_&gt;&gt; energieprestatie-indicatoren zijn alleen geldig ZONDER correctie." sqref="D6" xr:uid="{F226F377-5FF0-4F31-AC84-58B292EC430D}"/>
    <dataValidation type="whole" allowBlank="1" showInputMessage="1" showErrorMessage="1" errorTitle="Invoer valt buiten bereik" error="De ingevoerde waarde valt buiten het bereik." sqref="AY56:BG56 O56:W56 AA56:AI56 AM56:AU56" xr:uid="{0FDBC007-0B86-4065-8049-98EDFC2457EE}">
      <formula1>0</formula1>
      <formula2>1000</formula2>
    </dataValidation>
    <dataValidation allowBlank="1" showInputMessage="1" showErrorMessage="1" promptTitle="Indicatie warmtebehoefte RV" prompt="Indicatie warmtebehoefte ruimteverwarming (RV) NTA8800 cf. energieprestatie (EP) of cf. maatwerkadvies (MWA). Berekend met benaderingsformules op basis van bouwmassa, ventilatiesysteem, gebruiksfunctie, Ugemiddeld en de vormfactor." sqref="D55" xr:uid="{4FD8BE99-B180-4AFF-B690-61B2A1751C44}"/>
    <dataValidation allowBlank="1" showInputMessage="1" showErrorMessage="1" promptTitle="Standaardwaarde" prompt="Deze standaard geeft aan wanneer een woning goed genoeg is geïsoleerd om aardgasvrij te worden. Hij is ontstaan uit het Klimaatakkoord._x000a_" sqref="D335" xr:uid="{7A086124-553F-45C8-9C75-2332D2A40CF3}"/>
    <dataValidation allowBlank="1" showInputMessage="1" showErrorMessage="1" promptTitle="CO2 emissiecoëfficiënt" prompt="CO2 emissiecoëfficiënt energiedrager._x000a__x000a_Bij collectieve WKK met/zonder derving, geothermie, etc wordt de CO2 emissiecoëfficiënt uitgerekend cf. NEN7125_2017 paragraaf 7.3.4.5/6/9._x000a__x000a_Bij een EMG-verklaring wordt de waarde voor K_CO2 del overgenomen." sqref="D128" xr:uid="{581E3E35-89DD-4B00-A4C6-F83D43A8A0AB}"/>
    <dataValidation allowBlank="1" showInputMessage="1" showErrorMessage="1" promptTitle="Elektriciteitsderving bij WKK" prompt="Bij WKK's waarbij de elektriciteitsproductie afneemt bij onttrekking van warmte, wordt de primaire energiefactor uitgerekend met de verhouding tussen elektriciteitsderving en thermische omzettingsgetal (Δε;chp;el / ε;chp;th)._x000a__x000a_NEN7125_2017 par 7.3.4.6" sqref="D113" xr:uid="{0A84D65C-7F34-49FA-94B9-D67E52BFBF73}"/>
    <dataValidation allowBlank="1" showInputMessage="1" showErrorMessage="1" promptTitle="Primaire energiefactor" prompt="Primaire energiefactor energiedrager._x000a__x000a_Bij collectieve WKK met/zonder derving, geothermie, etc wordt de primaire energiefactor uitgerekend cf. NEN7125_2017 paragraaf 7.3.4.5/6/9._x000a__x000a_Bij een EMG-verklaring wordt de waarde voor fPdel overgenomen." sqref="D118" xr:uid="{92272526-1BA8-42C8-AD66-275D92D5518C}"/>
    <dataValidation type="textLength" allowBlank="1" showInputMessage="1" showErrorMessage="1" errorTitle="Maximaal 65 karakters" error="Maximaal 65 karakters." sqref="F4" xr:uid="{BE713C37-E316-428E-84EF-DCAD5915BD26}">
      <formula1>0</formula1>
      <formula2>65</formula2>
    </dataValidation>
    <dataValidation type="textLength" errorStyle="warning" allowBlank="1" showInputMessage="1" showErrorMessage="1" errorTitle="Maximaal 30 karakters" error="Maximaal 30 karakters" sqref="H3" xr:uid="{B590A529-380D-4343-8FB7-D428E0AFE47B}">
      <formula1>0</formula1>
      <formula2>40</formula2>
    </dataValidation>
    <dataValidation type="textLength" errorStyle="warning" allowBlank="1" showInputMessage="1" showErrorMessage="1" errorTitle="Maximaal 30 karakters" error="Maximaal 30 karakters" sqref="E3 F4" xr:uid="{19A10382-0F95-4CF5-90AC-C71F91B0416A}">
      <formula1>0</formula1>
      <formula2>30</formula2>
    </dataValidation>
    <dataValidation allowBlank="1" showInputMessage="1" showErrorMessage="1" promptTitle="Elektriciteit 'overig'" prompt="Elektriciteit 'overig' is het elektriciteitsgebruik voor hulpenergie installaties, verlichting, ventilatoren, apparatuur, mobiliteit, elektrisch koken, etcetera." sqref="D169" xr:uid="{6B545AED-7889-431D-AC66-57A5727751AB}"/>
    <dataValidation allowBlank="1" showInputMessage="1" showErrorMessage="1" promptTitle="Indicatie geïnstalleerd vermogen" prompt="Forfaitaire, conservatieve, waarden in NTA8800, par. 14.3, in W/m2:_x000a_- winkels: 30_x000a_- gezondheid met bed, logies, cellen: 17_x000a_- overige functies: 16_x000a__x000a_Gebruikelijk is 30% lager._x000a_Energiezuinig 50%-60% lager." sqref="D45" xr:uid="{7949F6F1-075F-45E6-8CDE-2842E3D9337A}"/>
    <dataValidation allowBlank="1" showInputMessage="1" showErrorMessage="1" promptTitle="Bijdrage zonthermisch MWh" prompt="Bijdrage zonthermisch = %bijdrage zonthermisch * (energiebehoefte + intern distributieverlies)_x000a__x000a_Het % bijdrage zonthermisch is verschillend voor RV en TAP en staat in de bibliotheek." sqref="D91" xr:uid="{394F6709-3A50-4773-9D84-E0DB06A1CEC9}"/>
    <dataValidation allowBlank="1" showInputMessage="1" showErrorMessage="1" promptTitle="Aandeel hernieuwbare energie" prompt="Let op: Groen = voldoet aan eis BENG3_x000a__x000a_Aandeel hernieuwbare energie._x000a__x000a_RERPrenTOT = EPrenTot / (EPTot + EPrenTot) * 100%_x000a__x000a_Cf. NTA8800 par. 5.3.1.3, formule 5.3" sqref="D331" xr:uid="{745B8D2F-68B9-46A3-BE23-5B9EC8F11B28}"/>
    <dataValidation type="list" allowBlank="1" showInputMessage="1" showErrorMessage="1" sqref="O47:W47 AA47:AI47 AY47:BG47 AM47:AU47" xr:uid="{7CCD4AC4-AA48-4643-9468-FDDBD372712C}">
      <formula1>"elektriciteit,aardgas"</formula1>
    </dataValidation>
    <dataValidation allowBlank="1" showInputMessage="1" showErrorMessage="1" promptTitle="Kookgas" prompt="Gasverbruik voor kookgas." sqref="D68" xr:uid="{075B92BB-F3D1-4A57-9DC9-8C2C09F39EA7}"/>
    <dataValidation allowBlank="1" showInputMessage="1" showErrorMessage="1" promptTitle="Hernieuwbare 'primaire' energie" prompt="De totale hernieuwbare 'primaire' energie voor GEBOUWGEBONDEN energiegebruik is berekend cf. NTA8800._x000a__x000a_NTA8800 par. 5.6." sqref="D302" xr:uid="{96641554-9CC1-40F9-928A-4D3BB52A8DEF}"/>
    <dataValidation allowBlank="1" showInputMessage="1" showErrorMessage="1" promptTitle="Energieprestatie indicatoren" prompt="De energieprestatie indicatoren gaan alleen over GEBOUWGEBONDEN energiegebruik en zijn bepaald cf. paragraaf 5.3.1 van NTA 8800._x000a__x000a_" sqref="D320" xr:uid="{155D2F3E-5413-40CC-9BD0-B9034B5220B7}"/>
    <dataValidation allowBlank="1" showInputMessage="1" showErrorMessage="1" promptTitle="Energielabel" prompt="Het energielabel wordt bepaald op basis van het gebouwgebonden primair energiegebruik in kWh/m2._x000a__x000a_Zie 'Regeling energieprestatie gebouwen', https://wetten.overheid.nl/BWBR0020921/2021-07-01" sqref="D333" xr:uid="{CF66E727-FBC8-42E0-9208-354EF9EC0364}"/>
    <dataValidation allowBlank="1" showInputMessage="1" showErrorMessage="1" promptTitle="Besparing warmtevraag TAP (MWA)" prompt="Reductie (of toename) van de warmtevraag voor warmtapwater t.o.v. van de berekende warmtevraag cf. NTA 8800._x000a__x000a_Te denken valt aan waterbesparende kranen, lagere bezetting, bewust energiezuinig gedrag, et cetera." sqref="D44" xr:uid="{ED3DBA0B-3E42-4452-966E-FC619FCF9076}"/>
    <dataValidation allowBlank="1" showInputMessage="1" showErrorMessage="1" promptTitle="Woningen|utiliteitsgebouwen" prompt="De tabel geeft een terugkoppeling van de ingevoerde woningen en utileitsgebouwen in" sqref="D16" xr:uid="{0A5EA0AB-0189-491F-B612-7E7D263405B1}"/>
    <dataValidation allowBlank="1" showInputMessage="1" showErrorMessage="1" promptTitle="Resultaten" prompt="De tabel geeft een samenvatting van het primair energiegebruik, de CO2 emissie en het gasverbruik van de locatie(s) als gevolg van energetische keuzes in deze variant." sqref="D10" xr:uid="{21737C9D-6CBD-4967-9B74-D440A8F7F65B}"/>
    <dataValidation allowBlank="1" showInputMessage="1" showErrorMessage="1" promptTitle="Niet preferent toestel" prompt="Kenmerken wijzigen van het niet preferente toestel (niet preferent toestel bepaald door type installatie)._x000a_De kenmerken bepalen de te leveren warmte|koude door het niet preferente toestel, het finaal/primair energiegebruik en de CO2 emissie." sqref="D138" xr:uid="{EE9B0E93-8415-446D-BF47-D30700AF1D69}"/>
    <dataValidation allowBlank="1" showInputMessage="1" showErrorMessage="1" promptTitle="Preferent toestel" prompt="Hier kunnen de kenmerken van het al eerder gekozen preferente toestel worden gewijzigd._x000a_De kenmerken bepalen welk deel van de te leveren warmte|koude door het preferente toestel geleverd wordt en hoeveel primair energiegebruik en CO2 emissie dat kost." sqref="D102" xr:uid="{0AE3FD2A-1513-4DD3-8B73-D60FB1730789}"/>
    <dataValidation allowBlank="1" showInputMessage="1" showErrorMessage="1" promptTitle="Te leveren warmte en koude" prompt="Aan het distributiesysteem te leveren warmte|koude wordt berekend op basis van de warmte- en koudevraag van woningen en utiliteitsgebouwen (energiebehoefte per energiepost), de verliezen door warmte-/koudedistributie en gebruik van thermische zonnewarmte." sqref="D96" xr:uid="{53C4987B-7D09-462A-B762-5E393D871C81}"/>
    <dataValidation allowBlank="1" showInputMessage="1" showErrorMessage="1" promptTitle="Keuze preferent toestel" prompt="De keuze van het preferente toestel bepaalt welke forfaitaire waarden voor warmtedistributie, energiedragers en rendementen uit de bibliotheek worden opgehaald." sqref="D82" xr:uid="{4B8E0883-0857-4B8B-9C43-6B4CC44C37A8}"/>
    <dataValidation allowBlank="1" showInputMessage="1" showErrorMessage="1" promptTitle="Installatie" prompt="De installatie voor verwarming, koeling en warmtapwater wordt vastgelegd door keuze voor het type preferent toestel, de warmteverliezen door interen en externe warmtedistributie en gebruik van thermische zonne-energie." sqref="D81" xr:uid="{6F89AB2E-D9ED-4E0E-B835-56DD75101C40}"/>
    <dataValidation allowBlank="1" showInputMessage="1" showErrorMessage="1" promptTitle="Thermische zonne-energie" prompt="Het thermisch zonne-energiesysteem levert een % van de warmtevraag inclusief intern distributieverlies._x000a__x000a_In de UMGO worden de volgende forfaitaire waarden aangehouden:_x000a_- ruimteverwarming: 15%;_x000a_- warmtapwater: 50%." sqref="D89" xr:uid="{C0515989-67F8-4B3B-A027-4165536524DF}"/>
    <dataValidation allowBlank="1" showInputMessage="1" showErrorMessage="1" promptTitle="Energie niet voor verwarmen/koel" prompt="Elektra en gas NIET voor verwarmen/koelen._x000a_- gebouwgebonden (hulpenergie_x000a_   toestellen, verlichting,_x000a_   ventilatoren);_x000a_- niet gebouwgebonden (apparatuur_x000a_   (tv, computer, elektrisch koken,_x000a_   klusapparatuur, etc), mobiliteit);_x000a_-  kookgas" sqref="D164" xr:uid="{07822341-31A5-4921-A916-4EADE297819E}"/>
    <dataValidation type="decimal" allowBlank="1" showInputMessage="1" showErrorMessage="1" errorTitle="Bereik 0,0-0,5" error="De ingevoerde waarde valt buiten het bereik." sqref="O135:Q135 AA135:AC135 AY135:BA135 AM135:AO135" xr:uid="{CB06BFFE-6C47-4DDE-9F50-767FF0B2F4F0}">
      <formula1>0</formula1>
      <formula2>0.5</formula2>
    </dataValidation>
    <dataValidation type="decimal" allowBlank="1" showInputMessage="1" showErrorMessage="1" errorTitle="Bereik 0,0-1,0" error="De ingevoerde waarde valt buiten het bereik." sqref="AY167:BA167 AA129:AC129 AY129:BA129 O160:Q160 AA160:AC160 AY160:BA160 O167:Q167 AA167:AC167 P129:Q129 AM167:AO167 AM160:AO160 AM129:AO129" xr:uid="{5A97C77D-4967-47FA-AF10-A43FF5344D39}">
      <formula1>0</formula1>
      <formula2>1</formula2>
    </dataValidation>
    <dataValidation type="decimal" allowBlank="1" showInputMessage="1" showErrorMessage="1" errorTitle="Bereik 0,0-2,0" error="De ingevoerde waarde valt buiten het bereik." sqref="O119:Q119 AA119:AC119 AY119:BA119 O150:Q150 AA150:AC150 AY150:BA150 O129 AM150:AO150 AM119:AO119 O125:Q125 O123:Q123 O156:Q156 O154:Q154 AA125:AC125 AA123:AC123 AM125:AO125 AM123:AO123 AY125:BA125 AY123:BA123 AA156:AC156 AA154:AC154 AM156:AO156 AM154:AO154 AY156:BA156 AY154:BA154" xr:uid="{C89FD045-5B84-43D7-8E3C-817627042132}">
      <formula1>0</formula1>
      <formula2>2</formula2>
    </dataValidation>
    <dataValidation type="decimal" allowBlank="1" showInputMessage="1" showErrorMessage="1" errorTitle="Bereik 0,10-1,00" error="De ingevoerde waarde valt buiten het bereik." sqref="O87 Q87 AA87 AC87 AY87 BA87 AM87 AO87" xr:uid="{4B08AFA5-8FBA-4FB2-8D8C-3FA2050E295D}">
      <formula1>0.1</formula1>
      <formula2>1</formula2>
    </dataValidation>
    <dataValidation type="decimal" operator="greaterThanOrEqual" allowBlank="1" showInputMessage="1" showErrorMessage="1" errorTitle="Bereik ≥0" error="De ingevoerde waarde valt buiten het bereik." promptTitle="Energiepakket / energiebehoefte" sqref="O73:W73 AM73:AU73 AY73:BG73 AA73:AI73" xr:uid="{F0D11C23-F34F-4423-BEB6-E6D9339188B9}">
      <formula1>0</formula1>
    </dataValidation>
    <dataValidation type="decimal" operator="greaterThanOrEqual" allowBlank="1" showInputMessage="1" showErrorMessage="1" errorTitle="Bereik ≥0" error="De ingevoerde waarde valt buiten het bereik." sqref="BA94 O71:W71 AA71:AI71 O94 Q94 AA94 AC94 AM94 AO94 AY94 AY71:BG71 AM71:AU71" xr:uid="{BFB51B22-1E63-4579-BB3F-872B79CDA762}">
      <formula1>0</formula1>
    </dataValidation>
    <dataValidation type="decimal" allowBlank="1" showInputMessage="1" showErrorMessage="1" errorTitle="Bereik 0-30" error="De ingevoerde waarde valt buiten het bereik." sqref="O45:W45 AA45:AI45 AY45:BG45 AM45:AU45 O50:W50 AA50:AI50 AM50:AU50 AY50:BG50" xr:uid="{54E67914-5789-4E29-BB0D-91941A09EB6A}">
      <formula1>0</formula1>
      <formula2>30</formula2>
    </dataValidation>
    <dataValidation type="decimal" operator="greaterThanOrEqual" allowBlank="1" showInputMessage="1" showErrorMessage="1" errorTitle="Bereik ≥0" error="De ingevulde waarde valt buiten het bereik." sqref="O23:W23 AA23:AI23 AY23:BG23 AM23:AU23" xr:uid="{719452AF-5F35-4C0A-891B-3F4C481003E6}">
      <formula1>0</formula1>
    </dataValidation>
    <dataValidation type="decimal" allowBlank="1" showInputMessage="1" showErrorMessage="1" errorTitle="Bereik 0%-100%" error="De ingevoerde waarde valt buiten het bereik." sqref="AA48:AI48 O48:W48 AM48:AU48 AY48:BG48" xr:uid="{A91E3909-F54A-4C84-BED1-E79DED407C17}">
      <formula1>0</formula1>
      <formula2>1</formula2>
    </dataValidation>
    <dataValidation type="decimal" allowBlank="1" showInputMessage="1" showErrorMessage="1" errorTitle="Bereik 0,1-15,0" error="De ingevoerde waarde valt buiten het bereik." sqref="AA112:AC112 AY112:BA112 AY146:BA146 O146:Q146 AA146:AC146 O112:Q112 AM146:AO146 AM112:AO112" xr:uid="{3BD4C3CE-883F-4524-8A44-9C34F9EC496E}">
      <formula1>0.1</formula1>
      <formula2>15</formula2>
    </dataValidation>
    <dataValidation type="decimal" allowBlank="1" showInputMessage="1" showErrorMessage="1" errorTitle="Bereik 0%-100%" error="De ingevoerde waarde is buiten het bereik." sqref="AY109:BA109 AA109:AC109 O109:Q109 AM109:AO109" xr:uid="{2DB26AA5-EFA9-4686-855A-BB9E501F9517}">
      <formula1>0</formula1>
      <formula2>1</formula2>
    </dataValidation>
    <dataValidation allowBlank="1" showInputMessage="1" showErrorMessage="1" promptTitle="Hernieuwbaar ext. warmte/koude" prompt="Ingezette hernieuwbare energie door externe warmte-/koudelevering._x000a__x000a_EPren;gen;out = Q[HCW];gen;out * fPren;d[hcw]X_x000a__x000a_X staat voor 'kwal' (kwalteitsverklaring) of 'forf' (forfaitair)._x000a__x000a_Cf. NTA8800 par. 5.6.2." sqref="D254" xr:uid="{438F03A0-7235-454A-83DF-0A50EB6C3314}"/>
    <dataValidation allowBlank="1" showInputMessage="1" showErrorMessage="1" promptTitle="primaire energie indicator" prompt="Let op: groen = voldoet aan eis BENG 2._x000a__x000a_Het totale gebouwgebonden primaire (vermeden) energiegebruik (voor woningen ZONDER verlichting) in kWh/m2._x000a__x000a_NTA8800, par. 5.3.1.2_x000a__x000a_" sqref="D330" xr:uid="{A954AEFC-28B5-4A05-B8A0-DFFB199A373E}"/>
    <dataValidation allowBlank="1" showInputMessage="1" showErrorMessage="1" promptTitle="energiebehoefte-indicator" prompt="Let op: groen = voldoet aan eis BENG 1_x000a__x000a_Warmtebehoefte ruimteverwarming + koudebehoefte voor koeling, berekend met ventilatiesysteem C1, in kWh/m2._x000a__x000a_NTA8800, par. 5.3.1.1_x000a__x000a_" sqref="D329" xr:uid="{F12D1124-EF50-404B-80C8-650DA777C07B}"/>
    <dataValidation allowBlank="1" showInputMessage="1" showErrorMessage="1" promptTitle="Energieprestaties" prompt="De berekende energieprestatie (bestaande bouw EN nieuwbouw) is afgezet tegen de BENG eisen voor NIEUWBOUW._x000a__x000a_GROEN: berekende waarde voldoet WEL aan de eis_x000a_ROOD: berekende waarde voldoet NIET aan de eis_x000a__x000a_" sqref="D327" xr:uid="{F17D7FC7-BC97-4911-B960-1CE4ED85ED55}"/>
    <dataValidation allowBlank="1" showInputMessage="1" showErrorMessage="1" promptTitle="BENG eisen 2021" prompt="De BENG eisen zijn overgenomen van:_x000a__x000a_https://zoek.officielebekendmakingen.nl/stb-2019-501.html_x000a__x000a_" sqref="D323" xr:uid="{267A8A25-51BA-4B43-B99A-8277674341C3}"/>
    <dataValidation allowBlank="1" showInputMessage="1" showErrorMessage="1" promptTitle="Energiegebruik per energiepost" prompt="Per deellocatie is de energiebehoefte van alle woningen en gebouwen per energiepost gesommeerd." sqref="D78" xr:uid="{1730F390-9E83-4FC8-A39E-A382D0EF6F2D}"/>
    <dataValidation allowBlank="1" showInputMessage="1" showErrorMessage="1" promptTitle="Besparing elektr. apparatuur" prompt="Reductie van het niet gebouwgebonden elektriciteitsgebruik zoals dat in de onderstaande tabel is berekend._x000a__x000a_Een reductie van 100% betekent dat in de UMGO het niet gebouwgebonden elektriciteitsgebruik niet in de berekening wordt meegenomen." sqref="D48" xr:uid="{0144779B-BB09-44D8-BA42-4952F9B0B5FC}"/>
    <dataValidation allowBlank="1" showInputMessage="1" showErrorMessage="1" promptTitle="Elektriciteitsgebruik overig" prompt="Het elektriciteitsgebruik binnen het gebouw, niet gerelateerd aan gebouwinstallaties (computers, printers, elektrisch koken, klusapparatuur et cetera)._x000a__x000a_Voor woningen zijn CBS cijfers gebruikt. Voor utiliteitsgebouwen tabel 7.3 uit NTA8800." sqref="D69" xr:uid="{FD9940CE-B539-423B-B2F7-B8DFF273358A}"/>
    <dataValidation allowBlank="1" showInputMessage="1" showErrorMessage="1" promptTitle="Elektriciteitsvraag ventilatoren" prompt="De elektriciteitsvraag voor ventilatoren is afgeleid met gebouwen uit de energielabeldatabase (UT) en Voorbeeldgebouwen 2020. Na (her)berekenen met NTA8800 wordt de elektricitetsvraag berekend obv:_x000a_- ventilatiesysteem_x000a_- wissel-gelijkstroom/installatiejaar" sqref="D67" xr:uid="{D53F67CD-7CF5-4C61-A8F9-84F45F68AE4C}"/>
    <dataValidation allowBlank="1" showInputMessage="1" showErrorMessage="1" promptTitle="Elektriciteitsvraag verlichting" prompt="De elektriciteitsvraag voor verlichting is afgeleid met gebouwen uit de energielabeldatabase (UT) en Voorbeeldgebouwen 2020. Na (her)berekenen met NTA8800 wordt de elektricitetsvraag berekend obv:_x000a_- geïnstalleerd vermogen in W/m2_x000a_- verlichtingsregeling" sqref="D66" xr:uid="{59F48E0A-5906-4E3F-B217-1516F2D2A5A7}"/>
    <dataValidation allowBlank="1" showInputMessage="1" showErrorMessage="1" promptTitle="Koudebehoefte koeling" prompt="De koudebehoefte voor koeling is afgeleid met data van gebouwen uit de energielabeldatabase (UT) en Voorbeeldgebouwen 2020. Na (her)berekenen met NTA8800 is een verband afgeleid tussen koudebehoefte en:_x000a_- Als/Ag_x000a_- U gem_x000a_- vent.sys." sqref="D64" xr:uid="{155603D9-DB9E-4F03-8604-39D716BD5E64}"/>
    <dataValidation allowBlank="1" showInputMessage="1" showErrorMessage="1" promptTitle="Warmtebehoefte ruimteverwarming" prompt="De warmtebehoefte voor verwarming is afgeleid met data van gebouwen uit de energielabeldatabase (UT) en Voorbeeldgebouwen 2020. Na (her)berekenen met NTA8800 is een verband afgeleid tussen warmtebehoefte en:_x000a_- Als/Ag_x000a_- U gem_x000a_- vent.sys." sqref="D62" xr:uid="{9953B580-8CA7-4393-A6EA-0F0DDBAD3575}"/>
    <dataValidation allowBlank="1" showInputMessage="1" showErrorMessage="1" promptTitle="Hernieuwbaar door vrije koeling" prompt="Geleverde energie door vrije koeling. Mits EER &gt;= 8 (anders EPren;gen;out = 0)_x000a__x000a_EPren;gen;out = QC;gen;out * fPren;rencold_x000a__x000a_Cf. NTA8800 par. 5.6.2.2_x000a_" sqref="D307 D252" xr:uid="{363CD9B1-C303-4283-98BA-4A72AF09E4FC}"/>
    <dataValidation allowBlank="1" showInputMessage="1" showErrorMessage="1" promptTitle="Aandeel hernieuwb. prim energie" prompt="Aandeel hernieuwbare energie._x000a__x000a_RERPrenTOT = EPrenTot / (EPTot + EPrenTot) * 100%_x000a__x000a_Cf. NTA8800 par. 5.3.1.3, formule 5.3" sqref="D317" xr:uid="{1BC5749D-A2AD-44EC-8F00-3C9B95BE03AC}"/>
    <dataValidation allowBlank="1" showInputMessage="1" showErrorMessage="1" promptTitle="Hernieuwb. abs. koel ext. warmte" prompt="Geleverde energie door absorptiekoeling op externe warmtelevering._x000a__x000a_EPren;gen;out = QC;gen;out * fPren;dhX_x000a__x000a_Waarbij de X in fPren;dhX staat voor 'kwal' (met) of 'forf' (zonder kwalteitsverklaring)._x000a__x000a_Cf. NTA8800 par. 5.6.2." sqref="D310 D255" xr:uid="{5575ADA9-307E-4B14-9A76-3560D12D94A3}"/>
    <dataValidation allowBlank="1" showInputMessage="1" showErrorMessage="1" promptTitle="Totaal hernieuwbare prim energie" prompt="Hernieuwbare 'primaire' energie van de woning of het gebouw." sqref="D315" xr:uid="{B5A1E9D0-4714-47D0-B306-B3F3EC781AA5}"/>
    <dataValidation allowBlank="1" showInputMessage="1" showErrorMessage="1" promptTitle="Hernieuwbaar opgewekte elek." prompt="Op het eigen perceel opgewekte primaire hernieuwbare elektriciteit._x000a__x000a_EPren;el = Eel;PV/PVT/wind * fPren;renelect_x000a__x000a_Cf. NTA8800 par. 5.6.2.4." sqref="D313 D257" xr:uid="{52B7086D-6CCC-49CF-A6CD-1D0382CB39FB}"/>
    <dataValidation allowBlank="1" showInputMessage="1" showErrorMessage="1" promptTitle="Hernieuwbaar zonne-energie therm" prompt="Onder praktijkomstandigheden aangeleverde hoeveelheid hernieuwbare energie, door thermische zonne-energiesystemen (zonneboiler(combi)s op eigen perceel._x000a__x000a_EPren;sol;prac = QHW;sol;prac * fPren;renheat_x000a__x000a_Cf. NTA8800 par. 5.6.2._x000a_" sqref="D311 D256" xr:uid="{3251F782-5E43-4491-883E-0271F21CB058}"/>
    <dataValidation allowBlank="1" showInputMessage="1" showErrorMessage="1" promptTitle="Hernieuwbaar ext. warmte/koude" prompt="Ingezette hernieuwbare energie door externe warmte-/koudelevering. Waarbij de X in fPren;d[hcw]X staat voor 'kwal' (met) of 'forf' (zonder kwalteitsverklaring)._x000a__x000a_EPren;gen;out = Q[HCW];gen;out * fPren;d[hcw]X_x000a__x000a_Cf. NTA8800 par. 5.6.2._x000a_" sqref="D309" xr:uid="{9D94C35F-CBDF-407B-BE53-57BD2E1912AD}"/>
    <dataValidation allowBlank="1" showInputMessage="1" showErrorMessage="1" promptTitle="Hernieuwbare energie biomassa" prompt="Ingezette hernieuwbare energie door biomassatoestel._x000a__x000a_EPren;gen;out = QHW;gen;out * fPren;bmX_x000a__x000a_Waarbij de X in fPren;bmX staat voor A, B of C afhankelijk van het type biomassa._x000a__x000a_Cf. NTA8800 par. 5.6.2._x000a_" sqref="D308 D253" xr:uid="{90817D92-55F4-423F-9C6F-302FFFB6BCA1}"/>
    <dataValidation allowBlank="1" showInputMessage="1" showErrorMessage="1" promptTitle="Hernieuwbare energie warmtepomp" prompt="Ingezette hernieuwbare energie door warmtepompen. Mits EN:_x000a_- COP (of eta) &gt;=1,0;_x000a_- bron is GEEN ventilatieretourlucht_x000a_- warmtepomp GEEN booster-wp._x000a__x000a_EPren;hp = QHW;gen;hp;out * (1-1/COP) * fPren;renheat_x000a__x000a_Cf. NTA8800 par. 5.6.2." sqref="D306 D251" xr:uid="{91C993D7-F9C1-4729-9DBA-EC41495A3C9D}"/>
    <dataValidation allowBlank="1" showInputMessage="1" showErrorMessage="1" promptTitle="Aantal toestellen" prompt="Voor toestellen met geografisch niveau:_x000a_- 'gebouw': aantal woningen en gebouwen in deellocatie._x000a_- 'gebied': totale gebruiksoppervlakte in deelgebied delen door gemiddeld maximaal te verwarmen/koelen oppervlak._x000a_- 'centraal': 1." sqref="D98" xr:uid="{30F85BD1-331C-47D7-8FA8-308214C1A1E2}"/>
    <dataValidation allowBlank="1" showInputMessage="1" showErrorMessage="1" promptTitle="Vermogen verwarming &amp; koeling" prompt="Een indicatie van het verwarmings- en koelvermogen op basis van formules NTA8800. Zie 'bibliotheek' voor meer details." sqref="D99" xr:uid="{EF471DCB-AEEF-44D8-A60A-B5D2AFBE6E08}"/>
    <dataValidation type="list" allowBlank="1" showInputMessage="1" showErrorMessage="1" sqref="AM46:AU46 AA46:AI46 AY46:BG46 O46:W46" xr:uid="{C35D38C4-1594-438A-A354-F014A2D28584}">
      <formula1>verlichtingsregeling_namen</formula1>
    </dataValidation>
    <dataValidation type="list" allowBlank="1" showInputMessage="1" showErrorMessage="1" sqref="AM41:AU41 AA41:AI41 AY41:BG41 O41:W41" xr:uid="{B03D43DC-875E-43D4-87F9-65E00AA7E9EB}">
      <formula1>ventilatoren_typen</formula1>
    </dataValidation>
    <dataValidation type="list" allowBlank="1" showInputMessage="1" showErrorMessage="1" sqref="O40:W40 AY40:BG40 AA40:AI40 AM40:AU40" xr:uid="{1A26113A-C039-49C4-89DE-484F922889A9}">
      <formula1>ventilatiesystemen_namen</formula1>
    </dataValidation>
    <dataValidation allowBlank="1" showErrorMessage="1" promptTitle="Correctiefactor ruimteverwarming" prompt="Werkelijk energiegebruik voor ruimteverwarming wijkt vaak af van energiegebruik cf. EPG._x000a__x000a_Slecht geïsoleerde woningen verbruiken gemiddeld minder en goed geïsoleerde woningen verbruiken gemiddeld meer dan berekend._x000a__x000a_Deze correctiefactor verrekent dat." sqref="D56" xr:uid="{8441666E-CB76-4893-A536-76DE76FAF7CF}"/>
    <dataValidation type="list" allowBlank="1" showInputMessage="1" showErrorMessage="1" errorTitle="Toestel RV" error="Kies een beschikbaar toestel." sqref="Q90 AA90 AC90 AM90 AO90 AY90 BA90 O90" xr:uid="{D18F70F5-72BE-4889-A35F-BB8B0F6F5904}">
      <formula1>"ja,nee"</formula1>
    </dataValidation>
    <dataValidation allowBlank="1" showInputMessage="1" showErrorMessage="1" promptTitle="Isolatiepakket gebouwschil" prompt="De aangeboden isolatiepakketten voor de gebouwschil bepalen de gemiddelde warmtedoorgangscoëfficiënt van de gebouwschil. In de bibliotheek zijn de Rc- en U-waarden per pakket en per bouwdeel aangegeven._x000a__x000a_Eigen pakketten zijn daaraan toe te voegen." sqref="D38" xr:uid="{323CD846-D1E3-4E48-B708-F0D981A86741}"/>
    <dataValidation allowBlank="1" showInputMessage="1" showErrorMessage="1" promptTitle="Warmtebehoefte warmtapwater" prompt="De energiebehoefte voor warmtapwatergebruik wordt berekend op basis van rekenregels in NTA8800 (paragraaf 13.2)." sqref="D65" xr:uid="{7C6AAFBD-6148-4DB1-8585-DF840101E7C4}"/>
    <dataValidation allowBlank="1" showInputMessage="1" showErrorMessage="1" promptTitle="Gegevensfilter en navigatie" prompt="&lt;-_x000a_Het gegevensfilter biedt de mogelijkheid om (delen van) tabellen in de UMGO te filteren._x000a__x000a_-&gt;_x000a_Navigatieknoppen naar andere tabbladen." sqref="D8" xr:uid="{AC4DD9AE-CC8D-49B4-8533-1B22D06BE7C4}"/>
    <dataValidation allowBlank="1" showInputMessage="1" showErrorMessage="1" promptTitle="Distributieverlies binnen gebouw" prompt="Warmtedistributieverlies binnen woning|gebouw voor ruimteverwarming en warmtapwater, en afgifteverlies (radiator, vloerverwarming) voor ruimteverwarming._x000a_(Afgifteverlies voor warmtapwater zit verwerkt in het kengetal voor energiebehoefte warmtapwater.)" sqref="D85" xr:uid="{5CF779ED-E31E-4660-8D05-8C3B90106E17}"/>
    <dataValidation type="list" allowBlank="1" showInputMessage="1" showErrorMessage="1" sqref="Q83 AC83 AO83 BA83" xr:uid="{FDEB4C14-D1F2-4E89-9F2A-C3DF2227E5F3}">
      <formula1>toestellen_TAP_invoer</formula1>
    </dataValidation>
    <dataValidation type="list" allowBlank="1" showInputMessage="1" showErrorMessage="1" sqref="P83 AN83 AB83 AZ83" xr:uid="{B3E57E22-E7A0-4F73-AD4A-35D51C70EC13}">
      <formula1>toestellen_KOEL_invoer</formula1>
    </dataValidation>
    <dataValidation type="list" allowBlank="1" showInputMessage="1" showErrorMessage="1" sqref="F5" xr:uid="{4A9B2F29-0082-47FE-8F2E-9B2E1AB60AB9}">
      <formula1>opwekking_elektriciteit</formula1>
    </dataValidation>
    <dataValidation allowBlank="1" showInputMessage="1" showErrorMessage="1" promptTitle="BENG-eisen" prompt="Als er meer dan één gebruiksfunctie is, dan is de eis gelijk aan het naar gebruiksoppervlakte gewogen gemiddelde over de verschillende functies." sqref="A315" xr:uid="{95905291-14C2-4918-8735-DF00C4690D91}"/>
    <dataValidation allowBlank="1" showInputMessage="1" showErrorMessage="1" promptTitle="Regerenatie WKO" prompt="Indien regeneratie van de WKO wordt voorzien wordt het elektriciteitsverbruik voor regeneratie bepaald als volgt:_x000a_Elektriciteitsverbruik regeneratie = abs (hoeveelheid warmte uit aquifer – hoeveelheid koude uit aquifer) * specifiek vermogen regeneratie_x000a_" sqref="D132" xr:uid="{285AE93C-76FA-44A0-9B47-897B6CDD3C53}"/>
    <dataValidation type="whole" allowBlank="1" showInputMessage="1" showErrorMessage="1" sqref="AB151:AC151 AZ151:BA151 P151:Q151 AN151:AO151" xr:uid="{F29EA0C2-1AE6-4C31-9C4A-87ECFB76885B}">
      <formula1>0</formula1>
      <formula2>1</formula2>
    </dataValidation>
    <dataValidation type="decimal" allowBlank="1" showInputMessage="1" showErrorMessage="1" sqref="AA151 O151 O155:Q155 AA155:AC155 AM155:AO155 AM151 AY151 AY155:BA155" xr:uid="{5E51B4CC-7866-4497-B40B-C07E64BD33BE}">
      <formula1>0</formula1>
      <formula2>1</formula2>
    </dataValidation>
    <dataValidation allowBlank="1" showInputMessage="1" showErrorMessage="1" promptTitle="Primaire energiefactor" prompt="Het is mogelijk een eigen primaire energiefactor in te voeren. _x000a_Let op: Het verrekenen van aftapwarmte gaat via 'gederfde elektriciteit'." sqref="D149" xr:uid="{303FF637-87EB-43A2-B931-8C08929173E3}"/>
    <dataValidation allowBlank="1" showInputMessage="1" showErrorMessage="1" promptTitle="Opwekkingsrendement" prompt="Binnen de Uniforme Maatlat wordt het opwekkingsrendement op bovenwaarde gebruikt." sqref="D111" xr:uid="{E2119D6A-EA78-43B5-82A3-036CA9A0399F}"/>
    <dataValidation allowBlank="1" showInputMessage="1" showErrorMessage="1" promptTitle="Forfaitaire waarden PV" prompt="Forfaitaire waarde voor opbrengst van PV: 875 kWh/kWp._x000a_" sqref="D186" xr:uid="{C2FAC71F-94AC-41B8-8A60-979F0BEF7F11}"/>
    <dataValidation allowBlank="1" showInputMessage="1" showErrorMessage="1" promptTitle="Distributieverlies extern" prompt="Het warmteverlies bij warmtedistributie buiten het gebouw in MWh per woning en/of utiliteitsgebouw._x000a__x000a_Als hiervoor waarden beschikbaar zijn, kunnen de forfaitaire waarden uit het model worden overschreven." sqref="D92" xr:uid="{0DF3583C-EE68-4C1C-B3B0-E6F48382DB35}"/>
    <dataValidation allowBlank="1" showInputMessage="1" showErrorMessage="1" promptTitle="Relatieve bijdrage per type" prompt="De relatieve bijdrage per energiepost (verwarming, warmtapwater, ..) wordt per type woning, woongebouw, utiliteitsgebouw bepaald op basis van de primaire energiegebruiken conform EPG/BENG." sqref="D275" xr:uid="{E55C4D7E-04C0-4ACD-A069-7019FAB8B375}"/>
    <dataValidation allowBlank="1" showInputMessage="1" showErrorMessage="1" promptTitle="Karakteristiek energiegebruik" prompt="Totaal naar primaire energie omgerekend fossiele brandstoffen voor gebouwgebonden energiegebruik (voor woningen ZONDER verlichting), verminderd met primair energiegebruik op eigen perceel geproduceerde energie._x000a__x000a_Cf. NTA8800 par. 5.5." sqref="D304" xr:uid="{502DD913-2D7A-43D9-A8A0-669003DE99A1}"/>
    <dataValidation allowBlank="1" showInputMessage="1" showErrorMessage="1" promptTitle="PV" prompt="Opbrengst PV op gevel en dak in kWh per woning | utiliteitsgebouw." sqref="D73" xr:uid="{B5A1BA52-5D10-4AB7-801E-7A831401CBED}"/>
    <dataValidation allowBlank="1" showInputMessage="1" showErrorMessage="1" promptTitle="Mobiliteit" prompt="Het geschatte elektriciteitsgebruik voor mobiliteit, bijvoorbeeld door elektrische auto's, kan worden ingevuld in kWh per woning of per utiliteitsgebouw." sqref="D71" xr:uid="{9C483062-619D-46FF-BB6D-D60C69B487C4}"/>
    <dataValidation allowBlank="1" showInputMessage="1" showErrorMessage="1" promptTitle="Warmte-/koudebehoefte" prompt="De warmte- en koudebehoefte van de woning of het utiliteitsgebouw is gegeven in kWh/m2._x000a__x000a_Het is geen maat voor BENG 1, omdat het ventilatiesysteem voor BENG 1 per definitie C1 moet zijn. En dat is hier niet het geval." sqref="D267" xr:uid="{8FEC7C68-A472-4F01-84C0-E11BBF0051CA}"/>
    <dataValidation allowBlank="1" showInputMessage="1" showErrorMessage="1" promptTitle="Primair totaal energiegebruik" prompt="Het primair totaal energiegebruik in kWh_prim/m2.jaar per woningtype, per energiepost en voor het totaal." sqref="D363" xr:uid="{6DAFB41C-C374-4995-A56A-4300075F074C}"/>
    <dataValidation type="list" allowBlank="1" showInputMessage="1" showErrorMessage="1" errorTitle="Toestel RV" error="Kies een beschikbaar toestel." sqref="AA83 O83 AM83 AY83" xr:uid="{C5868B54-050A-48F1-8B0D-53BB53E002DA}">
      <formula1>toestellen_RV_invoer</formula1>
    </dataValidation>
    <dataValidation allowBlank="1" showInputMessage="1" showErrorMessage="1" promptTitle="CO2 emisse" prompt="De CO2 emissie in kg/m2.jaar per woningtype, per energiepost en voor het totaal._x000a__x000a_De CO2 emissie in ton/jaar per (deel)locatie, per energiepost en voor het totaal._x000a__x000a_" sqref="D343" xr:uid="{2936B850-C604-4EF3-9341-526C17C73342}"/>
  </dataValidations>
  <hyperlinks>
    <hyperlink ref="D323" r:id="rId1" tooltip="verwijzing naar Staatsblad 2019, 501 met BENG-eisen" xr:uid="{D6388AE8-F2A1-4B08-8E31-239213702ACF}"/>
  </hyperlinks>
  <pageMargins left="0.23622047244094491" right="0.23622047244094491" top="0.74803149606299213" bottom="0.74803149606299213" header="0.31496062992125984" footer="0.31496062992125984"/>
  <pageSetup paperSize="9" scale="25" fitToHeight="0" orientation="landscape" r:id="rId2"/>
  <headerFooter alignWithMargins="0">
    <oddFooter>&amp;L_x000D_&amp;1#&amp;"Aptos"&amp;10&amp;K000000 Intern gebruik</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F4F9-CA96-412F-B67D-DD294761BF97}">
  <sheetPr codeName="Blad13" filterMode="1">
    <tabColor theme="6" tint="0.39997558519241921"/>
    <outlinePr showOutlineSymbols="0"/>
    <pageSetUpPr fitToPage="1"/>
  </sheetPr>
  <dimension ref="A1:BH376"/>
  <sheetViews>
    <sheetView showGridLines="0" showRowColHeaders="0" zoomScaleNormal="100" workbookViewId="0">
      <pane xSplit="11" ySplit="14" topLeftCell="L36" activePane="bottomRight" state="frozen"/>
      <selection pane="topRight" activeCell="L1" sqref="L1"/>
      <selection pane="bottomLeft" activeCell="A15" sqref="A15"/>
      <selection pane="bottomRight" activeCell="E3" sqref="E3:F3"/>
    </sheetView>
  </sheetViews>
  <sheetFormatPr defaultRowHeight="17.25"/>
  <cols>
    <col min="1" max="1" width="0.5703125" style="1047" customWidth="1"/>
    <col min="2" max="3" width="2.7109375" style="1113" customWidth="1"/>
    <col min="4" max="4" width="2.7109375" style="192" customWidth="1"/>
    <col min="5" max="5" width="26.7109375" customWidth="1"/>
    <col min="6" max="7" width="17.7109375" customWidth="1"/>
    <col min="8" max="8" width="24.140625" bestFit="1" customWidth="1"/>
    <col min="9" max="9" width="0.28515625" customWidth="1"/>
    <col min="10" max="10" width="16.7109375" customWidth="1"/>
    <col min="11" max="12" width="1.42578125" customWidth="1"/>
    <col min="13" max="13" width="15.7109375" customWidth="1"/>
    <col min="14" max="14" width="0.28515625" customWidth="1"/>
    <col min="15" max="15" width="12.5703125" customWidth="1"/>
    <col min="16" max="23" width="12.7109375" customWidth="1"/>
    <col min="24" max="24" width="2.7109375" customWidth="1"/>
    <col min="25" max="25" width="15.7109375" customWidth="1"/>
    <col min="26" max="26" width="0.28515625" customWidth="1"/>
    <col min="27" max="35" width="12.7109375" customWidth="1"/>
    <col min="36" max="36" width="2.7109375" customWidth="1"/>
    <col min="37" max="37" width="15.7109375" customWidth="1"/>
    <col min="38" max="38" width="0.28515625" customWidth="1"/>
    <col min="39" max="47" width="12.7109375" customWidth="1"/>
    <col min="48" max="48" width="2.7109375" customWidth="1"/>
    <col min="49" max="49" width="15.7109375" customWidth="1"/>
    <col min="50" max="50" width="0.28515625" customWidth="1"/>
    <col min="51" max="59" width="12.7109375" customWidth="1"/>
    <col min="60" max="60" width="1.140625" customWidth="1"/>
    <col min="61" max="65" width="9.140625" customWidth="1"/>
  </cols>
  <sheetData>
    <row r="1" spans="1:60" s="699" customFormat="1" ht="21">
      <c r="A1" s="1036"/>
      <c r="B1" s="989"/>
      <c r="C1" s="989"/>
      <c r="D1" s="694"/>
      <c r="E1" s="1216" t="str">
        <f>disclaimer!$E$7&amp;" - "&amp;"versie "&amp;TEXT(disclaimer!$E$8,"d mmm jjjj")</f>
        <v>Uniforme Maatlat Gebouwde Omgeving 5.3.0 - versie 7 aug 2026</v>
      </c>
      <c r="F1" s="697"/>
      <c r="G1" s="697"/>
      <c r="H1" s="696"/>
      <c r="I1" s="697"/>
      <c r="J1" s="695"/>
      <c r="K1" s="1049"/>
      <c r="L1" s="1049"/>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1:60" s="764" customFormat="1" ht="26.25">
      <c r="A2" s="1037"/>
      <c r="B2" s="1101"/>
      <c r="C2" s="1101"/>
      <c r="D2" s="762"/>
      <c r="E2" s="1048" t="str">
        <f ca="1">IFERROR(MID(CELL("bestandsnaam",A1),SEARCH("]",CELL("bestandsnaam",A1),1)+1,99),"bestand nog niet opgeslagen")</f>
        <v>variant 4</v>
      </c>
      <c r="F2" s="763" t="str">
        <f>IF('woningen|utiliteit'!$G$2&lt;&gt;"","Controleer invoer gebouwen",IF(J52&lt;&gt;"ja","NB  Energiemaatregelen niet correct/volledig ingevuld",IF(J83&lt;&gt;"ja","NB  Vul alle installaties in","")))</f>
        <v/>
      </c>
      <c r="G2" s="763"/>
      <c r="H2" s="763"/>
      <c r="I2" s="710"/>
      <c r="J2" s="710"/>
      <c r="K2" s="1050"/>
      <c r="L2" s="1050"/>
      <c r="M2" s="767" t="s">
        <v>85</v>
      </c>
      <c r="N2" s="766"/>
      <c r="O2" s="771" t="s">
        <v>86</v>
      </c>
      <c r="P2" s="765"/>
      <c r="Q2" s="765"/>
      <c r="R2" s="765"/>
      <c r="S2" s="765"/>
      <c r="T2" s="765"/>
      <c r="U2" s="765"/>
      <c r="V2" s="765"/>
      <c r="W2" s="765"/>
      <c r="X2" s="765"/>
      <c r="Y2" s="767" t="s">
        <v>85</v>
      </c>
      <c r="Z2" s="766"/>
      <c r="AA2" s="771" t="s">
        <v>86</v>
      </c>
      <c r="AB2" s="765"/>
      <c r="AC2" s="765"/>
      <c r="AD2" s="765"/>
      <c r="AE2" s="765"/>
      <c r="AF2" s="765"/>
      <c r="AG2" s="765"/>
      <c r="AH2" s="765"/>
      <c r="AI2" s="765"/>
      <c r="AJ2" s="765"/>
      <c r="AK2" s="767" t="s">
        <v>85</v>
      </c>
      <c r="AL2" s="766"/>
      <c r="AM2" s="771" t="s">
        <v>86</v>
      </c>
      <c r="AN2" s="765"/>
      <c r="AO2" s="765"/>
      <c r="AP2" s="765"/>
      <c r="AQ2" s="765"/>
      <c r="AR2" s="765"/>
      <c r="AS2" s="765"/>
      <c r="AT2" s="765"/>
      <c r="AU2" s="765"/>
      <c r="AV2" s="765"/>
      <c r="AW2" s="767" t="s">
        <v>85</v>
      </c>
      <c r="AX2" s="766"/>
      <c r="AY2" s="771" t="s">
        <v>86</v>
      </c>
      <c r="AZ2" s="765"/>
      <c r="BA2" s="765"/>
      <c r="BB2" s="765"/>
      <c r="BC2" s="765"/>
      <c r="BD2" s="765"/>
      <c r="BE2" s="765"/>
      <c r="BF2" s="765"/>
      <c r="BG2" s="765"/>
      <c r="BH2" s="211"/>
    </row>
    <row r="3" spans="1:60">
      <c r="A3" s="1038"/>
      <c r="B3" s="990" t="s">
        <v>1118</v>
      </c>
      <c r="C3" s="990" t="s">
        <v>1118</v>
      </c>
      <c r="D3" s="638"/>
      <c r="E3" s="1261" t="str">
        <f>"project: "&amp;IF('woningen|utiliteit'!$F$3="","",'woningen|utiliteit'!$F$3)</f>
        <v xml:space="preserve">project: </v>
      </c>
      <c r="F3" s="1262"/>
      <c r="G3" s="713" t="s">
        <v>87</v>
      </c>
      <c r="H3" s="714"/>
      <c r="I3" s="79"/>
      <c r="K3" s="1050"/>
      <c r="L3" s="1050"/>
      <c r="M3" s="751" t="s">
        <v>88</v>
      </c>
      <c r="N3" s="752"/>
      <c r="O3" s="772" t="str">
        <f>IF(M22=0,"-",O104&amp;IF(O108=1,"","   |  "&amp;O140))</f>
        <v>-</v>
      </c>
      <c r="P3" s="753"/>
      <c r="Q3" s="754"/>
      <c r="R3" s="754"/>
      <c r="S3" s="754"/>
      <c r="T3" s="754"/>
      <c r="U3" s="754"/>
      <c r="V3" s="754"/>
      <c r="W3" s="754"/>
      <c r="X3" s="80"/>
      <c r="Y3" s="751" t="s">
        <v>88</v>
      </c>
      <c r="Z3" s="752"/>
      <c r="AA3" s="772" t="str">
        <f>IF(Y22=0,"-",AA104&amp;IF(AA108=1,"","   |  "&amp;AA140))</f>
        <v>-</v>
      </c>
      <c r="AB3" s="753"/>
      <c r="AC3" s="754"/>
      <c r="AD3" s="754"/>
      <c r="AE3" s="754"/>
      <c r="AF3" s="754"/>
      <c r="AG3" s="754"/>
      <c r="AH3" s="754"/>
      <c r="AI3" s="754"/>
      <c r="AJ3" s="80"/>
      <c r="AK3" s="751" t="s">
        <v>88</v>
      </c>
      <c r="AL3" s="752"/>
      <c r="AM3" s="772" t="str">
        <f>IF(AK22=0,"-",AM104&amp;IF(AM108=1,"","   |  "&amp;AM140))</f>
        <v>-</v>
      </c>
      <c r="AN3" s="753"/>
      <c r="AO3" s="754"/>
      <c r="AP3" s="754"/>
      <c r="AQ3" s="754"/>
      <c r="AR3" s="754"/>
      <c r="AS3" s="754"/>
      <c r="AT3" s="754"/>
      <c r="AU3" s="754"/>
      <c r="AV3" s="80"/>
      <c r="AW3" s="751" t="s">
        <v>88</v>
      </c>
      <c r="AX3" s="752"/>
      <c r="AY3" s="772" t="str">
        <f>IF(AW22=0,"-",AY104&amp;IF(AY108=1,"","   |  "&amp;AY140))</f>
        <v>-</v>
      </c>
      <c r="AZ3" s="753"/>
      <c r="BA3" s="754"/>
      <c r="BB3" s="754"/>
      <c r="BC3" s="754"/>
      <c r="BD3" s="754"/>
      <c r="BE3" s="754"/>
      <c r="BF3" s="754"/>
      <c r="BG3" s="754"/>
      <c r="BH3" s="211"/>
    </row>
    <row r="4" spans="1:60">
      <c r="A4" s="1038"/>
      <c r="B4" s="1102"/>
      <c r="C4" s="1102"/>
      <c r="D4" s="638"/>
      <c r="E4" s="715" t="s">
        <v>89</v>
      </c>
      <c r="F4" s="1263"/>
      <c r="G4" s="1263"/>
      <c r="H4" s="1264"/>
      <c r="I4" s="79"/>
      <c r="K4" s="1050"/>
      <c r="L4" s="1050"/>
      <c r="M4" s="755" t="s">
        <v>90</v>
      </c>
      <c r="N4" s="752"/>
      <c r="O4" s="773" t="str">
        <f>IF(M22=0,"-",P104&amp;IF(P108=1,"","   |  "&amp;P140))</f>
        <v>-</v>
      </c>
      <c r="P4" s="756"/>
      <c r="Q4" s="757"/>
      <c r="R4" s="754"/>
      <c r="S4" s="754"/>
      <c r="T4" s="754"/>
      <c r="U4" s="754"/>
      <c r="V4" s="754"/>
      <c r="W4" s="754"/>
      <c r="X4" s="80"/>
      <c r="Y4" s="755" t="s">
        <v>90</v>
      </c>
      <c r="Z4" s="752"/>
      <c r="AA4" s="773" t="str">
        <f>IF(Y22=0,"-",AB104&amp;IF(AB108=1,"","   |  "&amp;AB140))</f>
        <v>-</v>
      </c>
      <c r="AB4" s="756"/>
      <c r="AC4" s="757"/>
      <c r="AD4" s="754"/>
      <c r="AE4" s="754"/>
      <c r="AF4" s="754"/>
      <c r="AG4" s="754"/>
      <c r="AH4" s="754"/>
      <c r="AI4" s="754"/>
      <c r="AJ4" s="80"/>
      <c r="AK4" s="755" t="s">
        <v>90</v>
      </c>
      <c r="AL4" s="752"/>
      <c r="AM4" s="773" t="str">
        <f>IF(AK22=0,"-",AN104&amp;IF(AN108=1,"","   |  "&amp;AN140))</f>
        <v>-</v>
      </c>
      <c r="AN4" s="756"/>
      <c r="AO4" s="757"/>
      <c r="AP4" s="754"/>
      <c r="AQ4" s="754"/>
      <c r="AR4" s="754"/>
      <c r="AS4" s="754"/>
      <c r="AT4" s="754"/>
      <c r="AU4" s="754"/>
      <c r="AV4" s="80"/>
      <c r="AW4" s="755" t="s">
        <v>90</v>
      </c>
      <c r="AX4" s="752"/>
      <c r="AY4" s="773" t="str">
        <f>IF(AW22=0,"-",AZ104&amp;IF(AZ108=1,"","   |  "&amp;AZ140))</f>
        <v>-</v>
      </c>
      <c r="AZ4" s="756"/>
      <c r="BA4" s="757"/>
      <c r="BB4" s="754"/>
      <c r="BC4" s="754"/>
      <c r="BD4" s="754"/>
      <c r="BE4" s="754"/>
      <c r="BF4" s="754"/>
      <c r="BG4" s="754"/>
      <c r="BH4" s="211"/>
    </row>
    <row r="5" spans="1:60">
      <c r="A5" s="1038"/>
      <c r="B5" s="1265" t="s">
        <v>91</v>
      </c>
      <c r="C5" s="1265" t="s">
        <v>92</v>
      </c>
      <c r="D5" s="638"/>
      <c r="E5" s="1187" t="s">
        <v>1370</v>
      </c>
      <c r="F5" s="806" t="s">
        <v>1384</v>
      </c>
      <c r="G5" s="807">
        <f>HLOOKUP($F$5,bibliotheek!$E$304:$R$311,ROWS(bibliotheek!$E$304:$E$305),FALSE)</f>
        <v>1.45</v>
      </c>
      <c r="H5" s="808">
        <f>HLOOKUP($F$5,bibliotheek!$E$304:$R$311,ROWS(bibliotheek!$E$304:$E$311),FALSE)</f>
        <v>0.26800000000000002</v>
      </c>
      <c r="I5" s="79"/>
      <c r="J5" s="701"/>
      <c r="K5" s="80"/>
      <c r="L5" s="80"/>
      <c r="M5" s="751" t="s">
        <v>94</v>
      </c>
      <c r="N5" s="752"/>
      <c r="O5" s="772" t="str">
        <f>IF(M22=0,"-",Q104&amp;IF(Q108=1,"","   |  "&amp;Q140))</f>
        <v>-</v>
      </c>
      <c r="P5" s="754"/>
      <c r="Q5" s="754"/>
      <c r="R5" s="754"/>
      <c r="S5" s="754"/>
      <c r="T5" s="754"/>
      <c r="U5" s="754"/>
      <c r="V5" s="754"/>
      <c r="W5" s="754"/>
      <c r="X5" s="80"/>
      <c r="Y5" s="751" t="s">
        <v>94</v>
      </c>
      <c r="Z5" s="752"/>
      <c r="AA5" s="772" t="str">
        <f>IF(Y22=0,"-",AC104&amp;IF(AC108=1,"","   |  "&amp;AC140))</f>
        <v>-</v>
      </c>
      <c r="AB5" s="754"/>
      <c r="AC5" s="754"/>
      <c r="AD5" s="754"/>
      <c r="AE5" s="754"/>
      <c r="AF5" s="754"/>
      <c r="AG5" s="754"/>
      <c r="AH5" s="754"/>
      <c r="AI5" s="754"/>
      <c r="AJ5" s="80"/>
      <c r="AK5" s="751" t="s">
        <v>94</v>
      </c>
      <c r="AL5" s="752"/>
      <c r="AM5" s="772" t="str">
        <f>IF(AK22=0,"-",AO104&amp;IF(AO108=1,"","   |  "&amp;AO140))</f>
        <v>-</v>
      </c>
      <c r="AN5" s="754"/>
      <c r="AO5" s="754"/>
      <c r="AP5" s="754"/>
      <c r="AQ5" s="754"/>
      <c r="AR5" s="754"/>
      <c r="AS5" s="754"/>
      <c r="AT5" s="754"/>
      <c r="AU5" s="754"/>
      <c r="AV5" s="80"/>
      <c r="AW5" s="751" t="s">
        <v>94</v>
      </c>
      <c r="AX5" s="752"/>
      <c r="AY5" s="772" t="str">
        <f>IF(AW22=0,"-",BA104&amp;IF(BA108=1,"","   |  "&amp;BA140))</f>
        <v>-</v>
      </c>
      <c r="AZ5" s="754"/>
      <c r="BA5" s="754"/>
      <c r="BB5" s="754"/>
      <c r="BC5" s="754"/>
      <c r="BD5" s="754"/>
      <c r="BE5" s="754"/>
      <c r="BF5" s="754"/>
      <c r="BG5" s="754"/>
      <c r="BH5" s="211"/>
    </row>
    <row r="6" spans="1:60">
      <c r="A6" s="1038"/>
      <c r="B6" s="1265"/>
      <c r="C6" s="1265"/>
      <c r="D6" s="639" t="s">
        <v>45</v>
      </c>
      <c r="E6" s="716" t="s">
        <v>1162</v>
      </c>
      <c r="F6" s="806" t="s">
        <v>1119</v>
      </c>
      <c r="G6" s="957" t="str">
        <f>IF(F6=EP,"energieprestatieberekening","maatwerkadvies (geen resultaten EP)")</f>
        <v>energieprestatieberekening</v>
      </c>
      <c r="H6" s="935"/>
      <c r="I6" s="79"/>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1"/>
      <c r="AZ6" s="701"/>
      <c r="BA6" s="701"/>
      <c r="BB6" s="701"/>
      <c r="BC6" s="701"/>
      <c r="BD6" s="701"/>
      <c r="BE6" s="701"/>
      <c r="BF6" s="701"/>
      <c r="BG6" s="701"/>
      <c r="BH6" s="211"/>
    </row>
    <row r="7" spans="1:60" s="761" customFormat="1">
      <c r="A7" s="1039"/>
      <c r="B7" s="1265"/>
      <c r="C7" s="1265"/>
      <c r="D7" s="758"/>
      <c r="E7" s="759"/>
      <c r="F7" s="759"/>
      <c r="G7" s="759"/>
      <c r="H7" s="759"/>
      <c r="I7" s="759"/>
      <c r="J7" s="760"/>
      <c r="K7" s="760"/>
      <c r="L7" s="760"/>
      <c r="M7" s="759"/>
      <c r="N7" s="759"/>
      <c r="O7" s="858"/>
      <c r="P7" s="1168"/>
      <c r="Q7" s="759"/>
      <c r="R7" s="1168"/>
      <c r="S7" s="759"/>
      <c r="T7" s="758"/>
      <c r="U7" s="758"/>
      <c r="V7" s="758"/>
    </row>
    <row r="8" spans="1:60" ht="21">
      <c r="A8" s="1038"/>
      <c r="B8" s="1103"/>
      <c r="C8" s="1103"/>
      <c r="D8" s="639" t="s">
        <v>45</v>
      </c>
      <c r="E8" s="708"/>
      <c r="F8" s="1"/>
      <c r="G8" s="1"/>
      <c r="H8" s="1"/>
      <c r="I8" s="2"/>
      <c r="J8" s="709" t="s">
        <v>1167</v>
      </c>
      <c r="K8" s="710"/>
      <c r="L8" s="710"/>
      <c r="M8" s="709" t="s">
        <v>62</v>
      </c>
      <c r="N8" s="711"/>
      <c r="O8" s="711" t="str">
        <f>IF(M22=0,"[geen gebouwgegevens ingevoerd]",IF('woningen|utiliteit'!$L$17="","[geen naam locatie ingevoerd]",'woningen|utiliteit'!$L$17))</f>
        <v>[geen gebouwgegevens ingevoerd]</v>
      </c>
      <c r="P8" s="711"/>
      <c r="Q8" s="711"/>
      <c r="R8" s="711"/>
      <c r="S8" s="711"/>
      <c r="T8" s="712"/>
      <c r="U8" s="712"/>
      <c r="V8" s="711"/>
      <c r="W8" s="711"/>
      <c r="X8" s="710"/>
      <c r="Y8" s="709" t="s">
        <v>79</v>
      </c>
      <c r="Z8" s="711"/>
      <c r="AA8" s="711" t="str">
        <f>IF(Y22=0,"[geen gebouwgegevens ingevoerd]",IF('woningen|utiliteit'!$L$33="","[geen naam locatie ingevoerd]",'woningen|utiliteit'!$L$33))</f>
        <v>[geen gebouwgegevens ingevoerd]</v>
      </c>
      <c r="AB8" s="711"/>
      <c r="AC8" s="711"/>
      <c r="AD8" s="711"/>
      <c r="AE8" s="711"/>
      <c r="AF8" s="712"/>
      <c r="AG8" s="712"/>
      <c r="AH8" s="711"/>
      <c r="AI8" s="711"/>
      <c r="AJ8" s="710"/>
      <c r="AK8" s="709" t="s">
        <v>80</v>
      </c>
      <c r="AL8" s="711"/>
      <c r="AM8" s="711" t="str">
        <f>IF(AK22=0,"[geen gebouwgegevens ingevoerd]",IF('woningen|utiliteit'!$L$49="","[geen naam locatie ingevoerd]",'woningen|utiliteit'!$L$49))</f>
        <v>[geen gebouwgegevens ingevoerd]</v>
      </c>
      <c r="AN8" s="711"/>
      <c r="AO8" s="711"/>
      <c r="AP8" s="711"/>
      <c r="AQ8" s="711"/>
      <c r="AR8" s="712"/>
      <c r="AS8" s="712"/>
      <c r="AT8" s="711"/>
      <c r="AU8" s="711"/>
      <c r="AV8" s="710"/>
      <c r="AW8" s="709" t="s">
        <v>81</v>
      </c>
      <c r="AX8" s="711"/>
      <c r="AY8" s="711" t="str">
        <f>IF(AW22=0,"[geen gebouwgegevens ingevoerd]",IF('woningen|utiliteit'!$L$65="","[geen naam locatie ingevoerd]",'woningen|utiliteit'!$L$65))</f>
        <v>[geen gebouwgegevens ingevoerd]</v>
      </c>
      <c r="AZ8" s="178"/>
      <c r="BA8" s="178"/>
      <c r="BB8" s="178"/>
      <c r="BC8" s="178"/>
      <c r="BD8" s="179"/>
      <c r="BE8" s="179"/>
      <c r="BF8" s="178"/>
      <c r="BG8" s="178"/>
      <c r="BH8" s="1"/>
    </row>
    <row r="9" spans="1:60" s="591" customFormat="1" ht="5.25">
      <c r="A9" s="1104" t="s">
        <v>95</v>
      </c>
      <c r="B9" s="1104" t="s">
        <v>95</v>
      </c>
      <c r="C9" s="1105" t="s">
        <v>96</v>
      </c>
      <c r="D9" s="588"/>
      <c r="E9" s="589"/>
      <c r="F9" s="589"/>
      <c r="G9" s="589"/>
      <c r="H9" s="589"/>
      <c r="I9" s="589"/>
      <c r="J9" s="590"/>
      <c r="K9" s="590"/>
      <c r="L9" s="590"/>
      <c r="M9" s="589"/>
      <c r="N9" s="589"/>
      <c r="O9" s="589"/>
      <c r="P9" s="589"/>
      <c r="Q9" s="589"/>
      <c r="R9" s="589"/>
      <c r="S9" s="589"/>
      <c r="T9" s="588"/>
      <c r="U9" s="588"/>
      <c r="V9" s="588"/>
    </row>
    <row r="10" spans="1:60" ht="21">
      <c r="A10" s="1040"/>
      <c r="B10" s="1106" t="s">
        <v>95</v>
      </c>
      <c r="C10" s="1107" t="s">
        <v>96</v>
      </c>
      <c r="D10" s="639" t="s">
        <v>45</v>
      </c>
      <c r="E10" s="580" t="s">
        <v>1158</v>
      </c>
      <c r="F10" s="580"/>
      <c r="G10" s="580"/>
      <c r="H10" s="971" t="s">
        <v>1157</v>
      </c>
      <c r="I10" s="77"/>
      <c r="J10" s="176" t="str">
        <f>J$8</f>
        <v>alle locaties</v>
      </c>
      <c r="K10" s="126"/>
      <c r="L10" s="126"/>
      <c r="M10" s="176" t="str">
        <f>M$8</f>
        <v>locatie 1</v>
      </c>
      <c r="N10" s="182"/>
      <c r="O10" s="177" t="s">
        <v>88</v>
      </c>
      <c r="P10" s="177" t="s">
        <v>90</v>
      </c>
      <c r="Q10" s="177" t="s">
        <v>97</v>
      </c>
      <c r="R10" s="177" t="s">
        <v>98</v>
      </c>
      <c r="S10" s="177" t="s">
        <v>99</v>
      </c>
      <c r="T10" s="177" t="s">
        <v>100</v>
      </c>
      <c r="U10" s="177" t="s">
        <v>101</v>
      </c>
      <c r="V10" s="177" t="s">
        <v>102</v>
      </c>
      <c r="W10" s="177" t="s">
        <v>103</v>
      </c>
      <c r="X10" s="174"/>
      <c r="Y10" s="176" t="str">
        <f>Y8</f>
        <v>locatie 2</v>
      </c>
      <c r="Z10" s="182"/>
      <c r="AA10" s="177" t="str">
        <f>$O$10</f>
        <v>verwarming</v>
      </c>
      <c r="AB10" s="177" t="str">
        <f>$P$10</f>
        <v>koeling</v>
      </c>
      <c r="AC10" s="177" t="str">
        <f>$Q$10</f>
        <v>tapwater</v>
      </c>
      <c r="AD10" s="177" t="str">
        <f>$R$10</f>
        <v>verlichting</v>
      </c>
      <c r="AE10" s="177" t="str">
        <f>$S$10</f>
        <v>ventilatoren</v>
      </c>
      <c r="AF10" s="177" t="str">
        <f>$T$10</f>
        <v>kookgas</v>
      </c>
      <c r="AG10" s="177" t="str">
        <f>$U$10</f>
        <v>overig elektra</v>
      </c>
      <c r="AH10" s="177" t="str">
        <f>$V$10</f>
        <v>mobiliteit</v>
      </c>
      <c r="AI10" s="177" t="str">
        <f>$W$10</f>
        <v>zonnepanelen</v>
      </c>
      <c r="AJ10" s="174"/>
      <c r="AK10" s="176" t="str">
        <f>AK8</f>
        <v>locatie 3</v>
      </c>
      <c r="AL10" s="182"/>
      <c r="AM10" s="177" t="str">
        <f>$O$10</f>
        <v>verwarming</v>
      </c>
      <c r="AN10" s="177" t="str">
        <f>$P$10</f>
        <v>koeling</v>
      </c>
      <c r="AO10" s="177" t="str">
        <f>$Q$10</f>
        <v>tapwater</v>
      </c>
      <c r="AP10" s="177" t="str">
        <f>$R$10</f>
        <v>verlichting</v>
      </c>
      <c r="AQ10" s="177" t="str">
        <f>$S$10</f>
        <v>ventilatoren</v>
      </c>
      <c r="AR10" s="177" t="str">
        <f>$T$10</f>
        <v>kookgas</v>
      </c>
      <c r="AS10" s="177" t="str">
        <f>$U$10</f>
        <v>overig elektra</v>
      </c>
      <c r="AT10" s="177" t="str">
        <f>$V$10</f>
        <v>mobiliteit</v>
      </c>
      <c r="AU10" s="177" t="str">
        <f>$W$10</f>
        <v>zonnepanelen</v>
      </c>
      <c r="AV10" s="174"/>
      <c r="AW10" s="176" t="str">
        <f>AW8</f>
        <v>locatie 4</v>
      </c>
      <c r="AX10" s="182"/>
      <c r="AY10" s="177" t="str">
        <f>$O$10</f>
        <v>verwarming</v>
      </c>
      <c r="AZ10" s="177" t="str">
        <f>$P$10</f>
        <v>koeling</v>
      </c>
      <c r="BA10" s="177" t="str">
        <f>$Q$10</f>
        <v>tapwater</v>
      </c>
      <c r="BB10" s="177" t="str">
        <f>$R$10</f>
        <v>verlichting</v>
      </c>
      <c r="BC10" s="177" t="str">
        <f>$S$10</f>
        <v>ventilatoren</v>
      </c>
      <c r="BD10" s="177" t="str">
        <f>$T$10</f>
        <v>kookgas</v>
      </c>
      <c r="BE10" s="177" t="str">
        <f>$U$10</f>
        <v>overig elektra</v>
      </c>
      <c r="BF10" s="177" t="str">
        <f>$V$10</f>
        <v>mobiliteit</v>
      </c>
      <c r="BG10" s="177" t="str">
        <f>$W$10</f>
        <v>zonnepanelen</v>
      </c>
      <c r="BH10" s="1"/>
    </row>
    <row r="11" spans="1:60">
      <c r="A11" s="1040"/>
      <c r="B11" s="1106" t="s">
        <v>95</v>
      </c>
      <c r="C11" s="1107" t="s">
        <v>104</v>
      </c>
      <c r="D11" s="638"/>
      <c r="E11" s="180" t="s">
        <v>1220</v>
      </c>
      <c r="F11" s="180"/>
      <c r="G11" s="180"/>
      <c r="H11" s="181" t="s">
        <v>106</v>
      </c>
      <c r="I11" s="83"/>
      <c r="J11" s="202">
        <f>M11+Y11+AK11+AW11</f>
        <v>0</v>
      </c>
      <c r="K11" s="243"/>
      <c r="L11" s="243"/>
      <c r="M11" s="202">
        <f>SUM(N11:X11)</f>
        <v>0</v>
      </c>
      <c r="N11" s="84"/>
      <c r="O11" s="168">
        <f t="shared" ref="O11:W11" si="0">O120+O151+O174-O214</f>
        <v>0</v>
      </c>
      <c r="P11" s="168">
        <f t="shared" si="0"/>
        <v>0</v>
      </c>
      <c r="Q11" s="168">
        <f t="shared" si="0"/>
        <v>0</v>
      </c>
      <c r="R11" s="168">
        <f t="shared" si="0"/>
        <v>0</v>
      </c>
      <c r="S11" s="168">
        <f t="shared" si="0"/>
        <v>0</v>
      </c>
      <c r="T11" s="168">
        <f t="shared" si="0"/>
        <v>0</v>
      </c>
      <c r="U11" s="168">
        <f t="shared" si="0"/>
        <v>0</v>
      </c>
      <c r="V11" s="168">
        <f t="shared" si="0"/>
        <v>0</v>
      </c>
      <c r="W11" s="168">
        <f t="shared" si="0"/>
        <v>0</v>
      </c>
      <c r="X11" s="262"/>
      <c r="Y11" s="202">
        <f>SUM(Z11:AJ11)</f>
        <v>0</v>
      </c>
      <c r="Z11" s="84"/>
      <c r="AA11" s="168">
        <f t="shared" ref="AA11:AI11" si="1">AA120+AA151+AA174-AA214</f>
        <v>0</v>
      </c>
      <c r="AB11" s="168">
        <f t="shared" si="1"/>
        <v>0</v>
      </c>
      <c r="AC11" s="168">
        <f t="shared" si="1"/>
        <v>0</v>
      </c>
      <c r="AD11" s="168">
        <f t="shared" si="1"/>
        <v>0</v>
      </c>
      <c r="AE11" s="168">
        <f t="shared" si="1"/>
        <v>0</v>
      </c>
      <c r="AF11" s="168">
        <f t="shared" si="1"/>
        <v>0</v>
      </c>
      <c r="AG11" s="168">
        <f t="shared" si="1"/>
        <v>0</v>
      </c>
      <c r="AH11" s="168">
        <f t="shared" si="1"/>
        <v>0</v>
      </c>
      <c r="AI11" s="168">
        <f t="shared" si="1"/>
        <v>0</v>
      </c>
      <c r="AJ11" s="262"/>
      <c r="AK11" s="202">
        <f>SUM(AL11:AV11)</f>
        <v>0</v>
      </c>
      <c r="AL11" s="84"/>
      <c r="AM11" s="168">
        <f t="shared" ref="AM11:AU11" si="2">AM120+AM151+AM174-AM214</f>
        <v>0</v>
      </c>
      <c r="AN11" s="168">
        <f t="shared" si="2"/>
        <v>0</v>
      </c>
      <c r="AO11" s="168">
        <f t="shared" si="2"/>
        <v>0</v>
      </c>
      <c r="AP11" s="168">
        <f t="shared" si="2"/>
        <v>0</v>
      </c>
      <c r="AQ11" s="168">
        <f t="shared" si="2"/>
        <v>0</v>
      </c>
      <c r="AR11" s="168">
        <f t="shared" si="2"/>
        <v>0</v>
      </c>
      <c r="AS11" s="168">
        <f t="shared" si="2"/>
        <v>0</v>
      </c>
      <c r="AT11" s="168">
        <f t="shared" si="2"/>
        <v>0</v>
      </c>
      <c r="AU11" s="168">
        <f t="shared" si="2"/>
        <v>0</v>
      </c>
      <c r="AV11" s="262"/>
      <c r="AW11" s="202">
        <f>SUM(AX11:BH11)</f>
        <v>0</v>
      </c>
      <c r="AX11" s="84"/>
      <c r="AY11" s="168">
        <f t="shared" ref="AY11:BG11" si="3">AY120+AY151+AY174-AY214</f>
        <v>0</v>
      </c>
      <c r="AZ11" s="168">
        <f t="shared" si="3"/>
        <v>0</v>
      </c>
      <c r="BA11" s="168">
        <f t="shared" si="3"/>
        <v>0</v>
      </c>
      <c r="BB11" s="168">
        <f t="shared" si="3"/>
        <v>0</v>
      </c>
      <c r="BC11" s="168">
        <f t="shared" si="3"/>
        <v>0</v>
      </c>
      <c r="BD11" s="168">
        <f t="shared" si="3"/>
        <v>0</v>
      </c>
      <c r="BE11" s="168">
        <f t="shared" si="3"/>
        <v>0</v>
      </c>
      <c r="BF11" s="168">
        <f t="shared" si="3"/>
        <v>0</v>
      </c>
      <c r="BG11" s="168">
        <f t="shared" si="3"/>
        <v>0</v>
      </c>
      <c r="BH11" s="210"/>
    </row>
    <row r="12" spans="1:60">
      <c r="A12" s="1040"/>
      <c r="B12" s="1106" t="s">
        <v>95</v>
      </c>
      <c r="C12" s="1107" t="s">
        <v>104</v>
      </c>
      <c r="D12" s="638"/>
      <c r="E12" s="180" t="s">
        <v>107</v>
      </c>
      <c r="F12" s="180"/>
      <c r="G12" s="180"/>
      <c r="H12" s="181" t="s">
        <v>108</v>
      </c>
      <c r="I12" s="83"/>
      <c r="J12" s="202">
        <f>M12+Y12+AK12+AW12</f>
        <v>0</v>
      </c>
      <c r="K12" s="243"/>
      <c r="L12" s="243"/>
      <c r="M12" s="202">
        <f>SUM(N12:X12)</f>
        <v>0</v>
      </c>
      <c r="N12" s="84"/>
      <c r="O12" s="168">
        <f t="shared" ref="O12:V12" si="4">O130+O161+O181</f>
        <v>0</v>
      </c>
      <c r="P12" s="168">
        <f t="shared" si="4"/>
        <v>0</v>
      </c>
      <c r="Q12" s="168">
        <f t="shared" si="4"/>
        <v>0</v>
      </c>
      <c r="R12" s="168">
        <f t="shared" si="4"/>
        <v>0</v>
      </c>
      <c r="S12" s="168">
        <f t="shared" si="4"/>
        <v>0</v>
      </c>
      <c r="T12" s="168">
        <f t="shared" si="4"/>
        <v>0</v>
      </c>
      <c r="U12" s="168">
        <f t="shared" si="4"/>
        <v>0</v>
      </c>
      <c r="V12" s="168">
        <f t="shared" si="4"/>
        <v>0</v>
      </c>
      <c r="W12" s="168">
        <f>W130+W161+W181-W224</f>
        <v>0</v>
      </c>
      <c r="X12" s="262"/>
      <c r="Y12" s="202">
        <f>SUM(Z12:AJ12)</f>
        <v>0</v>
      </c>
      <c r="Z12" s="84"/>
      <c r="AA12" s="168">
        <f t="shared" ref="AA12:AH12" si="5">AA130+AA161+AA181</f>
        <v>0</v>
      </c>
      <c r="AB12" s="168">
        <f t="shared" si="5"/>
        <v>0</v>
      </c>
      <c r="AC12" s="168">
        <f t="shared" si="5"/>
        <v>0</v>
      </c>
      <c r="AD12" s="168">
        <f t="shared" si="5"/>
        <v>0</v>
      </c>
      <c r="AE12" s="168">
        <f t="shared" si="5"/>
        <v>0</v>
      </c>
      <c r="AF12" s="168">
        <f t="shared" si="5"/>
        <v>0</v>
      </c>
      <c r="AG12" s="168">
        <f t="shared" si="5"/>
        <v>0</v>
      </c>
      <c r="AH12" s="168">
        <f t="shared" si="5"/>
        <v>0</v>
      </c>
      <c r="AI12" s="168">
        <f>AI130+AI161+AI181-AI224</f>
        <v>0</v>
      </c>
      <c r="AJ12" s="262"/>
      <c r="AK12" s="202">
        <f>SUM(AL12:AV12)</f>
        <v>0</v>
      </c>
      <c r="AL12" s="84"/>
      <c r="AM12" s="168">
        <f t="shared" ref="AM12:AT12" si="6">AM130+AM161+AM181</f>
        <v>0</v>
      </c>
      <c r="AN12" s="168">
        <f t="shared" si="6"/>
        <v>0</v>
      </c>
      <c r="AO12" s="168">
        <f t="shared" si="6"/>
        <v>0</v>
      </c>
      <c r="AP12" s="168">
        <f t="shared" si="6"/>
        <v>0</v>
      </c>
      <c r="AQ12" s="168">
        <f t="shared" si="6"/>
        <v>0</v>
      </c>
      <c r="AR12" s="168">
        <f t="shared" si="6"/>
        <v>0</v>
      </c>
      <c r="AS12" s="168">
        <f t="shared" si="6"/>
        <v>0</v>
      </c>
      <c r="AT12" s="168">
        <f t="shared" si="6"/>
        <v>0</v>
      </c>
      <c r="AU12" s="168">
        <f>AU130+AU161+AU181-AU224</f>
        <v>0</v>
      </c>
      <c r="AV12" s="262"/>
      <c r="AW12" s="202">
        <f>SUM(AX12:BH12)</f>
        <v>0</v>
      </c>
      <c r="AX12" s="84"/>
      <c r="AY12" s="168">
        <f t="shared" ref="AY12:BF12" si="7">AY130+AY161+AY181</f>
        <v>0</v>
      </c>
      <c r="AZ12" s="168">
        <f t="shared" si="7"/>
        <v>0</v>
      </c>
      <c r="BA12" s="168">
        <f t="shared" si="7"/>
        <v>0</v>
      </c>
      <c r="BB12" s="168">
        <f t="shared" si="7"/>
        <v>0</v>
      </c>
      <c r="BC12" s="168">
        <f t="shared" si="7"/>
        <v>0</v>
      </c>
      <c r="BD12" s="168">
        <f t="shared" si="7"/>
        <v>0</v>
      </c>
      <c r="BE12" s="168">
        <f t="shared" si="7"/>
        <v>0</v>
      </c>
      <c r="BF12" s="168">
        <f t="shared" si="7"/>
        <v>0</v>
      </c>
      <c r="BG12" s="168">
        <f>BG130+BG161+BG181-BG224</f>
        <v>0</v>
      </c>
      <c r="BH12" s="210"/>
    </row>
    <row r="13" spans="1:60">
      <c r="A13" s="1040"/>
      <c r="B13" s="1106" t="s">
        <v>95</v>
      </c>
      <c r="C13" s="1107" t="s">
        <v>104</v>
      </c>
      <c r="D13" s="638"/>
      <c r="E13" s="180" t="s">
        <v>109</v>
      </c>
      <c r="F13" s="180"/>
      <c r="G13" s="180"/>
      <c r="H13" s="181" t="s">
        <v>110</v>
      </c>
      <c r="I13" s="83"/>
      <c r="J13" s="202">
        <f>M13+Y13+AK13+AW13</f>
        <v>0</v>
      </c>
      <c r="K13" s="243"/>
      <c r="L13" s="243"/>
      <c r="M13" s="202">
        <f>SUM(N13:X13)</f>
        <v>0</v>
      </c>
      <c r="N13" s="84"/>
      <c r="O13" s="168">
        <f t="shared" ref="O13:W13" si="8">O229*O27/1000</f>
        <v>0</v>
      </c>
      <c r="P13" s="168">
        <f t="shared" si="8"/>
        <v>0</v>
      </c>
      <c r="Q13" s="168">
        <f t="shared" si="8"/>
        <v>0</v>
      </c>
      <c r="R13" s="168">
        <f t="shared" si="8"/>
        <v>0</v>
      </c>
      <c r="S13" s="168">
        <f t="shared" si="8"/>
        <v>0</v>
      </c>
      <c r="T13" s="168">
        <f t="shared" si="8"/>
        <v>0</v>
      </c>
      <c r="U13" s="168">
        <f t="shared" si="8"/>
        <v>0</v>
      </c>
      <c r="V13" s="168">
        <f t="shared" si="8"/>
        <v>0</v>
      </c>
      <c r="W13" s="168">
        <f t="shared" si="8"/>
        <v>0</v>
      </c>
      <c r="X13" s="262"/>
      <c r="Y13" s="202">
        <f>SUM(Z13:AJ13)</f>
        <v>0</v>
      </c>
      <c r="Z13" s="84"/>
      <c r="AA13" s="168">
        <f t="shared" ref="AA13:AI13" si="9">AA229*AA27/1000</f>
        <v>0</v>
      </c>
      <c r="AB13" s="168">
        <f t="shared" si="9"/>
        <v>0</v>
      </c>
      <c r="AC13" s="168">
        <f t="shared" si="9"/>
        <v>0</v>
      </c>
      <c r="AD13" s="168">
        <f t="shared" si="9"/>
        <v>0</v>
      </c>
      <c r="AE13" s="168">
        <f t="shared" si="9"/>
        <v>0</v>
      </c>
      <c r="AF13" s="168">
        <f t="shared" si="9"/>
        <v>0</v>
      </c>
      <c r="AG13" s="168">
        <f t="shared" si="9"/>
        <v>0</v>
      </c>
      <c r="AH13" s="168">
        <f t="shared" si="9"/>
        <v>0</v>
      </c>
      <c r="AI13" s="168">
        <f t="shared" si="9"/>
        <v>0</v>
      </c>
      <c r="AJ13" s="262"/>
      <c r="AK13" s="202">
        <f>SUM(AL13:AV13)</f>
        <v>0</v>
      </c>
      <c r="AL13" s="84"/>
      <c r="AM13" s="168">
        <f t="shared" ref="AM13:AU13" si="10">AM229*AM27/1000</f>
        <v>0</v>
      </c>
      <c r="AN13" s="168">
        <f t="shared" si="10"/>
        <v>0</v>
      </c>
      <c r="AO13" s="168">
        <f t="shared" si="10"/>
        <v>0</v>
      </c>
      <c r="AP13" s="168">
        <f t="shared" si="10"/>
        <v>0</v>
      </c>
      <c r="AQ13" s="168">
        <f t="shared" si="10"/>
        <v>0</v>
      </c>
      <c r="AR13" s="168">
        <f t="shared" si="10"/>
        <v>0</v>
      </c>
      <c r="AS13" s="168">
        <f t="shared" si="10"/>
        <v>0</v>
      </c>
      <c r="AT13" s="168">
        <f t="shared" si="10"/>
        <v>0</v>
      </c>
      <c r="AU13" s="168">
        <f t="shared" si="10"/>
        <v>0</v>
      </c>
      <c r="AV13" s="262"/>
      <c r="AW13" s="202">
        <f>SUM(AX13:BH13)</f>
        <v>0</v>
      </c>
      <c r="AX13" s="84"/>
      <c r="AY13" s="168">
        <f t="shared" ref="AY13:BG13" si="11">AY229*AY27/1000</f>
        <v>0</v>
      </c>
      <c r="AZ13" s="168">
        <f t="shared" si="11"/>
        <v>0</v>
      </c>
      <c r="BA13" s="168">
        <f t="shared" si="11"/>
        <v>0</v>
      </c>
      <c r="BB13" s="168">
        <f t="shared" si="11"/>
        <v>0</v>
      </c>
      <c r="BC13" s="168">
        <f t="shared" si="11"/>
        <v>0</v>
      </c>
      <c r="BD13" s="168">
        <f t="shared" si="11"/>
        <v>0</v>
      </c>
      <c r="BE13" s="168">
        <f t="shared" si="11"/>
        <v>0</v>
      </c>
      <c r="BF13" s="168">
        <f t="shared" si="11"/>
        <v>0</v>
      </c>
      <c r="BG13" s="168">
        <f t="shared" si="11"/>
        <v>0</v>
      </c>
      <c r="BH13" s="212"/>
    </row>
    <row r="14" spans="1:60" s="707" customFormat="1" ht="5.25">
      <c r="A14" s="1012" t="s">
        <v>95</v>
      </c>
      <c r="B14" s="1108" t="s">
        <v>95</v>
      </c>
      <c r="C14" s="1104" t="s">
        <v>104</v>
      </c>
      <c r="D14" s="647"/>
      <c r="E14" s="704"/>
      <c r="F14" s="704"/>
      <c r="G14" s="704"/>
      <c r="H14" s="705"/>
      <c r="I14" s="704"/>
      <c r="J14" s="706"/>
      <c r="K14" s="704"/>
      <c r="L14" s="704"/>
      <c r="M14" s="706"/>
      <c r="N14" s="704"/>
      <c r="O14" s="706"/>
      <c r="P14" s="706"/>
      <c r="Q14" s="706"/>
      <c r="R14" s="706"/>
      <c r="S14" s="706"/>
      <c r="T14" s="706"/>
      <c r="U14" s="706"/>
      <c r="V14" s="706"/>
      <c r="W14" s="706"/>
      <c r="X14" s="706"/>
      <c r="Y14" s="706"/>
      <c r="Z14" s="704"/>
      <c r="AA14" s="706"/>
      <c r="AB14" s="706"/>
      <c r="AC14" s="706"/>
      <c r="AD14" s="706"/>
      <c r="AE14" s="706"/>
      <c r="AF14" s="706"/>
      <c r="AG14" s="706"/>
      <c r="AH14" s="706"/>
      <c r="AI14" s="706"/>
      <c r="AJ14" s="706"/>
      <c r="AK14" s="706"/>
      <c r="AL14" s="704"/>
      <c r="AM14" s="706"/>
      <c r="AN14" s="706"/>
      <c r="AO14" s="706"/>
      <c r="AP14" s="706"/>
      <c r="AQ14" s="706"/>
      <c r="AR14" s="706"/>
      <c r="AS14" s="706"/>
      <c r="AT14" s="706"/>
      <c r="AU14" s="706"/>
      <c r="AV14" s="706"/>
      <c r="AW14" s="706"/>
      <c r="AX14" s="704"/>
      <c r="AY14" s="706"/>
      <c r="AZ14" s="706"/>
      <c r="BA14" s="706"/>
      <c r="BB14" s="706"/>
      <c r="BC14" s="706"/>
      <c r="BD14" s="706"/>
      <c r="BE14" s="706"/>
      <c r="BF14" s="706"/>
      <c r="BG14" s="706"/>
      <c r="BH14" s="706"/>
    </row>
    <row r="15" spans="1:60" s="707" customFormat="1" ht="5.25">
      <c r="A15" s="1130"/>
      <c r="B15" s="1108" t="s">
        <v>111</v>
      </c>
      <c r="C15" s="1108" t="s">
        <v>96</v>
      </c>
      <c r="D15" s="647"/>
      <c r="E15" s="1131"/>
      <c r="F15" s="1131"/>
      <c r="G15" s="1131"/>
      <c r="H15" s="1132"/>
      <c r="I15" s="1131"/>
      <c r="J15" s="1133"/>
      <c r="K15" s="1131"/>
      <c r="L15" s="1131"/>
      <c r="M15" s="1133"/>
      <c r="N15" s="1131"/>
      <c r="O15" s="1133"/>
      <c r="P15" s="1133"/>
      <c r="Q15" s="1133"/>
      <c r="R15" s="1133"/>
      <c r="S15" s="1133"/>
      <c r="T15" s="1133"/>
      <c r="U15" s="1133"/>
      <c r="V15" s="1133"/>
      <c r="W15" s="1133"/>
      <c r="X15" s="1133"/>
      <c r="Y15" s="1133"/>
      <c r="Z15" s="1131"/>
      <c r="AA15" s="1133"/>
      <c r="AB15" s="1133"/>
      <c r="AC15" s="1133"/>
      <c r="AD15" s="1133"/>
      <c r="AE15" s="1133"/>
      <c r="AF15" s="1133"/>
      <c r="AG15" s="1133"/>
      <c r="AH15" s="1133"/>
      <c r="AI15" s="1133"/>
      <c r="AJ15" s="1133"/>
      <c r="AK15" s="1133"/>
      <c r="AL15" s="1131"/>
      <c r="AM15" s="1133"/>
      <c r="AN15" s="1133"/>
      <c r="AO15" s="1133"/>
      <c r="AP15" s="1133"/>
      <c r="AQ15" s="1133"/>
      <c r="AR15" s="1133"/>
      <c r="AS15" s="1133"/>
      <c r="AT15" s="1133"/>
      <c r="AU15" s="1133"/>
      <c r="AV15" s="1133"/>
      <c r="AW15" s="1133"/>
      <c r="AX15" s="1131"/>
      <c r="AY15" s="1133"/>
      <c r="AZ15" s="1133"/>
      <c r="BA15" s="1133"/>
      <c r="BB15" s="1133"/>
      <c r="BC15" s="1133"/>
      <c r="BD15" s="1133"/>
      <c r="BE15" s="1133"/>
      <c r="BF15" s="1133"/>
      <c r="BG15" s="1133"/>
      <c r="BH15" s="706"/>
    </row>
    <row r="16" spans="1:60" s="2" customFormat="1" ht="21">
      <c r="A16" s="1038"/>
      <c r="B16" s="1106" t="s">
        <v>111</v>
      </c>
      <c r="C16" s="1106" t="s">
        <v>96</v>
      </c>
      <c r="D16" s="639" t="s">
        <v>45</v>
      </c>
      <c r="E16" s="209" t="s">
        <v>112</v>
      </c>
      <c r="F16" s="209"/>
      <c r="G16" s="209"/>
      <c r="H16" s="209"/>
      <c r="I16" s="129"/>
      <c r="J16" s="256" t="str">
        <f>J$10</f>
        <v>alle locaties</v>
      </c>
      <c r="K16" s="126"/>
      <c r="L16" s="126"/>
      <c r="M16" s="257" t="str">
        <f>M$8</f>
        <v>locatie 1</v>
      </c>
      <c r="N16" s="193"/>
      <c r="O16" s="955" t="str">
        <f>$E16&amp;" per woning-/gebouwtype"</f>
        <v>woningen|utiliteitsgebouwen terugkoppeling invoer per woning-/gebouwtype</v>
      </c>
      <c r="P16" s="945"/>
      <c r="Q16" s="945"/>
      <c r="R16" s="945"/>
      <c r="S16" s="945"/>
      <c r="T16" s="945"/>
      <c r="U16" s="945"/>
      <c r="V16" s="945"/>
      <c r="W16" s="257"/>
      <c r="X16" s="174"/>
      <c r="Y16" s="257" t="str">
        <f>Y$10</f>
        <v>locatie 2</v>
      </c>
      <c r="Z16" s="193"/>
      <c r="AA16" s="955" t="str">
        <f>$E16&amp;" per woning-/gebouwtype"</f>
        <v>woningen|utiliteitsgebouwen terugkoppeling invoer per woning-/gebouwtype</v>
      </c>
      <c r="AB16" s="945"/>
      <c r="AC16" s="945"/>
      <c r="AD16" s="945"/>
      <c r="AE16" s="945"/>
      <c r="AF16" s="945"/>
      <c r="AG16" s="945"/>
      <c r="AH16" s="945"/>
      <c r="AI16" s="257"/>
      <c r="AJ16" s="174"/>
      <c r="AK16" s="257" t="str">
        <f>AK$10</f>
        <v>locatie 3</v>
      </c>
      <c r="AL16" s="193"/>
      <c r="AM16" s="955" t="str">
        <f>$E16&amp;" per woning-/gebouwtype"</f>
        <v>woningen|utiliteitsgebouwen terugkoppeling invoer per woning-/gebouwtype</v>
      </c>
      <c r="AN16" s="945"/>
      <c r="AO16" s="945"/>
      <c r="AP16" s="945"/>
      <c r="AQ16" s="945"/>
      <c r="AR16" s="945"/>
      <c r="AS16" s="945"/>
      <c r="AT16" s="945"/>
      <c r="AU16" s="257"/>
      <c r="AV16" s="174"/>
      <c r="AW16" s="257" t="str">
        <f>AW$10</f>
        <v>locatie 4</v>
      </c>
      <c r="AX16" s="193"/>
      <c r="AY16" s="955" t="str">
        <f>$E16&amp;" per woning-/gebouwtype"</f>
        <v>woningen|utiliteitsgebouwen terugkoppeling invoer per woning-/gebouwtype</v>
      </c>
      <c r="AZ16" s="945"/>
      <c r="BA16" s="945"/>
      <c r="BB16" s="945"/>
      <c r="BC16" s="945"/>
      <c r="BD16" s="945"/>
      <c r="BE16" s="945"/>
      <c r="BF16" s="945"/>
      <c r="BG16" s="257"/>
      <c r="BH16" s="1"/>
    </row>
    <row r="17" spans="1:60">
      <c r="A17" s="1040"/>
      <c r="B17" s="1106" t="s">
        <v>111</v>
      </c>
      <c r="C17" s="1106" t="s">
        <v>96</v>
      </c>
      <c r="D17" s="638"/>
      <c r="E17" s="942" t="s">
        <v>113</v>
      </c>
      <c r="F17" s="942"/>
      <c r="G17" s="942"/>
      <c r="H17" s="942" t="s">
        <v>65</v>
      </c>
      <c r="I17" s="129"/>
      <c r="J17" s="943"/>
      <c r="K17" s="126"/>
      <c r="L17" s="126"/>
      <c r="M17" s="944"/>
      <c r="N17" s="195"/>
      <c r="O17" s="258" t="str">
        <f>IF('woningen|utiliteit'!L18="","",'woningen|utiliteit'!L18)</f>
        <v/>
      </c>
      <c r="P17" s="258" t="str">
        <f>IF('woningen|utiliteit'!M18="","",'woningen|utiliteit'!M18)</f>
        <v/>
      </c>
      <c r="Q17" s="258" t="str">
        <f>IF('woningen|utiliteit'!N18="","",'woningen|utiliteit'!N18)</f>
        <v/>
      </c>
      <c r="R17" s="258" t="str">
        <f>IF('woningen|utiliteit'!O18="","",'woningen|utiliteit'!O18)</f>
        <v/>
      </c>
      <c r="S17" s="258" t="str">
        <f>IF('woningen|utiliteit'!P18="","",'woningen|utiliteit'!P18)</f>
        <v/>
      </c>
      <c r="T17" s="258" t="str">
        <f>IF('woningen|utiliteit'!Q18="","",'woningen|utiliteit'!Q18)</f>
        <v/>
      </c>
      <c r="U17" s="258" t="str">
        <f>IF('woningen|utiliteit'!R18="","",'woningen|utiliteit'!R18)</f>
        <v/>
      </c>
      <c r="V17" s="258" t="str">
        <f>IF('woningen|utiliteit'!S18="","",'woningen|utiliteit'!S18)</f>
        <v/>
      </c>
      <c r="W17" s="258" t="str">
        <f>IF('woningen|utiliteit'!T18="","",'woningen|utiliteit'!T18)</f>
        <v/>
      </c>
      <c r="X17" s="195"/>
      <c r="Y17" s="944"/>
      <c r="Z17" s="195"/>
      <c r="AA17" s="258" t="str">
        <f>IF('woningen|utiliteit'!L34="","",'woningen|utiliteit'!L34)</f>
        <v/>
      </c>
      <c r="AB17" s="258" t="str">
        <f>IF('woningen|utiliteit'!M34="","",'woningen|utiliteit'!M34)</f>
        <v/>
      </c>
      <c r="AC17" s="258" t="str">
        <f>IF('woningen|utiliteit'!N34="","",'woningen|utiliteit'!N34)</f>
        <v/>
      </c>
      <c r="AD17" s="258" t="str">
        <f>IF('woningen|utiliteit'!O34="","",'woningen|utiliteit'!O34)</f>
        <v/>
      </c>
      <c r="AE17" s="258" t="str">
        <f>IF('woningen|utiliteit'!P34="","",'woningen|utiliteit'!P34)</f>
        <v/>
      </c>
      <c r="AF17" s="258" t="str">
        <f>IF('woningen|utiliteit'!Q34="","",'woningen|utiliteit'!Q34)</f>
        <v/>
      </c>
      <c r="AG17" s="258" t="str">
        <f>IF('woningen|utiliteit'!R34="","",'woningen|utiliteit'!R34)</f>
        <v/>
      </c>
      <c r="AH17" s="258" t="str">
        <f>IF('woningen|utiliteit'!S34="","",'woningen|utiliteit'!S34)</f>
        <v/>
      </c>
      <c r="AI17" s="258" t="str">
        <f>IF('woningen|utiliteit'!T34="","",'woningen|utiliteit'!T34)</f>
        <v/>
      </c>
      <c r="AJ17" s="195"/>
      <c r="AK17" s="944"/>
      <c r="AL17" s="195"/>
      <c r="AM17" s="258" t="str">
        <f>IF('woningen|utiliteit'!L50="","",'woningen|utiliteit'!L50)</f>
        <v/>
      </c>
      <c r="AN17" s="258" t="str">
        <f>IF('woningen|utiliteit'!M50="","",'woningen|utiliteit'!M50)</f>
        <v/>
      </c>
      <c r="AO17" s="258" t="str">
        <f>IF('woningen|utiliteit'!N50="","",'woningen|utiliteit'!N50)</f>
        <v/>
      </c>
      <c r="AP17" s="258" t="str">
        <f>IF('woningen|utiliteit'!O50="","",'woningen|utiliteit'!O50)</f>
        <v/>
      </c>
      <c r="AQ17" s="258" t="str">
        <f>IF('woningen|utiliteit'!P50="","",'woningen|utiliteit'!P50)</f>
        <v/>
      </c>
      <c r="AR17" s="258" t="str">
        <f>IF('woningen|utiliteit'!Q50="","",'woningen|utiliteit'!Q50)</f>
        <v/>
      </c>
      <c r="AS17" s="258" t="str">
        <f>IF('woningen|utiliteit'!R50="","",'woningen|utiliteit'!R50)</f>
        <v/>
      </c>
      <c r="AT17" s="258" t="str">
        <f>IF('woningen|utiliteit'!S50="","",'woningen|utiliteit'!S50)</f>
        <v/>
      </c>
      <c r="AU17" s="258" t="str">
        <f>IF('woningen|utiliteit'!T50="","",'woningen|utiliteit'!T50)</f>
        <v/>
      </c>
      <c r="AV17" s="195"/>
      <c r="AW17" s="944"/>
      <c r="AX17" s="195"/>
      <c r="AY17" s="258" t="str">
        <f>IF('woningen|utiliteit'!L66="","",'woningen|utiliteit'!L66)</f>
        <v/>
      </c>
      <c r="AZ17" s="258" t="str">
        <f>IF('woningen|utiliteit'!M66="","",'woningen|utiliteit'!M66)</f>
        <v/>
      </c>
      <c r="BA17" s="258" t="str">
        <f>IF('woningen|utiliteit'!N66="","",'woningen|utiliteit'!N66)</f>
        <v/>
      </c>
      <c r="BB17" s="258" t="str">
        <f>IF('woningen|utiliteit'!O66="","",'woningen|utiliteit'!O66)</f>
        <v/>
      </c>
      <c r="BC17" s="258" t="str">
        <f>IF('woningen|utiliteit'!P66="","",'woningen|utiliteit'!P66)</f>
        <v/>
      </c>
      <c r="BD17" s="258" t="str">
        <f>IF('woningen|utiliteit'!Q66="","",'woningen|utiliteit'!Q66)</f>
        <v/>
      </c>
      <c r="BE17" s="258" t="str">
        <f>IF('woningen|utiliteit'!R66="","",'woningen|utiliteit'!R66)</f>
        <v/>
      </c>
      <c r="BF17" s="258" t="str">
        <f>IF('woningen|utiliteit'!S66="","",'woningen|utiliteit'!S66)</f>
        <v/>
      </c>
      <c r="BG17" s="258" t="str">
        <f>IF('woningen|utiliteit'!T66="","",'woningen|utiliteit'!T66)</f>
        <v/>
      </c>
      <c r="BH17" s="36"/>
    </row>
    <row r="18" spans="1:60" s="36" customFormat="1">
      <c r="A18" s="1040"/>
      <c r="B18" s="1107" t="s">
        <v>111</v>
      </c>
      <c r="C18" s="1107" t="s">
        <v>104</v>
      </c>
      <c r="D18" s="638"/>
      <c r="E18" s="236" t="s">
        <v>114</v>
      </c>
      <c r="F18" s="236"/>
      <c r="G18" s="236"/>
      <c r="H18" s="297" t="s">
        <v>65</v>
      </c>
      <c r="I18" s="621"/>
      <c r="J18" s="186"/>
      <c r="K18" s="1128"/>
      <c r="L18" s="1128"/>
      <c r="M18" s="186"/>
      <c r="N18" s="94"/>
      <c r="O18" s="1129" t="str">
        <f>IF('woningen|utiliteit'!L20="","",'woningen|utiliteit'!L20)</f>
        <v/>
      </c>
      <c r="P18" s="1129" t="str">
        <f>IF('woningen|utiliteit'!M20="","",'woningen|utiliteit'!M20)</f>
        <v/>
      </c>
      <c r="Q18" s="1129" t="str">
        <f>IF('woningen|utiliteit'!N20="","",'woningen|utiliteit'!N20)</f>
        <v/>
      </c>
      <c r="R18" s="1129" t="str">
        <f>IF('woningen|utiliteit'!O20="","",'woningen|utiliteit'!O20)</f>
        <v/>
      </c>
      <c r="S18" s="1129" t="str">
        <f>IF('woningen|utiliteit'!P20="","",'woningen|utiliteit'!P20)</f>
        <v/>
      </c>
      <c r="T18" s="1129" t="str">
        <f>IF('woningen|utiliteit'!Q20="","",'woningen|utiliteit'!Q20)</f>
        <v/>
      </c>
      <c r="U18" s="1129" t="str">
        <f>IF('woningen|utiliteit'!R20="","",'woningen|utiliteit'!R20)</f>
        <v/>
      </c>
      <c r="V18" s="1129" t="str">
        <f>IF('woningen|utiliteit'!S20="","",'woningen|utiliteit'!S20)</f>
        <v/>
      </c>
      <c r="W18" s="1129" t="str">
        <f>IF('woningen|utiliteit'!T20="","",'woningen|utiliteit'!T20)</f>
        <v/>
      </c>
      <c r="X18" s="87"/>
      <c r="Y18" s="186"/>
      <c r="Z18" s="94"/>
      <c r="AA18" s="1129" t="str">
        <f>IF('woningen|utiliteit'!L36="","",'woningen|utiliteit'!L36)</f>
        <v/>
      </c>
      <c r="AB18" s="1129" t="str">
        <f>IF('woningen|utiliteit'!M36="","",'woningen|utiliteit'!M36)</f>
        <v/>
      </c>
      <c r="AC18" s="1129" t="str">
        <f>IF('woningen|utiliteit'!N36="","",'woningen|utiliteit'!N36)</f>
        <v/>
      </c>
      <c r="AD18" s="1129" t="str">
        <f>IF('woningen|utiliteit'!O36="","",'woningen|utiliteit'!O36)</f>
        <v/>
      </c>
      <c r="AE18" s="1129" t="str">
        <f>IF('woningen|utiliteit'!P36="","",'woningen|utiliteit'!P36)</f>
        <v/>
      </c>
      <c r="AF18" s="1129" t="str">
        <f>IF('woningen|utiliteit'!Q36="","",'woningen|utiliteit'!Q36)</f>
        <v/>
      </c>
      <c r="AG18" s="1129" t="str">
        <f>IF('woningen|utiliteit'!R36="","",'woningen|utiliteit'!R36)</f>
        <v/>
      </c>
      <c r="AH18" s="1129" t="str">
        <f>IF('woningen|utiliteit'!S36="","",'woningen|utiliteit'!S36)</f>
        <v/>
      </c>
      <c r="AI18" s="1129" t="str">
        <f>IF('woningen|utiliteit'!T36="","",'woningen|utiliteit'!T36)</f>
        <v/>
      </c>
      <c r="AJ18" s="87"/>
      <c r="AK18" s="186"/>
      <c r="AL18" s="94"/>
      <c r="AM18" s="1129" t="str">
        <f>IF('woningen|utiliteit'!L52="","",'woningen|utiliteit'!L52)</f>
        <v/>
      </c>
      <c r="AN18" s="1129" t="str">
        <f>IF('woningen|utiliteit'!M52="","",'woningen|utiliteit'!M52)</f>
        <v/>
      </c>
      <c r="AO18" s="1129" t="str">
        <f>IF('woningen|utiliteit'!N52="","",'woningen|utiliteit'!N52)</f>
        <v/>
      </c>
      <c r="AP18" s="1129" t="str">
        <f>IF('woningen|utiliteit'!O52="","",'woningen|utiliteit'!O52)</f>
        <v/>
      </c>
      <c r="AQ18" s="1129" t="str">
        <f>IF('woningen|utiliteit'!P52="","",'woningen|utiliteit'!P52)</f>
        <v/>
      </c>
      <c r="AR18" s="1129" t="str">
        <f>IF('woningen|utiliteit'!Q52="","",'woningen|utiliteit'!Q52)</f>
        <v/>
      </c>
      <c r="AS18" s="1129" t="str">
        <f>IF('woningen|utiliteit'!R52="","",'woningen|utiliteit'!R52)</f>
        <v/>
      </c>
      <c r="AT18" s="1129" t="str">
        <f>IF('woningen|utiliteit'!S52="","",'woningen|utiliteit'!S52)</f>
        <v/>
      </c>
      <c r="AU18" s="1129" t="str">
        <f>IF('woningen|utiliteit'!T52="","",'woningen|utiliteit'!T52)</f>
        <v/>
      </c>
      <c r="AV18" s="87"/>
      <c r="AW18" s="186"/>
      <c r="AX18" s="94"/>
      <c r="AY18" s="1129" t="str">
        <f>IF('woningen|utiliteit'!L68="","",'woningen|utiliteit'!L68)</f>
        <v/>
      </c>
      <c r="AZ18" s="1129" t="str">
        <f>IF('woningen|utiliteit'!M68="","",'woningen|utiliteit'!M68)</f>
        <v/>
      </c>
      <c r="BA18" s="1129" t="str">
        <f>IF('woningen|utiliteit'!N68="","",'woningen|utiliteit'!N68)</f>
        <v/>
      </c>
      <c r="BB18" s="1129" t="str">
        <f>IF('woningen|utiliteit'!O68="","",'woningen|utiliteit'!O68)</f>
        <v/>
      </c>
      <c r="BC18" s="1129" t="str">
        <f>IF('woningen|utiliteit'!P68="","",'woningen|utiliteit'!P68)</f>
        <v/>
      </c>
      <c r="BD18" s="1129" t="str">
        <f>IF('woningen|utiliteit'!Q68="","",'woningen|utiliteit'!Q68)</f>
        <v/>
      </c>
      <c r="BE18" s="1129" t="str">
        <f>IF('woningen|utiliteit'!R68="","",'woningen|utiliteit'!R68)</f>
        <v/>
      </c>
      <c r="BF18" s="1129" t="str">
        <f>IF('woningen|utiliteit'!S68="","",'woningen|utiliteit'!S68)</f>
        <v/>
      </c>
      <c r="BG18" s="1129" t="str">
        <f>IF('woningen|utiliteit'!T68="","",'woningen|utiliteit'!T68)</f>
        <v/>
      </c>
      <c r="BH18" s="213"/>
    </row>
    <row r="19" spans="1:60" s="36" customFormat="1">
      <c r="A19" s="1040"/>
      <c r="B19" s="1106" t="s">
        <v>111</v>
      </c>
      <c r="C19" s="1107" t="s">
        <v>104</v>
      </c>
      <c r="D19" s="638"/>
      <c r="E19" s="254" t="s">
        <v>115</v>
      </c>
      <c r="F19" s="618"/>
      <c r="G19" s="618"/>
      <c r="H19" s="298" t="s">
        <v>65</v>
      </c>
      <c r="I19" s="86"/>
      <c r="J19" s="619"/>
      <c r="K19" s="93"/>
      <c r="L19" s="93"/>
      <c r="M19" s="619"/>
      <c r="N19" s="620"/>
      <c r="O19" s="539" t="str">
        <f>IF(O$17="","",HLOOKUP(O$17,woningen_gebouwen_gegevens,ROWS(bibliotheek!$E$20:$E$21),FALSE))</f>
        <v/>
      </c>
      <c r="P19" s="539" t="str">
        <f>IF(P$17="","",HLOOKUP(P$17,woningen_gebouwen_gegevens,ROWS(bibliotheek!$E$20:$E$21),FALSE))</f>
        <v/>
      </c>
      <c r="Q19" s="539" t="str">
        <f>IF(Q$17="","",HLOOKUP(Q$17,woningen_gebouwen_gegevens,ROWS(bibliotheek!$E$20:$E$21),FALSE))</f>
        <v/>
      </c>
      <c r="R19" s="539" t="str">
        <f>IF(R$17="","",HLOOKUP(R$17,woningen_gebouwen_gegevens,ROWS(bibliotheek!$E$20:$E$21),FALSE))</f>
        <v/>
      </c>
      <c r="S19" s="539" t="str">
        <f>IF(S$17="","",HLOOKUP(S$17,woningen_gebouwen_gegevens,ROWS(bibliotheek!$E$20:$E$21),FALSE))</f>
        <v/>
      </c>
      <c r="T19" s="539" t="str">
        <f>IF(T$17="","",HLOOKUP(T$17,woningen_gebouwen_gegevens,ROWS(bibliotheek!$E$20:$E$21),FALSE))</f>
        <v/>
      </c>
      <c r="U19" s="539" t="str">
        <f>IF(U$17="","",HLOOKUP(U$17,woningen_gebouwen_gegevens,ROWS(bibliotheek!$E$20:$E$21),FALSE))</f>
        <v/>
      </c>
      <c r="V19" s="539" t="str">
        <f>IF(V$17="","",HLOOKUP(V$17,woningen_gebouwen_gegevens,ROWS(bibliotheek!$E$20:$E$21),FALSE))</f>
        <v/>
      </c>
      <c r="W19" s="539" t="str">
        <f>IF(W$17="","",HLOOKUP(W$17,woningen_gebouwen_gegevens,ROWS(bibliotheek!$E$20:$E$21),FALSE))</f>
        <v/>
      </c>
      <c r="X19" s="322"/>
      <c r="Y19" s="148"/>
      <c r="Z19" s="323"/>
      <c r="AA19" s="385" t="str">
        <f>IF(AA$17="","",HLOOKUP(AA$17,woningen_gebouwen_gegevens,ROWS(bibliotheek!$E$20:$E$21),FALSE))</f>
        <v/>
      </c>
      <c r="AB19" s="385" t="str">
        <f>IF(AB$17="","",HLOOKUP(AB$17,woningen_gebouwen_gegevens,ROWS(bibliotheek!$E$20:$E$21),FALSE))</f>
        <v/>
      </c>
      <c r="AC19" s="385" t="str">
        <f>IF(AC$17="","",HLOOKUP(AC$17,woningen_gebouwen_gegevens,ROWS(bibliotheek!$E$20:$E$21),FALSE))</f>
        <v/>
      </c>
      <c r="AD19" s="385" t="str">
        <f>IF(AD$17="","",HLOOKUP(AD$17,woningen_gebouwen_gegevens,ROWS(bibliotheek!$E$20:$E$21),FALSE))</f>
        <v/>
      </c>
      <c r="AE19" s="385" t="str">
        <f>IF(AE$17="","",HLOOKUP(AE$17,woningen_gebouwen_gegevens,ROWS(bibliotheek!$E$20:$E$21),FALSE))</f>
        <v/>
      </c>
      <c r="AF19" s="385" t="str">
        <f>IF(AF$17="","",HLOOKUP(AF$17,woningen_gebouwen_gegevens,ROWS(bibliotheek!$E$20:$E$21),FALSE))</f>
        <v/>
      </c>
      <c r="AG19" s="385" t="str">
        <f>IF(AG$17="","",HLOOKUP(AG$17,woningen_gebouwen_gegevens,ROWS(bibliotheek!$E$20:$E$21),FALSE))</f>
        <v/>
      </c>
      <c r="AH19" s="385" t="str">
        <f>IF(AH$17="","",HLOOKUP(AH$17,woningen_gebouwen_gegevens,ROWS(bibliotheek!$E$20:$E$21),FALSE))</f>
        <v/>
      </c>
      <c r="AI19" s="385" t="str">
        <f>IF(AI$17="","",HLOOKUP(AI$17,woningen_gebouwen_gegevens,ROWS(bibliotheek!$E$20:$E$21),FALSE))</f>
        <v/>
      </c>
      <c r="AJ19" s="322"/>
      <c r="AK19" s="148"/>
      <c r="AL19" s="323"/>
      <c r="AM19" s="385" t="str">
        <f>IF(AM$17="","",HLOOKUP(AM$17,woningen_gebouwen_gegevens,ROWS(bibliotheek!$E$20:$E$21),FALSE))</f>
        <v/>
      </c>
      <c r="AN19" s="385" t="str">
        <f>IF(AN$17="","",HLOOKUP(AN$17,woningen_gebouwen_gegevens,ROWS(bibliotheek!$E$20:$E$21),FALSE))</f>
        <v/>
      </c>
      <c r="AO19" s="385" t="str">
        <f>IF(AO$17="","",HLOOKUP(AO$17,woningen_gebouwen_gegevens,ROWS(bibliotheek!$E$20:$E$21),FALSE))</f>
        <v/>
      </c>
      <c r="AP19" s="385" t="str">
        <f>IF(AP$17="","",HLOOKUP(AP$17,woningen_gebouwen_gegevens,ROWS(bibliotheek!$E$20:$E$21),FALSE))</f>
        <v/>
      </c>
      <c r="AQ19" s="385" t="str">
        <f>IF(AQ$17="","",HLOOKUP(AQ$17,woningen_gebouwen_gegevens,ROWS(bibliotheek!$E$20:$E$21),FALSE))</f>
        <v/>
      </c>
      <c r="AR19" s="385" t="str">
        <f>IF(AR$17="","",HLOOKUP(AR$17,woningen_gebouwen_gegevens,ROWS(bibliotheek!$E$20:$E$21),FALSE))</f>
        <v/>
      </c>
      <c r="AS19" s="385" t="str">
        <f>IF(AS$17="","",HLOOKUP(AS$17,woningen_gebouwen_gegevens,ROWS(bibliotheek!$E$20:$E$21),FALSE))</f>
        <v/>
      </c>
      <c r="AT19" s="385" t="str">
        <f>IF(AT$17="","",HLOOKUP(AT$17,woningen_gebouwen_gegevens,ROWS(bibliotheek!$E$20:$E$21),FALSE))</f>
        <v/>
      </c>
      <c r="AU19" s="385" t="str">
        <f>IF(AU$17="","",HLOOKUP(AU$17,woningen_gebouwen_gegevens,ROWS(bibliotheek!$E$20:$E$21),FALSE))</f>
        <v/>
      </c>
      <c r="AV19" s="322"/>
      <c r="AW19" s="148"/>
      <c r="AX19" s="323"/>
      <c r="AY19" s="385" t="str">
        <f>IF(AY$17="","",HLOOKUP(AY$17,woningen_gebouwen_gegevens,ROWS(bibliotheek!$E$20:$E$21),FALSE))</f>
        <v/>
      </c>
      <c r="AZ19" s="385" t="str">
        <f>IF(AZ$17="","",HLOOKUP(AZ$17,woningen_gebouwen_gegevens,ROWS(bibliotheek!$E$20:$E$21),FALSE))</f>
        <v/>
      </c>
      <c r="BA19" s="385" t="str">
        <f>IF(BA$17="","",HLOOKUP(BA$17,woningen_gebouwen_gegevens,ROWS(bibliotheek!$E$20:$E$21),FALSE))</f>
        <v/>
      </c>
      <c r="BB19" s="385" t="str">
        <f>IF(BB$17="","",HLOOKUP(BB$17,woningen_gebouwen_gegevens,ROWS(bibliotheek!$E$20:$E$21),FALSE))</f>
        <v/>
      </c>
      <c r="BC19" s="385" t="str">
        <f>IF(BC$17="","",HLOOKUP(BC$17,woningen_gebouwen_gegevens,ROWS(bibliotheek!$E$20:$E$21),FALSE))</f>
        <v/>
      </c>
      <c r="BD19" s="385" t="str">
        <f>IF(BD$17="","",HLOOKUP(BD$17,woningen_gebouwen_gegevens,ROWS(bibliotheek!$E$20:$E$21),FALSE))</f>
        <v/>
      </c>
      <c r="BE19" s="385" t="str">
        <f>IF(BE$17="","",HLOOKUP(BE$17,woningen_gebouwen_gegevens,ROWS(bibliotheek!$E$20:$E$21),FALSE))</f>
        <v/>
      </c>
      <c r="BF19" s="385" t="str">
        <f>IF(BF$17="","",HLOOKUP(BF$17,woningen_gebouwen_gegevens,ROWS(bibliotheek!$E$20:$E$21),FALSE))</f>
        <v/>
      </c>
      <c r="BG19" s="385" t="str">
        <f>IF(BG$17="","",HLOOKUP(BG$17,woningen_gebouwen_gegevens,ROWS(bibliotheek!$E$20:$E$21),FALSE))</f>
        <v/>
      </c>
      <c r="BH19" s="213"/>
    </row>
    <row r="20" spans="1:60">
      <c r="A20" s="1040"/>
      <c r="B20" s="1106" t="s">
        <v>111</v>
      </c>
      <c r="C20" s="1107" t="s">
        <v>104</v>
      </c>
      <c r="D20" s="638"/>
      <c r="E20" s="180" t="s">
        <v>116</v>
      </c>
      <c r="F20" s="180"/>
      <c r="G20" s="180"/>
      <c r="H20" s="181" t="s">
        <v>65</v>
      </c>
      <c r="I20" s="114"/>
      <c r="J20" s="624"/>
      <c r="K20" s="243"/>
      <c r="L20" s="243"/>
      <c r="M20" s="188"/>
      <c r="N20" s="89"/>
      <c r="O20" s="385" t="str">
        <f>IF(O$17="","",HLOOKUP(O$17,woningen_gebouwen_gegevens,ROWS(bibliotheek!$E$20:$E$22),FALSE))</f>
        <v/>
      </c>
      <c r="P20" s="385" t="str">
        <f>IF(P$17="","",HLOOKUP(P$17,woningen_gebouwen_gegevens,ROWS(bibliotheek!$E$20:$E$22),FALSE))</f>
        <v/>
      </c>
      <c r="Q20" s="385" t="str">
        <f>IF(Q$17="","",HLOOKUP(Q$17,woningen_gebouwen_gegevens,ROWS(bibliotheek!$E$20:$E$22),FALSE))</f>
        <v/>
      </c>
      <c r="R20" s="385" t="str">
        <f>IF(R$17="","",HLOOKUP(R$17,woningen_gebouwen_gegevens,ROWS(bibliotheek!$E$20:$E$22),FALSE))</f>
        <v/>
      </c>
      <c r="S20" s="385" t="str">
        <f>IF(S$17="","",HLOOKUP(S$17,woningen_gebouwen_gegevens,ROWS(bibliotheek!$E$20:$E$22),FALSE))</f>
        <v/>
      </c>
      <c r="T20" s="385" t="str">
        <f>IF(T$17="","",HLOOKUP(T$17,woningen_gebouwen_gegevens,ROWS(bibliotheek!$E$20:$E$22),FALSE))</f>
        <v/>
      </c>
      <c r="U20" s="385" t="str">
        <f>IF(U$17="","",HLOOKUP(U$17,woningen_gebouwen_gegevens,ROWS(bibliotheek!$E$20:$E$22),FALSE))</f>
        <v/>
      </c>
      <c r="V20" s="385" t="str">
        <f>IF(V$17="","",HLOOKUP(V$17,woningen_gebouwen_gegevens,ROWS(bibliotheek!$E$20:$E$22),FALSE))</f>
        <v/>
      </c>
      <c r="W20" s="385" t="str">
        <f>IF(W$17="","",HLOOKUP(W$17,woningen_gebouwen_gegevens,ROWS(bibliotheek!$E$20:$E$22),FALSE))</f>
        <v/>
      </c>
      <c r="X20" s="90"/>
      <c r="Y20" s="188"/>
      <c r="Z20" s="89"/>
      <c r="AA20" s="385" t="str">
        <f>IF(AA$17="","",HLOOKUP(AA$17,woningen_gebouwen_gegevens,ROWS(bibliotheek!$E$20:$E$22),FALSE))</f>
        <v/>
      </c>
      <c r="AB20" s="385" t="str">
        <f>IF(AB$17="","",HLOOKUP(AB$17,woningen_gebouwen_gegevens,ROWS(bibliotheek!$E$20:$E$22),FALSE))</f>
        <v/>
      </c>
      <c r="AC20" s="385" t="str">
        <f>IF(AC$17="","",HLOOKUP(AC$17,woningen_gebouwen_gegevens,ROWS(bibliotheek!$E$20:$E$22),FALSE))</f>
        <v/>
      </c>
      <c r="AD20" s="385" t="str">
        <f>IF(AD$17="","",HLOOKUP(AD$17,woningen_gebouwen_gegevens,ROWS(bibliotheek!$E$20:$E$22),FALSE))</f>
        <v/>
      </c>
      <c r="AE20" s="385" t="str">
        <f>IF(AE$17="","",HLOOKUP(AE$17,woningen_gebouwen_gegevens,ROWS(bibliotheek!$E$20:$E$22),FALSE))</f>
        <v/>
      </c>
      <c r="AF20" s="385" t="str">
        <f>IF(AF$17="","",HLOOKUP(AF$17,woningen_gebouwen_gegevens,ROWS(bibliotheek!$E$20:$E$22),FALSE))</f>
        <v/>
      </c>
      <c r="AG20" s="385" t="str">
        <f>IF(AG$17="","",HLOOKUP(AG$17,woningen_gebouwen_gegevens,ROWS(bibliotheek!$E$20:$E$22),FALSE))</f>
        <v/>
      </c>
      <c r="AH20" s="385" t="str">
        <f>IF(AH$17="","",HLOOKUP(AH$17,woningen_gebouwen_gegevens,ROWS(bibliotheek!$E$20:$E$22),FALSE))</f>
        <v/>
      </c>
      <c r="AI20" s="385" t="str">
        <f>IF(AI$17="","",HLOOKUP(AI$17,woningen_gebouwen_gegevens,ROWS(bibliotheek!$E$20:$E$22),FALSE))</f>
        <v/>
      </c>
      <c r="AJ20" s="90"/>
      <c r="AK20" s="188"/>
      <c r="AL20" s="89"/>
      <c r="AM20" s="385" t="str">
        <f>IF(AM$17="","",HLOOKUP(AM$17,woningen_gebouwen_gegevens,ROWS(bibliotheek!$E$20:$E$22),FALSE))</f>
        <v/>
      </c>
      <c r="AN20" s="385" t="str">
        <f>IF(AN$17="","",HLOOKUP(AN$17,woningen_gebouwen_gegevens,ROWS(bibliotheek!$E$20:$E$22),FALSE))</f>
        <v/>
      </c>
      <c r="AO20" s="385" t="str">
        <f>IF(AO$17="","",HLOOKUP(AO$17,woningen_gebouwen_gegevens,ROWS(bibliotheek!$E$20:$E$22),FALSE))</f>
        <v/>
      </c>
      <c r="AP20" s="385" t="str">
        <f>IF(AP$17="","",HLOOKUP(AP$17,woningen_gebouwen_gegevens,ROWS(bibliotheek!$E$20:$E$22),FALSE))</f>
        <v/>
      </c>
      <c r="AQ20" s="385" t="str">
        <f>IF(AQ$17="","",HLOOKUP(AQ$17,woningen_gebouwen_gegevens,ROWS(bibliotheek!$E$20:$E$22),FALSE))</f>
        <v/>
      </c>
      <c r="AR20" s="385" t="str">
        <f>IF(AR$17="","",HLOOKUP(AR$17,woningen_gebouwen_gegevens,ROWS(bibliotheek!$E$20:$E$22),FALSE))</f>
        <v/>
      </c>
      <c r="AS20" s="385" t="str">
        <f>IF(AS$17="","",HLOOKUP(AS$17,woningen_gebouwen_gegevens,ROWS(bibliotheek!$E$20:$E$22),FALSE))</f>
        <v/>
      </c>
      <c r="AT20" s="385" t="str">
        <f>IF(AT$17="","",HLOOKUP(AT$17,woningen_gebouwen_gegevens,ROWS(bibliotheek!$E$20:$E$22),FALSE))</f>
        <v/>
      </c>
      <c r="AU20" s="385" t="str">
        <f>IF(AU$17="","",HLOOKUP(AU$17,woningen_gebouwen_gegevens,ROWS(bibliotheek!$E$20:$E$22),FALSE))</f>
        <v/>
      </c>
      <c r="AV20" s="90"/>
      <c r="AW20" s="188"/>
      <c r="AX20" s="89"/>
      <c r="AY20" s="385" t="str">
        <f>IF(AY$17="","",HLOOKUP(AY$17,woningen_gebouwen_gegevens,ROWS(bibliotheek!$E$20:$E$22),FALSE))</f>
        <v/>
      </c>
      <c r="AZ20" s="385" t="str">
        <f>IF(AZ$17="","",HLOOKUP(AZ$17,woningen_gebouwen_gegevens,ROWS(bibliotheek!$E$20:$E$22),FALSE))</f>
        <v/>
      </c>
      <c r="BA20" s="385" t="str">
        <f>IF(BA$17="","",HLOOKUP(BA$17,woningen_gebouwen_gegevens,ROWS(bibliotheek!$E$20:$E$22),FALSE))</f>
        <v/>
      </c>
      <c r="BB20" s="385" t="str">
        <f>IF(BB$17="","",HLOOKUP(BB$17,woningen_gebouwen_gegevens,ROWS(bibliotheek!$E$20:$E$22),FALSE))</f>
        <v/>
      </c>
      <c r="BC20" s="385" t="str">
        <f>IF(BC$17="","",HLOOKUP(BC$17,woningen_gebouwen_gegevens,ROWS(bibliotheek!$E$20:$E$22),FALSE))</f>
        <v/>
      </c>
      <c r="BD20" s="385" t="str">
        <f>IF(BD$17="","",HLOOKUP(BD$17,woningen_gebouwen_gegevens,ROWS(bibliotheek!$E$20:$E$22),FALSE))</f>
        <v/>
      </c>
      <c r="BE20" s="385" t="str">
        <f>IF(BE$17="","",HLOOKUP(BE$17,woningen_gebouwen_gegevens,ROWS(bibliotheek!$E$20:$E$22),FALSE))</f>
        <v/>
      </c>
      <c r="BF20" s="385" t="str">
        <f>IF(BF$17="","",HLOOKUP(BF$17,woningen_gebouwen_gegevens,ROWS(bibliotheek!$E$20:$E$22),FALSE))</f>
        <v/>
      </c>
      <c r="BG20" s="385" t="str">
        <f>IF(BG$17="","",HLOOKUP(BG$17,woningen_gebouwen_gegevens,ROWS(bibliotheek!$E$20:$E$22),FALSE))</f>
        <v/>
      </c>
      <c r="BH20" s="214"/>
    </row>
    <row r="21" spans="1:60">
      <c r="A21" s="1040"/>
      <c r="B21" s="1106" t="s">
        <v>111</v>
      </c>
      <c r="C21" s="1106" t="s">
        <v>96</v>
      </c>
      <c r="D21" s="638"/>
      <c r="E21" s="942" t="s">
        <v>117</v>
      </c>
      <c r="F21" s="942"/>
      <c r="G21" s="942"/>
      <c r="H21" s="942"/>
      <c r="I21" s="129"/>
      <c r="J21" s="943"/>
      <c r="K21" s="126"/>
      <c r="L21" s="126"/>
      <c r="M21" s="944"/>
      <c r="N21" s="193"/>
      <c r="O21" s="258" t="str">
        <f>O$17</f>
        <v/>
      </c>
      <c r="P21" s="258" t="str">
        <f t="shared" ref="P21:W21" si="12">P$17</f>
        <v/>
      </c>
      <c r="Q21" s="258" t="str">
        <f t="shared" si="12"/>
        <v/>
      </c>
      <c r="R21" s="258" t="str">
        <f t="shared" si="12"/>
        <v/>
      </c>
      <c r="S21" s="258" t="str">
        <f t="shared" si="12"/>
        <v/>
      </c>
      <c r="T21" s="258" t="str">
        <f t="shared" si="12"/>
        <v/>
      </c>
      <c r="U21" s="258" t="str">
        <f t="shared" si="12"/>
        <v/>
      </c>
      <c r="V21" s="258" t="str">
        <f t="shared" si="12"/>
        <v/>
      </c>
      <c r="W21" s="258" t="str">
        <f t="shared" si="12"/>
        <v/>
      </c>
      <c r="X21" s="195"/>
      <c r="Y21" s="944"/>
      <c r="Z21" s="195"/>
      <c r="AA21" s="258" t="str">
        <f>IF('woningen|utiliteit'!X22="","",'woningen|utiliteit'!X22)</f>
        <v/>
      </c>
      <c r="AB21" s="258" t="str">
        <f>IF('woningen|utiliteit'!Y22="","",'woningen|utiliteit'!Y22)</f>
        <v/>
      </c>
      <c r="AC21" s="258" t="str">
        <f>IF('woningen|utiliteit'!Z22="","",'woningen|utiliteit'!Z22)</f>
        <v/>
      </c>
      <c r="AD21" s="258" t="str">
        <f>IF('woningen|utiliteit'!AA22="","",'woningen|utiliteit'!AA22)</f>
        <v/>
      </c>
      <c r="AE21" s="258" t="str">
        <f>IF('woningen|utiliteit'!AB22="","",'woningen|utiliteit'!AB22)</f>
        <v/>
      </c>
      <c r="AF21" s="258" t="str">
        <f>IF('woningen|utiliteit'!AC22="","",'woningen|utiliteit'!AC22)</f>
        <v/>
      </c>
      <c r="AG21" s="258" t="str">
        <f>IF('woningen|utiliteit'!AD22="","",'woningen|utiliteit'!AD22)</f>
        <v/>
      </c>
      <c r="AH21" s="258" t="str">
        <f>IF('woningen|utiliteit'!AE22="","",'woningen|utiliteit'!AE22)</f>
        <v/>
      </c>
      <c r="AI21" s="258" t="str">
        <f>IF('woningen|utiliteit'!AF22="","",'woningen|utiliteit'!AF22)</f>
        <v/>
      </c>
      <c r="AJ21" s="195"/>
      <c r="AK21" s="944"/>
      <c r="AL21" s="195"/>
      <c r="AM21" s="258" t="str">
        <f>IF('woningen|utiliteit'!AJ22="","",'woningen|utiliteit'!AJ22)</f>
        <v/>
      </c>
      <c r="AN21" s="258" t="str">
        <f>IF('woningen|utiliteit'!AK22="","",'woningen|utiliteit'!AK22)</f>
        <v/>
      </c>
      <c r="AO21" s="258" t="str">
        <f>IF('woningen|utiliteit'!AL22="","",'woningen|utiliteit'!AL22)</f>
        <v/>
      </c>
      <c r="AP21" s="258" t="str">
        <f>IF('woningen|utiliteit'!AM22="","",'woningen|utiliteit'!AM22)</f>
        <v/>
      </c>
      <c r="AQ21" s="258" t="str">
        <f>IF('woningen|utiliteit'!AN22="","",'woningen|utiliteit'!AN22)</f>
        <v/>
      </c>
      <c r="AR21" s="258" t="str">
        <f>IF('woningen|utiliteit'!AO22="","",'woningen|utiliteit'!AO22)</f>
        <v/>
      </c>
      <c r="AS21" s="258" t="str">
        <f>IF('woningen|utiliteit'!AP22="","",'woningen|utiliteit'!AP22)</f>
        <v/>
      </c>
      <c r="AT21" s="258" t="str">
        <f>IF('woningen|utiliteit'!AQ22="","",'woningen|utiliteit'!AQ22)</f>
        <v/>
      </c>
      <c r="AU21" s="258" t="str">
        <f>IF('woningen|utiliteit'!AR22="","",'woningen|utiliteit'!AR22)</f>
        <v/>
      </c>
      <c r="AV21" s="195"/>
      <c r="AW21" s="944"/>
      <c r="AX21" s="195"/>
      <c r="AY21" s="258" t="str">
        <f>IF('woningen|utiliteit'!AV22="","",'woningen|utiliteit'!AV22)</f>
        <v/>
      </c>
      <c r="AZ21" s="258" t="str">
        <f>IF('woningen|utiliteit'!AW22="","",'woningen|utiliteit'!AW22)</f>
        <v/>
      </c>
      <c r="BA21" s="258" t="str">
        <f>IF('woningen|utiliteit'!AX22="","",'woningen|utiliteit'!AX22)</f>
        <v/>
      </c>
      <c r="BB21" s="258" t="str">
        <f>IF('woningen|utiliteit'!AY22="","",'woningen|utiliteit'!AY22)</f>
        <v/>
      </c>
      <c r="BC21" s="258" t="str">
        <f>IF('woningen|utiliteit'!AZ22="","",'woningen|utiliteit'!AZ22)</f>
        <v/>
      </c>
      <c r="BD21" s="258" t="str">
        <f>IF('woningen|utiliteit'!BA22="","",'woningen|utiliteit'!BA22)</f>
        <v/>
      </c>
      <c r="BE21" s="258" t="str">
        <f>IF('woningen|utiliteit'!BB22="","",'woningen|utiliteit'!BB22)</f>
        <v/>
      </c>
      <c r="BF21" s="258" t="str">
        <f>IF('woningen|utiliteit'!BC22="","",'woningen|utiliteit'!BC22)</f>
        <v/>
      </c>
      <c r="BG21" s="258" t="str">
        <f>IF('woningen|utiliteit'!BD22="","",'woningen|utiliteit'!BD22)</f>
        <v/>
      </c>
      <c r="BH21" s="36"/>
    </row>
    <row r="22" spans="1:60">
      <c r="A22" s="1040"/>
      <c r="B22" s="1106" t="s">
        <v>111</v>
      </c>
      <c r="C22" s="1107" t="s">
        <v>118</v>
      </c>
      <c r="D22" s="638"/>
      <c r="E22" s="254" t="s">
        <v>119</v>
      </c>
      <c r="F22" s="254"/>
      <c r="G22" s="254"/>
      <c r="H22" s="298" t="s">
        <v>120</v>
      </c>
      <c r="I22" s="116"/>
      <c r="J22" s="185">
        <f>M22+Y22+AK22+AW22</f>
        <v>0</v>
      </c>
      <c r="K22" s="1051"/>
      <c r="L22" s="1051"/>
      <c r="M22" s="400">
        <f>SUM(N22:X22)</f>
        <v>0</v>
      </c>
      <c r="N22" s="91"/>
      <c r="O22" s="538">
        <f>IF('woningen|utiliteit'!L18="",0,IF(O23&lt;&gt;"",O23,'woningen|utiliteit'!L21))</f>
        <v>0</v>
      </c>
      <c r="P22" s="538">
        <f>IF('woningen|utiliteit'!M18="",0,IF(P23&lt;&gt;"",P23,'woningen|utiliteit'!M21))</f>
        <v>0</v>
      </c>
      <c r="Q22" s="539">
        <f>IF('woningen|utiliteit'!N18="",0,IF(Q23&lt;&gt;"",Q23,'woningen|utiliteit'!N21))</f>
        <v>0</v>
      </c>
      <c r="R22" s="539">
        <f>IF('woningen|utiliteit'!O18="",0,IF(R23&lt;&gt;"",R23,'woningen|utiliteit'!O21))</f>
        <v>0</v>
      </c>
      <c r="S22" s="539">
        <f>IF('woningen|utiliteit'!P18="",0,IF(S23&lt;&gt;"",S23,'woningen|utiliteit'!P21))</f>
        <v>0</v>
      </c>
      <c r="T22" s="539">
        <f>IF('woningen|utiliteit'!Q18="",0,IF(T23&lt;&gt;"",T23,'woningen|utiliteit'!Q21))</f>
        <v>0</v>
      </c>
      <c r="U22" s="539">
        <f>IF('woningen|utiliteit'!R18="",0,IF(U23&lt;&gt;"",U23,'woningen|utiliteit'!R21))</f>
        <v>0</v>
      </c>
      <c r="V22" s="539">
        <f>IF('woningen|utiliteit'!S18="",0,IF(V23&lt;&gt;"",V23,'woningen|utiliteit'!S21))</f>
        <v>0</v>
      </c>
      <c r="W22" s="538">
        <f>IF('woningen|utiliteit'!T18="",0,IF(W23&lt;&gt;"",W23,'woningen|utiliteit'!T21))</f>
        <v>0</v>
      </c>
      <c r="X22" s="92"/>
      <c r="Y22" s="189">
        <f>SUM(Z22:AJ22)</f>
        <v>0</v>
      </c>
      <c r="Z22" s="91"/>
      <c r="AA22" s="538">
        <f>IF('woningen|utiliteit'!L34="",0,IF(AA23&lt;&gt;"",AA23,'woningen|utiliteit'!L37))</f>
        <v>0</v>
      </c>
      <c r="AB22" s="538">
        <f>IF('woningen|utiliteit'!M34="",0,IF(AB23&lt;&gt;"",AB23,'woningen|utiliteit'!M37))</f>
        <v>0</v>
      </c>
      <c r="AC22" s="539">
        <f>IF('woningen|utiliteit'!N34="",0,IF(AC23&lt;&gt;"",AC23,'woningen|utiliteit'!N37))</f>
        <v>0</v>
      </c>
      <c r="AD22" s="539">
        <f>IF('woningen|utiliteit'!O34="",0,IF(AD23&lt;&gt;"",AD23,'woningen|utiliteit'!O37))</f>
        <v>0</v>
      </c>
      <c r="AE22" s="539">
        <f>IF('woningen|utiliteit'!P34="",0,IF(AE23&lt;&gt;"",AE23,'woningen|utiliteit'!P37))</f>
        <v>0</v>
      </c>
      <c r="AF22" s="539">
        <f>IF('woningen|utiliteit'!Q34="",0,IF(AF23&lt;&gt;"",AF23,'woningen|utiliteit'!Q37))</f>
        <v>0</v>
      </c>
      <c r="AG22" s="539">
        <f>IF('woningen|utiliteit'!R34="",0,IF(AG23&lt;&gt;"",AG23,'woningen|utiliteit'!R37))</f>
        <v>0</v>
      </c>
      <c r="AH22" s="539">
        <f>IF('woningen|utiliteit'!S34="",0,IF(AH23&lt;&gt;"",AH23,'woningen|utiliteit'!S37))</f>
        <v>0</v>
      </c>
      <c r="AI22" s="538">
        <f>IF('woningen|utiliteit'!T34="",0,IF(AI23&lt;&gt;"",AI23,'woningen|utiliteit'!T37))</f>
        <v>0</v>
      </c>
      <c r="AJ22" s="92"/>
      <c r="AK22" s="189">
        <f>SUM(AL22:AV22)</f>
        <v>0</v>
      </c>
      <c r="AL22" s="91"/>
      <c r="AM22" s="538">
        <f>IF('woningen|utiliteit'!L50="",0,IF(AM23&lt;&gt;"",AM23,'woningen|utiliteit'!L53))</f>
        <v>0</v>
      </c>
      <c r="AN22" s="538">
        <f>IF('woningen|utiliteit'!M50="",0,IF(AN23&lt;&gt;"",AN23,'woningen|utiliteit'!M53))</f>
        <v>0</v>
      </c>
      <c r="AO22" s="539">
        <f>IF('woningen|utiliteit'!N50="",0,IF(AO23&lt;&gt;"",AO23,'woningen|utiliteit'!N53))</f>
        <v>0</v>
      </c>
      <c r="AP22" s="539">
        <f>IF('woningen|utiliteit'!O50="",0,IF(AP23&lt;&gt;"",AP23,'woningen|utiliteit'!O53))</f>
        <v>0</v>
      </c>
      <c r="AQ22" s="539">
        <f>IF('woningen|utiliteit'!P50="",0,IF(AQ23&lt;&gt;"",AQ23,'woningen|utiliteit'!P53))</f>
        <v>0</v>
      </c>
      <c r="AR22" s="539">
        <f>IF('woningen|utiliteit'!Q50="",0,IF(AR23&lt;&gt;"",AR23,'woningen|utiliteit'!Q53))</f>
        <v>0</v>
      </c>
      <c r="AS22" s="539">
        <f>IF('woningen|utiliteit'!R50="",0,IF(AS23&lt;&gt;"",AS23,'woningen|utiliteit'!R53))</f>
        <v>0</v>
      </c>
      <c r="AT22" s="539">
        <f>IF('woningen|utiliteit'!S50="",0,IF(AT23&lt;&gt;"",AT23,'woningen|utiliteit'!S53))</f>
        <v>0</v>
      </c>
      <c r="AU22" s="538">
        <f>IF('woningen|utiliteit'!T50="",0,IF(AU23&lt;&gt;"",AU23,'woningen|utiliteit'!T53))</f>
        <v>0</v>
      </c>
      <c r="AV22" s="92"/>
      <c r="AW22" s="189">
        <f>SUM(AX22:BH22)</f>
        <v>0</v>
      </c>
      <c r="AX22" s="91"/>
      <c r="AY22" s="538">
        <f>IF('woningen|utiliteit'!L66="",0,IF(AY23&lt;&gt;"",AY23,'woningen|utiliteit'!L69))</f>
        <v>0</v>
      </c>
      <c r="AZ22" s="538">
        <f>IF('woningen|utiliteit'!M66="",0,IF(AZ23&lt;&gt;"",AZ23,'woningen|utiliteit'!M69))</f>
        <v>0</v>
      </c>
      <c r="BA22" s="539">
        <f>IF('woningen|utiliteit'!N66="",0,IF(BA23&lt;&gt;"",BA23,'woningen|utiliteit'!N69))</f>
        <v>0</v>
      </c>
      <c r="BB22" s="539">
        <f>IF('woningen|utiliteit'!O66="",0,IF(BB23&lt;&gt;"",BB23,'woningen|utiliteit'!O69))</f>
        <v>0</v>
      </c>
      <c r="BC22" s="539">
        <f>IF('woningen|utiliteit'!P66="",0,IF(BC23&lt;&gt;"",BC23,'woningen|utiliteit'!P69))</f>
        <v>0</v>
      </c>
      <c r="BD22" s="539">
        <f>IF('woningen|utiliteit'!Q66="",0,IF(BD23&lt;&gt;"",BD23,'woningen|utiliteit'!Q69))</f>
        <v>0</v>
      </c>
      <c r="BE22" s="539">
        <f>IF('woningen|utiliteit'!R66="",0,IF(BE23&lt;&gt;"",BE23,'woningen|utiliteit'!R69))</f>
        <v>0</v>
      </c>
      <c r="BF22" s="539">
        <f>IF('woningen|utiliteit'!S66="",0,IF(BF23&lt;&gt;"",BF23,'woningen|utiliteit'!S69))</f>
        <v>0</v>
      </c>
      <c r="BG22" s="538">
        <f>IF('woningen|utiliteit'!T66="",0,IF(BG23&lt;&gt;"",BG23,'woningen|utiliteit'!T69))</f>
        <v>0</v>
      </c>
      <c r="BH22" s="213"/>
    </row>
    <row r="23" spans="1:60">
      <c r="A23" s="1040"/>
      <c r="B23" s="1106" t="s">
        <v>111</v>
      </c>
      <c r="C23" s="1107" t="s">
        <v>118</v>
      </c>
      <c r="D23" s="638"/>
      <c r="E23" s="1218" t="s">
        <v>77</v>
      </c>
      <c r="F23" s="255"/>
      <c r="G23" s="255"/>
      <c r="H23" s="297"/>
      <c r="I23" s="86"/>
      <c r="J23" s="299"/>
      <c r="K23" s="93"/>
      <c r="L23" s="93"/>
      <c r="M23" s="398"/>
      <c r="N23" s="94"/>
      <c r="O23" s="263"/>
      <c r="P23" s="263"/>
      <c r="Q23" s="263"/>
      <c r="R23" s="263"/>
      <c r="S23" s="263"/>
      <c r="T23" s="263"/>
      <c r="U23" s="263"/>
      <c r="V23" s="263"/>
      <c r="W23" s="263"/>
      <c r="X23" s="87"/>
      <c r="Y23" s="197"/>
      <c r="Z23" s="94"/>
      <c r="AA23" s="263"/>
      <c r="AB23" s="263"/>
      <c r="AC23" s="263"/>
      <c r="AD23" s="263"/>
      <c r="AE23" s="263"/>
      <c r="AF23" s="263"/>
      <c r="AG23" s="263"/>
      <c r="AH23" s="263"/>
      <c r="AI23" s="263"/>
      <c r="AJ23" s="87"/>
      <c r="AK23" s="197"/>
      <c r="AL23" s="94"/>
      <c r="AM23" s="263"/>
      <c r="AN23" s="263"/>
      <c r="AO23" s="263"/>
      <c r="AP23" s="263"/>
      <c r="AQ23" s="263"/>
      <c r="AR23" s="263"/>
      <c r="AS23" s="263"/>
      <c r="AT23" s="263"/>
      <c r="AU23" s="263"/>
      <c r="AV23" s="87"/>
      <c r="AW23" s="197"/>
      <c r="AX23" s="94"/>
      <c r="AY23" s="263"/>
      <c r="AZ23" s="263"/>
      <c r="BA23" s="263"/>
      <c r="BB23" s="263"/>
      <c r="BC23" s="263"/>
      <c r="BD23" s="263"/>
      <c r="BE23" s="263"/>
      <c r="BF23" s="263"/>
      <c r="BG23" s="263"/>
      <c r="BH23" s="174"/>
    </row>
    <row r="24" spans="1:60">
      <c r="A24" s="1040"/>
      <c r="B24" s="1106" t="s">
        <v>111</v>
      </c>
      <c r="C24" s="1107" t="s">
        <v>104</v>
      </c>
      <c r="D24" s="638"/>
      <c r="E24" s="254" t="s">
        <v>121</v>
      </c>
      <c r="F24" s="180"/>
      <c r="G24" s="180"/>
      <c r="H24" s="150" t="s">
        <v>72</v>
      </c>
      <c r="I24" s="95"/>
      <c r="J24" s="185">
        <f>M24+Y24+AK24+AW24</f>
        <v>0</v>
      </c>
      <c r="K24" s="1051"/>
      <c r="L24" s="1051"/>
      <c r="M24" s="206">
        <f>SUM(N24:X24)</f>
        <v>0</v>
      </c>
      <c r="N24" s="96"/>
      <c r="O24" s="540">
        <f t="shared" ref="O24:W24" si="13">IF(O$19=woning,O$22,0)</f>
        <v>0</v>
      </c>
      <c r="P24" s="540">
        <f t="shared" si="13"/>
        <v>0</v>
      </c>
      <c r="Q24" s="540">
        <f t="shared" si="13"/>
        <v>0</v>
      </c>
      <c r="R24" s="540">
        <f t="shared" si="13"/>
        <v>0</v>
      </c>
      <c r="S24" s="540">
        <f t="shared" si="13"/>
        <v>0</v>
      </c>
      <c r="T24" s="540">
        <f t="shared" si="13"/>
        <v>0</v>
      </c>
      <c r="U24" s="540">
        <f t="shared" si="13"/>
        <v>0</v>
      </c>
      <c r="V24" s="540">
        <f t="shared" si="13"/>
        <v>0</v>
      </c>
      <c r="W24" s="540">
        <f t="shared" si="13"/>
        <v>0</v>
      </c>
      <c r="X24" s="97"/>
      <c r="Y24" s="400">
        <f>SUM(Z24:AJ24)</f>
        <v>0</v>
      </c>
      <c r="Z24" s="96"/>
      <c r="AA24" s="540">
        <f t="shared" ref="AA24:AI24" si="14">IF(AA$19=woning,AA$22,0)</f>
        <v>0</v>
      </c>
      <c r="AB24" s="540">
        <f t="shared" si="14"/>
        <v>0</v>
      </c>
      <c r="AC24" s="540">
        <f t="shared" si="14"/>
        <v>0</v>
      </c>
      <c r="AD24" s="540">
        <f t="shared" si="14"/>
        <v>0</v>
      </c>
      <c r="AE24" s="540">
        <f t="shared" si="14"/>
        <v>0</v>
      </c>
      <c r="AF24" s="540">
        <f t="shared" si="14"/>
        <v>0</v>
      </c>
      <c r="AG24" s="540">
        <f t="shared" si="14"/>
        <v>0</v>
      </c>
      <c r="AH24" s="540">
        <f t="shared" si="14"/>
        <v>0</v>
      </c>
      <c r="AI24" s="540">
        <f t="shared" si="14"/>
        <v>0</v>
      </c>
      <c r="AJ24" s="97"/>
      <c r="AK24" s="189">
        <f>SUM(AL24:AV24)</f>
        <v>0</v>
      </c>
      <c r="AL24" s="96"/>
      <c r="AM24" s="540">
        <f>IF(AM$19=woning,AM$22,0)</f>
        <v>0</v>
      </c>
      <c r="AN24" s="540">
        <f t="shared" ref="AN24:AU24" si="15">IF(AN$19=woning,AN$22,0)</f>
        <v>0</v>
      </c>
      <c r="AO24" s="540">
        <f t="shared" si="15"/>
        <v>0</v>
      </c>
      <c r="AP24" s="540">
        <f t="shared" si="15"/>
        <v>0</v>
      </c>
      <c r="AQ24" s="540">
        <f t="shared" si="15"/>
        <v>0</v>
      </c>
      <c r="AR24" s="540">
        <f t="shared" si="15"/>
        <v>0</v>
      </c>
      <c r="AS24" s="540">
        <f t="shared" si="15"/>
        <v>0</v>
      </c>
      <c r="AT24" s="540">
        <f t="shared" si="15"/>
        <v>0</v>
      </c>
      <c r="AU24" s="540">
        <f t="shared" si="15"/>
        <v>0</v>
      </c>
      <c r="AV24" s="97"/>
      <c r="AW24" s="400">
        <f>SUM(AX24:BH24)</f>
        <v>0</v>
      </c>
      <c r="AX24" s="96"/>
      <c r="AY24" s="540">
        <f t="shared" ref="AY24:BG24" si="16">IF(AY$19=woning,AY$22,0)</f>
        <v>0</v>
      </c>
      <c r="AZ24" s="540">
        <f t="shared" si="16"/>
        <v>0</v>
      </c>
      <c r="BA24" s="540">
        <f t="shared" si="16"/>
        <v>0</v>
      </c>
      <c r="BB24" s="540">
        <f t="shared" si="16"/>
        <v>0</v>
      </c>
      <c r="BC24" s="540">
        <f t="shared" si="16"/>
        <v>0</v>
      </c>
      <c r="BD24" s="540">
        <f t="shared" si="16"/>
        <v>0</v>
      </c>
      <c r="BE24" s="540">
        <f t="shared" si="16"/>
        <v>0</v>
      </c>
      <c r="BF24" s="540">
        <f t="shared" si="16"/>
        <v>0</v>
      </c>
      <c r="BG24" s="540">
        <f t="shared" si="16"/>
        <v>0</v>
      </c>
      <c r="BH24" s="174"/>
    </row>
    <row r="25" spans="1:60">
      <c r="A25" s="1040"/>
      <c r="B25" s="1106" t="s">
        <v>111</v>
      </c>
      <c r="C25" s="1107" t="s">
        <v>104</v>
      </c>
      <c r="D25" s="638"/>
      <c r="E25" s="254" t="s">
        <v>122</v>
      </c>
      <c r="F25" s="180"/>
      <c r="G25" s="180"/>
      <c r="H25" s="150" t="s">
        <v>72</v>
      </c>
      <c r="I25" s="95"/>
      <c r="J25" s="185">
        <f>M25+Y25+AK25+AW25</f>
        <v>0</v>
      </c>
      <c r="K25" s="1051"/>
      <c r="L25" s="1051"/>
      <c r="M25" s="206">
        <f>SUM(N25:X25)</f>
        <v>0</v>
      </c>
      <c r="N25" s="96"/>
      <c r="O25" s="540">
        <f t="shared" ref="O25:W25" si="17">IF(O$19=woongebouw,O$22,0)</f>
        <v>0</v>
      </c>
      <c r="P25" s="540">
        <f t="shared" si="17"/>
        <v>0</v>
      </c>
      <c r="Q25" s="540">
        <f t="shared" si="17"/>
        <v>0</v>
      </c>
      <c r="R25" s="540">
        <f t="shared" si="17"/>
        <v>0</v>
      </c>
      <c r="S25" s="540">
        <f t="shared" si="17"/>
        <v>0</v>
      </c>
      <c r="T25" s="540">
        <f t="shared" si="17"/>
        <v>0</v>
      </c>
      <c r="U25" s="540">
        <f t="shared" si="17"/>
        <v>0</v>
      </c>
      <c r="V25" s="540">
        <f t="shared" si="17"/>
        <v>0</v>
      </c>
      <c r="W25" s="540">
        <f t="shared" si="17"/>
        <v>0</v>
      </c>
      <c r="X25" s="97"/>
      <c r="Y25" s="400">
        <f>SUM(Z25:AJ25)</f>
        <v>0</v>
      </c>
      <c r="Z25" s="96"/>
      <c r="AA25" s="540">
        <f t="shared" ref="AA25:AI25" si="18">IF(AA$19=woongebouw,AA$22,0)</f>
        <v>0</v>
      </c>
      <c r="AB25" s="540">
        <f t="shared" si="18"/>
        <v>0</v>
      </c>
      <c r="AC25" s="540">
        <f t="shared" si="18"/>
        <v>0</v>
      </c>
      <c r="AD25" s="540">
        <f t="shared" si="18"/>
        <v>0</v>
      </c>
      <c r="AE25" s="540">
        <f t="shared" si="18"/>
        <v>0</v>
      </c>
      <c r="AF25" s="540">
        <f t="shared" si="18"/>
        <v>0</v>
      </c>
      <c r="AG25" s="540">
        <f t="shared" si="18"/>
        <v>0</v>
      </c>
      <c r="AH25" s="540">
        <f t="shared" si="18"/>
        <v>0</v>
      </c>
      <c r="AI25" s="540">
        <f t="shared" si="18"/>
        <v>0</v>
      </c>
      <c r="AJ25" s="97"/>
      <c r="AK25" s="189">
        <f>SUM(AL25:AV25)</f>
        <v>0</v>
      </c>
      <c r="AL25" s="96"/>
      <c r="AM25" s="540">
        <f>IF(AM$19=woongebouw,AM$22,0)</f>
        <v>0</v>
      </c>
      <c r="AN25" s="540">
        <f t="shared" ref="AN25:AU25" si="19">IF(AN$19=woongebouw,AN$22,0)</f>
        <v>0</v>
      </c>
      <c r="AO25" s="540">
        <f t="shared" si="19"/>
        <v>0</v>
      </c>
      <c r="AP25" s="540">
        <f t="shared" si="19"/>
        <v>0</v>
      </c>
      <c r="AQ25" s="540">
        <f t="shared" si="19"/>
        <v>0</v>
      </c>
      <c r="AR25" s="540">
        <f t="shared" si="19"/>
        <v>0</v>
      </c>
      <c r="AS25" s="540">
        <f t="shared" si="19"/>
        <v>0</v>
      </c>
      <c r="AT25" s="540">
        <f t="shared" si="19"/>
        <v>0</v>
      </c>
      <c r="AU25" s="540">
        <f t="shared" si="19"/>
        <v>0</v>
      </c>
      <c r="AV25" s="97"/>
      <c r="AW25" s="400">
        <f>SUM(AX25:BH25)</f>
        <v>0</v>
      </c>
      <c r="AX25" s="96"/>
      <c r="AY25" s="540">
        <f t="shared" ref="AY25:BG25" si="20">IF(AY$19=woongebouw,AY$22,0)</f>
        <v>0</v>
      </c>
      <c r="AZ25" s="540">
        <f t="shared" si="20"/>
        <v>0</v>
      </c>
      <c r="BA25" s="540">
        <f t="shared" si="20"/>
        <v>0</v>
      </c>
      <c r="BB25" s="540">
        <f t="shared" si="20"/>
        <v>0</v>
      </c>
      <c r="BC25" s="540">
        <f t="shared" si="20"/>
        <v>0</v>
      </c>
      <c r="BD25" s="540">
        <f t="shared" si="20"/>
        <v>0</v>
      </c>
      <c r="BE25" s="540">
        <f t="shared" si="20"/>
        <v>0</v>
      </c>
      <c r="BF25" s="540">
        <f t="shared" si="20"/>
        <v>0</v>
      </c>
      <c r="BG25" s="540">
        <f t="shared" si="20"/>
        <v>0</v>
      </c>
      <c r="BH25" s="174"/>
    </row>
    <row r="26" spans="1:60">
      <c r="A26" s="1040"/>
      <c r="B26" s="1106" t="s">
        <v>111</v>
      </c>
      <c r="C26" s="1107" t="s">
        <v>104</v>
      </c>
      <c r="D26" s="638"/>
      <c r="E26" s="254" t="s">
        <v>73</v>
      </c>
      <c r="F26" s="180"/>
      <c r="G26" s="180"/>
      <c r="H26" s="150" t="s">
        <v>74</v>
      </c>
      <c r="I26" s="95"/>
      <c r="J26" s="185">
        <f>M26+Y26+AK26+AW26</f>
        <v>0</v>
      </c>
      <c r="K26" s="1051"/>
      <c r="L26" s="1051"/>
      <c r="M26" s="399">
        <f>SUM(N26:X26)</f>
        <v>0</v>
      </c>
      <c r="N26" s="96"/>
      <c r="O26" s="540">
        <f>O22-O25-O24</f>
        <v>0</v>
      </c>
      <c r="P26" s="540">
        <f t="shared" ref="P26:W26" si="21">P22-P25-P24</f>
        <v>0</v>
      </c>
      <c r="Q26" s="540">
        <f t="shared" si="21"/>
        <v>0</v>
      </c>
      <c r="R26" s="540">
        <f t="shared" si="21"/>
        <v>0</v>
      </c>
      <c r="S26" s="540">
        <f t="shared" si="21"/>
        <v>0</v>
      </c>
      <c r="T26" s="540">
        <f t="shared" si="21"/>
        <v>0</v>
      </c>
      <c r="U26" s="540">
        <f t="shared" si="21"/>
        <v>0</v>
      </c>
      <c r="V26" s="540">
        <f t="shared" si="21"/>
        <v>0</v>
      </c>
      <c r="W26" s="540">
        <f t="shared" si="21"/>
        <v>0</v>
      </c>
      <c r="X26" s="97"/>
      <c r="Y26" s="206">
        <f>SUM(Z26:AJ26)</f>
        <v>0</v>
      </c>
      <c r="Z26" s="96"/>
      <c r="AA26" s="540">
        <f t="shared" ref="AA26:AI26" si="22">AA22-AA25-AA24</f>
        <v>0</v>
      </c>
      <c r="AB26" s="540">
        <f t="shared" si="22"/>
        <v>0</v>
      </c>
      <c r="AC26" s="540">
        <f t="shared" si="22"/>
        <v>0</v>
      </c>
      <c r="AD26" s="540">
        <f t="shared" si="22"/>
        <v>0</v>
      </c>
      <c r="AE26" s="540">
        <f t="shared" si="22"/>
        <v>0</v>
      </c>
      <c r="AF26" s="540">
        <f t="shared" si="22"/>
        <v>0</v>
      </c>
      <c r="AG26" s="540">
        <f t="shared" si="22"/>
        <v>0</v>
      </c>
      <c r="AH26" s="540">
        <f t="shared" si="22"/>
        <v>0</v>
      </c>
      <c r="AI26" s="540">
        <f t="shared" si="22"/>
        <v>0</v>
      </c>
      <c r="AJ26" s="97"/>
      <c r="AK26" s="400">
        <f>SUM(AL26:AV26)</f>
        <v>0</v>
      </c>
      <c r="AL26" s="96"/>
      <c r="AM26" s="540">
        <f t="shared" ref="AM26:AU26" si="23">AM22-AM25-AM24</f>
        <v>0</v>
      </c>
      <c r="AN26" s="540">
        <f t="shared" si="23"/>
        <v>0</v>
      </c>
      <c r="AO26" s="540">
        <f t="shared" si="23"/>
        <v>0</v>
      </c>
      <c r="AP26" s="540">
        <f t="shared" si="23"/>
        <v>0</v>
      </c>
      <c r="AQ26" s="540">
        <f t="shared" si="23"/>
        <v>0</v>
      </c>
      <c r="AR26" s="540">
        <f t="shared" si="23"/>
        <v>0</v>
      </c>
      <c r="AS26" s="540">
        <f t="shared" si="23"/>
        <v>0</v>
      </c>
      <c r="AT26" s="540">
        <f t="shared" si="23"/>
        <v>0</v>
      </c>
      <c r="AU26" s="540">
        <f t="shared" si="23"/>
        <v>0</v>
      </c>
      <c r="AV26" s="97"/>
      <c r="AW26" s="206">
        <f>SUM(AX26:BH26)</f>
        <v>0</v>
      </c>
      <c r="AX26" s="96"/>
      <c r="AY26" s="540">
        <f t="shared" ref="AY26:BG26" si="24">AY22-AY25-AY24</f>
        <v>0</v>
      </c>
      <c r="AZ26" s="540">
        <f t="shared" si="24"/>
        <v>0</v>
      </c>
      <c r="BA26" s="540">
        <f t="shared" si="24"/>
        <v>0</v>
      </c>
      <c r="BB26" s="540">
        <f t="shared" si="24"/>
        <v>0</v>
      </c>
      <c r="BC26" s="540">
        <f t="shared" si="24"/>
        <v>0</v>
      </c>
      <c r="BD26" s="540">
        <f t="shared" si="24"/>
        <v>0</v>
      </c>
      <c r="BE26" s="540">
        <f t="shared" si="24"/>
        <v>0</v>
      </c>
      <c r="BF26" s="540">
        <f t="shared" si="24"/>
        <v>0</v>
      </c>
      <c r="BG26" s="540">
        <f t="shared" si="24"/>
        <v>0</v>
      </c>
      <c r="BH26" s="174"/>
    </row>
    <row r="27" spans="1:60">
      <c r="A27" s="1040"/>
      <c r="B27" s="1106" t="s">
        <v>111</v>
      </c>
      <c r="C27" s="1107" t="s">
        <v>104</v>
      </c>
      <c r="D27" s="638"/>
      <c r="E27" s="180" t="s">
        <v>123</v>
      </c>
      <c r="F27" s="180"/>
      <c r="G27" s="180"/>
      <c r="H27" s="150" t="s">
        <v>59</v>
      </c>
      <c r="I27" s="95"/>
      <c r="J27" s="559"/>
      <c r="K27" s="1052"/>
      <c r="L27" s="1052"/>
      <c r="M27" s="559">
        <f>SUM(M24:M26)</f>
        <v>0</v>
      </c>
      <c r="N27" s="96"/>
      <c r="O27" s="540">
        <f>$M22</f>
        <v>0</v>
      </c>
      <c r="P27" s="540">
        <f t="shared" ref="P27:W27" si="25">$M22</f>
        <v>0</v>
      </c>
      <c r="Q27" s="540">
        <f t="shared" si="25"/>
        <v>0</v>
      </c>
      <c r="R27" s="540">
        <f t="shared" si="25"/>
        <v>0</v>
      </c>
      <c r="S27" s="540">
        <f t="shared" si="25"/>
        <v>0</v>
      </c>
      <c r="T27" s="540">
        <f t="shared" si="25"/>
        <v>0</v>
      </c>
      <c r="U27" s="540">
        <f t="shared" si="25"/>
        <v>0</v>
      </c>
      <c r="V27" s="540">
        <f t="shared" si="25"/>
        <v>0</v>
      </c>
      <c r="W27" s="540">
        <f t="shared" si="25"/>
        <v>0</v>
      </c>
      <c r="X27" s="97"/>
      <c r="Y27" s="559">
        <f>SUM(Y24:Y26)</f>
        <v>0</v>
      </c>
      <c r="Z27" s="96"/>
      <c r="AA27" s="540">
        <f>$Y22</f>
        <v>0</v>
      </c>
      <c r="AB27" s="540">
        <f t="shared" ref="AB27:AI27" si="26">$Y22</f>
        <v>0</v>
      </c>
      <c r="AC27" s="540">
        <f t="shared" si="26"/>
        <v>0</v>
      </c>
      <c r="AD27" s="540">
        <f t="shared" si="26"/>
        <v>0</v>
      </c>
      <c r="AE27" s="540">
        <f t="shared" si="26"/>
        <v>0</v>
      </c>
      <c r="AF27" s="540">
        <f t="shared" si="26"/>
        <v>0</v>
      </c>
      <c r="AG27" s="540">
        <f t="shared" si="26"/>
        <v>0</v>
      </c>
      <c r="AH27" s="540">
        <f t="shared" si="26"/>
        <v>0</v>
      </c>
      <c r="AI27" s="540">
        <f t="shared" si="26"/>
        <v>0</v>
      </c>
      <c r="AJ27" s="97"/>
      <c r="AK27" s="559">
        <f>SUM(AK24:AK26)</f>
        <v>0</v>
      </c>
      <c r="AL27" s="96"/>
      <c r="AM27" s="540">
        <f t="shared" ref="AM27:AU27" si="27">$AK22</f>
        <v>0</v>
      </c>
      <c r="AN27" s="540">
        <f t="shared" si="27"/>
        <v>0</v>
      </c>
      <c r="AO27" s="540">
        <f t="shared" si="27"/>
        <v>0</v>
      </c>
      <c r="AP27" s="540">
        <f t="shared" si="27"/>
        <v>0</v>
      </c>
      <c r="AQ27" s="540">
        <f t="shared" si="27"/>
        <v>0</v>
      </c>
      <c r="AR27" s="540">
        <f t="shared" si="27"/>
        <v>0</v>
      </c>
      <c r="AS27" s="540">
        <f t="shared" si="27"/>
        <v>0</v>
      </c>
      <c r="AT27" s="540">
        <f t="shared" si="27"/>
        <v>0</v>
      </c>
      <c r="AU27" s="540">
        <f t="shared" si="27"/>
        <v>0</v>
      </c>
      <c r="AV27" s="97"/>
      <c r="AW27" s="559"/>
      <c r="AX27" s="559">
        <f>SUM(AX24:AX26)</f>
        <v>0</v>
      </c>
      <c r="AY27" s="540">
        <f>$AW22</f>
        <v>0</v>
      </c>
      <c r="AZ27" s="540">
        <f t="shared" ref="AZ27:BG27" si="28">$AW22</f>
        <v>0</v>
      </c>
      <c r="BA27" s="540">
        <f t="shared" si="28"/>
        <v>0</v>
      </c>
      <c r="BB27" s="540">
        <f t="shared" si="28"/>
        <v>0</v>
      </c>
      <c r="BC27" s="540">
        <f t="shared" si="28"/>
        <v>0</v>
      </c>
      <c r="BD27" s="540">
        <f t="shared" si="28"/>
        <v>0</v>
      </c>
      <c r="BE27" s="540">
        <f t="shared" si="28"/>
        <v>0</v>
      </c>
      <c r="BF27" s="540">
        <f t="shared" si="28"/>
        <v>0</v>
      </c>
      <c r="BG27" s="540">
        <f t="shared" si="28"/>
        <v>0</v>
      </c>
      <c r="BH27" s="174"/>
    </row>
    <row r="28" spans="1:60">
      <c r="A28" s="1040"/>
      <c r="B28" s="1106" t="s">
        <v>111</v>
      </c>
      <c r="C28" s="1106" t="s">
        <v>96</v>
      </c>
      <c r="D28" s="638"/>
      <c r="E28" s="942" t="s">
        <v>124</v>
      </c>
      <c r="F28" s="942"/>
      <c r="G28" s="942"/>
      <c r="H28" s="942"/>
      <c r="I28" s="129"/>
      <c r="J28" s="943"/>
      <c r="K28" s="126"/>
      <c r="L28" s="126"/>
      <c r="M28" s="944"/>
      <c r="N28" s="195"/>
      <c r="O28" s="258" t="str">
        <f>O$17</f>
        <v/>
      </c>
      <c r="P28" s="258" t="str">
        <f t="shared" ref="P28:W28" si="29">P$17</f>
        <v/>
      </c>
      <c r="Q28" s="258" t="str">
        <f t="shared" si="29"/>
        <v/>
      </c>
      <c r="R28" s="258" t="str">
        <f t="shared" si="29"/>
        <v/>
      </c>
      <c r="S28" s="258" t="str">
        <f t="shared" si="29"/>
        <v/>
      </c>
      <c r="T28" s="258" t="str">
        <f t="shared" si="29"/>
        <v/>
      </c>
      <c r="U28" s="258" t="str">
        <f t="shared" si="29"/>
        <v/>
      </c>
      <c r="V28" s="258" t="str">
        <f t="shared" si="29"/>
        <v/>
      </c>
      <c r="W28" s="258" t="str">
        <f t="shared" si="29"/>
        <v/>
      </c>
      <c r="X28" s="195"/>
      <c r="Y28" s="944"/>
      <c r="Z28" s="195"/>
      <c r="AA28" s="258" t="str">
        <f>IF('woningen|utiliteit'!X31="","",'woningen|utiliteit'!X31)</f>
        <v/>
      </c>
      <c r="AB28" s="258" t="str">
        <f>IF('woningen|utiliteit'!Y31="","",'woningen|utiliteit'!Y31)</f>
        <v/>
      </c>
      <c r="AC28" s="258" t="str">
        <f>IF('woningen|utiliteit'!Z31="","",'woningen|utiliteit'!Z31)</f>
        <v/>
      </c>
      <c r="AD28" s="258" t="str">
        <f>IF('woningen|utiliteit'!AA31="","",'woningen|utiliteit'!AA31)</f>
        <v/>
      </c>
      <c r="AE28" s="258" t="str">
        <f>IF('woningen|utiliteit'!AB31="","",'woningen|utiliteit'!AB31)</f>
        <v/>
      </c>
      <c r="AF28" s="258" t="str">
        <f>IF('woningen|utiliteit'!AC31="","",'woningen|utiliteit'!AC31)</f>
        <v/>
      </c>
      <c r="AG28" s="258" t="str">
        <f>IF('woningen|utiliteit'!AD31="","",'woningen|utiliteit'!AD31)</f>
        <v/>
      </c>
      <c r="AH28" s="258" t="str">
        <f>IF('woningen|utiliteit'!AE31="","",'woningen|utiliteit'!AE31)</f>
        <v/>
      </c>
      <c r="AI28" s="258" t="str">
        <f>IF('woningen|utiliteit'!AF31="","",'woningen|utiliteit'!AF31)</f>
        <v/>
      </c>
      <c r="AJ28" s="195"/>
      <c r="AK28" s="944"/>
      <c r="AL28" s="195"/>
      <c r="AM28" s="258" t="str">
        <f>IF('woningen|utiliteit'!AJ31="","",'woningen|utiliteit'!AJ31)</f>
        <v/>
      </c>
      <c r="AN28" s="258" t="str">
        <f>IF('woningen|utiliteit'!AK31="","",'woningen|utiliteit'!AK31)</f>
        <v/>
      </c>
      <c r="AO28" s="258" t="str">
        <f>IF('woningen|utiliteit'!AL31="","",'woningen|utiliteit'!AL31)</f>
        <v/>
      </c>
      <c r="AP28" s="258" t="str">
        <f>IF('woningen|utiliteit'!AM31="","",'woningen|utiliteit'!AM31)</f>
        <v/>
      </c>
      <c r="AQ28" s="258" t="str">
        <f>IF('woningen|utiliteit'!AN31="","",'woningen|utiliteit'!AN31)</f>
        <v/>
      </c>
      <c r="AR28" s="258" t="str">
        <f>IF('woningen|utiliteit'!AO31="","",'woningen|utiliteit'!AO31)</f>
        <v/>
      </c>
      <c r="AS28" s="258" t="str">
        <f>IF('woningen|utiliteit'!AP31="","",'woningen|utiliteit'!AP31)</f>
        <v/>
      </c>
      <c r="AT28" s="258" t="str">
        <f>IF('woningen|utiliteit'!AQ31="","",'woningen|utiliteit'!AQ31)</f>
        <v/>
      </c>
      <c r="AU28" s="258" t="str">
        <f>IF('woningen|utiliteit'!AR31="","",'woningen|utiliteit'!AR31)</f>
        <v/>
      </c>
      <c r="AV28" s="195"/>
      <c r="AW28" s="944"/>
      <c r="AX28" s="195"/>
      <c r="AY28" s="258" t="str">
        <f>IF('woningen|utiliteit'!AV31="","",'woningen|utiliteit'!AV31)</f>
        <v/>
      </c>
      <c r="AZ28" s="258" t="str">
        <f>IF('woningen|utiliteit'!AW31="","",'woningen|utiliteit'!AW31)</f>
        <v/>
      </c>
      <c r="BA28" s="258" t="str">
        <f>IF('woningen|utiliteit'!AX31="","",'woningen|utiliteit'!AX31)</f>
        <v/>
      </c>
      <c r="BB28" s="258" t="str">
        <f>IF('woningen|utiliteit'!AY31="","",'woningen|utiliteit'!AY31)</f>
        <v/>
      </c>
      <c r="BC28" s="258" t="str">
        <f>IF('woningen|utiliteit'!AZ31="","",'woningen|utiliteit'!AZ31)</f>
        <v/>
      </c>
      <c r="BD28" s="258" t="str">
        <f>IF('woningen|utiliteit'!BA31="","",'woningen|utiliteit'!BA31)</f>
        <v/>
      </c>
      <c r="BE28" s="258" t="str">
        <f>IF('woningen|utiliteit'!BB31="","",'woningen|utiliteit'!BB31)</f>
        <v/>
      </c>
      <c r="BF28" s="258" t="str">
        <f>IF('woningen|utiliteit'!BC31="","",'woningen|utiliteit'!BC31)</f>
        <v/>
      </c>
      <c r="BG28" s="258" t="str">
        <f>IF('woningen|utiliteit'!BD31="","",'woningen|utiliteit'!BD31)</f>
        <v/>
      </c>
      <c r="BH28" s="36"/>
    </row>
    <row r="29" spans="1:60">
      <c r="A29" s="1040"/>
      <c r="B29" s="1106" t="s">
        <v>111</v>
      </c>
      <c r="C29" s="1107" t="s">
        <v>104</v>
      </c>
      <c r="D29" s="638"/>
      <c r="E29" s="254" t="s">
        <v>75</v>
      </c>
      <c r="F29" s="180" t="s">
        <v>125</v>
      </c>
      <c r="G29" s="180"/>
      <c r="H29" s="181" t="s">
        <v>76</v>
      </c>
      <c r="I29" s="79"/>
      <c r="J29" s="187">
        <f>M29+Y29+AK29+AW29</f>
        <v>0</v>
      </c>
      <c r="K29" s="243"/>
      <c r="L29" s="243"/>
      <c r="M29" s="187">
        <f>SUMPRODUCT(N$22:X$22,N29:X29)</f>
        <v>0</v>
      </c>
      <c r="N29" s="89"/>
      <c r="O29" s="385">
        <f>IF(O$17="",0,'woningen|utiliteit'!L24)</f>
        <v>0</v>
      </c>
      <c r="P29" s="385">
        <f>IF(P$17="",0,'woningen|utiliteit'!M24)</f>
        <v>0</v>
      </c>
      <c r="Q29" s="385">
        <f>IF(Q$17="",0,'woningen|utiliteit'!N24)</f>
        <v>0</v>
      </c>
      <c r="R29" s="385">
        <f>IF(R$17="",0,'woningen|utiliteit'!O24)</f>
        <v>0</v>
      </c>
      <c r="S29" s="385">
        <f>IF(S$17="",0,'woningen|utiliteit'!P24)</f>
        <v>0</v>
      </c>
      <c r="T29" s="385">
        <f>IF(T$17="",0,'woningen|utiliteit'!Q24)</f>
        <v>0</v>
      </c>
      <c r="U29" s="385">
        <f>IF(U$17="",0,'woningen|utiliteit'!R24)</f>
        <v>0</v>
      </c>
      <c r="V29" s="385">
        <f>IF(V$17="",0,'woningen|utiliteit'!S24)</f>
        <v>0</v>
      </c>
      <c r="W29" s="385">
        <f>IF(W$17="",0,'woningen|utiliteit'!T24)</f>
        <v>0</v>
      </c>
      <c r="X29" s="98"/>
      <c r="Y29" s="187">
        <f>SUMPRODUCT(Z$22:AJ$22,Z29:AJ29)</f>
        <v>0</v>
      </c>
      <c r="Z29" s="119"/>
      <c r="AA29" s="385">
        <f>IF(AA$17="",0,'woningen|utiliteit'!L40)</f>
        <v>0</v>
      </c>
      <c r="AB29" s="385">
        <f>IF(AB$17="",0,'woningen|utiliteit'!M40)</f>
        <v>0</v>
      </c>
      <c r="AC29" s="385">
        <f>IF(AC$17="",0,'woningen|utiliteit'!N40)</f>
        <v>0</v>
      </c>
      <c r="AD29" s="385">
        <f>IF(AD$17="",0,'woningen|utiliteit'!O40)</f>
        <v>0</v>
      </c>
      <c r="AE29" s="385">
        <f>IF(AE$17="",0,'woningen|utiliteit'!P40)</f>
        <v>0</v>
      </c>
      <c r="AF29" s="385">
        <f>IF(AF$17="",0,'woningen|utiliteit'!Q40)</f>
        <v>0</v>
      </c>
      <c r="AG29" s="385">
        <f>IF(AG$17="",0,'woningen|utiliteit'!R40)</f>
        <v>0</v>
      </c>
      <c r="AH29" s="385">
        <f>IF(AH$17="",0,'woningen|utiliteit'!S40)</f>
        <v>0</v>
      </c>
      <c r="AI29" s="385">
        <f>IF(AI$17="",0,'woningen|utiliteit'!T40)</f>
        <v>0</v>
      </c>
      <c r="AJ29" s="98"/>
      <c r="AK29" s="187">
        <f>SUMPRODUCT(AL$22:AV$22,AL29:AV29)</f>
        <v>0</v>
      </c>
      <c r="AL29" s="119"/>
      <c r="AM29" s="385">
        <f>IF(AM$17="",0,'woningen|utiliteit'!L56)</f>
        <v>0</v>
      </c>
      <c r="AN29" s="385">
        <f>IF(AN$17="",0,'woningen|utiliteit'!M56)</f>
        <v>0</v>
      </c>
      <c r="AO29" s="385">
        <f>IF(AO$17="",0,'woningen|utiliteit'!N56)</f>
        <v>0</v>
      </c>
      <c r="AP29" s="385">
        <f>IF(AP$17="",0,'woningen|utiliteit'!O56)</f>
        <v>0</v>
      </c>
      <c r="AQ29" s="385">
        <f>IF(AQ$17="",0,'woningen|utiliteit'!P56)</f>
        <v>0</v>
      </c>
      <c r="AR29" s="385">
        <f>IF(AR$17="",0,'woningen|utiliteit'!Q56)</f>
        <v>0</v>
      </c>
      <c r="AS29" s="385">
        <f>IF(AS$17="",0,'woningen|utiliteit'!R56)</f>
        <v>0</v>
      </c>
      <c r="AT29" s="385">
        <f>IF(AT$17="",0,'woningen|utiliteit'!S56)</f>
        <v>0</v>
      </c>
      <c r="AU29" s="385">
        <f>IF(AU$17="",0,'woningen|utiliteit'!T56)</f>
        <v>0</v>
      </c>
      <c r="AV29" s="98"/>
      <c r="AW29" s="187">
        <f>SUMPRODUCT(AX$22:BH$22,AX29:BH29)</f>
        <v>0</v>
      </c>
      <c r="AX29" s="119"/>
      <c r="AY29" s="385">
        <f>IF(AY$17="",0,'woningen|utiliteit'!L72)</f>
        <v>0</v>
      </c>
      <c r="AZ29" s="385">
        <f>IF(AZ$17="",0,'woningen|utiliteit'!M72)</f>
        <v>0</v>
      </c>
      <c r="BA29" s="385">
        <f>IF(BA$17="",0,'woningen|utiliteit'!N72)</f>
        <v>0</v>
      </c>
      <c r="BB29" s="385">
        <f>IF(BB$17="",0,'woningen|utiliteit'!O72)</f>
        <v>0</v>
      </c>
      <c r="BC29" s="385">
        <f>IF(BC$17="",0,'woningen|utiliteit'!P72)</f>
        <v>0</v>
      </c>
      <c r="BD29" s="385">
        <f>IF(BD$17="",0,'woningen|utiliteit'!Q72)</f>
        <v>0</v>
      </c>
      <c r="BE29" s="385">
        <f>IF(BE$17="",0,'woningen|utiliteit'!R72)</f>
        <v>0</v>
      </c>
      <c r="BF29" s="385">
        <f>IF(BF$17="",0,'woningen|utiliteit'!S72)</f>
        <v>0</v>
      </c>
      <c r="BG29" s="385">
        <f>IF(BG$17="",0,'woningen|utiliteit'!T72)</f>
        <v>0</v>
      </c>
      <c r="BH29" s="174"/>
    </row>
    <row r="30" spans="1:60">
      <c r="A30" s="1041"/>
      <c r="B30" s="1106" t="s">
        <v>111</v>
      </c>
      <c r="C30" s="1107" t="s">
        <v>104</v>
      </c>
      <c r="D30" s="638"/>
      <c r="E30" s="595"/>
      <c r="F30" s="180" t="s">
        <v>126</v>
      </c>
      <c r="G30" s="180"/>
      <c r="H30" s="181" t="s">
        <v>127</v>
      </c>
      <c r="I30" s="99"/>
      <c r="J30" s="187"/>
      <c r="K30" s="1053"/>
      <c r="L30" s="1053"/>
      <c r="M30" s="622"/>
      <c r="N30" s="623"/>
      <c r="O30" s="557">
        <f>O22*O29</f>
        <v>0</v>
      </c>
      <c r="P30" s="557">
        <f t="shared" ref="P30:W30" si="30">P22*P29</f>
        <v>0</v>
      </c>
      <c r="Q30" s="557">
        <f t="shared" si="30"/>
        <v>0</v>
      </c>
      <c r="R30" s="557">
        <f t="shared" si="30"/>
        <v>0</v>
      </c>
      <c r="S30" s="557">
        <f t="shared" si="30"/>
        <v>0</v>
      </c>
      <c r="T30" s="557">
        <f>T22*T29</f>
        <v>0</v>
      </c>
      <c r="U30" s="557">
        <f t="shared" si="30"/>
        <v>0</v>
      </c>
      <c r="V30" s="557">
        <f t="shared" si="30"/>
        <v>0</v>
      </c>
      <c r="W30" s="557">
        <f t="shared" si="30"/>
        <v>0</v>
      </c>
      <c r="X30" s="101"/>
      <c r="Y30" s="622"/>
      <c r="Z30" s="937"/>
      <c r="AA30" s="557">
        <f t="shared" ref="AA30:AI30" si="31">AA22*AA29</f>
        <v>0</v>
      </c>
      <c r="AB30" s="557">
        <f t="shared" si="31"/>
        <v>0</v>
      </c>
      <c r="AC30" s="557">
        <f t="shared" si="31"/>
        <v>0</v>
      </c>
      <c r="AD30" s="557">
        <f t="shared" si="31"/>
        <v>0</v>
      </c>
      <c r="AE30" s="557">
        <f t="shared" si="31"/>
        <v>0</v>
      </c>
      <c r="AF30" s="557">
        <f t="shared" si="31"/>
        <v>0</v>
      </c>
      <c r="AG30" s="557">
        <f t="shared" si="31"/>
        <v>0</v>
      </c>
      <c r="AH30" s="557">
        <f t="shared" si="31"/>
        <v>0</v>
      </c>
      <c r="AI30" s="557">
        <f t="shared" si="31"/>
        <v>0</v>
      </c>
      <c r="AJ30" s="101"/>
      <c r="AK30" s="622"/>
      <c r="AL30" s="937"/>
      <c r="AM30" s="557">
        <f t="shared" ref="AM30:AU30" si="32">AM22*AM29</f>
        <v>0</v>
      </c>
      <c r="AN30" s="557">
        <f t="shared" si="32"/>
        <v>0</v>
      </c>
      <c r="AO30" s="557">
        <f t="shared" si="32"/>
        <v>0</v>
      </c>
      <c r="AP30" s="557">
        <f t="shared" si="32"/>
        <v>0</v>
      </c>
      <c r="AQ30" s="557">
        <f t="shared" si="32"/>
        <v>0</v>
      </c>
      <c r="AR30" s="557">
        <f t="shared" si="32"/>
        <v>0</v>
      </c>
      <c r="AS30" s="557">
        <f t="shared" si="32"/>
        <v>0</v>
      </c>
      <c r="AT30" s="557">
        <f t="shared" si="32"/>
        <v>0</v>
      </c>
      <c r="AU30" s="557">
        <f t="shared" si="32"/>
        <v>0</v>
      </c>
      <c r="AV30" s="101"/>
      <c r="AW30" s="622"/>
      <c r="AX30" s="937"/>
      <c r="AY30" s="557">
        <f t="shared" ref="AY30:BG30" si="33">AY22*AY29</f>
        <v>0</v>
      </c>
      <c r="AZ30" s="557">
        <f t="shared" si="33"/>
        <v>0</v>
      </c>
      <c r="BA30" s="557">
        <f t="shared" si="33"/>
        <v>0</v>
      </c>
      <c r="BB30" s="557">
        <f t="shared" si="33"/>
        <v>0</v>
      </c>
      <c r="BC30" s="557">
        <f t="shared" si="33"/>
        <v>0</v>
      </c>
      <c r="BD30" s="557">
        <f t="shared" si="33"/>
        <v>0</v>
      </c>
      <c r="BE30" s="557">
        <f t="shared" si="33"/>
        <v>0</v>
      </c>
      <c r="BF30" s="557">
        <f t="shared" si="33"/>
        <v>0</v>
      </c>
      <c r="BG30" s="557">
        <f t="shared" si="33"/>
        <v>0</v>
      </c>
      <c r="BH30" s="174"/>
    </row>
    <row r="31" spans="1:60">
      <c r="A31" s="1041"/>
      <c r="B31" s="1106" t="s">
        <v>111</v>
      </c>
      <c r="C31" s="1107" t="s">
        <v>104</v>
      </c>
      <c r="D31" s="638"/>
      <c r="E31" s="255"/>
      <c r="F31" s="180" t="s">
        <v>128</v>
      </c>
      <c r="G31" s="180"/>
      <c r="H31" s="181" t="s">
        <v>127</v>
      </c>
      <c r="I31" s="99"/>
      <c r="J31" s="187"/>
      <c r="K31" s="1053"/>
      <c r="L31" s="1053"/>
      <c r="M31" s="187"/>
      <c r="N31" s="100"/>
      <c r="O31" s="385">
        <f>SUMPRODUCT($N22:$X22,$N29:$X29)</f>
        <v>0</v>
      </c>
      <c r="P31" s="385">
        <f t="shared" ref="P31:W31" si="34">SUMPRODUCT($N22:$X22,$N29:$X29)</f>
        <v>0</v>
      </c>
      <c r="Q31" s="385">
        <f t="shared" si="34"/>
        <v>0</v>
      </c>
      <c r="R31" s="385">
        <f t="shared" si="34"/>
        <v>0</v>
      </c>
      <c r="S31" s="385">
        <f t="shared" si="34"/>
        <v>0</v>
      </c>
      <c r="T31" s="385">
        <f t="shared" si="34"/>
        <v>0</v>
      </c>
      <c r="U31" s="385">
        <f t="shared" si="34"/>
        <v>0</v>
      </c>
      <c r="V31" s="385">
        <f t="shared" si="34"/>
        <v>0</v>
      </c>
      <c r="W31" s="385">
        <f t="shared" si="34"/>
        <v>0</v>
      </c>
      <c r="X31" s="101"/>
      <c r="Y31" s="187"/>
      <c r="Z31" s="100"/>
      <c r="AA31" s="385">
        <f t="shared" ref="AA31:AI31" si="35">SUMPRODUCT($Z$22:$AJ$22,$Z$29:$AJ$29)</f>
        <v>0</v>
      </c>
      <c r="AB31" s="385">
        <f t="shared" si="35"/>
        <v>0</v>
      </c>
      <c r="AC31" s="385">
        <f t="shared" si="35"/>
        <v>0</v>
      </c>
      <c r="AD31" s="385">
        <f t="shared" si="35"/>
        <v>0</v>
      </c>
      <c r="AE31" s="385">
        <f t="shared" si="35"/>
        <v>0</v>
      </c>
      <c r="AF31" s="385">
        <f t="shared" si="35"/>
        <v>0</v>
      </c>
      <c r="AG31" s="385">
        <f t="shared" si="35"/>
        <v>0</v>
      </c>
      <c r="AH31" s="385">
        <f t="shared" si="35"/>
        <v>0</v>
      </c>
      <c r="AI31" s="385">
        <f t="shared" si="35"/>
        <v>0</v>
      </c>
      <c r="AJ31" s="101"/>
      <c r="AK31" s="187"/>
      <c r="AL31" s="100"/>
      <c r="AM31" s="385">
        <f>SUMPRODUCT($AL$22:$AV$22,$AL$29:$AV$29)</f>
        <v>0</v>
      </c>
      <c r="AN31" s="385">
        <f t="shared" ref="AN31:AU31" si="36">SUMPRODUCT($AL$22:$AV$22,$AL$29:$AV$29)</f>
        <v>0</v>
      </c>
      <c r="AO31" s="385">
        <f t="shared" si="36"/>
        <v>0</v>
      </c>
      <c r="AP31" s="385">
        <f t="shared" si="36"/>
        <v>0</v>
      </c>
      <c r="AQ31" s="385">
        <f t="shared" si="36"/>
        <v>0</v>
      </c>
      <c r="AR31" s="385">
        <f t="shared" si="36"/>
        <v>0</v>
      </c>
      <c r="AS31" s="385">
        <f t="shared" si="36"/>
        <v>0</v>
      </c>
      <c r="AT31" s="385">
        <f t="shared" si="36"/>
        <v>0</v>
      </c>
      <c r="AU31" s="385">
        <f t="shared" si="36"/>
        <v>0</v>
      </c>
      <c r="AV31" s="101"/>
      <c r="AW31" s="187"/>
      <c r="AX31" s="100"/>
      <c r="AY31" s="385">
        <f>SUMPRODUCT($AX$22:$BH$22,$AX$29:$BH$29)</f>
        <v>0</v>
      </c>
      <c r="AZ31" s="385">
        <f t="shared" ref="AZ31:BG31" si="37">SUMPRODUCT($AX$22:$BH$22,$AX$29:$BH$29)</f>
        <v>0</v>
      </c>
      <c r="BA31" s="385">
        <f t="shared" si="37"/>
        <v>0</v>
      </c>
      <c r="BB31" s="385">
        <f t="shared" si="37"/>
        <v>0</v>
      </c>
      <c r="BC31" s="385">
        <f t="shared" si="37"/>
        <v>0</v>
      </c>
      <c r="BD31" s="385">
        <f t="shared" si="37"/>
        <v>0</v>
      </c>
      <c r="BE31" s="385">
        <f t="shared" si="37"/>
        <v>0</v>
      </c>
      <c r="BF31" s="385">
        <f t="shared" si="37"/>
        <v>0</v>
      </c>
      <c r="BG31" s="385">
        <f t="shared" si="37"/>
        <v>0</v>
      </c>
      <c r="BH31" s="174"/>
    </row>
    <row r="32" spans="1:60">
      <c r="A32" s="1041"/>
      <c r="B32" s="1106" t="s">
        <v>111</v>
      </c>
      <c r="C32" s="1107" t="s">
        <v>104</v>
      </c>
      <c r="D32" s="638"/>
      <c r="E32" s="180" t="s">
        <v>129</v>
      </c>
      <c r="F32" s="180"/>
      <c r="G32" s="180"/>
      <c r="H32" s="181" t="s">
        <v>130</v>
      </c>
      <c r="I32" s="79"/>
      <c r="J32" s="187"/>
      <c r="K32" s="243"/>
      <c r="L32" s="243"/>
      <c r="M32" s="187"/>
      <c r="N32" s="89"/>
      <c r="O32" s="151" t="str">
        <f>IF('woningen|utiliteit'!L28="","",'woningen|utiliteit'!L28)</f>
        <v/>
      </c>
      <c r="P32" s="151" t="str">
        <f>IF('woningen|utiliteit'!M28="","",'woningen|utiliteit'!M28)</f>
        <v/>
      </c>
      <c r="Q32" s="151" t="str">
        <f>IF('woningen|utiliteit'!N28="","",'woningen|utiliteit'!N28)</f>
        <v/>
      </c>
      <c r="R32" s="151" t="str">
        <f>IF('woningen|utiliteit'!O28="","",'woningen|utiliteit'!O28)</f>
        <v/>
      </c>
      <c r="S32" s="151" t="str">
        <f>IF('woningen|utiliteit'!P28="","",'woningen|utiliteit'!P28)</f>
        <v/>
      </c>
      <c r="T32" s="151" t="str">
        <f>IF('woningen|utiliteit'!Q28="","",'woningen|utiliteit'!Q28)</f>
        <v/>
      </c>
      <c r="U32" s="151" t="str">
        <f>IF('woningen|utiliteit'!R28="","",'woningen|utiliteit'!R28)</f>
        <v/>
      </c>
      <c r="V32" s="151" t="str">
        <f>IF('woningen|utiliteit'!S28="","",'woningen|utiliteit'!S28)</f>
        <v/>
      </c>
      <c r="W32" s="151" t="str">
        <f>IF('woningen|utiliteit'!T28="","",'woningen|utiliteit'!T28)</f>
        <v/>
      </c>
      <c r="X32" s="98"/>
      <c r="Y32" s="187"/>
      <c r="Z32" s="89"/>
      <c r="AA32" s="151" t="str">
        <f>IF('woningen|utiliteit'!L44="","",'woningen|utiliteit'!L44)</f>
        <v/>
      </c>
      <c r="AB32" s="151" t="str">
        <f>IF('woningen|utiliteit'!M44="","",'woningen|utiliteit'!M44)</f>
        <v/>
      </c>
      <c r="AC32" s="151" t="str">
        <f>IF('woningen|utiliteit'!N44="","",'woningen|utiliteit'!N44)</f>
        <v/>
      </c>
      <c r="AD32" s="151" t="str">
        <f>IF('woningen|utiliteit'!O44="","",'woningen|utiliteit'!O44)</f>
        <v/>
      </c>
      <c r="AE32" s="151" t="str">
        <f>IF('woningen|utiliteit'!P44="","",'woningen|utiliteit'!P44)</f>
        <v/>
      </c>
      <c r="AF32" s="151" t="str">
        <f>IF('woningen|utiliteit'!Q44="","",'woningen|utiliteit'!Q44)</f>
        <v/>
      </c>
      <c r="AG32" s="151" t="str">
        <f>IF('woningen|utiliteit'!R44="","",'woningen|utiliteit'!R44)</f>
        <v/>
      </c>
      <c r="AH32" s="151" t="str">
        <f>IF('woningen|utiliteit'!S44="","",'woningen|utiliteit'!S44)</f>
        <v/>
      </c>
      <c r="AI32" s="151" t="str">
        <f>IF('woningen|utiliteit'!T44="","",'woningen|utiliteit'!T44)</f>
        <v/>
      </c>
      <c r="AJ32" s="98"/>
      <c r="AK32" s="187"/>
      <c r="AL32" s="89"/>
      <c r="AM32" s="151" t="str">
        <f>IF('woningen|utiliteit'!L60="","",'woningen|utiliteit'!L60)</f>
        <v/>
      </c>
      <c r="AN32" s="151" t="str">
        <f>IF('woningen|utiliteit'!M60="","",'woningen|utiliteit'!M60)</f>
        <v/>
      </c>
      <c r="AO32" s="151" t="str">
        <f>IF('woningen|utiliteit'!N60="","",'woningen|utiliteit'!N60)</f>
        <v/>
      </c>
      <c r="AP32" s="151" t="str">
        <f>IF('woningen|utiliteit'!O60="","",'woningen|utiliteit'!O60)</f>
        <v/>
      </c>
      <c r="AQ32" s="151" t="str">
        <f>IF('woningen|utiliteit'!P60="","",'woningen|utiliteit'!P60)</f>
        <v/>
      </c>
      <c r="AR32" s="151" t="str">
        <f>IF('woningen|utiliteit'!Q60="","",'woningen|utiliteit'!Q60)</f>
        <v/>
      </c>
      <c r="AS32" s="151" t="str">
        <f>IF('woningen|utiliteit'!R60="","",'woningen|utiliteit'!R60)</f>
        <v/>
      </c>
      <c r="AT32" s="151" t="str">
        <f>IF('woningen|utiliteit'!S60="","",'woningen|utiliteit'!S60)</f>
        <v/>
      </c>
      <c r="AU32" s="151" t="str">
        <f>IF('woningen|utiliteit'!T60="","",'woningen|utiliteit'!T60)</f>
        <v/>
      </c>
      <c r="AV32" s="98"/>
      <c r="AW32" s="187"/>
      <c r="AX32" s="89"/>
      <c r="AY32" s="151" t="str">
        <f>IF('woningen|utiliteit'!L76="","",'woningen|utiliteit'!L76)</f>
        <v/>
      </c>
      <c r="AZ32" s="151" t="str">
        <f>IF('woningen|utiliteit'!M76="","",'woningen|utiliteit'!M76)</f>
        <v/>
      </c>
      <c r="BA32" s="151" t="str">
        <f>IF('woningen|utiliteit'!N76="","",'woningen|utiliteit'!N76)</f>
        <v/>
      </c>
      <c r="BB32" s="151" t="str">
        <f>IF('woningen|utiliteit'!O76="","",'woningen|utiliteit'!O76)</f>
        <v/>
      </c>
      <c r="BC32" s="151" t="str">
        <f>IF('woningen|utiliteit'!P76="","",'woningen|utiliteit'!P76)</f>
        <v/>
      </c>
      <c r="BD32" s="151" t="str">
        <f>IF('woningen|utiliteit'!Q76="","",'woningen|utiliteit'!Q76)</f>
        <v/>
      </c>
      <c r="BE32" s="151" t="str">
        <f>IF('woningen|utiliteit'!R76="","",'woningen|utiliteit'!R76)</f>
        <v/>
      </c>
      <c r="BF32" s="151" t="str">
        <f>IF('woningen|utiliteit'!S76="","",'woningen|utiliteit'!S76)</f>
        <v/>
      </c>
      <c r="BG32" s="151" t="str">
        <f>IF('woningen|utiliteit'!T76="","",'woningen|utiliteit'!T76)</f>
        <v/>
      </c>
      <c r="BH32" s="174"/>
    </row>
    <row r="33" spans="1:60">
      <c r="A33" s="1041"/>
      <c r="B33" s="1106" t="s">
        <v>111</v>
      </c>
      <c r="C33" s="1107" t="s">
        <v>104</v>
      </c>
      <c r="D33" s="638"/>
      <c r="E33" s="180" t="s">
        <v>131</v>
      </c>
      <c r="F33" s="180"/>
      <c r="G33" s="180"/>
      <c r="H33" s="181" t="s">
        <v>130</v>
      </c>
      <c r="I33" s="79"/>
      <c r="J33" s="187"/>
      <c r="K33" s="243"/>
      <c r="L33" s="243"/>
      <c r="M33" s="187"/>
      <c r="N33" s="89"/>
      <c r="O33" s="151" t="str">
        <f>IF(O$17="","",HLOOKUP(O$17,woningen_gebouwen_gegevens,ROWS(bibliotheek!$E$20:$E$34),FALSE))</f>
        <v/>
      </c>
      <c r="P33" s="151" t="str">
        <f>IF(P$17="","",HLOOKUP(P$17,woningen_gebouwen_gegevens,ROWS(bibliotheek!$E$20:$E$34),FALSE))</f>
        <v/>
      </c>
      <c r="Q33" s="151" t="str">
        <f>IF(Q$17="","",HLOOKUP(Q$17,woningen_gebouwen_gegevens,ROWS(bibliotheek!$E$20:$E$34),FALSE))</f>
        <v/>
      </c>
      <c r="R33" s="151" t="str">
        <f>IF(R$17="","",HLOOKUP(R$17,woningen_gebouwen_gegevens,ROWS(bibliotheek!$E$20:$E$34),FALSE))</f>
        <v/>
      </c>
      <c r="S33" s="151" t="str">
        <f>IF(S$17="","",HLOOKUP(S$17,woningen_gebouwen_gegevens,ROWS(bibliotheek!$E$20:$E$34),FALSE))</f>
        <v/>
      </c>
      <c r="T33" s="151" t="str">
        <f>IF(T$17="","",HLOOKUP(T$17,woningen_gebouwen_gegevens,ROWS(bibliotheek!$E$20:$E$34),FALSE))</f>
        <v/>
      </c>
      <c r="U33" s="151" t="str">
        <f>IF(U$17="","",HLOOKUP(U$17,woningen_gebouwen_gegevens,ROWS(bibliotheek!$E$20:$E$34),FALSE))</f>
        <v/>
      </c>
      <c r="V33" s="151" t="str">
        <f>IF(V$17="","",HLOOKUP(V$17,woningen_gebouwen_gegevens,ROWS(bibliotheek!$E$20:$E$34),FALSE))</f>
        <v/>
      </c>
      <c r="W33" s="151" t="str">
        <f>IF(W$17="","",HLOOKUP(W$17,woningen_gebouwen_gegevens,ROWS(bibliotheek!$E$20:$E$34),FALSE))</f>
        <v/>
      </c>
      <c r="X33" s="98"/>
      <c r="Y33" s="187"/>
      <c r="Z33" s="89"/>
      <c r="AA33" s="151" t="str">
        <f>IF(AA$17="","",HLOOKUP(AA$17,woningen_gebouwen_gegevens,ROWS(bibliotheek!$E$20:$E$34),FALSE))</f>
        <v/>
      </c>
      <c r="AB33" s="151" t="str">
        <f>IF(AB$17="","",HLOOKUP(AB$17,woningen_gebouwen_gegevens,ROWS(bibliotheek!$E$20:$E$34),FALSE))</f>
        <v/>
      </c>
      <c r="AC33" s="151" t="str">
        <f>IF(AC$17="","",HLOOKUP(AC$17,woningen_gebouwen_gegevens,ROWS(bibliotheek!$E$20:$E$34),FALSE))</f>
        <v/>
      </c>
      <c r="AD33" s="151" t="str">
        <f>IF(AD$17="","",HLOOKUP(AD$17,woningen_gebouwen_gegevens,ROWS(bibliotheek!$E$20:$E$34),FALSE))</f>
        <v/>
      </c>
      <c r="AE33" s="151" t="str">
        <f>IF(AE$17="","",HLOOKUP(AE$17,woningen_gebouwen_gegevens,ROWS(bibliotheek!$E$20:$E$34),FALSE))</f>
        <v/>
      </c>
      <c r="AF33" s="151" t="str">
        <f>IF(AF$17="","",HLOOKUP(AF$17,woningen_gebouwen_gegevens,ROWS(bibliotheek!$E$20:$E$34),FALSE))</f>
        <v/>
      </c>
      <c r="AG33" s="151" t="str">
        <f>IF(AG$17="","",HLOOKUP(AG$17,woningen_gebouwen_gegevens,ROWS(bibliotheek!$E$20:$E$34),FALSE))</f>
        <v/>
      </c>
      <c r="AH33" s="151" t="str">
        <f>IF(AH$17="","",HLOOKUP(AH$17,woningen_gebouwen_gegevens,ROWS(bibliotheek!$E$20:$E$34),FALSE))</f>
        <v/>
      </c>
      <c r="AI33" s="151" t="str">
        <f>IF(AI$17="","",HLOOKUP(AI$17,woningen_gebouwen_gegevens,ROWS(bibliotheek!$E$20:$E$34),FALSE))</f>
        <v/>
      </c>
      <c r="AJ33" s="98"/>
      <c r="AK33" s="187"/>
      <c r="AL33" s="89"/>
      <c r="AM33" s="151" t="str">
        <f>IF(AM$17="","",HLOOKUP(AM$17,woningen_gebouwen_gegevens,ROWS(bibliotheek!$E$20:$E$34),FALSE))</f>
        <v/>
      </c>
      <c r="AN33" s="151" t="str">
        <f>IF(AN$17="","",HLOOKUP(AN$17,woningen_gebouwen_gegevens,ROWS(bibliotheek!$E$20:$E$34),FALSE))</f>
        <v/>
      </c>
      <c r="AO33" s="151" t="str">
        <f>IF(AO$17="","",HLOOKUP(AO$17,woningen_gebouwen_gegevens,ROWS(bibliotheek!$E$20:$E$34),FALSE))</f>
        <v/>
      </c>
      <c r="AP33" s="151" t="str">
        <f>IF(AP$17="","",HLOOKUP(AP$17,woningen_gebouwen_gegevens,ROWS(bibliotheek!$E$20:$E$34),FALSE))</f>
        <v/>
      </c>
      <c r="AQ33" s="151" t="str">
        <f>IF(AQ$17="","",HLOOKUP(AQ$17,woningen_gebouwen_gegevens,ROWS(bibliotheek!$E$20:$E$34),FALSE))</f>
        <v/>
      </c>
      <c r="AR33" s="151" t="str">
        <f>IF(AR$17="","",HLOOKUP(AR$17,woningen_gebouwen_gegevens,ROWS(bibliotheek!$E$20:$E$34),FALSE))</f>
        <v/>
      </c>
      <c r="AS33" s="151" t="str">
        <f>IF(AS$17="","",HLOOKUP(AS$17,woningen_gebouwen_gegevens,ROWS(bibliotheek!$E$20:$E$34),FALSE))</f>
        <v/>
      </c>
      <c r="AT33" s="151" t="str">
        <f>IF(AT$17="","",HLOOKUP(AT$17,woningen_gebouwen_gegevens,ROWS(bibliotheek!$E$20:$E$34),FALSE))</f>
        <v/>
      </c>
      <c r="AU33" s="151" t="str">
        <f>IF(AU$17="","",HLOOKUP(AU$17,woningen_gebouwen_gegevens,ROWS(bibliotheek!$E$20:$E$34),FALSE))</f>
        <v/>
      </c>
      <c r="AV33" s="98"/>
      <c r="AW33" s="187"/>
      <c r="AX33" s="89"/>
      <c r="AY33" s="151" t="str">
        <f>IF(AY$17="","",HLOOKUP(AY$17,woningen_gebouwen_gegevens,ROWS(bibliotheek!$E$20:$E$34),FALSE))</f>
        <v/>
      </c>
      <c r="AZ33" s="151" t="str">
        <f>IF(AZ$17="","",HLOOKUP(AZ$17,woningen_gebouwen_gegevens,ROWS(bibliotheek!$E$20:$E$34),FALSE))</f>
        <v/>
      </c>
      <c r="BA33" s="151" t="str">
        <f>IF(BA$17="","",HLOOKUP(BA$17,woningen_gebouwen_gegevens,ROWS(bibliotheek!$E$20:$E$34),FALSE))</f>
        <v/>
      </c>
      <c r="BB33" s="151" t="str">
        <f>IF(BB$17="","",HLOOKUP(BB$17,woningen_gebouwen_gegevens,ROWS(bibliotheek!$E$20:$E$34),FALSE))</f>
        <v/>
      </c>
      <c r="BC33" s="151" t="str">
        <f>IF(BC$17="","",HLOOKUP(BC$17,woningen_gebouwen_gegevens,ROWS(bibliotheek!$E$20:$E$34),FALSE))</f>
        <v/>
      </c>
      <c r="BD33" s="151" t="str">
        <f>IF(BD$17="","",HLOOKUP(BD$17,woningen_gebouwen_gegevens,ROWS(bibliotheek!$E$20:$E$34),FALSE))</f>
        <v/>
      </c>
      <c r="BE33" s="151" t="str">
        <f>IF(BE$17="","",HLOOKUP(BE$17,woningen_gebouwen_gegevens,ROWS(bibliotheek!$E$20:$E$34),FALSE))</f>
        <v/>
      </c>
      <c r="BF33" s="151" t="str">
        <f>IF(BF$17="","",HLOOKUP(BF$17,woningen_gebouwen_gegevens,ROWS(bibliotheek!$E$20:$E$34),FALSE))</f>
        <v/>
      </c>
      <c r="BG33" s="151" t="str">
        <f>IF(BG$17="","",HLOOKUP(BG$17,woningen_gebouwen_gegevens,ROWS(bibliotheek!$E$20:$E$34),FALSE))</f>
        <v/>
      </c>
      <c r="BH33" s="174"/>
    </row>
    <row r="34" spans="1:60">
      <c r="A34" s="1041"/>
      <c r="B34" s="1106" t="s">
        <v>111</v>
      </c>
      <c r="C34" s="1107" t="s">
        <v>104</v>
      </c>
      <c r="D34" s="638"/>
      <c r="E34" s="79"/>
      <c r="F34" s="79"/>
      <c r="G34" s="79"/>
      <c r="H34" s="85"/>
      <c r="I34" s="79"/>
      <c r="J34" s="82"/>
      <c r="K34" s="79"/>
      <c r="L34" s="79"/>
      <c r="M34" s="82"/>
      <c r="N34" s="82"/>
      <c r="O34" s="82"/>
      <c r="P34" s="82"/>
      <c r="Q34" s="82"/>
      <c r="R34" s="82"/>
      <c r="S34" s="82"/>
      <c r="T34" s="82"/>
      <c r="U34" s="82"/>
      <c r="V34" s="82"/>
      <c r="W34" s="82"/>
      <c r="X34" s="82"/>
      <c r="Y34" s="82"/>
      <c r="Z34" s="79"/>
      <c r="AA34" s="82"/>
      <c r="AB34" s="82"/>
      <c r="AC34" s="82"/>
      <c r="AD34" s="82"/>
      <c r="AE34" s="82"/>
      <c r="AF34" s="82"/>
      <c r="AG34" s="82"/>
      <c r="AH34" s="82"/>
      <c r="AI34" s="82"/>
      <c r="AJ34" s="82"/>
      <c r="AK34" s="82"/>
      <c r="AL34" s="79"/>
      <c r="AM34" s="82"/>
      <c r="AN34" s="82"/>
      <c r="AO34" s="82"/>
      <c r="AP34" s="82"/>
      <c r="AQ34" s="82"/>
      <c r="AR34" s="82"/>
      <c r="AS34" s="82"/>
      <c r="AT34" s="82"/>
      <c r="AU34" s="82"/>
      <c r="AV34" s="82"/>
      <c r="AW34" s="82"/>
      <c r="AX34" s="79"/>
      <c r="AY34" s="82"/>
      <c r="AZ34" s="82"/>
      <c r="BA34" s="82"/>
      <c r="BB34" s="82"/>
      <c r="BC34" s="82"/>
      <c r="BD34" s="82"/>
      <c r="BE34" s="82"/>
      <c r="BF34" s="82"/>
      <c r="BG34" s="82"/>
      <c r="BH34" s="1"/>
    </row>
    <row r="35" spans="1:60">
      <c r="A35" s="1041"/>
      <c r="B35" s="1109" t="s">
        <v>132</v>
      </c>
      <c r="C35" s="1107" t="s">
        <v>96</v>
      </c>
      <c r="D35" s="638"/>
      <c r="E35" s="79"/>
      <c r="F35" s="79"/>
      <c r="G35" s="79"/>
      <c r="H35" s="85"/>
      <c r="I35" s="79"/>
      <c r="J35" s="82"/>
      <c r="K35" s="79"/>
      <c r="L35" s="79"/>
      <c r="M35" s="82"/>
      <c r="N35" s="82"/>
      <c r="O35" s="82"/>
      <c r="P35" s="82"/>
      <c r="Q35" s="82"/>
      <c r="R35" s="82"/>
      <c r="S35" s="82"/>
      <c r="T35" s="82"/>
      <c r="U35" s="82"/>
      <c r="V35" s="82"/>
      <c r="W35" s="82"/>
      <c r="X35" s="82"/>
      <c r="Y35" s="82"/>
      <c r="Z35" s="79"/>
      <c r="AA35" s="82"/>
      <c r="AB35" s="82"/>
      <c r="AC35" s="82"/>
      <c r="AD35" s="82"/>
      <c r="AE35" s="82"/>
      <c r="AF35" s="82"/>
      <c r="AG35" s="82"/>
      <c r="AH35" s="82"/>
      <c r="AI35" s="82"/>
      <c r="AJ35" s="82"/>
      <c r="AK35" s="82"/>
      <c r="AL35" s="79"/>
      <c r="AM35" s="82"/>
      <c r="AN35" s="82"/>
      <c r="AO35" s="82"/>
      <c r="AP35" s="82"/>
      <c r="AQ35" s="82"/>
      <c r="AR35" s="82"/>
      <c r="AS35" s="82"/>
      <c r="AT35" s="82"/>
      <c r="AU35" s="82"/>
      <c r="AV35" s="82"/>
      <c r="AW35" s="82"/>
      <c r="AX35" s="79"/>
      <c r="AY35" s="82"/>
      <c r="AZ35" s="82"/>
      <c r="BA35" s="82"/>
      <c r="BB35" s="82"/>
      <c r="BC35" s="82"/>
      <c r="BD35" s="82"/>
      <c r="BE35" s="82"/>
      <c r="BF35" s="82"/>
      <c r="BG35" s="82"/>
      <c r="BH35" s="1"/>
    </row>
    <row r="36" spans="1:60" s="2" customFormat="1" ht="21">
      <c r="A36" s="1042"/>
      <c r="B36" s="1109" t="s">
        <v>132</v>
      </c>
      <c r="C36" s="1106" t="s">
        <v>96</v>
      </c>
      <c r="D36" s="640"/>
      <c r="E36" s="209" t="s">
        <v>133</v>
      </c>
      <c r="F36" s="209"/>
      <c r="G36" s="209"/>
      <c r="H36" s="209"/>
      <c r="I36" s="129"/>
      <c r="J36" s="257" t="str">
        <f>J$8</f>
        <v>alle locaties</v>
      </c>
      <c r="K36" s="126"/>
      <c r="L36" s="126"/>
      <c r="M36" s="257" t="str">
        <f>M$8</f>
        <v>locatie 1</v>
      </c>
      <c r="N36" s="193"/>
      <c r="O36" s="955" t="str">
        <f>$E36&amp;" per woning-/gebouwtype"</f>
        <v>energiemaatregelen met effect op energiebehoefte per woning-/gebouwtype</v>
      </c>
      <c r="P36" s="945"/>
      <c r="Q36" s="945"/>
      <c r="R36" s="945"/>
      <c r="S36" s="945"/>
      <c r="T36" s="945"/>
      <c r="U36" s="945"/>
      <c r="V36" s="945"/>
      <c r="W36" s="257"/>
      <c r="X36" s="174"/>
      <c r="Y36" s="257" t="str">
        <f>Y$10</f>
        <v>locatie 2</v>
      </c>
      <c r="Z36" s="193"/>
      <c r="AA36" s="955" t="str">
        <f>$E36&amp;" per woning-/gebouwtype"</f>
        <v>energiemaatregelen met effect op energiebehoefte per woning-/gebouwtype</v>
      </c>
      <c r="AB36" s="945"/>
      <c r="AC36" s="945"/>
      <c r="AD36" s="945"/>
      <c r="AE36" s="945"/>
      <c r="AF36" s="945"/>
      <c r="AG36" s="945"/>
      <c r="AH36" s="945"/>
      <c r="AI36" s="257"/>
      <c r="AJ36" s="174"/>
      <c r="AK36" s="257" t="str">
        <f>AK$10</f>
        <v>locatie 3</v>
      </c>
      <c r="AL36" s="193"/>
      <c r="AM36" s="955" t="str">
        <f>$E36&amp;" per woning-/gebouwtype"</f>
        <v>energiemaatregelen met effect op energiebehoefte per woning-/gebouwtype</v>
      </c>
      <c r="AN36" s="945"/>
      <c r="AO36" s="945"/>
      <c r="AP36" s="945"/>
      <c r="AQ36" s="945"/>
      <c r="AR36" s="945"/>
      <c r="AS36" s="945"/>
      <c r="AT36" s="945"/>
      <c r="AU36" s="257"/>
      <c r="AV36" s="174"/>
      <c r="AW36" s="257" t="str">
        <f>AW$10</f>
        <v>locatie 4</v>
      </c>
      <c r="AX36" s="193"/>
      <c r="AY36" s="955" t="str">
        <f>$E36&amp;" per woning-/gebouwtype"</f>
        <v>energiemaatregelen met effect op energiebehoefte per woning-/gebouwtype</v>
      </c>
      <c r="AZ36" s="945"/>
      <c r="BA36" s="945"/>
      <c r="BB36" s="945"/>
      <c r="BC36" s="945"/>
      <c r="BD36" s="945"/>
      <c r="BE36" s="945"/>
      <c r="BF36" s="945"/>
      <c r="BG36" s="257"/>
      <c r="BH36" s="1"/>
    </row>
    <row r="37" spans="1:60">
      <c r="A37" s="1041"/>
      <c r="B37" s="1109" t="s">
        <v>132</v>
      </c>
      <c r="C37" s="1107" t="s">
        <v>118</v>
      </c>
      <c r="D37" s="638"/>
      <c r="E37" s="942" t="s">
        <v>134</v>
      </c>
      <c r="F37" s="942"/>
      <c r="G37" s="942"/>
      <c r="H37" s="942"/>
      <c r="I37" s="129"/>
      <c r="J37" s="943"/>
      <c r="K37" s="126"/>
      <c r="L37" s="126"/>
      <c r="M37" s="944"/>
      <c r="N37" s="195"/>
      <c r="O37" s="258" t="str">
        <f>O$17</f>
        <v/>
      </c>
      <c r="P37" s="258" t="str">
        <f t="shared" ref="P37:W37" si="38">P$17</f>
        <v/>
      </c>
      <c r="Q37" s="258" t="str">
        <f t="shared" si="38"/>
        <v/>
      </c>
      <c r="R37" s="258" t="str">
        <f t="shared" si="38"/>
        <v/>
      </c>
      <c r="S37" s="258" t="str">
        <f t="shared" si="38"/>
        <v/>
      </c>
      <c r="T37" s="258" t="str">
        <f t="shared" si="38"/>
        <v/>
      </c>
      <c r="U37" s="258" t="str">
        <f t="shared" si="38"/>
        <v/>
      </c>
      <c r="V37" s="258" t="str">
        <f t="shared" si="38"/>
        <v/>
      </c>
      <c r="W37" s="258" t="str">
        <f t="shared" si="38"/>
        <v/>
      </c>
      <c r="X37" s="195"/>
      <c r="Y37" s="944"/>
      <c r="Z37" s="195"/>
      <c r="AA37" s="258" t="str">
        <f>AA$17</f>
        <v/>
      </c>
      <c r="AB37" s="258" t="str">
        <f t="shared" ref="AB37:AI37" si="39">AB$17</f>
        <v/>
      </c>
      <c r="AC37" s="258" t="str">
        <f t="shared" si="39"/>
        <v/>
      </c>
      <c r="AD37" s="258" t="str">
        <f t="shared" si="39"/>
        <v/>
      </c>
      <c r="AE37" s="258" t="str">
        <f t="shared" si="39"/>
        <v/>
      </c>
      <c r="AF37" s="258" t="str">
        <f t="shared" si="39"/>
        <v/>
      </c>
      <c r="AG37" s="258" t="str">
        <f t="shared" si="39"/>
        <v/>
      </c>
      <c r="AH37" s="258" t="str">
        <f t="shared" si="39"/>
        <v/>
      </c>
      <c r="AI37" s="258" t="str">
        <f t="shared" si="39"/>
        <v/>
      </c>
      <c r="AJ37" s="195"/>
      <c r="AK37" s="944"/>
      <c r="AL37" s="195"/>
      <c r="AM37" s="258" t="str">
        <f>AM$17</f>
        <v/>
      </c>
      <c r="AN37" s="258" t="str">
        <f t="shared" ref="AN37:AU37" si="40">AN$17</f>
        <v/>
      </c>
      <c r="AO37" s="258" t="str">
        <f t="shared" si="40"/>
        <v/>
      </c>
      <c r="AP37" s="258" t="str">
        <f t="shared" si="40"/>
        <v/>
      </c>
      <c r="AQ37" s="258" t="str">
        <f t="shared" si="40"/>
        <v/>
      </c>
      <c r="AR37" s="258" t="str">
        <f t="shared" si="40"/>
        <v/>
      </c>
      <c r="AS37" s="258" t="str">
        <f t="shared" si="40"/>
        <v/>
      </c>
      <c r="AT37" s="258" t="str">
        <f t="shared" si="40"/>
        <v/>
      </c>
      <c r="AU37" s="258" t="str">
        <f t="shared" si="40"/>
        <v/>
      </c>
      <c r="AV37" s="195"/>
      <c r="AW37" s="944"/>
      <c r="AX37" s="195"/>
      <c r="AY37" s="258" t="str">
        <f>AY$17</f>
        <v/>
      </c>
      <c r="AZ37" s="258" t="str">
        <f t="shared" ref="AZ37:BG37" si="41">AZ$17</f>
        <v/>
      </c>
      <c r="BA37" s="258" t="str">
        <f t="shared" si="41"/>
        <v/>
      </c>
      <c r="BB37" s="258" t="str">
        <f t="shared" si="41"/>
        <v/>
      </c>
      <c r="BC37" s="258" t="str">
        <f t="shared" si="41"/>
        <v/>
      </c>
      <c r="BD37" s="258" t="str">
        <f t="shared" si="41"/>
        <v/>
      </c>
      <c r="BE37" s="258" t="str">
        <f t="shared" si="41"/>
        <v/>
      </c>
      <c r="BF37" s="258" t="str">
        <f t="shared" si="41"/>
        <v/>
      </c>
      <c r="BG37" s="258" t="str">
        <f t="shared" si="41"/>
        <v/>
      </c>
      <c r="BH37" s="36"/>
    </row>
    <row r="38" spans="1:60" s="2" customFormat="1">
      <c r="A38" s="1042"/>
      <c r="B38" s="1110" t="s">
        <v>132</v>
      </c>
      <c r="C38" s="1106" t="s">
        <v>118</v>
      </c>
      <c r="D38" s="645" t="s">
        <v>45</v>
      </c>
      <c r="E38" s="254" t="s">
        <v>135</v>
      </c>
      <c r="F38" s="254"/>
      <c r="G38" s="254"/>
      <c r="H38" s="181" t="s">
        <v>65</v>
      </c>
      <c r="I38" s="171"/>
      <c r="J38" s="1124"/>
      <c r="K38" s="79"/>
      <c r="L38" s="79"/>
      <c r="M38" s="554"/>
      <c r="N38" s="1120"/>
      <c r="O38" s="151" t="str">
        <f t="shared" ref="O38:W38" si="42">IF(O$17="","",IF(AND(O39&lt;&gt;"",
ISERROR(MATCH(O39,isolatiepakketten_gebouwschil_namen,0))=FALSE),O39,
INDEX(referentiepakketten_bij_gebouwen,MATCH(O$17,woningen_gebouwen_namen,0))))</f>
        <v/>
      </c>
      <c r="P38" s="151" t="str">
        <f t="shared" si="42"/>
        <v/>
      </c>
      <c r="Q38" s="151" t="str">
        <f t="shared" si="42"/>
        <v/>
      </c>
      <c r="R38" s="151" t="str">
        <f t="shared" si="42"/>
        <v/>
      </c>
      <c r="S38" s="151" t="str">
        <f t="shared" si="42"/>
        <v/>
      </c>
      <c r="T38" s="151" t="str">
        <f t="shared" si="42"/>
        <v/>
      </c>
      <c r="U38" s="151" t="str">
        <f t="shared" si="42"/>
        <v/>
      </c>
      <c r="V38" s="151" t="str">
        <f t="shared" si="42"/>
        <v/>
      </c>
      <c r="W38" s="151" t="str">
        <f t="shared" si="42"/>
        <v/>
      </c>
      <c r="X38" s="1120"/>
      <c r="Y38" s="554"/>
      <c r="Z38" s="1120"/>
      <c r="AA38" s="151" t="str">
        <f t="shared" ref="AA38:AI38" si="43">IF(AA$17="","",IF(AND(AA39&lt;&gt;"",
ISERROR(MATCH(AA39,isolatiepakketten_gebouwschil_namen,0))=FALSE),AA39,
INDEX(referentiepakketten_bij_gebouwen,MATCH(AA$17,woningen_gebouwen_namen,0))))</f>
        <v/>
      </c>
      <c r="AB38" s="151" t="str">
        <f t="shared" si="43"/>
        <v/>
      </c>
      <c r="AC38" s="151" t="str">
        <f t="shared" si="43"/>
        <v/>
      </c>
      <c r="AD38" s="151" t="str">
        <f t="shared" si="43"/>
        <v/>
      </c>
      <c r="AE38" s="151" t="str">
        <f t="shared" si="43"/>
        <v/>
      </c>
      <c r="AF38" s="151" t="str">
        <f t="shared" si="43"/>
        <v/>
      </c>
      <c r="AG38" s="151" t="str">
        <f t="shared" si="43"/>
        <v/>
      </c>
      <c r="AH38" s="151" t="str">
        <f t="shared" si="43"/>
        <v/>
      </c>
      <c r="AI38" s="151" t="str">
        <f t="shared" si="43"/>
        <v/>
      </c>
      <c r="AJ38" s="1120"/>
      <c r="AK38" s="554"/>
      <c r="AL38" s="195"/>
      <c r="AM38" s="151" t="str">
        <f t="shared" ref="AM38:AU38" si="44">IF(AM$17="","",IF(AND(AM39&lt;&gt;"",
ISERROR(MATCH(AM39,isolatiepakketten_gebouwschil_namen,0))=FALSE),AM39,
INDEX(referentiepakketten_bij_gebouwen,MATCH(AM$17,woningen_gebouwen_namen,0))))</f>
        <v/>
      </c>
      <c r="AN38" s="151" t="str">
        <f t="shared" si="44"/>
        <v/>
      </c>
      <c r="AO38" s="151" t="str">
        <f t="shared" si="44"/>
        <v/>
      </c>
      <c r="AP38" s="151" t="str">
        <f t="shared" si="44"/>
        <v/>
      </c>
      <c r="AQ38" s="151" t="str">
        <f t="shared" si="44"/>
        <v/>
      </c>
      <c r="AR38" s="151" t="str">
        <f t="shared" si="44"/>
        <v/>
      </c>
      <c r="AS38" s="151" t="str">
        <f t="shared" si="44"/>
        <v/>
      </c>
      <c r="AT38" s="151" t="str">
        <f t="shared" si="44"/>
        <v/>
      </c>
      <c r="AU38" s="151" t="str">
        <f t="shared" si="44"/>
        <v/>
      </c>
      <c r="AV38" s="195"/>
      <c r="AW38" s="554"/>
      <c r="AX38" s="195"/>
      <c r="AY38" s="151" t="str">
        <f t="shared" ref="AY38:BG38" si="45">IF(AY$17="","",IF(AND(AY39&lt;&gt;"",
ISERROR(MATCH(AY39,isolatiepakketten_gebouwschil_namen,0))=FALSE),AY39,
INDEX(referentiepakketten_bij_gebouwen,MATCH(AY$17,woningen_gebouwen_namen,0))))</f>
        <v/>
      </c>
      <c r="AZ38" s="151" t="str">
        <f t="shared" si="45"/>
        <v/>
      </c>
      <c r="BA38" s="151" t="str">
        <f t="shared" si="45"/>
        <v/>
      </c>
      <c r="BB38" s="151" t="str">
        <f t="shared" si="45"/>
        <v/>
      </c>
      <c r="BC38" s="151" t="str">
        <f t="shared" si="45"/>
        <v/>
      </c>
      <c r="BD38" s="151" t="str">
        <f t="shared" si="45"/>
        <v/>
      </c>
      <c r="BE38" s="151" t="str">
        <f t="shared" si="45"/>
        <v/>
      </c>
      <c r="BF38" s="151" t="str">
        <f t="shared" si="45"/>
        <v/>
      </c>
      <c r="BG38" s="151" t="str">
        <f t="shared" si="45"/>
        <v/>
      </c>
      <c r="BH38" s="215"/>
    </row>
    <row r="39" spans="1:60">
      <c r="A39" s="1041"/>
      <c r="B39" s="1109" t="s">
        <v>132</v>
      </c>
      <c r="C39" s="1106" t="s">
        <v>118</v>
      </c>
      <c r="D39" s="638"/>
      <c r="E39" s="1218" t="s">
        <v>951</v>
      </c>
      <c r="F39" s="236"/>
      <c r="G39" s="236"/>
      <c r="H39" s="150" t="s">
        <v>65</v>
      </c>
      <c r="I39" s="171"/>
      <c r="J39" s="616"/>
      <c r="K39" s="79"/>
      <c r="L39" s="79"/>
      <c r="M39" s="184"/>
      <c r="N39" s="195"/>
      <c r="O39" s="871"/>
      <c r="P39" s="871"/>
      <c r="Q39" s="871"/>
      <c r="R39" s="871"/>
      <c r="S39" s="871"/>
      <c r="T39" s="871"/>
      <c r="U39" s="871"/>
      <c r="V39" s="871"/>
      <c r="W39" s="871"/>
      <c r="X39" s="195"/>
      <c r="Y39" s="184"/>
      <c r="Z39" s="195"/>
      <c r="AA39" s="871"/>
      <c r="AB39" s="871"/>
      <c r="AC39" s="871"/>
      <c r="AD39" s="871"/>
      <c r="AE39" s="871"/>
      <c r="AF39" s="871"/>
      <c r="AG39" s="871"/>
      <c r="AH39" s="871"/>
      <c r="AI39" s="871"/>
      <c r="AJ39" s="195"/>
      <c r="AK39" s="184"/>
      <c r="AL39" s="195"/>
      <c r="AM39" s="871"/>
      <c r="AN39" s="871"/>
      <c r="AO39" s="871"/>
      <c r="AP39" s="871"/>
      <c r="AQ39" s="871"/>
      <c r="AR39" s="871"/>
      <c r="AS39" s="871"/>
      <c r="AT39" s="871"/>
      <c r="AU39" s="871"/>
      <c r="AV39" s="195"/>
      <c r="AW39" s="184"/>
      <c r="AX39" s="195"/>
      <c r="AY39" s="871"/>
      <c r="AZ39" s="871"/>
      <c r="BA39" s="871"/>
      <c r="BB39" s="871"/>
      <c r="BC39" s="871"/>
      <c r="BD39" s="871"/>
      <c r="BE39" s="871"/>
      <c r="BF39" s="871"/>
      <c r="BG39" s="871"/>
      <c r="BH39" s="215"/>
    </row>
    <row r="40" spans="1:60" s="36" customFormat="1" ht="17.25" customHeight="1">
      <c r="A40" s="1043"/>
      <c r="B40" s="1109" t="s">
        <v>132</v>
      </c>
      <c r="C40" s="1107" t="s">
        <v>118</v>
      </c>
      <c r="D40" s="642"/>
      <c r="E40" s="1266" t="s">
        <v>1291</v>
      </c>
      <c r="F40" s="1266"/>
      <c r="G40" s="1266"/>
      <c r="H40" s="150" t="s">
        <v>65</v>
      </c>
      <c r="I40" s="102"/>
      <c r="J40" s="616"/>
      <c r="K40" s="86"/>
      <c r="L40" s="86"/>
      <c r="M40" s="184"/>
      <c r="N40" s="88"/>
      <c r="O40" s="738" t="s">
        <v>1294</v>
      </c>
      <c r="P40" s="738" t="s">
        <v>1294</v>
      </c>
      <c r="Q40" s="738" t="s">
        <v>1294</v>
      </c>
      <c r="R40" s="738" t="s">
        <v>1294</v>
      </c>
      <c r="S40" s="738" t="s">
        <v>1294</v>
      </c>
      <c r="T40" s="738" t="s">
        <v>1294</v>
      </c>
      <c r="U40" s="738" t="s">
        <v>1294</v>
      </c>
      <c r="V40" s="738" t="s">
        <v>1294</v>
      </c>
      <c r="W40" s="738" t="s">
        <v>1294</v>
      </c>
      <c r="X40" s="659"/>
      <c r="Y40" s="184"/>
      <c r="Z40" s="660"/>
      <c r="AA40" s="738" t="s">
        <v>1294</v>
      </c>
      <c r="AB40" s="738" t="s">
        <v>1294</v>
      </c>
      <c r="AC40" s="738" t="s">
        <v>1294</v>
      </c>
      <c r="AD40" s="738" t="s">
        <v>1294</v>
      </c>
      <c r="AE40" s="738" t="s">
        <v>1294</v>
      </c>
      <c r="AF40" s="738" t="s">
        <v>1294</v>
      </c>
      <c r="AG40" s="738" t="s">
        <v>1294</v>
      </c>
      <c r="AH40" s="738" t="s">
        <v>1294</v>
      </c>
      <c r="AI40" s="738" t="s">
        <v>1294</v>
      </c>
      <c r="AJ40" s="659"/>
      <c r="AK40" s="184"/>
      <c r="AL40" s="661"/>
      <c r="AM40" s="738" t="s">
        <v>1294</v>
      </c>
      <c r="AN40" s="738" t="s">
        <v>1294</v>
      </c>
      <c r="AO40" s="738" t="s">
        <v>1294</v>
      </c>
      <c r="AP40" s="738" t="s">
        <v>1294</v>
      </c>
      <c r="AQ40" s="738" t="s">
        <v>1294</v>
      </c>
      <c r="AR40" s="738" t="s">
        <v>1294</v>
      </c>
      <c r="AS40" s="738" t="s">
        <v>1294</v>
      </c>
      <c r="AT40" s="738" t="s">
        <v>1294</v>
      </c>
      <c r="AU40" s="738" t="s">
        <v>1294</v>
      </c>
      <c r="AV40" s="659"/>
      <c r="AW40" s="184"/>
      <c r="AX40" s="661"/>
      <c r="AY40" s="738" t="s">
        <v>1294</v>
      </c>
      <c r="AZ40" s="738" t="s">
        <v>1294</v>
      </c>
      <c r="BA40" s="738" t="s">
        <v>1294</v>
      </c>
      <c r="BB40" s="738" t="s">
        <v>1294</v>
      </c>
      <c r="BC40" s="738" t="s">
        <v>1294</v>
      </c>
      <c r="BD40" s="738" t="s">
        <v>1294</v>
      </c>
      <c r="BE40" s="738" t="s">
        <v>1294</v>
      </c>
      <c r="BF40" s="738" t="s">
        <v>1294</v>
      </c>
      <c r="BG40" s="738" t="s">
        <v>1294</v>
      </c>
      <c r="BH40" s="217"/>
    </row>
    <row r="41" spans="1:60" ht="25.5">
      <c r="A41" s="1043"/>
      <c r="B41" s="1109" t="s">
        <v>132</v>
      </c>
      <c r="C41" s="1106" t="s">
        <v>118</v>
      </c>
      <c r="D41" s="642"/>
      <c r="E41" s="149" t="s">
        <v>137</v>
      </c>
      <c r="F41" s="149"/>
      <c r="G41" s="149"/>
      <c r="H41" s="150" t="s">
        <v>65</v>
      </c>
      <c r="I41" s="102"/>
      <c r="J41" s="184"/>
      <c r="K41" s="86"/>
      <c r="L41" s="86"/>
      <c r="M41" s="184"/>
      <c r="N41" s="88"/>
      <c r="O41" s="738" t="s">
        <v>138</v>
      </c>
      <c r="P41" s="738" t="s">
        <v>138</v>
      </c>
      <c r="Q41" s="738" t="s">
        <v>138</v>
      </c>
      <c r="R41" s="738" t="s">
        <v>138</v>
      </c>
      <c r="S41" s="738" t="s">
        <v>138</v>
      </c>
      <c r="T41" s="738" t="s">
        <v>138</v>
      </c>
      <c r="U41" s="738" t="s">
        <v>138</v>
      </c>
      <c r="V41" s="738" t="s">
        <v>138</v>
      </c>
      <c r="W41" s="738" t="s">
        <v>138</v>
      </c>
      <c r="X41" s="659"/>
      <c r="Y41" s="184"/>
      <c r="Z41" s="195"/>
      <c r="AA41" s="738" t="s">
        <v>138</v>
      </c>
      <c r="AB41" s="738" t="s">
        <v>138</v>
      </c>
      <c r="AC41" s="738" t="s">
        <v>138</v>
      </c>
      <c r="AD41" s="738" t="s">
        <v>138</v>
      </c>
      <c r="AE41" s="738" t="s">
        <v>138</v>
      </c>
      <c r="AF41" s="738" t="s">
        <v>138</v>
      </c>
      <c r="AG41" s="738" t="s">
        <v>138</v>
      </c>
      <c r="AH41" s="738" t="s">
        <v>138</v>
      </c>
      <c r="AI41" s="738" t="s">
        <v>138</v>
      </c>
      <c r="AJ41" s="659"/>
      <c r="AK41" s="184"/>
      <c r="AL41" s="661"/>
      <c r="AM41" s="738" t="s">
        <v>138</v>
      </c>
      <c r="AN41" s="738" t="s">
        <v>138</v>
      </c>
      <c r="AO41" s="738" t="s">
        <v>138</v>
      </c>
      <c r="AP41" s="738" t="s">
        <v>138</v>
      </c>
      <c r="AQ41" s="738" t="s">
        <v>138</v>
      </c>
      <c r="AR41" s="738" t="s">
        <v>138</v>
      </c>
      <c r="AS41" s="738" t="s">
        <v>138</v>
      </c>
      <c r="AT41" s="738" t="s">
        <v>138</v>
      </c>
      <c r="AU41" s="738" t="s">
        <v>138</v>
      </c>
      <c r="AV41" s="659"/>
      <c r="AW41" s="184"/>
      <c r="AX41" s="661"/>
      <c r="AY41" s="738" t="s">
        <v>138</v>
      </c>
      <c r="AZ41" s="738" t="s">
        <v>138</v>
      </c>
      <c r="BA41" s="738" t="s">
        <v>138</v>
      </c>
      <c r="BB41" s="738" t="s">
        <v>138</v>
      </c>
      <c r="BC41" s="738" t="s">
        <v>138</v>
      </c>
      <c r="BD41" s="738" t="s">
        <v>138</v>
      </c>
      <c r="BE41" s="738" t="s">
        <v>138</v>
      </c>
      <c r="BF41" s="738" t="s">
        <v>138</v>
      </c>
      <c r="BG41" s="738" t="s">
        <v>138</v>
      </c>
      <c r="BH41" s="217"/>
    </row>
    <row r="42" spans="1:60">
      <c r="A42" s="1043"/>
      <c r="B42" s="1109" t="s">
        <v>132</v>
      </c>
      <c r="C42" s="1106" t="s">
        <v>118</v>
      </c>
      <c r="D42" s="642"/>
      <c r="E42" s="149" t="s">
        <v>1126</v>
      </c>
      <c r="F42" s="149"/>
      <c r="G42" s="149"/>
      <c r="H42" s="150" t="s">
        <v>65</v>
      </c>
      <c r="I42" s="102"/>
      <c r="J42" s="184"/>
      <c r="K42" s="86"/>
      <c r="L42" s="86"/>
      <c r="M42" s="184"/>
      <c r="N42" s="88"/>
      <c r="O42" s="738" t="s">
        <v>166</v>
      </c>
      <c r="P42" s="738" t="s">
        <v>166</v>
      </c>
      <c r="Q42" s="738" t="s">
        <v>166</v>
      </c>
      <c r="R42" s="738" t="s">
        <v>166</v>
      </c>
      <c r="S42" s="738" t="s">
        <v>166</v>
      </c>
      <c r="T42" s="738" t="s">
        <v>166</v>
      </c>
      <c r="U42" s="738" t="s">
        <v>166</v>
      </c>
      <c r="V42" s="738" t="s">
        <v>166</v>
      </c>
      <c r="W42" s="738" t="s">
        <v>166</v>
      </c>
      <c r="X42" s="659"/>
      <c r="Y42" s="184"/>
      <c r="Z42" s="195"/>
      <c r="AA42" s="738" t="s">
        <v>166</v>
      </c>
      <c r="AB42" s="738" t="s">
        <v>166</v>
      </c>
      <c r="AC42" s="738" t="s">
        <v>166</v>
      </c>
      <c r="AD42" s="738" t="s">
        <v>166</v>
      </c>
      <c r="AE42" s="738" t="s">
        <v>166</v>
      </c>
      <c r="AF42" s="738" t="s">
        <v>166</v>
      </c>
      <c r="AG42" s="738" t="s">
        <v>166</v>
      </c>
      <c r="AH42" s="738" t="s">
        <v>166</v>
      </c>
      <c r="AI42" s="738" t="s">
        <v>166</v>
      </c>
      <c r="AJ42" s="659"/>
      <c r="AK42" s="184"/>
      <c r="AL42" s="661"/>
      <c r="AM42" s="738" t="s">
        <v>166</v>
      </c>
      <c r="AN42" s="738" t="s">
        <v>166</v>
      </c>
      <c r="AO42" s="738" t="s">
        <v>166</v>
      </c>
      <c r="AP42" s="738" t="s">
        <v>166</v>
      </c>
      <c r="AQ42" s="738" t="s">
        <v>166</v>
      </c>
      <c r="AR42" s="738" t="s">
        <v>166</v>
      </c>
      <c r="AS42" s="738" t="s">
        <v>166</v>
      </c>
      <c r="AT42" s="738" t="s">
        <v>166</v>
      </c>
      <c r="AU42" s="738" t="s">
        <v>166</v>
      </c>
      <c r="AV42" s="659"/>
      <c r="AW42" s="184"/>
      <c r="AX42" s="661"/>
      <c r="AY42" s="738" t="s">
        <v>166</v>
      </c>
      <c r="AZ42" s="738" t="s">
        <v>166</v>
      </c>
      <c r="BA42" s="738" t="s">
        <v>166</v>
      </c>
      <c r="BB42" s="738" t="s">
        <v>166</v>
      </c>
      <c r="BC42" s="738" t="s">
        <v>166</v>
      </c>
      <c r="BD42" s="738" t="s">
        <v>166</v>
      </c>
      <c r="BE42" s="738" t="s">
        <v>166</v>
      </c>
      <c r="BF42" s="738" t="s">
        <v>166</v>
      </c>
      <c r="BG42" s="738" t="s">
        <v>166</v>
      </c>
      <c r="BH42" s="217"/>
    </row>
    <row r="43" spans="1:60" s="2" customFormat="1" hidden="1">
      <c r="A43" s="1044"/>
      <c r="B43" s="1110" t="s">
        <v>132</v>
      </c>
      <c r="C43" s="1106" t="s">
        <v>181</v>
      </c>
      <c r="D43" s="639"/>
      <c r="E43" s="255" t="s">
        <v>1304</v>
      </c>
      <c r="F43" s="180"/>
      <c r="G43" s="180"/>
      <c r="H43" s="181" t="s">
        <v>65</v>
      </c>
      <c r="I43" s="171"/>
      <c r="J43" s="554"/>
      <c r="K43" s="79"/>
      <c r="L43" s="79"/>
      <c r="M43" s="554"/>
      <c r="N43" s="89"/>
      <c r="O43" s="1182"/>
      <c r="P43" s="1182"/>
      <c r="Q43" s="1182"/>
      <c r="R43" s="1182"/>
      <c r="S43" s="1182"/>
      <c r="T43" s="1182"/>
      <c r="U43" s="1182"/>
      <c r="V43" s="1182"/>
      <c r="W43" s="1182"/>
      <c r="X43" s="658"/>
      <c r="Y43" s="554"/>
      <c r="Z43" s="1120"/>
      <c r="AA43" s="1182"/>
      <c r="AB43" s="1182"/>
      <c r="AC43" s="1182"/>
      <c r="AD43" s="1182"/>
      <c r="AE43" s="1182"/>
      <c r="AF43" s="1182"/>
      <c r="AG43" s="1182"/>
      <c r="AH43" s="1182"/>
      <c r="AI43" s="1182"/>
      <c r="AJ43" s="658"/>
      <c r="AK43" s="554"/>
      <c r="AL43" s="662"/>
      <c r="AM43" s="1182"/>
      <c r="AN43" s="1182"/>
      <c r="AO43" s="1182"/>
      <c r="AP43" s="1182"/>
      <c r="AQ43" s="1182"/>
      <c r="AR43" s="1182"/>
      <c r="AS43" s="1182"/>
      <c r="AT43" s="1182"/>
      <c r="AU43" s="1182"/>
      <c r="AV43" s="658"/>
      <c r="AW43" s="554"/>
      <c r="AX43" s="662"/>
      <c r="AY43" s="1182"/>
      <c r="AZ43" s="1182"/>
      <c r="BA43" s="1182"/>
      <c r="BB43" s="1182"/>
      <c r="BC43" s="1182"/>
      <c r="BD43" s="1182"/>
      <c r="BE43" s="1182"/>
      <c r="BF43" s="1182"/>
      <c r="BG43" s="1182"/>
      <c r="BH43" s="216"/>
    </row>
    <row r="44" spans="1:60" s="2" customFormat="1">
      <c r="A44" s="1044"/>
      <c r="B44" s="1110" t="s">
        <v>132</v>
      </c>
      <c r="C44" s="1106" t="s">
        <v>118</v>
      </c>
      <c r="D44" s="645" t="s">
        <v>45</v>
      </c>
      <c r="E44" s="1220" t="s">
        <v>1378</v>
      </c>
      <c r="F44" s="180"/>
      <c r="G44" s="180"/>
      <c r="H44" s="181" t="s">
        <v>1165</v>
      </c>
      <c r="I44" s="171"/>
      <c r="J44" s="554"/>
      <c r="K44" s="79"/>
      <c r="L44" s="79"/>
      <c r="M44" s="554"/>
      <c r="N44" s="89"/>
      <c r="O44" s="739">
        <v>1</v>
      </c>
      <c r="P44" s="739">
        <v>1</v>
      </c>
      <c r="Q44" s="739">
        <v>1</v>
      </c>
      <c r="R44" s="739">
        <v>1</v>
      </c>
      <c r="S44" s="739">
        <v>1</v>
      </c>
      <c r="T44" s="739">
        <v>1</v>
      </c>
      <c r="U44" s="739">
        <v>1</v>
      </c>
      <c r="V44" s="739">
        <v>1</v>
      </c>
      <c r="W44" s="739">
        <v>1</v>
      </c>
      <c r="X44" s="658"/>
      <c r="Y44" s="554"/>
      <c r="Z44" s="1120"/>
      <c r="AA44" s="739">
        <v>1</v>
      </c>
      <c r="AB44" s="739">
        <v>1</v>
      </c>
      <c r="AC44" s="739">
        <v>1</v>
      </c>
      <c r="AD44" s="739">
        <v>1</v>
      </c>
      <c r="AE44" s="739">
        <v>1</v>
      </c>
      <c r="AF44" s="739">
        <v>1</v>
      </c>
      <c r="AG44" s="739">
        <v>1</v>
      </c>
      <c r="AH44" s="739">
        <v>1</v>
      </c>
      <c r="AI44" s="739">
        <v>1</v>
      </c>
      <c r="AJ44" s="658"/>
      <c r="AK44" s="554"/>
      <c r="AL44" s="662"/>
      <c r="AM44" s="739">
        <v>1</v>
      </c>
      <c r="AN44" s="739">
        <v>1</v>
      </c>
      <c r="AO44" s="739">
        <v>1</v>
      </c>
      <c r="AP44" s="739">
        <v>1</v>
      </c>
      <c r="AQ44" s="739">
        <v>1</v>
      </c>
      <c r="AR44" s="739">
        <v>1</v>
      </c>
      <c r="AS44" s="739">
        <v>1</v>
      </c>
      <c r="AT44" s="739">
        <v>1</v>
      </c>
      <c r="AU44" s="739">
        <v>1</v>
      </c>
      <c r="AV44" s="658"/>
      <c r="AW44" s="554"/>
      <c r="AX44" s="662"/>
      <c r="AY44" s="739">
        <v>1</v>
      </c>
      <c r="AZ44" s="739">
        <v>1</v>
      </c>
      <c r="BA44" s="739">
        <v>1</v>
      </c>
      <c r="BB44" s="739">
        <v>1</v>
      </c>
      <c r="BC44" s="739">
        <v>1</v>
      </c>
      <c r="BD44" s="739">
        <v>1</v>
      </c>
      <c r="BE44" s="739">
        <v>1</v>
      </c>
      <c r="BF44" s="739">
        <v>1</v>
      </c>
      <c r="BG44" s="739">
        <v>1</v>
      </c>
      <c r="BH44" s="216"/>
    </row>
    <row r="45" spans="1:60" s="2" customFormat="1">
      <c r="A45" s="1044"/>
      <c r="B45" s="1110" t="s">
        <v>132</v>
      </c>
      <c r="C45" s="1106" t="s">
        <v>118</v>
      </c>
      <c r="D45" s="645" t="s">
        <v>45</v>
      </c>
      <c r="E45" s="180" t="s">
        <v>140</v>
      </c>
      <c r="F45" s="180"/>
      <c r="G45" s="180"/>
      <c r="H45" s="181" t="s">
        <v>141</v>
      </c>
      <c r="I45" s="171"/>
      <c r="J45" s="202"/>
      <c r="K45" s="243"/>
      <c r="L45" s="243"/>
      <c r="M45" s="202"/>
      <c r="N45" s="89"/>
      <c r="O45" s="740"/>
      <c r="P45" s="740"/>
      <c r="Q45" s="740"/>
      <c r="R45" s="740"/>
      <c r="S45" s="740"/>
      <c r="T45" s="740"/>
      <c r="U45" s="740"/>
      <c r="V45" s="740"/>
      <c r="W45" s="740"/>
      <c r="X45" s="663"/>
      <c r="Y45" s="202"/>
      <c r="Z45" s="362"/>
      <c r="AA45" s="740"/>
      <c r="AB45" s="740"/>
      <c r="AC45" s="740"/>
      <c r="AD45" s="740"/>
      <c r="AE45" s="740"/>
      <c r="AF45" s="740"/>
      <c r="AG45" s="740"/>
      <c r="AH45" s="740"/>
      <c r="AI45" s="740"/>
      <c r="AJ45" s="663"/>
      <c r="AK45" s="202"/>
      <c r="AL45" s="664"/>
      <c r="AM45" s="740"/>
      <c r="AN45" s="740"/>
      <c r="AO45" s="740"/>
      <c r="AP45" s="740"/>
      <c r="AQ45" s="740"/>
      <c r="AR45" s="740"/>
      <c r="AS45" s="740"/>
      <c r="AT45" s="740"/>
      <c r="AU45" s="740"/>
      <c r="AV45" s="663"/>
      <c r="AW45" s="202"/>
      <c r="AX45" s="664"/>
      <c r="AY45" s="740"/>
      <c r="AZ45" s="740"/>
      <c r="BA45" s="740"/>
      <c r="BB45" s="740"/>
      <c r="BC45" s="740"/>
      <c r="BD45" s="740"/>
      <c r="BE45" s="740"/>
      <c r="BF45" s="740"/>
      <c r="BG45" s="740"/>
      <c r="BH45" s="216"/>
    </row>
    <row r="46" spans="1:60">
      <c r="A46" s="1043"/>
      <c r="B46" s="1109" t="s">
        <v>132</v>
      </c>
      <c r="C46" s="1106" t="s">
        <v>118</v>
      </c>
      <c r="D46" s="642"/>
      <c r="E46" s="149" t="s">
        <v>142</v>
      </c>
      <c r="F46" s="149"/>
      <c r="G46" s="149"/>
      <c r="H46" s="150" t="s">
        <v>65</v>
      </c>
      <c r="I46" s="102"/>
      <c r="J46" s="616"/>
      <c r="K46" s="86"/>
      <c r="L46" s="86"/>
      <c r="M46" s="184"/>
      <c r="N46" s="88"/>
      <c r="O46" s="738"/>
      <c r="P46" s="738"/>
      <c r="Q46" s="738"/>
      <c r="R46" s="738"/>
      <c r="S46" s="738"/>
      <c r="T46" s="738"/>
      <c r="U46" s="738"/>
      <c r="V46" s="738"/>
      <c r="W46" s="738"/>
      <c r="X46" s="659"/>
      <c r="Y46" s="184"/>
      <c r="Z46" s="195"/>
      <c r="AA46" s="738"/>
      <c r="AB46" s="738"/>
      <c r="AC46" s="738"/>
      <c r="AD46" s="738"/>
      <c r="AE46" s="738"/>
      <c r="AF46" s="738"/>
      <c r="AG46" s="738"/>
      <c r="AH46" s="738"/>
      <c r="AI46" s="738"/>
      <c r="AJ46" s="659"/>
      <c r="AK46" s="184"/>
      <c r="AL46" s="661"/>
      <c r="AM46" s="738"/>
      <c r="AN46" s="738"/>
      <c r="AO46" s="738"/>
      <c r="AP46" s="738"/>
      <c r="AQ46" s="738"/>
      <c r="AR46" s="738"/>
      <c r="AS46" s="738"/>
      <c r="AT46" s="738"/>
      <c r="AU46" s="738"/>
      <c r="AV46" s="659"/>
      <c r="AW46" s="184"/>
      <c r="AX46" s="661"/>
      <c r="AY46" s="738"/>
      <c r="AZ46" s="738"/>
      <c r="BA46" s="738"/>
      <c r="BB46" s="738"/>
      <c r="BC46" s="738"/>
      <c r="BD46" s="738"/>
      <c r="BE46" s="738"/>
      <c r="BF46" s="738"/>
      <c r="BG46" s="738"/>
      <c r="BH46" s="217"/>
    </row>
    <row r="47" spans="1:60" s="2" customFormat="1">
      <c r="A47" s="1044"/>
      <c r="B47" s="1110" t="s">
        <v>132</v>
      </c>
      <c r="C47" s="1106" t="s">
        <v>118</v>
      </c>
      <c r="D47" s="639"/>
      <c r="E47" s="180" t="s">
        <v>144</v>
      </c>
      <c r="F47" s="180"/>
      <c r="G47" s="180"/>
      <c r="H47" s="181" t="s">
        <v>65</v>
      </c>
      <c r="I47" s="171"/>
      <c r="J47" s="1124"/>
      <c r="K47" s="79"/>
      <c r="L47" s="79"/>
      <c r="M47" s="554"/>
      <c r="N47" s="89"/>
      <c r="O47" s="1084" t="s">
        <v>145</v>
      </c>
      <c r="P47" s="1084" t="s">
        <v>145</v>
      </c>
      <c r="Q47" s="1084" t="s">
        <v>145</v>
      </c>
      <c r="R47" s="1084" t="s">
        <v>145</v>
      </c>
      <c r="S47" s="1084" t="s">
        <v>145</v>
      </c>
      <c r="T47" s="1084" t="s">
        <v>145</v>
      </c>
      <c r="U47" s="1084" t="s">
        <v>145</v>
      </c>
      <c r="V47" s="1084" t="s">
        <v>145</v>
      </c>
      <c r="W47" s="1084" t="s">
        <v>145</v>
      </c>
      <c r="X47" s="658"/>
      <c r="Y47" s="554"/>
      <c r="Z47" s="1120"/>
      <c r="AA47" s="1084" t="s">
        <v>145</v>
      </c>
      <c r="AB47" s="1084" t="s">
        <v>145</v>
      </c>
      <c r="AC47" s="1084" t="s">
        <v>145</v>
      </c>
      <c r="AD47" s="1084" t="s">
        <v>145</v>
      </c>
      <c r="AE47" s="1084" t="s">
        <v>145</v>
      </c>
      <c r="AF47" s="1084" t="s">
        <v>145</v>
      </c>
      <c r="AG47" s="1084" t="s">
        <v>145</v>
      </c>
      <c r="AH47" s="1084" t="s">
        <v>145</v>
      </c>
      <c r="AI47" s="1084" t="s">
        <v>145</v>
      </c>
      <c r="AJ47" s="658"/>
      <c r="AK47" s="554"/>
      <c r="AL47" s="662"/>
      <c r="AM47" s="1084" t="s">
        <v>145</v>
      </c>
      <c r="AN47" s="1084" t="s">
        <v>145</v>
      </c>
      <c r="AO47" s="1084" t="s">
        <v>145</v>
      </c>
      <c r="AP47" s="1084" t="s">
        <v>145</v>
      </c>
      <c r="AQ47" s="1084" t="s">
        <v>145</v>
      </c>
      <c r="AR47" s="1084" t="s">
        <v>145</v>
      </c>
      <c r="AS47" s="1084" t="s">
        <v>145</v>
      </c>
      <c r="AT47" s="1084" t="s">
        <v>145</v>
      </c>
      <c r="AU47" s="1084" t="s">
        <v>145</v>
      </c>
      <c r="AV47" s="658"/>
      <c r="AW47" s="554"/>
      <c r="AX47" s="662"/>
      <c r="AY47" s="1084" t="s">
        <v>145</v>
      </c>
      <c r="AZ47" s="1084" t="s">
        <v>145</v>
      </c>
      <c r="BA47" s="1084" t="s">
        <v>145</v>
      </c>
      <c r="BB47" s="1084" t="s">
        <v>145</v>
      </c>
      <c r="BC47" s="1084" t="s">
        <v>145</v>
      </c>
      <c r="BD47" s="1084" t="s">
        <v>145</v>
      </c>
      <c r="BE47" s="1084" t="s">
        <v>145</v>
      </c>
      <c r="BF47" s="1084" t="s">
        <v>145</v>
      </c>
      <c r="BG47" s="1084" t="s">
        <v>145</v>
      </c>
      <c r="BH47" s="216"/>
    </row>
    <row r="48" spans="1:60" s="2" customFormat="1">
      <c r="A48" s="1044"/>
      <c r="B48" s="1110" t="s">
        <v>132</v>
      </c>
      <c r="C48" s="1106" t="s">
        <v>118</v>
      </c>
      <c r="D48" s="645" t="s">
        <v>45</v>
      </c>
      <c r="E48" s="180" t="s">
        <v>146</v>
      </c>
      <c r="F48" s="180"/>
      <c r="G48" s="180"/>
      <c r="H48" s="181" t="s">
        <v>139</v>
      </c>
      <c r="I48" s="171"/>
      <c r="J48" s="554"/>
      <c r="K48" s="79"/>
      <c r="L48" s="79"/>
      <c r="M48" s="554"/>
      <c r="N48" s="89"/>
      <c r="O48" s="739">
        <v>0</v>
      </c>
      <c r="P48" s="739">
        <v>0</v>
      </c>
      <c r="Q48" s="739">
        <v>0</v>
      </c>
      <c r="R48" s="739">
        <v>0</v>
      </c>
      <c r="S48" s="739">
        <v>0</v>
      </c>
      <c r="T48" s="739">
        <v>0</v>
      </c>
      <c r="U48" s="739">
        <v>0</v>
      </c>
      <c r="V48" s="739">
        <v>0</v>
      </c>
      <c r="W48" s="739">
        <v>0</v>
      </c>
      <c r="X48" s="658"/>
      <c r="Y48" s="554"/>
      <c r="Z48" s="1120"/>
      <c r="AA48" s="739">
        <v>0</v>
      </c>
      <c r="AB48" s="739">
        <v>0</v>
      </c>
      <c r="AC48" s="739">
        <v>0</v>
      </c>
      <c r="AD48" s="739">
        <v>0</v>
      </c>
      <c r="AE48" s="739">
        <v>0</v>
      </c>
      <c r="AF48" s="739">
        <v>0</v>
      </c>
      <c r="AG48" s="739">
        <v>0</v>
      </c>
      <c r="AH48" s="739">
        <v>0</v>
      </c>
      <c r="AI48" s="739">
        <v>0</v>
      </c>
      <c r="AJ48" s="658"/>
      <c r="AK48" s="554"/>
      <c r="AL48" s="662"/>
      <c r="AM48" s="739">
        <v>0</v>
      </c>
      <c r="AN48" s="739">
        <v>0</v>
      </c>
      <c r="AO48" s="739">
        <v>0</v>
      </c>
      <c r="AP48" s="739">
        <v>0</v>
      </c>
      <c r="AQ48" s="739">
        <v>0</v>
      </c>
      <c r="AR48" s="739">
        <v>0</v>
      </c>
      <c r="AS48" s="739">
        <v>0</v>
      </c>
      <c r="AT48" s="739">
        <v>0</v>
      </c>
      <c r="AU48" s="739">
        <v>0</v>
      </c>
      <c r="AV48" s="658"/>
      <c r="AW48" s="554"/>
      <c r="AX48" s="662"/>
      <c r="AY48" s="739">
        <v>0</v>
      </c>
      <c r="AZ48" s="739">
        <v>0</v>
      </c>
      <c r="BA48" s="739">
        <v>0</v>
      </c>
      <c r="BB48" s="739">
        <v>0</v>
      </c>
      <c r="BC48" s="739">
        <v>0</v>
      </c>
      <c r="BD48" s="739">
        <v>0</v>
      </c>
      <c r="BE48" s="739">
        <v>0</v>
      </c>
      <c r="BF48" s="739">
        <v>0</v>
      </c>
      <c r="BG48" s="739">
        <v>0</v>
      </c>
      <c r="BH48" s="216"/>
    </row>
    <row r="49" spans="1:60" s="2" customFormat="1">
      <c r="A49" s="1044"/>
      <c r="B49" s="1110" t="s">
        <v>132</v>
      </c>
      <c r="C49" s="1106" t="s">
        <v>118</v>
      </c>
      <c r="D49" s="645" t="s">
        <v>45</v>
      </c>
      <c r="E49" s="595" t="s">
        <v>1055</v>
      </c>
      <c r="F49" s="595"/>
      <c r="G49" s="595"/>
      <c r="H49" s="1013" t="s">
        <v>1056</v>
      </c>
      <c r="I49" s="171"/>
      <c r="J49" s="769"/>
      <c r="K49" s="79"/>
      <c r="L49" s="79"/>
      <c r="M49" s="769"/>
      <c r="N49" s="243"/>
      <c r="O49" s="1125">
        <v>450</v>
      </c>
      <c r="P49" s="1125">
        <v>450</v>
      </c>
      <c r="Q49" s="1125">
        <v>450</v>
      </c>
      <c r="R49" s="1125">
        <v>450</v>
      </c>
      <c r="S49" s="1125">
        <v>450</v>
      </c>
      <c r="T49" s="1125">
        <v>450</v>
      </c>
      <c r="U49" s="1125">
        <v>450</v>
      </c>
      <c r="V49" s="1125">
        <v>450</v>
      </c>
      <c r="W49" s="1125">
        <v>450</v>
      </c>
      <c r="X49" s="658"/>
      <c r="Y49" s="769"/>
      <c r="Z49" s="1120"/>
      <c r="AA49" s="1125">
        <v>450</v>
      </c>
      <c r="AB49" s="1125">
        <v>450</v>
      </c>
      <c r="AC49" s="1125">
        <v>450</v>
      </c>
      <c r="AD49" s="1125">
        <v>450</v>
      </c>
      <c r="AE49" s="1125">
        <v>450</v>
      </c>
      <c r="AF49" s="1125">
        <v>450</v>
      </c>
      <c r="AG49" s="1125">
        <v>450</v>
      </c>
      <c r="AH49" s="1125">
        <v>450</v>
      </c>
      <c r="AI49" s="1125">
        <v>450</v>
      </c>
      <c r="AJ49" s="658"/>
      <c r="AK49" s="769"/>
      <c r="AL49" s="658"/>
      <c r="AM49" s="1125">
        <v>450</v>
      </c>
      <c r="AN49" s="1125">
        <v>450</v>
      </c>
      <c r="AO49" s="1125">
        <v>450</v>
      </c>
      <c r="AP49" s="1125">
        <v>450</v>
      </c>
      <c r="AQ49" s="1125">
        <v>450</v>
      </c>
      <c r="AR49" s="1125">
        <v>450</v>
      </c>
      <c r="AS49" s="1125">
        <v>450</v>
      </c>
      <c r="AT49" s="1125">
        <v>450</v>
      </c>
      <c r="AU49" s="1125">
        <v>450</v>
      </c>
      <c r="AV49" s="658"/>
      <c r="AW49" s="769"/>
      <c r="AX49" s="658"/>
      <c r="AY49" s="1125">
        <v>450</v>
      </c>
      <c r="AZ49" s="1125">
        <v>450</v>
      </c>
      <c r="BA49" s="1125">
        <v>450</v>
      </c>
      <c r="BB49" s="1125">
        <v>450</v>
      </c>
      <c r="BC49" s="1125">
        <v>450</v>
      </c>
      <c r="BD49" s="1125"/>
      <c r="BE49" s="1125"/>
      <c r="BF49" s="1125"/>
      <c r="BG49" s="1125"/>
      <c r="BH49" s="216"/>
    </row>
    <row r="50" spans="1:60" s="2" customFormat="1">
      <c r="A50" s="1044"/>
      <c r="B50" s="1110" t="s">
        <v>132</v>
      </c>
      <c r="C50" s="1106" t="s">
        <v>118</v>
      </c>
      <c r="D50" s="645" t="s">
        <v>45</v>
      </c>
      <c r="E50" s="1162" t="s">
        <v>1280</v>
      </c>
      <c r="F50" s="180"/>
      <c r="G50" s="180"/>
      <c r="H50" s="181" t="s">
        <v>65</v>
      </c>
      <c r="I50" s="171"/>
      <c r="J50" s="1124"/>
      <c r="K50" s="79"/>
      <c r="L50" s="79"/>
      <c r="M50" s="1084" t="s">
        <v>174</v>
      </c>
      <c r="N50" s="89"/>
      <c r="O50" s="1085"/>
      <c r="P50" s="1085"/>
      <c r="Q50" s="1085"/>
      <c r="R50" s="1085"/>
      <c r="S50" s="1085"/>
      <c r="T50" s="1085"/>
      <c r="U50" s="1085"/>
      <c r="V50" s="1085"/>
      <c r="W50" s="1085"/>
      <c r="X50" s="658"/>
      <c r="Y50" s="1084" t="s">
        <v>174</v>
      </c>
      <c r="Z50" s="89"/>
      <c r="AA50" s="1085"/>
      <c r="AB50" s="1085"/>
      <c r="AC50" s="1085"/>
      <c r="AD50" s="1085"/>
      <c r="AE50" s="1085"/>
      <c r="AF50" s="1085"/>
      <c r="AG50" s="1085"/>
      <c r="AH50" s="1085"/>
      <c r="AI50" s="1085"/>
      <c r="AJ50" s="658"/>
      <c r="AK50" s="1084" t="s">
        <v>174</v>
      </c>
      <c r="AL50" s="89"/>
      <c r="AM50" s="1085"/>
      <c r="AN50" s="1085"/>
      <c r="AO50" s="1085"/>
      <c r="AP50" s="1085"/>
      <c r="AQ50" s="1085"/>
      <c r="AR50" s="1085"/>
      <c r="AS50" s="1085"/>
      <c r="AT50" s="1085"/>
      <c r="AU50" s="1085"/>
      <c r="AV50" s="658"/>
      <c r="AW50" s="1084" t="s">
        <v>174</v>
      </c>
      <c r="AX50" s="89"/>
      <c r="AY50" s="1085"/>
      <c r="AZ50" s="1085"/>
      <c r="BA50" s="1085"/>
      <c r="BB50" s="1085"/>
      <c r="BC50" s="1085"/>
      <c r="BD50" s="1085"/>
      <c r="BE50" s="1085"/>
      <c r="BF50" s="1085"/>
      <c r="BG50" s="1085"/>
      <c r="BH50" s="216"/>
    </row>
    <row r="51" spans="1:60" s="2" customFormat="1">
      <c r="A51" s="1042"/>
      <c r="B51" s="1110" t="s">
        <v>147</v>
      </c>
      <c r="C51" s="1106" t="s">
        <v>96</v>
      </c>
      <c r="D51" s="640"/>
      <c r="E51" s="942" t="s">
        <v>148</v>
      </c>
      <c r="F51" s="942"/>
      <c r="G51" s="942"/>
      <c r="H51" s="942"/>
      <c r="I51" s="129"/>
      <c r="J51" s="943"/>
      <c r="K51" s="126"/>
      <c r="L51" s="126"/>
      <c r="M51" s="944"/>
      <c r="N51" s="153"/>
      <c r="O51" s="258" t="str">
        <f>O$17</f>
        <v/>
      </c>
      <c r="P51" s="258" t="str">
        <f t="shared" ref="P51:W51" si="46">P$17</f>
        <v/>
      </c>
      <c r="Q51" s="258" t="str">
        <f t="shared" si="46"/>
        <v/>
      </c>
      <c r="R51" s="258" t="str">
        <f t="shared" si="46"/>
        <v/>
      </c>
      <c r="S51" s="258" t="str">
        <f t="shared" si="46"/>
        <v/>
      </c>
      <c r="T51" s="258" t="str">
        <f t="shared" si="46"/>
        <v/>
      </c>
      <c r="U51" s="258" t="str">
        <f t="shared" si="46"/>
        <v/>
      </c>
      <c r="V51" s="258" t="str">
        <f t="shared" si="46"/>
        <v/>
      </c>
      <c r="W51" s="258" t="str">
        <f t="shared" si="46"/>
        <v/>
      </c>
      <c r="X51" s="1126"/>
      <c r="Y51" s="944"/>
      <c r="Z51" s="1120"/>
      <c r="AA51" s="258" t="str">
        <f>AA$17</f>
        <v/>
      </c>
      <c r="AB51" s="258" t="str">
        <f t="shared" ref="AB51:AI51" si="47">AB$17</f>
        <v/>
      </c>
      <c r="AC51" s="258" t="str">
        <f t="shared" si="47"/>
        <v/>
      </c>
      <c r="AD51" s="258" t="str">
        <f t="shared" si="47"/>
        <v/>
      </c>
      <c r="AE51" s="258" t="str">
        <f t="shared" si="47"/>
        <v/>
      </c>
      <c r="AF51" s="258" t="str">
        <f t="shared" si="47"/>
        <v/>
      </c>
      <c r="AG51" s="258" t="str">
        <f t="shared" si="47"/>
        <v/>
      </c>
      <c r="AH51" s="258" t="str">
        <f t="shared" si="47"/>
        <v/>
      </c>
      <c r="AI51" s="258" t="str">
        <f t="shared" si="47"/>
        <v/>
      </c>
      <c r="AJ51" s="1126"/>
      <c r="AK51" s="944"/>
      <c r="AL51" s="1120"/>
      <c r="AM51" s="258" t="str">
        <f>AM$17</f>
        <v/>
      </c>
      <c r="AN51" s="258" t="str">
        <f t="shared" ref="AN51:AU51" si="48">AN$17</f>
        <v/>
      </c>
      <c r="AO51" s="258" t="str">
        <f t="shared" si="48"/>
        <v/>
      </c>
      <c r="AP51" s="258" t="str">
        <f t="shared" si="48"/>
        <v/>
      </c>
      <c r="AQ51" s="258" t="str">
        <f t="shared" si="48"/>
        <v/>
      </c>
      <c r="AR51" s="258" t="str">
        <f t="shared" si="48"/>
        <v/>
      </c>
      <c r="AS51" s="258" t="str">
        <f t="shared" si="48"/>
        <v/>
      </c>
      <c r="AT51" s="258" t="str">
        <f t="shared" si="48"/>
        <v/>
      </c>
      <c r="AU51" s="258" t="str">
        <f t="shared" si="48"/>
        <v/>
      </c>
      <c r="AV51" s="1126"/>
      <c r="AW51" s="944"/>
      <c r="AX51" s="1120"/>
      <c r="AY51" s="258" t="str">
        <f>AY$17</f>
        <v/>
      </c>
      <c r="AZ51" s="258" t="str">
        <f t="shared" ref="AZ51:BG51" si="49">AZ$17</f>
        <v/>
      </c>
      <c r="BA51" s="258" t="str">
        <f t="shared" si="49"/>
        <v/>
      </c>
      <c r="BB51" s="258" t="str">
        <f t="shared" si="49"/>
        <v/>
      </c>
      <c r="BC51" s="258" t="str">
        <f t="shared" si="49"/>
        <v/>
      </c>
      <c r="BD51" s="258" t="str">
        <f t="shared" si="49"/>
        <v/>
      </c>
      <c r="BE51" s="258" t="str">
        <f t="shared" si="49"/>
        <v/>
      </c>
      <c r="BF51" s="258" t="str">
        <f t="shared" si="49"/>
        <v/>
      </c>
      <c r="BG51" s="258" t="str">
        <f t="shared" si="49"/>
        <v/>
      </c>
      <c r="BH51" s="174"/>
    </row>
    <row r="52" spans="1:60" s="2" customFormat="1">
      <c r="A52" s="1044"/>
      <c r="B52" s="1110" t="s">
        <v>132</v>
      </c>
      <c r="C52" s="1106" t="s">
        <v>118</v>
      </c>
      <c r="D52" s="639"/>
      <c r="E52" s="180" t="s">
        <v>149</v>
      </c>
      <c r="F52" s="180"/>
      <c r="G52" s="180"/>
      <c r="H52" s="181" t="s">
        <v>65</v>
      </c>
      <c r="I52" s="104"/>
      <c r="J52" s="1222" t="str">
        <f>IF(COUNTIF(N52:X52,"nee")&gt;0,"nee: locatie 1",
IF(COUNTIF(Z52:AJ52,"nee")&gt;0,"nee: locatie 2",
IF(COUNTIF(AL52:AV52,"nee")&gt;0,"nee: locatie 3",
IF(COUNTIF(AX52:BH52,"nee")&gt;0,"nee: locatie 4",
"ja"))))</f>
        <v>ja</v>
      </c>
      <c r="K52" s="1054"/>
      <c r="L52" s="1054"/>
      <c r="M52" s="1222" t="str">
        <f>IF(COUNTIF(N52:X52,"nee")&gt;0,"nee","ja")</f>
        <v>ja</v>
      </c>
      <c r="N52" s="1127"/>
      <c r="O52" s="665" t="str">
        <f t="shared" ref="O52:W52" si="50">IF(OR(O$17="",O$22=0),"",IF(OR(O$38="",O$40="",AND(O$40&lt;&gt;ventilatie_A,O$41=""),AND(O49=""),O$44="",AND(O$19&lt;&gt;woning,O$19&lt;&gt;woongebouw,O$45=""),AND(O$19&lt;&gt;woning,O$19&lt;&gt;woongebouw,O$46=""),AND(OR(O$19=woning,O$19=woongebouw),O$47=""),O$48=""),"nee","ja"))</f>
        <v/>
      </c>
      <c r="P52" s="665" t="str">
        <f t="shared" si="50"/>
        <v/>
      </c>
      <c r="Q52" s="665" t="str">
        <f t="shared" si="50"/>
        <v/>
      </c>
      <c r="R52" s="665" t="str">
        <f t="shared" si="50"/>
        <v/>
      </c>
      <c r="S52" s="665" t="str">
        <f t="shared" si="50"/>
        <v/>
      </c>
      <c r="T52" s="665" t="str">
        <f t="shared" si="50"/>
        <v/>
      </c>
      <c r="U52" s="665" t="str">
        <f t="shared" si="50"/>
        <v/>
      </c>
      <c r="V52" s="665" t="str">
        <f t="shared" si="50"/>
        <v/>
      </c>
      <c r="W52" s="665" t="str">
        <f t="shared" si="50"/>
        <v/>
      </c>
      <c r="X52" s="666"/>
      <c r="Y52" s="1222" t="str">
        <f>IF(COUNTIF(Z52:AJ52,"nee")&gt;0,"nee","ja")</f>
        <v>ja</v>
      </c>
      <c r="Z52" s="1120"/>
      <c r="AA52" s="665" t="str">
        <f t="shared" ref="AA52:AI52" si="51">IF(OR(AA$17="",AA$22=0),"",IF(OR(AA$38="",AA$40="",AND(AA$40&lt;&gt;ventilatie_A,AA$41=""),AND(AA$49=""),AA$44="",AND(AA$19&lt;&gt;woning,AA$19&lt;&gt;woongebouw,AA$45=""),AND(AA$19&lt;&gt;woning,AA$19&lt;&gt;woongebouw,AA$46=""),AND(OR(AA$19=woning,AA$19=woongebouw),AA$47=""),AA$48=""),"nee","ja"))</f>
        <v/>
      </c>
      <c r="AB52" s="665" t="str">
        <f t="shared" si="51"/>
        <v/>
      </c>
      <c r="AC52" s="665" t="str">
        <f t="shared" si="51"/>
        <v/>
      </c>
      <c r="AD52" s="665" t="str">
        <f t="shared" si="51"/>
        <v/>
      </c>
      <c r="AE52" s="665" t="str">
        <f t="shared" si="51"/>
        <v/>
      </c>
      <c r="AF52" s="665" t="str">
        <f t="shared" si="51"/>
        <v/>
      </c>
      <c r="AG52" s="665" t="str">
        <f t="shared" si="51"/>
        <v/>
      </c>
      <c r="AH52" s="665" t="str">
        <f t="shared" si="51"/>
        <v/>
      </c>
      <c r="AI52" s="665" t="str">
        <f t="shared" si="51"/>
        <v/>
      </c>
      <c r="AJ52" s="666"/>
      <c r="AK52" s="1222" t="str">
        <f>IF(COUNTIF(AL52:AV52,"nee")&gt;0,"nee","ja")</f>
        <v>ja</v>
      </c>
      <c r="AL52" s="667"/>
      <c r="AM52" s="665" t="str">
        <f t="shared" ref="AM52:AU52" si="52">IF(OR(AM$17="",AM$22=0),"",IF(OR(AM$38="",AM$40="",AND(AM$40&lt;&gt;ventilatie_A,AM$41=""),AND(AM$49=""),AM$44="",AND(AM$19&lt;&gt;woning,AM$19&lt;&gt;woongebouw,AM$45=""),AND(AM$19&lt;&gt;woning,AM$19&lt;&gt;woongebouw,AM$46=""),AND(OR(AM$19=woning,AM$19=woongebouw),AM$47=""),AM$48=""),"nee","ja"))</f>
        <v/>
      </c>
      <c r="AN52" s="665" t="str">
        <f t="shared" si="52"/>
        <v/>
      </c>
      <c r="AO52" s="665" t="str">
        <f t="shared" si="52"/>
        <v/>
      </c>
      <c r="AP52" s="665" t="str">
        <f t="shared" si="52"/>
        <v/>
      </c>
      <c r="AQ52" s="665" t="str">
        <f t="shared" si="52"/>
        <v/>
      </c>
      <c r="AR52" s="665" t="str">
        <f t="shared" si="52"/>
        <v/>
      </c>
      <c r="AS52" s="665" t="str">
        <f t="shared" si="52"/>
        <v/>
      </c>
      <c r="AT52" s="665" t="str">
        <f t="shared" si="52"/>
        <v/>
      </c>
      <c r="AU52" s="665" t="str">
        <f t="shared" si="52"/>
        <v/>
      </c>
      <c r="AV52" s="666"/>
      <c r="AW52" s="1222" t="str">
        <f>IF(COUNTIF(AX52:BH52,"nee")&gt;0,"nee","ja")</f>
        <v>ja</v>
      </c>
      <c r="AX52" s="667"/>
      <c r="AY52" s="665" t="str">
        <f t="shared" ref="AY52:BG52" si="53">IF(OR(AY$17="",AY$22=0),"",IF(OR(AY$38="",AY$40="",AND(AY$40&lt;&gt;ventilatie_A,AY$41=""),AND(AY$49=""),AY$44="",AND(AY$19&lt;&gt;woning,AY$19&lt;&gt;woongebouw,AY$45=""),AND(AY$19&lt;&gt;woning,AY$19&lt;&gt;woongebouw,AY$46=""),AND(OR(AY$19=woning,AY$19=woongebouw),AY$47=""),AY$48=""),"nee","ja"))</f>
        <v/>
      </c>
      <c r="AZ52" s="665" t="str">
        <f t="shared" si="53"/>
        <v/>
      </c>
      <c r="BA52" s="665" t="str">
        <f t="shared" si="53"/>
        <v/>
      </c>
      <c r="BB52" s="665" t="str">
        <f t="shared" si="53"/>
        <v/>
      </c>
      <c r="BC52" s="665" t="str">
        <f t="shared" si="53"/>
        <v/>
      </c>
      <c r="BD52" s="665" t="str">
        <f t="shared" si="53"/>
        <v/>
      </c>
      <c r="BE52" s="665" t="str">
        <f t="shared" si="53"/>
        <v/>
      </c>
      <c r="BF52" s="665" t="str">
        <f t="shared" si="53"/>
        <v/>
      </c>
      <c r="BG52" s="665" t="str">
        <f t="shared" si="53"/>
        <v/>
      </c>
      <c r="BH52" s="216"/>
    </row>
    <row r="53" spans="1:60" s="2" customFormat="1">
      <c r="A53" s="1042"/>
      <c r="B53" s="1110" t="s">
        <v>147</v>
      </c>
      <c r="C53" s="1106" t="s">
        <v>96</v>
      </c>
      <c r="D53" s="640"/>
      <c r="E53" s="942" t="s">
        <v>150</v>
      </c>
      <c r="F53" s="942"/>
      <c r="G53" s="942"/>
      <c r="H53" s="942"/>
      <c r="I53" s="129"/>
      <c r="J53" s="943"/>
      <c r="K53" s="126"/>
      <c r="L53" s="126"/>
      <c r="M53" s="944"/>
      <c r="N53" s="153"/>
      <c r="O53" s="258" t="str">
        <f>O$17</f>
        <v/>
      </c>
      <c r="P53" s="258" t="str">
        <f t="shared" ref="P53:W53" si="54">P$17</f>
        <v/>
      </c>
      <c r="Q53" s="258" t="str">
        <f t="shared" si="54"/>
        <v/>
      </c>
      <c r="R53" s="258" t="str">
        <f t="shared" si="54"/>
        <v/>
      </c>
      <c r="S53" s="258" t="str">
        <f t="shared" si="54"/>
        <v/>
      </c>
      <c r="T53" s="258" t="str">
        <f t="shared" si="54"/>
        <v/>
      </c>
      <c r="U53" s="258" t="str">
        <f t="shared" si="54"/>
        <v/>
      </c>
      <c r="V53" s="258" t="str">
        <f t="shared" si="54"/>
        <v/>
      </c>
      <c r="W53" s="258" t="str">
        <f t="shared" si="54"/>
        <v/>
      </c>
      <c r="X53" s="153"/>
      <c r="Y53" s="944"/>
      <c r="Z53" s="1120"/>
      <c r="AA53" s="258" t="str">
        <f>AA$17</f>
        <v/>
      </c>
      <c r="AB53" s="258" t="str">
        <f t="shared" ref="AB53:AI53" si="55">AB$17</f>
        <v/>
      </c>
      <c r="AC53" s="258" t="str">
        <f t="shared" si="55"/>
        <v/>
      </c>
      <c r="AD53" s="258" t="str">
        <f t="shared" si="55"/>
        <v/>
      </c>
      <c r="AE53" s="258" t="str">
        <f t="shared" si="55"/>
        <v/>
      </c>
      <c r="AF53" s="258" t="str">
        <f t="shared" si="55"/>
        <v/>
      </c>
      <c r="AG53" s="258" t="str">
        <f t="shared" si="55"/>
        <v/>
      </c>
      <c r="AH53" s="258" t="str">
        <f t="shared" si="55"/>
        <v/>
      </c>
      <c r="AI53" s="258" t="str">
        <f t="shared" si="55"/>
        <v/>
      </c>
      <c r="AJ53" s="1126"/>
      <c r="AK53" s="944"/>
      <c r="AL53" s="1120"/>
      <c r="AM53" s="258" t="str">
        <f>AM$17</f>
        <v/>
      </c>
      <c r="AN53" s="258" t="str">
        <f t="shared" ref="AN53:AU53" si="56">AN$17</f>
        <v/>
      </c>
      <c r="AO53" s="258" t="str">
        <f t="shared" si="56"/>
        <v/>
      </c>
      <c r="AP53" s="258" t="str">
        <f t="shared" si="56"/>
        <v/>
      </c>
      <c r="AQ53" s="258" t="str">
        <f t="shared" si="56"/>
        <v/>
      </c>
      <c r="AR53" s="258" t="str">
        <f t="shared" si="56"/>
        <v/>
      </c>
      <c r="AS53" s="258" t="str">
        <f t="shared" si="56"/>
        <v/>
      </c>
      <c r="AT53" s="258" t="str">
        <f t="shared" si="56"/>
        <v/>
      </c>
      <c r="AU53" s="258" t="str">
        <f t="shared" si="56"/>
        <v/>
      </c>
      <c r="AV53" s="1126"/>
      <c r="AW53" s="944"/>
      <c r="AX53" s="1120"/>
      <c r="AY53" s="258" t="str">
        <f>AY$17</f>
        <v/>
      </c>
      <c r="AZ53" s="258" t="str">
        <f t="shared" ref="AZ53:BG53" si="57">AZ$17</f>
        <v/>
      </c>
      <c r="BA53" s="258" t="str">
        <f t="shared" si="57"/>
        <v/>
      </c>
      <c r="BB53" s="258" t="str">
        <f t="shared" si="57"/>
        <v/>
      </c>
      <c r="BC53" s="258" t="str">
        <f t="shared" si="57"/>
        <v/>
      </c>
      <c r="BD53" s="258" t="str">
        <f t="shared" si="57"/>
        <v/>
      </c>
      <c r="BE53" s="258" t="str">
        <f t="shared" si="57"/>
        <v/>
      </c>
      <c r="BF53" s="258" t="str">
        <f t="shared" si="57"/>
        <v/>
      </c>
      <c r="BG53" s="258" t="str">
        <f t="shared" si="57"/>
        <v/>
      </c>
      <c r="BH53" s="174"/>
    </row>
    <row r="54" spans="1:60" s="2" customFormat="1">
      <c r="A54" s="1044"/>
      <c r="B54" s="1110" t="s">
        <v>132</v>
      </c>
      <c r="C54" s="1106" t="s">
        <v>118</v>
      </c>
      <c r="D54" s="639"/>
      <c r="E54" s="180" t="s">
        <v>151</v>
      </c>
      <c r="F54" s="180"/>
      <c r="G54" s="180"/>
      <c r="H54" s="181" t="s">
        <v>152</v>
      </c>
      <c r="I54" s="104"/>
      <c r="J54" s="554"/>
      <c r="K54" s="1055"/>
      <c r="L54" s="1055"/>
      <c r="M54" s="554"/>
      <c r="N54" s="89"/>
      <c r="O54" s="872" t="str">
        <f ca="1">IF(OR(O$17="",O$38=""),"",
SUMPRODUCT(
OFFSET(bibliotheek!$H$26,0,MATCH(O$17,woningen_gebouwen_namen,0)-1,ROWS(bibliotheek!$I$26:$I$31),1),
OFFSET(bibliotheek!$H$47,0,MATCH(O$38,isolatiepakketten_gebouwschil_namen,0)-1,ROWS(bibliotheek!$I$26:$I$31),1)) /
HLOOKUP(O$17,woningen_gebouwen_gegevens,ROWS(bibliotheek!$E$20:$E$32),FALSE))</f>
        <v/>
      </c>
      <c r="P54" s="872" t="str">
        <f ca="1">IF(OR(P$17="",P$38=""),"",
SUMPRODUCT(
OFFSET(bibliotheek!$H$26,0,MATCH(P$17,woningen_gebouwen_namen,0)-1,ROWS(bibliotheek!$I$26:$I$31),1),
OFFSET(bibliotheek!$H$47,0,MATCH(P$38,isolatiepakketten_gebouwschil_namen,0)-1,ROWS(bibliotheek!$I$26:$I$31),1)) /
HLOOKUP(P$17,woningen_gebouwen_gegevens,ROWS(bibliotheek!$E$20:$E$32),FALSE))</f>
        <v/>
      </c>
      <c r="Q54" s="872" t="str">
        <f ca="1">IF(OR(Q$17="",Q$38=""),"",
SUMPRODUCT(
OFFSET(bibliotheek!$H$26,0,MATCH(Q$17,woningen_gebouwen_namen,0)-1,ROWS(bibliotheek!$I$26:$I$31),1),
OFFSET(bibliotheek!$H$47,0,MATCH(Q$38,isolatiepakketten_gebouwschil_namen,0)-1,ROWS(bibliotheek!$I$26:$I$31),1)) /
HLOOKUP(Q$17,woningen_gebouwen_gegevens,ROWS(bibliotheek!$E$20:$E$32),FALSE))</f>
        <v/>
      </c>
      <c r="R54" s="872" t="str">
        <f ca="1">IF(OR(R$17="",R$38=""),"",
SUMPRODUCT(
OFFSET(bibliotheek!$H$26,0,MATCH(R$17,woningen_gebouwen_namen,0)-1,ROWS(bibliotheek!$I$26:$I$31),1),
OFFSET(bibliotheek!$H$47,0,MATCH(R$38,isolatiepakketten_gebouwschil_namen,0)-1,ROWS(bibliotheek!$I$26:$I$31),1)) /
HLOOKUP(R$17,woningen_gebouwen_gegevens,ROWS(bibliotheek!$E$20:$E$32),FALSE))</f>
        <v/>
      </c>
      <c r="S54" s="872" t="str">
        <f ca="1">IF(OR(S$17="",S$38=""),"",
SUMPRODUCT(
OFFSET(bibliotheek!$H$26,0,MATCH(S$17,woningen_gebouwen_namen,0)-1,ROWS(bibliotheek!$I$26:$I$31),1),
OFFSET(bibliotheek!$H$47,0,MATCH(S$38,isolatiepakketten_gebouwschil_namen,0)-1,ROWS(bibliotheek!$I$26:$I$31),1)) /
HLOOKUP(S$17,woningen_gebouwen_gegevens,ROWS(bibliotheek!$E$20:$E$32),FALSE))</f>
        <v/>
      </c>
      <c r="T54" s="872" t="str">
        <f ca="1">IF(OR(T$17="",T$38=""),"",
SUMPRODUCT(
OFFSET(bibliotheek!$H$26,0,MATCH(T$17,woningen_gebouwen_namen,0)-1,ROWS(bibliotheek!$I$26:$I$31),1),
OFFSET(bibliotheek!$H$47,0,MATCH(T$38,isolatiepakketten_gebouwschil_namen,0)-1,ROWS(bibliotheek!$I$26:$I$31),1)) /
HLOOKUP(T$17,woningen_gebouwen_gegevens,ROWS(bibliotheek!$E$20:$E$32),FALSE))</f>
        <v/>
      </c>
      <c r="U54" s="872" t="str">
        <f ca="1">IF(OR(U$17="",U$38=""),"",
SUMPRODUCT(
OFFSET(bibliotheek!$H$26,0,MATCH(U$17,woningen_gebouwen_namen,0)-1,ROWS(bibliotheek!$I$26:$I$31),1),
OFFSET(bibliotheek!$H$47,0,MATCH(U$38,isolatiepakketten_gebouwschil_namen,0)-1,ROWS(bibliotheek!$I$26:$I$31),1)) /
HLOOKUP(U$17,woningen_gebouwen_gegevens,ROWS(bibliotheek!$E$20:$E$32),FALSE))</f>
        <v/>
      </c>
      <c r="V54" s="872" t="str">
        <f ca="1">IF(OR(V$17="",V$38=""),"",
SUMPRODUCT(
OFFSET(bibliotheek!$H$26,0,MATCH(V$17,woningen_gebouwen_namen,0)-1,ROWS(bibliotheek!$I$26:$I$31),1),
OFFSET(bibliotheek!$H$47,0,MATCH(V$38,isolatiepakketten_gebouwschil_namen,0)-1,ROWS(bibliotheek!$I$26:$I$31),1)) /
HLOOKUP(V$17,woningen_gebouwen_gegevens,ROWS(bibliotheek!$E$20:$E$32),FALSE))</f>
        <v/>
      </c>
      <c r="W54" s="872" t="str">
        <f ca="1">IF(OR(W$17="",W$38=""),"",
SUMPRODUCT(
OFFSET(bibliotheek!$H$26,0,MATCH(W$17,woningen_gebouwen_namen,0)-1,ROWS(bibliotheek!$I$26:$I$31),1),
OFFSET(bibliotheek!$H$47,0,MATCH(W$38,isolatiepakketten_gebouwschil_namen,0)-1,ROWS(bibliotheek!$I$26:$I$31),1)) /
HLOOKUP(W$17,woningen_gebouwen_gegevens,ROWS(bibliotheek!$E$20:$E$32),FALSE))</f>
        <v/>
      </c>
      <c r="X54" s="172"/>
      <c r="Y54" s="554"/>
      <c r="Z54" s="1120"/>
      <c r="AA54" s="196" t="str">
        <f ca="1">IF(OR(AA$17="",AA$38=""),"",
SUMPRODUCT(
OFFSET(bibliotheek!$H$26,0,MATCH(AA$17,woningen_gebouwen_namen,0)-1,ROWS(bibliotheek!$I$26:$I$31),1),
OFFSET(bibliotheek!$H$47,0,MATCH(AA$38,isolatiepakketten_gebouwschil_namen,0)-1,ROWS(bibliotheek!$I$26:$I$31),1)) /
HLOOKUP(AA$17,woningen_gebouwen_gegevens,ROWS(bibliotheek!$E$20:$E$32),FALSE))</f>
        <v/>
      </c>
      <c r="AB54" s="196" t="str">
        <f ca="1">IF(OR(AB$17="",AB$38=""),"",
SUMPRODUCT(
OFFSET(bibliotheek!$H$26,0,MATCH(AB$17,woningen_gebouwen_namen,0)-1,ROWS(bibliotheek!$I$26:$I$31),1),
OFFSET(bibliotheek!$H$47,0,MATCH(AB$38,isolatiepakketten_gebouwschil_namen,0)-1,ROWS(bibliotheek!$I$26:$I$31),1)) /
HLOOKUP(AB$17,woningen_gebouwen_gegevens,ROWS(bibliotheek!$E$20:$E$32),FALSE))</f>
        <v/>
      </c>
      <c r="AC54" s="196" t="str">
        <f ca="1">IF(OR(AC$17="",AC$38=""),"",
SUMPRODUCT(
OFFSET(bibliotheek!$H$26,0,MATCH(AC$17,woningen_gebouwen_namen,0)-1,ROWS(bibliotheek!$I$26:$I$31),1),
OFFSET(bibliotheek!$H$47,0,MATCH(AC$38,isolatiepakketten_gebouwschil_namen,0)-1,ROWS(bibliotheek!$I$26:$I$31),1)) /
HLOOKUP(AC$17,woningen_gebouwen_gegevens,ROWS(bibliotheek!$E$20:$E$32),FALSE))</f>
        <v/>
      </c>
      <c r="AD54" s="196" t="str">
        <f ca="1">IF(OR(AD$17="",AD$38=""),"",
SUMPRODUCT(
OFFSET(bibliotheek!$H$26,0,MATCH(AD$17,woningen_gebouwen_namen,0)-1,ROWS(bibliotheek!$I$26:$I$31),1),
OFFSET(bibliotheek!$H$47,0,MATCH(AD$38,isolatiepakketten_gebouwschil_namen,0)-1,ROWS(bibliotheek!$I$26:$I$31),1)) /
HLOOKUP(AD$17,woningen_gebouwen_gegevens,ROWS(bibliotheek!$E$20:$E$32),FALSE))</f>
        <v/>
      </c>
      <c r="AE54" s="196" t="str">
        <f ca="1">IF(OR(AE$17="",AE$38=""),"",
SUMPRODUCT(
OFFSET(bibliotheek!$H$26,0,MATCH(AE$17,woningen_gebouwen_namen,0)-1,ROWS(bibliotheek!$I$26:$I$31),1),
OFFSET(bibliotheek!$H$47,0,MATCH(AE$38,isolatiepakketten_gebouwschil_namen,0)-1,ROWS(bibliotheek!$I$26:$I$31),1)) /
HLOOKUP(AE$17,woningen_gebouwen_gegevens,ROWS(bibliotheek!$E$20:$E$32),FALSE))</f>
        <v/>
      </c>
      <c r="AF54" s="196" t="str">
        <f ca="1">IF(OR(AF$17="",AF$38=""),"",
SUMPRODUCT(
OFFSET(bibliotheek!$H$26,0,MATCH(AF$17,woningen_gebouwen_namen,0)-1,ROWS(bibliotheek!$I$26:$I$31),1),
OFFSET(bibliotheek!$H$47,0,MATCH(AF$38,isolatiepakketten_gebouwschil_namen,0)-1,ROWS(bibliotheek!$I$26:$I$31),1)) /
HLOOKUP(AF$17,woningen_gebouwen_gegevens,ROWS(bibliotheek!$E$20:$E$32),FALSE))</f>
        <v/>
      </c>
      <c r="AG54" s="196" t="str">
        <f ca="1">IF(OR(AG$17="",AG$38=""),"",
SUMPRODUCT(
OFFSET(bibliotheek!$H$26,0,MATCH(AG$17,woningen_gebouwen_namen,0)-1,ROWS(bibliotheek!$I$26:$I$31),1),
OFFSET(bibliotheek!$H$47,0,MATCH(AG$38,isolatiepakketten_gebouwschil_namen,0)-1,ROWS(bibliotheek!$I$26:$I$31),1)) /
HLOOKUP(AG$17,woningen_gebouwen_gegevens,ROWS(bibliotheek!$E$20:$E$32),FALSE))</f>
        <v/>
      </c>
      <c r="AH54" s="196" t="str">
        <f ca="1">IF(OR(AH$17="",AH$38=""),"",
SUMPRODUCT(
OFFSET(bibliotheek!$H$26,0,MATCH(AH$17,woningen_gebouwen_namen,0)-1,ROWS(bibliotheek!$I$26:$I$31),1),
OFFSET(bibliotheek!$H$47,0,MATCH(AH$38,isolatiepakketten_gebouwschil_namen,0)-1,ROWS(bibliotheek!$I$26:$I$31),1)) /
HLOOKUP(AH$17,woningen_gebouwen_gegevens,ROWS(bibliotheek!$E$20:$E$32),FALSE))</f>
        <v/>
      </c>
      <c r="AI54" s="196" t="str">
        <f ca="1">IF(OR(AI$17="",AI$38=""),"",
SUMPRODUCT(
OFFSET(bibliotheek!$H$26,0,MATCH(AI$17,woningen_gebouwen_namen,0)-1,ROWS(bibliotheek!$I$26:$I$31),1),
OFFSET(bibliotheek!$H$47,0,MATCH(AI$38,isolatiepakketten_gebouwschil_namen,0)-1,ROWS(bibliotheek!$I$26:$I$31),1)) /
HLOOKUP(AI$17,woningen_gebouwen_gegevens,ROWS(bibliotheek!$E$20:$E$32),FALSE))</f>
        <v/>
      </c>
      <c r="AJ54" s="172"/>
      <c r="AK54" s="554"/>
      <c r="AL54" s="173"/>
      <c r="AM54" s="196" t="str">
        <f ca="1">IF(OR(AM$17="",AM$38=""),"",
SUMPRODUCT(
OFFSET(bibliotheek!$H$26,0,MATCH(AM$17,woningen_gebouwen_namen,0)-1,ROWS(bibliotheek!$I$26:$I$31),1),
OFFSET(bibliotheek!$H$47,0,MATCH(AM$38,isolatiepakketten_gebouwschil_namen,0)-1,ROWS(bibliotheek!$I$26:$I$31),1)) /
HLOOKUP(AM$17,woningen_gebouwen_gegevens,ROWS(bibliotheek!$E$20:$E$32),FALSE))</f>
        <v/>
      </c>
      <c r="AN54" s="196" t="str">
        <f ca="1">IF(OR(AN$17="",AN$38=""),"",
SUMPRODUCT(
OFFSET(bibliotheek!$H$26,0,MATCH(AN$17,woningen_gebouwen_namen,0)-1,ROWS(bibliotheek!$I$26:$I$31),1),
OFFSET(bibliotheek!$H$47,0,MATCH(AN$38,isolatiepakketten_gebouwschil_namen,0)-1,ROWS(bibliotheek!$I$26:$I$31),1)) /
HLOOKUP(AN$17,woningen_gebouwen_gegevens,ROWS(bibliotheek!$E$20:$E$32),FALSE))</f>
        <v/>
      </c>
      <c r="AO54" s="196" t="str">
        <f ca="1">IF(OR(AO$17="",AO$38=""),"",
SUMPRODUCT(
OFFSET(bibliotheek!$H$26,0,MATCH(AO$17,woningen_gebouwen_namen,0)-1,ROWS(bibliotheek!$I$26:$I$31),1),
OFFSET(bibliotheek!$H$47,0,MATCH(AO$38,isolatiepakketten_gebouwschil_namen,0)-1,ROWS(bibliotheek!$I$26:$I$31),1)) /
HLOOKUP(AO$17,woningen_gebouwen_gegevens,ROWS(bibliotheek!$E$20:$E$32),FALSE))</f>
        <v/>
      </c>
      <c r="AP54" s="196" t="str">
        <f ca="1">IF(OR(AP$17="",AP$38=""),"",
SUMPRODUCT(
OFFSET(bibliotheek!$H$26,0,MATCH(AP$17,woningen_gebouwen_namen,0)-1,ROWS(bibliotheek!$I$26:$I$31),1),
OFFSET(bibliotheek!$H$47,0,MATCH(AP$38,isolatiepakketten_gebouwschil_namen,0)-1,ROWS(bibliotheek!$I$26:$I$31),1)) /
HLOOKUP(AP$17,woningen_gebouwen_gegevens,ROWS(bibliotheek!$E$20:$E$32),FALSE))</f>
        <v/>
      </c>
      <c r="AQ54" s="196" t="str">
        <f ca="1">IF(OR(AQ$17="",AQ$38=""),"",
SUMPRODUCT(
OFFSET(bibliotheek!$H$26,0,MATCH(AQ$17,woningen_gebouwen_namen,0)-1,ROWS(bibliotheek!$I$26:$I$31),1),
OFFSET(bibliotheek!$H$47,0,MATCH(AQ$38,isolatiepakketten_gebouwschil_namen,0)-1,ROWS(bibliotheek!$I$26:$I$31),1)) /
HLOOKUP(AQ$17,woningen_gebouwen_gegevens,ROWS(bibliotheek!$E$20:$E$32),FALSE))</f>
        <v/>
      </c>
      <c r="AR54" s="196" t="str">
        <f ca="1">IF(OR(AR$17="",AR$38=""),"",
SUMPRODUCT(
OFFSET(bibliotheek!$H$26,0,MATCH(AR$17,woningen_gebouwen_namen,0)-1,ROWS(bibliotheek!$I$26:$I$31),1),
OFFSET(bibliotheek!$H$47,0,MATCH(AR$38,isolatiepakketten_gebouwschil_namen,0)-1,ROWS(bibliotheek!$I$26:$I$31),1)) /
HLOOKUP(AR$17,woningen_gebouwen_gegevens,ROWS(bibliotheek!$E$20:$E$32),FALSE))</f>
        <v/>
      </c>
      <c r="AS54" s="196" t="str">
        <f ca="1">IF(OR(AS$17="",AS$38=""),"",
SUMPRODUCT(
OFFSET(bibliotheek!$H$26,0,MATCH(AS$17,woningen_gebouwen_namen,0)-1,ROWS(bibliotheek!$I$26:$I$31),1),
OFFSET(bibliotheek!$H$47,0,MATCH(AS$38,isolatiepakketten_gebouwschil_namen,0)-1,ROWS(bibliotheek!$I$26:$I$31),1)) /
HLOOKUP(AS$17,woningen_gebouwen_gegevens,ROWS(bibliotheek!$E$20:$E$32),FALSE))</f>
        <v/>
      </c>
      <c r="AT54" s="196" t="str">
        <f ca="1">IF(OR(AT$17="",AT$38=""),"",
SUMPRODUCT(
OFFSET(bibliotheek!$H$26,0,MATCH(AT$17,woningen_gebouwen_namen,0)-1,ROWS(bibliotheek!$I$26:$I$31),1),
OFFSET(bibliotheek!$H$47,0,MATCH(AT$38,isolatiepakketten_gebouwschil_namen,0)-1,ROWS(bibliotheek!$I$26:$I$31),1)) /
HLOOKUP(AT$17,woningen_gebouwen_gegevens,ROWS(bibliotheek!$E$20:$E$32),FALSE))</f>
        <v/>
      </c>
      <c r="AU54" s="196" t="str">
        <f ca="1">IF(OR(AU$17="",AU$38=""),"",
SUMPRODUCT(
OFFSET(bibliotheek!$H$26,0,MATCH(AU$17,woningen_gebouwen_namen,0)-1,ROWS(bibliotheek!$I$26:$I$31),1),
OFFSET(bibliotheek!$H$47,0,MATCH(AU$38,isolatiepakketten_gebouwschil_namen,0)-1,ROWS(bibliotheek!$I$26:$I$31),1)) /
HLOOKUP(AU$17,woningen_gebouwen_gegevens,ROWS(bibliotheek!$E$20:$E$32),FALSE))</f>
        <v/>
      </c>
      <c r="AV54" s="172"/>
      <c r="AW54" s="554"/>
      <c r="AX54" s="173"/>
      <c r="AY54" s="196" t="str">
        <f ca="1">IF(OR(AY$17="",AY$38=""),"",
SUMPRODUCT(
OFFSET(bibliotheek!$H$26,0,MATCH(AY$17,woningen_gebouwen_namen,0)-1,ROWS(bibliotheek!$I$26:$I$31),1),
OFFSET(bibliotheek!$H$47,0,MATCH(AY$38,isolatiepakketten_gebouwschil_namen,0)-1,ROWS(bibliotheek!$I$26:$I$31),1)) /
HLOOKUP(AY$17,woningen_gebouwen_gegevens,ROWS(bibliotheek!$E$20:$E$32),FALSE))</f>
        <v/>
      </c>
      <c r="AZ54" s="196" t="str">
        <f ca="1">IF(OR(AZ$17="",AZ$38=""),"",
SUMPRODUCT(
OFFSET(bibliotheek!$H$26,0,MATCH(AZ$17,woningen_gebouwen_namen,0)-1,ROWS(bibliotheek!$I$26:$I$31),1),
OFFSET(bibliotheek!$H$47,0,MATCH(AZ$38,isolatiepakketten_gebouwschil_namen,0)-1,ROWS(bibliotheek!$I$26:$I$31),1)) /
HLOOKUP(AZ$17,woningen_gebouwen_gegevens,ROWS(bibliotheek!$E$20:$E$32),FALSE))</f>
        <v/>
      </c>
      <c r="BA54" s="196" t="str">
        <f ca="1">IF(OR(BA$17="",BA$38=""),"",
SUMPRODUCT(
OFFSET(bibliotheek!$H$26,0,MATCH(BA$17,woningen_gebouwen_namen,0)-1,ROWS(bibliotheek!$I$26:$I$31),1),
OFFSET(bibliotheek!$H$47,0,MATCH(BA$38,isolatiepakketten_gebouwschil_namen,0)-1,ROWS(bibliotheek!$I$26:$I$31),1)) /
HLOOKUP(BA$17,woningen_gebouwen_gegevens,ROWS(bibliotheek!$E$20:$E$32),FALSE))</f>
        <v/>
      </c>
      <c r="BB54" s="196" t="str">
        <f ca="1">IF(OR(BB$17="",BB$38=""),"",
SUMPRODUCT(
OFFSET(bibliotheek!$H$26,0,MATCH(BB$17,woningen_gebouwen_namen,0)-1,ROWS(bibliotheek!$I$26:$I$31),1),
OFFSET(bibliotheek!$H$47,0,MATCH(BB$38,isolatiepakketten_gebouwschil_namen,0)-1,ROWS(bibliotheek!$I$26:$I$31),1)) /
HLOOKUP(BB$17,woningen_gebouwen_gegevens,ROWS(bibliotheek!$E$20:$E$32),FALSE))</f>
        <v/>
      </c>
      <c r="BC54" s="196" t="str">
        <f ca="1">IF(OR(BC$17="",BC$38=""),"",
SUMPRODUCT(
OFFSET(bibliotheek!$H$26,0,MATCH(BC$17,woningen_gebouwen_namen,0)-1,ROWS(bibliotheek!$I$26:$I$31),1),
OFFSET(bibliotheek!$H$47,0,MATCH(BC$38,isolatiepakketten_gebouwschil_namen,0)-1,ROWS(bibliotheek!$I$26:$I$31),1)) /
HLOOKUP(BC$17,woningen_gebouwen_gegevens,ROWS(bibliotheek!$E$20:$E$32),FALSE))</f>
        <v/>
      </c>
      <c r="BD54" s="196" t="str">
        <f ca="1">IF(OR(BD$17="",BD$38=""),"",
SUMPRODUCT(
OFFSET(bibliotheek!$H$26,0,MATCH(BD$17,woningen_gebouwen_namen,0)-1,ROWS(bibliotheek!$I$26:$I$31),1),
OFFSET(bibliotheek!$H$47,0,MATCH(BD$38,isolatiepakketten_gebouwschil_namen,0)-1,ROWS(bibliotheek!$I$26:$I$31),1)) /
HLOOKUP(BD$17,woningen_gebouwen_gegevens,ROWS(bibliotheek!$E$20:$E$32),FALSE))</f>
        <v/>
      </c>
      <c r="BE54" s="196" t="str">
        <f ca="1">IF(OR(BE$17="",BE$38=""),"",
SUMPRODUCT(
OFFSET(bibliotheek!$H$26,0,MATCH(BE$17,woningen_gebouwen_namen,0)-1,ROWS(bibliotheek!$I$26:$I$31),1),
OFFSET(bibliotheek!$H$47,0,MATCH(BE$38,isolatiepakketten_gebouwschil_namen,0)-1,ROWS(bibliotheek!$I$26:$I$31),1)) /
HLOOKUP(BE$17,woningen_gebouwen_gegevens,ROWS(bibliotheek!$E$20:$E$32),FALSE))</f>
        <v/>
      </c>
      <c r="BF54" s="196" t="str">
        <f ca="1">IF(OR(BF$17="",BF$38=""),"",
SUMPRODUCT(
OFFSET(bibliotheek!$H$26,0,MATCH(BF$17,woningen_gebouwen_namen,0)-1,ROWS(bibliotheek!$I$26:$I$31),1),
OFFSET(bibliotheek!$H$47,0,MATCH(BF$38,isolatiepakketten_gebouwschil_namen,0)-1,ROWS(bibliotheek!$I$26:$I$31),1)) /
HLOOKUP(BF$17,woningen_gebouwen_gegevens,ROWS(bibliotheek!$E$20:$E$32),FALSE))</f>
        <v/>
      </c>
      <c r="BG54" s="196" t="str">
        <f ca="1">IF(OR(BG$17="",BG$38=""),"",
SUMPRODUCT(
OFFSET(bibliotheek!$H$26,0,MATCH(BG$17,woningen_gebouwen_namen,0)-1,ROWS(bibliotheek!$I$26:$I$31),1),
OFFSET(bibliotheek!$H$47,0,MATCH(BG$38,isolatiepakketten_gebouwschil_namen,0)-1,ROWS(bibliotheek!$I$26:$I$31),1)) /
HLOOKUP(BG$17,woningen_gebouwen_gegevens,ROWS(bibliotheek!$E$20:$E$32),FALSE))</f>
        <v/>
      </c>
      <c r="BH54" s="216"/>
    </row>
    <row r="55" spans="1:60" s="2" customFormat="1">
      <c r="A55" s="1044"/>
      <c r="B55" s="1110" t="s">
        <v>132</v>
      </c>
      <c r="C55" s="1106" t="s">
        <v>118</v>
      </c>
      <c r="D55" s="639" t="s">
        <v>45</v>
      </c>
      <c r="E55" s="254" t="s">
        <v>1149</v>
      </c>
      <c r="F55" s="254"/>
      <c r="G55" s="180"/>
      <c r="H55" s="291" t="s">
        <v>154</v>
      </c>
      <c r="I55" s="104"/>
      <c r="J55" s="768"/>
      <c r="K55" s="1055"/>
      <c r="L55" s="1055"/>
      <c r="M55" s="873"/>
      <c r="N55" s="91"/>
      <c r="O55" s="929">
        <f t="shared" ref="O55:W55" si="58">IFERROR(IF(AND($F$6=MWA,O56&lt;&gt;""),O56,
IF(OR(O$17="",O$38="",O$40=""),0,MAX(warmtebehoefte_verwarming_ondergrens,
HLOOKUP(O$61,fitcurves_NTA8800,MATCH(fit_a0,parameters_fitformule,0),FALSE)
+HLOOKUP(O$61,fitcurves_NTA8800,MATCH(fit_a1,parameters_fitformule,0),FALSE)
*O$54*O$32^HLOOKUP(O$61,fitcurves_NTA8800,MATCH(fit_n1,parameters_fitformule,0),FALSE)
))),0)</f>
        <v>0</v>
      </c>
      <c r="P55" s="929">
        <f t="shared" si="58"/>
        <v>0</v>
      </c>
      <c r="Q55" s="929">
        <f t="shared" si="58"/>
        <v>0</v>
      </c>
      <c r="R55" s="929">
        <f t="shared" si="58"/>
        <v>0</v>
      </c>
      <c r="S55" s="929">
        <f t="shared" si="58"/>
        <v>0</v>
      </c>
      <c r="T55" s="929">
        <f t="shared" si="58"/>
        <v>0</v>
      </c>
      <c r="U55" s="929">
        <f t="shared" si="58"/>
        <v>0</v>
      </c>
      <c r="V55" s="929">
        <f t="shared" si="58"/>
        <v>0</v>
      </c>
      <c r="W55" s="929">
        <f t="shared" si="58"/>
        <v>0</v>
      </c>
      <c r="X55" s="930"/>
      <c r="Y55" s="931"/>
      <c r="Z55" s="932"/>
      <c r="AA55" s="933">
        <f t="shared" ref="AA55:AI55" si="59">IFERROR(IF(AND($F$6=MWA,AA56&lt;&gt;""),AA56,
IF(OR(AA$17="",AA$38="",AA$40=""),0,MAX(warmtebehoefte_verwarming_ondergrens,
HLOOKUP(AA$61,fitcurves_NTA8800,MATCH(fit_a0,parameters_fitformule,0),FALSE)
+HLOOKUP(AA$61,fitcurves_NTA8800,MATCH(fit_a1,parameters_fitformule,0),FALSE)
*AA$54*AA$32^HLOOKUP(AA$61,fitcurves_NTA8800,MATCH(fit_n1,parameters_fitformule,0),FALSE)
))),0)</f>
        <v>0</v>
      </c>
      <c r="AB55" s="933">
        <f t="shared" si="59"/>
        <v>0</v>
      </c>
      <c r="AC55" s="933">
        <f t="shared" si="59"/>
        <v>0</v>
      </c>
      <c r="AD55" s="933">
        <f t="shared" si="59"/>
        <v>0</v>
      </c>
      <c r="AE55" s="933">
        <f t="shared" si="59"/>
        <v>0</v>
      </c>
      <c r="AF55" s="933">
        <f t="shared" si="59"/>
        <v>0</v>
      </c>
      <c r="AG55" s="933">
        <f t="shared" si="59"/>
        <v>0</v>
      </c>
      <c r="AH55" s="933">
        <f t="shared" si="59"/>
        <v>0</v>
      </c>
      <c r="AI55" s="933">
        <f t="shared" si="59"/>
        <v>0</v>
      </c>
      <c r="AJ55" s="930"/>
      <c r="AK55" s="931"/>
      <c r="AL55" s="932"/>
      <c r="AM55" s="933">
        <f t="shared" ref="AM55:AU55" si="60">IFERROR(IF(AND($F$6=MWA,AM56&lt;&gt;""),AM56,
IF(OR(AM$17="",AM$38="",AM$40=""),0,MAX(warmtebehoefte_verwarming_ondergrens,
HLOOKUP(AM$61,fitcurves_NTA8800,MATCH(fit_a0,parameters_fitformule,0),FALSE)
+HLOOKUP(AM$61,fitcurves_NTA8800,MATCH(fit_a1,parameters_fitformule,0),FALSE)
*AM$54*AM$32^HLOOKUP(AM$61,fitcurves_NTA8800,MATCH(fit_n1,parameters_fitformule,0),FALSE)
))),0)</f>
        <v>0</v>
      </c>
      <c r="AN55" s="933">
        <f t="shared" si="60"/>
        <v>0</v>
      </c>
      <c r="AO55" s="933">
        <f t="shared" si="60"/>
        <v>0</v>
      </c>
      <c r="AP55" s="933">
        <f t="shared" si="60"/>
        <v>0</v>
      </c>
      <c r="AQ55" s="933">
        <f t="shared" si="60"/>
        <v>0</v>
      </c>
      <c r="AR55" s="933">
        <f t="shared" si="60"/>
        <v>0</v>
      </c>
      <c r="AS55" s="933">
        <f t="shared" si="60"/>
        <v>0</v>
      </c>
      <c r="AT55" s="933">
        <f t="shared" si="60"/>
        <v>0</v>
      </c>
      <c r="AU55" s="933">
        <f t="shared" si="60"/>
        <v>0</v>
      </c>
      <c r="AV55" s="930"/>
      <c r="AW55" s="931"/>
      <c r="AX55" s="932"/>
      <c r="AY55" s="933">
        <f t="shared" ref="AY55:BG55" si="61">IFERROR(IF(AND($F$6=MWA,AY56&lt;&gt;""),AY56,
IF(OR(AY$17="",AY$38="",AY$40=""),0,MAX(warmtebehoefte_verwarming_ondergrens,
HLOOKUP(AY$61,fitcurves_NTA8800,MATCH(fit_a0,parameters_fitformule,0),FALSE)
+HLOOKUP(AY$61,fitcurves_NTA8800,MATCH(fit_a1,parameters_fitformule,0),FALSE)
*AY$54*AY$32^HLOOKUP(AY$61,fitcurves_NTA8800,MATCH(fit_n1,parameters_fitformule,0),FALSE)
))),0)</f>
        <v>0</v>
      </c>
      <c r="AZ55" s="933">
        <f t="shared" si="61"/>
        <v>0</v>
      </c>
      <c r="BA55" s="933">
        <f t="shared" si="61"/>
        <v>0</v>
      </c>
      <c r="BB55" s="933">
        <f t="shared" si="61"/>
        <v>0</v>
      </c>
      <c r="BC55" s="933">
        <f t="shared" si="61"/>
        <v>0</v>
      </c>
      <c r="BD55" s="933">
        <f t="shared" si="61"/>
        <v>0</v>
      </c>
      <c r="BE55" s="933">
        <f t="shared" si="61"/>
        <v>0</v>
      </c>
      <c r="BF55" s="933">
        <f t="shared" si="61"/>
        <v>0</v>
      </c>
      <c r="BG55" s="933">
        <f t="shared" si="61"/>
        <v>0</v>
      </c>
      <c r="BH55" s="216"/>
    </row>
    <row r="56" spans="1:60" s="2" customFormat="1">
      <c r="A56" s="1044"/>
      <c r="B56" s="1110" t="s">
        <v>132</v>
      </c>
      <c r="C56" s="1106" t="s">
        <v>118</v>
      </c>
      <c r="D56" s="639"/>
      <c r="E56" s="1221" t="s">
        <v>1185</v>
      </c>
      <c r="F56" s="595"/>
      <c r="G56" s="595"/>
      <c r="H56" s="291" t="s">
        <v>154</v>
      </c>
      <c r="I56" s="104"/>
      <c r="J56" s="769"/>
      <c r="K56" s="1055"/>
      <c r="L56" s="1055"/>
      <c r="M56" s="770"/>
      <c r="N56" s="243"/>
      <c r="O56" s="958"/>
      <c r="P56" s="958"/>
      <c r="Q56" s="958"/>
      <c r="R56" s="958"/>
      <c r="S56" s="958"/>
      <c r="T56" s="958"/>
      <c r="U56" s="958"/>
      <c r="V56" s="958"/>
      <c r="W56" s="958"/>
      <c r="X56" s="172"/>
      <c r="Y56" s="770"/>
      <c r="Z56" s="243"/>
      <c r="AA56" s="958"/>
      <c r="AB56" s="958"/>
      <c r="AC56" s="958"/>
      <c r="AD56" s="958"/>
      <c r="AE56" s="958"/>
      <c r="AF56" s="958"/>
      <c r="AG56" s="958"/>
      <c r="AH56" s="958"/>
      <c r="AI56" s="958"/>
      <c r="AJ56" s="172"/>
      <c r="AK56" s="770"/>
      <c r="AL56" s="243"/>
      <c r="AM56" s="958"/>
      <c r="AN56" s="958"/>
      <c r="AO56" s="958"/>
      <c r="AP56" s="958"/>
      <c r="AQ56" s="958"/>
      <c r="AR56" s="958"/>
      <c r="AS56" s="958"/>
      <c r="AT56" s="958"/>
      <c r="AU56" s="958"/>
      <c r="AV56" s="172"/>
      <c r="AW56" s="770"/>
      <c r="AX56" s="243"/>
      <c r="AY56" s="958"/>
      <c r="AZ56" s="958"/>
      <c r="BA56" s="958"/>
      <c r="BB56" s="958"/>
      <c r="BC56" s="958"/>
      <c r="BD56" s="958"/>
      <c r="BE56" s="958"/>
      <c r="BF56" s="958"/>
      <c r="BG56" s="958"/>
      <c r="BH56" s="216"/>
    </row>
    <row r="57" spans="1:60">
      <c r="A57" s="1041"/>
      <c r="B57" s="1109" t="s">
        <v>147</v>
      </c>
      <c r="C57" s="1107" t="s">
        <v>96</v>
      </c>
      <c r="D57" s="638"/>
      <c r="E57" s="79"/>
      <c r="F57" s="79"/>
      <c r="G57" s="79"/>
      <c r="H57" s="85"/>
      <c r="I57" s="104"/>
      <c r="J57" s="82"/>
      <c r="K57" s="1055"/>
      <c r="L57" s="1055"/>
      <c r="M57" s="82"/>
      <c r="N57" s="82"/>
      <c r="O57" s="82"/>
      <c r="P57" s="82"/>
      <c r="Q57" s="82"/>
      <c r="R57" s="82"/>
      <c r="S57" s="82"/>
      <c r="T57" s="82"/>
      <c r="U57" s="82"/>
      <c r="V57" s="82"/>
      <c r="W57" s="82"/>
      <c r="X57" s="82"/>
      <c r="Y57" s="82"/>
      <c r="Z57" s="79"/>
      <c r="AA57" s="82"/>
      <c r="AB57" s="82"/>
      <c r="AC57" s="82"/>
      <c r="AD57" s="82"/>
      <c r="AE57" s="82"/>
      <c r="AF57" s="82"/>
      <c r="AG57" s="82"/>
      <c r="AH57" s="82"/>
      <c r="AI57" s="82"/>
      <c r="AJ57" s="82"/>
      <c r="AK57" s="82"/>
      <c r="AL57" s="79"/>
      <c r="AM57" s="82"/>
      <c r="AN57" s="82"/>
      <c r="AO57" s="82"/>
      <c r="AP57" s="82"/>
      <c r="AQ57" s="82"/>
      <c r="AR57" s="82"/>
      <c r="AS57" s="82"/>
      <c r="AT57" s="82"/>
      <c r="AU57" s="82"/>
      <c r="AV57" s="82"/>
      <c r="AW57" s="82"/>
      <c r="AX57" s="79"/>
      <c r="AY57" s="82"/>
      <c r="AZ57" s="82"/>
      <c r="BA57" s="82"/>
      <c r="BB57" s="82"/>
      <c r="BC57" s="82"/>
      <c r="BD57" s="82"/>
      <c r="BE57" s="82"/>
      <c r="BF57" s="82"/>
      <c r="BG57" s="82"/>
      <c r="BH57" s="1"/>
    </row>
    <row r="58" spans="1:60">
      <c r="A58" s="1041"/>
      <c r="B58" s="1109" t="s">
        <v>147</v>
      </c>
      <c r="C58" s="1106" t="s">
        <v>96</v>
      </c>
      <c r="D58" s="638"/>
      <c r="E58" s="230"/>
      <c r="F58" s="79"/>
      <c r="G58" s="79"/>
      <c r="H58" s="85"/>
      <c r="I58" s="79"/>
      <c r="J58" s="82"/>
      <c r="K58" s="79"/>
      <c r="L58" s="79"/>
      <c r="M58" s="82"/>
      <c r="N58" s="82"/>
      <c r="O58" s="82"/>
      <c r="P58" s="82"/>
      <c r="Q58" s="82"/>
      <c r="R58" s="82"/>
      <c r="S58" s="82"/>
      <c r="T58" s="82"/>
      <c r="U58" s="82"/>
      <c r="V58" s="82"/>
      <c r="W58" s="82"/>
      <c r="X58" s="82"/>
      <c r="Y58" s="82"/>
      <c r="Z58" s="79"/>
      <c r="AA58" s="82"/>
      <c r="AB58" s="82"/>
      <c r="AC58" s="82"/>
      <c r="AD58" s="82"/>
      <c r="AE58" s="82"/>
      <c r="AF58" s="82"/>
      <c r="AG58" s="82"/>
      <c r="AH58" s="82"/>
      <c r="AI58" s="82"/>
      <c r="AJ58" s="82"/>
      <c r="AK58" s="82"/>
      <c r="AL58" s="79"/>
      <c r="AM58" s="82"/>
      <c r="AN58" s="82"/>
      <c r="AO58" s="82"/>
      <c r="AP58" s="82"/>
      <c r="AQ58" s="82"/>
      <c r="AR58" s="82"/>
      <c r="AS58" s="82"/>
      <c r="AT58" s="82"/>
      <c r="AU58" s="82"/>
      <c r="AV58" s="82"/>
      <c r="AW58" s="82"/>
      <c r="AX58" s="79"/>
      <c r="AY58" s="82"/>
      <c r="AZ58" s="82"/>
      <c r="BA58" s="82"/>
      <c r="BB58" s="82"/>
      <c r="BC58" s="82"/>
      <c r="BD58" s="82"/>
      <c r="BE58" s="82"/>
      <c r="BF58" s="82"/>
      <c r="BG58" s="82"/>
      <c r="BH58" s="1"/>
    </row>
    <row r="59" spans="1:60" s="2" customFormat="1" ht="21">
      <c r="A59" s="1042"/>
      <c r="B59" s="1109" t="s">
        <v>147</v>
      </c>
      <c r="C59" s="1106" t="s">
        <v>96</v>
      </c>
      <c r="D59" s="640"/>
      <c r="E59" s="209" t="s">
        <v>1150</v>
      </c>
      <c r="F59" s="209"/>
      <c r="G59" s="209"/>
      <c r="H59" s="209"/>
      <c r="I59" s="129"/>
      <c r="J59" s="256" t="str">
        <f>"MWh "&amp;J$8</f>
        <v>MWh alle locaties</v>
      </c>
      <c r="K59" s="126"/>
      <c r="L59" s="126"/>
      <c r="M59" s="256" t="str">
        <f>"MWh "&amp;M$8</f>
        <v>MWh locatie 1</v>
      </c>
      <c r="N59" s="193"/>
      <c r="O59" s="955" t="str">
        <f>$E59&amp;" per woning-/gebouwtype"</f>
        <v>indicatie energiebehoefte per woning | utiliteitsgebouw per woning-/gebouwtype</v>
      </c>
      <c r="P59" s="945"/>
      <c r="Q59" s="945"/>
      <c r="R59" s="945"/>
      <c r="S59" s="945"/>
      <c r="T59" s="945"/>
      <c r="U59" s="945"/>
      <c r="V59" s="945"/>
      <c r="W59" s="257"/>
      <c r="X59" s="174"/>
      <c r="Y59" s="257" t="str">
        <f>Y$10&amp;" MWh"</f>
        <v>locatie 2 MWh</v>
      </c>
      <c r="Z59" s="193"/>
      <c r="AA59" s="955" t="str">
        <f>$E59&amp;" per woning-/gebouwtype"</f>
        <v>indicatie energiebehoefte per woning | utiliteitsgebouw per woning-/gebouwtype</v>
      </c>
      <c r="AB59" s="945"/>
      <c r="AC59" s="945"/>
      <c r="AD59" s="945"/>
      <c r="AE59" s="945"/>
      <c r="AF59" s="945"/>
      <c r="AG59" s="945"/>
      <c r="AH59" s="945"/>
      <c r="AI59" s="257"/>
      <c r="AJ59" s="174"/>
      <c r="AK59" s="257" t="str">
        <f>AK$10&amp;" MWh"</f>
        <v>locatie 3 MWh</v>
      </c>
      <c r="AL59" s="193"/>
      <c r="AM59" s="955" t="str">
        <f>$E59&amp;" per woning-/gebouwtype"</f>
        <v>indicatie energiebehoefte per woning | utiliteitsgebouw per woning-/gebouwtype</v>
      </c>
      <c r="AN59" s="945"/>
      <c r="AO59" s="945"/>
      <c r="AP59" s="945"/>
      <c r="AQ59" s="945"/>
      <c r="AR59" s="945"/>
      <c r="AS59" s="945"/>
      <c r="AT59" s="945"/>
      <c r="AU59" s="257"/>
      <c r="AV59" s="174"/>
      <c r="AW59" s="257" t="str">
        <f>AW$10&amp;" MWh"</f>
        <v>locatie 4 MWh</v>
      </c>
      <c r="AX59" s="193"/>
      <c r="AY59" s="955" t="str">
        <f>$E59&amp;" per woning-/gebouwtype"</f>
        <v>indicatie energiebehoefte per woning | utiliteitsgebouw per woning-/gebouwtype</v>
      </c>
      <c r="AZ59" s="945"/>
      <c r="BA59" s="945"/>
      <c r="BB59" s="945"/>
      <c r="BC59" s="945"/>
      <c r="BD59" s="945"/>
      <c r="BE59" s="945"/>
      <c r="BF59" s="945"/>
      <c r="BG59" s="257"/>
      <c r="BH59" s="1"/>
    </row>
    <row r="60" spans="1:60">
      <c r="A60" s="1041"/>
      <c r="B60" s="1109" t="s">
        <v>147</v>
      </c>
      <c r="C60" s="1106" t="s">
        <v>96</v>
      </c>
      <c r="D60" s="640"/>
      <c r="E60" s="942" t="s">
        <v>153</v>
      </c>
      <c r="F60" s="942"/>
      <c r="G60" s="942"/>
      <c r="H60" s="942"/>
      <c r="I60" s="129"/>
      <c r="J60" s="943"/>
      <c r="K60" s="126"/>
      <c r="L60" s="126"/>
      <c r="M60" s="944"/>
      <c r="N60" s="153"/>
      <c r="O60" s="258" t="str">
        <f>O$17</f>
        <v/>
      </c>
      <c r="P60" s="258" t="str">
        <f t="shared" ref="P60:W60" si="62">P$17</f>
        <v/>
      </c>
      <c r="Q60" s="258" t="str">
        <f t="shared" si="62"/>
        <v/>
      </c>
      <c r="R60" s="258" t="str">
        <f t="shared" si="62"/>
        <v/>
      </c>
      <c r="S60" s="258" t="str">
        <f t="shared" si="62"/>
        <v/>
      </c>
      <c r="T60" s="258" t="str">
        <f t="shared" si="62"/>
        <v/>
      </c>
      <c r="U60" s="258" t="str">
        <f t="shared" si="62"/>
        <v/>
      </c>
      <c r="V60" s="258" t="str">
        <f t="shared" si="62"/>
        <v/>
      </c>
      <c r="W60" s="258" t="str">
        <f t="shared" si="62"/>
        <v/>
      </c>
      <c r="X60" s="146"/>
      <c r="Y60" s="944"/>
      <c r="Z60" s="145"/>
      <c r="AA60" s="258" t="str">
        <f>AA$17</f>
        <v/>
      </c>
      <c r="AB60" s="258" t="str">
        <f t="shared" ref="AB60:AI60" si="63">AB$17</f>
        <v/>
      </c>
      <c r="AC60" s="258" t="str">
        <f t="shared" si="63"/>
        <v/>
      </c>
      <c r="AD60" s="258" t="str">
        <f t="shared" si="63"/>
        <v/>
      </c>
      <c r="AE60" s="258" t="str">
        <f t="shared" si="63"/>
        <v/>
      </c>
      <c r="AF60" s="258" t="str">
        <f t="shared" si="63"/>
        <v/>
      </c>
      <c r="AG60" s="258" t="str">
        <f t="shared" si="63"/>
        <v/>
      </c>
      <c r="AH60" s="258" t="str">
        <f t="shared" si="63"/>
        <v/>
      </c>
      <c r="AI60" s="258" t="str">
        <f t="shared" si="63"/>
        <v/>
      </c>
      <c r="AJ60" s="146"/>
      <c r="AK60" s="944"/>
      <c r="AL60" s="145"/>
      <c r="AM60" s="258" t="str">
        <f>AM$17</f>
        <v/>
      </c>
      <c r="AN60" s="258" t="str">
        <f t="shared" ref="AN60:AU60" si="64">AN$17</f>
        <v/>
      </c>
      <c r="AO60" s="258" t="str">
        <f t="shared" si="64"/>
        <v/>
      </c>
      <c r="AP60" s="258" t="str">
        <f t="shared" si="64"/>
        <v/>
      </c>
      <c r="AQ60" s="258" t="str">
        <f t="shared" si="64"/>
        <v/>
      </c>
      <c r="AR60" s="258" t="str">
        <f t="shared" si="64"/>
        <v/>
      </c>
      <c r="AS60" s="258" t="str">
        <f t="shared" si="64"/>
        <v/>
      </c>
      <c r="AT60" s="258" t="str">
        <f t="shared" si="64"/>
        <v/>
      </c>
      <c r="AU60" s="258" t="str">
        <f t="shared" si="64"/>
        <v/>
      </c>
      <c r="AV60" s="146"/>
      <c r="AW60" s="944"/>
      <c r="AX60" s="145"/>
      <c r="AY60" s="258" t="str">
        <f>AY$17</f>
        <v/>
      </c>
      <c r="AZ60" s="258" t="str">
        <f t="shared" ref="AZ60:BG60" si="65">AZ$17</f>
        <v/>
      </c>
      <c r="BA60" s="258" t="str">
        <f t="shared" si="65"/>
        <v/>
      </c>
      <c r="BB60" s="258" t="str">
        <f t="shared" si="65"/>
        <v/>
      </c>
      <c r="BC60" s="258" t="str">
        <f t="shared" si="65"/>
        <v/>
      </c>
      <c r="BD60" s="258" t="str">
        <f t="shared" si="65"/>
        <v/>
      </c>
      <c r="BE60" s="258" t="str">
        <f t="shared" si="65"/>
        <v/>
      </c>
      <c r="BF60" s="258" t="str">
        <f t="shared" si="65"/>
        <v/>
      </c>
      <c r="BG60" s="258" t="str">
        <f t="shared" si="65"/>
        <v/>
      </c>
      <c r="BH60" s="218"/>
    </row>
    <row r="61" spans="1:60" s="671" customFormat="1" ht="25.5" hidden="1">
      <c r="A61" s="1045"/>
      <c r="B61" s="1109" t="s">
        <v>147</v>
      </c>
      <c r="C61" s="1106" t="s">
        <v>262</v>
      </c>
      <c r="D61" s="946"/>
      <c r="E61" s="947" t="s">
        <v>1151</v>
      </c>
      <c r="F61" s="948"/>
      <c r="G61" s="949" t="s">
        <v>803</v>
      </c>
      <c r="H61" s="950" t="s">
        <v>65</v>
      </c>
      <c r="I61" s="951"/>
      <c r="J61" s="952"/>
      <c r="K61" s="953"/>
      <c r="L61" s="953"/>
      <c r="M61" s="952"/>
      <c r="N61" s="954" t="s">
        <v>84</v>
      </c>
      <c r="O61" s="934" t="e">
        <f t="shared" ref="O61:W61" si="66">$F$6
&amp;INDEX(gebruiksfuncties_fitcurve_NTA8800,MATCH(O$19,gebruiksfuncties_namen,0))
&amp;INDEX(ventilatiesystemen_code,MATCH(O$40,ventilatiesystemen_namen,0))
&amp;O$49
&amp;$G61</f>
        <v>#N/A</v>
      </c>
      <c r="P61" s="934" t="e">
        <f t="shared" si="66"/>
        <v>#N/A</v>
      </c>
      <c r="Q61" s="934" t="e">
        <f t="shared" si="66"/>
        <v>#N/A</v>
      </c>
      <c r="R61" s="934" t="e">
        <f t="shared" si="66"/>
        <v>#N/A</v>
      </c>
      <c r="S61" s="934" t="e">
        <f t="shared" si="66"/>
        <v>#N/A</v>
      </c>
      <c r="T61" s="934" t="e">
        <f t="shared" si="66"/>
        <v>#N/A</v>
      </c>
      <c r="U61" s="934" t="e">
        <f t="shared" si="66"/>
        <v>#N/A</v>
      </c>
      <c r="V61" s="934" t="e">
        <f t="shared" si="66"/>
        <v>#N/A</v>
      </c>
      <c r="W61" s="934" t="e">
        <f t="shared" si="66"/>
        <v>#N/A</v>
      </c>
      <c r="X61" s="953"/>
      <c r="Y61" s="952"/>
      <c r="Z61" s="954" t="s">
        <v>84</v>
      </c>
      <c r="AA61" s="934" t="e">
        <f>$F$6
&amp;INDEX(gebruiksfuncties_fitcurve_NTA8800,MATCH(AA$19,gebruiksfuncties_namen,0))
&amp;INDEX(ventilatiesystemen_code,MATCH(AA$40,ventilatiesystemen_namen,0))
&amp;AA$49
&amp;$G61</f>
        <v>#N/A</v>
      </c>
      <c r="AB61" s="934" t="e">
        <f t="shared" ref="AB61:AI61" si="67">$F$6
&amp;INDEX(gebruiksfuncties_fitcurve_NTA8800,MATCH(AB$19,gebruiksfuncties_namen,0))
&amp;INDEX(ventilatiesystemen_code,MATCH(AB$40,ventilatiesystemen_namen,0))
&amp;AB$49
&amp;$G61</f>
        <v>#N/A</v>
      </c>
      <c r="AC61" s="934" t="e">
        <f t="shared" si="67"/>
        <v>#N/A</v>
      </c>
      <c r="AD61" s="934" t="e">
        <f t="shared" si="67"/>
        <v>#N/A</v>
      </c>
      <c r="AE61" s="934" t="e">
        <f t="shared" si="67"/>
        <v>#N/A</v>
      </c>
      <c r="AF61" s="934" t="e">
        <f t="shared" si="67"/>
        <v>#N/A</v>
      </c>
      <c r="AG61" s="934" t="e">
        <f t="shared" si="67"/>
        <v>#N/A</v>
      </c>
      <c r="AH61" s="934" t="e">
        <f t="shared" si="67"/>
        <v>#N/A</v>
      </c>
      <c r="AI61" s="934" t="e">
        <f t="shared" si="67"/>
        <v>#N/A</v>
      </c>
      <c r="AJ61" s="953"/>
      <c r="AK61" s="952"/>
      <c r="AL61" s="954" t="s">
        <v>84</v>
      </c>
      <c r="AM61" s="934" t="e">
        <f t="shared" ref="AM61:AU61" si="68">$F$6
&amp;INDEX(gebruiksfuncties_fitcurve_NTA8800,MATCH(AM$19,gebruiksfuncties_namen,0))
&amp;INDEX(ventilatiesystemen_code,MATCH(AM$40,ventilatiesystemen_namen,0))
&amp;AM$49
&amp;$G61</f>
        <v>#N/A</v>
      </c>
      <c r="AN61" s="934" t="e">
        <f t="shared" si="68"/>
        <v>#N/A</v>
      </c>
      <c r="AO61" s="934" t="e">
        <f t="shared" si="68"/>
        <v>#N/A</v>
      </c>
      <c r="AP61" s="934" t="e">
        <f t="shared" si="68"/>
        <v>#N/A</v>
      </c>
      <c r="AQ61" s="934" t="e">
        <f t="shared" si="68"/>
        <v>#N/A</v>
      </c>
      <c r="AR61" s="934" t="e">
        <f t="shared" si="68"/>
        <v>#N/A</v>
      </c>
      <c r="AS61" s="934" t="e">
        <f t="shared" si="68"/>
        <v>#N/A</v>
      </c>
      <c r="AT61" s="934" t="e">
        <f t="shared" si="68"/>
        <v>#N/A</v>
      </c>
      <c r="AU61" s="934" t="e">
        <f t="shared" si="68"/>
        <v>#N/A</v>
      </c>
      <c r="AV61" s="953"/>
      <c r="AW61" s="952"/>
      <c r="AX61" s="954" t="s">
        <v>84</v>
      </c>
      <c r="AY61" s="934" t="e">
        <f t="shared" ref="AY61:BG61" si="69">$F$6
&amp;INDEX(gebruiksfuncties_fitcurve_NTA8800,MATCH(AY$19,gebruiksfuncties_namen,0))
&amp;INDEX(ventilatiesystemen_code,MATCH(AY$40,ventilatiesystemen_namen,0))
&amp;AY$49
&amp;$G61</f>
        <v>#N/A</v>
      </c>
      <c r="AZ61" s="934" t="e">
        <f t="shared" si="69"/>
        <v>#N/A</v>
      </c>
      <c r="BA61" s="934" t="e">
        <f t="shared" si="69"/>
        <v>#N/A</v>
      </c>
      <c r="BB61" s="934" t="e">
        <f t="shared" si="69"/>
        <v>#N/A</v>
      </c>
      <c r="BC61" s="934" t="e">
        <f t="shared" si="69"/>
        <v>#N/A</v>
      </c>
      <c r="BD61" s="934" t="e">
        <f t="shared" si="69"/>
        <v>#N/A</v>
      </c>
      <c r="BE61" s="934" t="e">
        <f t="shared" si="69"/>
        <v>#N/A</v>
      </c>
      <c r="BF61" s="934" t="e">
        <f t="shared" si="69"/>
        <v>#N/A</v>
      </c>
      <c r="BG61" s="934" t="e">
        <f t="shared" si="69"/>
        <v>#N/A</v>
      </c>
      <c r="BH61" s="223"/>
    </row>
    <row r="62" spans="1:60">
      <c r="A62" s="1041"/>
      <c r="B62" s="1109" t="s">
        <v>147</v>
      </c>
      <c r="C62" s="1107" t="s">
        <v>104</v>
      </c>
      <c r="D62" s="641" t="s">
        <v>45</v>
      </c>
      <c r="E62" s="413" t="str">
        <f>$O$10</f>
        <v>verwarming</v>
      </c>
      <c r="F62" s="296"/>
      <c r="G62" s="296"/>
      <c r="H62" s="295" t="s">
        <v>154</v>
      </c>
      <c r="I62" s="259"/>
      <c r="J62" s="261">
        <f t="shared" ref="J62:J69" si="70">M62+Y62+AK62+AW62</f>
        <v>0</v>
      </c>
      <c r="K62" s="126"/>
      <c r="L62" s="126"/>
      <c r="M62" s="261">
        <f t="shared" ref="M62:M69" si="71">SUMPRODUCT(N$22:X$22,N$29:X$29,N62:X62)/1000</f>
        <v>0</v>
      </c>
      <c r="N62" s="259"/>
      <c r="O62" s="260">
        <f t="shared" ref="O62:W62" si="72">IFERROR(IF(OR(O$17="",O$38="",O$40=""),0,MAX(warmtebehoefte_verwarming_ondergrens,O55)),0)</f>
        <v>0</v>
      </c>
      <c r="P62" s="260">
        <f t="shared" si="72"/>
        <v>0</v>
      </c>
      <c r="Q62" s="260">
        <f t="shared" si="72"/>
        <v>0</v>
      </c>
      <c r="R62" s="260">
        <f t="shared" si="72"/>
        <v>0</v>
      </c>
      <c r="S62" s="260">
        <f t="shared" si="72"/>
        <v>0</v>
      </c>
      <c r="T62" s="260">
        <f t="shared" si="72"/>
        <v>0</v>
      </c>
      <c r="U62" s="260">
        <f t="shared" si="72"/>
        <v>0</v>
      </c>
      <c r="V62" s="260">
        <f t="shared" si="72"/>
        <v>0</v>
      </c>
      <c r="W62" s="260">
        <f t="shared" si="72"/>
        <v>0</v>
      </c>
      <c r="X62" s="126"/>
      <c r="Y62" s="261">
        <f>SUMPRODUCT(Z$22:AJ$22,Z$29:AJ$29,Z62:AJ62)/1000</f>
        <v>0</v>
      </c>
      <c r="Z62" s="259"/>
      <c r="AA62" s="260">
        <f>IFERROR(IF(OR(AA$17="",AA$38="",AA$40=""),0,MAX(warmtebehoefte_verwarming_ondergrens,AA55)),0)</f>
        <v>0</v>
      </c>
      <c r="AB62" s="260">
        <f t="shared" ref="AB62:AI62" si="73">IFERROR(IF(OR(AB$17="",AB$38="",AB$40=""),0,MAX(warmtebehoefte_verwarming_ondergrens,AB55)),0)</f>
        <v>0</v>
      </c>
      <c r="AC62" s="260">
        <f t="shared" si="73"/>
        <v>0</v>
      </c>
      <c r="AD62" s="260">
        <f t="shared" si="73"/>
        <v>0</v>
      </c>
      <c r="AE62" s="260">
        <f t="shared" si="73"/>
        <v>0</v>
      </c>
      <c r="AF62" s="260">
        <f t="shared" si="73"/>
        <v>0</v>
      </c>
      <c r="AG62" s="260">
        <f t="shared" si="73"/>
        <v>0</v>
      </c>
      <c r="AH62" s="260">
        <f t="shared" si="73"/>
        <v>0</v>
      </c>
      <c r="AI62" s="260">
        <f t="shared" si="73"/>
        <v>0</v>
      </c>
      <c r="AJ62" s="126"/>
      <c r="AK62" s="261">
        <f>SUMPRODUCT(AL$22:AV$22,AL$29:AV$29,AL62:AV62)/1000</f>
        <v>0</v>
      </c>
      <c r="AL62" s="259"/>
      <c r="AM62" s="260">
        <f t="shared" ref="AM62:AU62" si="74">IFERROR(IF(OR(AM$17="",AM$38="",AM$40=""),0,MAX(warmtebehoefte_verwarming_ondergrens,AM55)),0)</f>
        <v>0</v>
      </c>
      <c r="AN62" s="260">
        <f t="shared" si="74"/>
        <v>0</v>
      </c>
      <c r="AO62" s="260">
        <f t="shared" si="74"/>
        <v>0</v>
      </c>
      <c r="AP62" s="260">
        <f t="shared" si="74"/>
        <v>0</v>
      </c>
      <c r="AQ62" s="260">
        <f t="shared" si="74"/>
        <v>0</v>
      </c>
      <c r="AR62" s="260">
        <f t="shared" si="74"/>
        <v>0</v>
      </c>
      <c r="AS62" s="260">
        <f t="shared" si="74"/>
        <v>0</v>
      </c>
      <c r="AT62" s="260">
        <f t="shared" si="74"/>
        <v>0</v>
      </c>
      <c r="AU62" s="260">
        <f t="shared" si="74"/>
        <v>0</v>
      </c>
      <c r="AV62" s="126"/>
      <c r="AW62" s="261">
        <f>SUMPRODUCT(AX$22:BH$22,AX$29:BH$29,AX62:BH62)/1000</f>
        <v>0</v>
      </c>
      <c r="AX62" s="259"/>
      <c r="AY62" s="260">
        <f t="shared" ref="AY62:BG62" si="75">IFERROR(IF(OR(AY$17="",AY$38="",AY$40=""),0,MAX(warmtebehoefte_verwarming_ondergrens,AY55)),0)</f>
        <v>0</v>
      </c>
      <c r="AZ62" s="260">
        <f t="shared" si="75"/>
        <v>0</v>
      </c>
      <c r="BA62" s="260">
        <f t="shared" si="75"/>
        <v>0</v>
      </c>
      <c r="BB62" s="260">
        <f t="shared" si="75"/>
        <v>0</v>
      </c>
      <c r="BC62" s="260">
        <f t="shared" si="75"/>
        <v>0</v>
      </c>
      <c r="BD62" s="260">
        <f t="shared" si="75"/>
        <v>0</v>
      </c>
      <c r="BE62" s="260">
        <f t="shared" si="75"/>
        <v>0</v>
      </c>
      <c r="BF62" s="260">
        <f t="shared" si="75"/>
        <v>0</v>
      </c>
      <c r="BG62" s="260">
        <f t="shared" si="75"/>
        <v>0</v>
      </c>
      <c r="BH62" s="210"/>
    </row>
    <row r="63" spans="1:60" s="671" customFormat="1" ht="25.5" hidden="1">
      <c r="A63" s="1045"/>
      <c r="B63" s="1109" t="s">
        <v>147</v>
      </c>
      <c r="C63" s="1106" t="s">
        <v>262</v>
      </c>
      <c r="D63" s="946"/>
      <c r="E63" s="947" t="s">
        <v>1152</v>
      </c>
      <c r="F63" s="948"/>
      <c r="G63" s="949" t="s">
        <v>804</v>
      </c>
      <c r="H63" s="950" t="s">
        <v>65</v>
      </c>
      <c r="I63" s="951"/>
      <c r="J63" s="952"/>
      <c r="K63" s="953"/>
      <c r="L63" s="953"/>
      <c r="M63" s="952"/>
      <c r="N63" s="954" t="s">
        <v>84</v>
      </c>
      <c r="O63" s="934" t="e">
        <f t="shared" ref="O63:W63" si="76">$F$6
&amp;INDEX(gebruiksfuncties_fitcurve_NTA8800,MATCH(O$19,gebruiksfuncties_namen,0))
&amp;INDEX(ventilatiesystemen_code,MATCH(O$40,ventilatiesystemen_namen,0))
&amp;O$49
&amp;$G63</f>
        <v>#N/A</v>
      </c>
      <c r="P63" s="934" t="e">
        <f t="shared" si="76"/>
        <v>#N/A</v>
      </c>
      <c r="Q63" s="934" t="e">
        <f t="shared" si="76"/>
        <v>#N/A</v>
      </c>
      <c r="R63" s="934" t="e">
        <f t="shared" si="76"/>
        <v>#N/A</v>
      </c>
      <c r="S63" s="934" t="e">
        <f t="shared" si="76"/>
        <v>#N/A</v>
      </c>
      <c r="T63" s="934" t="e">
        <f t="shared" si="76"/>
        <v>#N/A</v>
      </c>
      <c r="U63" s="934" t="e">
        <f t="shared" si="76"/>
        <v>#N/A</v>
      </c>
      <c r="V63" s="934" t="e">
        <f t="shared" si="76"/>
        <v>#N/A</v>
      </c>
      <c r="W63" s="934" t="e">
        <f t="shared" si="76"/>
        <v>#N/A</v>
      </c>
      <c r="X63" s="953"/>
      <c r="Y63" s="952"/>
      <c r="Z63" s="954" t="s">
        <v>84</v>
      </c>
      <c r="AA63" s="934" t="e">
        <f t="shared" ref="AA63:AI63" si="77">$F$6
&amp;INDEX(gebruiksfuncties_fitcurve_NTA8800,MATCH(AA$19,gebruiksfuncties_namen,0))
&amp;INDEX(ventilatiesystemen_code,MATCH(AA$40,ventilatiesystemen_namen,0))
&amp;AA$49
&amp;$G63</f>
        <v>#N/A</v>
      </c>
      <c r="AB63" s="934" t="e">
        <f t="shared" si="77"/>
        <v>#N/A</v>
      </c>
      <c r="AC63" s="934" t="e">
        <f t="shared" si="77"/>
        <v>#N/A</v>
      </c>
      <c r="AD63" s="934" t="e">
        <f t="shared" si="77"/>
        <v>#N/A</v>
      </c>
      <c r="AE63" s="934" t="e">
        <f t="shared" si="77"/>
        <v>#N/A</v>
      </c>
      <c r="AF63" s="934" t="e">
        <f t="shared" si="77"/>
        <v>#N/A</v>
      </c>
      <c r="AG63" s="934" t="e">
        <f t="shared" si="77"/>
        <v>#N/A</v>
      </c>
      <c r="AH63" s="934" t="e">
        <f t="shared" si="77"/>
        <v>#N/A</v>
      </c>
      <c r="AI63" s="934" t="e">
        <f t="shared" si="77"/>
        <v>#N/A</v>
      </c>
      <c r="AJ63" s="953"/>
      <c r="AK63" s="952"/>
      <c r="AL63" s="954" t="s">
        <v>84</v>
      </c>
      <c r="AM63" s="934" t="e">
        <f t="shared" ref="AM63:AU63" si="78">$F$6
&amp;INDEX(gebruiksfuncties_fitcurve_NTA8800,MATCH(AM$19,gebruiksfuncties_namen,0))
&amp;INDEX(ventilatiesystemen_code,MATCH(AM$40,ventilatiesystemen_namen,0))
&amp;AM$49
&amp;$G63</f>
        <v>#N/A</v>
      </c>
      <c r="AN63" s="934" t="e">
        <f t="shared" si="78"/>
        <v>#N/A</v>
      </c>
      <c r="AO63" s="934" t="e">
        <f t="shared" si="78"/>
        <v>#N/A</v>
      </c>
      <c r="AP63" s="934" t="e">
        <f t="shared" si="78"/>
        <v>#N/A</v>
      </c>
      <c r="AQ63" s="934" t="e">
        <f t="shared" si="78"/>
        <v>#N/A</v>
      </c>
      <c r="AR63" s="934" t="e">
        <f t="shared" si="78"/>
        <v>#N/A</v>
      </c>
      <c r="AS63" s="934" t="e">
        <f t="shared" si="78"/>
        <v>#N/A</v>
      </c>
      <c r="AT63" s="934" t="e">
        <f t="shared" si="78"/>
        <v>#N/A</v>
      </c>
      <c r="AU63" s="934" t="e">
        <f t="shared" si="78"/>
        <v>#N/A</v>
      </c>
      <c r="AV63" s="953"/>
      <c r="AW63" s="952"/>
      <c r="AX63" s="954" t="s">
        <v>84</v>
      </c>
      <c r="AY63" s="934" t="e">
        <f t="shared" ref="AY63:BG63" si="79">$F$6
&amp;INDEX(gebruiksfuncties_fitcurve_NTA8800,MATCH(AY$19,gebruiksfuncties_namen,0))
&amp;INDEX(ventilatiesystemen_code,MATCH(AY$40,ventilatiesystemen_namen,0))
&amp;AY$49
&amp;$G63</f>
        <v>#N/A</v>
      </c>
      <c r="AZ63" s="934" t="e">
        <f t="shared" si="79"/>
        <v>#N/A</v>
      </c>
      <c r="BA63" s="934" t="e">
        <f t="shared" si="79"/>
        <v>#N/A</v>
      </c>
      <c r="BB63" s="934" t="e">
        <f t="shared" si="79"/>
        <v>#N/A</v>
      </c>
      <c r="BC63" s="934" t="e">
        <f t="shared" si="79"/>
        <v>#N/A</v>
      </c>
      <c r="BD63" s="934" t="e">
        <f t="shared" si="79"/>
        <v>#N/A</v>
      </c>
      <c r="BE63" s="934" t="e">
        <f t="shared" si="79"/>
        <v>#N/A</v>
      </c>
      <c r="BF63" s="934" t="e">
        <f t="shared" si="79"/>
        <v>#N/A</v>
      </c>
      <c r="BG63" s="934" t="e">
        <f t="shared" si="79"/>
        <v>#N/A</v>
      </c>
      <c r="BH63" s="223"/>
    </row>
    <row r="64" spans="1:60">
      <c r="A64" s="1041"/>
      <c r="B64" s="1109" t="s">
        <v>147</v>
      </c>
      <c r="C64" s="1107" t="s">
        <v>104</v>
      </c>
      <c r="D64" s="641" t="s">
        <v>45</v>
      </c>
      <c r="E64" s="295" t="str">
        <f>$P$10</f>
        <v>koeling</v>
      </c>
      <c r="F64" s="296"/>
      <c r="G64" s="296"/>
      <c r="H64" s="295" t="s">
        <v>154</v>
      </c>
      <c r="I64" s="259"/>
      <c r="J64" s="261">
        <f t="shared" si="70"/>
        <v>0</v>
      </c>
      <c r="K64" s="126"/>
      <c r="L64" s="126"/>
      <c r="M64" s="261">
        <f t="shared" si="71"/>
        <v>0</v>
      </c>
      <c r="N64" s="259"/>
      <c r="O64" s="260">
        <f>IFERROR(IF(OR(O$17="",O$38="",O$40=""),0,MAX(koudebehoefte_koeling_ondergrens,
HLOOKUP(O$63,fitcurves_NTA8800,MATCH(fit_a0,parameters_fitformule,0),FALSE)
+HLOOKUP(O$63,fitcurves_NTA8800,MATCH(fit_a1,parameters_fitformule,0),FALSE)
*(O$33*O$29)^HLOOKUP(O$63,fitcurves_NTA8800,MATCH(fit_n1,parameters_fitformule,0),FALSE)
+HLOOKUP(O$63,fitcurves_NTA8800,MATCH(fit_a2,parameters_fitformule,0),FALSE)
*O$32^HLOOKUP(O$63,fitcurves_NTA8800,MATCH(fit_n2,parameters_fitformule,0),FALSE)
+HLOOKUP(O$63,fitcurves_NTA8800,MATCH(fit_a3,parameters_fitformule,0),FALSE)
*O$54^HLOOKUP(O$63,fitcurves_NTA8800,MATCH(fit_n3,parameters_fitformule,0),FALSE)
+HLOOKUP(O$63,fitcurves_NTA8800,MATCH(fit_a4,parameters_fitformule,0),FALSE)
*O$33^HLOOKUP(O$63,fitcurves_NTA8800,MATCH(fit_n4,parameters_fitformule,0),FALSE)
)),0)</f>
        <v>0</v>
      </c>
      <c r="P64" s="260">
        <f t="shared" ref="P64:W64" si="80">IFERROR(IF(OR(P$17="",P$38="",P$40=""),0,MAX(koudebehoefte_koeling_ondergrens,
HLOOKUP(P$63,fitcurves_NTA8800,MATCH(fit_a0,parameters_fitformule,0),FALSE)
+HLOOKUP(P$63,fitcurves_NTA8800,MATCH(fit_a1,parameters_fitformule,0),FALSE)
*(P$33*P$29)^HLOOKUP(P$63,fitcurves_NTA8800,MATCH(fit_n1,parameters_fitformule,0),FALSE)
+HLOOKUP(P$63,fitcurves_NTA8800,MATCH(fit_a2,parameters_fitformule,0),FALSE)
*P$32^HLOOKUP(P$63,fitcurves_NTA8800,MATCH(fit_n2,parameters_fitformule,0),FALSE)
+HLOOKUP(P$63,fitcurves_NTA8800,MATCH(fit_a3,parameters_fitformule,0),FALSE)
*P$54^HLOOKUP(P$63,fitcurves_NTA8800,MATCH(fit_n3,parameters_fitformule,0),FALSE)
+HLOOKUP(P$63,fitcurves_NTA8800,MATCH(fit_a4,parameters_fitformule,0),FALSE)
*P$33^HLOOKUP(P$63,fitcurves_NTA8800,MATCH(fit_n4,parameters_fitformule,0),FALSE)
)),0)</f>
        <v>0</v>
      </c>
      <c r="Q64" s="260">
        <f t="shared" si="80"/>
        <v>0</v>
      </c>
      <c r="R64" s="260">
        <f t="shared" si="80"/>
        <v>0</v>
      </c>
      <c r="S64" s="260">
        <f t="shared" si="80"/>
        <v>0</v>
      </c>
      <c r="T64" s="260">
        <f t="shared" si="80"/>
        <v>0</v>
      </c>
      <c r="U64" s="260">
        <f t="shared" si="80"/>
        <v>0</v>
      </c>
      <c r="V64" s="260">
        <f t="shared" si="80"/>
        <v>0</v>
      </c>
      <c r="W64" s="260">
        <f t="shared" si="80"/>
        <v>0</v>
      </c>
      <c r="X64" s="126"/>
      <c r="Y64" s="261">
        <f t="shared" ref="Y64:Y69" si="81">SUMPRODUCT(Z$22:AJ$22,Z$29:AJ$29,Z64:AJ64)/1000</f>
        <v>0</v>
      </c>
      <c r="Z64" s="259"/>
      <c r="AA64" s="260">
        <f t="shared" ref="AA64:AI64" si="82">IFERROR(IF(OR(AA$17="",AA$38="",AA$40=""),0,MAX(koudebehoefte_koeling_ondergrens,
HLOOKUP(AA$63,fitcurves_NTA8800,MATCH(fit_a0,parameters_fitformule,0),FALSE)
+HLOOKUP(AA$63,fitcurves_NTA8800,MATCH(fit_a1,parameters_fitformule,0),FALSE)
*(AA$33*AA$29)^HLOOKUP(AA$63,fitcurves_NTA8800,MATCH(fit_n1,parameters_fitformule,0),FALSE)
+HLOOKUP(AA$63,fitcurves_NTA8800,MATCH(fit_a2,parameters_fitformule,0),FALSE)
*AA$32^HLOOKUP(AA$63,fitcurves_NTA8800,MATCH(fit_n2,parameters_fitformule,0),FALSE)
+HLOOKUP(AA$63,fitcurves_NTA8800,MATCH(fit_a3,parameters_fitformule,0),FALSE)
*AA$54^HLOOKUP(AA$63,fitcurves_NTA8800,MATCH(fit_n3,parameters_fitformule,0),FALSE)
+HLOOKUP(AA$63,fitcurves_NTA8800,MATCH(fit_a4,parameters_fitformule,0),FALSE)
*AA$33^HLOOKUP(AA$63,fitcurves_NTA8800,MATCH(fit_n4,parameters_fitformule,0),FALSE)
)),0)</f>
        <v>0</v>
      </c>
      <c r="AB64" s="260">
        <f t="shared" si="82"/>
        <v>0</v>
      </c>
      <c r="AC64" s="260">
        <f t="shared" si="82"/>
        <v>0</v>
      </c>
      <c r="AD64" s="260">
        <f t="shared" si="82"/>
        <v>0</v>
      </c>
      <c r="AE64" s="260">
        <f t="shared" si="82"/>
        <v>0</v>
      </c>
      <c r="AF64" s="260">
        <f t="shared" si="82"/>
        <v>0</v>
      </c>
      <c r="AG64" s="260">
        <f t="shared" si="82"/>
        <v>0</v>
      </c>
      <c r="AH64" s="260">
        <f t="shared" si="82"/>
        <v>0</v>
      </c>
      <c r="AI64" s="260">
        <f t="shared" si="82"/>
        <v>0</v>
      </c>
      <c r="AJ64" s="126"/>
      <c r="AK64" s="261">
        <f t="shared" ref="AK64:AK69" si="83">SUMPRODUCT(AL$22:AV$22,AL$29:AV$29,AL64:AV64)/1000</f>
        <v>0</v>
      </c>
      <c r="AL64" s="259"/>
      <c r="AM64" s="260">
        <f t="shared" ref="AM64:AU64" si="84">IFERROR(IF(OR(AM$17="",AM$38="",AM$40=""),0,MAX(koudebehoefte_koeling_ondergrens,
HLOOKUP(AM$63,fitcurves_NTA8800,MATCH(fit_a0,parameters_fitformule,0),FALSE)
+HLOOKUP(AM$63,fitcurves_NTA8800,MATCH(fit_a1,parameters_fitformule,0),FALSE)
*(AM$33*AM$29)^HLOOKUP(AM$63,fitcurves_NTA8800,MATCH(fit_n1,parameters_fitformule,0),FALSE)
+HLOOKUP(AM$63,fitcurves_NTA8800,MATCH(fit_a2,parameters_fitformule,0),FALSE)
*AM$32^HLOOKUP(AM$63,fitcurves_NTA8800,MATCH(fit_n2,parameters_fitformule,0),FALSE)
+HLOOKUP(AM$63,fitcurves_NTA8800,MATCH(fit_a3,parameters_fitformule,0),FALSE)
*AM$54^HLOOKUP(AM$63,fitcurves_NTA8800,MATCH(fit_n3,parameters_fitformule,0),FALSE)
+HLOOKUP(AM$63,fitcurves_NTA8800,MATCH(fit_a4,parameters_fitformule,0),FALSE)
*AM$33^HLOOKUP(AM$63,fitcurves_NTA8800,MATCH(fit_n4,parameters_fitformule,0),FALSE)
)),0)</f>
        <v>0</v>
      </c>
      <c r="AN64" s="260">
        <f t="shared" si="84"/>
        <v>0</v>
      </c>
      <c r="AO64" s="260">
        <f t="shared" si="84"/>
        <v>0</v>
      </c>
      <c r="AP64" s="260">
        <f t="shared" si="84"/>
        <v>0</v>
      </c>
      <c r="AQ64" s="260">
        <f t="shared" si="84"/>
        <v>0</v>
      </c>
      <c r="AR64" s="260">
        <f t="shared" si="84"/>
        <v>0</v>
      </c>
      <c r="AS64" s="260">
        <f t="shared" si="84"/>
        <v>0</v>
      </c>
      <c r="AT64" s="260">
        <f t="shared" si="84"/>
        <v>0</v>
      </c>
      <c r="AU64" s="260">
        <f t="shared" si="84"/>
        <v>0</v>
      </c>
      <c r="AV64" s="126"/>
      <c r="AW64" s="261">
        <f t="shared" ref="AW64:AW69" si="85">SUMPRODUCT(AX$22:BH$22,AX$29:BH$29,AX64:BH64)/1000</f>
        <v>0</v>
      </c>
      <c r="AX64" s="259"/>
      <c r="AY64" s="260">
        <f t="shared" ref="AY64:BG64" si="86">IFERROR(IF(OR(AY$17="",AY$38="",AY$40=""),0,MAX(koudebehoefte_koeling_ondergrens,
HLOOKUP(AY$63,fitcurves_NTA8800,MATCH(fit_a0,parameters_fitformule,0),FALSE)
+HLOOKUP(AY$63,fitcurves_NTA8800,MATCH(fit_a1,parameters_fitformule,0),FALSE)
*(AY$33*AY$29)^HLOOKUP(AY$63,fitcurves_NTA8800,MATCH(fit_n1,parameters_fitformule,0),FALSE)
+HLOOKUP(AY$63,fitcurves_NTA8800,MATCH(fit_a2,parameters_fitformule,0),FALSE)
*AY$32^HLOOKUP(AY$63,fitcurves_NTA8800,MATCH(fit_n2,parameters_fitformule,0),FALSE)
+HLOOKUP(AY$63,fitcurves_NTA8800,MATCH(fit_a3,parameters_fitformule,0),FALSE)
*AY$54^HLOOKUP(AY$63,fitcurves_NTA8800,MATCH(fit_n3,parameters_fitformule,0),FALSE)
+HLOOKUP(AY$63,fitcurves_NTA8800,MATCH(fit_a4,parameters_fitformule,0),FALSE)
*AY$33^HLOOKUP(AY$63,fitcurves_NTA8800,MATCH(fit_n4,parameters_fitformule,0),FALSE)
)),0)</f>
        <v>0</v>
      </c>
      <c r="AZ64" s="260">
        <f t="shared" si="86"/>
        <v>0</v>
      </c>
      <c r="BA64" s="260">
        <f t="shared" si="86"/>
        <v>0</v>
      </c>
      <c r="BB64" s="260">
        <f t="shared" si="86"/>
        <v>0</v>
      </c>
      <c r="BC64" s="260">
        <f t="shared" si="86"/>
        <v>0</v>
      </c>
      <c r="BD64" s="260">
        <f t="shared" si="86"/>
        <v>0</v>
      </c>
      <c r="BE64" s="260">
        <f t="shared" si="86"/>
        <v>0</v>
      </c>
      <c r="BF64" s="260">
        <f t="shared" si="86"/>
        <v>0</v>
      </c>
      <c r="BG64" s="260">
        <f t="shared" si="86"/>
        <v>0</v>
      </c>
      <c r="BH64" s="210"/>
    </row>
    <row r="65" spans="1:60">
      <c r="A65" s="1041"/>
      <c r="B65" s="1109" t="s">
        <v>147</v>
      </c>
      <c r="C65" s="1107" t="s">
        <v>104</v>
      </c>
      <c r="D65" s="641" t="s">
        <v>45</v>
      </c>
      <c r="E65" s="295" t="str">
        <f>$Q$10</f>
        <v>tapwater</v>
      </c>
      <c r="F65" s="296"/>
      <c r="G65" s="296"/>
      <c r="H65" s="295" t="s">
        <v>154</v>
      </c>
      <c r="I65" s="259"/>
      <c r="J65" s="261">
        <f t="shared" si="70"/>
        <v>0</v>
      </c>
      <c r="K65" s="126"/>
      <c r="L65" s="126"/>
      <c r="M65" s="261">
        <f t="shared" si="71"/>
        <v>0</v>
      </c>
      <c r="N65" s="259"/>
      <c r="O65" s="260">
        <f t="shared" ref="O65:W65" si="87">(1-O$43)*IF(OR(O$17="",O$29=0),0,IF($F$6=EP,1,INDEX(factor_warmtapwaterbehoefte_MWA,MATCH(O$19,gebruiksfuncties_namen_MWA_warmtapwater,0)))*
IF(OR(O$19=woning,O$19=woongebouw),IF(O$29&gt;100,1.28+0.01*O$29,MAX(1,2.28-1.28/70*(100-O$29)))*856/O$29,
INDEX(warmtapwater_specifieke_warmtebehoefte_waarden,MATCH(O$19,warmtapwater_specifieke_warmtebehoefte_gebruiksfuncties,0)))*IF($F$6=EP,1,O$44))</f>
        <v>0</v>
      </c>
      <c r="P65" s="260">
        <f t="shared" si="87"/>
        <v>0</v>
      </c>
      <c r="Q65" s="260">
        <f t="shared" si="87"/>
        <v>0</v>
      </c>
      <c r="R65" s="260">
        <f t="shared" si="87"/>
        <v>0</v>
      </c>
      <c r="S65" s="260">
        <f t="shared" si="87"/>
        <v>0</v>
      </c>
      <c r="T65" s="260">
        <f t="shared" si="87"/>
        <v>0</v>
      </c>
      <c r="U65" s="260">
        <f t="shared" si="87"/>
        <v>0</v>
      </c>
      <c r="V65" s="260">
        <f t="shared" si="87"/>
        <v>0</v>
      </c>
      <c r="W65" s="260">
        <f t="shared" si="87"/>
        <v>0</v>
      </c>
      <c r="X65" s="126"/>
      <c r="Y65" s="261">
        <f t="shared" si="81"/>
        <v>0</v>
      </c>
      <c r="Z65" s="259"/>
      <c r="AA65" s="260">
        <f t="shared" ref="AA65:AI65" si="88">(1-AA$43)*IF(OR(AA$17="",AA$29=0),0,IF($F$6=EP,1,INDEX(factor_warmtapwaterbehoefte_MWA,MATCH(AA$19,gebruiksfuncties_namen_MWA_warmtapwater,0)))*
IF(OR(AA$19=woning,AA$19=woongebouw),IF(AA$29&gt;100,1.28+0.01*AA$29,MAX(1,2.28-1.28/70*(100-AA$29)))*856/AA$29,
INDEX(warmtapwater_specifieke_warmtebehoefte_waarden,MATCH(AA$19,warmtapwater_specifieke_warmtebehoefte_gebruiksfuncties,0)))*IF($F$6=EP,1,AA$44))</f>
        <v>0</v>
      </c>
      <c r="AB65" s="260">
        <f t="shared" si="88"/>
        <v>0</v>
      </c>
      <c r="AC65" s="260">
        <f t="shared" si="88"/>
        <v>0</v>
      </c>
      <c r="AD65" s="260">
        <f t="shared" si="88"/>
        <v>0</v>
      </c>
      <c r="AE65" s="260">
        <f t="shared" si="88"/>
        <v>0</v>
      </c>
      <c r="AF65" s="260">
        <f t="shared" si="88"/>
        <v>0</v>
      </c>
      <c r="AG65" s="260">
        <f t="shared" si="88"/>
        <v>0</v>
      </c>
      <c r="AH65" s="260">
        <f t="shared" si="88"/>
        <v>0</v>
      </c>
      <c r="AI65" s="260">
        <f t="shared" si="88"/>
        <v>0</v>
      </c>
      <c r="AJ65" s="126"/>
      <c r="AK65" s="261">
        <f t="shared" si="83"/>
        <v>0</v>
      </c>
      <c r="AL65" s="259"/>
      <c r="AM65" s="260">
        <f t="shared" ref="AM65:AU65" si="89">(1-AM$43)*IF(OR(AM$17="",AM$29=0),0,IF($F$6=EP,1,INDEX(factor_warmtapwaterbehoefte_MWA,MATCH(AM$19,gebruiksfuncties_namen_MWA_warmtapwater,0)))*
IF(OR(AM$19=woning,AM$19=woongebouw),IF(AM$29&gt;100,1.28+0.01*AM$29,MAX(1,2.28-1.28/70*(100-AM$29)))*856/AM$29,
INDEX(warmtapwater_specifieke_warmtebehoefte_waarden,MATCH(AM$19,warmtapwater_specifieke_warmtebehoefte_gebruiksfuncties,0)))*IF($F$6=EP,1,AM$44))</f>
        <v>0</v>
      </c>
      <c r="AN65" s="260">
        <f t="shared" si="89"/>
        <v>0</v>
      </c>
      <c r="AO65" s="260">
        <f t="shared" si="89"/>
        <v>0</v>
      </c>
      <c r="AP65" s="260">
        <f t="shared" si="89"/>
        <v>0</v>
      </c>
      <c r="AQ65" s="260">
        <f t="shared" si="89"/>
        <v>0</v>
      </c>
      <c r="AR65" s="260">
        <f t="shared" si="89"/>
        <v>0</v>
      </c>
      <c r="AS65" s="260">
        <f t="shared" si="89"/>
        <v>0</v>
      </c>
      <c r="AT65" s="260">
        <f t="shared" si="89"/>
        <v>0</v>
      </c>
      <c r="AU65" s="260">
        <f t="shared" si="89"/>
        <v>0</v>
      </c>
      <c r="AV65" s="126"/>
      <c r="AW65" s="261">
        <f t="shared" si="85"/>
        <v>0</v>
      </c>
      <c r="AX65" s="259"/>
      <c r="AY65" s="260">
        <f t="shared" ref="AY65:BG65" si="90">(1-AY$43)*IF(OR(AY$17="",AY$29=0),0,IF($F$6=EP,1,INDEX(factor_warmtapwaterbehoefte_MWA,MATCH(AY$19,gebruiksfuncties_namen_MWA_warmtapwater,0)))*
IF(OR(AY$19=woning,AY$19=woongebouw),IF(AY$29&gt;100,1.28+0.01*AY$29,MAX(1,2.28-1.28/70*(100-AY$29)))*856/AY$29,
INDEX(warmtapwater_specifieke_warmtebehoefte_waarden,MATCH(AY$19,warmtapwater_specifieke_warmtebehoefte_gebruiksfuncties,0)))*IF($F$6=EP,1,AY$44))</f>
        <v>0</v>
      </c>
      <c r="AZ65" s="260">
        <f t="shared" si="90"/>
        <v>0</v>
      </c>
      <c r="BA65" s="260">
        <f t="shared" si="90"/>
        <v>0</v>
      </c>
      <c r="BB65" s="260">
        <f t="shared" si="90"/>
        <v>0</v>
      </c>
      <c r="BC65" s="260">
        <f t="shared" si="90"/>
        <v>0</v>
      </c>
      <c r="BD65" s="260">
        <f t="shared" si="90"/>
        <v>0</v>
      </c>
      <c r="BE65" s="260">
        <f t="shared" si="90"/>
        <v>0</v>
      </c>
      <c r="BF65" s="260">
        <f t="shared" si="90"/>
        <v>0</v>
      </c>
      <c r="BG65" s="260">
        <f t="shared" si="90"/>
        <v>0</v>
      </c>
      <c r="BH65" s="210"/>
    </row>
    <row r="66" spans="1:60">
      <c r="A66" s="1041"/>
      <c r="B66" s="1109" t="s">
        <v>147</v>
      </c>
      <c r="C66" s="1107" t="s">
        <v>104</v>
      </c>
      <c r="D66" s="641" t="s">
        <v>45</v>
      </c>
      <c r="E66" s="295" t="str">
        <f>$R$10</f>
        <v>verlichting</v>
      </c>
      <c r="F66" s="296"/>
      <c r="G66" s="296"/>
      <c r="H66" s="295" t="s">
        <v>154</v>
      </c>
      <c r="I66" s="259"/>
      <c r="J66" s="261">
        <f t="shared" si="70"/>
        <v>0</v>
      </c>
      <c r="K66" s="126"/>
      <c r="L66" s="126"/>
      <c r="M66" s="261">
        <f t="shared" si="71"/>
        <v>0</v>
      </c>
      <c r="N66" s="259"/>
      <c r="O66" s="260">
        <f t="shared" ref="O66:W66" si="91">IF(OR(O$17="",AND(O$19&lt;&gt;woning,O$19&lt;&gt;woongebouw,O$46="")),0,
(INDEX(verlichting_parameters_a,MATCH(O$19,verlichting_parameters_gebruiksfuncties,0))+
INDEX(verlichting_parameters_b,MATCH(O$19,verlichting_parameters_gebruiksfuncties,0))*IF(O$45="",INDEX(verlichting_vermogen_forfaitair,MATCH(O$19,verlichting_parameters_gebruiksfuncties,0)),O$45))*
IF(OR(O$19=woning,O$19=woongebouw),1,INDEX(verlichtingsregeling_waarden,MATCH(O$46,verlichtingsregeling_kopregel,0))))</f>
        <v>0</v>
      </c>
      <c r="P66" s="260">
        <f t="shared" si="91"/>
        <v>0</v>
      </c>
      <c r="Q66" s="260">
        <f t="shared" si="91"/>
        <v>0</v>
      </c>
      <c r="R66" s="260">
        <f t="shared" si="91"/>
        <v>0</v>
      </c>
      <c r="S66" s="260">
        <f t="shared" si="91"/>
        <v>0</v>
      </c>
      <c r="T66" s="260">
        <f t="shared" si="91"/>
        <v>0</v>
      </c>
      <c r="U66" s="260">
        <f t="shared" si="91"/>
        <v>0</v>
      </c>
      <c r="V66" s="260">
        <f t="shared" si="91"/>
        <v>0</v>
      </c>
      <c r="W66" s="260">
        <f t="shared" si="91"/>
        <v>0</v>
      </c>
      <c r="X66" s="126"/>
      <c r="Y66" s="261">
        <f t="shared" si="81"/>
        <v>0</v>
      </c>
      <c r="Z66" s="259"/>
      <c r="AA66" s="260">
        <f t="shared" ref="AA66:AI66" si="92">IF(OR(AA$17="",AND(AA$19&lt;&gt;woning,AA$19&lt;&gt;woongebouw,AA$46="")),0,
(INDEX(verlichting_parameters_a,MATCH(AA$19,verlichting_parameters_gebruiksfuncties,0))+
INDEX(verlichting_parameters_b,MATCH(AA$19,verlichting_parameters_gebruiksfuncties,0))*IF(AA$45="",INDEX(verlichting_vermogen_forfaitair,MATCH(AA$19,verlichting_parameters_gebruiksfuncties,0)),AA$45))*
IF(OR(AA$19=woning,AA$19=woongebouw),1,INDEX(verlichtingsregeling_waarden,MATCH(AA$46,verlichtingsregeling_kopregel,0))))</f>
        <v>0</v>
      </c>
      <c r="AB66" s="260">
        <f t="shared" si="92"/>
        <v>0</v>
      </c>
      <c r="AC66" s="260">
        <f t="shared" si="92"/>
        <v>0</v>
      </c>
      <c r="AD66" s="260">
        <f t="shared" si="92"/>
        <v>0</v>
      </c>
      <c r="AE66" s="260">
        <f t="shared" si="92"/>
        <v>0</v>
      </c>
      <c r="AF66" s="260">
        <f t="shared" si="92"/>
        <v>0</v>
      </c>
      <c r="AG66" s="260">
        <f t="shared" si="92"/>
        <v>0</v>
      </c>
      <c r="AH66" s="260">
        <f t="shared" si="92"/>
        <v>0</v>
      </c>
      <c r="AI66" s="260">
        <f t="shared" si="92"/>
        <v>0</v>
      </c>
      <c r="AJ66" s="126"/>
      <c r="AK66" s="261">
        <f t="shared" si="83"/>
        <v>0</v>
      </c>
      <c r="AL66" s="259"/>
      <c r="AM66" s="260">
        <f t="shared" ref="AM66:AU66" si="93">IF(OR(AM$17="",AND(AM$19&lt;&gt;woning,AM$19&lt;&gt;woongebouw,AM$46="")),0,
(INDEX(verlichting_parameters_a,MATCH(AM$19,verlichting_parameters_gebruiksfuncties,0))+
INDEX(verlichting_parameters_b,MATCH(AM$19,verlichting_parameters_gebruiksfuncties,0))*IF(AM$45="",INDEX(verlichting_vermogen_forfaitair,MATCH(AM$19,verlichting_parameters_gebruiksfuncties,0)),AM$45))*
IF(OR(AM$19=woning,AM$19=woongebouw),1,INDEX(verlichtingsregeling_waarden,MATCH(AM$46,verlichtingsregeling_kopregel,0))))</f>
        <v>0</v>
      </c>
      <c r="AN66" s="260">
        <f t="shared" si="93"/>
        <v>0</v>
      </c>
      <c r="AO66" s="260">
        <f t="shared" si="93"/>
        <v>0</v>
      </c>
      <c r="AP66" s="260">
        <f t="shared" si="93"/>
        <v>0</v>
      </c>
      <c r="AQ66" s="260">
        <f t="shared" si="93"/>
        <v>0</v>
      </c>
      <c r="AR66" s="260">
        <f t="shared" si="93"/>
        <v>0</v>
      </c>
      <c r="AS66" s="260">
        <f t="shared" si="93"/>
        <v>0</v>
      </c>
      <c r="AT66" s="260">
        <f t="shared" si="93"/>
        <v>0</v>
      </c>
      <c r="AU66" s="260">
        <f t="shared" si="93"/>
        <v>0</v>
      </c>
      <c r="AV66" s="126"/>
      <c r="AW66" s="261">
        <f t="shared" si="85"/>
        <v>0</v>
      </c>
      <c r="AX66" s="259"/>
      <c r="AY66" s="260">
        <f t="shared" ref="AY66:BG66" si="94">IF(OR(AY$17="",AND(AY$19&lt;&gt;woning,AY$19&lt;&gt;woongebouw,AY$46="")),0,
(INDEX(verlichting_parameters_a,MATCH(AY$19,verlichting_parameters_gebruiksfuncties,0))+
INDEX(verlichting_parameters_b,MATCH(AY$19,verlichting_parameters_gebruiksfuncties,0))*IF(AY$45="",INDEX(verlichting_vermogen_forfaitair,MATCH(AY$19,verlichting_parameters_gebruiksfuncties,0)),AY$45))*
IF(OR(AY$19=woning,AY$19=woongebouw),1,INDEX(verlichtingsregeling_waarden,MATCH(AY$46,verlichtingsregeling_kopregel,0))))</f>
        <v>0</v>
      </c>
      <c r="AZ66" s="260">
        <f t="shared" si="94"/>
        <v>0</v>
      </c>
      <c r="BA66" s="260">
        <f t="shared" si="94"/>
        <v>0</v>
      </c>
      <c r="BB66" s="260">
        <f t="shared" si="94"/>
        <v>0</v>
      </c>
      <c r="BC66" s="260">
        <f t="shared" si="94"/>
        <v>0</v>
      </c>
      <c r="BD66" s="260">
        <f t="shared" si="94"/>
        <v>0</v>
      </c>
      <c r="BE66" s="260">
        <f t="shared" si="94"/>
        <v>0</v>
      </c>
      <c r="BF66" s="260">
        <f t="shared" si="94"/>
        <v>0</v>
      </c>
      <c r="BG66" s="260">
        <f t="shared" si="94"/>
        <v>0</v>
      </c>
      <c r="BH66" s="210"/>
    </row>
    <row r="67" spans="1:60">
      <c r="A67" s="1041"/>
      <c r="B67" s="1109" t="s">
        <v>147</v>
      </c>
      <c r="C67" s="1107" t="s">
        <v>104</v>
      </c>
      <c r="D67" s="641" t="s">
        <v>45</v>
      </c>
      <c r="E67" s="295" t="str">
        <f>$S$10</f>
        <v>ventilatoren</v>
      </c>
      <c r="F67" s="296"/>
      <c r="G67" s="296"/>
      <c r="H67" s="295" t="s">
        <v>154</v>
      </c>
      <c r="I67" s="259"/>
      <c r="J67" s="261">
        <f t="shared" si="70"/>
        <v>0</v>
      </c>
      <c r="K67" s="126"/>
      <c r="L67" s="126"/>
      <c r="M67" s="261">
        <f t="shared" si="71"/>
        <v>0</v>
      </c>
      <c r="N67" s="259"/>
      <c r="O67" s="260">
        <f t="shared" ref="O67:W67" si="95">IFERROR(IF(OR(O$17="",O$40=""),0,
IF(LEFT(INDEX(ventilatiesystemen_code,MATCH(O$40,ventilatiesystemen_namen,0)),1)="A",0,
IF(LEFT(INDEX(ventilatiesystemen_code,MATCH(O$40,ventilatiesystemen_namen,0)),1)="C",VLOOKUP(O$41,ventilatorenergie_ventilatiesysteem_B_C,MATCH(O$19,ventilatorenergie_ventilatiesysteem_B_C_kopregel,0),FALSE),
VLOOKUP(O$41,ventilatorenergie_ventilatiesysteem_D,MATCH(O$19,ventilatorenergie_ventilatiesysteem_D_kopregel,0),FALSE)  ))),0)</f>
        <v>0</v>
      </c>
      <c r="P67" s="260">
        <f t="shared" si="95"/>
        <v>0</v>
      </c>
      <c r="Q67" s="260">
        <f t="shared" si="95"/>
        <v>0</v>
      </c>
      <c r="R67" s="260">
        <f t="shared" si="95"/>
        <v>0</v>
      </c>
      <c r="S67" s="260">
        <f t="shared" si="95"/>
        <v>0</v>
      </c>
      <c r="T67" s="260">
        <f t="shared" si="95"/>
        <v>0</v>
      </c>
      <c r="U67" s="260">
        <f t="shared" si="95"/>
        <v>0</v>
      </c>
      <c r="V67" s="260">
        <f t="shared" si="95"/>
        <v>0</v>
      </c>
      <c r="W67" s="260">
        <f t="shared" si="95"/>
        <v>0</v>
      </c>
      <c r="X67" s="126"/>
      <c r="Y67" s="261">
        <f t="shared" si="81"/>
        <v>0</v>
      </c>
      <c r="Z67" s="259"/>
      <c r="AA67" s="260">
        <f t="shared" ref="AA67:AI67" si="96">IFERROR(IF(OR(AA$17="",AA$40=""),0,
IF(LEFT(INDEX(ventilatiesystemen_code,MATCH(AA$40,ventilatiesystemen_namen,0)),1)="A",0,
IF(LEFT(INDEX(ventilatiesystemen_code,MATCH(AA$40,ventilatiesystemen_namen,0)),1)="C",VLOOKUP(AA$41,ventilatorenergie_ventilatiesysteem_B_C,MATCH(AA$19,ventilatorenergie_ventilatiesysteem_B_C_kopregel,0),FALSE),
VLOOKUP(AA$41,ventilatorenergie_ventilatiesysteem_D,MATCH(AA$19,ventilatorenergie_ventilatiesysteem_D_kopregel,0),FALSE)  ))),0)</f>
        <v>0</v>
      </c>
      <c r="AB67" s="260">
        <f t="shared" si="96"/>
        <v>0</v>
      </c>
      <c r="AC67" s="260">
        <f t="shared" si="96"/>
        <v>0</v>
      </c>
      <c r="AD67" s="260">
        <f t="shared" si="96"/>
        <v>0</v>
      </c>
      <c r="AE67" s="260">
        <f t="shared" si="96"/>
        <v>0</v>
      </c>
      <c r="AF67" s="260">
        <f t="shared" si="96"/>
        <v>0</v>
      </c>
      <c r="AG67" s="260">
        <f t="shared" si="96"/>
        <v>0</v>
      </c>
      <c r="AH67" s="260">
        <f t="shared" si="96"/>
        <v>0</v>
      </c>
      <c r="AI67" s="260">
        <f t="shared" si="96"/>
        <v>0</v>
      </c>
      <c r="AJ67" s="126"/>
      <c r="AK67" s="261">
        <f t="shared" si="83"/>
        <v>0</v>
      </c>
      <c r="AL67" s="259"/>
      <c r="AM67" s="260">
        <f t="shared" ref="AM67:AU67" si="97">IFERROR(IF(OR(AM$17="",AM$40=""),0,
IF(LEFT(INDEX(ventilatiesystemen_code,MATCH(AM$40,ventilatiesystemen_namen,0)),1)="A",0,
IF(LEFT(INDEX(ventilatiesystemen_code,MATCH(AM$40,ventilatiesystemen_namen,0)),1)="C",VLOOKUP(AM$41,ventilatorenergie_ventilatiesysteem_B_C,MATCH(AM$19,ventilatorenergie_ventilatiesysteem_B_C_kopregel,0),FALSE),
VLOOKUP(AM$41,ventilatorenergie_ventilatiesysteem_D,MATCH(AM$19,ventilatorenergie_ventilatiesysteem_D_kopregel,0),FALSE)  ))),0)</f>
        <v>0</v>
      </c>
      <c r="AN67" s="260">
        <f t="shared" si="97"/>
        <v>0</v>
      </c>
      <c r="AO67" s="260">
        <f t="shared" si="97"/>
        <v>0</v>
      </c>
      <c r="AP67" s="260">
        <f t="shared" si="97"/>
        <v>0</v>
      </c>
      <c r="AQ67" s="260">
        <f t="shared" si="97"/>
        <v>0</v>
      </c>
      <c r="AR67" s="260">
        <f t="shared" si="97"/>
        <v>0</v>
      </c>
      <c r="AS67" s="260">
        <f t="shared" si="97"/>
        <v>0</v>
      </c>
      <c r="AT67" s="260">
        <f t="shared" si="97"/>
        <v>0</v>
      </c>
      <c r="AU67" s="260">
        <f t="shared" si="97"/>
        <v>0</v>
      </c>
      <c r="AV67" s="126"/>
      <c r="AW67" s="261">
        <f t="shared" si="85"/>
        <v>0</v>
      </c>
      <c r="AX67" s="259"/>
      <c r="AY67" s="260">
        <f t="shared" ref="AY67:BG67" si="98">IFERROR(IF(OR(AY$17="",AY$40=""),0,
IF(LEFT(INDEX(ventilatiesystemen_code,MATCH(AY$40,ventilatiesystemen_namen,0)),1)="A",0,
IF(LEFT(INDEX(ventilatiesystemen_code,MATCH(AY$40,ventilatiesystemen_namen,0)),1)="C",VLOOKUP(AY$41,ventilatorenergie_ventilatiesysteem_B_C,MATCH(AY$19,ventilatorenergie_ventilatiesysteem_B_C_kopregel,0),FALSE),
VLOOKUP(AY$41,ventilatorenergie_ventilatiesysteem_D,MATCH(AY$19,ventilatorenergie_ventilatiesysteem_D_kopregel,0),FALSE)  ))),0)</f>
        <v>0</v>
      </c>
      <c r="AZ67" s="260">
        <f t="shared" si="98"/>
        <v>0</v>
      </c>
      <c r="BA67" s="260">
        <f t="shared" si="98"/>
        <v>0</v>
      </c>
      <c r="BB67" s="260">
        <f t="shared" si="98"/>
        <v>0</v>
      </c>
      <c r="BC67" s="260">
        <f t="shared" si="98"/>
        <v>0</v>
      </c>
      <c r="BD67" s="260">
        <f t="shared" si="98"/>
        <v>0</v>
      </c>
      <c r="BE67" s="260">
        <f t="shared" si="98"/>
        <v>0</v>
      </c>
      <c r="BF67" s="260">
        <f t="shared" si="98"/>
        <v>0</v>
      </c>
      <c r="BG67" s="260">
        <f t="shared" si="98"/>
        <v>0</v>
      </c>
      <c r="BH67" s="210"/>
    </row>
    <row r="68" spans="1:60">
      <c r="A68" s="1041"/>
      <c r="B68" s="1109" t="s">
        <v>147</v>
      </c>
      <c r="C68" s="1107" t="s">
        <v>104</v>
      </c>
      <c r="D68" s="641" t="s">
        <v>45</v>
      </c>
      <c r="E68" s="413" t="str">
        <f>$T$10</f>
        <v>kookgas</v>
      </c>
      <c r="F68" s="296"/>
      <c r="G68" s="296"/>
      <c r="H68" s="295" t="s">
        <v>154</v>
      </c>
      <c r="I68" s="259"/>
      <c r="J68" s="261">
        <f t="shared" si="70"/>
        <v>0</v>
      </c>
      <c r="K68" s="126"/>
      <c r="L68" s="126"/>
      <c r="M68" s="261">
        <f t="shared" si="71"/>
        <v>0</v>
      </c>
      <c r="N68" s="259"/>
      <c r="O68" s="260">
        <f t="shared" ref="O68:W68" si="99">IF(OR(O$17="",O$29=0,O$47=elektriciteit,AND(O$19&lt;&gt;woning,O$19&lt;&gt;woongebouw)),0,koken_gas/O$29)</f>
        <v>0</v>
      </c>
      <c r="P68" s="260">
        <f t="shared" si="99"/>
        <v>0</v>
      </c>
      <c r="Q68" s="260">
        <f t="shared" si="99"/>
        <v>0</v>
      </c>
      <c r="R68" s="260">
        <f t="shared" si="99"/>
        <v>0</v>
      </c>
      <c r="S68" s="260">
        <f t="shared" si="99"/>
        <v>0</v>
      </c>
      <c r="T68" s="260">
        <f t="shared" si="99"/>
        <v>0</v>
      </c>
      <c r="U68" s="260">
        <f t="shared" si="99"/>
        <v>0</v>
      </c>
      <c r="V68" s="260">
        <f t="shared" si="99"/>
        <v>0</v>
      </c>
      <c r="W68" s="260">
        <f t="shared" si="99"/>
        <v>0</v>
      </c>
      <c r="X68" s="126"/>
      <c r="Y68" s="261">
        <f t="shared" si="81"/>
        <v>0</v>
      </c>
      <c r="Z68" s="259"/>
      <c r="AA68" s="260">
        <f t="shared" ref="AA68:AI68" si="100">IF(OR(AA$17="",AA$29=0,AA$47=elektriciteit,AND(AA$19&lt;&gt;woning,AA$19&lt;&gt;woongebouw)),0,koken_gas/AA$29)</f>
        <v>0</v>
      </c>
      <c r="AB68" s="260">
        <f t="shared" si="100"/>
        <v>0</v>
      </c>
      <c r="AC68" s="260">
        <f t="shared" si="100"/>
        <v>0</v>
      </c>
      <c r="AD68" s="260">
        <f t="shared" si="100"/>
        <v>0</v>
      </c>
      <c r="AE68" s="260">
        <f t="shared" si="100"/>
        <v>0</v>
      </c>
      <c r="AF68" s="260">
        <f t="shared" si="100"/>
        <v>0</v>
      </c>
      <c r="AG68" s="260">
        <f t="shared" si="100"/>
        <v>0</v>
      </c>
      <c r="AH68" s="260">
        <f t="shared" si="100"/>
        <v>0</v>
      </c>
      <c r="AI68" s="260">
        <f t="shared" si="100"/>
        <v>0</v>
      </c>
      <c r="AJ68" s="126"/>
      <c r="AK68" s="261">
        <f t="shared" si="83"/>
        <v>0</v>
      </c>
      <c r="AL68" s="259"/>
      <c r="AM68" s="260">
        <f t="shared" ref="AM68:AU68" si="101">IF(OR(AM$17="",AM$29=0,AM$47=elektriciteit,AND(AM$19&lt;&gt;woning,AM$19&lt;&gt;woongebouw)),0,koken_gas/AM$29)</f>
        <v>0</v>
      </c>
      <c r="AN68" s="260">
        <f t="shared" si="101"/>
        <v>0</v>
      </c>
      <c r="AO68" s="260">
        <f t="shared" si="101"/>
        <v>0</v>
      </c>
      <c r="AP68" s="260">
        <f t="shared" si="101"/>
        <v>0</v>
      </c>
      <c r="AQ68" s="260">
        <f t="shared" si="101"/>
        <v>0</v>
      </c>
      <c r="AR68" s="260">
        <f t="shared" si="101"/>
        <v>0</v>
      </c>
      <c r="AS68" s="260">
        <f t="shared" si="101"/>
        <v>0</v>
      </c>
      <c r="AT68" s="260">
        <f t="shared" si="101"/>
        <v>0</v>
      </c>
      <c r="AU68" s="260">
        <f t="shared" si="101"/>
        <v>0</v>
      </c>
      <c r="AV68" s="126"/>
      <c r="AW68" s="261">
        <f t="shared" si="85"/>
        <v>0</v>
      </c>
      <c r="AX68" s="259"/>
      <c r="AY68" s="260">
        <f t="shared" ref="AY68:BG68" si="102">IF(OR(AY$17="",AY$29=0,AY$47=elektriciteit,AND(AY$19&lt;&gt;woning,AY$19&lt;&gt;woongebouw)),0,koken_gas/AY$29)</f>
        <v>0</v>
      </c>
      <c r="AZ68" s="260">
        <f t="shared" si="102"/>
        <v>0</v>
      </c>
      <c r="BA68" s="260">
        <f t="shared" si="102"/>
        <v>0</v>
      </c>
      <c r="BB68" s="260">
        <f t="shared" si="102"/>
        <v>0</v>
      </c>
      <c r="BC68" s="260">
        <f t="shared" si="102"/>
        <v>0</v>
      </c>
      <c r="BD68" s="260">
        <f t="shared" si="102"/>
        <v>0</v>
      </c>
      <c r="BE68" s="260">
        <f t="shared" si="102"/>
        <v>0</v>
      </c>
      <c r="BF68" s="260">
        <f t="shared" si="102"/>
        <v>0</v>
      </c>
      <c r="BG68" s="260">
        <f t="shared" si="102"/>
        <v>0</v>
      </c>
      <c r="BH68" s="210"/>
    </row>
    <row r="69" spans="1:60">
      <c r="A69" s="1041"/>
      <c r="B69" s="1109" t="s">
        <v>147</v>
      </c>
      <c r="C69" s="1107" t="s">
        <v>104</v>
      </c>
      <c r="D69" s="641" t="s">
        <v>45</v>
      </c>
      <c r="E69" s="295" t="str">
        <f>$U$10</f>
        <v>overig elektra</v>
      </c>
      <c r="F69" s="296"/>
      <c r="G69" s="296"/>
      <c r="H69" s="295" t="s">
        <v>154</v>
      </c>
      <c r="I69" s="259"/>
      <c r="J69" s="261">
        <f t="shared" si="70"/>
        <v>0</v>
      </c>
      <c r="K69" s="126"/>
      <c r="L69" s="126"/>
      <c r="M69" s="261">
        <f t="shared" si="71"/>
        <v>0</v>
      </c>
      <c r="N69" s="259"/>
      <c r="O69" s="260">
        <f t="shared" ref="O69:W69" si="103">IF(O$17="",0,
IF(OR(O$19=woning,O$19=woongebouw),(1-O$48)*niet_gebouwgebonden_elektriciteitgebruik_woningen_per_m2+IF(O$47=elektriciteit,koken_elektriciteit/O$29,0),
(1-O$48)*INDEX(specifiek_niet_gebouwgebonden_elektriciteitsgebruik_waarden,MATCH(O$19,specifiek_niet_gebouwgebonden_elektriciteitsgebruik_gebruiksfuncties,0))))</f>
        <v>0</v>
      </c>
      <c r="P69" s="260">
        <f t="shared" si="103"/>
        <v>0</v>
      </c>
      <c r="Q69" s="260">
        <f t="shared" si="103"/>
        <v>0</v>
      </c>
      <c r="R69" s="260">
        <f t="shared" si="103"/>
        <v>0</v>
      </c>
      <c r="S69" s="260">
        <f t="shared" si="103"/>
        <v>0</v>
      </c>
      <c r="T69" s="260">
        <f t="shared" si="103"/>
        <v>0</v>
      </c>
      <c r="U69" s="260">
        <f t="shared" si="103"/>
        <v>0</v>
      </c>
      <c r="V69" s="260">
        <f t="shared" si="103"/>
        <v>0</v>
      </c>
      <c r="W69" s="260">
        <f t="shared" si="103"/>
        <v>0</v>
      </c>
      <c r="X69" s="126"/>
      <c r="Y69" s="261">
        <f t="shared" si="81"/>
        <v>0</v>
      </c>
      <c r="Z69" s="259"/>
      <c r="AA69" s="260">
        <f t="shared" ref="AA69:AI69" si="104">IF(AA$17="",0,
IF(OR(AA$19=woning,AA$19=woongebouw),(1-AA$48)*niet_gebouwgebonden_elektriciteitgebruik_woningen_per_m2+IF(AA$47=elektriciteit,koken_elektriciteit/AA$29,0),
(1-AA$48)*INDEX(specifiek_niet_gebouwgebonden_elektriciteitsgebruik_waarden,MATCH(AA$19,specifiek_niet_gebouwgebonden_elektriciteitsgebruik_gebruiksfuncties,0))))</f>
        <v>0</v>
      </c>
      <c r="AB69" s="260">
        <f t="shared" si="104"/>
        <v>0</v>
      </c>
      <c r="AC69" s="260">
        <f t="shared" si="104"/>
        <v>0</v>
      </c>
      <c r="AD69" s="260">
        <f t="shared" si="104"/>
        <v>0</v>
      </c>
      <c r="AE69" s="260">
        <f t="shared" si="104"/>
        <v>0</v>
      </c>
      <c r="AF69" s="260">
        <f t="shared" si="104"/>
        <v>0</v>
      </c>
      <c r="AG69" s="260">
        <f t="shared" si="104"/>
        <v>0</v>
      </c>
      <c r="AH69" s="260">
        <f t="shared" si="104"/>
        <v>0</v>
      </c>
      <c r="AI69" s="260">
        <f t="shared" si="104"/>
        <v>0</v>
      </c>
      <c r="AJ69" s="126"/>
      <c r="AK69" s="261">
        <f t="shared" si="83"/>
        <v>0</v>
      </c>
      <c r="AL69" s="259"/>
      <c r="AM69" s="260">
        <f t="shared" ref="AM69:AU69" si="105">IF(AM$17="",0,
IF(OR(AM$19=woning,AM$19=woongebouw),(1-AM$48)*niet_gebouwgebonden_elektriciteitgebruik_woningen_per_m2+IF(AM$47=elektriciteit,koken_elektriciteit/AM$29,0),
(1-AM$48)*INDEX(specifiek_niet_gebouwgebonden_elektriciteitsgebruik_waarden,MATCH(AM$19,specifiek_niet_gebouwgebonden_elektriciteitsgebruik_gebruiksfuncties,0))))</f>
        <v>0</v>
      </c>
      <c r="AN69" s="260">
        <f t="shared" si="105"/>
        <v>0</v>
      </c>
      <c r="AO69" s="260">
        <f t="shared" si="105"/>
        <v>0</v>
      </c>
      <c r="AP69" s="260">
        <f t="shared" si="105"/>
        <v>0</v>
      </c>
      <c r="AQ69" s="260">
        <f t="shared" si="105"/>
        <v>0</v>
      </c>
      <c r="AR69" s="260">
        <f t="shared" si="105"/>
        <v>0</v>
      </c>
      <c r="AS69" s="260">
        <f t="shared" si="105"/>
        <v>0</v>
      </c>
      <c r="AT69" s="260">
        <f t="shared" si="105"/>
        <v>0</v>
      </c>
      <c r="AU69" s="260">
        <f t="shared" si="105"/>
        <v>0</v>
      </c>
      <c r="AV69" s="126"/>
      <c r="AW69" s="261">
        <f t="shared" si="85"/>
        <v>0</v>
      </c>
      <c r="AX69" s="259"/>
      <c r="AY69" s="260">
        <f t="shared" ref="AY69:BG69" si="106">IF(AY$17="",0,
IF(OR(AY$19=woning,AY$19=woongebouw),(1-AY$48)*niet_gebouwgebonden_elektriciteitgebruik_woningen_per_m2+IF(AY$47=elektriciteit,koken_elektriciteit/AY$29,0),
(1-AY$48)*INDEX(specifiek_niet_gebouwgebonden_elektriciteitsgebruik_waarden,MATCH(AY$19,specifiek_niet_gebouwgebonden_elektriciteitsgebruik_gebruiksfuncties,0))))</f>
        <v>0</v>
      </c>
      <c r="AZ69" s="260">
        <f t="shared" si="106"/>
        <v>0</v>
      </c>
      <c r="BA69" s="260">
        <f t="shared" si="106"/>
        <v>0</v>
      </c>
      <c r="BB69" s="260">
        <f t="shared" si="106"/>
        <v>0</v>
      </c>
      <c r="BC69" s="260">
        <f t="shared" si="106"/>
        <v>0</v>
      </c>
      <c r="BD69" s="260">
        <f t="shared" si="106"/>
        <v>0</v>
      </c>
      <c r="BE69" s="260">
        <f t="shared" si="106"/>
        <v>0</v>
      </c>
      <c r="BF69" s="260">
        <f t="shared" si="106"/>
        <v>0</v>
      </c>
      <c r="BG69" s="260">
        <f t="shared" si="106"/>
        <v>0</v>
      </c>
      <c r="BH69" s="210"/>
    </row>
    <row r="70" spans="1:60">
      <c r="A70" s="1041"/>
      <c r="B70" s="1109" t="s">
        <v>147</v>
      </c>
      <c r="C70" s="1106" t="s">
        <v>96</v>
      </c>
      <c r="D70" s="641"/>
      <c r="E70" s="942" t="s">
        <v>155</v>
      </c>
      <c r="F70" s="942"/>
      <c r="G70" s="942"/>
      <c r="H70" s="942"/>
      <c r="I70" s="129"/>
      <c r="J70" s="943"/>
      <c r="K70" s="126"/>
      <c r="L70" s="126"/>
      <c r="M70" s="944"/>
      <c r="N70" s="145"/>
      <c r="O70" s="258" t="str">
        <f>O$17</f>
        <v/>
      </c>
      <c r="P70" s="258" t="str">
        <f t="shared" ref="P70:W70" si="107">P$17</f>
        <v/>
      </c>
      <c r="Q70" s="258" t="str">
        <f t="shared" si="107"/>
        <v/>
      </c>
      <c r="R70" s="258" t="str">
        <f t="shared" si="107"/>
        <v/>
      </c>
      <c r="S70" s="258" t="str">
        <f t="shared" si="107"/>
        <v/>
      </c>
      <c r="T70" s="258" t="str">
        <f t="shared" si="107"/>
        <v/>
      </c>
      <c r="U70" s="258" t="str">
        <f t="shared" si="107"/>
        <v/>
      </c>
      <c r="V70" s="258" t="str">
        <f t="shared" si="107"/>
        <v/>
      </c>
      <c r="W70" s="258" t="str">
        <f t="shared" si="107"/>
        <v/>
      </c>
      <c r="X70" s="146"/>
      <c r="Y70" s="944"/>
      <c r="Z70" s="145"/>
      <c r="AA70" s="258" t="str">
        <f>AA$17</f>
        <v/>
      </c>
      <c r="AB70" s="258" t="str">
        <f t="shared" ref="AB70:AI70" si="108">AB$17</f>
        <v/>
      </c>
      <c r="AC70" s="258" t="str">
        <f t="shared" si="108"/>
        <v/>
      </c>
      <c r="AD70" s="258" t="str">
        <f t="shared" si="108"/>
        <v/>
      </c>
      <c r="AE70" s="258" t="str">
        <f t="shared" si="108"/>
        <v/>
      </c>
      <c r="AF70" s="258" t="str">
        <f t="shared" si="108"/>
        <v/>
      </c>
      <c r="AG70" s="258" t="str">
        <f t="shared" si="108"/>
        <v/>
      </c>
      <c r="AH70" s="258" t="str">
        <f t="shared" si="108"/>
        <v/>
      </c>
      <c r="AI70" s="258" t="str">
        <f t="shared" si="108"/>
        <v/>
      </c>
      <c r="AJ70" s="146"/>
      <c r="AK70" s="944"/>
      <c r="AL70" s="145"/>
      <c r="AM70" s="258" t="str">
        <f>AM$17</f>
        <v/>
      </c>
      <c r="AN70" s="258" t="str">
        <f t="shared" ref="AN70:AU70" si="109">AN$17</f>
        <v/>
      </c>
      <c r="AO70" s="258" t="str">
        <f t="shared" si="109"/>
        <v/>
      </c>
      <c r="AP70" s="258" t="str">
        <f t="shared" si="109"/>
        <v/>
      </c>
      <c r="AQ70" s="258" t="str">
        <f t="shared" si="109"/>
        <v/>
      </c>
      <c r="AR70" s="258" t="str">
        <f t="shared" si="109"/>
        <v/>
      </c>
      <c r="AS70" s="258" t="str">
        <f t="shared" si="109"/>
        <v/>
      </c>
      <c r="AT70" s="258" t="str">
        <f t="shared" si="109"/>
        <v/>
      </c>
      <c r="AU70" s="258" t="str">
        <f t="shared" si="109"/>
        <v/>
      </c>
      <c r="AV70" s="146"/>
      <c r="AW70" s="944"/>
      <c r="AX70" s="145"/>
      <c r="AY70" s="258" t="str">
        <f>AY$17</f>
        <v/>
      </c>
      <c r="AZ70" s="258" t="str">
        <f t="shared" ref="AZ70:BG70" si="110">AZ$17</f>
        <v/>
      </c>
      <c r="BA70" s="258" t="str">
        <f t="shared" si="110"/>
        <v/>
      </c>
      <c r="BB70" s="258" t="str">
        <f t="shared" si="110"/>
        <v/>
      </c>
      <c r="BC70" s="258" t="str">
        <f t="shared" si="110"/>
        <v/>
      </c>
      <c r="BD70" s="258" t="str">
        <f t="shared" si="110"/>
        <v/>
      </c>
      <c r="BE70" s="258" t="str">
        <f t="shared" si="110"/>
        <v/>
      </c>
      <c r="BF70" s="258" t="str">
        <f t="shared" si="110"/>
        <v/>
      </c>
      <c r="BG70" s="258" t="str">
        <f t="shared" si="110"/>
        <v/>
      </c>
      <c r="BH70" s="218"/>
    </row>
    <row r="71" spans="1:60">
      <c r="A71" s="1041"/>
      <c r="B71" s="1109" t="s">
        <v>147</v>
      </c>
      <c r="C71" s="1107" t="s">
        <v>118</v>
      </c>
      <c r="D71" s="641" t="s">
        <v>45</v>
      </c>
      <c r="E71" s="295" t="str">
        <f>$V$10</f>
        <v>mobiliteit</v>
      </c>
      <c r="F71" s="296"/>
      <c r="G71" s="296"/>
      <c r="H71" s="295" t="s">
        <v>156</v>
      </c>
      <c r="I71" s="259"/>
      <c r="J71" s="261">
        <f>M71+Y71+AK71+AW71</f>
        <v>0</v>
      </c>
      <c r="K71" s="126"/>
      <c r="L71" s="126"/>
      <c r="M71" s="261">
        <f>SUMPRODUCT(N$22:X$22,N71:X71)/1000</f>
        <v>0</v>
      </c>
      <c r="N71" s="259"/>
      <c r="O71" s="381"/>
      <c r="P71" s="381"/>
      <c r="Q71" s="381"/>
      <c r="R71" s="381"/>
      <c r="S71" s="381"/>
      <c r="T71" s="381"/>
      <c r="U71" s="381"/>
      <c r="V71" s="381"/>
      <c r="W71" s="381"/>
      <c r="X71" s="126"/>
      <c r="Y71" s="261">
        <f>SUMPRODUCT(Z$22:AJ$22,Z71:AJ71)/1000</f>
        <v>0</v>
      </c>
      <c r="Z71" s="259"/>
      <c r="AA71" s="381"/>
      <c r="AB71" s="381"/>
      <c r="AC71" s="381"/>
      <c r="AD71" s="381"/>
      <c r="AE71" s="381"/>
      <c r="AF71" s="381"/>
      <c r="AG71" s="381"/>
      <c r="AH71" s="381"/>
      <c r="AI71" s="381"/>
      <c r="AJ71" s="126"/>
      <c r="AK71" s="261">
        <f>SUMPRODUCT(AL$22:AV$22,AL71:AV71)/1000</f>
        <v>0</v>
      </c>
      <c r="AL71" s="259"/>
      <c r="AM71" s="381"/>
      <c r="AN71" s="381"/>
      <c r="AO71" s="381"/>
      <c r="AP71" s="381"/>
      <c r="AQ71" s="381"/>
      <c r="AR71" s="381"/>
      <c r="AS71" s="381"/>
      <c r="AT71" s="381"/>
      <c r="AU71" s="381"/>
      <c r="AV71" s="126"/>
      <c r="AW71" s="261">
        <f>SUMPRODUCT(AX$22:BH$22,AX71:BH71)/1000</f>
        <v>0</v>
      </c>
      <c r="AX71" s="259"/>
      <c r="AY71" s="381"/>
      <c r="AZ71" s="381"/>
      <c r="BA71" s="381"/>
      <c r="BB71" s="381"/>
      <c r="BC71" s="381"/>
      <c r="BD71" s="381"/>
      <c r="BE71" s="381"/>
      <c r="BF71" s="381"/>
      <c r="BG71" s="381"/>
      <c r="BH71" s="210"/>
    </row>
    <row r="72" spans="1:60">
      <c r="A72" s="1040"/>
      <c r="B72" s="1109" t="s">
        <v>147</v>
      </c>
      <c r="C72" s="1106" t="s">
        <v>96</v>
      </c>
      <c r="D72" s="641"/>
      <c r="E72" s="942" t="s">
        <v>157</v>
      </c>
      <c r="F72" s="942"/>
      <c r="G72" s="942"/>
      <c r="H72" s="942"/>
      <c r="I72" s="129"/>
      <c r="J72" s="943"/>
      <c r="K72" s="126"/>
      <c r="L72" s="126"/>
      <c r="M72" s="944"/>
      <c r="N72" s="145"/>
      <c r="O72" s="258" t="str">
        <f>O$17</f>
        <v/>
      </c>
      <c r="P72" s="258" t="str">
        <f t="shared" ref="P72:W72" si="111">P$17</f>
        <v/>
      </c>
      <c r="Q72" s="258" t="str">
        <f t="shared" si="111"/>
        <v/>
      </c>
      <c r="R72" s="258" t="str">
        <f t="shared" si="111"/>
        <v/>
      </c>
      <c r="S72" s="258" t="str">
        <f t="shared" si="111"/>
        <v/>
      </c>
      <c r="T72" s="258" t="str">
        <f t="shared" si="111"/>
        <v/>
      </c>
      <c r="U72" s="258" t="str">
        <f t="shared" si="111"/>
        <v/>
      </c>
      <c r="V72" s="258" t="str">
        <f t="shared" si="111"/>
        <v/>
      </c>
      <c r="W72" s="258" t="str">
        <f t="shared" si="111"/>
        <v/>
      </c>
      <c r="X72" s="146"/>
      <c r="Y72" s="944"/>
      <c r="Z72" s="145"/>
      <c r="AA72" s="258" t="str">
        <f>AA$17</f>
        <v/>
      </c>
      <c r="AB72" s="258" t="str">
        <f t="shared" ref="AB72:AI72" si="112">AB$17</f>
        <v/>
      </c>
      <c r="AC72" s="258" t="str">
        <f t="shared" si="112"/>
        <v/>
      </c>
      <c r="AD72" s="258" t="str">
        <f t="shared" si="112"/>
        <v/>
      </c>
      <c r="AE72" s="258" t="str">
        <f t="shared" si="112"/>
        <v/>
      </c>
      <c r="AF72" s="258" t="str">
        <f t="shared" si="112"/>
        <v/>
      </c>
      <c r="AG72" s="258" t="str">
        <f t="shared" si="112"/>
        <v/>
      </c>
      <c r="AH72" s="258" t="str">
        <f t="shared" si="112"/>
        <v/>
      </c>
      <c r="AI72" s="258" t="str">
        <f t="shared" si="112"/>
        <v/>
      </c>
      <c r="AJ72" s="146"/>
      <c r="AK72" s="944"/>
      <c r="AL72" s="145"/>
      <c r="AM72" s="258" t="str">
        <f>AM$17</f>
        <v/>
      </c>
      <c r="AN72" s="258" t="str">
        <f t="shared" ref="AN72:AU72" si="113">AN$17</f>
        <v/>
      </c>
      <c r="AO72" s="258" t="str">
        <f t="shared" si="113"/>
        <v/>
      </c>
      <c r="AP72" s="258" t="str">
        <f t="shared" si="113"/>
        <v/>
      </c>
      <c r="AQ72" s="258" t="str">
        <f t="shared" si="113"/>
        <v/>
      </c>
      <c r="AR72" s="258" t="str">
        <f t="shared" si="113"/>
        <v/>
      </c>
      <c r="AS72" s="258" t="str">
        <f t="shared" si="113"/>
        <v/>
      </c>
      <c r="AT72" s="258" t="str">
        <f t="shared" si="113"/>
        <v/>
      </c>
      <c r="AU72" s="258" t="str">
        <f t="shared" si="113"/>
        <v/>
      </c>
      <c r="AV72" s="146"/>
      <c r="AW72" s="944"/>
      <c r="AX72" s="145"/>
      <c r="AY72" s="258" t="str">
        <f>AY$17</f>
        <v/>
      </c>
      <c r="AZ72" s="258" t="str">
        <f t="shared" ref="AZ72:BG72" si="114">AZ$17</f>
        <v/>
      </c>
      <c r="BA72" s="258" t="str">
        <f t="shared" si="114"/>
        <v/>
      </c>
      <c r="BB72" s="258" t="str">
        <f t="shared" si="114"/>
        <v/>
      </c>
      <c r="BC72" s="258" t="str">
        <f t="shared" si="114"/>
        <v/>
      </c>
      <c r="BD72" s="258" t="str">
        <f t="shared" si="114"/>
        <v/>
      </c>
      <c r="BE72" s="258" t="str">
        <f t="shared" si="114"/>
        <v/>
      </c>
      <c r="BF72" s="258" t="str">
        <f t="shared" si="114"/>
        <v/>
      </c>
      <c r="BG72" s="258" t="str">
        <f t="shared" si="114"/>
        <v/>
      </c>
      <c r="BH72" s="218"/>
    </row>
    <row r="73" spans="1:60">
      <c r="A73" s="1040"/>
      <c r="B73" s="1109" t="s">
        <v>147</v>
      </c>
      <c r="C73" s="1107" t="s">
        <v>118</v>
      </c>
      <c r="D73" s="641" t="s">
        <v>45</v>
      </c>
      <c r="E73" s="295" t="s">
        <v>1367</v>
      </c>
      <c r="F73" s="296"/>
      <c r="G73" s="296"/>
      <c r="H73" s="295" t="s">
        <v>156</v>
      </c>
      <c r="I73" s="259"/>
      <c r="J73" s="261">
        <f>M73+Y73+AK73+AW73</f>
        <v>0</v>
      </c>
      <c r="K73" s="126"/>
      <c r="L73" s="126"/>
      <c r="M73" s="261">
        <f>SUMPRODUCT(N$22:X$22,N73:X73)/1000</f>
        <v>0</v>
      </c>
      <c r="N73" s="259"/>
      <c r="O73" s="381"/>
      <c r="P73" s="381"/>
      <c r="Q73" s="381"/>
      <c r="R73" s="381"/>
      <c r="S73" s="381"/>
      <c r="T73" s="381"/>
      <c r="U73" s="381"/>
      <c r="V73" s="381"/>
      <c r="W73" s="381"/>
      <c r="X73" s="126"/>
      <c r="Y73" s="261">
        <f>SUMPRODUCT(Z$22:AJ$22,Z73:AJ73)/1000</f>
        <v>0</v>
      </c>
      <c r="Z73" s="259"/>
      <c r="AA73" s="381"/>
      <c r="AB73" s="381"/>
      <c r="AC73" s="381"/>
      <c r="AD73" s="381"/>
      <c r="AE73" s="381"/>
      <c r="AF73" s="381"/>
      <c r="AG73" s="381"/>
      <c r="AH73" s="381"/>
      <c r="AI73" s="381"/>
      <c r="AJ73" s="126"/>
      <c r="AK73" s="261">
        <f>SUMPRODUCT(AL$22:AV$22,AL73:AV73)/1000</f>
        <v>0</v>
      </c>
      <c r="AL73" s="259"/>
      <c r="AM73" s="381"/>
      <c r="AN73" s="381"/>
      <c r="AO73" s="381"/>
      <c r="AP73" s="381"/>
      <c r="AQ73" s="381"/>
      <c r="AR73" s="381"/>
      <c r="AS73" s="381"/>
      <c r="AT73" s="381"/>
      <c r="AU73" s="381"/>
      <c r="AV73" s="126"/>
      <c r="AW73" s="261">
        <f>SUMPRODUCT(AX$22:BH$22,AX73:BH73)/1000</f>
        <v>0</v>
      </c>
      <c r="AX73" s="259"/>
      <c r="AY73" s="381"/>
      <c r="AZ73" s="381"/>
      <c r="BA73" s="381"/>
      <c r="BB73" s="381"/>
      <c r="BC73" s="381"/>
      <c r="BD73" s="381"/>
      <c r="BE73" s="381"/>
      <c r="BF73" s="381"/>
      <c r="BG73" s="381"/>
      <c r="BH73" s="210"/>
    </row>
    <row r="74" spans="1:60">
      <c r="A74" s="1040"/>
      <c r="B74" s="1109" t="s">
        <v>147</v>
      </c>
      <c r="C74" s="1107" t="s">
        <v>118</v>
      </c>
      <c r="D74" s="638"/>
      <c r="E74" s="79"/>
      <c r="F74" s="79"/>
      <c r="G74" s="79"/>
      <c r="H74" s="85"/>
      <c r="I74" s="79"/>
      <c r="J74" s="82"/>
      <c r="K74" s="79"/>
      <c r="L74" s="79"/>
      <c r="M74" s="82"/>
      <c r="N74" s="79"/>
      <c r="O74" s="82"/>
      <c r="P74" s="82"/>
      <c r="Q74" s="105"/>
      <c r="R74" s="105"/>
      <c r="S74" s="105"/>
      <c r="T74" s="105"/>
      <c r="U74" s="105"/>
      <c r="V74" s="105"/>
      <c r="W74" s="105"/>
      <c r="X74" s="82"/>
      <c r="Y74" s="82"/>
      <c r="Z74" s="79"/>
      <c r="AA74" s="105"/>
      <c r="AB74" s="82"/>
      <c r="AC74" s="105"/>
      <c r="AD74" s="105"/>
      <c r="AE74" s="105"/>
      <c r="AF74" s="105"/>
      <c r="AG74" s="105"/>
      <c r="AH74" s="105"/>
      <c r="AI74" s="105"/>
      <c r="AJ74" s="82"/>
      <c r="AK74" s="82"/>
      <c r="AL74" s="79"/>
      <c r="AM74" s="105"/>
      <c r="AN74" s="82"/>
      <c r="AO74" s="105"/>
      <c r="AP74" s="105"/>
      <c r="AQ74" s="105"/>
      <c r="AR74" s="105"/>
      <c r="AS74" s="105"/>
      <c r="AT74" s="105"/>
      <c r="AU74" s="105"/>
      <c r="AV74" s="82"/>
      <c r="AW74" s="82"/>
      <c r="AX74" s="79"/>
      <c r="AY74" s="82"/>
      <c r="AZ74" s="82"/>
      <c r="BA74" s="82"/>
      <c r="BB74" s="82"/>
      <c r="BC74" s="82"/>
      <c r="BD74" s="82"/>
      <c r="BE74" s="82"/>
      <c r="BF74" s="82"/>
      <c r="BG74" s="82"/>
      <c r="BH74" s="1"/>
    </row>
    <row r="75" spans="1:60">
      <c r="A75" s="1040"/>
      <c r="B75" s="1109" t="s">
        <v>147</v>
      </c>
      <c r="C75" s="1107" t="s">
        <v>96</v>
      </c>
      <c r="D75" s="638"/>
      <c r="E75" s="79"/>
      <c r="F75" s="79"/>
      <c r="G75" s="79"/>
      <c r="H75" s="85"/>
      <c r="I75" s="79"/>
      <c r="J75" s="82"/>
      <c r="K75" s="79"/>
      <c r="L75" s="79"/>
      <c r="M75" s="82"/>
      <c r="N75" s="79"/>
      <c r="O75" s="105"/>
      <c r="P75" s="82"/>
      <c r="Q75" s="105"/>
      <c r="R75" s="105"/>
      <c r="S75" s="105"/>
      <c r="T75" s="105"/>
      <c r="U75" s="105"/>
      <c r="V75" s="105"/>
      <c r="W75" s="105"/>
      <c r="X75" s="82"/>
      <c r="Y75" s="82"/>
      <c r="Z75" s="79"/>
      <c r="AA75" s="105"/>
      <c r="AB75" s="82"/>
      <c r="AC75" s="105"/>
      <c r="AD75" s="105"/>
      <c r="AE75" s="105"/>
      <c r="AF75" s="105"/>
      <c r="AG75" s="105"/>
      <c r="AH75" s="105"/>
      <c r="AI75" s="105"/>
      <c r="AJ75" s="82"/>
      <c r="AK75" s="82"/>
      <c r="AL75" s="79"/>
      <c r="AM75" s="105"/>
      <c r="AN75" s="82"/>
      <c r="AO75" s="105"/>
      <c r="AP75" s="105"/>
      <c r="AQ75" s="105"/>
      <c r="AR75" s="105"/>
      <c r="AS75" s="105"/>
      <c r="AT75" s="105"/>
      <c r="AU75" s="105"/>
      <c r="AV75" s="82"/>
      <c r="AW75" s="82"/>
      <c r="AX75" s="79"/>
      <c r="AY75" s="82"/>
      <c r="AZ75" s="82"/>
      <c r="BA75" s="82"/>
      <c r="BB75" s="82"/>
      <c r="BC75" s="82"/>
      <c r="BD75" s="82"/>
      <c r="BE75" s="82"/>
      <c r="BF75" s="82"/>
      <c r="BG75" s="82"/>
      <c r="BH75" s="1"/>
    </row>
    <row r="76" spans="1:60" ht="21">
      <c r="A76" s="1040"/>
      <c r="B76" s="1109" t="s">
        <v>147</v>
      </c>
      <c r="C76" s="1106" t="s">
        <v>96</v>
      </c>
      <c r="D76" s="643"/>
      <c r="E76" s="199" t="s">
        <v>1168</v>
      </c>
      <c r="F76" s="199"/>
      <c r="G76" s="199"/>
      <c r="H76" s="199"/>
      <c r="I76" s="77"/>
      <c r="J76" s="200" t="str">
        <f>J$10</f>
        <v>alle locaties</v>
      </c>
      <c r="K76" s="126"/>
      <c r="L76" s="126"/>
      <c r="M76" s="200" t="str">
        <f>M$10</f>
        <v>locatie 1</v>
      </c>
      <c r="N76" s="182"/>
      <c r="O76" s="966" t="str">
        <f>$E76&amp;" per energiepost"</f>
        <v>energiebehoefte per energiepost</v>
      </c>
      <c r="P76" s="941"/>
      <c r="Q76" s="941"/>
      <c r="R76" s="941"/>
      <c r="S76" s="941"/>
      <c r="T76" s="941"/>
      <c r="U76" s="941"/>
      <c r="V76" s="941"/>
      <c r="W76" s="956"/>
      <c r="X76" s="174"/>
      <c r="Y76" s="176" t="str">
        <f>Y$10&amp;" MWh"</f>
        <v>locatie 2 MWh</v>
      </c>
      <c r="Z76" s="182"/>
      <c r="AA76" s="177" t="str">
        <f t="shared" ref="AA76:AI76" si="115">AA$10</f>
        <v>verwarming</v>
      </c>
      <c r="AB76" s="177" t="str">
        <f t="shared" si="115"/>
        <v>koeling</v>
      </c>
      <c r="AC76" s="177" t="str">
        <f t="shared" si="115"/>
        <v>tapwater</v>
      </c>
      <c r="AD76" s="177" t="str">
        <f t="shared" si="115"/>
        <v>verlichting</v>
      </c>
      <c r="AE76" s="177" t="str">
        <f t="shared" si="115"/>
        <v>ventilatoren</v>
      </c>
      <c r="AF76" s="177" t="str">
        <f t="shared" si="115"/>
        <v>kookgas</v>
      </c>
      <c r="AG76" s="177" t="str">
        <f t="shared" si="115"/>
        <v>overig elektra</v>
      </c>
      <c r="AH76" s="177" t="str">
        <f t="shared" si="115"/>
        <v>mobiliteit</v>
      </c>
      <c r="AI76" s="177" t="str">
        <f t="shared" si="115"/>
        <v>zonnepanelen</v>
      </c>
      <c r="AJ76" s="174"/>
      <c r="AK76" s="176" t="str">
        <f>AK$10&amp;" MWh"</f>
        <v>locatie 3 MWh</v>
      </c>
      <c r="AL76" s="182"/>
      <c r="AM76" s="177" t="str">
        <f>AM$10</f>
        <v>verwarming</v>
      </c>
      <c r="AN76" s="177" t="str">
        <f t="shared" ref="AN76:AU76" si="116">AN$10</f>
        <v>koeling</v>
      </c>
      <c r="AO76" s="177" t="str">
        <f t="shared" si="116"/>
        <v>tapwater</v>
      </c>
      <c r="AP76" s="177" t="str">
        <f t="shared" si="116"/>
        <v>verlichting</v>
      </c>
      <c r="AQ76" s="177" t="str">
        <f t="shared" si="116"/>
        <v>ventilatoren</v>
      </c>
      <c r="AR76" s="177" t="str">
        <f t="shared" si="116"/>
        <v>kookgas</v>
      </c>
      <c r="AS76" s="177" t="str">
        <f t="shared" si="116"/>
        <v>overig elektra</v>
      </c>
      <c r="AT76" s="177" t="str">
        <f t="shared" si="116"/>
        <v>mobiliteit</v>
      </c>
      <c r="AU76" s="177" t="str">
        <f t="shared" si="116"/>
        <v>zonnepanelen</v>
      </c>
      <c r="AV76" s="174"/>
      <c r="AW76" s="176" t="str">
        <f>AW$10&amp;" MWh"</f>
        <v>locatie 4 MWh</v>
      </c>
      <c r="AX76" s="182"/>
      <c r="AY76" s="177" t="str">
        <f>AY$10</f>
        <v>verwarming</v>
      </c>
      <c r="AZ76" s="177" t="str">
        <f t="shared" ref="AZ76:BG76" si="117">AZ$10</f>
        <v>koeling</v>
      </c>
      <c r="BA76" s="177" t="str">
        <f t="shared" si="117"/>
        <v>tapwater</v>
      </c>
      <c r="BB76" s="177" t="str">
        <f t="shared" si="117"/>
        <v>verlichting</v>
      </c>
      <c r="BC76" s="177" t="str">
        <f t="shared" si="117"/>
        <v>ventilatoren</v>
      </c>
      <c r="BD76" s="177" t="str">
        <f t="shared" si="117"/>
        <v>kookgas</v>
      </c>
      <c r="BE76" s="177" t="str">
        <f t="shared" si="117"/>
        <v>overig elektra</v>
      </c>
      <c r="BF76" s="177" t="str">
        <f t="shared" si="117"/>
        <v>mobiliteit</v>
      </c>
      <c r="BG76" s="177" t="str">
        <f t="shared" si="117"/>
        <v>zonnepanelen</v>
      </c>
      <c r="BH76" s="1"/>
    </row>
    <row r="77" spans="1:60">
      <c r="A77" s="1040"/>
      <c r="B77" s="1109" t="s">
        <v>147</v>
      </c>
      <c r="C77" s="1106" t="s">
        <v>96</v>
      </c>
      <c r="D77" s="641"/>
      <c r="E77" s="940" t="s">
        <v>158</v>
      </c>
      <c r="F77" s="940"/>
      <c r="G77" s="940"/>
      <c r="H77" s="940"/>
      <c r="I77" s="77"/>
      <c r="J77" s="939"/>
      <c r="K77" s="126"/>
      <c r="L77" s="126"/>
      <c r="M77" s="938"/>
      <c r="N77" s="182"/>
      <c r="O77" s="177" t="str">
        <f t="shared" ref="O77:W77" si="118">O$10</f>
        <v>verwarming</v>
      </c>
      <c r="P77" s="177" t="str">
        <f t="shared" si="118"/>
        <v>koeling</v>
      </c>
      <c r="Q77" s="177" t="str">
        <f t="shared" si="118"/>
        <v>tapwater</v>
      </c>
      <c r="R77" s="177" t="str">
        <f t="shared" si="118"/>
        <v>verlichting</v>
      </c>
      <c r="S77" s="177" t="str">
        <f t="shared" si="118"/>
        <v>ventilatoren</v>
      </c>
      <c r="T77" s="177" t="str">
        <f t="shared" si="118"/>
        <v>kookgas</v>
      </c>
      <c r="U77" s="177" t="str">
        <f t="shared" si="118"/>
        <v>overig elektra</v>
      </c>
      <c r="V77" s="177" t="str">
        <f t="shared" si="118"/>
        <v>mobiliteit</v>
      </c>
      <c r="W77" s="177" t="str">
        <f t="shared" si="118"/>
        <v>zonnepanelen</v>
      </c>
      <c r="X77" s="147"/>
      <c r="Y77" s="125"/>
      <c r="Z77" s="125"/>
      <c r="AA77" s="125"/>
      <c r="AB77" s="125"/>
      <c r="AC77" s="125"/>
      <c r="AD77" s="125"/>
      <c r="AE77" s="125"/>
      <c r="AF77" s="125"/>
      <c r="AG77" s="125"/>
      <c r="AH77" s="125"/>
      <c r="AI77" s="125"/>
      <c r="AJ77" s="147"/>
      <c r="AK77" s="125"/>
      <c r="AL77" s="125"/>
      <c r="AM77" s="125"/>
      <c r="AN77" s="125"/>
      <c r="AO77" s="125"/>
      <c r="AP77" s="125"/>
      <c r="AQ77" s="125"/>
      <c r="AR77" s="125"/>
      <c r="AS77" s="125"/>
      <c r="AT77" s="125"/>
      <c r="AU77" s="125"/>
      <c r="AV77" s="147"/>
      <c r="AW77" s="125"/>
      <c r="AX77" s="125"/>
      <c r="AY77" s="125"/>
      <c r="AZ77" s="125"/>
      <c r="BA77" s="125"/>
      <c r="BB77" s="125"/>
      <c r="BC77" s="125"/>
      <c r="BD77" s="125"/>
      <c r="BE77" s="125"/>
      <c r="BF77" s="125"/>
      <c r="BG77" s="125"/>
      <c r="BH77" s="218"/>
    </row>
    <row r="78" spans="1:60">
      <c r="A78" s="1040"/>
      <c r="B78" s="1109" t="s">
        <v>147</v>
      </c>
      <c r="C78" s="1107" t="s">
        <v>104</v>
      </c>
      <c r="D78" s="641" t="s">
        <v>45</v>
      </c>
      <c r="E78" s="295" t="s">
        <v>159</v>
      </c>
      <c r="F78" s="296"/>
      <c r="G78" s="296"/>
      <c r="H78" s="295" t="s">
        <v>160</v>
      </c>
      <c r="I78" s="259"/>
      <c r="J78" s="261">
        <f>M78+Y78+AK78+AW78</f>
        <v>0</v>
      </c>
      <c r="K78" s="126"/>
      <c r="L78" s="126"/>
      <c r="M78" s="261">
        <f>SUM(N78:X78)</f>
        <v>0</v>
      </c>
      <c r="N78" s="259"/>
      <c r="O78" s="260">
        <f>SUMPRODUCT(N22:X22,N29:X29,N62:X62)/1000</f>
        <v>0</v>
      </c>
      <c r="P78" s="260">
        <f>SUMPRODUCT(N22:X22,N29:X29,N64:X64)/1000</f>
        <v>0</v>
      </c>
      <c r="Q78" s="260">
        <f>SUMPRODUCT(N22:X22,N29:X29,N65:X65)/1000</f>
        <v>0</v>
      </c>
      <c r="R78" s="260">
        <f>SUMPRODUCT(N22:X22,N29:X29,N66:X66)/1000</f>
        <v>0</v>
      </c>
      <c r="S78" s="260">
        <f>SUMPRODUCT(N22:X22,N29:X29,N67:X67)/1000</f>
        <v>0</v>
      </c>
      <c r="T78" s="260">
        <f>SUMPRODUCT(N22:X22,N29:X29,N68:X68)/1000</f>
        <v>0</v>
      </c>
      <c r="U78" s="260">
        <f>SUMPRODUCT(N22:X22,N29:X29,N69:X69)/1000</f>
        <v>0</v>
      </c>
      <c r="V78" s="260">
        <f>SUMPRODUCT(N22:X22,N71:X71)/1000</f>
        <v>0</v>
      </c>
      <c r="W78" s="260">
        <f>-SUMPRODUCT(N22:X22,N73:X73)/1000</f>
        <v>0</v>
      </c>
      <c r="X78" s="126"/>
      <c r="Y78" s="261">
        <f>SUM(Z78:AJ78)</f>
        <v>0</v>
      </c>
      <c r="Z78" s="259"/>
      <c r="AA78" s="260">
        <f>SUMPRODUCT(Z22:AJ22,Z29:AJ29,Z62:AJ62)/1000</f>
        <v>0</v>
      </c>
      <c r="AB78" s="260">
        <f>SUMPRODUCT(Z22:AJ22,Z29:AJ29,Z64:AJ64)/1000</f>
        <v>0</v>
      </c>
      <c r="AC78" s="260">
        <f>SUMPRODUCT(Z22:AJ22,Z29:AJ29,Z65:AJ65)/1000</f>
        <v>0</v>
      </c>
      <c r="AD78" s="260">
        <f>SUMPRODUCT(Z22:AJ22,Z29:AJ29,Z66:AJ66)/1000</f>
        <v>0</v>
      </c>
      <c r="AE78" s="260">
        <f>SUMPRODUCT(Z22:AJ22,Z29:AJ29,Z67:AJ67)/1000</f>
        <v>0</v>
      </c>
      <c r="AF78" s="260">
        <f>SUMPRODUCT(Z22:AJ22,Z29:AJ29,Z68:AJ68)/1000</f>
        <v>0</v>
      </c>
      <c r="AG78" s="260">
        <f>SUMPRODUCT(Z22:AJ22,Z29:AJ29,Z69:AJ69)/1000</f>
        <v>0</v>
      </c>
      <c r="AH78" s="260">
        <f>SUMPRODUCT(Z22:AJ22,Z71:AJ71)/1000</f>
        <v>0</v>
      </c>
      <c r="AI78" s="260">
        <f>-SUMPRODUCT(Z22:AJ22,Z73:AJ73)/1000</f>
        <v>0</v>
      </c>
      <c r="AJ78" s="126"/>
      <c r="AK78" s="261">
        <f>SUM(AL78:AV78)</f>
        <v>0</v>
      </c>
      <c r="AL78" s="259"/>
      <c r="AM78" s="260">
        <f>SUMPRODUCT(AL22:AV22,AL29:AV29,AL62:AV62)/1000</f>
        <v>0</v>
      </c>
      <c r="AN78" s="260">
        <f>SUMPRODUCT(AL22:AV22,AL29:AV29,AL64:AV64)/1000</f>
        <v>0</v>
      </c>
      <c r="AO78" s="260">
        <f>SUMPRODUCT(AL22:AV22,AL29:AV29,AL65:AV65)/1000</f>
        <v>0</v>
      </c>
      <c r="AP78" s="260">
        <f>SUMPRODUCT(AL22:AV22,AL29:AV29,AL66:AV66)/1000</f>
        <v>0</v>
      </c>
      <c r="AQ78" s="260">
        <f>SUMPRODUCT(AL22:AV22,AL29:AV29,AL67:AV67)/1000</f>
        <v>0</v>
      </c>
      <c r="AR78" s="260">
        <f>SUMPRODUCT(AL22:AV22,AL29:AV29,AL68:AV68)/1000</f>
        <v>0</v>
      </c>
      <c r="AS78" s="260">
        <f>SUMPRODUCT(AL22:AV22,AL29:AV29,AL69:AV69)/1000</f>
        <v>0</v>
      </c>
      <c r="AT78" s="260">
        <f>SUMPRODUCT(AL22:AV22,AL71:AV71)/1000</f>
        <v>0</v>
      </c>
      <c r="AU78" s="260">
        <f>-SUMPRODUCT(AL22:AV22,AL73:AV73)/1000</f>
        <v>0</v>
      </c>
      <c r="AV78" s="126"/>
      <c r="AW78" s="261">
        <f>SUM(AX78:BH78)</f>
        <v>0</v>
      </c>
      <c r="AX78" s="259"/>
      <c r="AY78" s="260">
        <f>SUMPRODUCT(AX22:BH22,AX29:BH29,AX62:BH62)/1000</f>
        <v>0</v>
      </c>
      <c r="AZ78" s="260">
        <f>SUMPRODUCT(AX22:BH22,AX29:BH29,AX64:BH64)/1000</f>
        <v>0</v>
      </c>
      <c r="BA78" s="260">
        <f>SUMPRODUCT(AX22:BH22,AX29:BH29,AX65:BH65)/1000</f>
        <v>0</v>
      </c>
      <c r="BB78" s="260">
        <f>SUMPRODUCT(AX22:BH22,AX29:BH29,AX66:BH66)/1000</f>
        <v>0</v>
      </c>
      <c r="BC78" s="260">
        <f>SUMPRODUCT(AX22:BH22,AX29:BH29,AX67:BH67)/1000</f>
        <v>0</v>
      </c>
      <c r="BD78" s="260">
        <f>SUMPRODUCT(AX22:BH22,AX29:BH29,AX68:BH68)/1000</f>
        <v>0</v>
      </c>
      <c r="BE78" s="260">
        <f>SUMPRODUCT(AX22:BH22,AX29:BH29,AX69:BH69)/1000</f>
        <v>0</v>
      </c>
      <c r="BF78" s="260">
        <f>SUMPRODUCT(AX22:BH22,AX71:BH71)/1000</f>
        <v>0</v>
      </c>
      <c r="BG78" s="260">
        <f>-SUMPRODUCT(AX22:BH22,AX73:BH73)/1000</f>
        <v>0</v>
      </c>
      <c r="BH78" s="210"/>
    </row>
    <row r="79" spans="1:60">
      <c r="A79" s="1040"/>
      <c r="B79" s="1109" t="s">
        <v>147</v>
      </c>
      <c r="C79" s="1106" t="s">
        <v>96</v>
      </c>
      <c r="D79" s="638"/>
      <c r="E79" s="79"/>
      <c r="F79" s="79"/>
      <c r="G79" s="79"/>
      <c r="H79" s="85"/>
      <c r="I79" s="79"/>
      <c r="J79" s="82"/>
      <c r="K79" s="79"/>
      <c r="L79" s="79"/>
      <c r="M79" s="82"/>
      <c r="N79" s="79"/>
      <c r="O79" s="82"/>
      <c r="P79" s="82"/>
      <c r="Q79" s="82"/>
      <c r="R79" s="82"/>
      <c r="S79" s="82"/>
      <c r="T79" s="82"/>
      <c r="U79" s="82"/>
      <c r="V79" s="82"/>
      <c r="W79" s="82"/>
      <c r="X79" s="82"/>
      <c r="Y79" s="82"/>
      <c r="Z79" s="79"/>
      <c r="AA79" s="108"/>
      <c r="AB79" s="82"/>
      <c r="AC79" s="108"/>
      <c r="AD79" s="82"/>
      <c r="AE79" s="82"/>
      <c r="AF79" s="82"/>
      <c r="AG79" s="82"/>
      <c r="AH79" s="82"/>
      <c r="AI79" s="82"/>
      <c r="AJ79" s="82"/>
      <c r="AK79" s="82"/>
      <c r="AL79" s="79"/>
      <c r="AM79" s="82"/>
      <c r="AN79" s="82"/>
      <c r="AO79" s="82"/>
      <c r="AP79" s="82"/>
      <c r="AQ79" s="82"/>
      <c r="AR79" s="82"/>
      <c r="AS79" s="82"/>
      <c r="AT79" s="82"/>
      <c r="AU79" s="82"/>
      <c r="AV79" s="82"/>
      <c r="AW79" s="82"/>
      <c r="AX79" s="79"/>
      <c r="AY79" s="82"/>
      <c r="AZ79" s="82"/>
      <c r="BA79" s="82"/>
      <c r="BB79" s="82"/>
      <c r="BC79" s="82"/>
      <c r="BD79" s="82"/>
      <c r="BE79" s="82"/>
      <c r="BF79" s="82"/>
      <c r="BG79" s="82"/>
      <c r="BH79" s="1"/>
    </row>
    <row r="80" spans="1:60">
      <c r="A80" s="1040"/>
      <c r="B80" s="1109" t="s">
        <v>161</v>
      </c>
      <c r="C80" s="1107" t="s">
        <v>96</v>
      </c>
      <c r="D80" s="638"/>
      <c r="E80" s="79"/>
      <c r="F80" s="79"/>
      <c r="G80" s="79"/>
      <c r="H80" s="85"/>
      <c r="I80" s="79"/>
      <c r="J80" s="82"/>
      <c r="K80" s="79"/>
      <c r="L80" s="79"/>
      <c r="M80" s="82"/>
      <c r="N80" s="79"/>
      <c r="O80" s="82"/>
      <c r="P80" s="82"/>
      <c r="Q80" s="82"/>
      <c r="R80" s="82"/>
      <c r="S80" s="82"/>
      <c r="T80" s="82"/>
      <c r="U80" s="82"/>
      <c r="V80" s="82"/>
      <c r="W80" s="82"/>
      <c r="X80" s="82"/>
      <c r="Y80" s="82"/>
      <c r="Z80" s="79"/>
      <c r="AA80" s="108"/>
      <c r="AB80" s="108"/>
      <c r="AC80" s="82"/>
      <c r="AD80" s="82"/>
      <c r="AE80" s="82"/>
      <c r="AF80" s="82"/>
      <c r="AG80" s="82"/>
      <c r="AH80" s="82"/>
      <c r="AI80" s="82"/>
      <c r="AJ80" s="82"/>
      <c r="AK80" s="82"/>
      <c r="AL80" s="79"/>
      <c r="AM80" s="82"/>
      <c r="AN80" s="82"/>
      <c r="AO80" s="82"/>
      <c r="AP80" s="82"/>
      <c r="AQ80" s="82"/>
      <c r="AR80" s="82"/>
      <c r="AS80" s="82"/>
      <c r="AT80" s="82"/>
      <c r="AU80" s="82"/>
      <c r="AV80" s="82"/>
      <c r="AW80" s="82"/>
      <c r="AX80" s="79"/>
      <c r="AY80" s="82"/>
      <c r="AZ80" s="82"/>
      <c r="BA80" s="82"/>
      <c r="BB80" s="82"/>
      <c r="BC80" s="82"/>
      <c r="BD80" s="82"/>
      <c r="BE80" s="82"/>
      <c r="BF80" s="82"/>
      <c r="BG80" s="82"/>
      <c r="BH80" s="1"/>
    </row>
    <row r="81" spans="1:60" ht="21">
      <c r="A81" s="1040"/>
      <c r="B81" s="1109" t="s">
        <v>161</v>
      </c>
      <c r="C81" s="1106" t="s">
        <v>96</v>
      </c>
      <c r="D81" s="641" t="s">
        <v>45</v>
      </c>
      <c r="E81" s="199" t="s">
        <v>162</v>
      </c>
      <c r="F81" s="199"/>
      <c r="G81" s="199"/>
      <c r="H81" s="199"/>
      <c r="I81" s="77"/>
      <c r="J81" s="200" t="str">
        <f>J$10</f>
        <v>alle locaties</v>
      </c>
      <c r="K81" s="126"/>
      <c r="L81" s="126"/>
      <c r="M81" s="200" t="str">
        <f>M$10</f>
        <v>locatie 1</v>
      </c>
      <c r="N81" s="182"/>
      <c r="O81" s="966" t="str">
        <f>$E81&amp;" per energiepost"</f>
        <v>installatie systeem per energiepost</v>
      </c>
      <c r="P81" s="941"/>
      <c r="Q81" s="941"/>
      <c r="R81" s="941"/>
      <c r="S81" s="941"/>
      <c r="T81" s="941"/>
      <c r="U81" s="941"/>
      <c r="V81" s="941"/>
      <c r="W81" s="956"/>
      <c r="X81" s="174"/>
      <c r="Y81" s="176"/>
      <c r="Z81" s="182"/>
      <c r="AA81" s="966" t="str">
        <f>$E81&amp;" per energiepost"</f>
        <v>installatie systeem per energiepost</v>
      </c>
      <c r="AB81" s="941"/>
      <c r="AC81" s="941"/>
      <c r="AD81" s="941"/>
      <c r="AE81" s="941"/>
      <c r="AF81" s="941"/>
      <c r="AG81" s="941"/>
      <c r="AH81" s="941"/>
      <c r="AI81" s="956"/>
      <c r="AJ81" s="174"/>
      <c r="AK81" s="176"/>
      <c r="AL81" s="182"/>
      <c r="AM81" s="966" t="str">
        <f>$E81&amp;" per energiepost"</f>
        <v>installatie systeem per energiepost</v>
      </c>
      <c r="AN81" s="941"/>
      <c r="AO81" s="941"/>
      <c r="AP81" s="941"/>
      <c r="AQ81" s="941"/>
      <c r="AR81" s="941"/>
      <c r="AS81" s="941"/>
      <c r="AT81" s="941"/>
      <c r="AU81" s="956"/>
      <c r="AV81" s="174"/>
      <c r="AW81" s="176"/>
      <c r="AX81" s="182"/>
      <c r="AY81" s="966" t="str">
        <f>$E81&amp;" per energiepost"</f>
        <v>installatie systeem per energiepost</v>
      </c>
      <c r="AZ81" s="941"/>
      <c r="BA81" s="941"/>
      <c r="BB81" s="941"/>
      <c r="BC81" s="941"/>
      <c r="BD81" s="941"/>
      <c r="BE81" s="941"/>
      <c r="BF81" s="941"/>
      <c r="BG81" s="956"/>
      <c r="BH81" s="1"/>
    </row>
    <row r="82" spans="1:60">
      <c r="A82" s="1040"/>
      <c r="B82" s="1109" t="s">
        <v>161</v>
      </c>
      <c r="C82" s="1106" t="s">
        <v>96</v>
      </c>
      <c r="D82" s="641" t="s">
        <v>45</v>
      </c>
      <c r="E82" s="940" t="s">
        <v>163</v>
      </c>
      <c r="F82" s="940"/>
      <c r="G82" s="940"/>
      <c r="H82" s="940"/>
      <c r="I82" s="77"/>
      <c r="J82" s="939"/>
      <c r="K82" s="126"/>
      <c r="L82" s="126"/>
      <c r="M82" s="938"/>
      <c r="N82" s="125"/>
      <c r="O82" s="177" t="str">
        <f>O$10</f>
        <v>verwarming</v>
      </c>
      <c r="P82" s="177" t="str">
        <f>P$10</f>
        <v>koeling</v>
      </c>
      <c r="Q82" s="177" t="str">
        <f>Q$10</f>
        <v>tapwater</v>
      </c>
      <c r="R82" s="177"/>
      <c r="S82" s="177"/>
      <c r="T82" s="177"/>
      <c r="U82" s="177"/>
      <c r="V82" s="177"/>
      <c r="W82" s="177"/>
      <c r="X82" s="147"/>
      <c r="Y82" s="938"/>
      <c r="Z82" s="125"/>
      <c r="AA82" s="177" t="str">
        <f>AA$10</f>
        <v>verwarming</v>
      </c>
      <c r="AB82" s="177" t="str">
        <f>AB$10</f>
        <v>koeling</v>
      </c>
      <c r="AC82" s="177" t="str">
        <f>AC$10</f>
        <v>tapwater</v>
      </c>
      <c r="AD82" s="177"/>
      <c r="AE82" s="177"/>
      <c r="AF82" s="177"/>
      <c r="AG82" s="177"/>
      <c r="AH82" s="177"/>
      <c r="AI82" s="177"/>
      <c r="AJ82" s="147"/>
      <c r="AK82" s="938"/>
      <c r="AL82" s="125"/>
      <c r="AM82" s="177" t="str">
        <f>AM$10</f>
        <v>verwarming</v>
      </c>
      <c r="AN82" s="177" t="str">
        <f>AN$10</f>
        <v>koeling</v>
      </c>
      <c r="AO82" s="177" t="str">
        <f>AO$10</f>
        <v>tapwater</v>
      </c>
      <c r="AP82" s="177"/>
      <c r="AQ82" s="177"/>
      <c r="AR82" s="177"/>
      <c r="AS82" s="177"/>
      <c r="AT82" s="177"/>
      <c r="AU82" s="177"/>
      <c r="AV82" s="147"/>
      <c r="AW82" s="938"/>
      <c r="AX82" s="125"/>
      <c r="AY82" s="177" t="str">
        <f>AY$10</f>
        <v>verwarming</v>
      </c>
      <c r="AZ82" s="177" t="str">
        <f>AZ$10</f>
        <v>koeling</v>
      </c>
      <c r="BA82" s="177" t="str">
        <f>BA$10</f>
        <v>tapwater</v>
      </c>
      <c r="BB82" s="177"/>
      <c r="BC82" s="177"/>
      <c r="BD82" s="177"/>
      <c r="BE82" s="177"/>
      <c r="BF82" s="177"/>
      <c r="BG82" s="177"/>
      <c r="BH82" s="218"/>
    </row>
    <row r="83" spans="1:60" ht="38.25">
      <c r="A83" s="1040"/>
      <c r="B83" s="1109" t="s">
        <v>161</v>
      </c>
      <c r="C83" s="1107" t="s">
        <v>118</v>
      </c>
      <c r="D83" s="638"/>
      <c r="E83" s="150" t="s">
        <v>164</v>
      </c>
      <c r="F83" s="294"/>
      <c r="G83" s="294"/>
      <c r="H83" s="150" t="s">
        <v>65</v>
      </c>
      <c r="I83" s="155"/>
      <c r="J83" s="268" t="str">
        <f>IF(AND(M$29&gt;0,COUNTBLANK(O83:Q83)&gt;0),"kies installatie locatie 1",
IF(AND(Y$29&gt;0,COUNTBLANK(AA83:AC83)&gt;0),"kies installatie locatie 2",
IF(AND(AK$29&gt;0,COUNTBLANK(AM83:AO83)&gt;0),"kies installatie locatie 3",
IF(AND(AW$29&gt;0,COUNTBLANK(AY83:BA83)&gt;0),"kies installatie locatie 4",
"ja"))))</f>
        <v>ja</v>
      </c>
      <c r="K83" s="1056"/>
      <c r="L83" s="1056"/>
      <c r="M83" s="268" t="str" cm="1">
        <f t="array" ref="M83">IF(M78=0,"",IF(SUMPRODUCT((O78:Q78&gt;0)*1,(O83:Q83="")*1)&gt;0,"nee","ja"))</f>
        <v/>
      </c>
      <c r="N83" s="120"/>
      <c r="O83" s="859" t="s">
        <v>473</v>
      </c>
      <c r="P83" s="859" t="s">
        <v>166</v>
      </c>
      <c r="Q83" s="859" t="s">
        <v>473</v>
      </c>
      <c r="R83" s="156"/>
      <c r="S83" s="156"/>
      <c r="T83" s="156"/>
      <c r="U83" s="156"/>
      <c r="V83" s="156"/>
      <c r="W83" s="156"/>
      <c r="X83" s="147"/>
      <c r="Y83" s="268" t="str" cm="1">
        <f t="array" ref="Y83">IF(Y78=0,"",IF(SUMPRODUCT((AA78:AC78&gt;0)*1,(AA83:AC83="")*1)&gt;0,"nee","ja"))</f>
        <v/>
      </c>
      <c r="Z83" s="120"/>
      <c r="AA83" s="859" t="s">
        <v>473</v>
      </c>
      <c r="AB83" s="859" t="s">
        <v>166</v>
      </c>
      <c r="AC83" s="859" t="s">
        <v>473</v>
      </c>
      <c r="AD83" s="156"/>
      <c r="AE83" s="156"/>
      <c r="AF83" s="156"/>
      <c r="AG83" s="156"/>
      <c r="AH83" s="156"/>
      <c r="AI83" s="156"/>
      <c r="AJ83" s="147"/>
      <c r="AK83" s="268" t="str" cm="1">
        <f t="array" ref="AK83">IF(AK78=0,"",IF(SUMPRODUCT((AM78:AO78&gt;0)*1,(AM83:AO83="")*1)&gt;0,"nee","ja"))</f>
        <v/>
      </c>
      <c r="AL83" s="120"/>
      <c r="AM83" s="859" t="s">
        <v>473</v>
      </c>
      <c r="AN83" s="859" t="s">
        <v>166</v>
      </c>
      <c r="AO83" s="859" t="s">
        <v>473</v>
      </c>
      <c r="AP83" s="156"/>
      <c r="AQ83" s="156"/>
      <c r="AR83" s="156"/>
      <c r="AS83" s="156"/>
      <c r="AT83" s="156"/>
      <c r="AU83" s="156"/>
      <c r="AV83" s="147"/>
      <c r="AW83" s="268" t="str" cm="1">
        <f t="array" ref="AW83">IF(AW78=0,"",IF(SUMPRODUCT((AY78:BA78&gt;0)*1,(AY83:BA83="")*1)&gt;0,"nee","ja"))</f>
        <v/>
      </c>
      <c r="AX83" s="125"/>
      <c r="AY83" s="859" t="s">
        <v>473</v>
      </c>
      <c r="AZ83" s="859" t="s">
        <v>166</v>
      </c>
      <c r="BA83" s="859" t="s">
        <v>473</v>
      </c>
      <c r="BB83" s="156"/>
      <c r="BC83" s="156"/>
      <c r="BD83" s="156"/>
      <c r="BE83" s="156"/>
      <c r="BF83" s="156"/>
      <c r="BG83" s="156"/>
      <c r="BH83" s="218"/>
    </row>
    <row r="84" spans="1:60">
      <c r="A84" s="1040"/>
      <c r="B84" s="1109" t="s">
        <v>161</v>
      </c>
      <c r="C84" s="1107" t="s">
        <v>118</v>
      </c>
      <c r="D84" s="638"/>
      <c r="E84" s="181" t="str">
        <f>bibliotheek!$E$85</f>
        <v>geografisch niveau installatie [keuzelijst]</v>
      </c>
      <c r="F84" s="180"/>
      <c r="G84" s="180"/>
      <c r="H84" s="181" t="s">
        <v>65</v>
      </c>
      <c r="I84" s="129"/>
      <c r="J84" s="190"/>
      <c r="K84" s="107"/>
      <c r="L84" s="107"/>
      <c r="M84" s="190"/>
      <c r="N84" s="114"/>
      <c r="O84" s="285" t="str">
        <f>HLOOKUP(IF(O$83="",referentie_verwarming,O$83),toestellen_RV,ROWS(bibliotheek!$E$83:$E$85),FALSE)</f>
        <v>gebouw</v>
      </c>
      <c r="P84" s="285" t="str">
        <f>HLOOKUP(IF(P$83="",referentie_koeling,P$83),toestellen_KOEL,ROWS(bibliotheek!$E$190:$E$192),FALSE)</f>
        <v>gebouw</v>
      </c>
      <c r="Q84" s="285" t="str">
        <f>HLOOKUP(IF(Q$83="",referentie_warmtapwater,Q$83),toestellen_TAP,ROWS(bibliotheek!$E$139:$E$141),FALSE)</f>
        <v>gebouw</v>
      </c>
      <c r="R84" s="159"/>
      <c r="S84" s="159"/>
      <c r="T84" s="159"/>
      <c r="U84" s="159"/>
      <c r="V84" s="159"/>
      <c r="W84" s="159"/>
      <c r="X84" s="147"/>
      <c r="Y84" s="128"/>
      <c r="Z84" s="114"/>
      <c r="AA84" s="285" t="str">
        <f>HLOOKUP(IF(AA$83="",referentie_verwarming,AA$83),toestellen_RV,ROWS(bibliotheek!$E$83:$E$85),FALSE)</f>
        <v>gebouw</v>
      </c>
      <c r="AB84" s="285" t="str">
        <f>HLOOKUP(IF(AB$83="",referentie_koeling,AB$83),toestellen_KOEL,ROWS(bibliotheek!$E$190:$E$192),FALSE)</f>
        <v>gebouw</v>
      </c>
      <c r="AC84" s="285" t="str">
        <f>HLOOKUP(IF(AC$83="",referentie_warmtapwater,AC$83),toestellen_TAP,ROWS(bibliotheek!$E$139:$E$141),FALSE)</f>
        <v>gebouw</v>
      </c>
      <c r="AD84" s="159"/>
      <c r="AE84" s="159"/>
      <c r="AF84" s="159"/>
      <c r="AG84" s="159"/>
      <c r="AH84" s="159"/>
      <c r="AI84" s="159"/>
      <c r="AJ84" s="147"/>
      <c r="AK84" s="128"/>
      <c r="AL84" s="120"/>
      <c r="AM84" s="285" t="str">
        <f>HLOOKUP(IF(AM$83="",referentie_verwarming,AM$83),toestellen_RV,ROWS(bibliotheek!$E$83:$E$85),FALSE)</f>
        <v>gebouw</v>
      </c>
      <c r="AN84" s="285" t="str">
        <f>HLOOKUP(IF(AN$83="",referentie_koeling,AN$83),toestellen_KOEL,ROWS(bibliotheek!$E$190:$E$192),FALSE)</f>
        <v>gebouw</v>
      </c>
      <c r="AO84" s="285" t="str">
        <f>HLOOKUP(IF(AO$83="",referentie_warmtapwater,AO$83),toestellen_TAP,ROWS(bibliotheek!$E$139:$E$141),FALSE)</f>
        <v>gebouw</v>
      </c>
      <c r="AP84" s="159"/>
      <c r="AQ84" s="159"/>
      <c r="AR84" s="159"/>
      <c r="AS84" s="159"/>
      <c r="AT84" s="159"/>
      <c r="AU84" s="159"/>
      <c r="AV84" s="147"/>
      <c r="AW84" s="128"/>
      <c r="AX84" s="125"/>
      <c r="AY84" s="285" t="str">
        <f>HLOOKUP(IF(AY$83="",referentie_verwarming,AY$83),toestellen_RV,ROWS(bibliotheek!$E$83:$E$85),FALSE)</f>
        <v>gebouw</v>
      </c>
      <c r="AZ84" s="285" t="str">
        <f>HLOOKUP(IF(AZ$83="",referentie_koeling,AZ$83),toestellen_KOEL,ROWS(bibliotheek!$E$190:$E$192),FALSE)</f>
        <v>gebouw</v>
      </c>
      <c r="BA84" s="285" t="str">
        <f>HLOOKUP(IF(BA$83="",referentie_warmtapwater,BA$83),toestellen_TAP,ROWS(bibliotheek!$E$139:$E$141),FALSE)</f>
        <v>gebouw</v>
      </c>
      <c r="BB84" s="159"/>
      <c r="BC84" s="159"/>
      <c r="BD84" s="159"/>
      <c r="BE84" s="159"/>
      <c r="BF84" s="159"/>
      <c r="BG84" s="159"/>
      <c r="BH84" s="174"/>
    </row>
    <row r="85" spans="1:60">
      <c r="A85" s="1040"/>
      <c r="B85" s="1109" t="s">
        <v>161</v>
      </c>
      <c r="C85" s="1106" t="s">
        <v>96</v>
      </c>
      <c r="D85" s="641" t="s">
        <v>45</v>
      </c>
      <c r="E85" s="940" t="s">
        <v>169</v>
      </c>
      <c r="F85" s="940"/>
      <c r="G85" s="940"/>
      <c r="H85" s="940"/>
      <c r="I85" s="77"/>
      <c r="J85" s="939"/>
      <c r="K85" s="126"/>
      <c r="L85" s="126"/>
      <c r="M85" s="938"/>
      <c r="N85" s="125"/>
      <c r="O85" s="177" t="str">
        <f>O$10</f>
        <v>verwarming</v>
      </c>
      <c r="P85" s="177" t="str">
        <f>P$10</f>
        <v>koeling</v>
      </c>
      <c r="Q85" s="177" t="str">
        <f>Q$10</f>
        <v>tapwater</v>
      </c>
      <c r="R85" s="177"/>
      <c r="S85" s="177"/>
      <c r="T85" s="177"/>
      <c r="U85" s="177"/>
      <c r="V85" s="177"/>
      <c r="W85" s="177"/>
      <c r="X85" s="147"/>
      <c r="Y85" s="938"/>
      <c r="Z85" s="125"/>
      <c r="AA85" s="177" t="str">
        <f>AA$10</f>
        <v>verwarming</v>
      </c>
      <c r="AB85" s="177" t="str">
        <f>AB$10</f>
        <v>koeling</v>
      </c>
      <c r="AC85" s="177" t="str">
        <f>AC$10</f>
        <v>tapwater</v>
      </c>
      <c r="AD85" s="177"/>
      <c r="AE85" s="177"/>
      <c r="AF85" s="177"/>
      <c r="AG85" s="177"/>
      <c r="AH85" s="177"/>
      <c r="AI85" s="177"/>
      <c r="AJ85" s="147"/>
      <c r="AK85" s="938"/>
      <c r="AL85" s="125"/>
      <c r="AM85" s="177" t="str">
        <f>AM$10</f>
        <v>verwarming</v>
      </c>
      <c r="AN85" s="177" t="str">
        <f>AN$10</f>
        <v>koeling</v>
      </c>
      <c r="AO85" s="177" t="str">
        <f>AO$10</f>
        <v>tapwater</v>
      </c>
      <c r="AP85" s="177"/>
      <c r="AQ85" s="177"/>
      <c r="AR85" s="177"/>
      <c r="AS85" s="177"/>
      <c r="AT85" s="177"/>
      <c r="AU85" s="177"/>
      <c r="AV85" s="147"/>
      <c r="AW85" s="938"/>
      <c r="AX85" s="125"/>
      <c r="AY85" s="177" t="str">
        <f>AY$10</f>
        <v>verwarming</v>
      </c>
      <c r="AZ85" s="177" t="str">
        <f>AZ$10</f>
        <v>koeling</v>
      </c>
      <c r="BA85" s="177" t="str">
        <f>BA$10</f>
        <v>tapwater</v>
      </c>
      <c r="BB85" s="177"/>
      <c r="BC85" s="177"/>
      <c r="BD85" s="177"/>
      <c r="BE85" s="177"/>
      <c r="BF85" s="177"/>
      <c r="BG85" s="177"/>
      <c r="BH85" s="174"/>
    </row>
    <row r="86" spans="1:60">
      <c r="A86" s="1040"/>
      <c r="B86" s="1109" t="s">
        <v>161</v>
      </c>
      <c r="C86" s="1106" t="s">
        <v>118</v>
      </c>
      <c r="D86" s="638"/>
      <c r="E86" s="291" t="s">
        <v>170</v>
      </c>
      <c r="F86" s="254"/>
      <c r="G86" s="254"/>
      <c r="H86" s="291" t="s">
        <v>65</v>
      </c>
      <c r="I86" s="134"/>
      <c r="J86" s="189"/>
      <c r="K86" s="107"/>
      <c r="L86" s="107"/>
      <c r="M86" s="189"/>
      <c r="N86" s="116"/>
      <c r="O86" s="384">
        <f>IF(O87&lt;&gt;"",O87,HLOOKUP(IF(O$83="",referentie_verwarming,O$83),toestellen_RV,ROWS(bibliotheek!$E$83:$E$90),FALSE))</f>
        <v>1</v>
      </c>
      <c r="P86" s="138">
        <v>1</v>
      </c>
      <c r="Q86" s="384">
        <f>IF(Q87&lt;&gt;"",Q87,HLOOKUP(IF(Q$83="",referentie_warmtapwater,Q$83),toestellen_TAP,ROWS(bibliotheek!$E$139:$E$146),FALSE))</f>
        <v>0.85</v>
      </c>
      <c r="R86" s="139"/>
      <c r="S86" s="139"/>
      <c r="T86" s="139"/>
      <c r="U86" s="139"/>
      <c r="V86" s="139"/>
      <c r="W86" s="139"/>
      <c r="X86" s="76"/>
      <c r="Y86" s="133"/>
      <c r="Z86" s="134"/>
      <c r="AA86" s="384">
        <f>IF(AA87&lt;&gt;"",AA87,HLOOKUP(IF(AA$83="",referentie_verwarming,AA$83),toestellen_RV,ROWS(bibliotheek!$E$83:$E$90),FALSE))</f>
        <v>1</v>
      </c>
      <c r="AB86" s="138">
        <f>1</f>
        <v>1</v>
      </c>
      <c r="AC86" s="384">
        <f>IF(AC87&lt;&gt;"",AC87,HLOOKUP(IF(AC$83="",referentie_warmtapwater,AC$83),toestellen_TAP,ROWS(bibliotheek!$E$139:$E$146),FALSE))</f>
        <v>0.85</v>
      </c>
      <c r="AD86" s="139"/>
      <c r="AE86" s="139"/>
      <c r="AF86" s="139"/>
      <c r="AG86" s="139"/>
      <c r="AH86" s="139"/>
      <c r="AI86" s="139"/>
      <c r="AJ86" s="76"/>
      <c r="AK86" s="133"/>
      <c r="AL86" s="134"/>
      <c r="AM86" s="384">
        <f>IF(AM87&lt;&gt;"",AM87,HLOOKUP(IF(AM$83="",referentie_verwarming,AM$83),toestellen_RV,ROWS(bibliotheek!$E$83:$E$90),FALSE))</f>
        <v>1</v>
      </c>
      <c r="AN86" s="138">
        <f>1</f>
        <v>1</v>
      </c>
      <c r="AO86" s="384">
        <f>IF(AO87&lt;&gt;"",AO87,HLOOKUP(IF(AO$83="",referentie_warmtapwater,AO$83),toestellen_TAP,ROWS(bibliotheek!$E$139:$E$146),FALSE))</f>
        <v>0.85</v>
      </c>
      <c r="AP86" s="139"/>
      <c r="AQ86" s="139"/>
      <c r="AR86" s="139"/>
      <c r="AS86" s="139"/>
      <c r="AT86" s="139"/>
      <c r="AU86" s="139"/>
      <c r="AV86" s="76"/>
      <c r="AW86" s="133"/>
      <c r="AX86" s="134"/>
      <c r="AY86" s="384">
        <f>IF(AY87&lt;&gt;"",AY87,HLOOKUP(IF(AY$83="",referentie_verwarming,AY$83),toestellen_RV,ROWS(bibliotheek!$E$83:$E$90),FALSE))</f>
        <v>1</v>
      </c>
      <c r="AZ86" s="138">
        <f>1</f>
        <v>1</v>
      </c>
      <c r="BA86" s="384">
        <f>IF(BA87&lt;&gt;"",BA87,HLOOKUP(IF(BA$83="",referentie_warmtapwater,BA$83),toestellen_TAP,ROWS(bibliotheek!$E$139:$E$146),FALSE))</f>
        <v>0.85</v>
      </c>
      <c r="BB86" s="160"/>
      <c r="BC86" s="160"/>
      <c r="BD86" s="160"/>
      <c r="BE86" s="160"/>
      <c r="BF86" s="160"/>
      <c r="BG86" s="160"/>
      <c r="BH86" s="210"/>
    </row>
    <row r="87" spans="1:60">
      <c r="A87" s="1040"/>
      <c r="B87" s="1109" t="s">
        <v>161</v>
      </c>
      <c r="C87" s="1106" t="s">
        <v>118</v>
      </c>
      <c r="D87" s="638"/>
      <c r="E87" s="1218" t="s">
        <v>171</v>
      </c>
      <c r="F87" s="255"/>
      <c r="G87" s="255"/>
      <c r="H87" s="292" t="s">
        <v>65</v>
      </c>
      <c r="I87" s="136"/>
      <c r="J87" s="299"/>
      <c r="K87" s="107"/>
      <c r="L87" s="107"/>
      <c r="M87" s="198"/>
      <c r="N87" s="161"/>
      <c r="O87" s="275"/>
      <c r="P87" s="280"/>
      <c r="Q87" s="275"/>
      <c r="R87" s="162"/>
      <c r="S87" s="162"/>
      <c r="T87" s="162"/>
      <c r="U87" s="162"/>
      <c r="V87" s="162"/>
      <c r="W87" s="162"/>
      <c r="X87" s="110"/>
      <c r="Y87" s="286"/>
      <c r="Z87" s="161"/>
      <c r="AA87" s="275"/>
      <c r="AB87" s="280"/>
      <c r="AC87" s="275"/>
      <c r="AD87" s="162"/>
      <c r="AE87" s="162"/>
      <c r="AF87" s="162"/>
      <c r="AG87" s="162"/>
      <c r="AH87" s="162"/>
      <c r="AI87" s="162"/>
      <c r="AJ87" s="110"/>
      <c r="AK87" s="286"/>
      <c r="AL87" s="161"/>
      <c r="AM87" s="275"/>
      <c r="AN87" s="280"/>
      <c r="AO87" s="275"/>
      <c r="AP87" s="162"/>
      <c r="AQ87" s="162"/>
      <c r="AR87" s="162"/>
      <c r="AS87" s="162"/>
      <c r="AT87" s="162"/>
      <c r="AU87" s="162"/>
      <c r="AV87" s="110"/>
      <c r="AW87" s="286"/>
      <c r="AX87" s="161"/>
      <c r="AY87" s="275"/>
      <c r="AZ87" s="280"/>
      <c r="BA87" s="275"/>
      <c r="BB87" s="162"/>
      <c r="BC87" s="162"/>
      <c r="BD87" s="162"/>
      <c r="BE87" s="162"/>
      <c r="BF87" s="162"/>
      <c r="BG87" s="162"/>
      <c r="BH87" s="210"/>
    </row>
    <row r="88" spans="1:60">
      <c r="A88" s="1040"/>
      <c r="B88" s="1109" t="s">
        <v>161</v>
      </c>
      <c r="C88" s="1106" t="s">
        <v>118</v>
      </c>
      <c r="D88" s="641"/>
      <c r="E88" s="181" t="s">
        <v>172</v>
      </c>
      <c r="F88" s="180"/>
      <c r="G88" s="180"/>
      <c r="H88" s="181" t="s">
        <v>160</v>
      </c>
      <c r="I88" s="129"/>
      <c r="J88" s="190"/>
      <c r="K88" s="107"/>
      <c r="L88" s="107"/>
      <c r="M88" s="190"/>
      <c r="N88" s="114"/>
      <c r="O88" s="208">
        <f>IF(O$78=0,0,O$78/O$86-O$78)</f>
        <v>0</v>
      </c>
      <c r="P88" s="208">
        <f>IF(P$78=0,0,P$78/P$86-P$78)</f>
        <v>0</v>
      </c>
      <c r="Q88" s="208">
        <f>IF(Q$78=0,0,Q$78/Q$86-Q$78)</f>
        <v>0</v>
      </c>
      <c r="R88" s="130"/>
      <c r="S88" s="130"/>
      <c r="T88" s="130"/>
      <c r="U88" s="130"/>
      <c r="V88" s="130"/>
      <c r="W88" s="130"/>
      <c r="X88" s="110"/>
      <c r="Y88" s="132"/>
      <c r="Z88" s="114"/>
      <c r="AA88" s="208">
        <f>IF(AA$78=0,0,AA$78/AA$86-AA$78)</f>
        <v>0</v>
      </c>
      <c r="AB88" s="208">
        <f>IF(AB$78=0,0,AB$78/AB$86-AB$78)</f>
        <v>0</v>
      </c>
      <c r="AC88" s="208">
        <f>IF(AC$78=0,0,AC$78/AC$86-AC$78)</f>
        <v>0</v>
      </c>
      <c r="AD88" s="130"/>
      <c r="AE88" s="130"/>
      <c r="AF88" s="130"/>
      <c r="AG88" s="130"/>
      <c r="AH88" s="130"/>
      <c r="AI88" s="130"/>
      <c r="AJ88" s="110"/>
      <c r="AK88" s="132"/>
      <c r="AL88" s="114"/>
      <c r="AM88" s="208">
        <f>IF(AM$78=0,0,AM$78/AM$86-AM$78)</f>
        <v>0</v>
      </c>
      <c r="AN88" s="208">
        <f>IF(AN$78=0,0,AN$78/AN$86-AN$78)</f>
        <v>0</v>
      </c>
      <c r="AO88" s="208">
        <f>IF(AO$78=0,0,AO$78/AO$86-AO$78)</f>
        <v>0</v>
      </c>
      <c r="AP88" s="130"/>
      <c r="AQ88" s="130"/>
      <c r="AR88" s="130"/>
      <c r="AS88" s="130"/>
      <c r="AT88" s="130"/>
      <c r="AU88" s="130"/>
      <c r="AV88" s="110"/>
      <c r="AW88" s="132"/>
      <c r="AX88" s="114"/>
      <c r="AY88" s="208">
        <f>IF(AY$78=0,0,AY$78/AY$86-AY$78)</f>
        <v>0</v>
      </c>
      <c r="AZ88" s="208">
        <f>IF(AZ$78=0,0,AZ$78/AZ$86-AZ$78)</f>
        <v>0</v>
      </c>
      <c r="BA88" s="208">
        <f>IF(BA$78=0,0,BA$78/BA$86-BA$78)</f>
        <v>0</v>
      </c>
      <c r="BB88" s="130"/>
      <c r="BC88" s="130"/>
      <c r="BD88" s="130"/>
      <c r="BE88" s="130"/>
      <c r="BF88" s="130"/>
      <c r="BG88" s="130"/>
      <c r="BH88" s="210"/>
    </row>
    <row r="89" spans="1:60">
      <c r="A89" s="1040"/>
      <c r="B89" s="1109" t="s">
        <v>161</v>
      </c>
      <c r="C89" s="1106" t="s">
        <v>96</v>
      </c>
      <c r="D89" s="641" t="s">
        <v>45</v>
      </c>
      <c r="E89" s="940" t="s">
        <v>173</v>
      </c>
      <c r="F89" s="940"/>
      <c r="G89" s="940"/>
      <c r="H89" s="940"/>
      <c r="I89" s="77"/>
      <c r="J89" s="939"/>
      <c r="K89" s="126"/>
      <c r="L89" s="126"/>
      <c r="M89" s="938"/>
      <c r="N89" s="125"/>
      <c r="O89" s="177" t="str">
        <f>O$10</f>
        <v>verwarming</v>
      </c>
      <c r="P89" s="177" t="str">
        <f>P$10</f>
        <v>koeling</v>
      </c>
      <c r="Q89" s="177" t="str">
        <f>Q$10</f>
        <v>tapwater</v>
      </c>
      <c r="R89" s="177"/>
      <c r="S89" s="177"/>
      <c r="T89" s="177"/>
      <c r="U89" s="177"/>
      <c r="V89" s="177"/>
      <c r="W89" s="177"/>
      <c r="X89" s="143"/>
      <c r="Y89" s="938"/>
      <c r="Z89" s="125"/>
      <c r="AA89" s="177" t="str">
        <f>AA$10</f>
        <v>verwarming</v>
      </c>
      <c r="AB89" s="177" t="str">
        <f>AB$10</f>
        <v>koeling</v>
      </c>
      <c r="AC89" s="177" t="str">
        <f>AC$10</f>
        <v>tapwater</v>
      </c>
      <c r="AD89" s="177"/>
      <c r="AE89" s="177"/>
      <c r="AF89" s="177"/>
      <c r="AG89" s="177"/>
      <c r="AH89" s="177"/>
      <c r="AI89" s="177"/>
      <c r="AJ89" s="143"/>
      <c r="AK89" s="938"/>
      <c r="AL89" s="125"/>
      <c r="AM89" s="177" t="str">
        <f>AM$10</f>
        <v>verwarming</v>
      </c>
      <c r="AN89" s="177" t="str">
        <f>AN$10</f>
        <v>koeling</v>
      </c>
      <c r="AO89" s="177" t="str">
        <f>AO$10</f>
        <v>tapwater</v>
      </c>
      <c r="AP89" s="177"/>
      <c r="AQ89" s="177"/>
      <c r="AR89" s="177"/>
      <c r="AS89" s="177"/>
      <c r="AT89" s="177"/>
      <c r="AU89" s="177"/>
      <c r="AV89" s="143"/>
      <c r="AW89" s="938"/>
      <c r="AX89" s="125"/>
      <c r="AY89" s="177" t="str">
        <f>AY$10</f>
        <v>verwarming</v>
      </c>
      <c r="AZ89" s="177" t="str">
        <f>AZ$10</f>
        <v>koeling</v>
      </c>
      <c r="BA89" s="177" t="str">
        <f>BA$10</f>
        <v>tapwater</v>
      </c>
      <c r="BB89" s="177"/>
      <c r="BC89" s="177"/>
      <c r="BD89" s="177"/>
      <c r="BE89" s="177"/>
      <c r="BF89" s="177"/>
      <c r="BG89" s="177"/>
      <c r="BH89" s="174"/>
    </row>
    <row r="90" spans="1:60">
      <c r="A90" s="1040"/>
      <c r="B90" s="1109" t="s">
        <v>161</v>
      </c>
      <c r="C90" s="1106" t="s">
        <v>118</v>
      </c>
      <c r="D90" s="638"/>
      <c r="E90" s="181" t="s">
        <v>173</v>
      </c>
      <c r="F90" s="180"/>
      <c r="G90" s="180"/>
      <c r="H90" s="181" t="s">
        <v>65</v>
      </c>
      <c r="I90" s="129"/>
      <c r="J90" s="190"/>
      <c r="K90" s="107"/>
      <c r="L90" s="107"/>
      <c r="M90" s="190"/>
      <c r="N90" s="114"/>
      <c r="O90" s="860" t="s">
        <v>174</v>
      </c>
      <c r="P90" s="158"/>
      <c r="Q90" s="860" t="s">
        <v>174</v>
      </c>
      <c r="R90" s="159"/>
      <c r="S90" s="159"/>
      <c r="T90" s="159"/>
      <c r="U90" s="159"/>
      <c r="V90" s="159"/>
      <c r="W90" s="159"/>
      <c r="X90" s="76"/>
      <c r="Y90" s="128"/>
      <c r="Z90" s="114"/>
      <c r="AA90" s="860" t="s">
        <v>174</v>
      </c>
      <c r="AB90" s="158"/>
      <c r="AC90" s="860" t="s">
        <v>174</v>
      </c>
      <c r="AD90" s="159"/>
      <c r="AE90" s="159"/>
      <c r="AF90" s="159"/>
      <c r="AG90" s="159"/>
      <c r="AH90" s="159"/>
      <c r="AI90" s="159"/>
      <c r="AJ90" s="76"/>
      <c r="AK90" s="128"/>
      <c r="AL90" s="114"/>
      <c r="AM90" s="860" t="s">
        <v>174</v>
      </c>
      <c r="AN90" s="158"/>
      <c r="AO90" s="860" t="s">
        <v>174</v>
      </c>
      <c r="AP90" s="159"/>
      <c r="AQ90" s="159"/>
      <c r="AR90" s="159"/>
      <c r="AS90" s="159"/>
      <c r="AT90" s="159"/>
      <c r="AU90" s="159"/>
      <c r="AV90" s="76"/>
      <c r="AW90" s="128"/>
      <c r="AX90" s="114"/>
      <c r="AY90" s="860" t="s">
        <v>174</v>
      </c>
      <c r="AZ90" s="158"/>
      <c r="BA90" s="860" t="s">
        <v>174</v>
      </c>
      <c r="BB90" s="159"/>
      <c r="BC90" s="159"/>
      <c r="BD90" s="159"/>
      <c r="BE90" s="159"/>
      <c r="BF90" s="159"/>
      <c r="BG90" s="159"/>
      <c r="BH90" s="174"/>
    </row>
    <row r="91" spans="1:60">
      <c r="A91" s="1040"/>
      <c r="B91" s="1109" t="s">
        <v>161</v>
      </c>
      <c r="C91" s="1106" t="s">
        <v>118</v>
      </c>
      <c r="D91" s="641" t="s">
        <v>45</v>
      </c>
      <c r="E91" s="181" t="s">
        <v>175</v>
      </c>
      <c r="F91" s="180"/>
      <c r="G91" s="180"/>
      <c r="H91" s="181" t="s">
        <v>160</v>
      </c>
      <c r="I91" s="129"/>
      <c r="J91" s="190"/>
      <c r="K91" s="107"/>
      <c r="L91" s="107"/>
      <c r="M91" s="190"/>
      <c r="N91" s="114"/>
      <c r="O91" s="168">
        <f>IF(O90="nee",0,(O78+O88)*bijdrage_thermische_zonne_energie_RV)</f>
        <v>0</v>
      </c>
      <c r="P91" s="168"/>
      <c r="Q91" s="168">
        <f>IF(Q90="nee",0,(Q78+Q88)*bijdrage_thermische_zonne_energie_TAP)</f>
        <v>0</v>
      </c>
      <c r="R91" s="130"/>
      <c r="S91" s="130"/>
      <c r="T91" s="130"/>
      <c r="U91" s="130"/>
      <c r="V91" s="130"/>
      <c r="W91" s="130"/>
      <c r="X91" s="592"/>
      <c r="Y91" s="130"/>
      <c r="Z91" s="89"/>
      <c r="AA91" s="168">
        <f>IF(AA90="nee",0,(AA78+AA88)*bijdrage_thermische_zonne_energie_RV)</f>
        <v>0</v>
      </c>
      <c r="AB91" s="168"/>
      <c r="AC91" s="168">
        <f>IF(AC90="nee",0,(AC78+AC88)*bijdrage_thermische_zonne_energie_TAP)</f>
        <v>0</v>
      </c>
      <c r="AD91" s="130"/>
      <c r="AE91" s="130"/>
      <c r="AF91" s="130"/>
      <c r="AG91" s="130"/>
      <c r="AH91" s="130"/>
      <c r="AI91" s="130"/>
      <c r="AJ91" s="592"/>
      <c r="AK91" s="130"/>
      <c r="AL91" s="593"/>
      <c r="AM91" s="168">
        <f>IF(AM90="nee",0,(AM78+AM88)*bijdrage_thermische_zonne_energie_RV)</f>
        <v>0</v>
      </c>
      <c r="AN91" s="168"/>
      <c r="AO91" s="168">
        <f>IF(AO90="nee",0,(AO78+AO88)*bijdrage_thermische_zonne_energie_TAP)</f>
        <v>0</v>
      </c>
      <c r="AP91" s="130"/>
      <c r="AQ91" s="130"/>
      <c r="AR91" s="130"/>
      <c r="AS91" s="130"/>
      <c r="AT91" s="130"/>
      <c r="AU91" s="130"/>
      <c r="AV91" s="592"/>
      <c r="AW91" s="130"/>
      <c r="AX91" s="594"/>
      <c r="AY91" s="168">
        <f>IF(AY90="nee",0,(AY78+AY88)*bijdrage_thermische_zonne_energie_RV)</f>
        <v>0</v>
      </c>
      <c r="AZ91" s="168"/>
      <c r="BA91" s="168">
        <f>IF(BA90="nee",0,(BA78+BA88)*bijdrage_thermische_zonne_energie_TAP)</f>
        <v>0</v>
      </c>
      <c r="BB91" s="159"/>
      <c r="BC91" s="159"/>
      <c r="BD91" s="159"/>
      <c r="BE91" s="159"/>
      <c r="BF91" s="159"/>
      <c r="BG91" s="159"/>
      <c r="BH91" s="174"/>
    </row>
    <row r="92" spans="1:60">
      <c r="A92" s="1040"/>
      <c r="B92" s="1109" t="s">
        <v>161</v>
      </c>
      <c r="C92" s="1106" t="s">
        <v>96</v>
      </c>
      <c r="D92" s="641" t="s">
        <v>45</v>
      </c>
      <c r="E92" s="940" t="s">
        <v>176</v>
      </c>
      <c r="F92" s="940"/>
      <c r="G92" s="940"/>
      <c r="H92" s="940"/>
      <c r="I92" s="77"/>
      <c r="J92" s="939"/>
      <c r="K92" s="126"/>
      <c r="L92" s="126"/>
      <c r="M92" s="938"/>
      <c r="N92" s="125"/>
      <c r="O92" s="177" t="str">
        <f>O$10</f>
        <v>verwarming</v>
      </c>
      <c r="P92" s="177" t="str">
        <f>P$10</f>
        <v>koeling</v>
      </c>
      <c r="Q92" s="177" t="str">
        <f>Q$10</f>
        <v>tapwater</v>
      </c>
      <c r="R92" s="177"/>
      <c r="S92" s="177"/>
      <c r="T92" s="177"/>
      <c r="U92" s="177"/>
      <c r="V92" s="177"/>
      <c r="W92" s="177"/>
      <c r="X92" s="167"/>
      <c r="Y92" s="938"/>
      <c r="Z92" s="125"/>
      <c r="AA92" s="177" t="str">
        <f>AA$10</f>
        <v>verwarming</v>
      </c>
      <c r="AB92" s="177" t="str">
        <f>AB$10</f>
        <v>koeling</v>
      </c>
      <c r="AC92" s="177" t="str">
        <f>AC$10</f>
        <v>tapwater</v>
      </c>
      <c r="AD92" s="177"/>
      <c r="AE92" s="177"/>
      <c r="AF92" s="177"/>
      <c r="AG92" s="177"/>
      <c r="AH92" s="177"/>
      <c r="AI92" s="177"/>
      <c r="AJ92" s="167"/>
      <c r="AK92" s="938"/>
      <c r="AL92" s="125"/>
      <c r="AM92" s="177" t="str">
        <f>AM$10</f>
        <v>verwarming</v>
      </c>
      <c r="AN92" s="177" t="str">
        <f>AN$10</f>
        <v>koeling</v>
      </c>
      <c r="AO92" s="177" t="str">
        <f>AO$10</f>
        <v>tapwater</v>
      </c>
      <c r="AP92" s="177"/>
      <c r="AQ92" s="177"/>
      <c r="AR92" s="177"/>
      <c r="AS92" s="177"/>
      <c r="AT92" s="177"/>
      <c r="AU92" s="177"/>
      <c r="AV92" s="167"/>
      <c r="AW92" s="938"/>
      <c r="AX92" s="125"/>
      <c r="AY92" s="177" t="str">
        <f>AY$10</f>
        <v>verwarming</v>
      </c>
      <c r="AZ92" s="177" t="str">
        <f>AZ$10</f>
        <v>koeling</v>
      </c>
      <c r="BA92" s="177" t="str">
        <f>BA$10</f>
        <v>tapwater</v>
      </c>
      <c r="BB92" s="177"/>
      <c r="BC92" s="177"/>
      <c r="BD92" s="177"/>
      <c r="BE92" s="177"/>
      <c r="BF92" s="177"/>
      <c r="BG92" s="177"/>
      <c r="BH92" s="174"/>
    </row>
    <row r="93" spans="1:60">
      <c r="A93" s="1040"/>
      <c r="B93" s="1109" t="s">
        <v>161</v>
      </c>
      <c r="C93" s="1106" t="s">
        <v>118</v>
      </c>
      <c r="D93" s="638"/>
      <c r="E93" s="291" t="s">
        <v>177</v>
      </c>
      <c r="F93" s="254"/>
      <c r="G93" s="254"/>
      <c r="H93" s="291" t="s">
        <v>178</v>
      </c>
      <c r="I93" s="134"/>
      <c r="J93" s="189"/>
      <c r="K93" s="107"/>
      <c r="L93" s="107"/>
      <c r="M93" s="189"/>
      <c r="N93" s="116"/>
      <c r="O93" s="541">
        <f>IF(M22=0,0,IF(O94&lt;&gt;"",O94,
(HLOOKUP(O83,toestellen_RV,ROWS(bibliotheek!$E$83:$E$92),FALSE)*M24+
HLOOKUP(O83,toestellen_RV,ROWS(bibliotheek!$E$83:$E$93),FALSE)*M25+
HLOOKUP(O83,toestellen_RV,ROWS(bibliotheek!$E$83:$E$94),FALSE)*M26)/M22))</f>
        <v>0</v>
      </c>
      <c r="P93" s="415"/>
      <c r="Q93" s="541">
        <f>IF(M22=0,0,IF(Q94&lt;&gt;"",Q94,
(HLOOKUP(Q83,toestellen_TAP,ROWS(bibliotheek!$E$139:$E$148),FALSE)*M24+
HLOOKUP(Q83,toestellen_TAP,ROWS(bibliotheek!$E$139:$E$149),FALSE)*M25+
HLOOKUP(Q83,toestellen_TAP,ROWS(bibliotheek!$E$139:$E$150),FALSE)*M26)/M22))</f>
        <v>0</v>
      </c>
      <c r="R93" s="160"/>
      <c r="S93" s="160"/>
      <c r="T93" s="160"/>
      <c r="U93" s="160"/>
      <c r="V93" s="160"/>
      <c r="W93" s="160"/>
      <c r="X93" s="112"/>
      <c r="Y93" s="160"/>
      <c r="Z93" s="416"/>
      <c r="AA93" s="541">
        <f>IF(Y22=0,0,IF(AA94&lt;&gt;"",AA94,
(HLOOKUP(AA83,toestellen_RV,ROWS(bibliotheek!$E$83:$E$92),FALSE)*Y24+
HLOOKUP(AA83,toestellen_RV,ROWS(bibliotheek!$E$83:$E$93),FALSE)*Y25+
HLOOKUP(AA83,toestellen_RV,ROWS(bibliotheek!$E$83:$E$94),FALSE)*Y26)/Y22))</f>
        <v>0</v>
      </c>
      <c r="AB93" s="415"/>
      <c r="AC93" s="541">
        <f>IF(Y22=0,0,IF(AC94&lt;&gt;"",AC94,
(HLOOKUP(AC83,toestellen_TAP,ROWS(bibliotheek!$E$139:$E$148),FALSE)*Y24+
HLOOKUP(AC83,toestellen_TAP,ROWS(bibliotheek!$E$139:$E$149),FALSE)*Y25+
HLOOKUP(AC83,toestellen_TAP,ROWS(bibliotheek!$E$139:$E$150),FALSE)*Y26)/Y22))</f>
        <v>0</v>
      </c>
      <c r="AD93" s="160"/>
      <c r="AE93" s="160"/>
      <c r="AF93" s="160"/>
      <c r="AG93" s="160"/>
      <c r="AH93" s="160"/>
      <c r="AI93" s="160"/>
      <c r="AJ93" s="112"/>
      <c r="AK93" s="160"/>
      <c r="AL93" s="416"/>
      <c r="AM93" s="541">
        <f>IF(AK22=0,0,IF(AM94&lt;&gt;"",AM94,
(HLOOKUP(AM83,toestellen_RV,ROWS(bibliotheek!$E$83:$E$92),FALSE)*AK24+
HLOOKUP(AM83,toestellen_RV,ROWS(bibliotheek!$E$83:$E$93),FALSE)*AK25+
HLOOKUP(AM83,toestellen_RV,ROWS(bibliotheek!$E$83:$E$94),FALSE)*AK26)/AK22))</f>
        <v>0</v>
      </c>
      <c r="AN93" s="415"/>
      <c r="AO93" s="541">
        <f>IF(AK22=0,0,IF(AO94&lt;&gt;"",AO94,
(HLOOKUP(AO83,toestellen_TAP,ROWS(bibliotheek!$E$139:$E$148),FALSE)*AK24+
HLOOKUP(AO83,toestellen_TAP,ROWS(bibliotheek!$E$139:$E$149),FALSE)*AK25+
HLOOKUP(AO83,toestellen_TAP,ROWS(bibliotheek!$E$139:$E$150),FALSE)*AK26)/AK22))</f>
        <v>0</v>
      </c>
      <c r="AP93" s="160"/>
      <c r="AQ93" s="160"/>
      <c r="AR93" s="160"/>
      <c r="AS93" s="160"/>
      <c r="AT93" s="160"/>
      <c r="AU93" s="160"/>
      <c r="AV93" s="112"/>
      <c r="AW93" s="160"/>
      <c r="AX93" s="416"/>
      <c r="AY93" s="541">
        <f>IF(AW22=0,0,IF(AY94&lt;&gt;"",AY94,
(HLOOKUP(AY83,toestellen_RV,ROWS(bibliotheek!$E$83:$E$92),FALSE)*AW24+
HLOOKUP(AY83,toestellen_RV,ROWS(bibliotheek!$E$83:$E$93),FALSE)*AW25+
HLOOKUP(AY83,toestellen_RV,ROWS(bibliotheek!$E$83:$E$94),FALSE)*AW26)/AW22))</f>
        <v>0</v>
      </c>
      <c r="AZ93" s="415"/>
      <c r="BA93" s="541">
        <f>IF(AW22=0,0,IF(BA94&lt;&gt;"",BA94,
(HLOOKUP(BA83,toestellen_TAP,ROWS(bibliotheek!$E$139:$E$148),FALSE)*AW24+
HLOOKUP(BA83,toestellen_TAP,ROWS(bibliotheek!$E$139:$E$149),FALSE)*AW25+
HLOOKUP(BA83,toestellen_TAP,ROWS(bibliotheek!$E$139:$E$150),FALSE)*AW26)/AW22))</f>
        <v>0</v>
      </c>
      <c r="BB93" s="160"/>
      <c r="BC93" s="160"/>
      <c r="BD93" s="160"/>
      <c r="BE93" s="160"/>
      <c r="BF93" s="160"/>
      <c r="BG93" s="160"/>
      <c r="BH93" s="210"/>
    </row>
    <row r="94" spans="1:60">
      <c r="A94" s="1040"/>
      <c r="B94" s="1109" t="s">
        <v>161</v>
      </c>
      <c r="C94" s="1106" t="s">
        <v>118</v>
      </c>
      <c r="D94" s="638"/>
      <c r="E94" s="1218" t="s">
        <v>1388</v>
      </c>
      <c r="F94" s="255"/>
      <c r="G94" s="255"/>
      <c r="H94" s="292" t="s">
        <v>178</v>
      </c>
      <c r="I94" s="136"/>
      <c r="J94" s="299"/>
      <c r="K94" s="107"/>
      <c r="L94" s="107"/>
      <c r="M94" s="198"/>
      <c r="N94" s="161"/>
      <c r="O94" s="276"/>
      <c r="P94" s="281"/>
      <c r="Q94" s="276"/>
      <c r="R94" s="163"/>
      <c r="S94" s="163"/>
      <c r="T94" s="163"/>
      <c r="U94" s="163"/>
      <c r="V94" s="163"/>
      <c r="W94" s="163"/>
      <c r="X94" s="110"/>
      <c r="Y94" s="386"/>
      <c r="Z94" s="308"/>
      <c r="AA94" s="276"/>
      <c r="AB94" s="281"/>
      <c r="AC94" s="276"/>
      <c r="AD94" s="163"/>
      <c r="AE94" s="163"/>
      <c r="AF94" s="163"/>
      <c r="AG94" s="163"/>
      <c r="AH94" s="163"/>
      <c r="AI94" s="163"/>
      <c r="AJ94" s="110"/>
      <c r="AK94" s="386"/>
      <c r="AL94" s="308"/>
      <c r="AM94" s="276"/>
      <c r="AN94" s="281"/>
      <c r="AO94" s="276"/>
      <c r="AP94" s="163"/>
      <c r="AQ94" s="163"/>
      <c r="AR94" s="163"/>
      <c r="AS94" s="163"/>
      <c r="AT94" s="163"/>
      <c r="AU94" s="163"/>
      <c r="AV94" s="110"/>
      <c r="AW94" s="386"/>
      <c r="AX94" s="308"/>
      <c r="AY94" s="276"/>
      <c r="AZ94" s="281"/>
      <c r="BA94" s="276"/>
      <c r="BB94" s="164"/>
      <c r="BC94" s="164"/>
      <c r="BD94" s="164"/>
      <c r="BE94" s="164"/>
      <c r="BF94" s="164"/>
      <c r="BG94" s="164"/>
      <c r="BH94" s="210"/>
    </row>
    <row r="95" spans="1:60">
      <c r="A95" s="1040"/>
      <c r="B95" s="1109" t="s">
        <v>161</v>
      </c>
      <c r="C95" s="1106" t="s">
        <v>118</v>
      </c>
      <c r="D95" s="638"/>
      <c r="E95" s="181" t="s">
        <v>179</v>
      </c>
      <c r="F95" s="180"/>
      <c r="G95" s="180"/>
      <c r="H95" s="181" t="s">
        <v>160</v>
      </c>
      <c r="I95" s="129"/>
      <c r="J95" s="190"/>
      <c r="K95" s="107"/>
      <c r="L95" s="107"/>
      <c r="M95" s="190"/>
      <c r="N95" s="89"/>
      <c r="O95" s="208">
        <f>O$93*M$22</f>
        <v>0</v>
      </c>
      <c r="P95" s="130"/>
      <c r="Q95" s="208">
        <f>Q$93*M$22</f>
        <v>0</v>
      </c>
      <c r="R95" s="130"/>
      <c r="S95" s="130"/>
      <c r="T95" s="130"/>
      <c r="U95" s="130"/>
      <c r="V95" s="130"/>
      <c r="W95" s="130"/>
      <c r="X95" s="110"/>
      <c r="Y95" s="132"/>
      <c r="Z95" s="114"/>
      <c r="AA95" s="208">
        <f>AA$93*Y$22</f>
        <v>0</v>
      </c>
      <c r="AB95" s="130"/>
      <c r="AC95" s="208">
        <f>AC$93*Y$22</f>
        <v>0</v>
      </c>
      <c r="AD95" s="130"/>
      <c r="AE95" s="130"/>
      <c r="AF95" s="130"/>
      <c r="AG95" s="130"/>
      <c r="AH95" s="130"/>
      <c r="AI95" s="130"/>
      <c r="AJ95" s="110"/>
      <c r="AK95" s="132"/>
      <c r="AL95" s="114"/>
      <c r="AM95" s="208">
        <f>AM$93*AK$22</f>
        <v>0</v>
      </c>
      <c r="AN95" s="130"/>
      <c r="AO95" s="208">
        <f>AO$93*AK$22</f>
        <v>0</v>
      </c>
      <c r="AP95" s="130"/>
      <c r="AQ95" s="130"/>
      <c r="AR95" s="130"/>
      <c r="AS95" s="130"/>
      <c r="AT95" s="130"/>
      <c r="AU95" s="130"/>
      <c r="AV95" s="110"/>
      <c r="AW95" s="132"/>
      <c r="AX95" s="114"/>
      <c r="AY95" s="208">
        <f>AY$93*AW$22</f>
        <v>0</v>
      </c>
      <c r="AZ95" s="130"/>
      <c r="BA95" s="208">
        <f>BA$93*AW$22</f>
        <v>0</v>
      </c>
      <c r="BB95" s="130"/>
      <c r="BC95" s="130"/>
      <c r="BD95" s="130"/>
      <c r="BE95" s="130"/>
      <c r="BF95" s="130"/>
      <c r="BG95" s="130"/>
      <c r="BH95" s="210"/>
    </row>
    <row r="96" spans="1:60">
      <c r="A96" s="1040"/>
      <c r="B96" s="1109" t="s">
        <v>161</v>
      </c>
      <c r="C96" s="1106" t="s">
        <v>96</v>
      </c>
      <c r="D96" s="641" t="s">
        <v>45</v>
      </c>
      <c r="E96" s="940" t="s">
        <v>180</v>
      </c>
      <c r="F96" s="940"/>
      <c r="G96" s="940"/>
      <c r="H96" s="940"/>
      <c r="I96" s="77"/>
      <c r="J96" s="939"/>
      <c r="K96" s="126"/>
      <c r="L96" s="126"/>
      <c r="M96" s="938"/>
      <c r="N96" s="125"/>
      <c r="O96" s="177" t="str">
        <f>O$10</f>
        <v>verwarming</v>
      </c>
      <c r="P96" s="177" t="str">
        <f>P$10</f>
        <v>koeling</v>
      </c>
      <c r="Q96" s="177" t="str">
        <f>Q$10</f>
        <v>tapwater</v>
      </c>
      <c r="R96" s="177"/>
      <c r="S96" s="177"/>
      <c r="T96" s="177"/>
      <c r="U96" s="177"/>
      <c r="V96" s="177"/>
      <c r="W96" s="177"/>
      <c r="X96" s="167"/>
      <c r="Y96" s="938"/>
      <c r="Z96" s="125"/>
      <c r="AA96" s="177" t="str">
        <f>AA$10</f>
        <v>verwarming</v>
      </c>
      <c r="AB96" s="177" t="str">
        <f>AB$10</f>
        <v>koeling</v>
      </c>
      <c r="AC96" s="177" t="str">
        <f>AC$10</f>
        <v>tapwater</v>
      </c>
      <c r="AD96" s="177"/>
      <c r="AE96" s="177"/>
      <c r="AF96" s="177"/>
      <c r="AG96" s="177"/>
      <c r="AH96" s="177"/>
      <c r="AI96" s="177"/>
      <c r="AJ96" s="167"/>
      <c r="AK96" s="938"/>
      <c r="AL96" s="125"/>
      <c r="AM96" s="177" t="str">
        <f>AM$10</f>
        <v>verwarming</v>
      </c>
      <c r="AN96" s="177" t="str">
        <f>AN$10</f>
        <v>koeling</v>
      </c>
      <c r="AO96" s="177" t="str">
        <f>AO$10</f>
        <v>tapwater</v>
      </c>
      <c r="AP96" s="177"/>
      <c r="AQ96" s="177"/>
      <c r="AR96" s="177"/>
      <c r="AS96" s="177"/>
      <c r="AT96" s="177"/>
      <c r="AU96" s="177"/>
      <c r="AV96" s="167"/>
      <c r="AW96" s="938"/>
      <c r="AX96" s="125"/>
      <c r="AY96" s="177" t="str">
        <f>AY$10</f>
        <v>verwarming</v>
      </c>
      <c r="AZ96" s="177" t="str">
        <f>AZ$10</f>
        <v>koeling</v>
      </c>
      <c r="BA96" s="177" t="str">
        <f>BA$10</f>
        <v>tapwater</v>
      </c>
      <c r="BB96" s="177"/>
      <c r="BC96" s="177"/>
      <c r="BD96" s="177"/>
      <c r="BE96" s="177"/>
      <c r="BF96" s="177"/>
      <c r="BG96" s="177"/>
      <c r="BH96" s="174"/>
    </row>
    <row r="97" spans="1:60" hidden="1">
      <c r="A97" s="1040"/>
      <c r="B97" s="1109" t="s">
        <v>161</v>
      </c>
      <c r="C97" s="1106" t="s">
        <v>181</v>
      </c>
      <c r="D97" s="638"/>
      <c r="E97" s="181" t="s">
        <v>182</v>
      </c>
      <c r="F97" s="180"/>
      <c r="G97" s="180"/>
      <c r="H97" s="181" t="s">
        <v>160</v>
      </c>
      <c r="I97" s="129"/>
      <c r="J97" s="190"/>
      <c r="K97" s="107"/>
      <c r="L97" s="107"/>
      <c r="M97" s="190"/>
      <c r="N97" s="114"/>
      <c r="O97" s="208">
        <f>IF(O$83="geen",0,O78+O88-O91+O95)</f>
        <v>0</v>
      </c>
      <c r="P97" s="208">
        <f>IF(P$83="geen",0,P78+P88-P91+P95)</f>
        <v>0</v>
      </c>
      <c r="Q97" s="208">
        <f>IF(Q$83="geen",0,Q78+Q88-Q91+Q95)</f>
        <v>0</v>
      </c>
      <c r="R97" s="130"/>
      <c r="S97" s="130"/>
      <c r="T97" s="130"/>
      <c r="U97" s="130"/>
      <c r="V97" s="130"/>
      <c r="W97" s="130"/>
      <c r="X97" s="110"/>
      <c r="Y97" s="132"/>
      <c r="Z97" s="114"/>
      <c r="AA97" s="208">
        <f>IF(AA$83="geen",0,AA78+AA88-AA91+AA95)</f>
        <v>0</v>
      </c>
      <c r="AB97" s="208">
        <f>IF(AB$83="geen",0,AB78+AB88-AB91+AB95)</f>
        <v>0</v>
      </c>
      <c r="AC97" s="208">
        <f>IF(AC$83="geen",0,AC78+AC88-AC91+AC95)</f>
        <v>0</v>
      </c>
      <c r="AD97" s="130"/>
      <c r="AE97" s="130"/>
      <c r="AF97" s="130"/>
      <c r="AG97" s="130"/>
      <c r="AH97" s="130"/>
      <c r="AI97" s="130"/>
      <c r="AJ97" s="110"/>
      <c r="AK97" s="132"/>
      <c r="AL97" s="114"/>
      <c r="AM97" s="208">
        <f>IF(AM$83="geen",0,AM78+AM88-AM91+AM95)</f>
        <v>0</v>
      </c>
      <c r="AN97" s="208">
        <f>IF(AN$83="geen",0,AN78+AN88-AN91+AN95)</f>
        <v>0</v>
      </c>
      <c r="AO97" s="208">
        <f>IF(AO$83="geen",0,AO78+AO88-AO91+AO95)</f>
        <v>0</v>
      </c>
      <c r="AP97" s="130"/>
      <c r="AQ97" s="130"/>
      <c r="AR97" s="130"/>
      <c r="AS97" s="130"/>
      <c r="AT97" s="130"/>
      <c r="AU97" s="130"/>
      <c r="AV97" s="110"/>
      <c r="AW97" s="132"/>
      <c r="AX97" s="114"/>
      <c r="AY97" s="208">
        <f>IF(AY$83="geen",0,AY78+AY88-AY91+AY95)</f>
        <v>0</v>
      </c>
      <c r="AZ97" s="208">
        <f>IF(AZ$83="geen",0,AZ78+AZ88-AZ91+AZ95)</f>
        <v>0</v>
      </c>
      <c r="BA97" s="208">
        <f>IF(BA$83="geen",0,BA78+BA88-BA91+BA95)</f>
        <v>0</v>
      </c>
      <c r="BB97" s="130"/>
      <c r="BC97" s="130"/>
      <c r="BD97" s="130"/>
      <c r="BE97" s="130"/>
      <c r="BF97" s="130"/>
      <c r="BG97" s="130"/>
      <c r="BH97" s="210"/>
    </row>
    <row r="98" spans="1:60" hidden="1">
      <c r="A98" s="1040"/>
      <c r="B98" s="1109" t="s">
        <v>161</v>
      </c>
      <c r="C98" s="1106" t="s">
        <v>181</v>
      </c>
      <c r="D98" s="641" t="s">
        <v>45</v>
      </c>
      <c r="E98" s="181" t="s">
        <v>183</v>
      </c>
      <c r="F98" s="180"/>
      <c r="G98" s="180"/>
      <c r="H98" s="181" t="s">
        <v>184</v>
      </c>
      <c r="I98" s="129"/>
      <c r="J98" s="190"/>
      <c r="K98" s="107"/>
      <c r="L98" s="107"/>
      <c r="M98" s="190"/>
      <c r="N98" s="114"/>
      <c r="O98" s="542">
        <f>IF(OR(O83="geen",O97=0),0,IF(O84=gebouw,O$27,1))</f>
        <v>0</v>
      </c>
      <c r="P98" s="542">
        <f>IF(OR(P83="geen",P97=0),0,IF(P84=gebouw,P$27,1))</f>
        <v>0</v>
      </c>
      <c r="Q98" s="542" t="s">
        <v>65</v>
      </c>
      <c r="R98" s="128"/>
      <c r="S98" s="128"/>
      <c r="T98" s="128"/>
      <c r="U98" s="128"/>
      <c r="V98" s="128"/>
      <c r="W98" s="128"/>
      <c r="X98" s="417"/>
      <c r="Y98" s="132"/>
      <c r="Z98" s="119"/>
      <c r="AA98" s="542">
        <f>IF(OR(AA83="geen",AA97=0),0,IF(AA84=gebouw,AA$27,1))</f>
        <v>0</v>
      </c>
      <c r="AB98" s="542">
        <f>IF(OR(AB83="geen",AB97=0),0,IF(AB84=gebouw,AB$27,1))</f>
        <v>0</v>
      </c>
      <c r="AC98" s="542" t="s">
        <v>65</v>
      </c>
      <c r="AD98" s="128"/>
      <c r="AE98" s="128"/>
      <c r="AF98" s="128"/>
      <c r="AG98" s="128"/>
      <c r="AH98" s="128"/>
      <c r="AI98" s="128"/>
      <c r="AJ98" s="417"/>
      <c r="AK98" s="132"/>
      <c r="AL98" s="119"/>
      <c r="AM98" s="542">
        <f>IF(OR(AM83="geen",AM97=0),0,IF(AM84=gebouw,AM$27,1))</f>
        <v>0</v>
      </c>
      <c r="AN98" s="542">
        <f>IF(OR(AN83="geen",AN97=0),0,IF(AN84=gebouw,AN$27,1))</f>
        <v>0</v>
      </c>
      <c r="AO98" s="542" t="s">
        <v>65</v>
      </c>
      <c r="AP98" s="128"/>
      <c r="AQ98" s="128"/>
      <c r="AR98" s="128"/>
      <c r="AS98" s="128"/>
      <c r="AT98" s="128"/>
      <c r="AU98" s="128"/>
      <c r="AV98" s="417"/>
      <c r="AW98" s="132"/>
      <c r="AX98" s="119"/>
      <c r="AY98" s="542">
        <f>IF(OR(AY83="geen",AY97=0),0,IF(AY84=gebouw,AY$27,1))</f>
        <v>0</v>
      </c>
      <c r="AZ98" s="542">
        <f>IF(OR(AZ83="geen",AZ97=0),0,IF(AZ84=gebouw,AZ$27,1))</f>
        <v>0</v>
      </c>
      <c r="BA98" s="542" t="s">
        <v>65</v>
      </c>
      <c r="BB98" s="130"/>
      <c r="BC98" s="130"/>
      <c r="BD98" s="130"/>
      <c r="BE98" s="130"/>
      <c r="BF98" s="130"/>
      <c r="BG98" s="130"/>
      <c r="BH98" s="210"/>
    </row>
    <row r="99" spans="1:60" hidden="1">
      <c r="A99" s="1040"/>
      <c r="B99" s="1109" t="s">
        <v>161</v>
      </c>
      <c r="C99" s="1106" t="s">
        <v>181</v>
      </c>
      <c r="D99" s="641" t="s">
        <v>45</v>
      </c>
      <c r="E99" s="181" t="s">
        <v>185</v>
      </c>
      <c r="F99" s="180"/>
      <c r="G99" s="180"/>
      <c r="H99" s="181" t="s">
        <v>186</v>
      </c>
      <c r="I99" s="129"/>
      <c r="J99" s="190"/>
      <c r="K99" s="107"/>
      <c r="L99" s="107"/>
      <c r="M99" s="190"/>
      <c r="N99" s="114"/>
      <c r="O99" s="542">
        <f>MROUND(((bibliotheek!$I$124*(O97*1000))/(0.001*bibliotheek!$I$125)*((bibliotheek!$I$126-bibliotheek!$I$128)/(bibliotheek!$I$126-bibliotheek!$I$127))+(O29^0.5*4*3+O29)*bibliotheek!$I$129)/1000,50)</f>
        <v>0</v>
      </c>
      <c r="P99" s="542">
        <f>IF(P83="geen",0,MROUND((P97*1000)*bibliotheek!$I$216,1))</f>
        <v>0</v>
      </c>
      <c r="Q99" s="542" t="s">
        <v>65</v>
      </c>
      <c r="R99" s="128"/>
      <c r="S99" s="128"/>
      <c r="T99" s="128"/>
      <c r="U99" s="128"/>
      <c r="V99" s="128"/>
      <c r="W99" s="128"/>
      <c r="X99" s="417"/>
      <c r="Y99" s="132"/>
      <c r="Z99" s="119"/>
      <c r="AA99" s="542">
        <f>MROUND(((bibliotheek!$I$124*(AA97*1000))/(0.001*bibliotheek!$I$125)*((bibliotheek!$I$126-bibliotheek!$I$128)/(bibliotheek!$I$126-bibliotheek!$I$127))+(AA29^0.5*4*3+AA29)*bibliotheek!$I$129)/1000,50)</f>
        <v>0</v>
      </c>
      <c r="AB99" s="542">
        <f>IF(AB83="geen",0,MROUND((AB97*1000)*bibliotheek!$I$216,1))</f>
        <v>0</v>
      </c>
      <c r="AC99" s="542" t="s">
        <v>65</v>
      </c>
      <c r="AD99" s="128"/>
      <c r="AE99" s="128"/>
      <c r="AF99" s="128"/>
      <c r="AG99" s="128"/>
      <c r="AH99" s="128"/>
      <c r="AI99" s="128"/>
      <c r="AJ99" s="417"/>
      <c r="AK99" s="132"/>
      <c r="AL99" s="119"/>
      <c r="AM99" s="542">
        <f>MROUND(((bibliotheek!$I$124*(AM97*1000))/(0.001*bibliotheek!$I$125)*((bibliotheek!$I$126-bibliotheek!$I$128)/(bibliotheek!$I$126-bibliotheek!$I$127))+(AM29^0.5*4*3+AM29)*bibliotheek!$I$129)/1000,50)</f>
        <v>0</v>
      </c>
      <c r="AN99" s="542">
        <f>IF(AN83="geen",0,MROUND((AN97*1000)*bibliotheek!$I$216,1))</f>
        <v>0</v>
      </c>
      <c r="AO99" s="542" t="s">
        <v>65</v>
      </c>
      <c r="AP99" s="128"/>
      <c r="AQ99" s="128"/>
      <c r="AR99" s="128"/>
      <c r="AS99" s="128"/>
      <c r="AT99" s="128"/>
      <c r="AU99" s="128"/>
      <c r="AV99" s="417"/>
      <c r="AW99" s="132"/>
      <c r="AX99" s="119"/>
      <c r="AY99" s="542">
        <f>MROUND(((bibliotheek!$I$124*(AY97*1000))/(0.001*bibliotheek!$I$125)*((bibliotheek!$I$126-bibliotheek!$I$128)/(bibliotheek!$I$126-bibliotheek!$I$127))+(AY29^0.5*4*3+AY29)*bibliotheek!$I$129)/1000,50)</f>
        <v>0</v>
      </c>
      <c r="AZ99" s="542">
        <f>IF(AZ83="geen",0,MROUND((AZ97*1000)*bibliotheek!$I$216,1))</f>
        <v>0</v>
      </c>
      <c r="BA99" s="542" t="s">
        <v>65</v>
      </c>
      <c r="BB99" s="130"/>
      <c r="BC99" s="130"/>
      <c r="BD99" s="130"/>
      <c r="BE99" s="130"/>
      <c r="BF99" s="130"/>
      <c r="BG99" s="130"/>
      <c r="BH99" s="210"/>
    </row>
    <row r="100" spans="1:60" hidden="1">
      <c r="A100" s="1040"/>
      <c r="B100" s="1109" t="s">
        <v>161</v>
      </c>
      <c r="C100" s="1107" t="s">
        <v>181</v>
      </c>
      <c r="D100" s="638"/>
      <c r="E100" s="79"/>
      <c r="F100" s="79"/>
      <c r="G100" s="79"/>
      <c r="H100" s="85"/>
      <c r="I100" s="79"/>
      <c r="J100" s="82"/>
      <c r="K100" s="79"/>
      <c r="L100" s="79"/>
      <c r="M100" s="82"/>
      <c r="N100" s="79"/>
      <c r="O100" s="82"/>
      <c r="P100" s="82"/>
      <c r="Q100" s="82"/>
      <c r="R100" s="82"/>
      <c r="S100" s="82"/>
      <c r="T100" s="82"/>
      <c r="U100" s="82"/>
      <c r="V100" s="82"/>
      <c r="W100" s="82"/>
      <c r="X100" s="82"/>
      <c r="Y100" s="82"/>
      <c r="Z100" s="79"/>
      <c r="AA100" s="108"/>
      <c r="AB100" s="105"/>
      <c r="AC100" s="108"/>
      <c r="AD100" s="82"/>
      <c r="AE100" s="82"/>
      <c r="AF100" s="82"/>
      <c r="AG100" s="82"/>
      <c r="AH100" s="82"/>
      <c r="AI100" s="82"/>
      <c r="AJ100" s="82"/>
      <c r="AK100" s="82"/>
      <c r="AL100" s="79"/>
      <c r="AM100" s="82"/>
      <c r="AN100" s="105"/>
      <c r="AO100" s="82"/>
      <c r="AP100" s="82"/>
      <c r="AQ100" s="82"/>
      <c r="AR100" s="82"/>
      <c r="AS100" s="82"/>
      <c r="AT100" s="82"/>
      <c r="AU100" s="82"/>
      <c r="AV100" s="82"/>
      <c r="AW100" s="82"/>
      <c r="AX100" s="79"/>
      <c r="AY100" s="82"/>
      <c r="AZ100" s="105"/>
      <c r="BA100" s="82"/>
      <c r="BB100" s="82"/>
      <c r="BC100" s="82"/>
      <c r="BD100" s="82"/>
      <c r="BE100" s="82"/>
      <c r="BF100" s="82"/>
      <c r="BG100" s="82"/>
      <c r="BH100" s="1"/>
    </row>
    <row r="101" spans="1:60">
      <c r="A101" s="1040"/>
      <c r="B101" s="1109" t="s">
        <v>187</v>
      </c>
      <c r="C101" s="1107" t="s">
        <v>96</v>
      </c>
      <c r="D101" s="638"/>
      <c r="E101" s="79"/>
      <c r="F101" s="79"/>
      <c r="G101" s="79"/>
      <c r="H101" s="85"/>
      <c r="I101" s="79"/>
      <c r="J101" s="82"/>
      <c r="K101" s="79"/>
      <c r="L101" s="79"/>
      <c r="M101" s="82"/>
      <c r="N101" s="79"/>
      <c r="O101" s="1018"/>
      <c r="P101" s="1019"/>
      <c r="Q101" s="1019"/>
      <c r="R101" s="82"/>
      <c r="S101" s="82"/>
      <c r="T101" s="82"/>
      <c r="U101" s="82"/>
      <c r="V101" s="82"/>
      <c r="W101" s="82"/>
      <c r="X101" s="82"/>
      <c r="Y101" s="82"/>
      <c r="Z101" s="79"/>
      <c r="AA101" s="82"/>
      <c r="AB101" s="82"/>
      <c r="AC101" s="82"/>
      <c r="AD101" s="82"/>
      <c r="AE101" s="82"/>
      <c r="AF101" s="82"/>
      <c r="AG101" s="82"/>
      <c r="AH101" s="82"/>
      <c r="AI101" s="82"/>
      <c r="AJ101" s="82"/>
      <c r="AK101" s="82"/>
      <c r="AL101" s="79"/>
      <c r="AM101" s="82"/>
      <c r="AN101" s="82"/>
      <c r="AO101" s="82"/>
      <c r="AP101" s="82"/>
      <c r="AQ101" s="82"/>
      <c r="AR101" s="82"/>
      <c r="AS101" s="82"/>
      <c r="AT101" s="82"/>
      <c r="AU101" s="82"/>
      <c r="AV101" s="82"/>
      <c r="AW101" s="82"/>
      <c r="AX101" s="79"/>
      <c r="AY101" s="82"/>
      <c r="AZ101" s="82"/>
      <c r="BA101" s="82"/>
      <c r="BB101" s="82"/>
      <c r="BC101" s="82"/>
      <c r="BD101" s="82"/>
      <c r="BE101" s="82"/>
      <c r="BF101" s="82"/>
      <c r="BG101" s="82"/>
      <c r="BH101" s="1"/>
    </row>
    <row r="102" spans="1:60" ht="21">
      <c r="A102" s="1040"/>
      <c r="B102" s="1109" t="s">
        <v>187</v>
      </c>
      <c r="C102" s="1106" t="s">
        <v>96</v>
      </c>
      <c r="D102" s="641" t="s">
        <v>45</v>
      </c>
      <c r="E102" s="199" t="s">
        <v>188</v>
      </c>
      <c r="F102" s="199"/>
      <c r="G102" s="199"/>
      <c r="H102" s="199"/>
      <c r="I102" s="77"/>
      <c r="J102" s="200" t="str">
        <f>J$10</f>
        <v>alle locaties</v>
      </c>
      <c r="K102" s="126"/>
      <c r="L102" s="126"/>
      <c r="M102" s="200" t="str">
        <f>M$10</f>
        <v>locatie 1</v>
      </c>
      <c r="N102" s="182"/>
      <c r="O102" s="966" t="str">
        <f>$E102&amp;" per energiepost"</f>
        <v>installatie preferent toestel per energiepost</v>
      </c>
      <c r="P102" s="941"/>
      <c r="Q102" s="941"/>
      <c r="R102" s="941"/>
      <c r="S102" s="941"/>
      <c r="T102" s="941"/>
      <c r="U102" s="941"/>
      <c r="V102" s="941"/>
      <c r="W102" s="956"/>
      <c r="X102" s="174"/>
      <c r="Y102" s="176" t="str">
        <f>Y$10</f>
        <v>locatie 2</v>
      </c>
      <c r="Z102" s="182"/>
      <c r="AA102" s="966" t="str">
        <f>$E102&amp;" per energiepost"</f>
        <v>installatie preferent toestel per energiepost</v>
      </c>
      <c r="AB102" s="941"/>
      <c r="AC102" s="941"/>
      <c r="AD102" s="941"/>
      <c r="AE102" s="941"/>
      <c r="AF102" s="941"/>
      <c r="AG102" s="941"/>
      <c r="AH102" s="941"/>
      <c r="AI102" s="956"/>
      <c r="AJ102" s="174"/>
      <c r="AK102" s="176" t="str">
        <f>AK$10</f>
        <v>locatie 3</v>
      </c>
      <c r="AL102" s="182"/>
      <c r="AM102" s="966" t="str">
        <f>$E102&amp;" per energiepost"</f>
        <v>installatie preferent toestel per energiepost</v>
      </c>
      <c r="AN102" s="941"/>
      <c r="AO102" s="941"/>
      <c r="AP102" s="941"/>
      <c r="AQ102" s="941"/>
      <c r="AR102" s="941"/>
      <c r="AS102" s="941"/>
      <c r="AT102" s="941"/>
      <c r="AU102" s="956"/>
      <c r="AV102" s="174"/>
      <c r="AW102" s="176" t="str">
        <f>AW$10</f>
        <v>locatie 4</v>
      </c>
      <c r="AX102" s="182"/>
      <c r="AY102" s="966" t="str">
        <f>$E102&amp;" per energiepost"</f>
        <v>installatie preferent toestel per energiepost</v>
      </c>
      <c r="AZ102" s="941"/>
      <c r="BA102" s="941"/>
      <c r="BB102" s="941"/>
      <c r="BC102" s="941"/>
      <c r="BD102" s="941"/>
      <c r="BE102" s="941"/>
      <c r="BF102" s="941"/>
      <c r="BG102" s="956"/>
      <c r="BH102" s="1"/>
    </row>
    <row r="103" spans="1:60">
      <c r="A103" s="1040"/>
      <c r="B103" s="1109" t="s">
        <v>187</v>
      </c>
      <c r="C103" s="1106" t="s">
        <v>96</v>
      </c>
      <c r="D103" s="641"/>
      <c r="E103" s="940" t="s">
        <v>189</v>
      </c>
      <c r="F103" s="940"/>
      <c r="G103" s="940"/>
      <c r="H103" s="940"/>
      <c r="I103" s="77"/>
      <c r="J103" s="939"/>
      <c r="K103" s="126"/>
      <c r="L103" s="126"/>
      <c r="M103" s="938"/>
      <c r="N103" s="125"/>
      <c r="O103" s="177" t="str">
        <f>O$10</f>
        <v>verwarming</v>
      </c>
      <c r="P103" s="177" t="str">
        <f>P$10</f>
        <v>koeling</v>
      </c>
      <c r="Q103" s="177" t="str">
        <f>Q$10</f>
        <v>tapwater</v>
      </c>
      <c r="R103" s="177"/>
      <c r="S103" s="177"/>
      <c r="T103" s="177"/>
      <c r="U103" s="177"/>
      <c r="V103" s="177"/>
      <c r="W103" s="177"/>
      <c r="X103" s="147"/>
      <c r="Y103" s="938"/>
      <c r="Z103" s="125"/>
      <c r="AA103" s="177" t="str">
        <f>AA$10</f>
        <v>verwarming</v>
      </c>
      <c r="AB103" s="177" t="str">
        <f>AB$10</f>
        <v>koeling</v>
      </c>
      <c r="AC103" s="177" t="str">
        <f>AC$10</f>
        <v>tapwater</v>
      </c>
      <c r="AD103" s="177"/>
      <c r="AE103" s="177"/>
      <c r="AF103" s="177"/>
      <c r="AG103" s="177"/>
      <c r="AH103" s="177"/>
      <c r="AI103" s="177"/>
      <c r="AJ103" s="147"/>
      <c r="AK103" s="938"/>
      <c r="AL103" s="125"/>
      <c r="AM103" s="177" t="str">
        <f>AM$10</f>
        <v>verwarming</v>
      </c>
      <c r="AN103" s="177" t="str">
        <f>AN$10</f>
        <v>koeling</v>
      </c>
      <c r="AO103" s="177" t="str">
        <f>AO$10</f>
        <v>tapwater</v>
      </c>
      <c r="AP103" s="177"/>
      <c r="AQ103" s="177"/>
      <c r="AR103" s="177"/>
      <c r="AS103" s="177"/>
      <c r="AT103" s="177"/>
      <c r="AU103" s="177"/>
      <c r="AV103" s="147"/>
      <c r="AW103" s="938"/>
      <c r="AX103" s="125"/>
      <c r="AY103" s="177" t="str">
        <f>AY$10</f>
        <v>verwarming</v>
      </c>
      <c r="AZ103" s="177" t="str">
        <f>AZ$10</f>
        <v>koeling</v>
      </c>
      <c r="BA103" s="177" t="str">
        <f>BA$10</f>
        <v>tapwater</v>
      </c>
      <c r="BB103" s="177"/>
      <c r="BC103" s="177"/>
      <c r="BD103" s="177"/>
      <c r="BE103" s="177"/>
      <c r="BF103" s="177"/>
      <c r="BG103" s="177"/>
      <c r="BH103" s="218"/>
    </row>
    <row r="104" spans="1:60" ht="38.25">
      <c r="A104" s="1040"/>
      <c r="B104" s="1109" t="s">
        <v>187</v>
      </c>
      <c r="C104" s="1107" t="s">
        <v>118</v>
      </c>
      <c r="D104" s="638"/>
      <c r="E104" s="150" t="s">
        <v>164</v>
      </c>
      <c r="F104" s="294"/>
      <c r="G104" s="294"/>
      <c r="H104" s="150" t="s">
        <v>65</v>
      </c>
      <c r="I104" s="155"/>
      <c r="J104" s="268"/>
      <c r="K104" s="1056"/>
      <c r="L104" s="1056"/>
      <c r="M104" s="268"/>
      <c r="N104" s="120"/>
      <c r="O104" s="324" t="str">
        <f>O83</f>
        <v>ind WP, ind bodem, elek bijstook</v>
      </c>
      <c r="P104" s="324" t="str">
        <f>P83</f>
        <v>geen</v>
      </c>
      <c r="Q104" s="324" t="str">
        <f>Q83</f>
        <v>ind WP, ind bodem, elek bijstook</v>
      </c>
      <c r="R104" s="156"/>
      <c r="S104" s="156"/>
      <c r="T104" s="156"/>
      <c r="U104" s="156"/>
      <c r="V104" s="156"/>
      <c r="W104" s="156"/>
      <c r="X104" s="157"/>
      <c r="Y104" s="268"/>
      <c r="Z104" s="120"/>
      <c r="AA104" s="324" t="str">
        <f>AA83</f>
        <v>ind WP, ind bodem, elek bijstook</v>
      </c>
      <c r="AB104" s="324" t="str">
        <f>AB83</f>
        <v>geen</v>
      </c>
      <c r="AC104" s="324" t="str">
        <f>AC83</f>
        <v>ind WP, ind bodem, elek bijstook</v>
      </c>
      <c r="AD104" s="156"/>
      <c r="AE104" s="156"/>
      <c r="AF104" s="156"/>
      <c r="AG104" s="156"/>
      <c r="AH104" s="156"/>
      <c r="AI104" s="156"/>
      <c r="AJ104" s="157"/>
      <c r="AK104" s="268"/>
      <c r="AL104" s="120"/>
      <c r="AM104" s="324" t="str">
        <f>AM83</f>
        <v>ind WP, ind bodem, elek bijstook</v>
      </c>
      <c r="AN104" s="324" t="str">
        <f>AN83</f>
        <v>geen</v>
      </c>
      <c r="AO104" s="324" t="str">
        <f>AO83</f>
        <v>ind WP, ind bodem, elek bijstook</v>
      </c>
      <c r="AP104" s="156"/>
      <c r="AQ104" s="156"/>
      <c r="AR104" s="156"/>
      <c r="AS104" s="156"/>
      <c r="AT104" s="156"/>
      <c r="AU104" s="156"/>
      <c r="AV104" s="157"/>
      <c r="AW104" s="268"/>
      <c r="AX104" s="120"/>
      <c r="AY104" s="324" t="str">
        <f>AY83</f>
        <v>ind WP, ind bodem, elek bijstook</v>
      </c>
      <c r="AZ104" s="324" t="str">
        <f>AZ83</f>
        <v>geen</v>
      </c>
      <c r="BA104" s="324" t="str">
        <f>BA83</f>
        <v>ind WP, ind bodem, elek bijstook</v>
      </c>
      <c r="BB104" s="156"/>
      <c r="BC104" s="156"/>
      <c r="BD104" s="156"/>
      <c r="BE104" s="156"/>
      <c r="BF104" s="156"/>
      <c r="BG104" s="156"/>
      <c r="BH104" s="218"/>
    </row>
    <row r="105" spans="1:60" s="36" customFormat="1" ht="80.25" hidden="1" customHeight="1">
      <c r="A105" s="1040"/>
      <c r="B105" s="1109" t="s">
        <v>187</v>
      </c>
      <c r="C105" s="1107" t="s">
        <v>181</v>
      </c>
      <c r="D105" s="638"/>
      <c r="E105" s="150" t="s">
        <v>190</v>
      </c>
      <c r="F105" s="149"/>
      <c r="G105" s="149"/>
      <c r="H105" s="150" t="s">
        <v>65</v>
      </c>
      <c r="I105" s="277"/>
      <c r="J105" s="287"/>
      <c r="K105" s="1057"/>
      <c r="L105" s="1057"/>
      <c r="M105" s="287"/>
      <c r="N105" s="194"/>
      <c r="O105" s="324" t="str">
        <f>HLOOKUP(IF(O$83="",referentie_verwarming,O$83),toestellen_RV,ROWS(bibliotheek!$E$83:$E$96),FALSE)</f>
        <v>elektriciteit</v>
      </c>
      <c r="P105" s="324" t="str">
        <f>HLOOKUP(IF(P$83="",referentie_koeling,P$83),toestellen_KOEL,ROWS(bibliotheek!$E$190:$E$197),FALSE)</f>
        <v>nvt</v>
      </c>
      <c r="Q105" s="324" t="str">
        <f>HLOOKUP(IF(Q$83="",referentie_warmtapwater,Q$83),toestellen_TAP,ROWS(bibliotheek!$E$139:$E$152),FALSE)</f>
        <v>elektriciteit</v>
      </c>
      <c r="R105" s="278"/>
      <c r="S105" s="278"/>
      <c r="T105" s="278"/>
      <c r="U105" s="278"/>
      <c r="V105" s="278"/>
      <c r="W105" s="278"/>
      <c r="X105" s="279"/>
      <c r="Y105" s="287"/>
      <c r="Z105" s="194"/>
      <c r="AA105" s="324" t="str">
        <f>HLOOKUP(IF(AA$83="",referentie_verwarming,AA$83),toestellen_RV,ROWS(bibliotheek!$E$83:$E$96),FALSE)</f>
        <v>elektriciteit</v>
      </c>
      <c r="AB105" s="324" t="str">
        <f>HLOOKUP(IF(AB$83="",referentie_koeling,AB$83),toestellen_KOEL,ROWS(bibliotheek!$E$190:$E$197),FALSE)</f>
        <v>nvt</v>
      </c>
      <c r="AC105" s="324" t="str">
        <f>HLOOKUP(IF(AC$83="",referentie_warmtapwater,AC$83),toestellen_TAP,ROWS(bibliotheek!$E$139:$E$152),FALSE)</f>
        <v>elektriciteit</v>
      </c>
      <c r="AD105" s="278"/>
      <c r="AE105" s="278"/>
      <c r="AF105" s="278"/>
      <c r="AG105" s="278"/>
      <c r="AH105" s="278"/>
      <c r="AI105" s="278"/>
      <c r="AJ105" s="279"/>
      <c r="AK105" s="287"/>
      <c r="AL105" s="194"/>
      <c r="AM105" s="324" t="str">
        <f>HLOOKUP(IF(AM$83="",referentie_verwarming,AM$83),toestellen_RV,ROWS(bibliotheek!$E$83:$E$96),FALSE)</f>
        <v>elektriciteit</v>
      </c>
      <c r="AN105" s="324" t="str">
        <f>HLOOKUP(IF(AN$83="",referentie_koeling,AN$83),toestellen_KOEL,ROWS(bibliotheek!$E$190:$E$197),FALSE)</f>
        <v>nvt</v>
      </c>
      <c r="AO105" s="324" t="str">
        <f>HLOOKUP(IF(AO$83="",referentie_warmtapwater,AO$83),toestellen_TAP,ROWS(bibliotheek!$E$139:$E$152),FALSE)</f>
        <v>elektriciteit</v>
      </c>
      <c r="AP105" s="278"/>
      <c r="AQ105" s="278"/>
      <c r="AR105" s="278"/>
      <c r="AS105" s="278"/>
      <c r="AT105" s="278"/>
      <c r="AU105" s="278"/>
      <c r="AV105" s="279"/>
      <c r="AW105" s="287"/>
      <c r="AX105" s="194"/>
      <c r="AY105" s="324" t="str">
        <f>HLOOKUP(IF(AY$83="",referentie_verwarming,AY$83),toestellen_RV,ROWS(bibliotheek!$E$83:$E$96),FALSE)</f>
        <v>elektriciteit</v>
      </c>
      <c r="AZ105" s="324" t="str">
        <f>HLOOKUP(IF(AZ$83="",referentie_koeling,AZ$83),toestellen_KOEL,ROWS(bibliotheek!$E$190:$E$197),FALSE)</f>
        <v>nvt</v>
      </c>
      <c r="BA105" s="324" t="str">
        <f>HLOOKUP(IF(BA$83="",referentie_warmtapwater,BA$83),toestellen_TAP,ROWS(bibliotheek!$E$139:$E$152),FALSE)</f>
        <v>elektriciteit</v>
      </c>
      <c r="BB105" s="278"/>
      <c r="BC105" s="278"/>
      <c r="BD105" s="278"/>
      <c r="BE105" s="278"/>
      <c r="BF105" s="278"/>
      <c r="BG105" s="278"/>
      <c r="BH105" s="223"/>
    </row>
    <row r="106" spans="1:60" hidden="1">
      <c r="A106" s="1040"/>
      <c r="B106" s="1109" t="s">
        <v>187</v>
      </c>
      <c r="C106" s="1106" t="s">
        <v>181</v>
      </c>
      <c r="D106" s="638"/>
      <c r="E106" s="181" t="s">
        <v>191</v>
      </c>
      <c r="F106" s="180"/>
      <c r="G106" s="180"/>
      <c r="H106" s="181" t="s">
        <v>65</v>
      </c>
      <c r="I106" s="129"/>
      <c r="J106" s="190"/>
      <c r="K106" s="1058"/>
      <c r="L106" s="1058"/>
      <c r="M106" s="190"/>
      <c r="N106" s="114"/>
      <c r="O106" s="543" t="str">
        <f>INDEX(energiedragers_index_fPren,MATCH(O105,energiedragers_namen,0))</f>
        <v>nren</v>
      </c>
      <c r="P106" s="543" t="str">
        <f>INDEX(energiedragers_index_fPren,MATCH(P105,energiedragers_namen,0))</f>
        <v>nren</v>
      </c>
      <c r="Q106" s="543" t="str">
        <f>INDEX(energiedragers_index_fPren,MATCH(Q105,energiedragers_namen,0))</f>
        <v>nren</v>
      </c>
      <c r="R106" s="165"/>
      <c r="S106" s="165"/>
      <c r="T106" s="165"/>
      <c r="U106" s="165"/>
      <c r="V106" s="165"/>
      <c r="W106" s="165"/>
      <c r="X106" s="166"/>
      <c r="Y106" s="190"/>
      <c r="Z106" s="114"/>
      <c r="AA106" s="543" t="str">
        <f>INDEX(energiedragers_index_fPren,MATCH(AA105,energiedragers_namen,0))</f>
        <v>nren</v>
      </c>
      <c r="AB106" s="543" t="str">
        <f>INDEX(energiedragers_index_fPren,MATCH(AB105,energiedragers_namen,0))</f>
        <v>nren</v>
      </c>
      <c r="AC106" s="543" t="str">
        <f>INDEX(energiedragers_index_fPren,MATCH(AC105,energiedragers_namen,0))</f>
        <v>nren</v>
      </c>
      <c r="AD106" s="165"/>
      <c r="AE106" s="165"/>
      <c r="AF106" s="165"/>
      <c r="AG106" s="165"/>
      <c r="AH106" s="165"/>
      <c r="AI106" s="165"/>
      <c r="AJ106" s="166"/>
      <c r="AK106" s="190"/>
      <c r="AL106" s="114"/>
      <c r="AM106" s="543" t="str">
        <f>INDEX(energiedragers_index_fPren,MATCH(AM105,energiedragers_namen,0))</f>
        <v>nren</v>
      </c>
      <c r="AN106" s="543" t="str">
        <f>INDEX(energiedragers_index_fPren,MATCH(AN105,energiedragers_namen,0))</f>
        <v>nren</v>
      </c>
      <c r="AO106" s="543" t="str">
        <f>INDEX(energiedragers_index_fPren,MATCH(AO105,energiedragers_namen,0))</f>
        <v>nren</v>
      </c>
      <c r="AP106" s="165"/>
      <c r="AQ106" s="165"/>
      <c r="AR106" s="165"/>
      <c r="AS106" s="165"/>
      <c r="AT106" s="165"/>
      <c r="AU106" s="165"/>
      <c r="AV106" s="166"/>
      <c r="AW106" s="190"/>
      <c r="AX106" s="114"/>
      <c r="AY106" s="543" t="str">
        <f>INDEX(energiedragers_index_fPren,MATCH(AY105,energiedragers_namen,0))</f>
        <v>nren</v>
      </c>
      <c r="AZ106" s="543" t="str">
        <f>INDEX(energiedragers_index_fPren,MATCH(AZ105,energiedragers_namen,0))</f>
        <v>nren</v>
      </c>
      <c r="BA106" s="543" t="str">
        <f>INDEX(energiedragers_index_fPren,MATCH(BA105,energiedragers_namen,0))</f>
        <v>nren</v>
      </c>
      <c r="BB106" s="165"/>
      <c r="BC106" s="165"/>
      <c r="BD106" s="165"/>
      <c r="BE106" s="165"/>
      <c r="BF106" s="165"/>
      <c r="BG106" s="165"/>
      <c r="BH106" s="219"/>
    </row>
    <row r="107" spans="1:60">
      <c r="A107" s="1040"/>
      <c r="B107" s="1109" t="s">
        <v>187</v>
      </c>
      <c r="C107" s="1106" t="s">
        <v>96</v>
      </c>
      <c r="D107" s="638"/>
      <c r="E107" s="940" t="s">
        <v>192</v>
      </c>
      <c r="F107" s="940"/>
      <c r="G107" s="940"/>
      <c r="H107" s="940"/>
      <c r="I107" s="77"/>
      <c r="J107" s="939"/>
      <c r="K107" s="126"/>
      <c r="L107" s="126"/>
      <c r="M107" s="938"/>
      <c r="N107" s="125"/>
      <c r="O107" s="177" t="str">
        <f>O$10</f>
        <v>verwarming</v>
      </c>
      <c r="P107" s="177" t="str">
        <f>P$10</f>
        <v>koeling</v>
      </c>
      <c r="Q107" s="177" t="str">
        <f>Q$10</f>
        <v>tapwater</v>
      </c>
      <c r="R107" s="177"/>
      <c r="S107" s="177"/>
      <c r="T107" s="177"/>
      <c r="U107" s="177"/>
      <c r="V107" s="177"/>
      <c r="W107" s="177"/>
      <c r="X107" s="127"/>
      <c r="Y107" s="938"/>
      <c r="Z107" s="125"/>
      <c r="AA107" s="177" t="str">
        <f>AA$10</f>
        <v>verwarming</v>
      </c>
      <c r="AB107" s="177" t="str">
        <f>AB$10</f>
        <v>koeling</v>
      </c>
      <c r="AC107" s="177" t="str">
        <f>AC$10</f>
        <v>tapwater</v>
      </c>
      <c r="AD107" s="177"/>
      <c r="AE107" s="177"/>
      <c r="AF107" s="177"/>
      <c r="AG107" s="177"/>
      <c r="AH107" s="177"/>
      <c r="AI107" s="177"/>
      <c r="AJ107" s="127"/>
      <c r="AK107" s="938"/>
      <c r="AL107" s="125"/>
      <c r="AM107" s="177" t="str">
        <f>AM$10</f>
        <v>verwarming</v>
      </c>
      <c r="AN107" s="177" t="str">
        <f>AN$10</f>
        <v>koeling</v>
      </c>
      <c r="AO107" s="177" t="str">
        <f>AO$10</f>
        <v>tapwater</v>
      </c>
      <c r="AP107" s="177"/>
      <c r="AQ107" s="177"/>
      <c r="AR107" s="177"/>
      <c r="AS107" s="177"/>
      <c r="AT107" s="177"/>
      <c r="AU107" s="177"/>
      <c r="AV107" s="127"/>
      <c r="AW107" s="938"/>
      <c r="AX107" s="125"/>
      <c r="AY107" s="177" t="str">
        <f>AY$10</f>
        <v>verwarming</v>
      </c>
      <c r="AZ107" s="177" t="str">
        <f>AZ$10</f>
        <v>koeling</v>
      </c>
      <c r="BA107" s="177" t="str">
        <f>BA$10</f>
        <v>tapwater</v>
      </c>
      <c r="BB107" s="177"/>
      <c r="BC107" s="177"/>
      <c r="BD107" s="177"/>
      <c r="BE107" s="177"/>
      <c r="BF107" s="177"/>
      <c r="BG107" s="177"/>
      <c r="BH107" s="218"/>
    </row>
    <row r="108" spans="1:60">
      <c r="A108" s="1040"/>
      <c r="B108" s="1109" t="s">
        <v>187</v>
      </c>
      <c r="C108" s="1107" t="s">
        <v>118</v>
      </c>
      <c r="D108" s="638"/>
      <c r="E108" s="291" t="s">
        <v>193</v>
      </c>
      <c r="F108" s="254"/>
      <c r="G108" s="254"/>
      <c r="H108" s="291" t="s">
        <v>139</v>
      </c>
      <c r="I108" s="77"/>
      <c r="J108" s="189"/>
      <c r="K108" s="107"/>
      <c r="L108" s="107"/>
      <c r="M108" s="189"/>
      <c r="N108" s="79"/>
      <c r="O108" s="544">
        <f>IF(HLOOKUP(IF(O$83="",referentie_verwarming,O$83),toestellen_RV,ROWS(bibliotheek!$E$83:$E$98),FALSE)=1,1,IF(O109&lt;&gt;"",O109,HLOOKUP(IF(O$83="",referentie_verwarming,O$83),toestellen_RV,ROWS(bibliotheek!$E$83:$E$98),FALSE)))</f>
        <v>0.9</v>
      </c>
      <c r="P108" s="544">
        <f>IF(HLOOKUP(IF(P$83="",referentie_koeling,P$83),toestellen_KOEL,ROWS(bibliotheek!$E$190:$E$199),FALSE)=1,1,IF(P109&lt;&gt;"",P109,HLOOKUP(IF(P$83="",referentie_koeling,P$83),toestellen_KOEL,ROWS(bibliotheek!$E$190:$E$199),FALSE)))</f>
        <v>1</v>
      </c>
      <c r="Q108" s="544">
        <f>IF(HLOOKUP(IF(Q$83="",referentie_warmtapwater,Q$83),toestellen_TAP,ROWS(bibliotheek!$E$139:$E$154),FALSE)=1,1,IF(Q109&lt;&gt;"",Q109,HLOOKUP(IF(Q$83="",referentie_warmtapwater,Q$83),toestellen_TAP,ROWS(bibliotheek!$E$139:$E$154),FALSE)))</f>
        <v>0.9</v>
      </c>
      <c r="R108" s="135"/>
      <c r="S108" s="135"/>
      <c r="T108" s="135"/>
      <c r="U108" s="135"/>
      <c r="V108" s="135"/>
      <c r="W108" s="135"/>
      <c r="X108" s="76"/>
      <c r="Y108" s="189"/>
      <c r="Z108" s="79"/>
      <c r="AA108" s="544">
        <f>IF(HLOOKUP(IF(AA$83="",referentie_verwarming,AA$83),toestellen_RV,ROWS(bibliotheek!$E$83:$E$98),FALSE)=1,1,IF(AA109&lt;&gt;"",AA109,HLOOKUP(IF(AA$83="",referentie_verwarming,AA$83),toestellen_RV,ROWS(bibliotheek!$E$83:$E$98),FALSE)))</f>
        <v>0.9</v>
      </c>
      <c r="AB108" s="544">
        <f>IF(HLOOKUP(IF(AB$83="",referentie_koeling,AB$83),toestellen_KOEL,ROWS(bibliotheek!$E$190:$E$199),FALSE)=1,1,IF(AB109&lt;&gt;"",AB109,HLOOKUP(IF(AB$83="",referentie_koeling,AB$83),toestellen_KOEL,ROWS(bibliotheek!$E$190:$E$199),FALSE)))</f>
        <v>1</v>
      </c>
      <c r="AC108" s="544">
        <f>IF(HLOOKUP(IF(AC$83="",referentie_warmtapwater,AC$83),toestellen_TAP,ROWS(bibliotheek!$E$139:$E$154),FALSE)=1,1,IF(AC109&lt;&gt;"",AC109,HLOOKUP(IF(AC$83="",referentie_warmtapwater,AC$83),toestellen_TAP,ROWS(bibliotheek!$E$139:$E$154),FALSE)))</f>
        <v>0.9</v>
      </c>
      <c r="AD108" s="135"/>
      <c r="AE108" s="135"/>
      <c r="AF108" s="135"/>
      <c r="AG108" s="135"/>
      <c r="AH108" s="135"/>
      <c r="AI108" s="135"/>
      <c r="AJ108" s="76"/>
      <c r="AK108" s="189"/>
      <c r="AL108" s="79"/>
      <c r="AM108" s="544">
        <f>IF(HLOOKUP(IF(AM$83="",referentie_verwarming,AM$83),toestellen_RV,ROWS(bibliotheek!$E$83:$E$98),FALSE)=1,1,IF(AM109&lt;&gt;"",AM109,HLOOKUP(IF(AM$83="",referentie_verwarming,AM$83),toestellen_RV,ROWS(bibliotheek!$E$83:$E$98),FALSE)))</f>
        <v>0.9</v>
      </c>
      <c r="AN108" s="544">
        <f>IF(HLOOKUP(IF(AN$83="",referentie_koeling,AN$83),toestellen_KOEL,ROWS(bibliotheek!$E$190:$E$199),FALSE)=1,1,IF(AN109&lt;&gt;"",AN109,HLOOKUP(IF(AN$83="",referentie_koeling,AN$83),toestellen_KOEL,ROWS(bibliotheek!$E$190:$E$199),FALSE)))</f>
        <v>1</v>
      </c>
      <c r="AO108" s="544">
        <f>IF(HLOOKUP(IF(AO$83="",referentie_warmtapwater,AO$83),toestellen_TAP,ROWS(bibliotheek!$E$139:$E$154),FALSE)=1,1,IF(AO109&lt;&gt;"",AO109,HLOOKUP(IF(AO$83="",referentie_warmtapwater,AO$83),toestellen_TAP,ROWS(bibliotheek!$E$139:$E$154),FALSE)))</f>
        <v>0.9</v>
      </c>
      <c r="AP108" s="135"/>
      <c r="AQ108" s="135"/>
      <c r="AR108" s="135"/>
      <c r="AS108" s="135"/>
      <c r="AT108" s="135"/>
      <c r="AU108" s="135"/>
      <c r="AV108" s="76"/>
      <c r="AW108" s="189"/>
      <c r="AX108" s="79"/>
      <c r="AY108" s="544">
        <f>IF(HLOOKUP(IF(AY$83="",referentie_verwarming,AY$83),toestellen_RV,ROWS(bibliotheek!$E$83:$E$98),FALSE)=1,1,IF(AY109&lt;&gt;"",AY109,HLOOKUP(IF(AY$83="",referentie_verwarming,AY$83),toestellen_RV,ROWS(bibliotheek!$E$83:$E$98),FALSE)))</f>
        <v>0.9</v>
      </c>
      <c r="AZ108" s="544">
        <f>IF(HLOOKUP(IF(AZ$83="",referentie_koeling,AZ$83),toestellen_KOEL,ROWS(bibliotheek!$E$190:$E$199),FALSE)=1,1,IF(AZ109&lt;&gt;"",AZ109,HLOOKUP(IF(AZ$83="",referentie_koeling,AZ$83),toestellen_KOEL,ROWS(bibliotheek!$E$190:$E$199),FALSE)))</f>
        <v>1</v>
      </c>
      <c r="BA108" s="544">
        <f>IF(HLOOKUP(IF(BA$83="",referentie_warmtapwater,BA$83),toestellen_TAP,ROWS(bibliotheek!$E$139:$E$154),FALSE)=1,1,IF(BA109&lt;&gt;"",BA109,HLOOKUP(IF(BA$83="",referentie_warmtapwater,BA$83),toestellen_TAP,ROWS(bibliotheek!$E$139:$E$154),FALSE)))</f>
        <v>0.9</v>
      </c>
      <c r="BB108" s="135"/>
      <c r="BC108" s="135"/>
      <c r="BD108" s="135"/>
      <c r="BE108" s="135"/>
      <c r="BF108" s="135"/>
      <c r="BG108" s="135"/>
      <c r="BH108" s="174"/>
    </row>
    <row r="109" spans="1:60">
      <c r="A109" s="1040"/>
      <c r="B109" s="1109" t="s">
        <v>187</v>
      </c>
      <c r="C109" s="1107" t="s">
        <v>118</v>
      </c>
      <c r="D109" s="638"/>
      <c r="E109" s="1218" t="s">
        <v>194</v>
      </c>
      <c r="F109" s="255"/>
      <c r="G109" s="255"/>
      <c r="H109" s="292"/>
      <c r="I109" s="77"/>
      <c r="J109" s="299"/>
      <c r="K109" s="107"/>
      <c r="L109" s="107"/>
      <c r="M109" s="198"/>
      <c r="N109" s="79"/>
      <c r="O109" s="282"/>
      <c r="P109" s="282"/>
      <c r="Q109" s="282"/>
      <c r="R109" s="137"/>
      <c r="S109" s="137"/>
      <c r="T109" s="137"/>
      <c r="U109" s="137"/>
      <c r="V109" s="137"/>
      <c r="W109" s="137"/>
      <c r="X109" s="76"/>
      <c r="Y109" s="198"/>
      <c r="Z109" s="79"/>
      <c r="AA109" s="282"/>
      <c r="AB109" s="282"/>
      <c r="AC109" s="282"/>
      <c r="AD109" s="137"/>
      <c r="AE109" s="137"/>
      <c r="AF109" s="137"/>
      <c r="AG109" s="137"/>
      <c r="AH109" s="137"/>
      <c r="AI109" s="137"/>
      <c r="AJ109" s="76"/>
      <c r="AK109" s="198"/>
      <c r="AL109" s="79"/>
      <c r="AM109" s="282"/>
      <c r="AN109" s="282"/>
      <c r="AO109" s="282"/>
      <c r="AP109" s="137"/>
      <c r="AQ109" s="137"/>
      <c r="AR109" s="137"/>
      <c r="AS109" s="137"/>
      <c r="AT109" s="137"/>
      <c r="AU109" s="137"/>
      <c r="AV109" s="76"/>
      <c r="AW109" s="198"/>
      <c r="AX109" s="79"/>
      <c r="AY109" s="282"/>
      <c r="AZ109" s="282"/>
      <c r="BA109" s="282"/>
      <c r="BB109" s="137"/>
      <c r="BC109" s="137"/>
      <c r="BD109" s="137"/>
      <c r="BE109" s="137"/>
      <c r="BF109" s="137"/>
      <c r="BG109" s="137"/>
      <c r="BH109" s="220"/>
    </row>
    <row r="110" spans="1:60" hidden="1">
      <c r="A110" s="1046"/>
      <c r="B110" s="1109" t="s">
        <v>187</v>
      </c>
      <c r="C110" s="1111" t="s">
        <v>181</v>
      </c>
      <c r="D110" s="643"/>
      <c r="E110" s="201" t="s">
        <v>195</v>
      </c>
      <c r="F110" s="245"/>
      <c r="G110" s="245"/>
      <c r="H110" s="201" t="s">
        <v>160</v>
      </c>
      <c r="I110" s="107"/>
      <c r="J110" s="202">
        <f>M110+Y110+AK110+AW110</f>
        <v>0</v>
      </c>
      <c r="K110" s="1059"/>
      <c r="L110" s="1059"/>
      <c r="M110" s="202">
        <f>SUM(O110:X110)</f>
        <v>0</v>
      </c>
      <c r="N110" s="243"/>
      <c r="O110" s="168">
        <f>O$97*O108</f>
        <v>0</v>
      </c>
      <c r="P110" s="168">
        <f>P$97*P108</f>
        <v>0</v>
      </c>
      <c r="Q110" s="168">
        <f>Q$97*Q108</f>
        <v>0</v>
      </c>
      <c r="R110" s="130"/>
      <c r="S110" s="130"/>
      <c r="T110" s="130"/>
      <c r="U110" s="130"/>
      <c r="V110" s="130"/>
      <c r="W110" s="130"/>
      <c r="X110" s="110"/>
      <c r="Y110" s="202">
        <f>SUM(AA110:AJ110)</f>
        <v>0</v>
      </c>
      <c r="Z110" s="243"/>
      <c r="AA110" s="168">
        <f>AA$97*AA108</f>
        <v>0</v>
      </c>
      <c r="AB110" s="168">
        <f>AB$97*AB108</f>
        <v>0</v>
      </c>
      <c r="AC110" s="168">
        <f>AC$97*AC108</f>
        <v>0</v>
      </c>
      <c r="AD110" s="130"/>
      <c r="AE110" s="130"/>
      <c r="AF110" s="130"/>
      <c r="AG110" s="130"/>
      <c r="AH110" s="130"/>
      <c r="AI110" s="130"/>
      <c r="AJ110" s="110"/>
      <c r="AK110" s="202">
        <f>SUM(AM110:AV110)</f>
        <v>0</v>
      </c>
      <c r="AL110" s="243"/>
      <c r="AM110" s="168">
        <f>AM$97*AM108</f>
        <v>0</v>
      </c>
      <c r="AN110" s="168">
        <f>AN$97*AN108</f>
        <v>0</v>
      </c>
      <c r="AO110" s="168">
        <f>AO$97*AO108</f>
        <v>0</v>
      </c>
      <c r="AP110" s="130"/>
      <c r="AQ110" s="130"/>
      <c r="AR110" s="130"/>
      <c r="AS110" s="130"/>
      <c r="AT110" s="130"/>
      <c r="AU110" s="130"/>
      <c r="AV110" s="110"/>
      <c r="AW110" s="202">
        <f>SUM(AY110:BH110)</f>
        <v>0</v>
      </c>
      <c r="AX110" s="243"/>
      <c r="AY110" s="168">
        <f>AY$97*AY108</f>
        <v>0</v>
      </c>
      <c r="AZ110" s="168">
        <f>AZ$97*AZ108</f>
        <v>0</v>
      </c>
      <c r="BA110" s="168">
        <f>BA$97*BA108</f>
        <v>0</v>
      </c>
      <c r="BB110" s="130"/>
      <c r="BC110" s="130"/>
      <c r="BD110" s="130"/>
      <c r="BE110" s="130"/>
      <c r="BF110" s="130"/>
      <c r="BG110" s="130"/>
      <c r="BH110" s="174"/>
    </row>
    <row r="111" spans="1:60">
      <c r="A111" s="1040"/>
      <c r="B111" s="1109" t="s">
        <v>187</v>
      </c>
      <c r="C111" s="1107" t="s">
        <v>118</v>
      </c>
      <c r="D111" s="641" t="s">
        <v>45</v>
      </c>
      <c r="E111" s="291" t="s">
        <v>196</v>
      </c>
      <c r="F111" s="254"/>
      <c r="G111" s="254"/>
      <c r="H111" s="291" t="s">
        <v>65</v>
      </c>
      <c r="I111" s="77"/>
      <c r="J111" s="288"/>
      <c r="K111" s="1060"/>
      <c r="L111" s="1060"/>
      <c r="M111" s="288"/>
      <c r="N111" s="244"/>
      <c r="O111" s="377">
        <f>IF(O112&lt;&gt;"",O112,HLOOKUP(IF(O$83="",referentie_verwarming,O$83),toestellen_RV,ROWS(bibliotheek!$E$83:$E$99),FALSE))</f>
        <v>4.55</v>
      </c>
      <c r="P111" s="377">
        <f>IF(P112&lt;&gt;"",P112,HLOOKUP(IF(P$83="",referentie_koeling,P$83),toestellen_KOEL,ROWS(bibliotheek!$E$190:$E$200),FALSE))</f>
        <v>0</v>
      </c>
      <c r="Q111" s="377">
        <f>IF(Q112&lt;&gt;"",Q112,HLOOKUP(IF(Q$83="",referentie_warmtapwater,Q$83),toestellen_TAP,ROWS(bibliotheek!$E$139:$E$155),FALSE))</f>
        <v>2.4</v>
      </c>
      <c r="R111" s="141"/>
      <c r="S111" s="141"/>
      <c r="T111" s="141"/>
      <c r="U111" s="141"/>
      <c r="V111" s="141"/>
      <c r="W111" s="141"/>
      <c r="X111" s="348"/>
      <c r="Y111" s="288"/>
      <c r="Z111" s="244"/>
      <c r="AA111" s="377">
        <f>IF(AA112&lt;&gt;"",AA112,HLOOKUP(IF(AA$83="",referentie_verwarming,AA$83),toestellen_RV,ROWS(bibliotheek!$E$83:$E$99),FALSE))</f>
        <v>4.55</v>
      </c>
      <c r="AB111" s="377">
        <f>IF(AB112&lt;&gt;"",AB112,HLOOKUP(IF(AB$83="",referentie_koeling,AB$83),toestellen_KOEL,ROWS(bibliotheek!$E$190:$E$200),FALSE))</f>
        <v>0</v>
      </c>
      <c r="AC111" s="377">
        <f>IF(AC112&lt;&gt;"",AC112,HLOOKUP(IF(AC$83="",referentie_warmtapwater,AC$83),toestellen_TAP,ROWS(bibliotheek!$E$139:$E$155),FALSE))</f>
        <v>2.4</v>
      </c>
      <c r="AD111" s="141"/>
      <c r="AE111" s="141"/>
      <c r="AF111" s="141"/>
      <c r="AG111" s="141"/>
      <c r="AH111" s="141"/>
      <c r="AI111" s="141"/>
      <c r="AJ111" s="348"/>
      <c r="AK111" s="288"/>
      <c r="AL111" s="244"/>
      <c r="AM111" s="377">
        <f>IF(AM112&lt;&gt;"",AM112,HLOOKUP(IF(AM$83="",referentie_verwarming,AM$83),toestellen_RV,ROWS(bibliotheek!$E$83:$E$99),FALSE))</f>
        <v>4.55</v>
      </c>
      <c r="AN111" s="377">
        <f>IF(AN112&lt;&gt;"",AN112,HLOOKUP(IF(AN$83="",referentie_koeling,AN$83),toestellen_KOEL,ROWS(bibliotheek!$E$190:$E$200),FALSE))</f>
        <v>0</v>
      </c>
      <c r="AO111" s="377">
        <f>IF(AO112&lt;&gt;"",AO112,HLOOKUP(IF(AO$83="",referentie_warmtapwater,AO$83),toestellen_TAP,ROWS(bibliotheek!$E$139:$E$155),FALSE))</f>
        <v>2.4</v>
      </c>
      <c r="AP111" s="141"/>
      <c r="AQ111" s="141"/>
      <c r="AR111" s="141"/>
      <c r="AS111" s="141"/>
      <c r="AT111" s="141"/>
      <c r="AU111" s="141"/>
      <c r="AV111" s="348"/>
      <c r="AW111" s="288"/>
      <c r="AX111" s="244"/>
      <c r="AY111" s="377">
        <f>IF(AY112&lt;&gt;"",AY112,HLOOKUP(IF(AY$83="",referentie_verwarming,AY$83),toestellen_RV,ROWS(bibliotheek!$E$83:$E$99),FALSE))</f>
        <v>4.55</v>
      </c>
      <c r="AZ111" s="377">
        <f>IF(AZ112&lt;&gt;"",AZ112,HLOOKUP(IF(AZ$83="",referentie_koeling,AZ$83),toestellen_KOEL,ROWS(bibliotheek!$E$190:$E$200),FALSE))</f>
        <v>0</v>
      </c>
      <c r="BA111" s="377">
        <f>IF(BA112&lt;&gt;"",BA112,HLOOKUP(IF(BA$83="",referentie_warmtapwater,BA$83),toestellen_TAP,ROWS(bibliotheek!$E$139:$E$155),FALSE))</f>
        <v>2.4</v>
      </c>
      <c r="BB111" s="141"/>
      <c r="BC111" s="141"/>
      <c r="BD111" s="141"/>
      <c r="BE111" s="141"/>
      <c r="BF111" s="141"/>
      <c r="BG111" s="141"/>
      <c r="BH111" s="174"/>
    </row>
    <row r="112" spans="1:60">
      <c r="A112" s="1040"/>
      <c r="B112" s="1109" t="s">
        <v>187</v>
      </c>
      <c r="C112" s="1107" t="s">
        <v>118</v>
      </c>
      <c r="D112" s="638"/>
      <c r="E112" s="1218" t="s">
        <v>197</v>
      </c>
      <c r="F112" s="292"/>
      <c r="G112" s="292"/>
      <c r="H112" s="292"/>
      <c r="I112" s="77"/>
      <c r="J112" s="299"/>
      <c r="K112" s="1060"/>
      <c r="L112" s="1060"/>
      <c r="M112" s="198"/>
      <c r="N112" s="244"/>
      <c r="O112" s="354"/>
      <c r="P112" s="354"/>
      <c r="Q112" s="354"/>
      <c r="R112" s="414"/>
      <c r="S112" s="414"/>
      <c r="T112" s="414"/>
      <c r="U112" s="414"/>
      <c r="V112" s="414"/>
      <c r="W112" s="414"/>
      <c r="X112" s="380"/>
      <c r="Y112" s="198"/>
      <c r="Z112" s="244"/>
      <c r="AA112" s="354"/>
      <c r="AB112" s="354"/>
      <c r="AC112" s="354"/>
      <c r="AD112" s="414"/>
      <c r="AE112" s="414"/>
      <c r="AF112" s="414"/>
      <c r="AG112" s="414"/>
      <c r="AH112" s="414"/>
      <c r="AI112" s="414"/>
      <c r="AJ112" s="380"/>
      <c r="AK112" s="198"/>
      <c r="AL112" s="244"/>
      <c r="AM112" s="354"/>
      <c r="AN112" s="354"/>
      <c r="AO112" s="354"/>
      <c r="AP112" s="414"/>
      <c r="AQ112" s="414"/>
      <c r="AR112" s="414"/>
      <c r="AS112" s="414"/>
      <c r="AT112" s="414"/>
      <c r="AU112" s="414"/>
      <c r="AV112" s="380"/>
      <c r="AW112" s="198"/>
      <c r="AX112" s="244"/>
      <c r="AY112" s="354"/>
      <c r="AZ112" s="354"/>
      <c r="BA112" s="354"/>
      <c r="BB112" s="414"/>
      <c r="BC112" s="414"/>
      <c r="BD112" s="414"/>
      <c r="BE112" s="414"/>
      <c r="BF112" s="414"/>
      <c r="BG112" s="414"/>
      <c r="BH112" s="220"/>
    </row>
    <row r="113" spans="1:60" hidden="1">
      <c r="A113" s="1040"/>
      <c r="B113" s="1109" t="s">
        <v>187</v>
      </c>
      <c r="C113" s="1107" t="s">
        <v>181</v>
      </c>
      <c r="D113" s="641" t="s">
        <v>45</v>
      </c>
      <c r="E113" s="181" t="s">
        <v>198</v>
      </c>
      <c r="F113" s="180"/>
      <c r="G113" s="180"/>
      <c r="H113" s="181" t="s">
        <v>65</v>
      </c>
      <c r="I113" s="77"/>
      <c r="J113" s="190"/>
      <c r="K113" s="107"/>
      <c r="L113" s="107"/>
      <c r="M113" s="190"/>
      <c r="N113" s="79"/>
      <c r="O113" s="228">
        <f>INDEX(installaties_RV_verlies_elek_prod_aftapwarmte,MATCH(IF(O104="",referentie_verwarming,O104),toestellen_RV_kopregel,0))</f>
        <v>0</v>
      </c>
      <c r="P113" s="625"/>
      <c r="Q113" s="228">
        <f>INDEX(installaties_TAP_verlies_elek_prod_aftapwarmte,MATCH(IF(Q104="",referentie_verwarming,Q104),toestellen_TAP_kopregel,0))</f>
        <v>0</v>
      </c>
      <c r="R113" s="625"/>
      <c r="S113" s="625"/>
      <c r="T113" s="625"/>
      <c r="U113" s="625"/>
      <c r="V113" s="625"/>
      <c r="W113" s="625"/>
      <c r="X113" s="626"/>
      <c r="Y113" s="357"/>
      <c r="Z113" s="627"/>
      <c r="AA113" s="228">
        <f>INDEX(installaties_RV_verlies_elek_prod_aftapwarmte,MATCH(IF(AA104="",referentie_verwarming,AA104),toestellen_RV_kopregel,0))</f>
        <v>0</v>
      </c>
      <c r="AB113" s="625"/>
      <c r="AC113" s="228">
        <f>INDEX(installaties_TAP_verlies_elek_prod_aftapwarmte,MATCH(IF(AC104="",referentie_verwarming,AC104),toestellen_TAP_kopregel,0))</f>
        <v>0</v>
      </c>
      <c r="AD113" s="625"/>
      <c r="AE113" s="625"/>
      <c r="AF113" s="625"/>
      <c r="AG113" s="625"/>
      <c r="AH113" s="625"/>
      <c r="AI113" s="625"/>
      <c r="AJ113" s="626"/>
      <c r="AK113" s="357"/>
      <c r="AL113" s="627"/>
      <c r="AM113" s="228">
        <f>INDEX(installaties_RV_verlies_elek_prod_aftapwarmte,MATCH(IF(AM104="",referentie_verwarming,AM104),toestellen_RV_kopregel,0))</f>
        <v>0</v>
      </c>
      <c r="AN113" s="625"/>
      <c r="AO113" s="228">
        <f>INDEX(installaties_TAP_verlies_elek_prod_aftapwarmte,MATCH(IF(AO104="",referentie_verwarming,AO104),toestellen_TAP_kopregel,0))</f>
        <v>0</v>
      </c>
      <c r="AP113" s="625"/>
      <c r="AQ113" s="625"/>
      <c r="AR113" s="625"/>
      <c r="AS113" s="625"/>
      <c r="AT113" s="625"/>
      <c r="AU113" s="625"/>
      <c r="AV113" s="626"/>
      <c r="AW113" s="357"/>
      <c r="AX113" s="627"/>
      <c r="AY113" s="228">
        <f>INDEX(installaties_RV_verlies_elek_prod_aftapwarmte,MATCH(IF(AY104="",referentie_verwarming,AY104),toestellen_RV_kopregel,0))</f>
        <v>0</v>
      </c>
      <c r="AZ113" s="625"/>
      <c r="BA113" s="228">
        <f>INDEX(installaties_TAP_verlies_elek_prod_aftapwarmte,MATCH(IF(BA104="",referentie_verwarming,BA104),toestellen_TAP_kopregel,0))</f>
        <v>0</v>
      </c>
      <c r="BB113" s="131"/>
      <c r="BC113" s="131"/>
      <c r="BD113" s="131"/>
      <c r="BE113" s="131"/>
      <c r="BF113" s="131"/>
      <c r="BG113" s="131"/>
      <c r="BH113" s="210"/>
    </row>
    <row r="114" spans="1:60" hidden="1">
      <c r="A114" s="1040"/>
      <c r="B114" s="1109" t="s">
        <v>187</v>
      </c>
      <c r="C114" s="1107" t="s">
        <v>181</v>
      </c>
      <c r="D114" s="638"/>
      <c r="E114" s="181" t="s">
        <v>199</v>
      </c>
      <c r="F114" s="180"/>
      <c r="G114" s="180"/>
      <c r="H114" s="181" t="s">
        <v>65</v>
      </c>
      <c r="I114" s="77"/>
      <c r="J114" s="190"/>
      <c r="K114" s="107"/>
      <c r="L114" s="107"/>
      <c r="M114" s="190"/>
      <c r="N114" s="79"/>
      <c r="O114" s="228">
        <f>HLOOKUP(IF(O$83="",referentie_verwarming,O$83),toestellen_RV,ROWS(bibliotheek!$E$83:$E$100),FALSE)</f>
        <v>0</v>
      </c>
      <c r="P114" s="625"/>
      <c r="Q114" s="228">
        <f>HLOOKUP(IF(Q$83="",referentie_warmtapwater,Q$83),toestellen_TAP,ROWS(bibliotheek!$E$139:$E$156),FALSE)</f>
        <v>0</v>
      </c>
      <c r="R114" s="625"/>
      <c r="S114" s="625"/>
      <c r="T114" s="625"/>
      <c r="U114" s="625"/>
      <c r="V114" s="625"/>
      <c r="W114" s="625"/>
      <c r="X114" s="626"/>
      <c r="Y114" s="357"/>
      <c r="Z114" s="627"/>
      <c r="AA114" s="228">
        <f>HLOOKUP(IF(AA$83="",referentie_verwarming,AA$83),toestellen_RV,ROWS(bibliotheek!$E$83:$E$100),FALSE)</f>
        <v>0</v>
      </c>
      <c r="AB114" s="625"/>
      <c r="AC114" s="228">
        <f>HLOOKUP(IF(AC$83="",referentie_warmtapwater,AC$83),toestellen_TAP,ROWS(bibliotheek!$E$139:$E$156),FALSE)</f>
        <v>0</v>
      </c>
      <c r="AD114" s="625"/>
      <c r="AE114" s="625"/>
      <c r="AF114" s="625"/>
      <c r="AG114" s="625"/>
      <c r="AH114" s="625"/>
      <c r="AI114" s="625"/>
      <c r="AJ114" s="626"/>
      <c r="AK114" s="357"/>
      <c r="AL114" s="627"/>
      <c r="AM114" s="228">
        <f>HLOOKUP(IF(AM$83="",referentie_verwarming,AM$83),toestellen_RV,ROWS(bibliotheek!$E$83:$E$100),FALSE)</f>
        <v>0</v>
      </c>
      <c r="AN114" s="625"/>
      <c r="AO114" s="228">
        <f>HLOOKUP(IF(AO$83="",referentie_warmtapwater,AO$83),toestellen_TAP,ROWS(bibliotheek!$E$139:$E$156),FALSE)</f>
        <v>0</v>
      </c>
      <c r="AP114" s="625"/>
      <c r="AQ114" s="625"/>
      <c r="AR114" s="625"/>
      <c r="AS114" s="625"/>
      <c r="AT114" s="625"/>
      <c r="AU114" s="625"/>
      <c r="AV114" s="626"/>
      <c r="AW114" s="357"/>
      <c r="AX114" s="627"/>
      <c r="AY114" s="228">
        <f>HLOOKUP(IF(AY$83="",referentie_verwarming,AY$83),toestellen_RV,ROWS(bibliotheek!$E$83:$E$100),FALSE)</f>
        <v>0</v>
      </c>
      <c r="AZ114" s="625"/>
      <c r="BA114" s="228">
        <f>HLOOKUP(IF(BA$83="",referentie_warmtapwater,BA$83),toestellen_TAP,ROWS(bibliotheek!$E$139:$E$156),FALSE)</f>
        <v>0</v>
      </c>
      <c r="BB114" s="131"/>
      <c r="BC114" s="131"/>
      <c r="BD114" s="131"/>
      <c r="BE114" s="131"/>
      <c r="BF114" s="131"/>
      <c r="BG114" s="131"/>
      <c r="BH114" s="210"/>
    </row>
    <row r="115" spans="1:60" hidden="1">
      <c r="A115" s="1040"/>
      <c r="B115" s="1109" t="s">
        <v>187</v>
      </c>
      <c r="C115" s="1107" t="s">
        <v>181</v>
      </c>
      <c r="D115" s="638"/>
      <c r="E115" s="181" t="s">
        <v>200</v>
      </c>
      <c r="F115" s="180"/>
      <c r="G115" s="180"/>
      <c r="H115" s="181" t="s">
        <v>160</v>
      </c>
      <c r="I115" s="77"/>
      <c r="J115" s="202">
        <f>M115+Y115+AK115+AW115</f>
        <v>0</v>
      </c>
      <c r="K115" s="1059"/>
      <c r="L115" s="1059"/>
      <c r="M115" s="202">
        <f>SUM(O115:X115)</f>
        <v>0</v>
      </c>
      <c r="N115" s="243"/>
      <c r="O115" s="168">
        <f>IF(HLOOKUP(IF(O$83="",referentie_verwarming,O$83),toestellen_RV,ROWS(bibliotheek!$E$83:$E$88),FALSE)=1,O$97*O$108*((O$111-1)/O$111),0)</f>
        <v>0</v>
      </c>
      <c r="P115" s="168">
        <f>IF(HLOOKUP(IF(P$83="",referentie_koeling,P$83),toestellen_KOEL,ROWS(bibliotheek!$E$190:$E$194),FALSE)=1,P$97*P$108*((P$111-1)/P$111),0)</f>
        <v>0</v>
      </c>
      <c r="Q115" s="168">
        <f>IF(HLOOKUP(IF(Q$83="",referentie_warmtapwater,Q$83),toestellen_TAP,ROWS(bibliotheek!$E$139:$E$144),FALSE)=1,Q$97*Q$108*((Q$111-1)/Q$111),0)</f>
        <v>0</v>
      </c>
      <c r="R115" s="130"/>
      <c r="S115" s="130"/>
      <c r="T115" s="130"/>
      <c r="U115" s="130"/>
      <c r="V115" s="130"/>
      <c r="W115" s="130"/>
      <c r="X115" s="110"/>
      <c r="Y115" s="202">
        <f>SUM(AA115:AJ115)</f>
        <v>0</v>
      </c>
      <c r="Z115" s="243"/>
      <c r="AA115" s="168">
        <f>IF(HLOOKUP(IF(AA$83="",referentie_verwarming,AA$83),toestellen_RV,ROWS(bibliotheek!$E$83:$E$88),FALSE)=1,AA$97*AA$108*((AA$111-1)/AA$111),0)</f>
        <v>0</v>
      </c>
      <c r="AB115" s="168">
        <f>IF(HLOOKUP(IF(AB$83="",referentie_koeling,AB$83),toestellen_KOEL,ROWS(bibliotheek!$E$190:$E$194),FALSE)=1,AB$97*AB$108*((AB$111-1)/AB$111),0)</f>
        <v>0</v>
      </c>
      <c r="AC115" s="168">
        <f>IF(HLOOKUP(IF(AC$83="",referentie_warmtapwater,AC$83),toestellen_TAP,ROWS(bibliotheek!$E$139:$E$144),FALSE)=1,AC$97*AC$108*((AC$111-1)/AC$111),0)</f>
        <v>0</v>
      </c>
      <c r="AD115" s="130"/>
      <c r="AE115" s="130"/>
      <c r="AF115" s="130"/>
      <c r="AG115" s="130"/>
      <c r="AH115" s="130"/>
      <c r="AI115" s="130"/>
      <c r="AJ115" s="110"/>
      <c r="AK115" s="202">
        <f>SUM(AM115:AV115)</f>
        <v>0</v>
      </c>
      <c r="AL115" s="243"/>
      <c r="AM115" s="168">
        <f>IF(HLOOKUP(IF(AM$83="",referentie_verwarming,AM$83),toestellen_RV,ROWS(bibliotheek!$E$83:$E$88),FALSE)=1,AM$97*AM$108*((AM$111-1)/AM$111),0)</f>
        <v>0</v>
      </c>
      <c r="AN115" s="168">
        <f>IF(HLOOKUP(IF(AN$83="",referentie_koeling,AN$83),toestellen_KOEL,ROWS(bibliotheek!$E$190:$E$194),FALSE)=1,AN$97*AN$108*((AN$111-1)/AN$111),0)</f>
        <v>0</v>
      </c>
      <c r="AO115" s="168">
        <f>IF(HLOOKUP(IF(AO$83="",referentie_warmtapwater,AO$83),toestellen_TAP,ROWS(bibliotheek!$E$139:$E$144),FALSE)=1,AO$97*AO$108*((AO$111-1)/AO$111),0)</f>
        <v>0</v>
      </c>
      <c r="AP115" s="130"/>
      <c r="AQ115" s="130"/>
      <c r="AR115" s="130"/>
      <c r="AS115" s="130"/>
      <c r="AT115" s="130"/>
      <c r="AU115" s="130"/>
      <c r="AV115" s="110"/>
      <c r="AW115" s="202">
        <f>SUM(AY115:BH115)</f>
        <v>0</v>
      </c>
      <c r="AX115" s="243"/>
      <c r="AY115" s="168">
        <f>IF(HLOOKUP(IF(AY$83="",referentie_verwarming,AY$83),toestellen_RV,ROWS(bibliotheek!$E$83:$E$88),FALSE)=1,AY$97*AY$108*((AY$111-1)/AY$111),0)</f>
        <v>0</v>
      </c>
      <c r="AZ115" s="168">
        <f>IF(HLOOKUP(IF(AZ$83="",referentie_koeling,AZ$83),toestellen_KOEL,ROWS(bibliotheek!$E$190:$E$194),FALSE)=1,AZ$97*AZ$108*((AZ$111-1)/AZ$111),0)</f>
        <v>0</v>
      </c>
      <c r="BA115" s="168">
        <f>IF(HLOOKUP(IF(BA$83="",referentie_warmtapwater,BA$83),toestellen_TAP,ROWS(bibliotheek!$E$139:$E$144),FALSE)=1,BA$97*BA$108*((BA$111-1)/BA$111),0)</f>
        <v>0</v>
      </c>
      <c r="BB115" s="130"/>
      <c r="BC115" s="130"/>
      <c r="BD115" s="130"/>
      <c r="BE115" s="130"/>
      <c r="BF115" s="130"/>
      <c r="BG115" s="130"/>
      <c r="BH115" s="210"/>
    </row>
    <row r="116" spans="1:60" hidden="1">
      <c r="A116" s="1040"/>
      <c r="B116" s="1109" t="s">
        <v>187</v>
      </c>
      <c r="C116" s="1107" t="s">
        <v>181</v>
      </c>
      <c r="D116" s="638"/>
      <c r="E116" s="181" t="s">
        <v>201</v>
      </c>
      <c r="F116" s="180"/>
      <c r="G116" s="180"/>
      <c r="H116" s="181" t="s">
        <v>202</v>
      </c>
      <c r="I116" s="77"/>
      <c r="J116" s="202">
        <f>M116+Y116+AK116+AW116</f>
        <v>0</v>
      </c>
      <c r="K116" s="1059"/>
      <c r="L116" s="1059"/>
      <c r="M116" s="202">
        <f>SUM(O116:X116)</f>
        <v>0</v>
      </c>
      <c r="N116" s="243"/>
      <c r="O116" s="168">
        <f>IF(O$111=0,0,O$110/O$111)</f>
        <v>0</v>
      </c>
      <c r="P116" s="168">
        <f>IF(P$111=0,0,P$110/P$111)</f>
        <v>0</v>
      </c>
      <c r="Q116" s="168">
        <f>IF(Q$111=0,0,Q$110/Q$111)</f>
        <v>0</v>
      </c>
      <c r="R116" s="130"/>
      <c r="S116" s="130"/>
      <c r="T116" s="130"/>
      <c r="U116" s="130"/>
      <c r="V116" s="130"/>
      <c r="W116" s="130"/>
      <c r="X116" s="110"/>
      <c r="Y116" s="202">
        <f>SUM(AA116:AJ116)</f>
        <v>0</v>
      </c>
      <c r="Z116" s="243"/>
      <c r="AA116" s="168">
        <f>IF(AA$111=0,0,AA$110/AA$111)</f>
        <v>0</v>
      </c>
      <c r="AB116" s="168">
        <f>IF(AB$111=0,0,AB$110/AB$111)</f>
        <v>0</v>
      </c>
      <c r="AC116" s="168">
        <f>IF(AC$111=0,0,AC$110/AC$111)</f>
        <v>0</v>
      </c>
      <c r="AD116" s="130"/>
      <c r="AE116" s="130"/>
      <c r="AF116" s="130"/>
      <c r="AG116" s="130"/>
      <c r="AH116" s="130"/>
      <c r="AI116" s="130"/>
      <c r="AJ116" s="110"/>
      <c r="AK116" s="202">
        <f>SUM(AM116:AV116)</f>
        <v>0</v>
      </c>
      <c r="AL116" s="243"/>
      <c r="AM116" s="168">
        <f>IF(AM$111=0,0,AM$110/AM$111)</f>
        <v>0</v>
      </c>
      <c r="AN116" s="168">
        <f>IF(AN$111=0,0,AN$110/AN$111)</f>
        <v>0</v>
      </c>
      <c r="AO116" s="168">
        <f>IF(AO$111=0,0,AO$110/AO$111)</f>
        <v>0</v>
      </c>
      <c r="AP116" s="130"/>
      <c r="AQ116" s="130"/>
      <c r="AR116" s="130"/>
      <c r="AS116" s="130"/>
      <c r="AT116" s="130"/>
      <c r="AU116" s="130"/>
      <c r="AV116" s="110"/>
      <c r="AW116" s="202">
        <f>SUM(AY116:BH116)</f>
        <v>0</v>
      </c>
      <c r="AX116" s="243"/>
      <c r="AY116" s="168">
        <f>IF(AY$111=0,0,AY$110/AY$111)</f>
        <v>0</v>
      </c>
      <c r="AZ116" s="168">
        <f>IF(AZ$111=0,0,AZ$110/AZ$111)</f>
        <v>0</v>
      </c>
      <c r="BA116" s="168">
        <f>IF(BA$111=0,0,BA$110/BA$111)</f>
        <v>0</v>
      </c>
      <c r="BB116" s="130"/>
      <c r="BC116" s="130"/>
      <c r="BD116" s="130"/>
      <c r="BE116" s="130"/>
      <c r="BF116" s="130"/>
      <c r="BG116" s="130"/>
      <c r="BH116" s="210"/>
    </row>
    <row r="117" spans="1:60">
      <c r="A117" s="1040"/>
      <c r="B117" s="1109" t="s">
        <v>187</v>
      </c>
      <c r="C117" s="1106" t="s">
        <v>96</v>
      </c>
      <c r="D117" s="641"/>
      <c r="E117" s="940" t="s">
        <v>1220</v>
      </c>
      <c r="F117" s="940"/>
      <c r="G117" s="940"/>
      <c r="H117" s="993"/>
      <c r="I117" s="77"/>
      <c r="J117" s="939"/>
      <c r="K117" s="126"/>
      <c r="L117" s="126"/>
      <c r="M117" s="938"/>
      <c r="N117" s="143"/>
      <c r="O117" s="177" t="str">
        <f>O$10</f>
        <v>verwarming</v>
      </c>
      <c r="P117" s="177" t="str">
        <f>P$10</f>
        <v>koeling</v>
      </c>
      <c r="Q117" s="177" t="str">
        <f>Q$10</f>
        <v>tapwater</v>
      </c>
      <c r="R117" s="177"/>
      <c r="S117" s="177"/>
      <c r="T117" s="177"/>
      <c r="U117" s="177"/>
      <c r="V117" s="177"/>
      <c r="W117" s="177"/>
      <c r="X117" s="144"/>
      <c r="Y117" s="938"/>
      <c r="Z117" s="143"/>
      <c r="AA117" s="177" t="str">
        <f>AA$10</f>
        <v>verwarming</v>
      </c>
      <c r="AB117" s="177" t="str">
        <f>AB$10</f>
        <v>koeling</v>
      </c>
      <c r="AC117" s="177" t="str">
        <f>AC$10</f>
        <v>tapwater</v>
      </c>
      <c r="AD117" s="177"/>
      <c r="AE117" s="177"/>
      <c r="AF117" s="177"/>
      <c r="AG117" s="177"/>
      <c r="AH117" s="177"/>
      <c r="AI117" s="177"/>
      <c r="AJ117" s="144"/>
      <c r="AK117" s="938"/>
      <c r="AL117" s="143"/>
      <c r="AM117" s="177" t="str">
        <f>AM$10</f>
        <v>verwarming</v>
      </c>
      <c r="AN117" s="177" t="str">
        <f>AN$10</f>
        <v>koeling</v>
      </c>
      <c r="AO117" s="177" t="str">
        <f>AO$10</f>
        <v>tapwater</v>
      </c>
      <c r="AP117" s="177"/>
      <c r="AQ117" s="177"/>
      <c r="AR117" s="177"/>
      <c r="AS117" s="177"/>
      <c r="AT117" s="177"/>
      <c r="AU117" s="177"/>
      <c r="AV117" s="144"/>
      <c r="AW117" s="938"/>
      <c r="AX117" s="143"/>
      <c r="AY117" s="177" t="str">
        <f>AY$10</f>
        <v>verwarming</v>
      </c>
      <c r="AZ117" s="177" t="str">
        <f>AZ$10</f>
        <v>koeling</v>
      </c>
      <c r="BA117" s="177" t="str">
        <f>BA$10</f>
        <v>tapwater</v>
      </c>
      <c r="BB117" s="177"/>
      <c r="BC117" s="177"/>
      <c r="BD117" s="177"/>
      <c r="BE117" s="177"/>
      <c r="BF117" s="177"/>
      <c r="BG117" s="177"/>
      <c r="BH117" s="218"/>
    </row>
    <row r="118" spans="1:60" hidden="1">
      <c r="A118" s="1040"/>
      <c r="B118" s="1109" t="s">
        <v>187</v>
      </c>
      <c r="C118" s="1107" t="s">
        <v>203</v>
      </c>
      <c r="D118" s="641" t="s">
        <v>45</v>
      </c>
      <c r="E118" s="1171" t="s">
        <v>1348</v>
      </c>
      <c r="F118" s="254"/>
      <c r="G118" s="254"/>
      <c r="H118" s="291" t="s">
        <v>204</v>
      </c>
      <c r="I118" s="77"/>
      <c r="J118" s="189"/>
      <c r="K118" s="107"/>
      <c r="L118" s="107"/>
      <c r="M118" s="189"/>
      <c r="N118" s="79"/>
      <c r="O118" s="377">
        <f>IF(O119&lt;&gt;"",O119,
IF(O$105=elektriciteit,$G$5,
INDEX(energiedragers_primaire_energiefactor,MATCH(O105,energiedragers_kopregel,0))
*IF(O113=0,1,
$G$5*INDEX(installaties_RV_verlies_elek_prod_aftapwarmte,MATCH(O104,toestellen_RV_kopregel,0)))))</f>
        <v>1.45</v>
      </c>
      <c r="P118" s="377">
        <f>IF(P119&lt;&gt;"",P119,IF(HLOOKUP(P105,ENERGIEDRAGERS,ROWS(bibliotheek!$E$259:$E$260),FALSE)=0,$G$5,HLOOKUP(P105,ENERGIEDRAGERS,ROWS(bibliotheek!$E$259:$E$261),FALSE)))</f>
        <v>1.45</v>
      </c>
      <c r="Q118" s="377">
        <f>IF(Q119&lt;&gt;"",Q119,
IF(Q$105=elektriciteit,$G$5,
INDEX(energiedragers_primaire_energiefactor,MATCH(Q105,energiedragers_kopregel,0))
*IF(Q113=0,1,
$G$5*INDEX(installaties_TAP_verlies_elek_prod_aftapwarmte,MATCH(Q104,toestellen_TAP_kopregel,0)))))</f>
        <v>1.45</v>
      </c>
      <c r="R118" s="141"/>
      <c r="S118" s="141"/>
      <c r="T118" s="141"/>
      <c r="U118" s="141"/>
      <c r="V118" s="141"/>
      <c r="W118" s="141"/>
      <c r="X118" s="348"/>
      <c r="Y118" s="289"/>
      <c r="Z118" s="627"/>
      <c r="AA118" s="377">
        <f>IF(AA119&lt;&gt;"",AA119,
IF(AA$105=elektriciteit,$G$5,
INDEX(energiedragers_primaire_energiefactor,MATCH(AA105,energiedragers_kopregel,0))
*IF(AA113=0,1,
$G$5*INDEX(installaties_RV_verlies_elek_prod_aftapwarmte,MATCH(AA104,toestellen_RV_kopregel,0)))))</f>
        <v>1.45</v>
      </c>
      <c r="AB118" s="377">
        <f>IF(AB119&lt;&gt;"",AB119,IF(HLOOKUP(AB105,ENERGIEDRAGERS,ROWS(bibliotheek!$E$259:$E$260),FALSE)=0,$G$5,HLOOKUP(AB105,ENERGIEDRAGERS,ROWS(bibliotheek!$E$259:$E$261),FALSE)))</f>
        <v>1.45</v>
      </c>
      <c r="AC118" s="377">
        <f>IF(AC119&lt;&gt;"",AC119,
IF(AC$105=elektriciteit,$G$5,
INDEX(energiedragers_primaire_energiefactor,MATCH(AC105,energiedragers_kopregel,0))
*IF(AC113=0,1,
$G$5*INDEX(installaties_TAP_verlies_elek_prod_aftapwarmte,MATCH(AC104,toestellen_TAP_kopregel,0)))))</f>
        <v>1.45</v>
      </c>
      <c r="AD118" s="141"/>
      <c r="AE118" s="141"/>
      <c r="AF118" s="141"/>
      <c r="AG118" s="141"/>
      <c r="AH118" s="141"/>
      <c r="AI118" s="141"/>
      <c r="AJ118" s="348"/>
      <c r="AK118" s="289"/>
      <c r="AL118" s="627"/>
      <c r="AM118" s="377">
        <f>IF(AM119&lt;&gt;"",AM119,
IF(AM$105=elektriciteit,$G$5,
INDEX(energiedragers_primaire_energiefactor,MATCH(AM105,energiedragers_kopregel,0))
*IF(AM113=0,1,
$G$5*INDEX(installaties_RV_verlies_elek_prod_aftapwarmte,MATCH(AM104,toestellen_RV_kopregel,0)))))</f>
        <v>1.45</v>
      </c>
      <c r="AN118" s="377">
        <f>IF(AN119&lt;&gt;"",AN119,IF(HLOOKUP(AN105,ENERGIEDRAGERS,ROWS(bibliotheek!$E$259:$E$260),FALSE)=0,$G$5,HLOOKUP(AN105,ENERGIEDRAGERS,ROWS(bibliotheek!$E$259:$E$261),FALSE)))</f>
        <v>1.45</v>
      </c>
      <c r="AO118" s="377">
        <f>IF(AO119&lt;&gt;"",AO119,
IF(AO$105=elektriciteit,$G$5,
INDEX(energiedragers_primaire_energiefactor,MATCH(AO105,energiedragers_kopregel,0))
*IF(AO113=0,1,
$G$5*INDEX(installaties_TAP_verlies_elek_prod_aftapwarmte,MATCH(AO104,toestellen_TAP_kopregel,0)))))</f>
        <v>1.45</v>
      </c>
      <c r="AP118" s="141"/>
      <c r="AQ118" s="141"/>
      <c r="AR118" s="141"/>
      <c r="AS118" s="141"/>
      <c r="AT118" s="141"/>
      <c r="AU118" s="141"/>
      <c r="AV118" s="348"/>
      <c r="AW118" s="289"/>
      <c r="AX118" s="627"/>
      <c r="AY118" s="377">
        <f>IF(AY119&lt;&gt;"",AY119,
IF(AY$105=elektriciteit,$G$5,
INDEX(energiedragers_primaire_energiefactor,MATCH(AY105,energiedragers_kopregel,0))
*IF(AY113=0,1,
$G$5*INDEX(installaties_RV_verlies_elek_prod_aftapwarmte,MATCH(AY104,toestellen_RV_kopregel,0)))))</f>
        <v>1.45</v>
      </c>
      <c r="AZ118" s="377">
        <f>IF(AZ119&lt;&gt;"",AZ119,IF(HLOOKUP(AZ105,ENERGIEDRAGERS,ROWS(bibliotheek!$E$259:$E$260),FALSE)=0,$G$5,HLOOKUP(AZ105,ENERGIEDRAGERS,ROWS(bibliotheek!$E$259:$E$261),FALSE)))</f>
        <v>1.45</v>
      </c>
      <c r="BA118" s="377">
        <f>IF(BA119&lt;&gt;"",BA119,
IF(BA$105=elektriciteit,$G$5,
INDEX(energiedragers_primaire_energiefactor,MATCH(BA105,energiedragers_kopregel,0))
*IF(BA113=0,1,
$G$5*INDEX(installaties_TAP_verlies_elek_prod_aftapwarmte,MATCH(BA104,toestellen_TAP_kopregel,0)))))</f>
        <v>1.45</v>
      </c>
      <c r="BB118" s="139"/>
      <c r="BC118" s="139"/>
      <c r="BD118" s="139"/>
      <c r="BE118" s="139"/>
      <c r="BF118" s="139"/>
      <c r="BG118" s="139"/>
      <c r="BH118" s="174"/>
    </row>
    <row r="119" spans="1:60" hidden="1">
      <c r="A119" s="1040"/>
      <c r="B119" s="1109" t="s">
        <v>187</v>
      </c>
      <c r="C119" s="1107" t="s">
        <v>203</v>
      </c>
      <c r="D119" s="641"/>
      <c r="E119" s="346" t="s">
        <v>205</v>
      </c>
      <c r="F119" s="255"/>
      <c r="G119" s="255"/>
      <c r="H119" s="292"/>
      <c r="I119" s="77"/>
      <c r="J119" s="299"/>
      <c r="K119" s="107"/>
      <c r="L119" s="107"/>
      <c r="M119" s="198"/>
      <c r="N119" s="79"/>
      <c r="O119" s="275"/>
      <c r="P119" s="617"/>
      <c r="Q119" s="275"/>
      <c r="R119" s="140"/>
      <c r="S119" s="140"/>
      <c r="T119" s="140"/>
      <c r="U119" s="140"/>
      <c r="V119" s="140"/>
      <c r="W119" s="140"/>
      <c r="X119" s="76"/>
      <c r="Y119" s="198"/>
      <c r="Z119" s="79"/>
      <c r="AA119" s="275"/>
      <c r="AB119" s="617"/>
      <c r="AC119" s="275"/>
      <c r="AD119" s="140"/>
      <c r="AE119" s="140"/>
      <c r="AF119" s="140"/>
      <c r="AG119" s="140"/>
      <c r="AH119" s="140"/>
      <c r="AI119" s="140"/>
      <c r="AJ119" s="76"/>
      <c r="AK119" s="198"/>
      <c r="AL119" s="79"/>
      <c r="AM119" s="275"/>
      <c r="AN119" s="617"/>
      <c r="AO119" s="275"/>
      <c r="AP119" s="140"/>
      <c r="AQ119" s="140"/>
      <c r="AR119" s="140"/>
      <c r="AS119" s="140"/>
      <c r="AT119" s="140"/>
      <c r="AU119" s="140"/>
      <c r="AV119" s="76"/>
      <c r="AW119" s="198"/>
      <c r="AX119" s="79"/>
      <c r="AY119" s="275"/>
      <c r="AZ119" s="617"/>
      <c r="BA119" s="275"/>
      <c r="BB119" s="140"/>
      <c r="BC119" s="140"/>
      <c r="BD119" s="140"/>
      <c r="BE119" s="140"/>
      <c r="BF119" s="140"/>
      <c r="BG119" s="140"/>
      <c r="BH119" s="174"/>
    </row>
    <row r="120" spans="1:60">
      <c r="A120" s="1040"/>
      <c r="B120" s="1109" t="s">
        <v>187</v>
      </c>
      <c r="C120" s="1107" t="s">
        <v>104</v>
      </c>
      <c r="D120" s="641"/>
      <c r="E120" s="291" t="s">
        <v>232</v>
      </c>
      <c r="F120" s="181"/>
      <c r="G120" s="181"/>
      <c r="H120" s="181" t="s">
        <v>106</v>
      </c>
      <c r="I120" s="77"/>
      <c r="J120" s="202">
        <f>M120+Y120+AK120+AW120</f>
        <v>0</v>
      </c>
      <c r="K120" s="1061"/>
      <c r="L120" s="1061"/>
      <c r="M120" s="202">
        <f>SUM(O120:X120)</f>
        <v>0</v>
      </c>
      <c r="N120" s="243"/>
      <c r="O120" s="168">
        <f>O$116*O$118</f>
        <v>0</v>
      </c>
      <c r="P120" s="168">
        <f>P$116*P$118</f>
        <v>0</v>
      </c>
      <c r="Q120" s="168">
        <f>Q$116*Q$118</f>
        <v>0</v>
      </c>
      <c r="R120" s="130"/>
      <c r="S120" s="130"/>
      <c r="T120" s="130"/>
      <c r="U120" s="130"/>
      <c r="V120" s="130"/>
      <c r="W120" s="130"/>
      <c r="X120" s="110"/>
      <c r="Y120" s="202">
        <f>SUM(AA120:AJ120)</f>
        <v>0</v>
      </c>
      <c r="Z120" s="243"/>
      <c r="AA120" s="168">
        <f>AA$116*AA$118</f>
        <v>0</v>
      </c>
      <c r="AB120" s="168">
        <f>AB$116*AB$118</f>
        <v>0</v>
      </c>
      <c r="AC120" s="168">
        <f>AC$116*AC$118</f>
        <v>0</v>
      </c>
      <c r="AD120" s="130"/>
      <c r="AE120" s="130"/>
      <c r="AF120" s="130"/>
      <c r="AG120" s="130"/>
      <c r="AH120" s="130"/>
      <c r="AI120" s="130"/>
      <c r="AJ120" s="110"/>
      <c r="AK120" s="202">
        <f>SUM(AM120:AV120)</f>
        <v>0</v>
      </c>
      <c r="AL120" s="243"/>
      <c r="AM120" s="168">
        <f>AM$116*AM$118</f>
        <v>0</v>
      </c>
      <c r="AN120" s="168">
        <f>AN$116*AN$118</f>
        <v>0</v>
      </c>
      <c r="AO120" s="168">
        <f>AO$116*AO$118</f>
        <v>0</v>
      </c>
      <c r="AP120" s="130"/>
      <c r="AQ120" s="130"/>
      <c r="AR120" s="130"/>
      <c r="AS120" s="130"/>
      <c r="AT120" s="130"/>
      <c r="AU120" s="130"/>
      <c r="AV120" s="110"/>
      <c r="AW120" s="202">
        <f>SUM(AY120:BH120)</f>
        <v>0</v>
      </c>
      <c r="AX120" s="243"/>
      <c r="AY120" s="168">
        <f>AY$116*AY$118</f>
        <v>0</v>
      </c>
      <c r="AZ120" s="168">
        <f>AZ$116*AZ$118</f>
        <v>0</v>
      </c>
      <c r="BA120" s="168">
        <f>BA$116*BA$118</f>
        <v>0</v>
      </c>
      <c r="BB120" s="130"/>
      <c r="BC120" s="130"/>
      <c r="BD120" s="130"/>
      <c r="BE120" s="130"/>
      <c r="BF120" s="130"/>
      <c r="BG120" s="130"/>
      <c r="BH120" s="210"/>
    </row>
    <row r="121" spans="1:60">
      <c r="A121" s="1040"/>
      <c r="B121" s="1109" t="s">
        <v>187</v>
      </c>
      <c r="C121" s="1106" t="s">
        <v>96</v>
      </c>
      <c r="D121" s="641"/>
      <c r="E121" s="940" t="s">
        <v>1200</v>
      </c>
      <c r="F121" s="940"/>
      <c r="G121" s="940"/>
      <c r="H121" s="993"/>
      <c r="I121" s="77"/>
      <c r="J121" s="939"/>
      <c r="K121" s="126"/>
      <c r="L121" s="126"/>
      <c r="M121" s="1025"/>
      <c r="N121" s="143"/>
      <c r="O121" s="1026" t="str">
        <f>O$10</f>
        <v>verwarming</v>
      </c>
      <c r="P121" s="1026" t="str">
        <f>P$10</f>
        <v>koeling</v>
      </c>
      <c r="Q121" s="1026" t="str">
        <f>Q$10</f>
        <v>tapwater</v>
      </c>
      <c r="R121" s="1026"/>
      <c r="S121" s="1026"/>
      <c r="T121" s="1026"/>
      <c r="U121" s="1026"/>
      <c r="V121" s="1026"/>
      <c r="W121" s="1026"/>
      <c r="X121" s="110"/>
      <c r="Y121" s="1025"/>
      <c r="Z121" s="143"/>
      <c r="AA121" s="1026" t="str">
        <f>AA$10</f>
        <v>verwarming</v>
      </c>
      <c r="AB121" s="1026" t="str">
        <f>AB$10</f>
        <v>koeling</v>
      </c>
      <c r="AC121" s="1026" t="str">
        <f>AC$10</f>
        <v>tapwater</v>
      </c>
      <c r="AD121" s="1026"/>
      <c r="AE121" s="1026"/>
      <c r="AF121" s="1026"/>
      <c r="AG121" s="1026"/>
      <c r="AH121" s="1026"/>
      <c r="AI121" s="1026"/>
      <c r="AJ121" s="110"/>
      <c r="AK121" s="1025"/>
      <c r="AL121" s="143"/>
      <c r="AM121" s="1026" t="str">
        <f>AM$10</f>
        <v>verwarming</v>
      </c>
      <c r="AN121" s="1026" t="str">
        <f>AN$10</f>
        <v>koeling</v>
      </c>
      <c r="AO121" s="1026" t="str">
        <f>AO$10</f>
        <v>tapwater</v>
      </c>
      <c r="AP121" s="1026"/>
      <c r="AQ121" s="1026"/>
      <c r="AR121" s="1026"/>
      <c r="AS121" s="1026"/>
      <c r="AT121" s="1026"/>
      <c r="AU121" s="1026"/>
      <c r="AV121" s="110"/>
      <c r="AW121" s="1025"/>
      <c r="AX121" s="143"/>
      <c r="AY121" s="1026" t="str">
        <f>AY$10</f>
        <v>verwarming</v>
      </c>
      <c r="AZ121" s="1026" t="str">
        <f>AZ$10</f>
        <v>koeling</v>
      </c>
      <c r="BA121" s="1026" t="str">
        <f>BA$10</f>
        <v>tapwater</v>
      </c>
      <c r="BB121" s="1026"/>
      <c r="BC121" s="1026"/>
      <c r="BD121" s="1026"/>
      <c r="BE121" s="1026"/>
      <c r="BF121" s="1026"/>
      <c r="BG121" s="1026"/>
      <c r="BH121" s="210"/>
    </row>
    <row r="122" spans="1:60" hidden="1">
      <c r="A122" s="1040"/>
      <c r="B122" s="1109" t="s">
        <v>187</v>
      </c>
      <c r="C122" s="1107" t="s">
        <v>203</v>
      </c>
      <c r="D122" s="641"/>
      <c r="E122" s="1171" t="s">
        <v>1349</v>
      </c>
      <c r="F122" s="254"/>
      <c r="G122" s="254"/>
      <c r="H122" s="1034" t="s">
        <v>1206</v>
      </c>
      <c r="I122" s="77"/>
      <c r="J122" s="189"/>
      <c r="K122" s="107"/>
      <c r="L122" s="107"/>
      <c r="M122" s="190"/>
      <c r="N122" s="114"/>
      <c r="O122" s="228">
        <f>IF(O123&lt;&gt;"",O123,
INDEX(primaire_totale_energiefactor,MATCH(O105,energiedragers_kopregel,0))
*IF(O113=0,1,
$G$5*INDEX(installaties_RV_verlies_elek_prod_aftapwarmte,MATCH(O104,toestellen_RV_kopregel,0))))</f>
        <v>1.35</v>
      </c>
      <c r="P122" s="228">
        <f>IF(P123&lt;&gt;"",P123,
IF(HLOOKUP(P105,ENERGIEDRAGERS,ROWS(bibliotheek!$E$259:$E$262),FALSE)=0,$G$5,
HLOOKUP(P105,ENERGIEDRAGERS,ROWS(bibliotheek!$E$259:$E$262),FALSE)))</f>
        <v>1.45</v>
      </c>
      <c r="Q122" s="228">
        <f>IF(Q123&lt;&gt;"",Q123,
INDEX(primaire_totale_energiefactor,MATCH(Q105,energiedragers_kopregel,0))
*IF(Q113=0,1,
$G$5*INDEX(installaties_RV_verlies_elek_prod_aftapwarmte,MATCH(Q104,toestellen_RV_kopregel,0))))</f>
        <v>1.35</v>
      </c>
      <c r="R122" s="625"/>
      <c r="S122" s="625"/>
      <c r="T122" s="625"/>
      <c r="U122" s="625"/>
      <c r="V122" s="625"/>
      <c r="W122" s="625"/>
      <c r="X122" s="110"/>
      <c r="Y122" s="202"/>
      <c r="Z122" s="89"/>
      <c r="AA122" s="228">
        <f>IF(AA123&lt;&gt;"",AA123,
INDEX(primaire_totale_energiefactor,MATCH(AA105,energiedragers_kopregel,0))
*IF(AA113=0,1,
$G$5*INDEX(installaties_RV_verlies_elek_prod_aftapwarmte,MATCH(AA104,toestellen_RV_kopregel,0))))</f>
        <v>1.35</v>
      </c>
      <c r="AB122" s="228">
        <f>IF(AB123&lt;&gt;"",AB123,
IF(HLOOKUP(AB105,ENERGIEDRAGERS,ROWS(bibliotheek!$E$259:$E$262),FALSE)=0,$G$5,
HLOOKUP(AB105,ENERGIEDRAGERS,ROWS(bibliotheek!$E$259:$E$262),FALSE)))</f>
        <v>1.45</v>
      </c>
      <c r="AC122" s="228">
        <f>IF(AC123&lt;&gt;"",AC123,
INDEX(primaire_totale_energiefactor,MATCH(AC105,energiedragers_kopregel,0))
*IF(AC113=0,1,
$G$5*INDEX(installaties_RV_verlies_elek_prod_aftapwarmte,MATCH(AC104,toestellen_RV_kopregel,0))))</f>
        <v>1.35</v>
      </c>
      <c r="AD122" s="130"/>
      <c r="AE122" s="130"/>
      <c r="AF122" s="130"/>
      <c r="AG122" s="130"/>
      <c r="AH122" s="130"/>
      <c r="AI122" s="130"/>
      <c r="AJ122" s="110"/>
      <c r="AK122" s="202"/>
      <c r="AL122" s="89"/>
      <c r="AM122" s="228">
        <f>IF(AM123&lt;&gt;"",AM123,
INDEX(primaire_totale_energiefactor,MATCH(AM105,energiedragers_kopregel,0))
*IF(AM113=0,1,
$G$5*INDEX(installaties_RV_verlies_elek_prod_aftapwarmte,MATCH(AM104,toestellen_RV_kopregel,0))))</f>
        <v>1.35</v>
      </c>
      <c r="AN122" s="228">
        <f>IF(AN123&lt;&gt;"",AN123,
IF(HLOOKUP(AN105,ENERGIEDRAGERS,ROWS(bibliotheek!$E$259:$E$262),FALSE)=0,$G$5,
HLOOKUP(AN105,ENERGIEDRAGERS,ROWS(bibliotheek!$E$259:$E$262),FALSE)))</f>
        <v>1.45</v>
      </c>
      <c r="AO122" s="228">
        <f>IF(AO123&lt;&gt;"",AO123,
INDEX(primaire_totale_energiefactor,MATCH(AO105,energiedragers_kopregel,0))
*IF(AO113=0,1,
$G$5*INDEX(installaties_RV_verlies_elek_prod_aftapwarmte,MATCH(AO104,toestellen_RV_kopregel,0))))</f>
        <v>1.35</v>
      </c>
      <c r="AP122" s="130"/>
      <c r="AQ122" s="130"/>
      <c r="AR122" s="130"/>
      <c r="AS122" s="130"/>
      <c r="AT122" s="130"/>
      <c r="AU122" s="130"/>
      <c r="AV122" s="110"/>
      <c r="AW122" s="202"/>
      <c r="AX122" s="89"/>
      <c r="AY122" s="228">
        <f>IF(AY123&lt;&gt;"",AY123,
INDEX(primaire_totale_energiefactor,MATCH(AY105,energiedragers_kopregel,0))
*IF(AY113=0,1,
$G$5*INDEX(installaties_RV_verlies_elek_prod_aftapwarmte,MATCH(AY104,toestellen_RV_kopregel,0))))</f>
        <v>1.35</v>
      </c>
      <c r="AZ122" s="228">
        <f>IF(AZ123&lt;&gt;"",AZ123,
IF(HLOOKUP(AZ105,ENERGIEDRAGERS,ROWS(bibliotheek!$E$259:$E$262),FALSE)=0,$G$5,
HLOOKUP(AZ105,ENERGIEDRAGERS,ROWS(bibliotheek!$E$259:$E$262),FALSE)))</f>
        <v>1.45</v>
      </c>
      <c r="BA122" s="228">
        <f>IF(BA123&lt;&gt;"",BA123,
INDEX(primaire_totale_energiefactor,MATCH(BA105,energiedragers_kopregel,0))
*IF(BA113=0,1,
$G$5*INDEX(installaties_RV_verlies_elek_prod_aftapwarmte,MATCH(BA104,toestellen_RV_kopregel,0))))</f>
        <v>1.35</v>
      </c>
      <c r="BB122" s="130"/>
      <c r="BC122" s="130"/>
      <c r="BD122" s="130"/>
      <c r="BE122" s="130"/>
      <c r="BF122" s="130"/>
      <c r="BG122" s="130"/>
      <c r="BH122" s="210"/>
    </row>
    <row r="123" spans="1:60" hidden="1">
      <c r="A123" s="1040"/>
      <c r="B123" s="1109" t="s">
        <v>187</v>
      </c>
      <c r="C123" s="1107" t="s">
        <v>203</v>
      </c>
      <c r="D123" s="641"/>
      <c r="E123" s="346" t="s">
        <v>205</v>
      </c>
      <c r="F123" s="255"/>
      <c r="G123" s="255"/>
      <c r="H123" s="292"/>
      <c r="I123" s="77"/>
      <c r="J123" s="299"/>
      <c r="K123" s="107"/>
      <c r="L123" s="107"/>
      <c r="M123" s="190"/>
      <c r="N123" s="114"/>
      <c r="O123" s="1029"/>
      <c r="P123" s="1030"/>
      <c r="Q123" s="1029"/>
      <c r="R123" s="131"/>
      <c r="S123" s="131"/>
      <c r="T123" s="131"/>
      <c r="U123" s="131"/>
      <c r="V123" s="131"/>
      <c r="W123" s="131"/>
      <c r="X123" s="110"/>
      <c r="Y123" s="202"/>
      <c r="Z123" s="89"/>
      <c r="AA123" s="1029"/>
      <c r="AB123" s="1030"/>
      <c r="AC123" s="1029"/>
      <c r="AD123" s="130"/>
      <c r="AE123" s="130"/>
      <c r="AF123" s="130"/>
      <c r="AG123" s="130"/>
      <c r="AH123" s="130"/>
      <c r="AI123" s="130"/>
      <c r="AJ123" s="110"/>
      <c r="AK123" s="202"/>
      <c r="AL123" s="89"/>
      <c r="AM123" s="1029"/>
      <c r="AN123" s="1030"/>
      <c r="AO123" s="1029"/>
      <c r="AP123" s="130"/>
      <c r="AQ123" s="130"/>
      <c r="AR123" s="130"/>
      <c r="AS123" s="130"/>
      <c r="AT123" s="130"/>
      <c r="AU123" s="130"/>
      <c r="AV123" s="110"/>
      <c r="AW123" s="202"/>
      <c r="AX123" s="89"/>
      <c r="AY123" s="1029"/>
      <c r="AZ123" s="1030"/>
      <c r="BA123" s="1029"/>
      <c r="BB123" s="130"/>
      <c r="BC123" s="130"/>
      <c r="BD123" s="130"/>
      <c r="BE123" s="130"/>
      <c r="BF123" s="130"/>
      <c r="BG123" s="130"/>
      <c r="BH123" s="210"/>
    </row>
    <row r="124" spans="1:60" hidden="1">
      <c r="A124" s="1040"/>
      <c r="B124" s="1109" t="s">
        <v>187</v>
      </c>
      <c r="C124" s="1107" t="s">
        <v>203</v>
      </c>
      <c r="D124" s="641"/>
      <c r="E124" s="291" t="s">
        <v>1314</v>
      </c>
      <c r="F124" s="595"/>
      <c r="G124" s="595"/>
      <c r="H124" s="1013" t="s">
        <v>65</v>
      </c>
      <c r="I124" s="77"/>
      <c r="J124" s="1015"/>
      <c r="K124" s="107"/>
      <c r="L124" s="107"/>
      <c r="M124" s="190"/>
      <c r="N124" s="114"/>
      <c r="O124" s="228">
        <f>IF(O125&lt;&gt;"",O125,
INDEX(weegfactor_primaire_totale_energiefactor,MATCH(O105,energiedragers_kopregel,0))
*IF(O113=0,1,
$G$5*INDEX(installaties_RV_verlies_elek_prod_aftapwarmte,MATCH(O104,toestellen_RV_kopregel,0))))</f>
        <v>1</v>
      </c>
      <c r="P124" s="228">
        <f>IF(P125&lt;&gt;"",P125,
IF(HLOOKUP(P105,ENERGIEDRAGERS,ROWS(bibliotheek!$E$259:$E$263),FALSE)=0,$G$5,
HLOOKUP(P105,ENERGIEDRAGERS,ROWS(bibliotheek!$E$259:$E$263),FALSE)))</f>
        <v>1.45</v>
      </c>
      <c r="Q124" s="228">
        <f>IF(Q125&lt;&gt;"",Q125,
INDEX(weegfactor_primaire_totale_energiefactor,MATCH(Q105,energiedragers_kopregel,0))
*IF(Q113=0,1,
$G$5*INDEX(installaties_RV_verlies_elek_prod_aftapwarmte,MATCH(Q104,toestellen_RV_kopregel,0))))</f>
        <v>1</v>
      </c>
      <c r="R124" s="625"/>
      <c r="S124" s="625"/>
      <c r="T124" s="625"/>
      <c r="U124" s="625"/>
      <c r="V124" s="625"/>
      <c r="W124" s="625"/>
      <c r="X124" s="110"/>
      <c r="Y124" s="202"/>
      <c r="Z124" s="89"/>
      <c r="AA124" s="228">
        <f>IF(AA125&lt;&gt;"",AA125,
INDEX(weegfactor_primaire_totale_energiefactor,MATCH(AA105,energiedragers_kopregel,0))
*IF(AA113=0,1,
$G$5*INDEX(installaties_RV_verlies_elek_prod_aftapwarmte,MATCH(AA104,toestellen_RV_kopregel,0))))</f>
        <v>1</v>
      </c>
      <c r="AB124" s="228">
        <f>IF(AB125&lt;&gt;"",AB125,
IF(HLOOKUP(AB105,ENERGIEDRAGERS,ROWS(bibliotheek!$E$259:$E$263),FALSE)=0,$G$5,
HLOOKUP(AB105,ENERGIEDRAGERS,ROWS(bibliotheek!$E$259:$E$263),FALSE)))</f>
        <v>1.45</v>
      </c>
      <c r="AC124" s="228">
        <f>IF(AC125&lt;&gt;"",AC125,
INDEX(weegfactor_primaire_totale_energiefactor,MATCH(AC105,energiedragers_kopregel,0))
*IF(AC113=0,1,
$G$5*INDEX(installaties_RV_verlies_elek_prod_aftapwarmte,MATCH(AC104,toestellen_RV_kopregel,0))))</f>
        <v>1</v>
      </c>
      <c r="AD124" s="130"/>
      <c r="AE124" s="130"/>
      <c r="AF124" s="130"/>
      <c r="AG124" s="130"/>
      <c r="AH124" s="130"/>
      <c r="AI124" s="130"/>
      <c r="AJ124" s="110"/>
      <c r="AK124" s="202"/>
      <c r="AL124" s="89"/>
      <c r="AM124" s="228">
        <f>IF(AM125&lt;&gt;"",AM125,
INDEX(weegfactor_primaire_totale_energiefactor,MATCH(AM105,energiedragers_kopregel,0))
*IF(AM113=0,1,
$G$5*INDEX(installaties_RV_verlies_elek_prod_aftapwarmte,MATCH(AM104,toestellen_RV_kopregel,0))))</f>
        <v>1</v>
      </c>
      <c r="AN124" s="228">
        <f>IF(AN125&lt;&gt;"",AN125,
IF(HLOOKUP(AN105,ENERGIEDRAGERS,ROWS(bibliotheek!$E$259:$E$263),FALSE)=0,$G$5,
HLOOKUP(AN105,ENERGIEDRAGERS,ROWS(bibliotheek!$E$259:$E$263),FALSE)))</f>
        <v>1.45</v>
      </c>
      <c r="AO124" s="228">
        <f>IF(AO125&lt;&gt;"",AO125,
INDEX(weegfactor_primaire_totale_energiefactor,MATCH(AO105,energiedragers_kopregel,0))
*IF(AO113=0,1,
$G$5*INDEX(installaties_RV_verlies_elek_prod_aftapwarmte,MATCH(AO104,toestellen_RV_kopregel,0))))</f>
        <v>1</v>
      </c>
      <c r="AP124" s="130"/>
      <c r="AQ124" s="130"/>
      <c r="AR124" s="130"/>
      <c r="AS124" s="130"/>
      <c r="AT124" s="130"/>
      <c r="AU124" s="130"/>
      <c r="AV124" s="110"/>
      <c r="AW124" s="202"/>
      <c r="AX124" s="89"/>
      <c r="AY124" s="228">
        <f>IF(AY125&lt;&gt;"",AY125,
INDEX(weegfactor_primaire_totale_energiefactor,MATCH(AY105,energiedragers_kopregel,0))
*IF(AY113=0,1,
$G$5*INDEX(installaties_RV_verlies_elek_prod_aftapwarmte,MATCH(AY104,toestellen_RV_kopregel,0))))</f>
        <v>1</v>
      </c>
      <c r="AZ124" s="228">
        <f>IF(AZ125&lt;&gt;"",AZ125,
IF(HLOOKUP(AZ105,ENERGIEDRAGERS,ROWS(bibliotheek!$E$259:$E$263),FALSE)=0,$G$5,
HLOOKUP(AZ105,ENERGIEDRAGERS,ROWS(bibliotheek!$E$259:$E$263),FALSE)))</f>
        <v>1.45</v>
      </c>
      <c r="BA124" s="228">
        <f>IF(BA125&lt;&gt;"",BA125,
INDEX(weegfactor_primaire_totale_energiefactor,MATCH(BA105,energiedragers_kopregel,0))
*IF(BA113=0,1,
$G$5*INDEX(installaties_RV_verlies_elek_prod_aftapwarmte,MATCH(BA104,toestellen_RV_kopregel,0))))</f>
        <v>1</v>
      </c>
      <c r="BB124" s="130"/>
      <c r="BC124" s="130"/>
      <c r="BD124" s="130"/>
      <c r="BE124" s="130"/>
      <c r="BF124" s="130"/>
      <c r="BG124" s="130"/>
      <c r="BH124" s="210"/>
    </row>
    <row r="125" spans="1:60" hidden="1">
      <c r="A125" s="1040"/>
      <c r="B125" s="1109" t="s">
        <v>187</v>
      </c>
      <c r="C125" s="1107" t="s">
        <v>203</v>
      </c>
      <c r="D125" s="641"/>
      <c r="E125" s="346" t="s">
        <v>205</v>
      </c>
      <c r="F125" s="255"/>
      <c r="G125" s="255"/>
      <c r="H125" s="292"/>
      <c r="I125" s="77"/>
      <c r="J125" s="299"/>
      <c r="K125" s="107"/>
      <c r="L125" s="107"/>
      <c r="M125" s="190"/>
      <c r="N125" s="114"/>
      <c r="O125" s="1029"/>
      <c r="P125" s="1030"/>
      <c r="Q125" s="1029"/>
      <c r="R125" s="131"/>
      <c r="S125" s="131"/>
      <c r="T125" s="131"/>
      <c r="U125" s="131"/>
      <c r="V125" s="131"/>
      <c r="W125" s="131"/>
      <c r="X125" s="110"/>
      <c r="Y125" s="202"/>
      <c r="Z125" s="89"/>
      <c r="AA125" s="1029"/>
      <c r="AB125" s="1030"/>
      <c r="AC125" s="1029"/>
      <c r="AD125" s="130"/>
      <c r="AE125" s="130"/>
      <c r="AF125" s="130"/>
      <c r="AG125" s="130"/>
      <c r="AH125" s="130"/>
      <c r="AI125" s="130"/>
      <c r="AJ125" s="110"/>
      <c r="AK125" s="202"/>
      <c r="AL125" s="89"/>
      <c r="AM125" s="1029"/>
      <c r="AN125" s="1030"/>
      <c r="AO125" s="1029"/>
      <c r="AP125" s="130"/>
      <c r="AQ125" s="130"/>
      <c r="AR125" s="130"/>
      <c r="AS125" s="130"/>
      <c r="AT125" s="130"/>
      <c r="AU125" s="130"/>
      <c r="AV125" s="110"/>
      <c r="AW125" s="202"/>
      <c r="AX125" s="89"/>
      <c r="AY125" s="1029"/>
      <c r="AZ125" s="1030"/>
      <c r="BA125" s="1029"/>
      <c r="BB125" s="130"/>
      <c r="BC125" s="130"/>
      <c r="BD125" s="130"/>
      <c r="BE125" s="130"/>
      <c r="BF125" s="130"/>
      <c r="BG125" s="130"/>
      <c r="BH125" s="210"/>
    </row>
    <row r="126" spans="1:60">
      <c r="A126" s="1040"/>
      <c r="B126" s="1109" t="s">
        <v>187</v>
      </c>
      <c r="C126" s="1107" t="s">
        <v>104</v>
      </c>
      <c r="D126" s="641"/>
      <c r="E126" s="291" t="s">
        <v>232</v>
      </c>
      <c r="F126" s="181"/>
      <c r="G126" s="181"/>
      <c r="H126" s="181" t="s">
        <v>106</v>
      </c>
      <c r="I126" s="77"/>
      <c r="J126" s="202">
        <f>M126+Y126+AK126+AW126</f>
        <v>0</v>
      </c>
      <c r="K126" s="1061"/>
      <c r="L126" s="1061"/>
      <c r="M126" s="202">
        <f>SUM(O126:X126)</f>
        <v>0</v>
      </c>
      <c r="N126" s="89"/>
      <c r="O126" s="168">
        <f>O$116*O$122*O124</f>
        <v>0</v>
      </c>
      <c r="P126" s="168">
        <f>P$116*P$122*P124</f>
        <v>0</v>
      </c>
      <c r="Q126" s="168">
        <f>Q$116*Q$122*Q124</f>
        <v>0</v>
      </c>
      <c r="R126" s="130"/>
      <c r="S126" s="130"/>
      <c r="T126" s="130"/>
      <c r="U126" s="130"/>
      <c r="V126" s="130"/>
      <c r="W126" s="130"/>
      <c r="X126" s="110"/>
      <c r="Y126" s="202">
        <f>SUM(AA126:AJ126)</f>
        <v>0</v>
      </c>
      <c r="Z126" s="89"/>
      <c r="AA126" s="168">
        <f>AA$116*AA$122*AA124</f>
        <v>0</v>
      </c>
      <c r="AB126" s="168">
        <f>AB$116*AB$122*AB124</f>
        <v>0</v>
      </c>
      <c r="AC126" s="168">
        <f>AC$116*AC$122*AC124</f>
        <v>0</v>
      </c>
      <c r="AD126" s="130"/>
      <c r="AE126" s="130"/>
      <c r="AF126" s="130"/>
      <c r="AG126" s="130"/>
      <c r="AH126" s="130"/>
      <c r="AI126" s="130"/>
      <c r="AJ126" s="110"/>
      <c r="AK126" s="202">
        <f>SUM(AM126:AV126)</f>
        <v>0</v>
      </c>
      <c r="AL126" s="89"/>
      <c r="AM126" s="168">
        <f>AM$116*AM$122*AM124</f>
        <v>0</v>
      </c>
      <c r="AN126" s="168">
        <f>AN$116*AN$122*AN124</f>
        <v>0</v>
      </c>
      <c r="AO126" s="168">
        <f>AO$116*AO$122*AO124</f>
        <v>0</v>
      </c>
      <c r="AP126" s="130"/>
      <c r="AQ126" s="130"/>
      <c r="AR126" s="130"/>
      <c r="AS126" s="130"/>
      <c r="AT126" s="130"/>
      <c r="AU126" s="130"/>
      <c r="AV126" s="110"/>
      <c r="AW126" s="202">
        <f>SUM(AY126:BH126)</f>
        <v>0</v>
      </c>
      <c r="AX126" s="89"/>
      <c r="AY126" s="168">
        <f>AY$116*AY$122*AY124</f>
        <v>0</v>
      </c>
      <c r="AZ126" s="168">
        <f>AZ$116*AZ$122*AZ124</f>
        <v>0</v>
      </c>
      <c r="BA126" s="168">
        <f>BA$116*BA$122*BA124</f>
        <v>0</v>
      </c>
      <c r="BB126" s="130"/>
      <c r="BC126" s="130"/>
      <c r="BD126" s="130"/>
      <c r="BE126" s="130"/>
      <c r="BF126" s="130"/>
      <c r="BG126" s="130"/>
      <c r="BH126" s="210"/>
    </row>
    <row r="127" spans="1:60">
      <c r="A127" s="1040"/>
      <c r="B127" s="1109" t="s">
        <v>187</v>
      </c>
      <c r="C127" s="1106" t="s">
        <v>96</v>
      </c>
      <c r="D127" s="641"/>
      <c r="E127" s="940" t="s">
        <v>107</v>
      </c>
      <c r="F127" s="940"/>
      <c r="G127" s="940"/>
      <c r="H127" s="940"/>
      <c r="I127" s="77"/>
      <c r="J127" s="939"/>
      <c r="K127" s="126"/>
      <c r="L127" s="126"/>
      <c r="M127" s="1027"/>
      <c r="N127" s="143"/>
      <c r="O127" s="1028" t="str">
        <f>O$10</f>
        <v>verwarming</v>
      </c>
      <c r="P127" s="1028" t="str">
        <f>P$10</f>
        <v>koeling</v>
      </c>
      <c r="Q127" s="1028" t="str">
        <f>Q$10</f>
        <v>tapwater</v>
      </c>
      <c r="R127" s="1028"/>
      <c r="S127" s="1028"/>
      <c r="T127" s="1028"/>
      <c r="U127" s="1028"/>
      <c r="V127" s="1028"/>
      <c r="W127" s="1028"/>
      <c r="X127" s="144"/>
      <c r="Y127" s="1027"/>
      <c r="Z127" s="143"/>
      <c r="AA127" s="1028" t="str">
        <f>AA$10</f>
        <v>verwarming</v>
      </c>
      <c r="AB127" s="1028" t="str">
        <f>AB$10</f>
        <v>koeling</v>
      </c>
      <c r="AC127" s="1028" t="str">
        <f>AC$10</f>
        <v>tapwater</v>
      </c>
      <c r="AD127" s="1028"/>
      <c r="AE127" s="1028"/>
      <c r="AF127" s="1028"/>
      <c r="AG127" s="1028"/>
      <c r="AH127" s="1028"/>
      <c r="AI127" s="1028"/>
      <c r="AJ127" s="144"/>
      <c r="AK127" s="1027"/>
      <c r="AL127" s="143"/>
      <c r="AM127" s="1028" t="str">
        <f>AM$10</f>
        <v>verwarming</v>
      </c>
      <c r="AN127" s="1028" t="str">
        <f>AN$10</f>
        <v>koeling</v>
      </c>
      <c r="AO127" s="1028" t="str">
        <f>AO$10</f>
        <v>tapwater</v>
      </c>
      <c r="AP127" s="1028"/>
      <c r="AQ127" s="1028"/>
      <c r="AR127" s="1028"/>
      <c r="AS127" s="1028"/>
      <c r="AT127" s="1028"/>
      <c r="AU127" s="1028"/>
      <c r="AV127" s="144"/>
      <c r="AW127" s="1027"/>
      <c r="AX127" s="143"/>
      <c r="AY127" s="1028" t="str">
        <f>AY$10</f>
        <v>verwarming</v>
      </c>
      <c r="AZ127" s="1028" t="str">
        <f>AZ$10</f>
        <v>koeling</v>
      </c>
      <c r="BA127" s="1028" t="str">
        <f>BA$10</f>
        <v>tapwater</v>
      </c>
      <c r="BB127" s="1028"/>
      <c r="BC127" s="1028"/>
      <c r="BD127" s="1028"/>
      <c r="BE127" s="1028"/>
      <c r="BF127" s="1028"/>
      <c r="BG127" s="1028"/>
      <c r="BH127" s="218"/>
    </row>
    <row r="128" spans="1:60" hidden="1">
      <c r="A128" s="1040"/>
      <c r="B128" s="1109" t="s">
        <v>187</v>
      </c>
      <c r="C128" s="1107" t="s">
        <v>203</v>
      </c>
      <c r="D128" s="641" t="s">
        <v>45</v>
      </c>
      <c r="E128" s="293" t="s">
        <v>206</v>
      </c>
      <c r="F128" s="254"/>
      <c r="G128" s="254"/>
      <c r="H128" s="291" t="s">
        <v>207</v>
      </c>
      <c r="I128" s="77"/>
      <c r="J128" s="189"/>
      <c r="K128" s="107"/>
      <c r="L128" s="107"/>
      <c r="M128" s="189"/>
      <c r="N128" s="79"/>
      <c r="O128" s="377">
        <f>IF(O129&lt;&gt;"",O129,
IF(O$105=elektriciteit,$H$5,
INDEX(energiedragers_CO2_emissiefactor,MATCH(O105,energiedragers_kopregel,0))
*IF(O113=0,1,
$G$5*INDEX(installaties_RV_verlies_elek_prod_aftapwarmte,MATCH(O104,toestellen_RV_kopregel,0)))))</f>
        <v>0.26800000000000002</v>
      </c>
      <c r="P128" s="377">
        <f>IF(P129&lt;&gt;"",P129,
IF(P105=elektriciteit,$H$5,
HLOOKUP(P105,ENERGIEDRAGERS,ROWS(bibliotheek!$E$259:$E$264),FALSE)))</f>
        <v>0</v>
      </c>
      <c r="Q128" s="377">
        <f>IF(Q119&lt;&gt;"",Q119,
IF(Q$105=elektriciteit,$H$5,
INDEX(energiedragers_CO2_emissiefactor,MATCH(Q105,energiedragers_kopregel,0))
*IF(Q113=0,1,
$G$5*INDEX(installaties_TAP_verlies_elek_prod_aftapwarmte,MATCH(Q104,toestellen_TAP_kopregel,0)))))</f>
        <v>0.26800000000000002</v>
      </c>
      <c r="R128" s="141"/>
      <c r="S128" s="141"/>
      <c r="T128" s="141"/>
      <c r="U128" s="141"/>
      <c r="V128" s="141"/>
      <c r="W128" s="141"/>
      <c r="X128" s="348"/>
      <c r="Y128" s="189"/>
      <c r="Z128" s="79"/>
      <c r="AA128" s="377">
        <f>IF(AA129&lt;&gt;"",AA129,
IF(AA$105=elektriciteit,$H$5,
INDEX(energiedragers_CO2_emissiefactor,MATCH(AA105,energiedragers_kopregel,0))
*IF(AA113=0,1,
$G$5*INDEX(installaties_RV_verlies_elek_prod_aftapwarmte,MATCH(AA104,toestellen_RV_kopregel,0)))))</f>
        <v>0.26800000000000002</v>
      </c>
      <c r="AB128" s="377">
        <f>IF(AB129&lt;&gt;"",AB129,
IF(AB105=elektriciteit,$H$5,
HLOOKUP(AB105,ENERGIEDRAGERS,ROWS(bibliotheek!$E$259:$E$264),FALSE)))</f>
        <v>0</v>
      </c>
      <c r="AC128" s="377">
        <f>IF(AC119&lt;&gt;"",AC119,
IF(AC$105=elektriciteit,$H$5,
INDEX(energiedragers_CO2_emissiefactor,MATCH(AC105,energiedragers_kopregel,0))
*IF(AC113=0,1,
$G$5*INDEX(installaties_TAP_verlies_elek_prod_aftapwarmte,MATCH(AC104,toestellen_TAP_kopregel,0)))))</f>
        <v>0.26800000000000002</v>
      </c>
      <c r="AD128" s="141"/>
      <c r="AE128" s="141"/>
      <c r="AF128" s="141"/>
      <c r="AG128" s="141"/>
      <c r="AH128" s="141"/>
      <c r="AI128" s="141"/>
      <c r="AJ128" s="348"/>
      <c r="AK128" s="189"/>
      <c r="AL128" s="79"/>
      <c r="AM128" s="377">
        <f>IF(AM129&lt;&gt;"",AM129,
IF(AM$105=elektriciteit,$H$5,
INDEX(energiedragers_CO2_emissiefactor,MATCH(AM105,energiedragers_kopregel,0))
*IF(AM113=0,1,
$G$5*INDEX(installaties_RV_verlies_elek_prod_aftapwarmte,MATCH(AM104,toestellen_RV_kopregel,0)))))</f>
        <v>0.26800000000000002</v>
      </c>
      <c r="AN128" s="377">
        <f>IF(AN129&lt;&gt;"",AN129,
IF(AN105=elektriciteit,$H$5,
HLOOKUP(AN105,ENERGIEDRAGERS,ROWS(bibliotheek!$E$259:$E$264),FALSE)))</f>
        <v>0</v>
      </c>
      <c r="AO128" s="377">
        <f>IF(AO119&lt;&gt;"",AO119,
IF(AO$105=elektriciteit,$H$5,
INDEX(energiedragers_CO2_emissiefactor,MATCH(AO105,energiedragers_kopregel,0))
*IF(AO113=0,1,
$G$5*INDEX(installaties_TAP_verlies_elek_prod_aftapwarmte,MATCH(AO104,toestellen_TAP_kopregel,0)))))</f>
        <v>0.26800000000000002</v>
      </c>
      <c r="AP128" s="141"/>
      <c r="AQ128" s="141"/>
      <c r="AR128" s="141"/>
      <c r="AS128" s="141"/>
      <c r="AT128" s="141"/>
      <c r="AU128" s="141"/>
      <c r="AV128" s="348"/>
      <c r="AW128" s="189"/>
      <c r="AX128" s="79"/>
      <c r="AY128" s="377">
        <f>IF(AY129&lt;&gt;"",AY129,
IF(AY$105=elektriciteit,$H$5,
INDEX(energiedragers_CO2_emissiefactor,MATCH(AY105,energiedragers_kopregel,0))
*IF(AY113=0,1,
$G$5*INDEX(installaties_RV_verlies_elek_prod_aftapwarmte,MATCH(AY104,toestellen_RV_kopregel,0)))))</f>
        <v>0.26800000000000002</v>
      </c>
      <c r="AZ128" s="377">
        <f>IF(AZ129&lt;&gt;"",AZ129,
IF(AZ105=elektriciteit,$H$5,
HLOOKUP(AZ105,ENERGIEDRAGERS,ROWS(bibliotheek!$E$259:$E$264),FALSE)))</f>
        <v>0</v>
      </c>
      <c r="BA128" s="377">
        <f>IF(BA119&lt;&gt;"",BA119,
IF(BA$105=elektriciteit,$H$5,
INDEX(energiedragers_CO2_emissiefactor,MATCH(BA105,energiedragers_kopregel,0))
*IF(BA113=0,1,
$G$5*INDEX(installaties_TAP_verlies_elek_prod_aftapwarmte,MATCH(BA104,toestellen_TAP_kopregel,0)))))</f>
        <v>0.26800000000000002</v>
      </c>
      <c r="BB128" s="141"/>
      <c r="BC128" s="141"/>
      <c r="BD128" s="141"/>
      <c r="BE128" s="141"/>
      <c r="BF128" s="141"/>
      <c r="BG128" s="141"/>
      <c r="BH128" s="174"/>
    </row>
    <row r="129" spans="1:60" hidden="1">
      <c r="A129" s="1040"/>
      <c r="B129" s="1109" t="s">
        <v>187</v>
      </c>
      <c r="C129" s="1107" t="s">
        <v>203</v>
      </c>
      <c r="D129" s="638"/>
      <c r="E129" s="346" t="s">
        <v>208</v>
      </c>
      <c r="F129" s="292"/>
      <c r="G129" s="292"/>
      <c r="H129" s="292"/>
      <c r="I129" s="77"/>
      <c r="J129" s="299"/>
      <c r="K129" s="107"/>
      <c r="L129" s="107"/>
      <c r="M129" s="198"/>
      <c r="N129" s="79"/>
      <c r="O129" s="275"/>
      <c r="P129" s="354"/>
      <c r="Q129" s="354"/>
      <c r="R129" s="414"/>
      <c r="S129" s="414"/>
      <c r="T129" s="414"/>
      <c r="U129" s="414"/>
      <c r="V129" s="414"/>
      <c r="W129" s="414"/>
      <c r="X129" s="380"/>
      <c r="Y129" s="198"/>
      <c r="Z129" s="79"/>
      <c r="AA129" s="354"/>
      <c r="AB129" s="354"/>
      <c r="AC129" s="354"/>
      <c r="AD129" s="414"/>
      <c r="AE129" s="414"/>
      <c r="AF129" s="414"/>
      <c r="AG129" s="414"/>
      <c r="AH129" s="414"/>
      <c r="AI129" s="414"/>
      <c r="AJ129" s="380"/>
      <c r="AK129" s="198"/>
      <c r="AL129" s="79"/>
      <c r="AM129" s="354"/>
      <c r="AN129" s="354"/>
      <c r="AO129" s="354"/>
      <c r="AP129" s="414"/>
      <c r="AQ129" s="414"/>
      <c r="AR129" s="414"/>
      <c r="AS129" s="414"/>
      <c r="AT129" s="414"/>
      <c r="AU129" s="414"/>
      <c r="AV129" s="380"/>
      <c r="AW129" s="198"/>
      <c r="AX129" s="79"/>
      <c r="AY129" s="354"/>
      <c r="AZ129" s="354"/>
      <c r="BA129" s="354"/>
      <c r="BB129" s="414"/>
      <c r="BC129" s="414"/>
      <c r="BD129" s="414"/>
      <c r="BE129" s="414"/>
      <c r="BF129" s="414"/>
      <c r="BG129" s="414"/>
      <c r="BH129" s="174"/>
    </row>
    <row r="130" spans="1:60">
      <c r="A130" s="1040"/>
      <c r="B130" s="1109" t="s">
        <v>187</v>
      </c>
      <c r="C130" s="1107" t="s">
        <v>104</v>
      </c>
      <c r="D130" s="638"/>
      <c r="E130" s="181" t="s">
        <v>107</v>
      </c>
      <c r="F130" s="181"/>
      <c r="G130" s="181"/>
      <c r="H130" s="181" t="s">
        <v>209</v>
      </c>
      <c r="I130" s="77"/>
      <c r="J130" s="202">
        <f>M130+Y130+AK130+AW130</f>
        <v>0</v>
      </c>
      <c r="K130" s="1061"/>
      <c r="L130" s="1061"/>
      <c r="M130" s="202">
        <f>SUM(O130:X130)</f>
        <v>0</v>
      </c>
      <c r="N130" s="243"/>
      <c r="O130" s="168">
        <f>O$116*O$128</f>
        <v>0</v>
      </c>
      <c r="P130" s="168">
        <f>P$116*P$128</f>
        <v>0</v>
      </c>
      <c r="Q130" s="168">
        <f>Q$116*Q$128</f>
        <v>0</v>
      </c>
      <c r="R130" s="130"/>
      <c r="S130" s="130"/>
      <c r="T130" s="130"/>
      <c r="U130" s="130"/>
      <c r="V130" s="130"/>
      <c r="W130" s="130"/>
      <c r="X130" s="110"/>
      <c r="Y130" s="202">
        <f>SUM(AA130:AJ130)</f>
        <v>0</v>
      </c>
      <c r="Z130" s="243"/>
      <c r="AA130" s="168">
        <f>AA$116*AA$128</f>
        <v>0</v>
      </c>
      <c r="AB130" s="168">
        <f>AB$116*AB$128</f>
        <v>0</v>
      </c>
      <c r="AC130" s="168">
        <f>AC$116*AC$128</f>
        <v>0</v>
      </c>
      <c r="AD130" s="130"/>
      <c r="AE130" s="130"/>
      <c r="AF130" s="130"/>
      <c r="AG130" s="130"/>
      <c r="AH130" s="130"/>
      <c r="AI130" s="130"/>
      <c r="AJ130" s="110"/>
      <c r="AK130" s="202">
        <f>SUM(AM130:AV130)</f>
        <v>0</v>
      </c>
      <c r="AL130" s="243"/>
      <c r="AM130" s="168">
        <f>AM$116*AM$128</f>
        <v>0</v>
      </c>
      <c r="AN130" s="168">
        <f>AN$116*AN$128</f>
        <v>0</v>
      </c>
      <c r="AO130" s="168">
        <f>AO$116*AO$128</f>
        <v>0</v>
      </c>
      <c r="AP130" s="130"/>
      <c r="AQ130" s="130"/>
      <c r="AR130" s="130"/>
      <c r="AS130" s="130"/>
      <c r="AT130" s="130"/>
      <c r="AU130" s="130"/>
      <c r="AV130" s="110"/>
      <c r="AW130" s="202">
        <f>SUM(AY130:BH130)</f>
        <v>0</v>
      </c>
      <c r="AX130" s="243"/>
      <c r="AY130" s="168">
        <f>AY$116*AY$128</f>
        <v>0</v>
      </c>
      <c r="AZ130" s="168">
        <f>AZ$116*AZ$128</f>
        <v>0</v>
      </c>
      <c r="BA130" s="168">
        <f>BA$116*BA$128</f>
        <v>0</v>
      </c>
      <c r="BB130" s="130"/>
      <c r="BC130" s="130"/>
      <c r="BD130" s="130"/>
      <c r="BE130" s="130"/>
      <c r="BF130" s="130"/>
      <c r="BG130" s="130"/>
      <c r="BH130" s="210"/>
    </row>
    <row r="131" spans="1:60">
      <c r="A131" s="1040"/>
      <c r="B131" s="1109" t="s">
        <v>187</v>
      </c>
      <c r="C131" s="1106" t="s">
        <v>96</v>
      </c>
      <c r="D131" s="638"/>
      <c r="E131" s="940" t="s">
        <v>210</v>
      </c>
      <c r="F131" s="940"/>
      <c r="G131" s="940"/>
      <c r="H131" s="940"/>
      <c r="I131" s="77"/>
      <c r="J131" s="939"/>
      <c r="K131" s="126"/>
      <c r="L131" s="126"/>
      <c r="M131" s="938"/>
      <c r="N131" s="143"/>
      <c r="O131" s="177" t="str">
        <f>O$10</f>
        <v>verwarming</v>
      </c>
      <c r="P131" s="177" t="str">
        <f>P$10</f>
        <v>koeling</v>
      </c>
      <c r="Q131" s="177" t="str">
        <f>Q$10</f>
        <v>tapwater</v>
      </c>
      <c r="R131" s="177"/>
      <c r="S131" s="177"/>
      <c r="T131" s="177"/>
      <c r="U131" s="177"/>
      <c r="V131" s="177"/>
      <c r="W131" s="177"/>
      <c r="X131" s="144"/>
      <c r="Y131" s="938"/>
      <c r="Z131" s="143"/>
      <c r="AA131" s="177" t="str">
        <f>AA$10</f>
        <v>verwarming</v>
      </c>
      <c r="AB131" s="177" t="str">
        <f>AB$10</f>
        <v>koeling</v>
      </c>
      <c r="AC131" s="177" t="str">
        <f>AC$10</f>
        <v>tapwater</v>
      </c>
      <c r="AD131" s="177"/>
      <c r="AE131" s="177"/>
      <c r="AF131" s="177"/>
      <c r="AG131" s="177"/>
      <c r="AH131" s="177"/>
      <c r="AI131" s="177"/>
      <c r="AJ131" s="144"/>
      <c r="AK131" s="938"/>
      <c r="AL131" s="143"/>
      <c r="AM131" s="177" t="str">
        <f>AM$10</f>
        <v>verwarming</v>
      </c>
      <c r="AN131" s="177" t="str">
        <f>AN$10</f>
        <v>koeling</v>
      </c>
      <c r="AO131" s="177" t="str">
        <f>AO$10</f>
        <v>tapwater</v>
      </c>
      <c r="AP131" s="177"/>
      <c r="AQ131" s="177"/>
      <c r="AR131" s="177"/>
      <c r="AS131" s="177"/>
      <c r="AT131" s="177"/>
      <c r="AU131" s="177"/>
      <c r="AV131" s="144"/>
      <c r="AW131" s="938"/>
      <c r="AX131" s="143"/>
      <c r="AY131" s="177" t="str">
        <f>AY$10</f>
        <v>verwarming</v>
      </c>
      <c r="AZ131" s="177" t="str">
        <f>AZ$10</f>
        <v>koeling</v>
      </c>
      <c r="BA131" s="177" t="str">
        <f>BA$10</f>
        <v>tapwater</v>
      </c>
      <c r="BB131" s="177"/>
      <c r="BC131" s="177"/>
      <c r="BD131" s="177"/>
      <c r="BE131" s="177"/>
      <c r="BF131" s="177"/>
      <c r="BG131" s="177"/>
      <c r="BH131" s="218"/>
    </row>
    <row r="132" spans="1:60">
      <c r="A132" s="1040"/>
      <c r="B132" s="1109" t="s">
        <v>187</v>
      </c>
      <c r="C132" s="1107" t="s">
        <v>118</v>
      </c>
      <c r="D132" s="638" t="s">
        <v>45</v>
      </c>
      <c r="E132" s="181" t="s">
        <v>211</v>
      </c>
      <c r="F132" s="181"/>
      <c r="G132" s="181"/>
      <c r="H132" s="181" t="s">
        <v>160</v>
      </c>
      <c r="I132" s="129"/>
      <c r="J132" s="202">
        <f>M132+Y132+AK132+AW132</f>
        <v>0</v>
      </c>
      <c r="K132" s="1059"/>
      <c r="L132" s="1059"/>
      <c r="M132" s="202">
        <f>SUM(O132:X132)</f>
        <v>0</v>
      </c>
      <c r="N132" s="243"/>
      <c r="O132" s="168">
        <f>IF(   AND(   HLOOKUP(IF(O$83="",referentie_verwarming,O$83),toestellen_RV,ROWS(bibliotheek!$E$83:$E$88),FALSE)=1,   O115+Q115&gt;P115   ),
ABS(O115+Q115-P115)*O$115/(O115+Q115),
0)</f>
        <v>0</v>
      </c>
      <c r="P132" s="168">
        <f>IF(AND(HLOOKUP(IF(P$83="",referentie_koeling,P$83),toestellen_KOEL,ROWS(bibliotheek!$E$190:$E$194),FALSE)=1,O115+Q115&lt;P115),ABS(O115+Q115-P115),0)</f>
        <v>0</v>
      </c>
      <c r="Q132" s="168">
        <f>IF(AND(HLOOKUP(IF(Q$83="",referentie_warmtapwater,Q$83),toestellen_TAP,ROWS(bibliotheek!$E$139:$E$144),FALSE)=1,O115+Q115&gt;P115),ABS(O115+Q115-P115)*Q$115/(O115+Q115),0)</f>
        <v>0</v>
      </c>
      <c r="R132" s="130"/>
      <c r="S132" s="130"/>
      <c r="T132" s="130"/>
      <c r="U132" s="130"/>
      <c r="V132" s="130"/>
      <c r="W132" s="130"/>
      <c r="X132" s="110"/>
      <c r="Y132" s="202">
        <f>SUM(AA132:AJ132)</f>
        <v>0</v>
      </c>
      <c r="Z132" s="243"/>
      <c r="AA132" s="168">
        <f>IF(   AND(   HLOOKUP(IF(AA$83="",referentie_verwarming,AA$83),toestellen_RV,ROWS(bibliotheek!$E$83:$E$88),FALSE)=1,   AA115+AC115&gt;AB115   ),
ABS(AA115+AC115-AB115)*AA$115/(AA115+AC115),
0)</f>
        <v>0</v>
      </c>
      <c r="AB132" s="168">
        <f>IF(AND(HLOOKUP(IF(AB$83="",referentie_koeling,AB$83),toestellen_KOEL,ROWS(bibliotheek!$E$190:$E$194),FALSE)=1,AA115+AC115&lt;AB115),ABS(AA115+AC115-AB115),0)</f>
        <v>0</v>
      </c>
      <c r="AC132" s="168">
        <f>IF(AND(HLOOKUP(IF(AC$83="",referentie_warmtapwater,AC$83),toestellen_TAP,ROWS(bibliotheek!$E$139:$E$144),FALSE)=1,AA115+AC115&gt;AB115),ABS(AA115+AC115-AB115)*AC$115/(AA115+AC115),0)</f>
        <v>0</v>
      </c>
      <c r="AD132" s="130"/>
      <c r="AE132" s="130"/>
      <c r="AF132" s="130"/>
      <c r="AG132" s="130"/>
      <c r="AH132" s="130"/>
      <c r="AI132" s="130"/>
      <c r="AJ132" s="110"/>
      <c r="AK132" s="202">
        <f>SUM(AM132:AV132)</f>
        <v>0</v>
      </c>
      <c r="AL132" s="243"/>
      <c r="AM132" s="168">
        <f>IF(   AND(   HLOOKUP(IF(AM$83="",referentie_verwarming,AM$83),toestellen_RV,ROWS(bibliotheek!$E$83:$E$88),FALSE)=1,   AM115+AO115&gt;AN115   ),
ABS(AM115+AO115-AN115)*AM$115/(AM115+AO115),
0)</f>
        <v>0</v>
      </c>
      <c r="AN132" s="168">
        <f>IF(AND(HLOOKUP(IF(AN$83="",referentie_koeling,AN$83),toestellen_KOEL,ROWS(bibliotheek!$E$190:$E$194),FALSE)=1,AM115+AO115&lt;AN115),ABS(AM115+AO115-AN115),0)</f>
        <v>0</v>
      </c>
      <c r="AO132" s="168">
        <f>IF(AND(HLOOKUP(IF(AO$83="",referentie_warmtapwater,AO$83),toestellen_TAP,ROWS(bibliotheek!$E$139:$E$144),FALSE)=1,AM115+AO115&gt;AN115),ABS(AM115+AO115-AN115)*AO$115/(AM115+AO115),0)</f>
        <v>0</v>
      </c>
      <c r="AP132" s="130"/>
      <c r="AQ132" s="130"/>
      <c r="AR132" s="130"/>
      <c r="AS132" s="130"/>
      <c r="AT132" s="130"/>
      <c r="AU132" s="130"/>
      <c r="AV132" s="110"/>
      <c r="AW132" s="202">
        <f>SUM(AY132:BH132)</f>
        <v>0</v>
      </c>
      <c r="AX132" s="243"/>
      <c r="AY132" s="168">
        <f>IF(   AND(   HLOOKUP(IF(AY$83="",referentie_verwarming,AY$83),toestellen_RV,ROWS(bibliotheek!$E$83:$E$88),FALSE)=1,   AY115+BA115&gt;AZ115   ),
ABS(AY115+BA115-AZ115)*AY$115/(AY115+BA115),
0)</f>
        <v>0</v>
      </c>
      <c r="AZ132" s="168">
        <f>IF(AND(HLOOKUP(IF(AZ$83="",referentie_koeling,AZ$83),toestellen_KOEL,ROWS(bibliotheek!$E$190:$E$194),FALSE)=1,AY115+BA115&lt;AZ115),ABS(AY115+BA115-AZ115),0)</f>
        <v>0</v>
      </c>
      <c r="BA132" s="168">
        <f>IF(AND(HLOOKUP(IF(BA$83="",referentie_warmtapwater,BA$83),toestellen_TAP,ROWS(bibliotheek!$E$139:$E$144),FALSE)=1,AY115+BA115&gt;AZ115),ABS(AY115+BA115-AZ115)*BA$115/(AY115+BA115),0)</f>
        <v>0</v>
      </c>
      <c r="BB132" s="130"/>
      <c r="BC132" s="130"/>
      <c r="BD132" s="130"/>
      <c r="BE132" s="130"/>
      <c r="BF132" s="130"/>
      <c r="BG132" s="130"/>
      <c r="BH132" s="210"/>
    </row>
    <row r="133" spans="1:60" hidden="1">
      <c r="A133" s="1040"/>
      <c r="B133" s="1109" t="s">
        <v>187</v>
      </c>
      <c r="C133" s="1107" t="s">
        <v>181</v>
      </c>
      <c r="D133" s="638"/>
      <c r="E133" s="181" t="s">
        <v>212</v>
      </c>
      <c r="F133" s="180"/>
      <c r="G133" s="180"/>
      <c r="H133" s="181" t="s">
        <v>213</v>
      </c>
      <c r="I133" s="129"/>
      <c r="J133" s="190"/>
      <c r="K133" s="107"/>
      <c r="L133" s="107"/>
      <c r="M133" s="190"/>
      <c r="N133" s="79"/>
      <c r="O133" s="545">
        <f>HLOOKUP(IF(O$83="",referentie_verwarming,O$83),toestellen_RV,ROWS(bibliotheek!$E$83:$E$117),FALSE)</f>
        <v>0</v>
      </c>
      <c r="P133" s="545">
        <f>HLOOKUP(IF(P$83="",referentie_koeling,P$83),toestellen_KOEL,ROWS(bibliotheek!$E$190:$E$208),FALSE)</f>
        <v>0</v>
      </c>
      <c r="Q133" s="545">
        <f>HLOOKUP(IF(Q$83="",referentie_warmtapwater,Q$83),toestellen_TAP,ROWS(bibliotheek!$E$139:$E$165),FALSE)</f>
        <v>0</v>
      </c>
      <c r="R133" s="379"/>
      <c r="S133" s="379"/>
      <c r="T133" s="379"/>
      <c r="U133" s="379"/>
      <c r="V133" s="379"/>
      <c r="W133" s="379"/>
      <c r="X133" s="418"/>
      <c r="Y133" s="190"/>
      <c r="Z133" s="79"/>
      <c r="AA133" s="545">
        <f>HLOOKUP(IF(AA$83="",referentie_verwarming,AA$83),toestellen_RV,ROWS(bibliotheek!$E$83:$E$117),FALSE)</f>
        <v>0</v>
      </c>
      <c r="AB133" s="545">
        <f>HLOOKUP(IF(AB$83="",referentie_koeling,AB$83),toestellen_KOEL,ROWS(bibliotheek!$E$190:$E$208),FALSE)</f>
        <v>0</v>
      </c>
      <c r="AC133" s="545">
        <f>HLOOKUP(IF(AC$83="",referentie_warmtapwater,AC$83),toestellen_TAP,ROWS(bibliotheek!$E$139:$E$165),FALSE)</f>
        <v>0</v>
      </c>
      <c r="AD133" s="379"/>
      <c r="AE133" s="379"/>
      <c r="AF133" s="379"/>
      <c r="AG133" s="379"/>
      <c r="AH133" s="379"/>
      <c r="AI133" s="379"/>
      <c r="AJ133" s="418"/>
      <c r="AK133" s="190"/>
      <c r="AL133" s="79"/>
      <c r="AM133" s="545">
        <f>HLOOKUP(IF(AM$83="",referentie_verwarming,AM$83),toestellen_RV,ROWS(bibliotheek!$E$83:$E$117),FALSE)</f>
        <v>0</v>
      </c>
      <c r="AN133" s="545">
        <f>HLOOKUP(IF(AN$83="",referentie_koeling,AN$83),toestellen_KOEL,ROWS(bibliotheek!$E$190:$E$208),FALSE)</f>
        <v>0</v>
      </c>
      <c r="AO133" s="545">
        <f>HLOOKUP(IF(AO$83="",referentie_warmtapwater,AO$83),toestellen_TAP,ROWS(bibliotheek!$E$139:$E$165),FALSE)</f>
        <v>0</v>
      </c>
      <c r="AP133" s="379"/>
      <c r="AQ133" s="379"/>
      <c r="AR133" s="379"/>
      <c r="AS133" s="379"/>
      <c r="AT133" s="379"/>
      <c r="AU133" s="379"/>
      <c r="AV133" s="418"/>
      <c r="AW133" s="190"/>
      <c r="AX133" s="79"/>
      <c r="AY133" s="545">
        <f>HLOOKUP(IF(AY$83="",referentie_verwarming,AY$83),toestellen_RV,ROWS(bibliotheek!$E$83:$E$117),FALSE)</f>
        <v>0</v>
      </c>
      <c r="AZ133" s="545">
        <f>HLOOKUP(IF(AZ$83="",referentie_koeling,AZ$83),toestellen_KOEL,ROWS(bibliotheek!$E$190:$E$208),FALSE)</f>
        <v>0</v>
      </c>
      <c r="BA133" s="545">
        <f>HLOOKUP(IF(BA$83="",referentie_warmtapwater,BA$83),toestellen_TAP,ROWS(bibliotheek!$E$139:$E$165),FALSE)</f>
        <v>0</v>
      </c>
      <c r="BB133" s="379"/>
      <c r="BC133" s="379"/>
      <c r="BD133" s="379"/>
      <c r="BE133" s="379"/>
      <c r="BF133" s="379"/>
      <c r="BG133" s="379"/>
      <c r="BH133" s="210"/>
    </row>
    <row r="134" spans="1:60">
      <c r="A134" s="1040"/>
      <c r="B134" s="1109" t="s">
        <v>187</v>
      </c>
      <c r="C134" s="1107" t="s">
        <v>118</v>
      </c>
      <c r="D134" s="638"/>
      <c r="E134" s="291" t="s">
        <v>214</v>
      </c>
      <c r="F134" s="254"/>
      <c r="G134" s="254"/>
      <c r="H134" s="291" t="s">
        <v>65</v>
      </c>
      <c r="I134" s="77"/>
      <c r="J134" s="289"/>
      <c r="K134" s="77"/>
      <c r="L134" s="77"/>
      <c r="M134" s="289"/>
      <c r="N134" s="79"/>
      <c r="O134" s="384">
        <f>IF(HLOOKUP(IF(O$83="",referentie_verwarming,O$83),toestellen_RV,ROWS(bibliotheek!$E$83:$E$101),FALSE)=0,0,IF(O135&lt;&gt;"",O135,HLOOKUP(IF(O$83="",referentie_verwarming,O$83),toestellen_RV,ROWS(bibliotheek!$E$83:$E$101),FALSE)))</f>
        <v>0</v>
      </c>
      <c r="P134" s="384">
        <f>IF(HLOOKUP(IF(P$83="",referentie_koeling,P$83),toestellen_KOEL,ROWS(bibliotheek!$E$190:$E$201),FALSE)=0,0,IF(P135&lt;&gt;"",P135,HLOOKUP(IF(P$83="",referentie_koeling,P$83),toestellen_KOEL,ROWS(bibliotheek!$E$190:$E$201),FALSE)))</f>
        <v>0</v>
      </c>
      <c r="Q134" s="384">
        <f>IF(HLOOKUP(IF(Q$83="",referentie_warmtapwater,Q$83),toestellen_TAP,ROWS(bibliotheek!$E$139:$E$157),FALSE)=0,0,IF(Q135&lt;&gt;"",Q135,HLOOKUP(IF(Q$83="",referentie_warmtapwater,Q$83),toestellen_TAP,ROWS(bibliotheek!$E$139:$E$157),FALSE)))</f>
        <v>0</v>
      </c>
      <c r="R134" s="139"/>
      <c r="S134" s="139"/>
      <c r="T134" s="139"/>
      <c r="U134" s="139"/>
      <c r="V134" s="139"/>
      <c r="W134" s="139"/>
      <c r="X134" s="111"/>
      <c r="Y134" s="289"/>
      <c r="Z134" s="79"/>
      <c r="AA134" s="384">
        <f>IF(HLOOKUP(IF(AA$83="",referentie_verwarming,AA$83),toestellen_RV,ROWS(bibliotheek!$E$83:$E$101),FALSE)=0,0,IF(AA135&lt;&gt;"",AA135,HLOOKUP(IF(AA$83="",referentie_verwarming,AA$83),toestellen_RV,ROWS(bibliotheek!$E$83:$E$101),FALSE)))</f>
        <v>0</v>
      </c>
      <c r="AB134" s="384">
        <f>IF(HLOOKUP(IF(AB$83="",referentie_koeling,AB$83),toestellen_KOEL,ROWS(bibliotheek!$E$190:$E$201),FALSE)=0,0,IF(AB135&lt;&gt;"",AB135,HLOOKUP(IF(AB$83="",referentie_koeling,AB$83),toestellen_KOEL,ROWS(bibliotheek!$E$190:$E$201),FALSE)))</f>
        <v>0</v>
      </c>
      <c r="AC134" s="384">
        <f>IF(HLOOKUP(IF(AC$83="",referentie_warmtapwater,AC$83),toestellen_TAP,ROWS(bibliotheek!$E$139:$E$157),FALSE)=0,0,IF(AC135&lt;&gt;"",AC135,HLOOKUP(IF(AC$83="",referentie_warmtapwater,AC$83),toestellen_TAP,ROWS(bibliotheek!$E$139:$E$157),FALSE)))</f>
        <v>0</v>
      </c>
      <c r="AD134" s="139"/>
      <c r="AE134" s="139"/>
      <c r="AF134" s="139"/>
      <c r="AG134" s="139"/>
      <c r="AH134" s="139"/>
      <c r="AI134" s="139"/>
      <c r="AJ134" s="111"/>
      <c r="AK134" s="289"/>
      <c r="AL134" s="79"/>
      <c r="AM134" s="384">
        <f>IF(HLOOKUP(IF(AM$83="",referentie_verwarming,AM$83),toestellen_RV,ROWS(bibliotheek!$E$83:$E$101),FALSE)=0,0,IF(AM135&lt;&gt;"",AM135,HLOOKUP(IF(AM$83="",referentie_verwarming,AM$83),toestellen_RV,ROWS(bibliotheek!$E$83:$E$101),FALSE)))</f>
        <v>0</v>
      </c>
      <c r="AN134" s="384">
        <f>IF(HLOOKUP(IF(AN$83="",referentie_koeling,AN$83),toestellen_KOEL,ROWS(bibliotheek!$E$190:$E$201),FALSE)=0,0,IF(AN135&lt;&gt;"",AN135,HLOOKUP(IF(AN$83="",referentie_koeling,AN$83),toestellen_KOEL,ROWS(bibliotheek!$E$190:$E$201),FALSE)))</f>
        <v>0</v>
      </c>
      <c r="AO134" s="384">
        <f>IF(HLOOKUP(IF(AO$83="",referentie_warmtapwater,AO$83),toestellen_TAP,ROWS(bibliotheek!$E$139:$E$157),FALSE)=0,0,IF(AO135&lt;&gt;"",AO135,HLOOKUP(IF(AO$83="",referentie_warmtapwater,AO$83),toestellen_TAP,ROWS(bibliotheek!$E$139:$E$157),FALSE)))</f>
        <v>0</v>
      </c>
      <c r="AP134" s="139"/>
      <c r="AQ134" s="139"/>
      <c r="AR134" s="139"/>
      <c r="AS134" s="139"/>
      <c r="AT134" s="139"/>
      <c r="AU134" s="139"/>
      <c r="AV134" s="111"/>
      <c r="AW134" s="289"/>
      <c r="AX134" s="79"/>
      <c r="AY134" s="384">
        <f>IF(HLOOKUP(IF(AY$83="",referentie_verwarming,AY$83),toestellen_RV,ROWS(bibliotheek!$E$83:$E$101),FALSE)=0,0,IF(AY135&lt;&gt;"",AY135,HLOOKUP(IF(AY$83="",referentie_verwarming,AY$83),toestellen_RV,ROWS(bibliotheek!$E$83:$E$101),FALSE)))</f>
        <v>0</v>
      </c>
      <c r="AZ134" s="384">
        <f>IF(HLOOKUP(IF(AZ$83="",referentie_koeling,AZ$83),toestellen_KOEL,ROWS(bibliotheek!$E$190:$E$201),FALSE)=0,0,IF(AZ135&lt;&gt;"",AZ135,HLOOKUP(IF(AZ$83="",referentie_koeling,AZ$83),toestellen_KOEL,ROWS(bibliotheek!$E$190:$E$201),FALSE)))</f>
        <v>0</v>
      </c>
      <c r="BA134" s="384">
        <f>IF(HLOOKUP(IF(BA$83="",referentie_warmtapwater,BA$83),toestellen_TAP,ROWS(bibliotheek!$E$139:$E$157),FALSE)=0,0,IF(BA135&lt;&gt;"",BA135,HLOOKUP(IF(BA$83="",referentie_warmtapwater,BA$83),toestellen_TAP,ROWS(bibliotheek!$E$139:$E$157),FALSE)))</f>
        <v>0</v>
      </c>
      <c r="BB134" s="139"/>
      <c r="BC134" s="139"/>
      <c r="BD134" s="139"/>
      <c r="BE134" s="139"/>
      <c r="BF134" s="139"/>
      <c r="BG134" s="139"/>
      <c r="BH134" s="174"/>
    </row>
    <row r="135" spans="1:60">
      <c r="A135" s="1040"/>
      <c r="B135" s="1109" t="s">
        <v>187</v>
      </c>
      <c r="C135" s="1107" t="s">
        <v>118</v>
      </c>
      <c r="D135" s="638"/>
      <c r="E135" s="1218" t="s">
        <v>215</v>
      </c>
      <c r="F135" s="255"/>
      <c r="G135" s="255"/>
      <c r="H135" s="292"/>
      <c r="I135" s="77"/>
      <c r="J135" s="299"/>
      <c r="K135" s="77"/>
      <c r="L135" s="77"/>
      <c r="M135" s="198"/>
      <c r="N135" s="79"/>
      <c r="O135" s="275"/>
      <c r="P135" s="617"/>
      <c r="Q135" s="275"/>
      <c r="R135" s="140"/>
      <c r="S135" s="140"/>
      <c r="T135" s="140"/>
      <c r="U135" s="140"/>
      <c r="V135" s="140"/>
      <c r="W135" s="140"/>
      <c r="X135" s="76"/>
      <c r="Y135" s="198"/>
      <c r="Z135" s="79"/>
      <c r="AA135" s="275"/>
      <c r="AB135" s="617"/>
      <c r="AC135" s="275"/>
      <c r="AD135" s="140"/>
      <c r="AE135" s="140"/>
      <c r="AF135" s="140"/>
      <c r="AG135" s="140"/>
      <c r="AH135" s="140"/>
      <c r="AI135" s="140"/>
      <c r="AJ135" s="76"/>
      <c r="AK135" s="198"/>
      <c r="AL135" s="79"/>
      <c r="AM135" s="275"/>
      <c r="AN135" s="617"/>
      <c r="AO135" s="275"/>
      <c r="AP135" s="140"/>
      <c r="AQ135" s="140"/>
      <c r="AR135" s="140"/>
      <c r="AS135" s="140"/>
      <c r="AT135" s="140"/>
      <c r="AU135" s="140"/>
      <c r="AV135" s="76"/>
      <c r="AW135" s="198"/>
      <c r="AX135" s="79"/>
      <c r="AY135" s="275"/>
      <c r="AZ135" s="617"/>
      <c r="BA135" s="275"/>
      <c r="BB135" s="140"/>
      <c r="BC135" s="140"/>
      <c r="BD135" s="140"/>
      <c r="BE135" s="140"/>
      <c r="BF135" s="140"/>
      <c r="BG135" s="140"/>
      <c r="BH135" s="174"/>
    </row>
    <row r="136" spans="1:60">
      <c r="A136" s="1040"/>
      <c r="B136" s="1109" t="s">
        <v>187</v>
      </c>
      <c r="C136" s="1107" t="s">
        <v>96</v>
      </c>
      <c r="D136" s="638"/>
      <c r="E136" s="79"/>
      <c r="F136" s="79"/>
      <c r="G136" s="79"/>
      <c r="H136" s="85"/>
      <c r="I136" s="79"/>
      <c r="J136" s="82"/>
      <c r="K136" s="79"/>
      <c r="L136" s="79"/>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1"/>
    </row>
    <row r="137" spans="1:60">
      <c r="A137" s="1040"/>
      <c r="B137" s="1109" t="s">
        <v>216</v>
      </c>
      <c r="C137" s="1107" t="s">
        <v>96</v>
      </c>
      <c r="D137" s="638"/>
      <c r="E137" s="79"/>
      <c r="F137" s="79"/>
      <c r="G137" s="79"/>
      <c r="H137" s="85"/>
      <c r="I137" s="79"/>
      <c r="J137" s="82"/>
      <c r="K137" s="79"/>
      <c r="L137" s="79"/>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1"/>
    </row>
    <row r="138" spans="1:60" ht="21">
      <c r="A138" s="1040"/>
      <c r="B138" s="1109" t="s">
        <v>216</v>
      </c>
      <c r="C138" s="1106" t="s">
        <v>96</v>
      </c>
      <c r="D138" s="641" t="s">
        <v>45</v>
      </c>
      <c r="E138" s="199" t="s">
        <v>217</v>
      </c>
      <c r="F138" s="199"/>
      <c r="G138" s="199"/>
      <c r="H138" s="199"/>
      <c r="I138" s="77"/>
      <c r="J138" s="200" t="str">
        <f>J$10</f>
        <v>alle locaties</v>
      </c>
      <c r="K138" s="126"/>
      <c r="L138" s="126"/>
      <c r="M138" s="200" t="str">
        <f>M$10</f>
        <v>locatie 1</v>
      </c>
      <c r="N138" s="182"/>
      <c r="O138" s="966" t="str">
        <f>$E138&amp;" per energiepost"</f>
        <v>installatie niet-preferent toestel per energiepost</v>
      </c>
      <c r="P138" s="941"/>
      <c r="Q138" s="941"/>
      <c r="R138" s="941"/>
      <c r="S138" s="941"/>
      <c r="T138" s="941"/>
      <c r="U138" s="941"/>
      <c r="V138" s="941"/>
      <c r="W138" s="956"/>
      <c r="X138" s="174"/>
      <c r="Y138" s="200" t="str">
        <f>Y$10</f>
        <v>locatie 2</v>
      </c>
      <c r="Z138" s="182"/>
      <c r="AA138" s="966" t="str">
        <f>$E138&amp;" per energiepost"</f>
        <v>installatie niet-preferent toestel per energiepost</v>
      </c>
      <c r="AB138" s="941"/>
      <c r="AC138" s="941"/>
      <c r="AD138" s="941"/>
      <c r="AE138" s="941"/>
      <c r="AF138" s="941"/>
      <c r="AG138" s="941"/>
      <c r="AH138" s="941"/>
      <c r="AI138" s="956"/>
      <c r="AJ138" s="174"/>
      <c r="AK138" s="200" t="str">
        <f>AK$10</f>
        <v>locatie 3</v>
      </c>
      <c r="AL138" s="182"/>
      <c r="AM138" s="966" t="str">
        <f>$E138&amp;" per energiepost"</f>
        <v>installatie niet-preferent toestel per energiepost</v>
      </c>
      <c r="AN138" s="941"/>
      <c r="AO138" s="941"/>
      <c r="AP138" s="941"/>
      <c r="AQ138" s="941"/>
      <c r="AR138" s="941"/>
      <c r="AS138" s="941"/>
      <c r="AT138" s="941"/>
      <c r="AU138" s="956"/>
      <c r="AV138" s="174"/>
      <c r="AW138" s="200" t="str">
        <f>AW$10</f>
        <v>locatie 4</v>
      </c>
      <c r="AX138" s="182"/>
      <c r="AY138" s="966" t="str">
        <f>$E138&amp;" per energiepost"</f>
        <v>installatie niet-preferent toestel per energiepost</v>
      </c>
      <c r="AZ138" s="941"/>
      <c r="BA138" s="941"/>
      <c r="BB138" s="941"/>
      <c r="BC138" s="941"/>
      <c r="BD138" s="941"/>
      <c r="BE138" s="941"/>
      <c r="BF138" s="941"/>
      <c r="BG138" s="956"/>
      <c r="BH138" s="1"/>
    </row>
    <row r="139" spans="1:60">
      <c r="A139" s="1040"/>
      <c r="B139" s="1109" t="s">
        <v>216</v>
      </c>
      <c r="C139" s="1106" t="s">
        <v>96</v>
      </c>
      <c r="D139" s="638"/>
      <c r="E139" s="940" t="s">
        <v>192</v>
      </c>
      <c r="F139" s="940"/>
      <c r="G139" s="940"/>
      <c r="H139" s="940"/>
      <c r="I139" s="77"/>
      <c r="J139" s="939"/>
      <c r="K139" s="126"/>
      <c r="L139" s="126"/>
      <c r="M139" s="938"/>
      <c r="N139" s="191"/>
      <c r="O139" s="177" t="str">
        <f>O$10</f>
        <v>verwarming</v>
      </c>
      <c r="P139" s="177" t="str">
        <f>P$10</f>
        <v>koeling</v>
      </c>
      <c r="Q139" s="177" t="str">
        <f>Q$10</f>
        <v>tapwater</v>
      </c>
      <c r="R139" s="177"/>
      <c r="S139" s="177"/>
      <c r="T139" s="177"/>
      <c r="U139" s="177"/>
      <c r="V139" s="177"/>
      <c r="W139" s="177"/>
      <c r="X139" s="191"/>
      <c r="Y139" s="938"/>
      <c r="Z139" s="191"/>
      <c r="AA139" s="177" t="str">
        <f>AA$10</f>
        <v>verwarming</v>
      </c>
      <c r="AB139" s="177" t="str">
        <f>AB$10</f>
        <v>koeling</v>
      </c>
      <c r="AC139" s="177" t="str">
        <f>AC$10</f>
        <v>tapwater</v>
      </c>
      <c r="AD139" s="177"/>
      <c r="AE139" s="177"/>
      <c r="AF139" s="177"/>
      <c r="AG139" s="177"/>
      <c r="AH139" s="177"/>
      <c r="AI139" s="177"/>
      <c r="AJ139" s="191"/>
      <c r="AK139" s="938"/>
      <c r="AL139" s="191"/>
      <c r="AM139" s="177" t="str">
        <f>AM$10</f>
        <v>verwarming</v>
      </c>
      <c r="AN139" s="177" t="str">
        <f>AN$10</f>
        <v>koeling</v>
      </c>
      <c r="AO139" s="177" t="str">
        <f>AO$10</f>
        <v>tapwater</v>
      </c>
      <c r="AP139" s="177"/>
      <c r="AQ139" s="177"/>
      <c r="AR139" s="177"/>
      <c r="AS139" s="177"/>
      <c r="AT139" s="177"/>
      <c r="AU139" s="177"/>
      <c r="AV139" s="191"/>
      <c r="AW139" s="938"/>
      <c r="AX139" s="191"/>
      <c r="AY139" s="177" t="str">
        <f>AY$10</f>
        <v>verwarming</v>
      </c>
      <c r="AZ139" s="177" t="str">
        <f>AZ$10</f>
        <v>koeling</v>
      </c>
      <c r="BA139" s="177" t="str">
        <f>BA$10</f>
        <v>tapwater</v>
      </c>
      <c r="BB139" s="177"/>
      <c r="BC139" s="177"/>
      <c r="BD139" s="177"/>
      <c r="BE139" s="177"/>
      <c r="BF139" s="177"/>
      <c r="BG139" s="177"/>
      <c r="BH139" s="36"/>
    </row>
    <row r="140" spans="1:60" ht="25.5">
      <c r="A140" s="1040"/>
      <c r="B140" s="1109" t="s">
        <v>216</v>
      </c>
      <c r="C140" s="1107" t="s">
        <v>118</v>
      </c>
      <c r="D140" s="638"/>
      <c r="E140" s="264" t="s">
        <v>218</v>
      </c>
      <c r="F140" s="264"/>
      <c r="G140" s="264"/>
      <c r="H140" s="265" t="s">
        <v>65</v>
      </c>
      <c r="I140" s="103"/>
      <c r="J140" s="268"/>
      <c r="K140" s="103"/>
      <c r="L140" s="103"/>
      <c r="M140" s="268" t="str">
        <f>IF(OR(M$11=0,O143=0),"-","RV: "&amp;O140)</f>
        <v>-</v>
      </c>
      <c r="N140" s="120"/>
      <c r="O140" s="283" t="str">
        <f>IF(O$108=1,geen,HLOOKUP(IF(O$83="",referentie_verwarming,O$83),toestellen_RV,ROWS(bibliotheek!$E$83:$E$104),FALSE))</f>
        <v>elektrisch element</v>
      </c>
      <c r="P140" s="283" t="str">
        <f>IF(OR(P$104=geen,P$108=1),geen,HLOOKUP(IF(P$83="",referentie_koeling,P$83),toestellen_KOEL,ROWS(bibliotheek!$E$190:$E$203),FALSE))</f>
        <v>geen</v>
      </c>
      <c r="Q140" s="283" t="str">
        <f>IF(Q108=1,geen,HLOOKUP(IF(Q$83="",referentie_warmtapwater,Q$83),toestellen_TAP,ROWS(bibliotheek!$E$139:$E$160),FALSE))</f>
        <v>elektrisch element</v>
      </c>
      <c r="R140" s="269"/>
      <c r="S140" s="269"/>
      <c r="T140" s="269"/>
      <c r="U140" s="269"/>
      <c r="V140" s="269"/>
      <c r="W140" s="269"/>
      <c r="X140" s="115"/>
      <c r="Y140" s="268" t="str">
        <f>IF(OR(Y$11=0,AA143=0),"-","RV: "&amp;AA140)</f>
        <v>-</v>
      </c>
      <c r="Z140" s="120"/>
      <c r="AA140" s="283" t="str">
        <f>IF(AA$108=1,geen,HLOOKUP(IF(AA$83="",referentie_verwarming,AA$83),toestellen_RV,ROWS(bibliotheek!$E$83:$E$104),FALSE))</f>
        <v>elektrisch element</v>
      </c>
      <c r="AB140" s="283" t="str">
        <f>IF(OR(AB$104=geen,AB$108=1),geen,HLOOKUP(IF(AB$83="",referentie_koeling,AB$83),toestellen_KOEL,ROWS(bibliotheek!$E$190:$E$203),FALSE))</f>
        <v>geen</v>
      </c>
      <c r="AC140" s="283" t="str">
        <f>IF(AC108=1,geen,HLOOKUP(IF(AC$83="",referentie_warmtapwater,AC$83),toestellen_TAP,ROWS(bibliotheek!$E$139:$E$160),FALSE))</f>
        <v>elektrisch element</v>
      </c>
      <c r="AD140" s="269"/>
      <c r="AE140" s="269"/>
      <c r="AF140" s="269"/>
      <c r="AG140" s="269"/>
      <c r="AH140" s="269"/>
      <c r="AI140" s="269"/>
      <c r="AJ140" s="115"/>
      <c r="AK140" s="268" t="str">
        <f>IF(OR(AK$11=0,AM143=0),"-","RV: "&amp;AM140)</f>
        <v>-</v>
      </c>
      <c r="AL140" s="120"/>
      <c r="AM140" s="283" t="str">
        <f>IF(AM$108=1,geen,HLOOKUP(IF(AM$83="",referentie_verwarming,AM$83),toestellen_RV,ROWS(bibliotheek!$E$83:$E$104),FALSE))</f>
        <v>elektrisch element</v>
      </c>
      <c r="AN140" s="283" t="str">
        <f>IF(OR(AN$104=geen,AN$108=1),geen,HLOOKUP(IF(AN$83="",referentie_koeling,AN$83),toestellen_KOEL,ROWS(bibliotheek!$E$190:$E$203),FALSE))</f>
        <v>geen</v>
      </c>
      <c r="AO140" s="283" t="str">
        <f>IF(AO108=1,geen,HLOOKUP(IF(AO$83="",referentie_warmtapwater,AO$83),toestellen_TAP,ROWS(bibliotheek!$E$139:$E$160),FALSE))</f>
        <v>elektrisch element</v>
      </c>
      <c r="AP140" s="269"/>
      <c r="AQ140" s="269"/>
      <c r="AR140" s="269"/>
      <c r="AS140" s="269"/>
      <c r="AT140" s="269"/>
      <c r="AU140" s="269"/>
      <c r="AV140" s="115"/>
      <c r="AW140" s="268" t="str">
        <f>IF(OR(AW$11=0,AY143=0),"-","RV: "&amp;AY140)</f>
        <v>-</v>
      </c>
      <c r="AX140" s="120"/>
      <c r="AY140" s="283" t="str">
        <f>IF(AY$108=1,geen,HLOOKUP(IF(AY$83="",referentie_verwarming,AY$83),toestellen_RV,ROWS(bibliotheek!$E$83:$E$104),FALSE))</f>
        <v>elektrisch element</v>
      </c>
      <c r="AZ140" s="283" t="str">
        <f>IF(OR(AZ$104=geen,AZ$108=1),geen,HLOOKUP(IF(AZ$83="",referentie_koeling,AZ$83),toestellen_KOEL,ROWS(bibliotheek!$E$190:$E$203),FALSE))</f>
        <v>geen</v>
      </c>
      <c r="BA140" s="283" t="str">
        <f>IF(BA108=1,geen,HLOOKUP(IF(BA$83="",referentie_warmtapwater,BA$83),toestellen_TAP,ROWS(bibliotheek!$E$139:$E$160),FALSE))</f>
        <v>elektrisch element</v>
      </c>
      <c r="BB140" s="269"/>
      <c r="BC140" s="269"/>
      <c r="BD140" s="269"/>
      <c r="BE140" s="269"/>
      <c r="BF140" s="269"/>
      <c r="BG140" s="269"/>
      <c r="BH140" s="221"/>
    </row>
    <row r="141" spans="1:60" hidden="1">
      <c r="A141" s="1040"/>
      <c r="B141" s="1109" t="s">
        <v>216</v>
      </c>
      <c r="C141" s="1107" t="s">
        <v>181</v>
      </c>
      <c r="D141" s="638"/>
      <c r="E141" s="180" t="s">
        <v>190</v>
      </c>
      <c r="F141" s="180"/>
      <c r="G141" s="180"/>
      <c r="H141" s="181" t="s">
        <v>65</v>
      </c>
      <c r="I141" s="79"/>
      <c r="J141" s="190"/>
      <c r="K141" s="79"/>
      <c r="L141" s="79"/>
      <c r="M141" s="190"/>
      <c r="N141" s="114"/>
      <c r="O141" s="284" t="str">
        <f>IF(O140=geen,nvt,HLOOKUP(IF(O$83="",referentie_verwarming,O$83),toestellen_RV,ROWS(bibliotheek!$E$83:$E$105),FALSE))</f>
        <v>elektriciteit</v>
      </c>
      <c r="P141" s="169" t="str">
        <f>IF(P140=geen,nvt,HLOOKUP(IF(P$83="",referentie_koeling,P$83),toestellen_KOEL,ROWS(bibliotheek!$E$190:$E$204),FALSE))</f>
        <v>nvt</v>
      </c>
      <c r="Q141" s="227" t="str">
        <f>IF(Q140=geen,nvt,HLOOKUP(IF(Q$83="",referentie_warmtapwater,Q$83),toestellen_TAP,ROWS(bibliotheek!$E$139:$E$161),FALSE))</f>
        <v>elektriciteit</v>
      </c>
      <c r="R141" s="270"/>
      <c r="S141" s="270"/>
      <c r="T141" s="270"/>
      <c r="U141" s="270"/>
      <c r="V141" s="270"/>
      <c r="W141" s="270"/>
      <c r="X141" s="108"/>
      <c r="Y141" s="190"/>
      <c r="Z141" s="114"/>
      <c r="AA141" s="284" t="str">
        <f>IF(AA140=geen,nvt,HLOOKUP(IF(AA$83="",referentie_verwarming,AA$83),toestellen_RV,ROWS(bibliotheek!$E$83:$E$105),FALSE))</f>
        <v>elektriciteit</v>
      </c>
      <c r="AB141" s="169" t="str">
        <f>IF(AB140=geen,nvt,HLOOKUP(IF(AB$83="",referentie_koeling,AB$83),toestellen_KOEL,ROWS(bibliotheek!$E$190:$E$204),FALSE))</f>
        <v>nvt</v>
      </c>
      <c r="AC141" s="227" t="str">
        <f>IF(AC140=geen,nvt,HLOOKUP(IF(AC$83="",referentie_warmtapwater,AC$83),toestellen_TAP,ROWS(bibliotheek!$E$139:$E$161),FALSE))</f>
        <v>elektriciteit</v>
      </c>
      <c r="AD141" s="270"/>
      <c r="AE141" s="270"/>
      <c r="AF141" s="270"/>
      <c r="AG141" s="270"/>
      <c r="AH141" s="270"/>
      <c r="AI141" s="270"/>
      <c r="AJ141" s="108"/>
      <c r="AK141" s="190"/>
      <c r="AL141" s="114"/>
      <c r="AM141" s="284" t="str">
        <f>IF(AM140=geen,nvt,HLOOKUP(IF(AM$83="",referentie_verwarming,AM$83),toestellen_RV,ROWS(bibliotheek!$E$83:$E$105),FALSE))</f>
        <v>elektriciteit</v>
      </c>
      <c r="AN141" s="169" t="str">
        <f>IF(AN140=geen,nvt,HLOOKUP(IF(AN$83="",referentie_koeling,AN$83),toestellen_KOEL,ROWS(bibliotheek!$E$190:$E$204),FALSE))</f>
        <v>nvt</v>
      </c>
      <c r="AO141" s="227" t="str">
        <f>IF(AO140=geen,nvt,HLOOKUP(IF(AO$83="",referentie_warmtapwater,AO$83),toestellen_TAP,ROWS(bibliotheek!$E$139:$E$161),FALSE))</f>
        <v>elektriciteit</v>
      </c>
      <c r="AP141" s="270"/>
      <c r="AQ141" s="270"/>
      <c r="AR141" s="270"/>
      <c r="AS141" s="270"/>
      <c r="AT141" s="270"/>
      <c r="AU141" s="270"/>
      <c r="AV141" s="108"/>
      <c r="AW141" s="190"/>
      <c r="AX141" s="114"/>
      <c r="AY141" s="284" t="str">
        <f>IF(AY140=geen,nvt,HLOOKUP(IF(AY$83="",referentie_verwarming,AY$83),toestellen_RV,ROWS(bibliotheek!$E$83:$E$105),FALSE))</f>
        <v>elektriciteit</v>
      </c>
      <c r="AZ141" s="169" t="str">
        <f>IF(AZ140=geen,nvt,HLOOKUP(IF(AZ$83="",referentie_koeling,AZ$83),toestellen_KOEL,ROWS(bibliotheek!$E$190:$E$204),FALSE))</f>
        <v>nvt</v>
      </c>
      <c r="BA141" s="227" t="str">
        <f>IF(BA140=geen,nvt,HLOOKUP(IF(BA$83="",referentie_warmtapwater,BA$83),toestellen_TAP,ROWS(bibliotheek!$E$139:$E$161),FALSE))</f>
        <v>elektriciteit</v>
      </c>
      <c r="BB141" s="270"/>
      <c r="BC141" s="270"/>
      <c r="BD141" s="270"/>
      <c r="BE141" s="270"/>
      <c r="BF141" s="270"/>
      <c r="BG141" s="270"/>
      <c r="BH141" s="174"/>
    </row>
    <row r="142" spans="1:60" hidden="1">
      <c r="A142" s="1040"/>
      <c r="B142" s="1109" t="s">
        <v>216</v>
      </c>
      <c r="C142" s="1106" t="s">
        <v>181</v>
      </c>
      <c r="D142" s="638"/>
      <c r="E142" s="181" t="s">
        <v>191</v>
      </c>
      <c r="F142" s="180"/>
      <c r="G142" s="180"/>
      <c r="H142" s="181" t="s">
        <v>65</v>
      </c>
      <c r="I142" s="129"/>
      <c r="J142" s="190"/>
      <c r="K142" s="1058"/>
      <c r="L142" s="1058"/>
      <c r="M142" s="190"/>
      <c r="N142" s="114"/>
      <c r="O142" s="284" t="str">
        <f>INDEX(energiedragers_index_fPren,MATCH(O141,energiedragers_namen,0))</f>
        <v>nren</v>
      </c>
      <c r="P142" s="169" t="str">
        <f>INDEX(energiedragers_index_fPren,MATCH(P141,energiedragers_namen,0))</f>
        <v>nren</v>
      </c>
      <c r="Q142" s="227" t="str">
        <f>INDEX(energiedragers_index_fPren,MATCH(Q141,energiedragers_namen,0))</f>
        <v>nren</v>
      </c>
      <c r="R142" s="271"/>
      <c r="S142" s="271"/>
      <c r="T142" s="271"/>
      <c r="U142" s="271"/>
      <c r="V142" s="271"/>
      <c r="W142" s="271"/>
      <c r="X142" s="741"/>
      <c r="Y142" s="190"/>
      <c r="Z142" s="114"/>
      <c r="AA142" s="284" t="str">
        <f>INDEX(energiedragers_index_fPren,MATCH(AA141,energiedragers_namen,0))</f>
        <v>nren</v>
      </c>
      <c r="AB142" s="169" t="str">
        <f>INDEX(energiedragers_index_fPren,MATCH(AB141,energiedragers_namen,0))</f>
        <v>nren</v>
      </c>
      <c r="AC142" s="227" t="str">
        <f>INDEX(energiedragers_index_fPren,MATCH(AC141,energiedragers_namen,0))</f>
        <v>nren</v>
      </c>
      <c r="AD142" s="271"/>
      <c r="AE142" s="271"/>
      <c r="AF142" s="271"/>
      <c r="AG142" s="271"/>
      <c r="AH142" s="271"/>
      <c r="AI142" s="271"/>
      <c r="AJ142" s="741"/>
      <c r="AK142" s="190"/>
      <c r="AL142" s="114"/>
      <c r="AM142" s="284" t="str">
        <f>INDEX(energiedragers_index_fPren,MATCH(AM141,energiedragers_namen,0))</f>
        <v>nren</v>
      </c>
      <c r="AN142" s="169" t="str">
        <f>INDEX(energiedragers_index_fPren,MATCH(AN141,energiedragers_namen,0))</f>
        <v>nren</v>
      </c>
      <c r="AO142" s="227" t="str">
        <f>INDEX(energiedragers_index_fPren,MATCH(AO141,energiedragers_namen,0))</f>
        <v>nren</v>
      </c>
      <c r="AP142" s="271"/>
      <c r="AQ142" s="271"/>
      <c r="AR142" s="271"/>
      <c r="AS142" s="271"/>
      <c r="AT142" s="271"/>
      <c r="AU142" s="271"/>
      <c r="AV142" s="741"/>
      <c r="AW142" s="190"/>
      <c r="AX142" s="114"/>
      <c r="AY142" s="284" t="str">
        <f>INDEX(energiedragers_index_fPren,MATCH(AY141,energiedragers_namen,0))</f>
        <v>nren</v>
      </c>
      <c r="AZ142" s="169" t="str">
        <f>INDEX(energiedragers_index_fPren,MATCH(AZ141,energiedragers_namen,0))</f>
        <v>nren</v>
      </c>
      <c r="BA142" s="227" t="str">
        <f>INDEX(energiedragers_index_fPren,MATCH(BA141,energiedragers_namen,0))</f>
        <v>nren</v>
      </c>
      <c r="BB142" s="271"/>
      <c r="BC142" s="271"/>
      <c r="BD142" s="271"/>
      <c r="BE142" s="271"/>
      <c r="BF142" s="271"/>
      <c r="BG142" s="271"/>
      <c r="BH142" s="219"/>
    </row>
    <row r="143" spans="1:60" hidden="1">
      <c r="A143" s="1040"/>
      <c r="B143" s="1109" t="s">
        <v>216</v>
      </c>
      <c r="C143" s="1107" t="s">
        <v>181</v>
      </c>
      <c r="D143" s="638"/>
      <c r="E143" s="180" t="s">
        <v>193</v>
      </c>
      <c r="F143" s="180"/>
      <c r="G143" s="180"/>
      <c r="H143" s="181" t="s">
        <v>65</v>
      </c>
      <c r="I143" s="79"/>
      <c r="J143" s="190"/>
      <c r="K143" s="103"/>
      <c r="L143" s="103"/>
      <c r="M143" s="190"/>
      <c r="N143" s="114"/>
      <c r="O143" s="285">
        <f>1-O108</f>
        <v>9.9999999999999978E-2</v>
      </c>
      <c r="P143" s="285">
        <f>1-P108</f>
        <v>0</v>
      </c>
      <c r="Q143" s="285">
        <f>1-Q108</f>
        <v>9.9999999999999978E-2</v>
      </c>
      <c r="R143" s="272"/>
      <c r="S143" s="272"/>
      <c r="T143" s="272"/>
      <c r="U143" s="272"/>
      <c r="V143" s="272"/>
      <c r="W143" s="272"/>
      <c r="X143" s="108"/>
      <c r="Y143" s="190"/>
      <c r="Z143" s="114"/>
      <c r="AA143" s="285">
        <f>1-AA108</f>
        <v>9.9999999999999978E-2</v>
      </c>
      <c r="AB143" s="285">
        <f>1-AB108</f>
        <v>0</v>
      </c>
      <c r="AC143" s="285">
        <f>1-AC108</f>
        <v>9.9999999999999978E-2</v>
      </c>
      <c r="AD143" s="272"/>
      <c r="AE143" s="272"/>
      <c r="AF143" s="272"/>
      <c r="AG143" s="272"/>
      <c r="AH143" s="272"/>
      <c r="AI143" s="272"/>
      <c r="AJ143" s="108"/>
      <c r="AK143" s="190"/>
      <c r="AL143" s="114"/>
      <c r="AM143" s="285">
        <f>1-AM108</f>
        <v>9.9999999999999978E-2</v>
      </c>
      <c r="AN143" s="285">
        <f>1-AN108</f>
        <v>0</v>
      </c>
      <c r="AO143" s="285">
        <f>1-AO108</f>
        <v>9.9999999999999978E-2</v>
      </c>
      <c r="AP143" s="272"/>
      <c r="AQ143" s="272"/>
      <c r="AR143" s="272"/>
      <c r="AS143" s="272"/>
      <c r="AT143" s="272"/>
      <c r="AU143" s="272"/>
      <c r="AV143" s="108"/>
      <c r="AW143" s="190"/>
      <c r="AX143" s="114"/>
      <c r="AY143" s="285">
        <f>1-AY108</f>
        <v>9.9999999999999978E-2</v>
      </c>
      <c r="AZ143" s="285">
        <f>1-AZ108</f>
        <v>0</v>
      </c>
      <c r="BA143" s="285">
        <f>1-BA108</f>
        <v>9.9999999999999978E-2</v>
      </c>
      <c r="BB143" s="272"/>
      <c r="BC143" s="272"/>
      <c r="BD143" s="272"/>
      <c r="BE143" s="272"/>
      <c r="BF143" s="272"/>
      <c r="BG143" s="272"/>
      <c r="BH143" s="174"/>
    </row>
    <row r="144" spans="1:60" hidden="1">
      <c r="A144" s="1040"/>
      <c r="B144" s="1109" t="s">
        <v>216</v>
      </c>
      <c r="C144" s="1107" t="s">
        <v>181</v>
      </c>
      <c r="D144" s="638"/>
      <c r="E144" s="180" t="s">
        <v>219</v>
      </c>
      <c r="F144" s="180"/>
      <c r="G144" s="180"/>
      <c r="H144" s="181" t="s">
        <v>160</v>
      </c>
      <c r="I144" s="79"/>
      <c r="J144" s="202">
        <f>M144+Y144+AK144+AW144</f>
        <v>0</v>
      </c>
      <c r="K144" s="243"/>
      <c r="L144" s="243"/>
      <c r="M144" s="202">
        <f>SUM(O144:X144)</f>
        <v>0</v>
      </c>
      <c r="N144" s="114"/>
      <c r="O144" s="168">
        <f>O$97*O143</f>
        <v>0</v>
      </c>
      <c r="P144" s="168">
        <f>P$97*P143</f>
        <v>0</v>
      </c>
      <c r="Q144" s="168">
        <f>Q$97*Q143</f>
        <v>0</v>
      </c>
      <c r="R144" s="273"/>
      <c r="S144" s="273"/>
      <c r="T144" s="273"/>
      <c r="U144" s="273"/>
      <c r="V144" s="273"/>
      <c r="W144" s="273"/>
      <c r="X144" s="106"/>
      <c r="Y144" s="202">
        <f>SUM(AA144:AJ144)</f>
        <v>0</v>
      </c>
      <c r="Z144" s="114"/>
      <c r="AA144" s="168">
        <f>AA$97*AA143</f>
        <v>0</v>
      </c>
      <c r="AB144" s="168">
        <f>AB$97*AB143</f>
        <v>0</v>
      </c>
      <c r="AC144" s="168">
        <f>AC$97*AC143</f>
        <v>0</v>
      </c>
      <c r="AD144" s="273"/>
      <c r="AE144" s="273"/>
      <c r="AF144" s="273"/>
      <c r="AG144" s="273"/>
      <c r="AH144" s="273"/>
      <c r="AI144" s="273"/>
      <c r="AJ144" s="106"/>
      <c r="AK144" s="202">
        <f>SUM(AM144:AV144)</f>
        <v>0</v>
      </c>
      <c r="AL144" s="114"/>
      <c r="AM144" s="168">
        <f>AM$97*AM143</f>
        <v>0</v>
      </c>
      <c r="AN144" s="168">
        <f>AN$97*AN143</f>
        <v>0</v>
      </c>
      <c r="AO144" s="168">
        <f>AO$97*AO143</f>
        <v>0</v>
      </c>
      <c r="AP144" s="273"/>
      <c r="AQ144" s="273"/>
      <c r="AR144" s="273"/>
      <c r="AS144" s="273"/>
      <c r="AT144" s="273"/>
      <c r="AU144" s="273"/>
      <c r="AV144" s="106"/>
      <c r="AW144" s="202">
        <f>SUM(AY144:BH144)</f>
        <v>0</v>
      </c>
      <c r="AX144" s="114"/>
      <c r="AY144" s="168">
        <f>AY$97*AY143</f>
        <v>0</v>
      </c>
      <c r="AZ144" s="168">
        <f>AZ$97*AZ143</f>
        <v>0</v>
      </c>
      <c r="BA144" s="168">
        <f>BA$97*BA143</f>
        <v>0</v>
      </c>
      <c r="BB144" s="273"/>
      <c r="BC144" s="273"/>
      <c r="BD144" s="273"/>
      <c r="BE144" s="273"/>
      <c r="BF144" s="273"/>
      <c r="BG144" s="273"/>
      <c r="BH144" s="210"/>
    </row>
    <row r="145" spans="1:60">
      <c r="A145" s="1040"/>
      <c r="B145" s="1109" t="s">
        <v>216</v>
      </c>
      <c r="C145" s="1106" t="s">
        <v>118</v>
      </c>
      <c r="D145" s="638"/>
      <c r="E145" s="254" t="s">
        <v>220</v>
      </c>
      <c r="F145" s="254"/>
      <c r="G145" s="254"/>
      <c r="H145" s="291" t="s">
        <v>65</v>
      </c>
      <c r="I145" s="79"/>
      <c r="J145" s="189"/>
      <c r="K145" s="79"/>
      <c r="L145" s="79"/>
      <c r="M145" s="189"/>
      <c r="N145" s="116"/>
      <c r="O145" s="349">
        <f>IF(O146&lt;&gt;"",O146,HLOOKUP(IF(O$83="",referentie_verwarming,O$83),toestellen_RV,ROWS(bibliotheek!$E$83:$E$107),FALSE))</f>
        <v>1</v>
      </c>
      <c r="P145" s="349">
        <f>IF(P146&lt;&gt;"",P146,HLOOKUP(IF(P$83="",referentie_koeling,P$83),toestellen_KOEL,ROWS(bibliotheek!$E$190:$E$206),FALSE))</f>
        <v>0</v>
      </c>
      <c r="Q145" s="349">
        <f>IF(Q146&lt;&gt;"",Q146,HLOOKUP(IF(Q$83="",referentie_warmtapwater,Q$83),toestellen_TAP,ROWS(bibliotheek!$E$139:$E$163),FALSE))</f>
        <v>1</v>
      </c>
      <c r="R145" s="350"/>
      <c r="S145" s="350"/>
      <c r="T145" s="350"/>
      <c r="U145" s="350"/>
      <c r="V145" s="350"/>
      <c r="W145" s="350"/>
      <c r="X145" s="351"/>
      <c r="Y145" s="352"/>
      <c r="Z145" s="114"/>
      <c r="AA145" s="349">
        <f>IF(AA146&lt;&gt;"",AA146,HLOOKUP(IF(AA$83="",referentie_verwarming,AA$83),toestellen_RV,ROWS(bibliotheek!$E$83:$E$107),FALSE))</f>
        <v>1</v>
      </c>
      <c r="AB145" s="349">
        <f>IF(AB146&lt;&gt;"",AB146,HLOOKUP(IF(AB$83="",referentie_koeling,AB$83),toestellen_KOEL,ROWS(bibliotheek!$E$190:$E$206),FALSE))</f>
        <v>0</v>
      </c>
      <c r="AC145" s="349">
        <f>IF(AC146&lt;&gt;"",AC146,HLOOKUP(IF(AC$83="",referentie_warmtapwater,AC$83),toestellen_TAP,ROWS(bibliotheek!$E$139:$E$163),FALSE))</f>
        <v>1</v>
      </c>
      <c r="AD145" s="350"/>
      <c r="AE145" s="350"/>
      <c r="AF145" s="350"/>
      <c r="AG145" s="350"/>
      <c r="AH145" s="350"/>
      <c r="AI145" s="350"/>
      <c r="AJ145" s="351"/>
      <c r="AK145" s="352"/>
      <c r="AL145" s="114"/>
      <c r="AM145" s="349">
        <f>IF(AM146&lt;&gt;"",AM146,HLOOKUP(IF(AM$83="",referentie_verwarming,AM$83),toestellen_RV,ROWS(bibliotheek!$E$83:$E$107),FALSE))</f>
        <v>1</v>
      </c>
      <c r="AN145" s="349">
        <f>IF(AN146&lt;&gt;"",AN146,HLOOKUP(IF(AN$83="",referentie_koeling,AN$83),toestellen_KOEL,ROWS(bibliotheek!$E$190:$E$206),FALSE))</f>
        <v>0</v>
      </c>
      <c r="AO145" s="349">
        <f>IF(AO146&lt;&gt;"",AO146,HLOOKUP(IF(AO$83="",referentie_warmtapwater,AO$83),toestellen_TAP,ROWS(bibliotheek!$E$139:$E$163),FALSE))</f>
        <v>1</v>
      </c>
      <c r="AP145" s="350"/>
      <c r="AQ145" s="350"/>
      <c r="AR145" s="350"/>
      <c r="AS145" s="350"/>
      <c r="AT145" s="350"/>
      <c r="AU145" s="350"/>
      <c r="AV145" s="351"/>
      <c r="AW145" s="352"/>
      <c r="AX145" s="114"/>
      <c r="AY145" s="349">
        <f>IF(AY146&lt;&gt;"",AY146,HLOOKUP(IF(AY$83="",referentie_verwarming,AY$83),toestellen_RV,ROWS(bibliotheek!$E$83:$E$107),FALSE))</f>
        <v>1</v>
      </c>
      <c r="AZ145" s="349">
        <f>IF(AZ146&lt;&gt;"",AZ146,HLOOKUP(IF(AZ$83="",referentie_koeling,AZ$83),toestellen_KOEL,ROWS(bibliotheek!$E$190:$E$206),FALSE))</f>
        <v>0</v>
      </c>
      <c r="BA145" s="349">
        <f>IF(BA146&lt;&gt;"",BA146,HLOOKUP(IF(BA$83="",referentie_warmtapwater,BA$83),toestellen_TAP,ROWS(bibliotheek!$E$139:$E$163),FALSE))</f>
        <v>1</v>
      </c>
      <c r="BB145" s="300"/>
      <c r="BC145" s="300"/>
      <c r="BD145" s="300"/>
      <c r="BE145" s="300"/>
      <c r="BF145" s="300"/>
      <c r="BG145" s="300"/>
      <c r="BH145" s="174"/>
    </row>
    <row r="146" spans="1:60">
      <c r="A146" s="1040"/>
      <c r="B146" s="1109" t="s">
        <v>216</v>
      </c>
      <c r="C146" s="1106" t="s">
        <v>118</v>
      </c>
      <c r="D146" s="638"/>
      <c r="E146" s="1218" t="s">
        <v>197</v>
      </c>
      <c r="F146" s="255"/>
      <c r="G146" s="255"/>
      <c r="H146" s="292"/>
      <c r="I146" s="79"/>
      <c r="J146" s="299"/>
      <c r="K146" s="79"/>
      <c r="L146" s="79"/>
      <c r="M146" s="198"/>
      <c r="N146" s="161"/>
      <c r="O146" s="628"/>
      <c r="P146" s="629"/>
      <c r="Q146" s="628"/>
      <c r="R146" s="630"/>
      <c r="S146" s="630"/>
      <c r="T146" s="630"/>
      <c r="U146" s="630"/>
      <c r="V146" s="630"/>
      <c r="W146" s="630"/>
      <c r="X146" s="348"/>
      <c r="Y146" s="631"/>
      <c r="Z146" s="114"/>
      <c r="AA146" s="628"/>
      <c r="AB146" s="629"/>
      <c r="AC146" s="628"/>
      <c r="AD146" s="630"/>
      <c r="AE146" s="630"/>
      <c r="AF146" s="630"/>
      <c r="AG146" s="630"/>
      <c r="AH146" s="630"/>
      <c r="AI146" s="630"/>
      <c r="AJ146" s="348"/>
      <c r="AK146" s="631"/>
      <c r="AL146" s="114"/>
      <c r="AM146" s="628"/>
      <c r="AN146" s="629"/>
      <c r="AO146" s="628"/>
      <c r="AP146" s="630"/>
      <c r="AQ146" s="630"/>
      <c r="AR146" s="630"/>
      <c r="AS146" s="630"/>
      <c r="AT146" s="630"/>
      <c r="AU146" s="630"/>
      <c r="AV146" s="348"/>
      <c r="AW146" s="631"/>
      <c r="AX146" s="114"/>
      <c r="AY146" s="628"/>
      <c r="AZ146" s="629"/>
      <c r="BA146" s="628"/>
      <c r="BB146" s="301"/>
      <c r="BC146" s="301"/>
      <c r="BD146" s="301"/>
      <c r="BE146" s="301"/>
      <c r="BF146" s="301"/>
      <c r="BG146" s="301"/>
      <c r="BH146" s="174"/>
    </row>
    <row r="147" spans="1:60" hidden="1">
      <c r="A147" s="1040"/>
      <c r="B147" s="1109" t="s">
        <v>216</v>
      </c>
      <c r="C147" s="1106" t="s">
        <v>181</v>
      </c>
      <c r="D147" s="638"/>
      <c r="E147" s="180" t="s">
        <v>221</v>
      </c>
      <c r="F147" s="180"/>
      <c r="G147" s="180"/>
      <c r="H147" s="181" t="s">
        <v>202</v>
      </c>
      <c r="I147" s="79"/>
      <c r="J147" s="202">
        <f>M147+Y147+AK147+AW147</f>
        <v>0</v>
      </c>
      <c r="K147" s="243"/>
      <c r="L147" s="243"/>
      <c r="M147" s="202">
        <f>SUM(O147:X147)</f>
        <v>0</v>
      </c>
      <c r="N147" s="114"/>
      <c r="O147" s="168">
        <f>IF(O$145=0,0,O$144/O$145)</f>
        <v>0</v>
      </c>
      <c r="P147" s="168">
        <f>IF(P$145=0,0,P$144/P$145)</f>
        <v>0</v>
      </c>
      <c r="Q147" s="168">
        <f>IF(Q$145=0,0,Q$144/Q$145)</f>
        <v>0</v>
      </c>
      <c r="R147" s="273"/>
      <c r="S147" s="273"/>
      <c r="T147" s="273"/>
      <c r="U147" s="273"/>
      <c r="V147" s="273"/>
      <c r="W147" s="273"/>
      <c r="X147" s="106"/>
      <c r="Y147" s="202">
        <f>SUM(AA147:AJ147)</f>
        <v>0</v>
      </c>
      <c r="Z147" s="114"/>
      <c r="AA147" s="168">
        <f>IF(AA$145=0,0,AA$144/AA$145)</f>
        <v>0</v>
      </c>
      <c r="AB147" s="168">
        <f>IF(AB$145=0,0,AB$144/AB$145)</f>
        <v>0</v>
      </c>
      <c r="AC147" s="168">
        <f>IF(AC$145=0,0,AC$144/AC$145)</f>
        <v>0</v>
      </c>
      <c r="AD147" s="273"/>
      <c r="AE147" s="273"/>
      <c r="AF147" s="273"/>
      <c r="AG147" s="273"/>
      <c r="AH147" s="273"/>
      <c r="AI147" s="273"/>
      <c r="AJ147" s="106"/>
      <c r="AK147" s="202">
        <f>SUM(AM147:AV147)</f>
        <v>0</v>
      </c>
      <c r="AL147" s="114"/>
      <c r="AM147" s="168">
        <f>IF(AM$145=0,0,AM$144/AM$145)</f>
        <v>0</v>
      </c>
      <c r="AN147" s="168">
        <f>IF(AN$145=0,0,AN$144/AN$145)</f>
        <v>0</v>
      </c>
      <c r="AO147" s="168">
        <f>IF(AO$145=0,0,AO$144/AO$145)</f>
        <v>0</v>
      </c>
      <c r="AP147" s="273"/>
      <c r="AQ147" s="273"/>
      <c r="AR147" s="273"/>
      <c r="AS147" s="273"/>
      <c r="AT147" s="273"/>
      <c r="AU147" s="273"/>
      <c r="AV147" s="106"/>
      <c r="AW147" s="202">
        <f>SUM(AY147:BH147)</f>
        <v>0</v>
      </c>
      <c r="AX147" s="114"/>
      <c r="AY147" s="168">
        <f>IF(AY$145=0,0,AY$144/AY$145)</f>
        <v>0</v>
      </c>
      <c r="AZ147" s="168">
        <f>IF(AZ$145=0,0,AZ$144/AZ$145)</f>
        <v>0</v>
      </c>
      <c r="BA147" s="168">
        <f>IF(BA$145=0,0,BA$144/BA$145)</f>
        <v>0</v>
      </c>
      <c r="BB147" s="273"/>
      <c r="BC147" s="273"/>
      <c r="BD147" s="273"/>
      <c r="BE147" s="273"/>
      <c r="BF147" s="273"/>
      <c r="BG147" s="273"/>
      <c r="BH147" s="210"/>
    </row>
    <row r="148" spans="1:60">
      <c r="A148" s="1040"/>
      <c r="B148" s="1109" t="s">
        <v>216</v>
      </c>
      <c r="C148" s="1106" t="s">
        <v>96</v>
      </c>
      <c r="D148" s="638"/>
      <c r="E148" s="940" t="s">
        <v>1220</v>
      </c>
      <c r="F148" s="940"/>
      <c r="G148" s="940"/>
      <c r="H148" s="940"/>
      <c r="I148" s="77"/>
      <c r="J148" s="939"/>
      <c r="K148" s="126"/>
      <c r="L148" s="126"/>
      <c r="M148" s="938"/>
      <c r="N148" s="191"/>
      <c r="O148" s="177" t="str">
        <f>O$10</f>
        <v>verwarming</v>
      </c>
      <c r="P148" s="177" t="str">
        <f>P$10</f>
        <v>koeling</v>
      </c>
      <c r="Q148" s="177" t="str">
        <f>Q$10</f>
        <v>tapwater</v>
      </c>
      <c r="R148" s="938"/>
      <c r="S148" s="938"/>
      <c r="T148" s="938"/>
      <c r="U148" s="938"/>
      <c r="V148" s="938"/>
      <c r="W148" s="938"/>
      <c r="X148" s="191"/>
      <c r="Y148" s="938"/>
      <c r="Z148" s="191"/>
      <c r="AA148" s="177" t="str">
        <f>AA$10</f>
        <v>verwarming</v>
      </c>
      <c r="AB148" s="177" t="str">
        <f>AB$10</f>
        <v>koeling</v>
      </c>
      <c r="AC148" s="177" t="str">
        <f>AC$10</f>
        <v>tapwater</v>
      </c>
      <c r="AD148" s="938"/>
      <c r="AE148" s="938"/>
      <c r="AF148" s="938"/>
      <c r="AG148" s="938"/>
      <c r="AH148" s="938"/>
      <c r="AI148" s="938"/>
      <c r="AJ148" s="191"/>
      <c r="AK148" s="938"/>
      <c r="AL148" s="191"/>
      <c r="AM148" s="177" t="str">
        <f>AM$10</f>
        <v>verwarming</v>
      </c>
      <c r="AN148" s="177" t="str">
        <f>AN$10</f>
        <v>koeling</v>
      </c>
      <c r="AO148" s="177" t="str">
        <f>AO$10</f>
        <v>tapwater</v>
      </c>
      <c r="AP148" s="938"/>
      <c r="AQ148" s="938"/>
      <c r="AR148" s="938"/>
      <c r="AS148" s="938"/>
      <c r="AT148" s="938"/>
      <c r="AU148" s="938"/>
      <c r="AV148" s="191"/>
      <c r="AW148" s="938"/>
      <c r="AX148" s="191"/>
      <c r="AY148" s="177" t="str">
        <f>AY$10</f>
        <v>verwarming</v>
      </c>
      <c r="AZ148" s="177" t="str">
        <f>AZ$10</f>
        <v>koeling</v>
      </c>
      <c r="BA148" s="177" t="str">
        <f>BA$10</f>
        <v>tapwater</v>
      </c>
      <c r="BB148" s="938"/>
      <c r="BC148" s="938"/>
      <c r="BD148" s="938"/>
      <c r="BE148" s="938"/>
      <c r="BF148" s="938"/>
      <c r="BG148" s="938"/>
      <c r="BH148" s="36"/>
    </row>
    <row r="149" spans="1:60">
      <c r="A149" s="1040"/>
      <c r="B149" s="1109" t="s">
        <v>216</v>
      </c>
      <c r="C149" s="1106" t="s">
        <v>118</v>
      </c>
      <c r="D149" s="641" t="s">
        <v>45</v>
      </c>
      <c r="E149" s="1170" t="s">
        <v>1348</v>
      </c>
      <c r="F149" s="181"/>
      <c r="G149" s="254"/>
      <c r="H149" s="291" t="s">
        <v>204</v>
      </c>
      <c r="I149" s="79"/>
      <c r="J149" s="189"/>
      <c r="K149" s="79"/>
      <c r="L149" s="79"/>
      <c r="M149" s="189"/>
      <c r="N149" s="116"/>
      <c r="O149" s="290">
        <f>IF(O144=0,0,IF(O150&lt;&gt;"",O150,IF(O141=elektriciteit,$G$5,HLOOKUP(O141,ENERGIEDRAGERS,ROWS(bibliotheek!$E$259:$E$261),FALSE))))</f>
        <v>0</v>
      </c>
      <c r="P149" s="290">
        <f>IF(P144=0,0,IF(P150&lt;&gt;"",P150,IF(HLOOKUP(P141,ENERGIEDRAGERS,ROWS(bibliotheek!$E$259:$E$260),FALSE)=0,$G$5,HLOOKUP(P141,ENERGIEDRAGERS,ROWS(bibliotheek!$E$259:$E$261),FALSE))))</f>
        <v>0</v>
      </c>
      <c r="Q149" s="290">
        <f>IF(Q144=0,0,IF(Q150&lt;&gt;"",Q150,IF(Q141=elektriciteit,$G$5,HLOOKUP(Q141,ENERGIEDRAGERS,ROWS(bibliotheek!$E$259:$E$261),FALSE))))</f>
        <v>0</v>
      </c>
      <c r="R149" s="302"/>
      <c r="S149" s="302"/>
      <c r="T149" s="302"/>
      <c r="U149" s="302"/>
      <c r="V149" s="302"/>
      <c r="W149" s="302"/>
      <c r="X149" s="108"/>
      <c r="Y149" s="189"/>
      <c r="Z149" s="116"/>
      <c r="AA149" s="290">
        <f>IF(AA144=0,0,IF(AA150&lt;&gt;"",AA150,IF(AA141=elektriciteit,$G$5,HLOOKUP(AA141,ENERGIEDRAGERS,ROWS(bibliotheek!$E$259:$E$261),FALSE))))</f>
        <v>0</v>
      </c>
      <c r="AB149" s="290">
        <f>IF(AB144=0,0,IF(AB150&lt;&gt;"",AB150,IF(HLOOKUP(AB141,ENERGIEDRAGERS,ROWS(bibliotheek!$E$259:$E$260),FALSE)=0,$G$5,HLOOKUP(AB141,ENERGIEDRAGERS,ROWS(bibliotheek!$E$259:$E$261),FALSE))))</f>
        <v>0</v>
      </c>
      <c r="AC149" s="290">
        <f>IF(AC144=0,0,IF(AC150&lt;&gt;"",AC150,IF(AC141=elektriciteit,$G$5,HLOOKUP(AC141,ENERGIEDRAGERS,ROWS(bibliotheek!$E$259:$E$261),FALSE))))</f>
        <v>0</v>
      </c>
      <c r="AD149" s="302"/>
      <c r="AE149" s="302"/>
      <c r="AF149" s="302"/>
      <c r="AG149" s="302"/>
      <c r="AH149" s="302"/>
      <c r="AI149" s="302"/>
      <c r="AJ149" s="108"/>
      <c r="AK149" s="189"/>
      <c r="AL149" s="116"/>
      <c r="AM149" s="290">
        <f>IF(AM144=0,0,IF(AM150&lt;&gt;"",AM150,IF(AM141=elektriciteit,$G$5,HLOOKUP(AM141,ENERGIEDRAGERS,ROWS(bibliotheek!$E$259:$E$261),FALSE))))</f>
        <v>0</v>
      </c>
      <c r="AN149" s="290">
        <f>IF(AN144=0,0,IF(AN150&lt;&gt;"",AN150,IF(HLOOKUP(AN141,ENERGIEDRAGERS,ROWS(bibliotheek!$E$259:$E$260),FALSE)=0,$G$5,HLOOKUP(AN141,ENERGIEDRAGERS,ROWS(bibliotheek!$E$259:$E$261),FALSE))))</f>
        <v>0</v>
      </c>
      <c r="AO149" s="290">
        <f>IF(AO144=0,0,IF(AO150&lt;&gt;"",AO150,IF(AO141=elektriciteit,$G$5,HLOOKUP(AO141,ENERGIEDRAGERS,ROWS(bibliotheek!$E$259:$E$261),FALSE))))</f>
        <v>0</v>
      </c>
      <c r="AP149" s="302"/>
      <c r="AQ149" s="302"/>
      <c r="AR149" s="302"/>
      <c r="AS149" s="302"/>
      <c r="AT149" s="302"/>
      <c r="AU149" s="302"/>
      <c r="AV149" s="108"/>
      <c r="AW149" s="189"/>
      <c r="AX149" s="116"/>
      <c r="AY149" s="290">
        <f>IF(AY144=0,0,IF(AY150&lt;&gt;"",AY150,IF(AY141=elektriciteit,$G$5,HLOOKUP(AY141,ENERGIEDRAGERS,ROWS(bibliotheek!$E$259:$E$261),FALSE))))</f>
        <v>0</v>
      </c>
      <c r="AZ149" s="290">
        <f>IF(AZ144=0,0,IF(AZ150&lt;&gt;"",AZ150,IF(HLOOKUP(AZ141,ENERGIEDRAGERS,ROWS(bibliotheek!$E$259:$E$260),FALSE)=0,$G$5,HLOOKUP(AZ141,ENERGIEDRAGERS,ROWS(bibliotheek!$E$259:$E$261),FALSE))))</f>
        <v>0</v>
      </c>
      <c r="BA149" s="290">
        <f>IF(BA144=0,0,IF(BA150&lt;&gt;"",BA150,IF(BA141=elektriciteit,$G$5,HLOOKUP(BA141,ENERGIEDRAGERS,ROWS(bibliotheek!$E$259:$E$261),FALSE))))</f>
        <v>0</v>
      </c>
      <c r="BB149" s="302"/>
      <c r="BC149" s="302"/>
      <c r="BD149" s="302"/>
      <c r="BE149" s="302"/>
      <c r="BF149" s="302"/>
      <c r="BG149" s="302"/>
      <c r="BH149" s="174"/>
    </row>
    <row r="150" spans="1:60">
      <c r="A150" s="1040"/>
      <c r="B150" s="1109" t="s">
        <v>216</v>
      </c>
      <c r="C150" s="1106" t="s">
        <v>118</v>
      </c>
      <c r="D150" s="638"/>
      <c r="E150" s="1218" t="s">
        <v>205</v>
      </c>
      <c r="F150" s="255"/>
      <c r="G150" s="255"/>
      <c r="H150" s="292"/>
      <c r="I150" s="79"/>
      <c r="J150" s="299"/>
      <c r="K150" s="79"/>
      <c r="L150" s="79"/>
      <c r="M150" s="198"/>
      <c r="N150" s="161"/>
      <c r="O150" s="628"/>
      <c r="P150" s="629"/>
      <c r="Q150" s="628"/>
      <c r="R150" s="630"/>
      <c r="S150" s="630"/>
      <c r="T150" s="630"/>
      <c r="U150" s="630"/>
      <c r="V150" s="630"/>
      <c r="W150" s="630"/>
      <c r="X150" s="348"/>
      <c r="Y150" s="631"/>
      <c r="Z150" s="114"/>
      <c r="AA150" s="628"/>
      <c r="AB150" s="629"/>
      <c r="AC150" s="628"/>
      <c r="AD150" s="630"/>
      <c r="AE150" s="630"/>
      <c r="AF150" s="630"/>
      <c r="AG150" s="630"/>
      <c r="AH150" s="630"/>
      <c r="AI150" s="630"/>
      <c r="AJ150" s="348"/>
      <c r="AK150" s="631"/>
      <c r="AL150" s="114"/>
      <c r="AM150" s="628"/>
      <c r="AN150" s="629"/>
      <c r="AO150" s="628"/>
      <c r="AP150" s="630"/>
      <c r="AQ150" s="630"/>
      <c r="AR150" s="630"/>
      <c r="AS150" s="630"/>
      <c r="AT150" s="630"/>
      <c r="AU150" s="630"/>
      <c r="AV150" s="348"/>
      <c r="AW150" s="631"/>
      <c r="AX150" s="114"/>
      <c r="AY150" s="628"/>
      <c r="AZ150" s="629"/>
      <c r="BA150" s="628"/>
      <c r="BB150" s="301"/>
      <c r="BC150" s="301"/>
      <c r="BD150" s="301"/>
      <c r="BE150" s="301"/>
      <c r="BF150" s="301"/>
      <c r="BG150" s="301"/>
      <c r="BH150" s="174"/>
    </row>
    <row r="151" spans="1:60">
      <c r="A151" s="1040"/>
      <c r="B151" s="1109" t="s">
        <v>216</v>
      </c>
      <c r="C151" s="1106" t="s">
        <v>104</v>
      </c>
      <c r="D151" s="638"/>
      <c r="E151" s="1162" t="s">
        <v>232</v>
      </c>
      <c r="F151" s="181"/>
      <c r="G151" s="181"/>
      <c r="H151" s="181" t="s">
        <v>106</v>
      </c>
      <c r="I151" s="79"/>
      <c r="J151" s="202">
        <f>M151+Y151+AK151+AW151</f>
        <v>0</v>
      </c>
      <c r="K151" s="1062"/>
      <c r="L151" s="1062"/>
      <c r="M151" s="202">
        <f>SUM(O151:X151)</f>
        <v>0</v>
      </c>
      <c r="N151" s="114"/>
      <c r="O151" s="168">
        <f>O$147*O$149</f>
        <v>0</v>
      </c>
      <c r="P151" s="168">
        <f>P$147*P$149</f>
        <v>0</v>
      </c>
      <c r="Q151" s="168">
        <f>Q$147*Q$149</f>
        <v>0</v>
      </c>
      <c r="R151" s="273"/>
      <c r="S151" s="273"/>
      <c r="T151" s="273"/>
      <c r="U151" s="273"/>
      <c r="V151" s="273"/>
      <c r="W151" s="273"/>
      <c r="X151" s="113"/>
      <c r="Y151" s="202">
        <f>SUM(AA151:AJ151)</f>
        <v>0</v>
      </c>
      <c r="Z151" s="114"/>
      <c r="AA151" s="168">
        <f>AA$147*AA$149</f>
        <v>0</v>
      </c>
      <c r="AB151" s="168">
        <f>AB$147*AB$149</f>
        <v>0</v>
      </c>
      <c r="AC151" s="168">
        <f>AC$147*AC$149</f>
        <v>0</v>
      </c>
      <c r="AD151" s="273"/>
      <c r="AE151" s="273"/>
      <c r="AF151" s="273"/>
      <c r="AG151" s="273"/>
      <c r="AH151" s="273"/>
      <c r="AI151" s="273"/>
      <c r="AJ151" s="113"/>
      <c r="AK151" s="202">
        <f>SUM(AM151:AV151)</f>
        <v>0</v>
      </c>
      <c r="AL151" s="114"/>
      <c r="AM151" s="168">
        <f>AM$147*AM$149</f>
        <v>0</v>
      </c>
      <c r="AN151" s="168">
        <f>AN$147*AN$149</f>
        <v>0</v>
      </c>
      <c r="AO151" s="168">
        <f>AO$147*AO$149</f>
        <v>0</v>
      </c>
      <c r="AP151" s="273"/>
      <c r="AQ151" s="273"/>
      <c r="AR151" s="273"/>
      <c r="AS151" s="273"/>
      <c r="AT151" s="273"/>
      <c r="AU151" s="273"/>
      <c r="AV151" s="113"/>
      <c r="AW151" s="202">
        <f>SUM(AY151:BH151)</f>
        <v>0</v>
      </c>
      <c r="AX151" s="114"/>
      <c r="AY151" s="168">
        <f>AY$147*AY$149</f>
        <v>0</v>
      </c>
      <c r="AZ151" s="168">
        <f>AZ$147*AZ$149</f>
        <v>0</v>
      </c>
      <c r="BA151" s="168">
        <f>BA$147*BA$149</f>
        <v>0</v>
      </c>
      <c r="BB151" s="273"/>
      <c r="BC151" s="273"/>
      <c r="BD151" s="273"/>
      <c r="BE151" s="273"/>
      <c r="BF151" s="273"/>
      <c r="BG151" s="273"/>
      <c r="BH151" s="210"/>
    </row>
    <row r="152" spans="1:60">
      <c r="A152" s="1040"/>
      <c r="B152" s="1109" t="s">
        <v>216</v>
      </c>
      <c r="C152" s="1106" t="s">
        <v>96</v>
      </c>
      <c r="D152" s="638"/>
      <c r="E152" s="940" t="s">
        <v>1200</v>
      </c>
      <c r="F152" s="940"/>
      <c r="G152" s="940"/>
      <c r="H152" s="993"/>
      <c r="I152" s="79"/>
      <c r="J152" s="1016"/>
      <c r="K152" s="1062"/>
      <c r="L152" s="1062"/>
      <c r="M152" s="1017"/>
      <c r="N152" s="79"/>
      <c r="O152" s="1026" t="str">
        <f>O$10</f>
        <v>verwarming</v>
      </c>
      <c r="P152" s="1026" t="str">
        <f>P$10</f>
        <v>koeling</v>
      </c>
      <c r="Q152" s="1026" t="str">
        <f>Q$10</f>
        <v>tapwater</v>
      </c>
      <c r="R152" s="1025"/>
      <c r="S152" s="1025"/>
      <c r="T152" s="1025"/>
      <c r="U152" s="1025"/>
      <c r="V152" s="1025"/>
      <c r="W152" s="1025"/>
      <c r="X152" s="113"/>
      <c r="Y152" s="1031"/>
      <c r="Z152" s="79"/>
      <c r="AA152" s="1026" t="str">
        <f>AA$10</f>
        <v>verwarming</v>
      </c>
      <c r="AB152" s="1026" t="str">
        <f>AB$10</f>
        <v>koeling</v>
      </c>
      <c r="AC152" s="1026" t="str">
        <f>AC$10</f>
        <v>tapwater</v>
      </c>
      <c r="AD152" s="1025"/>
      <c r="AE152" s="1025"/>
      <c r="AF152" s="1025"/>
      <c r="AG152" s="1025"/>
      <c r="AH152" s="1025"/>
      <c r="AI152" s="1025"/>
      <c r="AJ152" s="113"/>
      <c r="AK152" s="1031"/>
      <c r="AL152" s="79"/>
      <c r="AM152" s="1026" t="str">
        <f>AM$10</f>
        <v>verwarming</v>
      </c>
      <c r="AN152" s="1026" t="str">
        <f>AN$10</f>
        <v>koeling</v>
      </c>
      <c r="AO152" s="1026" t="str">
        <f>AO$10</f>
        <v>tapwater</v>
      </c>
      <c r="AP152" s="1025"/>
      <c r="AQ152" s="1025"/>
      <c r="AR152" s="1025"/>
      <c r="AS152" s="1025"/>
      <c r="AT152" s="1025"/>
      <c r="AU152" s="1025"/>
      <c r="AV152" s="113"/>
      <c r="AW152" s="1031"/>
      <c r="AX152" s="79"/>
      <c r="AY152" s="1026" t="str">
        <f>AY$10</f>
        <v>verwarming</v>
      </c>
      <c r="AZ152" s="1026" t="str">
        <f>AZ$10</f>
        <v>koeling</v>
      </c>
      <c r="BA152" s="1026" t="str">
        <f>BA$10</f>
        <v>tapwater</v>
      </c>
      <c r="BB152" s="1025"/>
      <c r="BC152" s="1025"/>
      <c r="BD152" s="1025"/>
      <c r="BE152" s="1025"/>
      <c r="BF152" s="1025"/>
      <c r="BG152" s="1025"/>
      <c r="BH152" s="210"/>
    </row>
    <row r="153" spans="1:60">
      <c r="A153" s="1040"/>
      <c r="B153" s="1109" t="s">
        <v>216</v>
      </c>
      <c r="C153" s="1106" t="s">
        <v>118</v>
      </c>
      <c r="D153" s="638"/>
      <c r="E153" s="1170" t="s">
        <v>1349</v>
      </c>
      <c r="F153" s="181"/>
      <c r="G153" s="254"/>
      <c r="H153" s="1034" t="s">
        <v>1208</v>
      </c>
      <c r="I153" s="79"/>
      <c r="J153" s="1014"/>
      <c r="K153" s="1062"/>
      <c r="L153" s="1062"/>
      <c r="M153" s="202"/>
      <c r="N153" s="79"/>
      <c r="O153" s="228">
        <f>IF(O144=0,0,IF(O154&lt;&gt;"",O154,HLOOKUP(O141,ENERGIEDRAGERS,ROWS(bibliotheek!$E$259:$E$262),FALSE)))</f>
        <v>0</v>
      </c>
      <c r="P153" s="228">
        <f>IF(P144=0,0,IF(P154&lt;&gt;"",P154,HLOOKUP(P141,ENERGIEDRAGERS,ROWS(bibliotheek!$E$259:$E$262),FALSE)))</f>
        <v>0</v>
      </c>
      <c r="Q153" s="228">
        <f>IF(Q144=0,0,IF(Q154&lt;&gt;"",Q154,HLOOKUP(Q141,ENERGIEDRAGERS,ROWS(bibliotheek!$E$259:$E$262),FALSE)))</f>
        <v>0</v>
      </c>
      <c r="R153" s="273"/>
      <c r="S153" s="273"/>
      <c r="T153" s="273"/>
      <c r="U153" s="273"/>
      <c r="V153" s="273"/>
      <c r="W153" s="273"/>
      <c r="X153" s="113"/>
      <c r="Y153" s="202"/>
      <c r="Z153" s="114"/>
      <c r="AA153" s="228">
        <f>IF(AA144=0,0,IF(AA154&lt;&gt;"",AA154,HLOOKUP(AA141,ENERGIEDRAGERS,ROWS(bibliotheek!$E$259:$E$262),FALSE)))</f>
        <v>0</v>
      </c>
      <c r="AB153" s="228">
        <f>IF(AB144=0,0,IF(AB154&lt;&gt;"",AB154,HLOOKUP(AB141,ENERGIEDRAGERS,ROWS(bibliotheek!$E$259:$E$262),FALSE)))</f>
        <v>0</v>
      </c>
      <c r="AC153" s="228">
        <f>IF(AC144=0,0,IF(AC154&lt;&gt;"",AC154,HLOOKUP(AC141,ENERGIEDRAGERS,ROWS(bibliotheek!$E$259:$E$262),FALSE)))</f>
        <v>0</v>
      </c>
      <c r="AD153" s="273"/>
      <c r="AE153" s="273"/>
      <c r="AF153" s="273"/>
      <c r="AG153" s="273"/>
      <c r="AH153" s="273"/>
      <c r="AI153" s="273"/>
      <c r="AJ153" s="113"/>
      <c r="AK153" s="202"/>
      <c r="AL153" s="114"/>
      <c r="AM153" s="228">
        <f>IF(AM144=0,0,IF(AM154&lt;&gt;"",AM154,HLOOKUP(AM141,ENERGIEDRAGERS,ROWS(bibliotheek!$E$259:$E$262),FALSE)))</f>
        <v>0</v>
      </c>
      <c r="AN153" s="228">
        <f>IF(AN144=0,0,IF(AN154&lt;&gt;"",AN154,HLOOKUP(AN141,ENERGIEDRAGERS,ROWS(bibliotheek!$E$259:$E$262),FALSE)))</f>
        <v>0</v>
      </c>
      <c r="AO153" s="228">
        <f>IF(AO144=0,0,IF(AO154&lt;&gt;"",AO154,HLOOKUP(AO141,ENERGIEDRAGERS,ROWS(bibliotheek!$E$259:$E$262),FALSE)))</f>
        <v>0</v>
      </c>
      <c r="AP153" s="273"/>
      <c r="AQ153" s="273"/>
      <c r="AR153" s="273"/>
      <c r="AS153" s="273"/>
      <c r="AT153" s="273"/>
      <c r="AU153" s="273"/>
      <c r="AV153" s="113"/>
      <c r="AW153" s="202"/>
      <c r="AX153" s="114"/>
      <c r="AY153" s="228">
        <f>IF(AY144=0,0,IF(AY154&lt;&gt;"",AY154,HLOOKUP(AY141,ENERGIEDRAGERS,ROWS(bibliotheek!$E$259:$E$262),FALSE)))</f>
        <v>0</v>
      </c>
      <c r="AZ153" s="228">
        <f>IF(AZ144=0,0,IF(AZ154&lt;&gt;"",AZ154,HLOOKUP(AZ141,ENERGIEDRAGERS,ROWS(bibliotheek!$E$259:$E$262),FALSE)))</f>
        <v>0</v>
      </c>
      <c r="BA153" s="228">
        <f>IF(BA144=0,0,IF(BA154&lt;&gt;"",BA154,HLOOKUP(BA141,ENERGIEDRAGERS,ROWS(bibliotheek!$E$259:$E$262),FALSE)))</f>
        <v>0</v>
      </c>
      <c r="BB153" s="273"/>
      <c r="BC153" s="273"/>
      <c r="BD153" s="273"/>
      <c r="BE153" s="273"/>
      <c r="BF153" s="273"/>
      <c r="BG153" s="273"/>
      <c r="BH153" s="210"/>
    </row>
    <row r="154" spans="1:60">
      <c r="A154" s="1040"/>
      <c r="B154" s="1109" t="s">
        <v>216</v>
      </c>
      <c r="C154" s="1106" t="s">
        <v>118</v>
      </c>
      <c r="D154" s="638"/>
      <c r="E154" s="1218" t="s">
        <v>205</v>
      </c>
      <c r="F154" s="255"/>
      <c r="G154" s="255"/>
      <c r="H154" s="292"/>
      <c r="I154" s="79"/>
      <c r="J154" s="299"/>
      <c r="K154" s="79"/>
      <c r="L154" s="79"/>
      <c r="M154" s="198"/>
      <c r="N154" s="161"/>
      <c r="O154" s="1032"/>
      <c r="P154" s="1032"/>
      <c r="Q154" s="1032"/>
      <c r="R154" s="625"/>
      <c r="S154" s="625"/>
      <c r="T154" s="625"/>
      <c r="U154" s="625"/>
      <c r="V154" s="625"/>
      <c r="W154" s="625"/>
      <c r="X154" s="113"/>
      <c r="Y154" s="190"/>
      <c r="Z154" s="114"/>
      <c r="AA154" s="1032"/>
      <c r="AB154" s="1032"/>
      <c r="AC154" s="1032"/>
      <c r="AD154" s="625"/>
      <c r="AE154" s="625"/>
      <c r="AF154" s="625"/>
      <c r="AG154" s="625"/>
      <c r="AH154" s="625"/>
      <c r="AI154" s="625"/>
      <c r="AJ154" s="113"/>
      <c r="AK154" s="190"/>
      <c r="AL154" s="114"/>
      <c r="AM154" s="1032"/>
      <c r="AN154" s="1032"/>
      <c r="AO154" s="1032"/>
      <c r="AP154" s="625"/>
      <c r="AQ154" s="625"/>
      <c r="AR154" s="625"/>
      <c r="AS154" s="625"/>
      <c r="AT154" s="625"/>
      <c r="AU154" s="625"/>
      <c r="AV154" s="113"/>
      <c r="AW154" s="190"/>
      <c r="AX154" s="114"/>
      <c r="AY154" s="1032"/>
      <c r="AZ154" s="1032"/>
      <c r="BA154" s="1032"/>
      <c r="BB154" s="625"/>
      <c r="BC154" s="625"/>
      <c r="BD154" s="625"/>
      <c r="BE154" s="625"/>
      <c r="BF154" s="625"/>
      <c r="BG154" s="625"/>
      <c r="BH154" s="210"/>
    </row>
    <row r="155" spans="1:60">
      <c r="A155" s="1040"/>
      <c r="B155" s="1109" t="s">
        <v>216</v>
      </c>
      <c r="C155" s="1106" t="s">
        <v>118</v>
      </c>
      <c r="D155" s="638"/>
      <c r="E155" s="1175" t="s">
        <v>1201</v>
      </c>
      <c r="F155" s="595"/>
      <c r="G155" s="595"/>
      <c r="H155" s="1013" t="s">
        <v>65</v>
      </c>
      <c r="I155" s="79"/>
      <c r="J155" s="1014"/>
      <c r="K155" s="1062"/>
      <c r="L155" s="1062"/>
      <c r="M155" s="202"/>
      <c r="N155" s="79"/>
      <c r="O155" s="228">
        <f>IF(O144=0,0,IF(O156&lt;&gt;"",O150,HLOOKUP(O141,ENERGIEDRAGERS,ROWS(bibliotheek!$E$259:$E$263),FALSE)))</f>
        <v>0</v>
      </c>
      <c r="P155" s="228">
        <f>IF(P144=0,0,IF(P156&lt;&gt;"",P150,HLOOKUP(P141,ENERGIEDRAGERS,ROWS(bibliotheek!$E$259:$E$263),FALSE)))</f>
        <v>0</v>
      </c>
      <c r="Q155" s="228">
        <f>IF(Q144=0,0,IF(Q156&lt;&gt;"",Q150,HLOOKUP(Q141,ENERGIEDRAGERS,ROWS(bibliotheek!$E$259:$E$263),FALSE)))</f>
        <v>0</v>
      </c>
      <c r="R155" s="273"/>
      <c r="S155" s="273"/>
      <c r="T155" s="273"/>
      <c r="U155" s="273"/>
      <c r="V155" s="273"/>
      <c r="W155" s="273"/>
      <c r="X155" s="113"/>
      <c r="Y155" s="202"/>
      <c r="Z155" s="114"/>
      <c r="AA155" s="228">
        <f>IF(AA144=0,0,IF(AA156&lt;&gt;"",AA150,HLOOKUP(AA141,ENERGIEDRAGERS,ROWS(bibliotheek!$E$259:$E$263),FALSE)))</f>
        <v>0</v>
      </c>
      <c r="AB155" s="228">
        <f>IF(AB144=0,0,IF(AB156&lt;&gt;"",AB150,HLOOKUP(AB141,ENERGIEDRAGERS,ROWS(bibliotheek!$E$259:$E$263),FALSE)))</f>
        <v>0</v>
      </c>
      <c r="AC155" s="228">
        <f>IF(AC144=0,0,IF(AC156&lt;&gt;"",AC150,HLOOKUP(AC141,ENERGIEDRAGERS,ROWS(bibliotheek!$E$259:$E$263),FALSE)))</f>
        <v>0</v>
      </c>
      <c r="AD155" s="273"/>
      <c r="AE155" s="273"/>
      <c r="AF155" s="273"/>
      <c r="AG155" s="273"/>
      <c r="AH155" s="273"/>
      <c r="AI155" s="273"/>
      <c r="AJ155" s="113"/>
      <c r="AK155" s="202"/>
      <c r="AL155" s="114"/>
      <c r="AM155" s="228">
        <f>IF(AM144=0,0,IF(AM156&lt;&gt;"",AM150,HLOOKUP(AM141,ENERGIEDRAGERS,ROWS(bibliotheek!$E$259:$E$263),FALSE)))</f>
        <v>0</v>
      </c>
      <c r="AN155" s="228">
        <f>IF(AN144=0,0,IF(AN156&lt;&gt;"",AN150,HLOOKUP(AN141,ENERGIEDRAGERS,ROWS(bibliotheek!$E$259:$E$263),FALSE)))</f>
        <v>0</v>
      </c>
      <c r="AO155" s="228">
        <f>IF(AO144=0,0,IF(AO156&lt;&gt;"",AO150,HLOOKUP(AO141,ENERGIEDRAGERS,ROWS(bibliotheek!$E$259:$E$263),FALSE)))</f>
        <v>0</v>
      </c>
      <c r="AP155" s="273"/>
      <c r="AQ155" s="273"/>
      <c r="AR155" s="273"/>
      <c r="AS155" s="273"/>
      <c r="AT155" s="273"/>
      <c r="AU155" s="273"/>
      <c r="AV155" s="113"/>
      <c r="AW155" s="202"/>
      <c r="AX155" s="114"/>
      <c r="AY155" s="228">
        <f>IF(AY144=0,0,IF(AY156&lt;&gt;"",AY150,HLOOKUP(AY141,ENERGIEDRAGERS,ROWS(bibliotheek!$E$259:$E$263),FALSE)))</f>
        <v>0</v>
      </c>
      <c r="AZ155" s="228">
        <f>IF(AZ144=0,0,IF(AZ156&lt;&gt;"",AZ150,HLOOKUP(AZ141,ENERGIEDRAGERS,ROWS(bibliotheek!$E$259:$E$263),FALSE)))</f>
        <v>0</v>
      </c>
      <c r="BA155" s="228">
        <f>IF(BA144=0,0,IF(BA156&lt;&gt;"",BA150,HLOOKUP(BA141,ENERGIEDRAGERS,ROWS(bibliotheek!$E$259:$E$263),FALSE)))</f>
        <v>0</v>
      </c>
      <c r="BB155" s="273"/>
      <c r="BC155" s="273"/>
      <c r="BD155" s="273"/>
      <c r="BE155" s="273"/>
      <c r="BF155" s="273"/>
      <c r="BG155" s="273"/>
      <c r="BH155" s="210"/>
    </row>
    <row r="156" spans="1:60">
      <c r="A156" s="1040"/>
      <c r="B156" s="1109" t="s">
        <v>216</v>
      </c>
      <c r="C156" s="1106" t="s">
        <v>118</v>
      </c>
      <c r="D156" s="638"/>
      <c r="E156" s="1218" t="s">
        <v>205</v>
      </c>
      <c r="F156" s="255"/>
      <c r="G156" s="255"/>
      <c r="H156" s="292"/>
      <c r="I156" s="79"/>
      <c r="J156" s="299"/>
      <c r="K156" s="79"/>
      <c r="L156" s="79"/>
      <c r="M156" s="198"/>
      <c r="N156" s="161"/>
      <c r="O156" s="1032"/>
      <c r="P156" s="1033"/>
      <c r="Q156" s="1032"/>
      <c r="R156" s="625"/>
      <c r="S156" s="625"/>
      <c r="T156" s="625"/>
      <c r="U156" s="625"/>
      <c r="V156" s="625"/>
      <c r="W156" s="625"/>
      <c r="X156" s="113"/>
      <c r="Y156" s="190"/>
      <c r="Z156" s="114"/>
      <c r="AA156" s="1032"/>
      <c r="AB156" s="1033"/>
      <c r="AC156" s="1032"/>
      <c r="AD156" s="625"/>
      <c r="AE156" s="625"/>
      <c r="AF156" s="625"/>
      <c r="AG156" s="625"/>
      <c r="AH156" s="625"/>
      <c r="AI156" s="625"/>
      <c r="AJ156" s="113"/>
      <c r="AK156" s="190"/>
      <c r="AL156" s="114"/>
      <c r="AM156" s="1032"/>
      <c r="AN156" s="1033"/>
      <c r="AO156" s="1032"/>
      <c r="AP156" s="625"/>
      <c r="AQ156" s="625"/>
      <c r="AR156" s="625"/>
      <c r="AS156" s="625"/>
      <c r="AT156" s="625"/>
      <c r="AU156" s="625"/>
      <c r="AV156" s="113"/>
      <c r="AW156" s="190"/>
      <c r="AX156" s="114"/>
      <c r="AY156" s="1032"/>
      <c r="AZ156" s="1033"/>
      <c r="BA156" s="1032"/>
      <c r="BB156" s="625"/>
      <c r="BC156" s="625"/>
      <c r="BD156" s="625"/>
      <c r="BE156" s="625"/>
      <c r="BF156" s="625"/>
      <c r="BG156" s="625"/>
      <c r="BH156" s="210"/>
    </row>
    <row r="157" spans="1:60" hidden="1">
      <c r="A157" s="1040"/>
      <c r="B157" s="1109" t="s">
        <v>216</v>
      </c>
      <c r="C157" s="1106" t="s">
        <v>181</v>
      </c>
      <c r="D157" s="638"/>
      <c r="E157" s="1170" t="s">
        <v>232</v>
      </c>
      <c r="F157" s="181"/>
      <c r="G157" s="181"/>
      <c r="H157" s="181" t="s">
        <v>1206</v>
      </c>
      <c r="I157" s="79"/>
      <c r="J157" s="202">
        <f>M157+Y157+AK157+AW157</f>
        <v>0</v>
      </c>
      <c r="K157" s="1062"/>
      <c r="L157" s="1062"/>
      <c r="M157" s="202">
        <f>SUM(O157:X157)</f>
        <v>0</v>
      </c>
      <c r="N157" s="79"/>
      <c r="O157" s="168">
        <f>O$147*O$153*O155</f>
        <v>0</v>
      </c>
      <c r="P157" s="168">
        <f>P$147*P$153*P155</f>
        <v>0</v>
      </c>
      <c r="Q157" s="168">
        <f>Q$147*Q$153*Q155</f>
        <v>0</v>
      </c>
      <c r="R157" s="273"/>
      <c r="S157" s="273"/>
      <c r="T157" s="273"/>
      <c r="U157" s="273"/>
      <c r="V157" s="273"/>
      <c r="W157" s="273"/>
      <c r="X157" s="113"/>
      <c r="Y157" s="202">
        <f>SUM(AA157:AJ157)</f>
        <v>0</v>
      </c>
      <c r="Z157" s="114"/>
      <c r="AA157" s="168">
        <f>AA$147*AA$153*AA155</f>
        <v>0</v>
      </c>
      <c r="AB157" s="168">
        <f>AB$147*AB$153*AB155</f>
        <v>0</v>
      </c>
      <c r="AC157" s="168">
        <f>AC$147*AC$153*AC155</f>
        <v>0</v>
      </c>
      <c r="AD157" s="273"/>
      <c r="AE157" s="273"/>
      <c r="AF157" s="273"/>
      <c r="AG157" s="273"/>
      <c r="AH157" s="273"/>
      <c r="AI157" s="273"/>
      <c r="AJ157" s="113"/>
      <c r="AK157" s="202">
        <f>SUM(AM157:AV157)</f>
        <v>0</v>
      </c>
      <c r="AL157" s="114"/>
      <c r="AM157" s="168">
        <f>AM$147*AM$153*AM155</f>
        <v>0</v>
      </c>
      <c r="AN157" s="168">
        <f>AN$147*AN$153*AN155</f>
        <v>0</v>
      </c>
      <c r="AO157" s="168">
        <f>AO$147*AO$153*AO155</f>
        <v>0</v>
      </c>
      <c r="AP157" s="273"/>
      <c r="AQ157" s="273"/>
      <c r="AR157" s="273"/>
      <c r="AS157" s="273"/>
      <c r="AT157" s="273"/>
      <c r="AU157" s="273"/>
      <c r="AV157" s="113"/>
      <c r="AW157" s="202">
        <f>SUM(AY157:BH157)</f>
        <v>0</v>
      </c>
      <c r="AX157" s="114"/>
      <c r="AY157" s="168">
        <f>AY$147*AY$153*AY155</f>
        <v>0</v>
      </c>
      <c r="AZ157" s="168">
        <f>AZ$147*AZ$153*AZ155</f>
        <v>0</v>
      </c>
      <c r="BA157" s="168">
        <f>BA$147*BA$153*BA155</f>
        <v>0</v>
      </c>
      <c r="BB157" s="273"/>
      <c r="BC157" s="273"/>
      <c r="BD157" s="273"/>
      <c r="BE157" s="273"/>
      <c r="BF157" s="273"/>
      <c r="BG157" s="273"/>
      <c r="BH157" s="210"/>
    </row>
    <row r="158" spans="1:60">
      <c r="A158" s="1040"/>
      <c r="B158" s="1109" t="s">
        <v>216</v>
      </c>
      <c r="C158" s="1106" t="s">
        <v>96</v>
      </c>
      <c r="D158" s="638"/>
      <c r="E158" s="940" t="s">
        <v>107</v>
      </c>
      <c r="F158" s="940"/>
      <c r="G158" s="940"/>
      <c r="H158" s="940"/>
      <c r="I158" s="77"/>
      <c r="J158" s="939"/>
      <c r="K158" s="126"/>
      <c r="L158" s="126"/>
      <c r="M158" s="938"/>
      <c r="N158" s="191"/>
      <c r="O158" s="1028" t="str">
        <f>O$10</f>
        <v>verwarming</v>
      </c>
      <c r="P158" s="1028" t="str">
        <f>P$10</f>
        <v>koeling</v>
      </c>
      <c r="Q158" s="1028" t="str">
        <f>Q$10</f>
        <v>tapwater</v>
      </c>
      <c r="R158" s="1027"/>
      <c r="S158" s="1027"/>
      <c r="T158" s="1027"/>
      <c r="U158" s="1027"/>
      <c r="V158" s="1027"/>
      <c r="W158" s="1027"/>
      <c r="X158" s="191"/>
      <c r="Y158" s="1027"/>
      <c r="Z158" s="191"/>
      <c r="AA158" s="1028" t="str">
        <f>AA$10</f>
        <v>verwarming</v>
      </c>
      <c r="AB158" s="1028" t="str">
        <f>AB$10</f>
        <v>koeling</v>
      </c>
      <c r="AC158" s="1028" t="str">
        <f>AC$10</f>
        <v>tapwater</v>
      </c>
      <c r="AD158" s="1027"/>
      <c r="AE158" s="1027"/>
      <c r="AF158" s="1027"/>
      <c r="AG158" s="1027"/>
      <c r="AH158" s="1027"/>
      <c r="AI158" s="1027"/>
      <c r="AJ158" s="191"/>
      <c r="AK158" s="1027"/>
      <c r="AL158" s="191"/>
      <c r="AM158" s="1028" t="str">
        <f>AM$10</f>
        <v>verwarming</v>
      </c>
      <c r="AN158" s="1028" t="str">
        <f>AN$10</f>
        <v>koeling</v>
      </c>
      <c r="AO158" s="1028" t="str">
        <f>AO$10</f>
        <v>tapwater</v>
      </c>
      <c r="AP158" s="1027"/>
      <c r="AQ158" s="1027"/>
      <c r="AR158" s="1027"/>
      <c r="AS158" s="1027"/>
      <c r="AT158" s="1027"/>
      <c r="AU158" s="1027"/>
      <c r="AV158" s="191"/>
      <c r="AW158" s="1027"/>
      <c r="AX158" s="191"/>
      <c r="AY158" s="1028" t="str">
        <f>AY$10</f>
        <v>verwarming</v>
      </c>
      <c r="AZ158" s="1028" t="str">
        <f>AZ$10</f>
        <v>koeling</v>
      </c>
      <c r="BA158" s="1028" t="str">
        <f>BA$10</f>
        <v>tapwater</v>
      </c>
      <c r="BB158" s="1027"/>
      <c r="BC158" s="1027"/>
      <c r="BD158" s="1027"/>
      <c r="BE158" s="1027"/>
      <c r="BF158" s="1027"/>
      <c r="BG158" s="1027"/>
      <c r="BH158" s="36"/>
    </row>
    <row r="159" spans="1:60">
      <c r="A159" s="1040"/>
      <c r="B159" s="1109" t="s">
        <v>216</v>
      </c>
      <c r="C159" s="1107" t="s">
        <v>118</v>
      </c>
      <c r="D159" s="638"/>
      <c r="E159" s="254" t="s">
        <v>206</v>
      </c>
      <c r="F159" s="254"/>
      <c r="G159" s="254"/>
      <c r="H159" s="291" t="s">
        <v>207</v>
      </c>
      <c r="I159" s="79"/>
      <c r="J159" s="189"/>
      <c r="K159" s="79"/>
      <c r="L159" s="79"/>
      <c r="M159" s="189"/>
      <c r="N159" s="116"/>
      <c r="O159" s="349">
        <f>IF(O144=0,0,IF(O160&lt;&gt;"",O160,IF(O141=elektriciteit,$H$5,
HLOOKUP(O141,ENERGIEDRAGERS,ROWS(bibliotheek!$E$259:$E$264),FALSE))))</f>
        <v>0</v>
      </c>
      <c r="P159" s="349">
        <f>IF(P144=0,0,IF(P160&lt;&gt;"",P160,IF(P141=elektriciteit,$H$5,
HLOOKUP(P141,ENERGIEDRAGERS,ROWS(bibliotheek!$E$259:$E$264),FALSE))))</f>
        <v>0</v>
      </c>
      <c r="Q159" s="349">
        <f>IF(Q144=0,0,IF(Q160&lt;&gt;"",Q160,IF(Q141=elektriciteit,$H$5,
HLOOKUP(Q141,ENERGIEDRAGERS,ROWS(bibliotheek!$E$259:$E$264),FALSE))))</f>
        <v>0</v>
      </c>
      <c r="R159" s="350"/>
      <c r="S159" s="350"/>
      <c r="T159" s="350"/>
      <c r="U159" s="350"/>
      <c r="V159" s="350"/>
      <c r="W159" s="350"/>
      <c r="X159" s="351"/>
      <c r="Y159" s="189"/>
      <c r="Z159" s="353"/>
      <c r="AA159" s="349">
        <f>IF(AA144=0,0,IF(AA160&lt;&gt;"",AA160,IF(AA141=elektriciteit,$H$5,
HLOOKUP(AA141,ENERGIEDRAGERS,ROWS(bibliotheek!$E$259:$E$264),FALSE))))</f>
        <v>0</v>
      </c>
      <c r="AB159" s="349">
        <f>IF(AB144=0,0,IF(AB160&lt;&gt;"",AB160,IF(AB141=elektriciteit,$H$5,
HLOOKUP(AB141,ENERGIEDRAGERS,ROWS(bibliotheek!$E$259:$E$264),FALSE))))</f>
        <v>0</v>
      </c>
      <c r="AC159" s="349">
        <f>IF(AC144=0,0,IF(AC160&lt;&gt;"",AC160,IF(AC141=elektriciteit,$H$5,
HLOOKUP(AC141,ENERGIEDRAGERS,ROWS(bibliotheek!$E$259:$E$264),FALSE))))</f>
        <v>0</v>
      </c>
      <c r="AD159" s="350"/>
      <c r="AE159" s="350"/>
      <c r="AF159" s="350"/>
      <c r="AG159" s="350"/>
      <c r="AH159" s="350"/>
      <c r="AI159" s="350"/>
      <c r="AJ159" s="351"/>
      <c r="AK159" s="189"/>
      <c r="AL159" s="353"/>
      <c r="AM159" s="349">
        <f>IF(AM144=0,0,IF(AM160&lt;&gt;"",AM160,IF(AM141=elektriciteit,$H$5,
HLOOKUP(AM141,ENERGIEDRAGERS,ROWS(bibliotheek!$E$259:$E$264),FALSE))))</f>
        <v>0</v>
      </c>
      <c r="AN159" s="349">
        <f>IF(AN144=0,0,IF(AN160&lt;&gt;"",AN160,IF(AN141=elektriciteit,$H$5,
HLOOKUP(AN141,ENERGIEDRAGERS,ROWS(bibliotheek!$E$259:$E$264),FALSE))))</f>
        <v>0</v>
      </c>
      <c r="AO159" s="349">
        <f>IF(AO144=0,0,IF(AO160&lt;&gt;"",AO160,IF(AO141=elektriciteit,$H$5,
HLOOKUP(AO141,ENERGIEDRAGERS,ROWS(bibliotheek!$E$259:$E$264),FALSE))))</f>
        <v>0</v>
      </c>
      <c r="AP159" s="350"/>
      <c r="AQ159" s="350"/>
      <c r="AR159" s="350"/>
      <c r="AS159" s="350"/>
      <c r="AT159" s="350"/>
      <c r="AU159" s="350"/>
      <c r="AV159" s="351"/>
      <c r="AW159" s="189"/>
      <c r="AX159" s="353"/>
      <c r="AY159" s="349">
        <f>IF(AY144=0,0,IF(AY160&lt;&gt;"",AY160,IF(AY141=elektriciteit,$H$5,
HLOOKUP(AY141,ENERGIEDRAGERS,ROWS(bibliotheek!$E$259:$E$264),FALSE))))</f>
        <v>0</v>
      </c>
      <c r="AZ159" s="349">
        <f>IF(AZ144=0,0,IF(AZ160&lt;&gt;"",AZ160,IF(AZ141=elektriciteit,$H$5,
HLOOKUP(AZ141,ENERGIEDRAGERS,ROWS(bibliotheek!$E$259:$E$264),FALSE))))</f>
        <v>0</v>
      </c>
      <c r="BA159" s="349">
        <f>IF(BA144=0,0,IF(BA160&lt;&gt;"",BA160,IF(BA141=elektriciteit,$H$5,
HLOOKUP(BA141,ENERGIEDRAGERS,ROWS(bibliotheek!$E$259:$E$264),FALSE))))</f>
        <v>0</v>
      </c>
      <c r="BB159" s="302"/>
      <c r="BC159" s="302"/>
      <c r="BD159" s="302"/>
      <c r="BE159" s="302"/>
      <c r="BF159" s="302"/>
      <c r="BG159" s="302"/>
      <c r="BH159" s="174"/>
    </row>
    <row r="160" spans="1:60">
      <c r="A160" s="1040"/>
      <c r="B160" s="1109" t="s">
        <v>216</v>
      </c>
      <c r="C160" s="1107" t="s">
        <v>118</v>
      </c>
      <c r="D160" s="638"/>
      <c r="E160" s="1218" t="s">
        <v>208</v>
      </c>
      <c r="F160" s="255"/>
      <c r="G160" s="255"/>
      <c r="H160" s="292"/>
      <c r="I160" s="79"/>
      <c r="J160" s="299"/>
      <c r="K160" s="79"/>
      <c r="L160" s="79"/>
      <c r="M160" s="198"/>
      <c r="N160" s="161"/>
      <c r="O160" s="628"/>
      <c r="P160" s="629"/>
      <c r="Q160" s="628"/>
      <c r="R160" s="630"/>
      <c r="S160" s="630"/>
      <c r="T160" s="630"/>
      <c r="U160" s="630"/>
      <c r="V160" s="630"/>
      <c r="W160" s="630"/>
      <c r="X160" s="348"/>
      <c r="Y160" s="631"/>
      <c r="Z160" s="114"/>
      <c r="AA160" s="628"/>
      <c r="AB160" s="629"/>
      <c r="AC160" s="628"/>
      <c r="AD160" s="630"/>
      <c r="AE160" s="630"/>
      <c r="AF160" s="630"/>
      <c r="AG160" s="630"/>
      <c r="AH160" s="630"/>
      <c r="AI160" s="630"/>
      <c r="AJ160" s="348"/>
      <c r="AK160" s="631"/>
      <c r="AL160" s="114"/>
      <c r="AM160" s="628"/>
      <c r="AN160" s="629"/>
      <c r="AO160" s="628"/>
      <c r="AP160" s="630"/>
      <c r="AQ160" s="630"/>
      <c r="AR160" s="630"/>
      <c r="AS160" s="630"/>
      <c r="AT160" s="630"/>
      <c r="AU160" s="630"/>
      <c r="AV160" s="348"/>
      <c r="AW160" s="631"/>
      <c r="AX160" s="114"/>
      <c r="AY160" s="628"/>
      <c r="AZ160" s="629"/>
      <c r="BA160" s="628"/>
      <c r="BB160" s="301"/>
      <c r="BC160" s="301"/>
      <c r="BD160" s="301"/>
      <c r="BE160" s="301"/>
      <c r="BF160" s="301"/>
      <c r="BG160" s="301"/>
      <c r="BH160" s="174"/>
    </row>
    <row r="161" spans="1:60">
      <c r="A161" s="1040"/>
      <c r="B161" s="1109" t="s">
        <v>216</v>
      </c>
      <c r="C161" s="1107" t="s">
        <v>104</v>
      </c>
      <c r="D161" s="638"/>
      <c r="E161" s="180" t="s">
        <v>232</v>
      </c>
      <c r="F161" s="181"/>
      <c r="G161" s="181"/>
      <c r="H161" s="181" t="s">
        <v>108</v>
      </c>
      <c r="I161" s="79"/>
      <c r="J161" s="202">
        <f>M161+Y161+AK161+AW161</f>
        <v>0</v>
      </c>
      <c r="K161" s="1062"/>
      <c r="L161" s="1062"/>
      <c r="M161" s="202">
        <f>SUM(O161:X161)</f>
        <v>0</v>
      </c>
      <c r="N161" s="114"/>
      <c r="O161" s="168">
        <f>O$147*O$159</f>
        <v>0</v>
      </c>
      <c r="P161" s="168">
        <f>P$147*P$159</f>
        <v>0</v>
      </c>
      <c r="Q161" s="168">
        <f>Q$147*Q$159</f>
        <v>0</v>
      </c>
      <c r="R161" s="273"/>
      <c r="S161" s="273"/>
      <c r="T161" s="273"/>
      <c r="U161" s="273"/>
      <c r="V161" s="273"/>
      <c r="W161" s="273"/>
      <c r="X161" s="113"/>
      <c r="Y161" s="202">
        <f>SUM(AA161:AJ161)</f>
        <v>0</v>
      </c>
      <c r="Z161" s="114"/>
      <c r="AA161" s="168">
        <f>AA$147*AA$159</f>
        <v>0</v>
      </c>
      <c r="AB161" s="168">
        <f>AB$147*AB$159</f>
        <v>0</v>
      </c>
      <c r="AC161" s="168">
        <f>AC$147*AC$159</f>
        <v>0</v>
      </c>
      <c r="AD161" s="273"/>
      <c r="AE161" s="273"/>
      <c r="AF161" s="273"/>
      <c r="AG161" s="273"/>
      <c r="AH161" s="273"/>
      <c r="AI161" s="273"/>
      <c r="AJ161" s="113"/>
      <c r="AK161" s="202">
        <f>SUM(AM161:AV161)</f>
        <v>0</v>
      </c>
      <c r="AL161" s="114"/>
      <c r="AM161" s="168">
        <f>AM$147*AM$159</f>
        <v>0</v>
      </c>
      <c r="AN161" s="168">
        <f>AN$147*AN$159</f>
        <v>0</v>
      </c>
      <c r="AO161" s="168">
        <f>AO$147*AO$159</f>
        <v>0</v>
      </c>
      <c r="AP161" s="273"/>
      <c r="AQ161" s="273"/>
      <c r="AR161" s="273"/>
      <c r="AS161" s="273"/>
      <c r="AT161" s="273"/>
      <c r="AU161" s="273"/>
      <c r="AV161" s="113"/>
      <c r="AW161" s="202">
        <f>SUM(AY161:BH161)</f>
        <v>0</v>
      </c>
      <c r="AX161" s="114"/>
      <c r="AY161" s="168">
        <f>AY$147*AY$159</f>
        <v>0</v>
      </c>
      <c r="AZ161" s="168">
        <f>AZ$147*AZ$159</f>
        <v>0</v>
      </c>
      <c r="BA161" s="168">
        <f>BA$147*BA$159</f>
        <v>0</v>
      </c>
      <c r="BB161" s="273"/>
      <c r="BC161" s="273"/>
      <c r="BD161" s="273"/>
      <c r="BE161" s="273"/>
      <c r="BF161" s="273"/>
      <c r="BG161" s="273"/>
      <c r="BH161" s="210"/>
    </row>
    <row r="162" spans="1:60">
      <c r="A162" s="1040"/>
      <c r="B162" s="1110" t="s">
        <v>222</v>
      </c>
      <c r="C162" s="1107" t="s">
        <v>104</v>
      </c>
      <c r="D162" s="638"/>
      <c r="E162" s="79"/>
      <c r="F162" s="79"/>
      <c r="G162" s="79"/>
      <c r="H162" s="85"/>
      <c r="I162" s="79"/>
      <c r="J162" s="82"/>
      <c r="K162" s="79"/>
      <c r="L162" s="79"/>
      <c r="M162" s="82"/>
      <c r="N162" s="79"/>
      <c r="O162" s="79"/>
      <c r="P162" s="79"/>
      <c r="Q162" s="79"/>
      <c r="R162" s="82"/>
      <c r="S162" s="82"/>
      <c r="T162" s="82"/>
      <c r="U162" s="82"/>
      <c r="V162" s="82"/>
      <c r="W162" s="82"/>
      <c r="X162" s="82"/>
      <c r="Y162" s="82"/>
      <c r="Z162" s="79"/>
      <c r="AA162" s="154"/>
      <c r="AB162" s="154"/>
      <c r="AC162" s="154"/>
      <c r="AD162" s="82"/>
      <c r="AE162" s="82"/>
      <c r="AF162" s="82"/>
      <c r="AG162" s="82"/>
      <c r="AH162" s="82"/>
      <c r="AI162" s="82"/>
      <c r="AJ162" s="82"/>
      <c r="AK162" s="82"/>
      <c r="AL162" s="79"/>
      <c r="AM162" s="154"/>
      <c r="AN162" s="154"/>
      <c r="AO162" s="154"/>
      <c r="AP162" s="82"/>
      <c r="AQ162" s="82"/>
      <c r="AR162" s="82"/>
      <c r="AS162" s="82"/>
      <c r="AT162" s="82"/>
      <c r="AU162" s="82"/>
      <c r="AV162" s="82"/>
      <c r="AW162" s="82"/>
      <c r="AX162" s="79"/>
      <c r="AY162" s="154"/>
      <c r="AZ162" s="154"/>
      <c r="BA162" s="154"/>
      <c r="BB162" s="82"/>
      <c r="BC162" s="82"/>
      <c r="BD162" s="82"/>
      <c r="BE162" s="82"/>
      <c r="BF162" s="82"/>
      <c r="BG162" s="82"/>
      <c r="BH162" s="1"/>
    </row>
    <row r="163" spans="1:60">
      <c r="A163" s="1040"/>
      <c r="B163" s="1109" t="s">
        <v>223</v>
      </c>
      <c r="C163" s="1107" t="s">
        <v>96</v>
      </c>
      <c r="D163" s="638"/>
      <c r="E163" s="79"/>
      <c r="F163" s="79"/>
      <c r="G163" s="79"/>
      <c r="H163" s="85"/>
      <c r="I163" s="79"/>
      <c r="J163" s="82"/>
      <c r="K163" s="79"/>
      <c r="L163" s="79"/>
      <c r="M163" s="82"/>
      <c r="N163" s="79"/>
      <c r="O163" s="113"/>
      <c r="P163" s="82"/>
      <c r="Q163" s="82"/>
      <c r="R163" s="82"/>
      <c r="S163" s="82"/>
      <c r="T163" s="82"/>
      <c r="U163" s="82"/>
      <c r="V163" s="82"/>
      <c r="W163" s="82"/>
      <c r="X163" s="82"/>
      <c r="Y163" s="82"/>
      <c r="Z163" s="79"/>
      <c r="AA163" s="113"/>
      <c r="AB163" s="82"/>
      <c r="AC163" s="82"/>
      <c r="AD163" s="82"/>
      <c r="AE163" s="82"/>
      <c r="AF163" s="82"/>
      <c r="AG163" s="82"/>
      <c r="AH163" s="82"/>
      <c r="AI163" s="82"/>
      <c r="AJ163" s="82"/>
      <c r="AK163" s="82"/>
      <c r="AL163" s="79"/>
      <c r="AM163" s="113"/>
      <c r="AN163" s="82"/>
      <c r="AO163" s="82"/>
      <c r="AP163" s="82"/>
      <c r="AQ163" s="82"/>
      <c r="AR163" s="82"/>
      <c r="AS163" s="82"/>
      <c r="AT163" s="82"/>
      <c r="AU163" s="82"/>
      <c r="AV163" s="82"/>
      <c r="AW163" s="82"/>
      <c r="AX163" s="79"/>
      <c r="AY163" s="113"/>
      <c r="AZ163" s="82"/>
      <c r="BA163" s="82"/>
      <c r="BB163" s="82"/>
      <c r="BC163" s="82"/>
      <c r="BD163" s="82"/>
      <c r="BE163" s="82"/>
      <c r="BF163" s="82"/>
      <c r="BG163" s="82"/>
      <c r="BH163" s="1"/>
    </row>
    <row r="164" spans="1:60" ht="21">
      <c r="A164" s="1040"/>
      <c r="B164" s="1109" t="s">
        <v>223</v>
      </c>
      <c r="C164" s="1106" t="s">
        <v>96</v>
      </c>
      <c r="D164" s="641" t="s">
        <v>45</v>
      </c>
      <c r="E164" s="199" t="s">
        <v>224</v>
      </c>
      <c r="F164" s="199"/>
      <c r="G164" s="692"/>
      <c r="H164" s="176"/>
      <c r="I164" s="77"/>
      <c r="J164" s="200" t="str">
        <f>J$10</f>
        <v>alle locaties</v>
      </c>
      <c r="K164" s="126"/>
      <c r="L164" s="126"/>
      <c r="M164" s="200" t="str">
        <f>M$10</f>
        <v>locatie 1</v>
      </c>
      <c r="N164" s="182"/>
      <c r="O164" s="966" t="str">
        <f>$E164&amp;" per energiepost"</f>
        <v>energiegebruik niet voor verwarmen/koelen per energiepost</v>
      </c>
      <c r="P164" s="941"/>
      <c r="Q164" s="941"/>
      <c r="R164" s="941"/>
      <c r="S164" s="941"/>
      <c r="T164" s="941"/>
      <c r="U164" s="941"/>
      <c r="V164" s="941"/>
      <c r="W164" s="956"/>
      <c r="X164" s="174"/>
      <c r="Y164" s="200" t="str">
        <f>Y$10</f>
        <v>locatie 2</v>
      </c>
      <c r="Z164" s="182"/>
      <c r="AA164" s="966" t="str">
        <f>$E164&amp;" per energiepost"</f>
        <v>energiegebruik niet voor verwarmen/koelen per energiepost</v>
      </c>
      <c r="AB164" s="941"/>
      <c r="AC164" s="941"/>
      <c r="AD164" s="941"/>
      <c r="AE164" s="941"/>
      <c r="AF164" s="941"/>
      <c r="AG164" s="941"/>
      <c r="AH164" s="941"/>
      <c r="AI164" s="956"/>
      <c r="AJ164" s="174"/>
      <c r="AK164" s="200" t="str">
        <f>AK$10</f>
        <v>locatie 3</v>
      </c>
      <c r="AL164" s="182"/>
      <c r="AM164" s="966" t="str">
        <f>$E164&amp;" per energiepost"</f>
        <v>energiegebruik niet voor verwarmen/koelen per energiepost</v>
      </c>
      <c r="AN164" s="941"/>
      <c r="AO164" s="941"/>
      <c r="AP164" s="941"/>
      <c r="AQ164" s="941"/>
      <c r="AR164" s="941"/>
      <c r="AS164" s="941"/>
      <c r="AT164" s="941"/>
      <c r="AU164" s="956"/>
      <c r="AV164" s="174"/>
      <c r="AW164" s="200" t="str">
        <f>AW$10</f>
        <v>locatie 4</v>
      </c>
      <c r="AX164" s="182"/>
      <c r="AY164" s="966" t="str">
        <f>$E164&amp;" per energiepost"</f>
        <v>energiegebruik niet voor verwarmen/koelen per energiepost</v>
      </c>
      <c r="AZ164" s="941"/>
      <c r="BA164" s="941"/>
      <c r="BB164" s="941"/>
      <c r="BC164" s="941"/>
      <c r="BD164" s="941"/>
      <c r="BE164" s="941"/>
      <c r="BF164" s="941"/>
      <c r="BG164" s="956"/>
      <c r="BH164" s="1"/>
    </row>
    <row r="165" spans="1:60">
      <c r="A165" s="1040"/>
      <c r="B165" s="1109" t="s">
        <v>223</v>
      </c>
      <c r="C165" s="1106" t="s">
        <v>96</v>
      </c>
      <c r="D165" s="638"/>
      <c r="E165" s="940" t="s">
        <v>225</v>
      </c>
      <c r="F165" s="940"/>
      <c r="G165" s="940"/>
      <c r="H165" s="940"/>
      <c r="I165" s="77"/>
      <c r="J165" s="939"/>
      <c r="K165" s="126"/>
      <c r="L165" s="126"/>
      <c r="M165" s="938"/>
      <c r="N165" s="191"/>
      <c r="O165" s="177" t="str">
        <f t="shared" ref="O165:V165" si="119">O$10</f>
        <v>verwarming</v>
      </c>
      <c r="P165" s="177" t="str">
        <f t="shared" si="119"/>
        <v>koeling</v>
      </c>
      <c r="Q165" s="177" t="str">
        <f t="shared" si="119"/>
        <v>tapwater</v>
      </c>
      <c r="R165" s="177" t="str">
        <f t="shared" si="119"/>
        <v>verlichting</v>
      </c>
      <c r="S165" s="177" t="str">
        <f t="shared" si="119"/>
        <v>ventilatoren</v>
      </c>
      <c r="T165" s="177" t="str">
        <f t="shared" si="119"/>
        <v>kookgas</v>
      </c>
      <c r="U165" s="177" t="str">
        <f t="shared" si="119"/>
        <v>overig elektra</v>
      </c>
      <c r="V165" s="177" t="str">
        <f t="shared" si="119"/>
        <v>mobiliteit</v>
      </c>
      <c r="W165" s="177"/>
      <c r="X165" s="191"/>
      <c r="Y165" s="938"/>
      <c r="Z165" s="191"/>
      <c r="AA165" s="177" t="str">
        <f t="shared" ref="AA165:AH165" si="120">AA$10</f>
        <v>verwarming</v>
      </c>
      <c r="AB165" s="177" t="str">
        <f t="shared" si="120"/>
        <v>koeling</v>
      </c>
      <c r="AC165" s="177" t="str">
        <f t="shared" si="120"/>
        <v>tapwater</v>
      </c>
      <c r="AD165" s="177" t="str">
        <f t="shared" si="120"/>
        <v>verlichting</v>
      </c>
      <c r="AE165" s="177" t="str">
        <f t="shared" si="120"/>
        <v>ventilatoren</v>
      </c>
      <c r="AF165" s="177" t="str">
        <f t="shared" si="120"/>
        <v>kookgas</v>
      </c>
      <c r="AG165" s="177" t="str">
        <f t="shared" si="120"/>
        <v>overig elektra</v>
      </c>
      <c r="AH165" s="177" t="str">
        <f t="shared" si="120"/>
        <v>mobiliteit</v>
      </c>
      <c r="AI165" s="177"/>
      <c r="AJ165" s="191"/>
      <c r="AK165" s="938"/>
      <c r="AL165" s="191"/>
      <c r="AM165" s="177" t="str">
        <f t="shared" ref="AM165:AT165" si="121">AM$10</f>
        <v>verwarming</v>
      </c>
      <c r="AN165" s="177" t="str">
        <f t="shared" si="121"/>
        <v>koeling</v>
      </c>
      <c r="AO165" s="177" t="str">
        <f t="shared" si="121"/>
        <v>tapwater</v>
      </c>
      <c r="AP165" s="177" t="str">
        <f t="shared" si="121"/>
        <v>verlichting</v>
      </c>
      <c r="AQ165" s="177" t="str">
        <f t="shared" si="121"/>
        <v>ventilatoren</v>
      </c>
      <c r="AR165" s="177" t="str">
        <f t="shared" si="121"/>
        <v>kookgas</v>
      </c>
      <c r="AS165" s="177" t="str">
        <f t="shared" si="121"/>
        <v>overig elektra</v>
      </c>
      <c r="AT165" s="177" t="str">
        <f t="shared" si="121"/>
        <v>mobiliteit</v>
      </c>
      <c r="AU165" s="177"/>
      <c r="AV165" s="191"/>
      <c r="AW165" s="938"/>
      <c r="AX165" s="191"/>
      <c r="AY165" s="177" t="str">
        <f t="shared" ref="AY165:BF165" si="122">AY$10</f>
        <v>verwarming</v>
      </c>
      <c r="AZ165" s="177" t="str">
        <f t="shared" si="122"/>
        <v>koeling</v>
      </c>
      <c r="BA165" s="177" t="str">
        <f t="shared" si="122"/>
        <v>tapwater</v>
      </c>
      <c r="BB165" s="177" t="str">
        <f t="shared" si="122"/>
        <v>verlichting</v>
      </c>
      <c r="BC165" s="177" t="str">
        <f t="shared" si="122"/>
        <v>ventilatoren</v>
      </c>
      <c r="BD165" s="177" t="str">
        <f t="shared" si="122"/>
        <v>kookgas</v>
      </c>
      <c r="BE165" s="177" t="str">
        <f t="shared" si="122"/>
        <v>overig elektra</v>
      </c>
      <c r="BF165" s="177" t="str">
        <f t="shared" si="122"/>
        <v>mobiliteit</v>
      </c>
      <c r="BG165" s="177"/>
      <c r="BH165" s="36"/>
    </row>
    <row r="166" spans="1:60">
      <c r="A166" s="1040"/>
      <c r="B166" s="1109" t="s">
        <v>223</v>
      </c>
      <c r="C166" s="1107" t="s">
        <v>118</v>
      </c>
      <c r="D166" s="638"/>
      <c r="E166" s="254" t="s">
        <v>226</v>
      </c>
      <c r="F166" s="254"/>
      <c r="G166" s="254"/>
      <c r="H166" s="291" t="s">
        <v>213</v>
      </c>
      <c r="I166" s="191"/>
      <c r="J166" s="305"/>
      <c r="K166" s="243"/>
      <c r="L166" s="243"/>
      <c r="M166" s="299"/>
      <c r="N166" s="376"/>
      <c r="O166" s="377">
        <f>IF(O167&lt;&gt;"",O167,HLOOKUP(IF(O$83="",referentie_verwarming,O$83),toestellen_RV,ROWS(bibliotheek!$E$83:$E$118),FALSE))</f>
        <v>0</v>
      </c>
      <c r="P166" s="377">
        <f>IF(P167&lt;&gt;"",P167,HLOOKUP(IF(P$83="",referentie_koeling,P$83),toestellen_KOEL,ROWS(bibliotheek!$E$190:$E$209),FALSE))</f>
        <v>0</v>
      </c>
      <c r="Q166" s="377">
        <f>IF(Q167&lt;&gt;"",Q167,HLOOKUP(IF(Q$83="",referentie_warmtapwater,Q$83),toestellen_TAP,ROWS(bibliotheek!$E$139:$E$166),FALSE))</f>
        <v>4.4999999999999998E-2</v>
      </c>
      <c r="R166" s="378"/>
      <c r="S166" s="378"/>
      <c r="T166" s="378"/>
      <c r="U166" s="378"/>
      <c r="V166" s="378"/>
      <c r="W166" s="378"/>
      <c r="X166" s="356"/>
      <c r="Y166" s="289"/>
      <c r="Z166" s="376"/>
      <c r="AA166" s="377">
        <f>IF(AA167&lt;&gt;"",AA167,HLOOKUP(IF(AA$83="",referentie_verwarming,AA$83),toestellen_RV,ROWS(bibliotheek!$E$83:$E$118),FALSE))</f>
        <v>0</v>
      </c>
      <c r="AB166" s="377">
        <f>IF(AB167&lt;&gt;"",AB167,HLOOKUP(IF(AB$83="",referentie_koeling,AB$83),toestellen_KOEL,ROWS(bibliotheek!$E$190:$E$209),FALSE))</f>
        <v>0</v>
      </c>
      <c r="AC166" s="377">
        <f>IF(AC167&lt;&gt;"",AC167,HLOOKUP(IF(AC$83="",referentie_warmtapwater,AC$83),toestellen_TAP,ROWS(bibliotheek!$E$139:$E$166),FALSE))</f>
        <v>4.4999999999999998E-2</v>
      </c>
      <c r="AD166" s="378"/>
      <c r="AE166" s="378"/>
      <c r="AF166" s="378"/>
      <c r="AG166" s="378"/>
      <c r="AH166" s="378"/>
      <c r="AI166" s="378"/>
      <c r="AJ166" s="356"/>
      <c r="AK166" s="289"/>
      <c r="AL166" s="376"/>
      <c r="AM166" s="377">
        <f>IF(AM167&lt;&gt;"",AM167,HLOOKUP(IF(AM$83="",referentie_verwarming,AM$83),toestellen_RV,ROWS(bibliotheek!$E$83:$E$118),FALSE))</f>
        <v>0</v>
      </c>
      <c r="AN166" s="377">
        <f>IF(AN167&lt;&gt;"",AN167,HLOOKUP(IF(AN$83="",referentie_koeling,AN$83),toestellen_KOEL,ROWS(bibliotheek!$E$190:$E$209),FALSE))</f>
        <v>0</v>
      </c>
      <c r="AO166" s="377">
        <f>IF(AO167&lt;&gt;"",AO167,HLOOKUP(IF(AO$83="",referentie_warmtapwater,AO$83),toestellen_TAP,ROWS(bibliotheek!$E$139:$E$166),FALSE))</f>
        <v>4.4999999999999998E-2</v>
      </c>
      <c r="AP166" s="378"/>
      <c r="AQ166" s="378"/>
      <c r="AR166" s="378"/>
      <c r="AS166" s="378"/>
      <c r="AT166" s="378"/>
      <c r="AU166" s="378"/>
      <c r="AV166" s="356"/>
      <c r="AW166" s="289"/>
      <c r="AX166" s="376"/>
      <c r="AY166" s="377">
        <f>IF(AY167&lt;&gt;"",AY167,HLOOKUP(IF(AY$83="",referentie_verwarming,AY$83),toestellen_RV,ROWS(bibliotheek!$E$83:$E$118),FALSE))</f>
        <v>0</v>
      </c>
      <c r="AZ166" s="377">
        <f>IF(AZ167&lt;&gt;"",AZ167,HLOOKUP(IF(AZ$83="",referentie_koeling,AZ$83),toestellen_KOEL,ROWS(bibliotheek!$E$190:$E$209),FALSE))</f>
        <v>0</v>
      </c>
      <c r="BA166" s="377">
        <f>IF(BA167&lt;&gt;"",BA167,HLOOKUP(IF(BA$83="",referentie_warmtapwater,BA$83),toestellen_TAP,ROWS(bibliotheek!$E$139:$E$166),FALSE))</f>
        <v>4.4999999999999998E-2</v>
      </c>
      <c r="BB166" s="306"/>
      <c r="BC166" s="306"/>
      <c r="BD166" s="306"/>
      <c r="BE166" s="306"/>
      <c r="BF166" s="306"/>
      <c r="BG166" s="306"/>
      <c r="BH166" s="174"/>
    </row>
    <row r="167" spans="1:60">
      <c r="A167" s="1040"/>
      <c r="B167" s="1109" t="s">
        <v>223</v>
      </c>
      <c r="C167" s="1107" t="s">
        <v>118</v>
      </c>
      <c r="D167" s="638"/>
      <c r="E167" s="1218" t="s">
        <v>208</v>
      </c>
      <c r="F167" s="255"/>
      <c r="G167" s="255"/>
      <c r="H167" s="292"/>
      <c r="I167" s="191"/>
      <c r="J167" s="299"/>
      <c r="K167" s="243"/>
      <c r="L167" s="243"/>
      <c r="M167" s="299"/>
      <c r="N167" s="308"/>
      <c r="O167" s="276"/>
      <c r="P167" s="281"/>
      <c r="Q167" s="276"/>
      <c r="R167" s="309"/>
      <c r="S167" s="309"/>
      <c r="T167" s="309"/>
      <c r="U167" s="309"/>
      <c r="V167" s="309"/>
      <c r="W167" s="309"/>
      <c r="X167" s="113"/>
      <c r="Y167" s="307"/>
      <c r="Z167" s="308"/>
      <c r="AA167" s="276"/>
      <c r="AB167" s="281"/>
      <c r="AC167" s="276"/>
      <c r="AD167" s="309"/>
      <c r="AE167" s="309"/>
      <c r="AF167" s="309"/>
      <c r="AG167" s="309"/>
      <c r="AH167" s="309"/>
      <c r="AI167" s="309"/>
      <c r="AJ167" s="113"/>
      <c r="AK167" s="307"/>
      <c r="AL167" s="308"/>
      <c r="AM167" s="276"/>
      <c r="AN167" s="281"/>
      <c r="AO167" s="276"/>
      <c r="AP167" s="309"/>
      <c r="AQ167" s="309"/>
      <c r="AR167" s="309"/>
      <c r="AS167" s="309"/>
      <c r="AT167" s="309"/>
      <c r="AU167" s="309"/>
      <c r="AV167" s="113"/>
      <c r="AW167" s="307"/>
      <c r="AX167" s="308"/>
      <c r="AY167" s="276"/>
      <c r="AZ167" s="281"/>
      <c r="BA167" s="276"/>
      <c r="BB167" s="309"/>
      <c r="BC167" s="309"/>
      <c r="BD167" s="309"/>
      <c r="BE167" s="309"/>
      <c r="BF167" s="309"/>
      <c r="BG167" s="309"/>
      <c r="BH167" s="174"/>
    </row>
    <row r="168" spans="1:60">
      <c r="A168" s="1046"/>
      <c r="B168" s="1109" t="s">
        <v>223</v>
      </c>
      <c r="C168" s="1107" t="s">
        <v>118</v>
      </c>
      <c r="D168" s="643"/>
      <c r="E168" s="245" t="s">
        <v>227</v>
      </c>
      <c r="F168" s="245"/>
      <c r="G168" s="245"/>
      <c r="H168" s="201" t="s">
        <v>202</v>
      </c>
      <c r="I168" s="191"/>
      <c r="J168" s="202">
        <f>M168+Y168+AK168+AW168</f>
        <v>0</v>
      </c>
      <c r="K168" s="243"/>
      <c r="L168" s="243"/>
      <c r="M168" s="202">
        <f>SUM(O168:X168)</f>
        <v>0</v>
      </c>
      <c r="N168" s="89"/>
      <c r="O168" s="168">
        <f>O$132*O$166</f>
        <v>0</v>
      </c>
      <c r="P168" s="168">
        <f>P$132*P$166</f>
        <v>0</v>
      </c>
      <c r="Q168" s="168">
        <f>Q$132*Q$166</f>
        <v>0</v>
      </c>
      <c r="R168" s="273"/>
      <c r="S168" s="273"/>
      <c r="T168" s="273"/>
      <c r="U168" s="273"/>
      <c r="V168" s="273"/>
      <c r="W168" s="273"/>
      <c r="X168" s="106"/>
      <c r="Y168" s="202">
        <f>SUM(AA168:AJ168)</f>
        <v>0</v>
      </c>
      <c r="Z168" s="89"/>
      <c r="AA168" s="168">
        <f>AA$132*AA$166</f>
        <v>0</v>
      </c>
      <c r="AB168" s="168">
        <f>AB$132*AB$166</f>
        <v>0</v>
      </c>
      <c r="AC168" s="168">
        <f>AC$132*AC$166</f>
        <v>0</v>
      </c>
      <c r="AD168" s="273"/>
      <c r="AE168" s="273"/>
      <c r="AF168" s="273"/>
      <c r="AG168" s="273"/>
      <c r="AH168" s="273"/>
      <c r="AI168" s="273"/>
      <c r="AJ168" s="106"/>
      <c r="AK168" s="202">
        <f>SUM(AM168:AV168)</f>
        <v>0</v>
      </c>
      <c r="AL168" s="89"/>
      <c r="AM168" s="168">
        <f>AM$132*AM$166</f>
        <v>0</v>
      </c>
      <c r="AN168" s="168">
        <f>AN$132*AN$166</f>
        <v>0</v>
      </c>
      <c r="AO168" s="168">
        <f>AO$132*AO$166</f>
        <v>0</v>
      </c>
      <c r="AP168" s="273"/>
      <c r="AQ168" s="273"/>
      <c r="AR168" s="273"/>
      <c r="AS168" s="273"/>
      <c r="AT168" s="273"/>
      <c r="AU168" s="273"/>
      <c r="AV168" s="106"/>
      <c r="AW168" s="202">
        <f>SUM(AY168:BH168)</f>
        <v>0</v>
      </c>
      <c r="AX168" s="89"/>
      <c r="AY168" s="168">
        <f>AY$132*AY$166</f>
        <v>0</v>
      </c>
      <c r="AZ168" s="168">
        <f>AZ$132*AZ$166</f>
        <v>0</v>
      </c>
      <c r="BA168" s="168">
        <f>BA$132*BA$166</f>
        <v>0</v>
      </c>
      <c r="BB168" s="273"/>
      <c r="BC168" s="273"/>
      <c r="BD168" s="273"/>
      <c r="BE168" s="273"/>
      <c r="BF168" s="273"/>
      <c r="BG168" s="273"/>
      <c r="BH168" s="174"/>
    </row>
    <row r="169" spans="1:60" hidden="1">
      <c r="A169" s="1046"/>
      <c r="B169" s="1109" t="s">
        <v>223</v>
      </c>
      <c r="C169" s="1111" t="s">
        <v>181</v>
      </c>
      <c r="D169" s="643" t="s">
        <v>45</v>
      </c>
      <c r="E169" s="245" t="s">
        <v>228</v>
      </c>
      <c r="F169" s="245"/>
      <c r="G169" s="245"/>
      <c r="H169" s="201" t="s">
        <v>202</v>
      </c>
      <c r="I169" s="191"/>
      <c r="J169" s="202">
        <f>M169+Y169+AK169+AW169</f>
        <v>0</v>
      </c>
      <c r="K169" s="243"/>
      <c r="L169" s="243"/>
      <c r="M169" s="202">
        <f>SUM(O169:X169)</f>
        <v>0</v>
      </c>
      <c r="N169" s="89"/>
      <c r="O169" s="168">
        <f>IF(O31=0,0,
(O$98*IFERROR((  INDEX(bibliotheek!$E$109:$BE$109,MATCH(O$83,toestellen_RV_kopregel,0)) +
INDEX(bibliotheek!$E$110:$BE$110,MATCH(O$83,toestellen_RV_kopregel,0))  *(O$97*1000/O$98)/
(  INDEX(bibliotheek!$E$111:$BE$111,MATCH(O$83,toestellen_RV_kopregel,0)) *
INDEX(bibliotheek!$E$112:$BE$112,MATCH(O$83,toestellen_RV_kopregel,0)) ) ),0)+
O$98*INDEX(bibliotheek!$E$113:$BE$113,MATCH(O$83,toestellen_RV_kopregel,0))+
O$99*INDEX(bibliotheek!$E$114:$BE$114,MATCH(O$83,toestellen_RV_kopregel,0)))/1000)</f>
        <v>0</v>
      </c>
      <c r="P169" s="273"/>
      <c r="Q169" s="273"/>
      <c r="R169" s="168">
        <f>R$78</f>
        <v>0</v>
      </c>
      <c r="S169" s="168">
        <f>S$78</f>
        <v>0</v>
      </c>
      <c r="T169" s="273"/>
      <c r="U169" s="168">
        <f>U$78</f>
        <v>0</v>
      </c>
      <c r="V169" s="168">
        <f>V$78</f>
        <v>0</v>
      </c>
      <c r="W169" s="273"/>
      <c r="X169" s="106"/>
      <c r="Y169" s="202">
        <f>SUM(AA169:AJ169)</f>
        <v>0</v>
      </c>
      <c r="Z169" s="89"/>
      <c r="AA169" s="168">
        <f>IF(AA31=0,0,
(AA$98*IFERROR((  INDEX(bibliotheek!$E$109:$BE$109,MATCH(AA$83,toestellen_RV_kopregel,0)) +
INDEX(bibliotheek!$E$110:$BE$110,MATCH(AA$83,toestellen_RV_kopregel,0))  *(AA$97*1000/AA$98)/
(  INDEX(bibliotheek!$E$111:$BE$111,MATCH(AA$83,toestellen_RV_kopregel,0)) *
INDEX(bibliotheek!$E$112:$BE$112,MATCH(AA$83,toestellen_RV_kopregel,0)) ) ),0)+
AA$98*INDEX(bibliotheek!$E$113:$BE$113,MATCH(AA$83,toestellen_RV_kopregel,0))+
AA$99*INDEX(bibliotheek!$E$114:$BE$114,MATCH(AA$83,toestellen_RV_kopregel,0)))/1000)</f>
        <v>0</v>
      </c>
      <c r="AB169" s="273"/>
      <c r="AC169" s="273"/>
      <c r="AD169" s="168">
        <f>AD$78</f>
        <v>0</v>
      </c>
      <c r="AE169" s="168">
        <f>AE$78</f>
        <v>0</v>
      </c>
      <c r="AF169" s="273"/>
      <c r="AG169" s="168">
        <f>AG$78</f>
        <v>0</v>
      </c>
      <c r="AH169" s="168">
        <f>AH$78</f>
        <v>0</v>
      </c>
      <c r="AI169" s="273"/>
      <c r="AJ169" s="106"/>
      <c r="AK169" s="202">
        <f>SUM(AM169:AV169)</f>
        <v>0</v>
      </c>
      <c r="AL169" s="89"/>
      <c r="AM169" s="168">
        <f>IF(AM31=0,0,
(AM$98*IFERROR((  INDEX(bibliotheek!$E$109:$BE$109,MATCH(AM$83,toestellen_RV_kopregel,0)) +
INDEX(bibliotheek!$E$110:$BE$110,MATCH(AM$83,toestellen_RV_kopregel,0))  *(AM$97*1000/AM$98)/
(  INDEX(bibliotheek!$E$111:$BE$111,MATCH(AM$83,toestellen_RV_kopregel,0)) *
INDEX(bibliotheek!$E$112:$BE$112,MATCH(AM$83,toestellen_RV_kopregel,0)) ) ),0)+
AM$98*INDEX(bibliotheek!$E$113:$BE$113,MATCH(AM$83,toestellen_RV_kopregel,0))+
AM$99*INDEX(bibliotheek!$E$114:$BE$114,MATCH(AM$83,toestellen_RV_kopregel,0)))/1000)</f>
        <v>0</v>
      </c>
      <c r="AN169" s="273"/>
      <c r="AO169" s="273"/>
      <c r="AP169" s="168">
        <f>AP$78</f>
        <v>0</v>
      </c>
      <c r="AQ169" s="168">
        <f>AQ$78</f>
        <v>0</v>
      </c>
      <c r="AR169" s="273"/>
      <c r="AS169" s="168">
        <f>AS$78</f>
        <v>0</v>
      </c>
      <c r="AT169" s="168">
        <f>AT$78</f>
        <v>0</v>
      </c>
      <c r="AU169" s="273"/>
      <c r="AV169" s="106"/>
      <c r="AW169" s="202">
        <f>SUM(AY169:BH169)</f>
        <v>0</v>
      </c>
      <c r="AX169" s="89"/>
      <c r="AY169" s="168">
        <f>IF(AY31=0,0,
(AY$98*IFERROR((  INDEX(bibliotheek!$E$109:$BE$109,MATCH(AY$83,toestellen_RV_kopregel,0)) +
INDEX(bibliotheek!$E$110:$BE$110,MATCH(AY$83,toestellen_RV_kopregel,0))  *(AY$97*1000/AY$98)/
(  INDEX(bibliotheek!$E$111:$BE$111,MATCH(AY$83,toestellen_RV_kopregel,0)) *
INDEX(bibliotheek!$E$112:$BE$112,MATCH(AY$83,toestellen_RV_kopregel,0)) ) ),0)+
AY$98*INDEX(bibliotheek!$E$113:$BE$113,MATCH(AY$83,toestellen_RV_kopregel,0))+
AY$99*INDEX(bibliotheek!$E$114:$BE$114,MATCH(AY$83,toestellen_RV_kopregel,0)))/1000)</f>
        <v>0</v>
      </c>
      <c r="AZ169" s="273"/>
      <c r="BA169" s="273"/>
      <c r="BB169" s="168">
        <f>BB$78</f>
        <v>0</v>
      </c>
      <c r="BC169" s="168">
        <f>BC$78</f>
        <v>0</v>
      </c>
      <c r="BD169" s="273"/>
      <c r="BE169" s="168">
        <f>BE$78</f>
        <v>0</v>
      </c>
      <c r="BF169" s="168">
        <f>BF$78</f>
        <v>0</v>
      </c>
      <c r="BG169" s="273"/>
      <c r="BH169" s="174"/>
    </row>
    <row r="170" spans="1:60" hidden="1">
      <c r="A170" s="1046"/>
      <c r="B170" s="1109" t="s">
        <v>223</v>
      </c>
      <c r="C170" s="1111" t="s">
        <v>181</v>
      </c>
      <c r="D170" s="643"/>
      <c r="E170" s="245" t="s">
        <v>229</v>
      </c>
      <c r="F170" s="245"/>
      <c r="G170" s="245"/>
      <c r="H170" s="201" t="s">
        <v>202</v>
      </c>
      <c r="I170" s="191"/>
      <c r="J170" s="202">
        <f>M170+Y170+AK170+AW170</f>
        <v>0</v>
      </c>
      <c r="K170" s="243"/>
      <c r="L170" s="243"/>
      <c r="M170" s="202">
        <f>SUM(O170:X170)</f>
        <v>0</v>
      </c>
      <c r="N170" s="89"/>
      <c r="O170" s="168">
        <f>O$97*O$133+IF(O$114=0,0,O115/O$114)</f>
        <v>0</v>
      </c>
      <c r="P170" s="168">
        <f>P$97*P$133+IF(P$114=0,0,P115/P$114)</f>
        <v>0</v>
      </c>
      <c r="Q170" s="168">
        <f>Q$97*Q$133+IF(Q$114=0,0,Q115/Q$114)</f>
        <v>0</v>
      </c>
      <c r="R170" s="273"/>
      <c r="S170" s="273"/>
      <c r="T170" s="273"/>
      <c r="U170" s="273"/>
      <c r="V170" s="273"/>
      <c r="W170" s="273"/>
      <c r="X170" s="106"/>
      <c r="Y170" s="202">
        <f>SUM(AA170:AJ170)</f>
        <v>0</v>
      </c>
      <c r="Z170" s="89"/>
      <c r="AA170" s="168">
        <f>AA$97*AA$133+IF(AA$114=0,0,AA115/AA$114)</f>
        <v>0</v>
      </c>
      <c r="AB170" s="168">
        <f>AB$97*AB$133+IF(AB$114=0,0,AB115/AB$114)</f>
        <v>0</v>
      </c>
      <c r="AC170" s="168">
        <f>AC$97*AC$133+IF(AC$114=0,0,AC115/AC$114)</f>
        <v>0</v>
      </c>
      <c r="AD170" s="273"/>
      <c r="AE170" s="273"/>
      <c r="AF170" s="273"/>
      <c r="AG170" s="273"/>
      <c r="AH170" s="273"/>
      <c r="AI170" s="273"/>
      <c r="AJ170" s="106"/>
      <c r="AK170" s="202">
        <f>SUM(AM170:AV170)</f>
        <v>0</v>
      </c>
      <c r="AL170" s="89"/>
      <c r="AM170" s="168">
        <f>AM$97*AM$133+IF(AM$114=0,0,AM115/AM$114)</f>
        <v>0</v>
      </c>
      <c r="AN170" s="168">
        <f>AN$97*AN$133+IF(AN$114=0,0,AN115/AN$114)</f>
        <v>0</v>
      </c>
      <c r="AO170" s="168">
        <f>AO$97*AO$133+IF(AO$114=0,0,AO115/AO$114)</f>
        <v>0</v>
      </c>
      <c r="AP170" s="273"/>
      <c r="AQ170" s="273"/>
      <c r="AR170" s="273"/>
      <c r="AS170" s="273"/>
      <c r="AT170" s="273"/>
      <c r="AU170" s="273"/>
      <c r="AV170" s="106"/>
      <c r="AW170" s="202">
        <f>SUM(AY170:BH170)</f>
        <v>0</v>
      </c>
      <c r="AX170" s="89"/>
      <c r="AY170" s="168">
        <f>AY$97*AY$133+IF(AY$114=0,0,AY115/AY$114)</f>
        <v>0</v>
      </c>
      <c r="AZ170" s="168">
        <f>AZ$97*AZ$133+IF(AZ$114=0,0,AZ115/AZ$114)</f>
        <v>0</v>
      </c>
      <c r="BA170" s="168">
        <f>BA$97*BA$133+IF(BA$114=0,0,BA115/BA$114)</f>
        <v>0</v>
      </c>
      <c r="BB170" s="273"/>
      <c r="BC170" s="273"/>
      <c r="BD170" s="273"/>
      <c r="BE170" s="273"/>
      <c r="BF170" s="273"/>
      <c r="BG170" s="273"/>
      <c r="BH170" s="174"/>
    </row>
    <row r="171" spans="1:60" hidden="1">
      <c r="A171" s="1046"/>
      <c r="B171" s="1109" t="s">
        <v>223</v>
      </c>
      <c r="C171" s="1111" t="s">
        <v>181</v>
      </c>
      <c r="D171" s="643"/>
      <c r="E171" s="245" t="s">
        <v>100</v>
      </c>
      <c r="F171" s="245"/>
      <c r="G171" s="245"/>
      <c r="H171" s="201" t="s">
        <v>202</v>
      </c>
      <c r="I171" s="191"/>
      <c r="J171" s="202">
        <f>M171+Y171+AK171+AW171</f>
        <v>0</v>
      </c>
      <c r="K171" s="243"/>
      <c r="L171" s="243"/>
      <c r="M171" s="202">
        <f>SUM(O171:X171)</f>
        <v>0</v>
      </c>
      <c r="N171" s="89"/>
      <c r="O171" s="273"/>
      <c r="P171" s="273"/>
      <c r="Q171" s="273"/>
      <c r="R171" s="273"/>
      <c r="S171" s="273"/>
      <c r="T171" s="168">
        <f>T78</f>
        <v>0</v>
      </c>
      <c r="U171" s="273"/>
      <c r="V171" s="273"/>
      <c r="W171" s="273"/>
      <c r="X171" s="106"/>
      <c r="Y171" s="202">
        <f>SUM(AA171:AJ171)</f>
        <v>0</v>
      </c>
      <c r="Z171" s="89"/>
      <c r="AA171" s="168"/>
      <c r="AB171" s="168"/>
      <c r="AC171" s="168"/>
      <c r="AD171" s="273"/>
      <c r="AE171" s="273"/>
      <c r="AF171" s="168">
        <f>AF78</f>
        <v>0</v>
      </c>
      <c r="AG171" s="273"/>
      <c r="AH171" s="273"/>
      <c r="AI171" s="273"/>
      <c r="AJ171" s="106"/>
      <c r="AK171" s="202">
        <f>SUM(AM171:AV171)</f>
        <v>0</v>
      </c>
      <c r="AL171" s="89"/>
      <c r="AM171" s="168"/>
      <c r="AN171" s="168"/>
      <c r="AO171" s="168"/>
      <c r="AP171" s="273"/>
      <c r="AQ171" s="273"/>
      <c r="AR171" s="168">
        <f>AR78</f>
        <v>0</v>
      </c>
      <c r="AS171" s="273"/>
      <c r="AT171" s="273"/>
      <c r="AU171" s="273"/>
      <c r="AV171" s="106"/>
      <c r="AW171" s="202">
        <f>SUM(AY171:BH171)</f>
        <v>0</v>
      </c>
      <c r="AX171" s="89"/>
      <c r="AY171" s="168"/>
      <c r="AZ171" s="168"/>
      <c r="BA171" s="168"/>
      <c r="BB171" s="273"/>
      <c r="BC171" s="273"/>
      <c r="BD171" s="168">
        <f>BD78</f>
        <v>0</v>
      </c>
      <c r="BE171" s="273"/>
      <c r="BF171" s="273"/>
      <c r="BG171" s="273"/>
      <c r="BH171" s="174"/>
    </row>
    <row r="172" spans="1:60">
      <c r="A172" s="1040"/>
      <c r="B172" s="1109" t="s">
        <v>223</v>
      </c>
      <c r="C172" s="1106" t="s">
        <v>96</v>
      </c>
      <c r="D172" s="638"/>
      <c r="E172" s="940" t="s">
        <v>1313</v>
      </c>
      <c r="F172" s="940"/>
      <c r="G172" s="940"/>
      <c r="H172" s="940"/>
      <c r="I172" s="77"/>
      <c r="J172" s="939"/>
      <c r="K172" s="126"/>
      <c r="L172" s="126"/>
      <c r="M172" s="938"/>
      <c r="N172" s="191"/>
      <c r="O172" s="177" t="str">
        <f t="shared" ref="O172:V172" si="123">O$10</f>
        <v>verwarming</v>
      </c>
      <c r="P172" s="177" t="str">
        <f t="shared" si="123"/>
        <v>koeling</v>
      </c>
      <c r="Q172" s="177" t="str">
        <f t="shared" si="123"/>
        <v>tapwater</v>
      </c>
      <c r="R172" s="177" t="str">
        <f t="shared" si="123"/>
        <v>verlichting</v>
      </c>
      <c r="S172" s="177" t="str">
        <f t="shared" si="123"/>
        <v>ventilatoren</v>
      </c>
      <c r="T172" s="177" t="str">
        <f t="shared" si="123"/>
        <v>kookgas</v>
      </c>
      <c r="U172" s="177" t="str">
        <f t="shared" si="123"/>
        <v>overig elektra</v>
      </c>
      <c r="V172" s="177" t="str">
        <f t="shared" si="123"/>
        <v>mobiliteit</v>
      </c>
      <c r="W172" s="177"/>
      <c r="X172" s="191"/>
      <c r="Y172" s="938"/>
      <c r="Z172" s="191"/>
      <c r="AA172" s="177" t="str">
        <f t="shared" ref="AA172:AH172" si="124">AA$10</f>
        <v>verwarming</v>
      </c>
      <c r="AB172" s="177" t="str">
        <f t="shared" si="124"/>
        <v>koeling</v>
      </c>
      <c r="AC172" s="177" t="str">
        <f t="shared" si="124"/>
        <v>tapwater</v>
      </c>
      <c r="AD172" s="177" t="str">
        <f t="shared" si="124"/>
        <v>verlichting</v>
      </c>
      <c r="AE172" s="177" t="str">
        <f t="shared" si="124"/>
        <v>ventilatoren</v>
      </c>
      <c r="AF172" s="177" t="str">
        <f t="shared" si="124"/>
        <v>kookgas</v>
      </c>
      <c r="AG172" s="177" t="str">
        <f t="shared" si="124"/>
        <v>overig elektra</v>
      </c>
      <c r="AH172" s="177" t="str">
        <f t="shared" si="124"/>
        <v>mobiliteit</v>
      </c>
      <c r="AI172" s="177"/>
      <c r="AJ172" s="191"/>
      <c r="AK172" s="938"/>
      <c r="AL172" s="191"/>
      <c r="AM172" s="177" t="str">
        <f t="shared" ref="AM172:AT172" si="125">AM$10</f>
        <v>verwarming</v>
      </c>
      <c r="AN172" s="177" t="str">
        <f t="shared" si="125"/>
        <v>koeling</v>
      </c>
      <c r="AO172" s="177" t="str">
        <f t="shared" si="125"/>
        <v>tapwater</v>
      </c>
      <c r="AP172" s="177" t="str">
        <f t="shared" si="125"/>
        <v>verlichting</v>
      </c>
      <c r="AQ172" s="177" t="str">
        <f t="shared" si="125"/>
        <v>ventilatoren</v>
      </c>
      <c r="AR172" s="177" t="str">
        <f t="shared" si="125"/>
        <v>kookgas</v>
      </c>
      <c r="AS172" s="177" t="str">
        <f t="shared" si="125"/>
        <v>overig elektra</v>
      </c>
      <c r="AT172" s="177" t="str">
        <f t="shared" si="125"/>
        <v>mobiliteit</v>
      </c>
      <c r="AU172" s="177"/>
      <c r="AV172" s="191"/>
      <c r="AW172" s="938"/>
      <c r="AX172" s="191"/>
      <c r="AY172" s="177" t="str">
        <f t="shared" ref="AY172:BF172" si="126">AY$10</f>
        <v>verwarming</v>
      </c>
      <c r="AZ172" s="177" t="str">
        <f t="shared" si="126"/>
        <v>koeling</v>
      </c>
      <c r="BA172" s="177" t="str">
        <f t="shared" si="126"/>
        <v>tapwater</v>
      </c>
      <c r="BB172" s="177" t="str">
        <f t="shared" si="126"/>
        <v>verlichting</v>
      </c>
      <c r="BC172" s="177" t="str">
        <f t="shared" si="126"/>
        <v>ventilatoren</v>
      </c>
      <c r="BD172" s="177" t="str">
        <f t="shared" si="126"/>
        <v>kookgas</v>
      </c>
      <c r="BE172" s="177" t="str">
        <f t="shared" si="126"/>
        <v>overig elektra</v>
      </c>
      <c r="BF172" s="177" t="str">
        <f t="shared" si="126"/>
        <v>mobiliteit</v>
      </c>
      <c r="BG172" s="177"/>
      <c r="BH172" s="36"/>
    </row>
    <row r="173" spans="1:60" hidden="1">
      <c r="A173" s="1040"/>
      <c r="B173" s="1109" t="s">
        <v>223</v>
      </c>
      <c r="C173" s="1107" t="s">
        <v>181</v>
      </c>
      <c r="D173" s="638"/>
      <c r="E173" s="1172" t="s">
        <v>1350</v>
      </c>
      <c r="F173" s="1172"/>
      <c r="G173" s="254"/>
      <c r="H173" s="291" t="s">
        <v>204</v>
      </c>
      <c r="I173" s="191"/>
      <c r="J173" s="189"/>
      <c r="K173" s="79"/>
      <c r="L173" s="79"/>
      <c r="M173" s="189"/>
      <c r="N173" s="116"/>
      <c r="O173" s="151">
        <f>$G$5</f>
        <v>1.45</v>
      </c>
      <c r="P173" s="151">
        <f>$G$5</f>
        <v>1.45</v>
      </c>
      <c r="Q173" s="151">
        <f>$G$5</f>
        <v>1.45</v>
      </c>
      <c r="R173" s="151">
        <f>$G$5</f>
        <v>1.45</v>
      </c>
      <c r="S173" s="151">
        <f>$G$5</f>
        <v>1.45</v>
      </c>
      <c r="T173" s="151">
        <f>bibliotheek!$K$261</f>
        <v>1</v>
      </c>
      <c r="U173" s="151">
        <f>$G$5</f>
        <v>1.45</v>
      </c>
      <c r="V173" s="151">
        <f>$G$5</f>
        <v>1.45</v>
      </c>
      <c r="W173" s="384"/>
      <c r="X173" s="123"/>
      <c r="Y173" s="613"/>
      <c r="Z173" s="614"/>
      <c r="AA173" s="151">
        <f>$G$5</f>
        <v>1.45</v>
      </c>
      <c r="AB173" s="151">
        <f>$G$5</f>
        <v>1.45</v>
      </c>
      <c r="AC173" s="151">
        <f>$G$5</f>
        <v>1.45</v>
      </c>
      <c r="AD173" s="151">
        <f>$G$5</f>
        <v>1.45</v>
      </c>
      <c r="AE173" s="151">
        <f>$G$5</f>
        <v>1.45</v>
      </c>
      <c r="AF173" s="227">
        <f>bibliotheek!$K$261</f>
        <v>1</v>
      </c>
      <c r="AG173" s="151">
        <f>$G$5</f>
        <v>1.45</v>
      </c>
      <c r="AH173" s="151">
        <f>$G$5</f>
        <v>1.45</v>
      </c>
      <c r="AI173" s="384"/>
      <c r="AJ173" s="123"/>
      <c r="AK173" s="613"/>
      <c r="AL173" s="614"/>
      <c r="AM173" s="151">
        <f>$G$5</f>
        <v>1.45</v>
      </c>
      <c r="AN173" s="151">
        <f>$G$5</f>
        <v>1.45</v>
      </c>
      <c r="AO173" s="151">
        <f>$G$5</f>
        <v>1.45</v>
      </c>
      <c r="AP173" s="151">
        <f>$G$5</f>
        <v>1.45</v>
      </c>
      <c r="AQ173" s="151">
        <f>$G$5</f>
        <v>1.45</v>
      </c>
      <c r="AR173" s="227">
        <f>bibliotheek!$K$261</f>
        <v>1</v>
      </c>
      <c r="AS173" s="151">
        <f>$G$5</f>
        <v>1.45</v>
      </c>
      <c r="AT173" s="151">
        <f>$G$5</f>
        <v>1.45</v>
      </c>
      <c r="AU173" s="384"/>
      <c r="AV173" s="123"/>
      <c r="AW173" s="613"/>
      <c r="AX173" s="614"/>
      <c r="AY173" s="151">
        <f>$G$5</f>
        <v>1.45</v>
      </c>
      <c r="AZ173" s="151">
        <f>$G$5</f>
        <v>1.45</v>
      </c>
      <c r="BA173" s="151">
        <f>$G$5</f>
        <v>1.45</v>
      </c>
      <c r="BB173" s="151">
        <f>$G$5</f>
        <v>1.45</v>
      </c>
      <c r="BC173" s="151">
        <f>$G$5</f>
        <v>1.45</v>
      </c>
      <c r="BD173" s="227">
        <f>bibliotheek!$K$261</f>
        <v>1</v>
      </c>
      <c r="BE173" s="151">
        <f>$G$5</f>
        <v>1.45</v>
      </c>
      <c r="BF173" s="151">
        <f>$G$5</f>
        <v>1.45</v>
      </c>
      <c r="BG173" s="384"/>
      <c r="BH173" s="174"/>
    </row>
    <row r="174" spans="1:60">
      <c r="A174" s="1046"/>
      <c r="B174" s="1109" t="s">
        <v>223</v>
      </c>
      <c r="C174" s="1111" t="s">
        <v>104</v>
      </c>
      <c r="D174" s="643" t="s">
        <v>45</v>
      </c>
      <c r="E174" s="1173" t="s">
        <v>232</v>
      </c>
      <c r="F174" s="1174"/>
      <c r="G174" s="201"/>
      <c r="H174" s="201" t="s">
        <v>106</v>
      </c>
      <c r="I174" s="191"/>
      <c r="J174" s="202">
        <f>M174+Y174+AK174+AW174</f>
        <v>0</v>
      </c>
      <c r="K174" s="1062"/>
      <c r="L174" s="1062"/>
      <c r="M174" s="202">
        <f>SUM(O174:X174)</f>
        <v>0</v>
      </c>
      <c r="N174" s="89"/>
      <c r="O174" s="168">
        <f t="shared" ref="O174:V174" si="127">SUM(O$168:O$171)*O$173</f>
        <v>0</v>
      </c>
      <c r="P174" s="168">
        <f t="shared" si="127"/>
        <v>0</v>
      </c>
      <c r="Q174" s="168">
        <f t="shared" si="127"/>
        <v>0</v>
      </c>
      <c r="R174" s="168">
        <f t="shared" si="127"/>
        <v>0</v>
      </c>
      <c r="S174" s="168">
        <f t="shared" si="127"/>
        <v>0</v>
      </c>
      <c r="T174" s="168">
        <f t="shared" si="127"/>
        <v>0</v>
      </c>
      <c r="U174" s="168">
        <f>SUM(U$168:U$171)*U$173</f>
        <v>0</v>
      </c>
      <c r="V174" s="168">
        <f t="shared" si="127"/>
        <v>0</v>
      </c>
      <c r="W174" s="273"/>
      <c r="X174" s="113"/>
      <c r="Y174" s="202">
        <f>SUM(AA174:AJ174)</f>
        <v>0</v>
      </c>
      <c r="Z174" s="89"/>
      <c r="AA174" s="168">
        <f t="shared" ref="AA174:AH174" si="128">SUM(AA$168:AA$171)*AA$173</f>
        <v>0</v>
      </c>
      <c r="AB174" s="168">
        <f t="shared" si="128"/>
        <v>0</v>
      </c>
      <c r="AC174" s="168">
        <f t="shared" si="128"/>
        <v>0</v>
      </c>
      <c r="AD174" s="168">
        <f t="shared" si="128"/>
        <v>0</v>
      </c>
      <c r="AE174" s="168">
        <f t="shared" si="128"/>
        <v>0</v>
      </c>
      <c r="AF174" s="168">
        <f t="shared" si="128"/>
        <v>0</v>
      </c>
      <c r="AG174" s="168">
        <f t="shared" si="128"/>
        <v>0</v>
      </c>
      <c r="AH174" s="168">
        <f t="shared" si="128"/>
        <v>0</v>
      </c>
      <c r="AI174" s="273"/>
      <c r="AJ174" s="113"/>
      <c r="AK174" s="202">
        <f>SUM(AM174:AV174)</f>
        <v>0</v>
      </c>
      <c r="AL174" s="89"/>
      <c r="AM174" s="168">
        <f>SUM(AM$168:AM$171)*AM$173</f>
        <v>0</v>
      </c>
      <c r="AN174" s="168">
        <f t="shared" ref="AN174:AT174" si="129">SUM(AN$168:AN$171)*AN$173</f>
        <v>0</v>
      </c>
      <c r="AO174" s="168">
        <f t="shared" si="129"/>
        <v>0</v>
      </c>
      <c r="AP174" s="168">
        <f t="shared" si="129"/>
        <v>0</v>
      </c>
      <c r="AQ174" s="168">
        <f t="shared" si="129"/>
        <v>0</v>
      </c>
      <c r="AR174" s="168">
        <f t="shared" si="129"/>
        <v>0</v>
      </c>
      <c r="AS174" s="168">
        <f t="shared" si="129"/>
        <v>0</v>
      </c>
      <c r="AT174" s="168">
        <f t="shared" si="129"/>
        <v>0</v>
      </c>
      <c r="AU174" s="273"/>
      <c r="AV174" s="113"/>
      <c r="AW174" s="202">
        <f>SUM(AY174:BH174)</f>
        <v>0</v>
      </c>
      <c r="AX174" s="89"/>
      <c r="AY174" s="168">
        <f>SUM(AY$168:AY$171)*AY$173</f>
        <v>0</v>
      </c>
      <c r="AZ174" s="168">
        <f t="shared" ref="AZ174:BF174" si="130">SUM(AZ$168:AZ$171)*AZ$173</f>
        <v>0</v>
      </c>
      <c r="BA174" s="168">
        <f t="shared" si="130"/>
        <v>0</v>
      </c>
      <c r="BB174" s="168">
        <f t="shared" si="130"/>
        <v>0</v>
      </c>
      <c r="BC174" s="168">
        <f t="shared" si="130"/>
        <v>0</v>
      </c>
      <c r="BD174" s="168">
        <f t="shared" si="130"/>
        <v>0</v>
      </c>
      <c r="BE174" s="168">
        <f t="shared" si="130"/>
        <v>0</v>
      </c>
      <c r="BF174" s="168">
        <f t="shared" si="130"/>
        <v>0</v>
      </c>
      <c r="BG174" s="273"/>
      <c r="BH174" s="174"/>
    </row>
    <row r="175" spans="1:60">
      <c r="A175" s="1046"/>
      <c r="B175" s="1109" t="s">
        <v>223</v>
      </c>
      <c r="C175" s="1106" t="s">
        <v>96</v>
      </c>
      <c r="D175" s="638"/>
      <c r="E175" s="940" t="s">
        <v>1202</v>
      </c>
      <c r="F175" s="940"/>
      <c r="G175" s="940"/>
      <c r="H175" s="940"/>
      <c r="I175" s="77"/>
      <c r="J175" s="939"/>
      <c r="K175" s="126"/>
      <c r="L175" s="126"/>
      <c r="M175" s="938"/>
      <c r="N175" s="191"/>
      <c r="O175" s="177" t="str">
        <f t="shared" ref="O175:V175" si="131">O$10</f>
        <v>verwarming</v>
      </c>
      <c r="P175" s="177" t="str">
        <f t="shared" si="131"/>
        <v>koeling</v>
      </c>
      <c r="Q175" s="177" t="str">
        <f t="shared" si="131"/>
        <v>tapwater</v>
      </c>
      <c r="R175" s="177" t="str">
        <f t="shared" si="131"/>
        <v>verlichting</v>
      </c>
      <c r="S175" s="177" t="str">
        <f t="shared" si="131"/>
        <v>ventilatoren</v>
      </c>
      <c r="T175" s="177" t="str">
        <f t="shared" si="131"/>
        <v>kookgas</v>
      </c>
      <c r="U175" s="177" t="str">
        <f t="shared" si="131"/>
        <v>overig elektra</v>
      </c>
      <c r="V175" s="177" t="str">
        <f t="shared" si="131"/>
        <v>mobiliteit</v>
      </c>
      <c r="W175" s="177"/>
      <c r="X175" s="113"/>
      <c r="Y175" s="938"/>
      <c r="Z175" s="191"/>
      <c r="AA175" s="177" t="str">
        <f t="shared" ref="AA175:AH175" si="132">AA$10</f>
        <v>verwarming</v>
      </c>
      <c r="AB175" s="177" t="str">
        <f t="shared" si="132"/>
        <v>koeling</v>
      </c>
      <c r="AC175" s="177" t="str">
        <f t="shared" si="132"/>
        <v>tapwater</v>
      </c>
      <c r="AD175" s="177" t="str">
        <f t="shared" si="132"/>
        <v>verlichting</v>
      </c>
      <c r="AE175" s="177" t="str">
        <f t="shared" si="132"/>
        <v>ventilatoren</v>
      </c>
      <c r="AF175" s="177" t="str">
        <f t="shared" si="132"/>
        <v>kookgas</v>
      </c>
      <c r="AG175" s="177" t="str">
        <f t="shared" si="132"/>
        <v>overig elektra</v>
      </c>
      <c r="AH175" s="177" t="str">
        <f t="shared" si="132"/>
        <v>mobiliteit</v>
      </c>
      <c r="AI175" s="177"/>
      <c r="AJ175" s="113"/>
      <c r="AK175" s="938"/>
      <c r="AL175" s="191"/>
      <c r="AM175" s="177" t="str">
        <f t="shared" ref="AM175:AT175" si="133">AM$10</f>
        <v>verwarming</v>
      </c>
      <c r="AN175" s="177" t="str">
        <f t="shared" si="133"/>
        <v>koeling</v>
      </c>
      <c r="AO175" s="177" t="str">
        <f t="shared" si="133"/>
        <v>tapwater</v>
      </c>
      <c r="AP175" s="177" t="str">
        <f t="shared" si="133"/>
        <v>verlichting</v>
      </c>
      <c r="AQ175" s="177" t="str">
        <f t="shared" si="133"/>
        <v>ventilatoren</v>
      </c>
      <c r="AR175" s="177" t="str">
        <f t="shared" si="133"/>
        <v>kookgas</v>
      </c>
      <c r="AS175" s="177" t="str">
        <f t="shared" si="133"/>
        <v>overig elektra</v>
      </c>
      <c r="AT175" s="177" t="str">
        <f t="shared" si="133"/>
        <v>mobiliteit</v>
      </c>
      <c r="AU175" s="177"/>
      <c r="AV175" s="113"/>
      <c r="AW175" s="938"/>
      <c r="AX175" s="191"/>
      <c r="AY175" s="177" t="str">
        <f t="shared" ref="AY175:BF175" si="134">AY$10</f>
        <v>verwarming</v>
      </c>
      <c r="AZ175" s="177" t="str">
        <f t="shared" si="134"/>
        <v>koeling</v>
      </c>
      <c r="BA175" s="177" t="str">
        <f t="shared" si="134"/>
        <v>tapwater</v>
      </c>
      <c r="BB175" s="177" t="str">
        <f t="shared" si="134"/>
        <v>verlichting</v>
      </c>
      <c r="BC175" s="177" t="str">
        <f t="shared" si="134"/>
        <v>ventilatoren</v>
      </c>
      <c r="BD175" s="177" t="str">
        <f t="shared" si="134"/>
        <v>kookgas</v>
      </c>
      <c r="BE175" s="177" t="str">
        <f t="shared" si="134"/>
        <v>overig elektra</v>
      </c>
      <c r="BF175" s="177" t="str">
        <f t="shared" si="134"/>
        <v>mobiliteit</v>
      </c>
      <c r="BG175" s="177"/>
      <c r="BH175" s="174"/>
    </row>
    <row r="176" spans="1:60" hidden="1">
      <c r="A176" s="1046"/>
      <c r="B176" s="1109" t="s">
        <v>223</v>
      </c>
      <c r="C176" s="1107" t="s">
        <v>181</v>
      </c>
      <c r="D176" s="638"/>
      <c r="E176" s="1171" t="s">
        <v>1351</v>
      </c>
      <c r="F176" s="1172"/>
      <c r="G176" s="254"/>
      <c r="H176" s="181" t="s">
        <v>1208</v>
      </c>
      <c r="I176" s="191"/>
      <c r="J176" s="1014"/>
      <c r="K176" s="1062"/>
      <c r="L176" s="1062"/>
      <c r="M176" s="202"/>
      <c r="N176" s="89"/>
      <c r="O176" s="227">
        <f>bibliotheek!$I$307</f>
        <v>1.35</v>
      </c>
      <c r="P176" s="227">
        <f>bibliotheek!$I$307</f>
        <v>1.35</v>
      </c>
      <c r="Q176" s="227">
        <f>bibliotheek!$I$307</f>
        <v>1.35</v>
      </c>
      <c r="R176" s="227">
        <f>bibliotheek!$I$307</f>
        <v>1.35</v>
      </c>
      <c r="S176" s="227">
        <f>bibliotheek!$I$307</f>
        <v>1.35</v>
      </c>
      <c r="T176" s="227">
        <f>bibliotheek!$I$307</f>
        <v>1.35</v>
      </c>
      <c r="U176" s="227">
        <f>bibliotheek!$I$307</f>
        <v>1.35</v>
      </c>
      <c r="V176" s="227">
        <f>bibliotheek!$I$307</f>
        <v>1.35</v>
      </c>
      <c r="W176" s="273"/>
      <c r="X176" s="113"/>
      <c r="Y176" s="202"/>
      <c r="Z176" s="89"/>
      <c r="AA176" s="227">
        <f>bibliotheek!$I$307</f>
        <v>1.35</v>
      </c>
      <c r="AB176" s="227">
        <f>bibliotheek!$I$307</f>
        <v>1.35</v>
      </c>
      <c r="AC176" s="227">
        <f>bibliotheek!$I$307</f>
        <v>1.35</v>
      </c>
      <c r="AD176" s="227">
        <f>bibliotheek!$I$307</f>
        <v>1.35</v>
      </c>
      <c r="AE176" s="227">
        <f>bibliotheek!$I$307</f>
        <v>1.35</v>
      </c>
      <c r="AF176" s="227">
        <f>bibliotheek!$I$307</f>
        <v>1.35</v>
      </c>
      <c r="AG176" s="227">
        <f>bibliotheek!$I$307</f>
        <v>1.35</v>
      </c>
      <c r="AH176" s="227">
        <f>bibliotheek!$I$307</f>
        <v>1.35</v>
      </c>
      <c r="AI176" s="273"/>
      <c r="AJ176" s="113"/>
      <c r="AK176" s="202"/>
      <c r="AL176" s="89"/>
      <c r="AM176" s="227">
        <f>bibliotheek!$I$307</f>
        <v>1.35</v>
      </c>
      <c r="AN176" s="227">
        <f>bibliotheek!$I$307</f>
        <v>1.35</v>
      </c>
      <c r="AO176" s="227">
        <f>bibliotheek!$I$307</f>
        <v>1.35</v>
      </c>
      <c r="AP176" s="227">
        <f>bibliotheek!$I$307</f>
        <v>1.35</v>
      </c>
      <c r="AQ176" s="227">
        <f>bibliotheek!$I$307</f>
        <v>1.35</v>
      </c>
      <c r="AR176" s="227">
        <f>bibliotheek!$I$307</f>
        <v>1.35</v>
      </c>
      <c r="AS176" s="227">
        <f>bibliotheek!$I$307</f>
        <v>1.35</v>
      </c>
      <c r="AT176" s="227">
        <f>bibliotheek!$I$307</f>
        <v>1.35</v>
      </c>
      <c r="AU176" s="273"/>
      <c r="AV176" s="113"/>
      <c r="AW176" s="202"/>
      <c r="AX176" s="89"/>
      <c r="AY176" s="227">
        <f>bibliotheek!$I$307</f>
        <v>1.35</v>
      </c>
      <c r="AZ176" s="227">
        <f>bibliotheek!$I$307</f>
        <v>1.35</v>
      </c>
      <c r="BA176" s="227">
        <f>bibliotheek!$I$307</f>
        <v>1.35</v>
      </c>
      <c r="BB176" s="227">
        <f>bibliotheek!$I$307</f>
        <v>1.35</v>
      </c>
      <c r="BC176" s="227">
        <f>bibliotheek!$I$307</f>
        <v>1.35</v>
      </c>
      <c r="BD176" s="227">
        <f>bibliotheek!$I$307</f>
        <v>1.35</v>
      </c>
      <c r="BE176" s="227">
        <f>bibliotheek!$I$307</f>
        <v>1.35</v>
      </c>
      <c r="BF176" s="227">
        <f>bibliotheek!$I$307</f>
        <v>1.35</v>
      </c>
      <c r="BG176" s="273"/>
      <c r="BH176" s="174"/>
    </row>
    <row r="177" spans="1:60" hidden="1">
      <c r="A177" s="1046"/>
      <c r="B177" s="1109" t="s">
        <v>223</v>
      </c>
      <c r="C177" s="1107" t="s">
        <v>181</v>
      </c>
      <c r="D177" s="638"/>
      <c r="E177" s="1175" t="s">
        <v>1201</v>
      </c>
      <c r="F177" s="1176"/>
      <c r="G177" s="595"/>
      <c r="H177" s="1013" t="s">
        <v>65</v>
      </c>
      <c r="I177" s="191"/>
      <c r="J177" s="1014"/>
      <c r="K177" s="1062"/>
      <c r="L177" s="1062"/>
      <c r="M177" s="202"/>
      <c r="N177" s="89"/>
      <c r="O177" s="227">
        <f>bibliotheek!$J$263</f>
        <v>1</v>
      </c>
      <c r="P177" s="227">
        <f>bibliotheek!$J$263</f>
        <v>1</v>
      </c>
      <c r="Q177" s="227">
        <f>bibliotheek!$J$263</f>
        <v>1</v>
      </c>
      <c r="R177" s="227">
        <f>bibliotheek!$J$263</f>
        <v>1</v>
      </c>
      <c r="S177" s="227">
        <f>bibliotheek!$J$263</f>
        <v>1</v>
      </c>
      <c r="T177" s="227">
        <f>bibliotheek!$J$263</f>
        <v>1</v>
      </c>
      <c r="U177" s="227">
        <f>bibliotheek!$J$263</f>
        <v>1</v>
      </c>
      <c r="V177" s="227">
        <f>bibliotheek!$J$263</f>
        <v>1</v>
      </c>
      <c r="W177" s="273"/>
      <c r="X177" s="113"/>
      <c r="Y177" s="202"/>
      <c r="Z177" s="89"/>
      <c r="AA177" s="227">
        <f>bibliotheek!$J$263</f>
        <v>1</v>
      </c>
      <c r="AB177" s="227">
        <f>bibliotheek!$J$263</f>
        <v>1</v>
      </c>
      <c r="AC177" s="227">
        <f>bibliotheek!$J$263</f>
        <v>1</v>
      </c>
      <c r="AD177" s="227">
        <f>bibliotheek!$J$263</f>
        <v>1</v>
      </c>
      <c r="AE177" s="227">
        <f>bibliotheek!$J$263</f>
        <v>1</v>
      </c>
      <c r="AF177" s="227">
        <f>bibliotheek!$J$263</f>
        <v>1</v>
      </c>
      <c r="AG177" s="227">
        <f>bibliotheek!$J$263</f>
        <v>1</v>
      </c>
      <c r="AH177" s="227">
        <f>bibliotheek!$J$263</f>
        <v>1</v>
      </c>
      <c r="AI177" s="273"/>
      <c r="AJ177" s="113"/>
      <c r="AK177" s="202"/>
      <c r="AL177" s="89"/>
      <c r="AM177" s="227">
        <f>bibliotheek!$J$263</f>
        <v>1</v>
      </c>
      <c r="AN177" s="227">
        <f>bibliotheek!$J$263</f>
        <v>1</v>
      </c>
      <c r="AO177" s="227">
        <f>bibliotheek!$J$263</f>
        <v>1</v>
      </c>
      <c r="AP177" s="227">
        <f>bibliotheek!$J$263</f>
        <v>1</v>
      </c>
      <c r="AQ177" s="227">
        <f>bibliotheek!$J$263</f>
        <v>1</v>
      </c>
      <c r="AR177" s="227">
        <f>bibliotheek!$J$263</f>
        <v>1</v>
      </c>
      <c r="AS177" s="227">
        <f>bibliotheek!$J$263</f>
        <v>1</v>
      </c>
      <c r="AT177" s="227">
        <f>bibliotheek!$J$263</f>
        <v>1</v>
      </c>
      <c r="AU177" s="273"/>
      <c r="AV177" s="113"/>
      <c r="AW177" s="202"/>
      <c r="AX177" s="89"/>
      <c r="AY177" s="227">
        <f>bibliotheek!$J$263</f>
        <v>1</v>
      </c>
      <c r="AZ177" s="227">
        <f>bibliotheek!$J$263</f>
        <v>1</v>
      </c>
      <c r="BA177" s="227">
        <f>bibliotheek!$J$263</f>
        <v>1</v>
      </c>
      <c r="BB177" s="227">
        <f>bibliotheek!$J$263</f>
        <v>1</v>
      </c>
      <c r="BC177" s="227">
        <f>bibliotheek!$J$263</f>
        <v>1</v>
      </c>
      <c r="BD177" s="227">
        <f>bibliotheek!$J$263</f>
        <v>1</v>
      </c>
      <c r="BE177" s="227">
        <f>bibliotheek!$J$263</f>
        <v>1</v>
      </c>
      <c r="BF177" s="227">
        <f>bibliotheek!$J$263</f>
        <v>1</v>
      </c>
      <c r="BG177" s="273"/>
      <c r="BH177" s="174"/>
    </row>
    <row r="178" spans="1:60">
      <c r="A178" s="1046"/>
      <c r="B178" s="1109" t="s">
        <v>223</v>
      </c>
      <c r="C178" s="1111" t="s">
        <v>104</v>
      </c>
      <c r="D178" s="638"/>
      <c r="E178" s="1170" t="s">
        <v>232</v>
      </c>
      <c r="F178" s="1170"/>
      <c r="G178" s="181"/>
      <c r="H178" s="181" t="s">
        <v>1206</v>
      </c>
      <c r="I178" s="191"/>
      <c r="J178" s="202">
        <f>M178+Y178+AK178+AW178</f>
        <v>0</v>
      </c>
      <c r="K178" s="1062"/>
      <c r="L178" s="1062"/>
      <c r="M178" s="202">
        <f>SUM(O178:X178)</f>
        <v>0</v>
      </c>
      <c r="N178" s="89"/>
      <c r="O178" s="168">
        <f>SUM(O$168:O$171)*O$176*O177</f>
        <v>0</v>
      </c>
      <c r="P178" s="168">
        <f t="shared" ref="P178:V178" si="135">SUM(P$168:P$171)*P$176*P177</f>
        <v>0</v>
      </c>
      <c r="Q178" s="168">
        <f t="shared" si="135"/>
        <v>0</v>
      </c>
      <c r="R178" s="168">
        <f t="shared" si="135"/>
        <v>0</v>
      </c>
      <c r="S178" s="168">
        <f t="shared" si="135"/>
        <v>0</v>
      </c>
      <c r="T178" s="168">
        <f t="shared" si="135"/>
        <v>0</v>
      </c>
      <c r="U178" s="168">
        <f t="shared" si="135"/>
        <v>0</v>
      </c>
      <c r="V178" s="168">
        <f t="shared" si="135"/>
        <v>0</v>
      </c>
      <c r="W178" s="273"/>
      <c r="X178" s="113"/>
      <c r="Y178" s="202">
        <f>SUM(AA178:AJ178)</f>
        <v>0</v>
      </c>
      <c r="Z178" s="89"/>
      <c r="AA178" s="168">
        <f>SUM(AA$168:AA$171)*AA$176*AA177</f>
        <v>0</v>
      </c>
      <c r="AB178" s="168">
        <f t="shared" ref="AB178:AH178" si="136">SUM(AB$168:AB$171)*AB$176*AB177</f>
        <v>0</v>
      </c>
      <c r="AC178" s="168">
        <f t="shared" si="136"/>
        <v>0</v>
      </c>
      <c r="AD178" s="168">
        <f t="shared" si="136"/>
        <v>0</v>
      </c>
      <c r="AE178" s="168">
        <f t="shared" si="136"/>
        <v>0</v>
      </c>
      <c r="AF178" s="168">
        <f t="shared" si="136"/>
        <v>0</v>
      </c>
      <c r="AG178" s="168">
        <f t="shared" si="136"/>
        <v>0</v>
      </c>
      <c r="AH178" s="168">
        <f t="shared" si="136"/>
        <v>0</v>
      </c>
      <c r="AI178" s="273"/>
      <c r="AJ178" s="113"/>
      <c r="AK178" s="202">
        <f>SUM(AM178:AV178)</f>
        <v>0</v>
      </c>
      <c r="AL178" s="89"/>
      <c r="AM178" s="168">
        <f>SUM(AM$168:AM$171)*AM$176*AM177</f>
        <v>0</v>
      </c>
      <c r="AN178" s="168">
        <f t="shared" ref="AN178:AT178" si="137">SUM(AN$168:AN$171)*AN$176*AN177</f>
        <v>0</v>
      </c>
      <c r="AO178" s="168">
        <f t="shared" si="137"/>
        <v>0</v>
      </c>
      <c r="AP178" s="168">
        <f t="shared" si="137"/>
        <v>0</v>
      </c>
      <c r="AQ178" s="168">
        <f t="shared" si="137"/>
        <v>0</v>
      </c>
      <c r="AR178" s="168">
        <f t="shared" si="137"/>
        <v>0</v>
      </c>
      <c r="AS178" s="168">
        <f t="shared" si="137"/>
        <v>0</v>
      </c>
      <c r="AT178" s="168">
        <f t="shared" si="137"/>
        <v>0</v>
      </c>
      <c r="AU178" s="273"/>
      <c r="AV178" s="113"/>
      <c r="AW178" s="202">
        <f>SUM(AY178:BH178)</f>
        <v>0</v>
      </c>
      <c r="AX178" s="89"/>
      <c r="AY178" s="168">
        <f>SUM(AY$168:AY$171)*AY$176*AY177</f>
        <v>0</v>
      </c>
      <c r="AZ178" s="168">
        <f t="shared" ref="AZ178:BF178" si="138">SUM(AZ$168:AZ$171)*AZ$176*AZ177</f>
        <v>0</v>
      </c>
      <c r="BA178" s="168">
        <f t="shared" si="138"/>
        <v>0</v>
      </c>
      <c r="BB178" s="168">
        <f t="shared" si="138"/>
        <v>0</v>
      </c>
      <c r="BC178" s="168">
        <f t="shared" si="138"/>
        <v>0</v>
      </c>
      <c r="BD178" s="168">
        <f t="shared" si="138"/>
        <v>0</v>
      </c>
      <c r="BE178" s="168">
        <f t="shared" si="138"/>
        <v>0</v>
      </c>
      <c r="BF178" s="168">
        <f t="shared" si="138"/>
        <v>0</v>
      </c>
      <c r="BG178" s="273"/>
      <c r="BH178" s="174"/>
    </row>
    <row r="179" spans="1:60">
      <c r="A179" s="1040"/>
      <c r="B179" s="1109" t="s">
        <v>223</v>
      </c>
      <c r="C179" s="1106" t="s">
        <v>96</v>
      </c>
      <c r="D179" s="638"/>
      <c r="E179" s="940" t="s">
        <v>230</v>
      </c>
      <c r="F179" s="940"/>
      <c r="G179" s="940"/>
      <c r="H179" s="940"/>
      <c r="I179" s="77"/>
      <c r="J179" s="939"/>
      <c r="K179" s="126"/>
      <c r="L179" s="126"/>
      <c r="M179" s="938"/>
      <c r="N179" s="191"/>
      <c r="O179" s="177" t="str">
        <f t="shared" ref="O179:V179" si="139">O$10</f>
        <v>verwarming</v>
      </c>
      <c r="P179" s="177" t="str">
        <f t="shared" si="139"/>
        <v>koeling</v>
      </c>
      <c r="Q179" s="177" t="str">
        <f t="shared" si="139"/>
        <v>tapwater</v>
      </c>
      <c r="R179" s="177" t="str">
        <f t="shared" si="139"/>
        <v>verlichting</v>
      </c>
      <c r="S179" s="177" t="str">
        <f t="shared" si="139"/>
        <v>ventilatoren</v>
      </c>
      <c r="T179" s="177" t="str">
        <f t="shared" si="139"/>
        <v>kookgas</v>
      </c>
      <c r="U179" s="177" t="str">
        <f t="shared" si="139"/>
        <v>overig elektra</v>
      </c>
      <c r="V179" s="177" t="str">
        <f t="shared" si="139"/>
        <v>mobiliteit</v>
      </c>
      <c r="W179" s="177"/>
      <c r="X179" s="191"/>
      <c r="Y179" s="938"/>
      <c r="Z179" s="191"/>
      <c r="AA179" s="177" t="str">
        <f t="shared" ref="AA179:AH179" si="140">AA$10</f>
        <v>verwarming</v>
      </c>
      <c r="AB179" s="177" t="str">
        <f t="shared" si="140"/>
        <v>koeling</v>
      </c>
      <c r="AC179" s="177" t="str">
        <f t="shared" si="140"/>
        <v>tapwater</v>
      </c>
      <c r="AD179" s="177" t="str">
        <f t="shared" si="140"/>
        <v>verlichting</v>
      </c>
      <c r="AE179" s="177" t="str">
        <f t="shared" si="140"/>
        <v>ventilatoren</v>
      </c>
      <c r="AF179" s="177" t="str">
        <f t="shared" si="140"/>
        <v>kookgas</v>
      </c>
      <c r="AG179" s="177" t="str">
        <f t="shared" si="140"/>
        <v>overig elektra</v>
      </c>
      <c r="AH179" s="177" t="str">
        <f t="shared" si="140"/>
        <v>mobiliteit</v>
      </c>
      <c r="AI179" s="177"/>
      <c r="AJ179" s="191"/>
      <c r="AK179" s="938"/>
      <c r="AL179" s="191"/>
      <c r="AM179" s="177" t="str">
        <f t="shared" ref="AM179:AT179" si="141">AM$10</f>
        <v>verwarming</v>
      </c>
      <c r="AN179" s="177" t="str">
        <f t="shared" si="141"/>
        <v>koeling</v>
      </c>
      <c r="AO179" s="177" t="str">
        <f t="shared" si="141"/>
        <v>tapwater</v>
      </c>
      <c r="AP179" s="177" t="str">
        <f t="shared" si="141"/>
        <v>verlichting</v>
      </c>
      <c r="AQ179" s="177" t="str">
        <f t="shared" si="141"/>
        <v>ventilatoren</v>
      </c>
      <c r="AR179" s="177" t="str">
        <f t="shared" si="141"/>
        <v>kookgas</v>
      </c>
      <c r="AS179" s="177" t="str">
        <f t="shared" si="141"/>
        <v>overig elektra</v>
      </c>
      <c r="AT179" s="177" t="str">
        <f t="shared" si="141"/>
        <v>mobiliteit</v>
      </c>
      <c r="AU179" s="177"/>
      <c r="AV179" s="191"/>
      <c r="AW179" s="938"/>
      <c r="AX179" s="191"/>
      <c r="AY179" s="177" t="str">
        <f t="shared" ref="AY179:BF179" si="142">AY$10</f>
        <v>verwarming</v>
      </c>
      <c r="AZ179" s="177" t="str">
        <f t="shared" si="142"/>
        <v>koeling</v>
      </c>
      <c r="BA179" s="177" t="str">
        <f t="shared" si="142"/>
        <v>tapwater</v>
      </c>
      <c r="BB179" s="177" t="str">
        <f t="shared" si="142"/>
        <v>verlichting</v>
      </c>
      <c r="BC179" s="177" t="str">
        <f t="shared" si="142"/>
        <v>ventilatoren</v>
      </c>
      <c r="BD179" s="177" t="str">
        <f t="shared" si="142"/>
        <v>kookgas</v>
      </c>
      <c r="BE179" s="177" t="str">
        <f t="shared" si="142"/>
        <v>overig elektra</v>
      </c>
      <c r="BF179" s="177" t="str">
        <f t="shared" si="142"/>
        <v>mobiliteit</v>
      </c>
      <c r="BG179" s="177"/>
      <c r="BH179" s="36"/>
    </row>
    <row r="180" spans="1:60" hidden="1">
      <c r="A180" s="1040"/>
      <c r="B180" s="1109" t="s">
        <v>223</v>
      </c>
      <c r="C180" s="1107" t="s">
        <v>181</v>
      </c>
      <c r="D180" s="638"/>
      <c r="E180" s="180" t="s">
        <v>206</v>
      </c>
      <c r="F180" s="180"/>
      <c r="G180" s="180"/>
      <c r="H180" s="181" t="s">
        <v>207</v>
      </c>
      <c r="I180" s="191"/>
      <c r="J180" s="190"/>
      <c r="K180" s="79"/>
      <c r="L180" s="79"/>
      <c r="M180" s="190"/>
      <c r="N180" s="114"/>
      <c r="O180" s="228">
        <f>$H$5</f>
        <v>0.26800000000000002</v>
      </c>
      <c r="P180" s="228">
        <f t="shared" ref="P180:V180" si="143">$H$5</f>
        <v>0.26800000000000002</v>
      </c>
      <c r="Q180" s="228">
        <f t="shared" si="143"/>
        <v>0.26800000000000002</v>
      </c>
      <c r="R180" s="228">
        <f t="shared" si="143"/>
        <v>0.26800000000000002</v>
      </c>
      <c r="S180" s="228">
        <f t="shared" si="143"/>
        <v>0.26800000000000002</v>
      </c>
      <c r="T180" s="228">
        <f t="shared" si="143"/>
        <v>0.26800000000000002</v>
      </c>
      <c r="U180" s="228">
        <f t="shared" si="143"/>
        <v>0.26800000000000002</v>
      </c>
      <c r="V180" s="228">
        <f t="shared" si="143"/>
        <v>0.26800000000000002</v>
      </c>
      <c r="W180" s="355"/>
      <c r="X180" s="356"/>
      <c r="Y180" s="190"/>
      <c r="Z180" s="358"/>
      <c r="AA180" s="228">
        <f>$H$5</f>
        <v>0.26800000000000002</v>
      </c>
      <c r="AB180" s="228">
        <f t="shared" ref="AB180:AH180" si="144">$H$5</f>
        <v>0.26800000000000002</v>
      </c>
      <c r="AC180" s="228">
        <f t="shared" si="144"/>
        <v>0.26800000000000002</v>
      </c>
      <c r="AD180" s="228">
        <f t="shared" si="144"/>
        <v>0.26800000000000002</v>
      </c>
      <c r="AE180" s="228">
        <f t="shared" si="144"/>
        <v>0.26800000000000002</v>
      </c>
      <c r="AF180" s="168">
        <f t="shared" si="144"/>
        <v>0.26800000000000002</v>
      </c>
      <c r="AG180" s="228">
        <f t="shared" si="144"/>
        <v>0.26800000000000002</v>
      </c>
      <c r="AH180" s="228">
        <f t="shared" si="144"/>
        <v>0.26800000000000002</v>
      </c>
      <c r="AI180" s="355"/>
      <c r="AJ180" s="356"/>
      <c r="AK180" s="190"/>
      <c r="AL180" s="358"/>
      <c r="AM180" s="228">
        <f>$H$5</f>
        <v>0.26800000000000002</v>
      </c>
      <c r="AN180" s="228">
        <f t="shared" ref="AN180:AT180" si="145">$H$5</f>
        <v>0.26800000000000002</v>
      </c>
      <c r="AO180" s="228">
        <f t="shared" si="145"/>
        <v>0.26800000000000002</v>
      </c>
      <c r="AP180" s="228">
        <f t="shared" si="145"/>
        <v>0.26800000000000002</v>
      </c>
      <c r="AQ180" s="228">
        <f t="shared" si="145"/>
        <v>0.26800000000000002</v>
      </c>
      <c r="AR180" s="168">
        <f t="shared" si="145"/>
        <v>0.26800000000000002</v>
      </c>
      <c r="AS180" s="228">
        <f t="shared" si="145"/>
        <v>0.26800000000000002</v>
      </c>
      <c r="AT180" s="228">
        <f t="shared" si="145"/>
        <v>0.26800000000000002</v>
      </c>
      <c r="AU180" s="355"/>
      <c r="AV180" s="356"/>
      <c r="AW180" s="190"/>
      <c r="AX180" s="358"/>
      <c r="AY180" s="228">
        <f>$H$5</f>
        <v>0.26800000000000002</v>
      </c>
      <c r="AZ180" s="228">
        <f t="shared" ref="AZ180:BF180" si="146">$H$5</f>
        <v>0.26800000000000002</v>
      </c>
      <c r="BA180" s="228">
        <f t="shared" si="146"/>
        <v>0.26800000000000002</v>
      </c>
      <c r="BB180" s="228">
        <f t="shared" si="146"/>
        <v>0.26800000000000002</v>
      </c>
      <c r="BC180" s="228">
        <f t="shared" si="146"/>
        <v>0.26800000000000002</v>
      </c>
      <c r="BD180" s="168">
        <f t="shared" si="146"/>
        <v>0.26800000000000002</v>
      </c>
      <c r="BE180" s="228">
        <f t="shared" si="146"/>
        <v>0.26800000000000002</v>
      </c>
      <c r="BF180" s="228">
        <f t="shared" si="146"/>
        <v>0.26800000000000002</v>
      </c>
      <c r="BG180" s="274"/>
      <c r="BH180" s="174"/>
    </row>
    <row r="181" spans="1:60">
      <c r="A181" s="1046"/>
      <c r="B181" s="1109" t="s">
        <v>223</v>
      </c>
      <c r="C181" s="1111" t="s">
        <v>104</v>
      </c>
      <c r="D181" s="643"/>
      <c r="E181" s="1173" t="s">
        <v>232</v>
      </c>
      <c r="F181" s="201"/>
      <c r="G181" s="201"/>
      <c r="H181" s="201" t="s">
        <v>209</v>
      </c>
      <c r="I181" s="191"/>
      <c r="J181" s="202">
        <f>M181+Y181+AK181+AW181</f>
        <v>0</v>
      </c>
      <c r="K181" s="1062"/>
      <c r="L181" s="1062"/>
      <c r="M181" s="202">
        <f>SUM(O181:X181)</f>
        <v>0</v>
      </c>
      <c r="N181" s="89"/>
      <c r="O181" s="168">
        <f t="shared" ref="O181:V181" si="147">SUM(O$168:O$171)*O$180</f>
        <v>0</v>
      </c>
      <c r="P181" s="168">
        <f t="shared" si="147"/>
        <v>0</v>
      </c>
      <c r="Q181" s="168">
        <f t="shared" si="147"/>
        <v>0</v>
      </c>
      <c r="R181" s="168">
        <f t="shared" si="147"/>
        <v>0</v>
      </c>
      <c r="S181" s="168">
        <f t="shared" si="147"/>
        <v>0</v>
      </c>
      <c r="T181" s="168">
        <f t="shared" si="147"/>
        <v>0</v>
      </c>
      <c r="U181" s="168">
        <f t="shared" si="147"/>
        <v>0</v>
      </c>
      <c r="V181" s="168">
        <f t="shared" si="147"/>
        <v>0</v>
      </c>
      <c r="W181" s="273"/>
      <c r="X181" s="113"/>
      <c r="Y181" s="202">
        <f>SUM(AA181:AJ181)</f>
        <v>0</v>
      </c>
      <c r="Z181" s="89"/>
      <c r="AA181" s="168">
        <f t="shared" ref="AA181:AH181" si="148">SUM(AA$168:AA$171)*AA$180</f>
        <v>0</v>
      </c>
      <c r="AB181" s="168">
        <f t="shared" si="148"/>
        <v>0</v>
      </c>
      <c r="AC181" s="168">
        <f t="shared" si="148"/>
        <v>0</v>
      </c>
      <c r="AD181" s="168">
        <f t="shared" si="148"/>
        <v>0</v>
      </c>
      <c r="AE181" s="168">
        <f t="shared" si="148"/>
        <v>0</v>
      </c>
      <c r="AF181" s="168">
        <f t="shared" si="148"/>
        <v>0</v>
      </c>
      <c r="AG181" s="168">
        <f t="shared" si="148"/>
        <v>0</v>
      </c>
      <c r="AH181" s="168">
        <f t="shared" si="148"/>
        <v>0</v>
      </c>
      <c r="AI181" s="273"/>
      <c r="AJ181" s="113"/>
      <c r="AK181" s="202">
        <f>SUM(AM181:AV181)</f>
        <v>0</v>
      </c>
      <c r="AL181" s="89"/>
      <c r="AM181" s="168">
        <f t="shared" ref="AM181:AT181" si="149">SUM(AM$168:AM$171)*AM$180</f>
        <v>0</v>
      </c>
      <c r="AN181" s="168">
        <f t="shared" si="149"/>
        <v>0</v>
      </c>
      <c r="AO181" s="168">
        <f t="shared" si="149"/>
        <v>0</v>
      </c>
      <c r="AP181" s="168">
        <f t="shared" si="149"/>
        <v>0</v>
      </c>
      <c r="AQ181" s="168">
        <f t="shared" si="149"/>
        <v>0</v>
      </c>
      <c r="AR181" s="168">
        <f t="shared" si="149"/>
        <v>0</v>
      </c>
      <c r="AS181" s="168">
        <f t="shared" si="149"/>
        <v>0</v>
      </c>
      <c r="AT181" s="168">
        <f t="shared" si="149"/>
        <v>0</v>
      </c>
      <c r="AU181" s="273"/>
      <c r="AV181" s="113"/>
      <c r="AW181" s="202">
        <f>SUM(AY181:BH181)</f>
        <v>0</v>
      </c>
      <c r="AX181" s="89"/>
      <c r="AY181" s="168">
        <f t="shared" ref="AY181:BF181" si="150">SUM(AY$168:AY$171)*AY$180</f>
        <v>0</v>
      </c>
      <c r="AZ181" s="168">
        <f t="shared" si="150"/>
        <v>0</v>
      </c>
      <c r="BA181" s="168">
        <f t="shared" si="150"/>
        <v>0</v>
      </c>
      <c r="BB181" s="168">
        <f t="shared" si="150"/>
        <v>0</v>
      </c>
      <c r="BC181" s="168">
        <f t="shared" si="150"/>
        <v>0</v>
      </c>
      <c r="BD181" s="168">
        <f t="shared" si="150"/>
        <v>0</v>
      </c>
      <c r="BE181" s="168">
        <f t="shared" si="150"/>
        <v>0</v>
      </c>
      <c r="BF181" s="168">
        <f t="shared" si="150"/>
        <v>0</v>
      </c>
      <c r="BG181" s="273"/>
      <c r="BH181" s="174"/>
    </row>
    <row r="182" spans="1:60">
      <c r="A182" s="1040"/>
      <c r="B182" s="1109" t="s">
        <v>223</v>
      </c>
      <c r="C182" s="1106" t="s">
        <v>96</v>
      </c>
      <c r="D182" s="638"/>
      <c r="E182" s="79"/>
      <c r="F182" s="79"/>
      <c r="G182" s="79"/>
      <c r="H182" s="85"/>
      <c r="I182" s="191"/>
      <c r="J182" s="82"/>
      <c r="K182" s="79"/>
      <c r="L182" s="79"/>
      <c r="M182" s="82"/>
      <c r="N182" s="79"/>
      <c r="O182" s="117"/>
      <c r="P182" s="82"/>
      <c r="Q182" s="117"/>
      <c r="R182" s="82"/>
      <c r="S182" s="82"/>
      <c r="T182" s="82"/>
      <c r="U182" s="82"/>
      <c r="V182" s="82"/>
      <c r="W182" s="82"/>
      <c r="X182" s="82"/>
      <c r="Y182" s="82"/>
      <c r="Z182" s="79"/>
      <c r="AA182" s="117"/>
      <c r="AB182" s="82"/>
      <c r="AC182" s="117"/>
      <c r="AD182" s="82"/>
      <c r="AE182" s="82"/>
      <c r="AF182" s="82"/>
      <c r="AG182" s="82"/>
      <c r="AH182" s="82"/>
      <c r="AI182" s="82"/>
      <c r="AJ182" s="82"/>
      <c r="AK182" s="82"/>
      <c r="AL182" s="79"/>
      <c r="AM182" s="117"/>
      <c r="AN182" s="82"/>
      <c r="AO182" s="117"/>
      <c r="AP182" s="82"/>
      <c r="AQ182" s="82"/>
      <c r="AR182" s="82"/>
      <c r="AS182" s="82"/>
      <c r="AT182" s="82"/>
      <c r="AU182" s="82"/>
      <c r="AV182" s="82"/>
      <c r="AW182" s="82"/>
      <c r="AX182" s="79"/>
      <c r="AY182" s="117"/>
      <c r="AZ182" s="82"/>
      <c r="BA182" s="117"/>
      <c r="BB182" s="82"/>
      <c r="BC182" s="82"/>
      <c r="BD182" s="82"/>
      <c r="BE182" s="82"/>
      <c r="BF182" s="82"/>
      <c r="BG182" s="82"/>
      <c r="BH182" s="1"/>
    </row>
    <row r="183" spans="1:60">
      <c r="A183" s="1040"/>
      <c r="B183" s="1109" t="s">
        <v>231</v>
      </c>
      <c r="C183" s="1107" t="s">
        <v>96</v>
      </c>
      <c r="D183" s="638"/>
      <c r="E183" s="79"/>
      <c r="F183" s="79"/>
      <c r="G183" s="79"/>
      <c r="H183" s="79"/>
      <c r="I183" s="79"/>
      <c r="J183" s="82"/>
      <c r="K183" s="79"/>
      <c r="L183" s="79"/>
      <c r="M183" s="82"/>
      <c r="N183" s="79"/>
      <c r="O183" s="117"/>
      <c r="P183" s="82"/>
      <c r="Q183" s="117"/>
      <c r="R183" s="82"/>
      <c r="S183" s="82"/>
      <c r="T183" s="82"/>
      <c r="U183" s="82"/>
      <c r="V183" s="82"/>
      <c r="W183" s="82"/>
      <c r="X183" s="82"/>
      <c r="Y183" s="82"/>
      <c r="Z183" s="79"/>
      <c r="AA183" s="117"/>
      <c r="AB183" s="82"/>
      <c r="AC183" s="117"/>
      <c r="AD183" s="82"/>
      <c r="AE183" s="82"/>
      <c r="AF183" s="82"/>
      <c r="AG183" s="82"/>
      <c r="AH183" s="82"/>
      <c r="AI183" s="82"/>
      <c r="AJ183" s="82"/>
      <c r="AK183" s="82"/>
      <c r="AL183" s="79"/>
      <c r="AM183" s="117"/>
      <c r="AN183" s="82"/>
      <c r="AO183" s="117"/>
      <c r="AP183" s="82"/>
      <c r="AQ183" s="82"/>
      <c r="AR183" s="82"/>
      <c r="AS183" s="82"/>
      <c r="AT183" s="82"/>
      <c r="AU183" s="82"/>
      <c r="AV183" s="82"/>
      <c r="AW183" s="82"/>
      <c r="AX183" s="79"/>
      <c r="AY183" s="117"/>
      <c r="AZ183" s="82"/>
      <c r="BA183" s="117"/>
      <c r="BB183" s="82"/>
      <c r="BC183" s="82"/>
      <c r="BD183" s="82"/>
      <c r="BE183" s="82"/>
      <c r="BF183" s="82"/>
      <c r="BG183" s="82"/>
      <c r="BH183" s="1"/>
    </row>
    <row r="184" spans="1:60" ht="21">
      <c r="A184" s="1040"/>
      <c r="B184" s="1109" t="s">
        <v>231</v>
      </c>
      <c r="C184" s="1106" t="s">
        <v>96</v>
      </c>
      <c r="D184" s="643"/>
      <c r="E184" s="199" t="s">
        <v>1275</v>
      </c>
      <c r="F184" s="199"/>
      <c r="G184" s="199"/>
      <c r="H184" s="199"/>
      <c r="I184" s="77"/>
      <c r="J184" s="200" t="str">
        <f>J$10</f>
        <v>alle locaties</v>
      </c>
      <c r="K184" s="126"/>
      <c r="L184" s="126"/>
      <c r="M184" s="200" t="str">
        <f>M$10</f>
        <v>locatie 1</v>
      </c>
      <c r="N184" s="182"/>
      <c r="O184" s="966" t="str">
        <f>$E184&amp;" per energiepost"</f>
        <v>overzicht elektriciteitsgebruik en lokale elektriciteitsproductie per energiepost</v>
      </c>
      <c r="P184" s="941"/>
      <c r="Q184" s="941"/>
      <c r="R184" s="941"/>
      <c r="S184" s="941"/>
      <c r="T184" s="941"/>
      <c r="U184" s="941"/>
      <c r="V184" s="941"/>
      <c r="W184" s="956"/>
      <c r="X184" s="174"/>
      <c r="Y184" s="200" t="str">
        <f>Y$10</f>
        <v>locatie 2</v>
      </c>
      <c r="Z184" s="182"/>
      <c r="AA184" s="966" t="str">
        <f>$E184&amp;" per energiepost"</f>
        <v>overzicht elektriciteitsgebruik en lokale elektriciteitsproductie per energiepost</v>
      </c>
      <c r="AB184" s="941"/>
      <c r="AC184" s="941"/>
      <c r="AD184" s="941"/>
      <c r="AE184" s="941"/>
      <c r="AF184" s="941"/>
      <c r="AG184" s="941"/>
      <c r="AH184" s="941"/>
      <c r="AI184" s="956"/>
      <c r="AJ184" s="174"/>
      <c r="AK184" s="200" t="str">
        <f>AK$10</f>
        <v>locatie 3</v>
      </c>
      <c r="AL184" s="182"/>
      <c r="AM184" s="966" t="str">
        <f>$E184&amp;" per energiepost"</f>
        <v>overzicht elektriciteitsgebruik en lokale elektriciteitsproductie per energiepost</v>
      </c>
      <c r="AN184" s="941"/>
      <c r="AO184" s="941"/>
      <c r="AP184" s="941"/>
      <c r="AQ184" s="941"/>
      <c r="AR184" s="941"/>
      <c r="AS184" s="941"/>
      <c r="AT184" s="941"/>
      <c r="AU184" s="956"/>
      <c r="AV184" s="174"/>
      <c r="AW184" s="200" t="str">
        <f>AW$10</f>
        <v>locatie 4</v>
      </c>
      <c r="AX184" s="182"/>
      <c r="AY184" s="966" t="str">
        <f>$E184&amp;" per energiepost"</f>
        <v>overzicht elektriciteitsgebruik en lokale elektriciteitsproductie per energiepost</v>
      </c>
      <c r="AZ184" s="941"/>
      <c r="BA184" s="941"/>
      <c r="BB184" s="941"/>
      <c r="BC184" s="941"/>
      <c r="BD184" s="941"/>
      <c r="BE184" s="941"/>
      <c r="BF184" s="941"/>
      <c r="BG184" s="956"/>
      <c r="BH184" s="1"/>
    </row>
    <row r="185" spans="1:60">
      <c r="A185" s="1040"/>
      <c r="B185" s="1109" t="s">
        <v>231</v>
      </c>
      <c r="C185" s="1106" t="s">
        <v>96</v>
      </c>
      <c r="D185" s="638"/>
      <c r="E185" s="940" t="s">
        <v>1241</v>
      </c>
      <c r="F185" s="940"/>
      <c r="G185" s="940"/>
      <c r="H185" s="940"/>
      <c r="I185" s="77"/>
      <c r="J185" s="939"/>
      <c r="K185" s="126"/>
      <c r="L185" s="126"/>
      <c r="M185" s="938"/>
      <c r="N185" s="191"/>
      <c r="O185" s="177" t="str">
        <f t="shared" ref="O185:W185" si="151">O$10</f>
        <v>verwarming</v>
      </c>
      <c r="P185" s="177" t="str">
        <f t="shared" si="151"/>
        <v>koeling</v>
      </c>
      <c r="Q185" s="177" t="str">
        <f t="shared" si="151"/>
        <v>tapwater</v>
      </c>
      <c r="R185" s="177" t="str">
        <f t="shared" si="151"/>
        <v>verlichting</v>
      </c>
      <c r="S185" s="177" t="str">
        <f t="shared" si="151"/>
        <v>ventilatoren</v>
      </c>
      <c r="T185" s="177" t="str">
        <f t="shared" si="151"/>
        <v>kookgas</v>
      </c>
      <c r="U185" s="177" t="str">
        <f t="shared" si="151"/>
        <v>overig elektra</v>
      </c>
      <c r="V185" s="177" t="str">
        <f t="shared" si="151"/>
        <v>mobiliteit</v>
      </c>
      <c r="W185" s="177" t="str">
        <f t="shared" si="151"/>
        <v>zonnepanelen</v>
      </c>
      <c r="X185" s="191"/>
      <c r="Y185" s="938"/>
      <c r="Z185" s="191"/>
      <c r="AA185" s="177" t="str">
        <f t="shared" ref="AA185:AI185" si="152">AA$10</f>
        <v>verwarming</v>
      </c>
      <c r="AB185" s="177" t="str">
        <f t="shared" si="152"/>
        <v>koeling</v>
      </c>
      <c r="AC185" s="177" t="str">
        <f t="shared" si="152"/>
        <v>tapwater</v>
      </c>
      <c r="AD185" s="177" t="str">
        <f t="shared" si="152"/>
        <v>verlichting</v>
      </c>
      <c r="AE185" s="177" t="str">
        <f t="shared" si="152"/>
        <v>ventilatoren</v>
      </c>
      <c r="AF185" s="177" t="str">
        <f t="shared" si="152"/>
        <v>kookgas</v>
      </c>
      <c r="AG185" s="177" t="str">
        <f t="shared" si="152"/>
        <v>overig elektra</v>
      </c>
      <c r="AH185" s="177" t="str">
        <f t="shared" si="152"/>
        <v>mobiliteit</v>
      </c>
      <c r="AI185" s="177" t="str">
        <f t="shared" si="152"/>
        <v>zonnepanelen</v>
      </c>
      <c r="AJ185" s="191"/>
      <c r="AK185" s="938"/>
      <c r="AL185" s="191"/>
      <c r="AM185" s="177" t="str">
        <f t="shared" ref="AM185:AU185" si="153">AM$10</f>
        <v>verwarming</v>
      </c>
      <c r="AN185" s="177" t="str">
        <f t="shared" si="153"/>
        <v>koeling</v>
      </c>
      <c r="AO185" s="177" t="str">
        <f t="shared" si="153"/>
        <v>tapwater</v>
      </c>
      <c r="AP185" s="177" t="str">
        <f t="shared" si="153"/>
        <v>verlichting</v>
      </c>
      <c r="AQ185" s="177" t="str">
        <f t="shared" si="153"/>
        <v>ventilatoren</v>
      </c>
      <c r="AR185" s="177" t="str">
        <f t="shared" si="153"/>
        <v>kookgas</v>
      </c>
      <c r="AS185" s="177" t="str">
        <f t="shared" si="153"/>
        <v>overig elektra</v>
      </c>
      <c r="AT185" s="177" t="str">
        <f t="shared" si="153"/>
        <v>mobiliteit</v>
      </c>
      <c r="AU185" s="177" t="str">
        <f t="shared" si="153"/>
        <v>zonnepanelen</v>
      </c>
      <c r="AV185" s="191"/>
      <c r="AW185" s="938"/>
      <c r="AX185" s="191"/>
      <c r="AY185" s="177" t="str">
        <f t="shared" ref="AY185:BG185" si="154">AY$10</f>
        <v>verwarming</v>
      </c>
      <c r="AZ185" s="177" t="str">
        <f t="shared" si="154"/>
        <v>koeling</v>
      </c>
      <c r="BA185" s="177" t="str">
        <f t="shared" si="154"/>
        <v>tapwater</v>
      </c>
      <c r="BB185" s="177" t="str">
        <f t="shared" si="154"/>
        <v>verlichting</v>
      </c>
      <c r="BC185" s="177" t="str">
        <f t="shared" si="154"/>
        <v>ventilatoren</v>
      </c>
      <c r="BD185" s="177" t="str">
        <f t="shared" si="154"/>
        <v>kookgas</v>
      </c>
      <c r="BE185" s="177" t="str">
        <f t="shared" si="154"/>
        <v>overig elektra</v>
      </c>
      <c r="BF185" s="177" t="str">
        <f t="shared" si="154"/>
        <v>mobiliteit</v>
      </c>
      <c r="BG185" s="177" t="str">
        <f t="shared" si="154"/>
        <v>zonnepanelen</v>
      </c>
      <c r="BH185" s="36"/>
    </row>
    <row r="186" spans="1:60" s="2" customFormat="1" hidden="1">
      <c r="A186" s="1038"/>
      <c r="B186" s="1109" t="s">
        <v>231</v>
      </c>
      <c r="C186" s="1106" t="s">
        <v>181</v>
      </c>
      <c r="D186" s="645" t="s">
        <v>45</v>
      </c>
      <c r="E186" s="180" t="s">
        <v>1238</v>
      </c>
      <c r="F186" s="180"/>
      <c r="G186" s="180"/>
      <c r="H186" s="181" t="s">
        <v>160</v>
      </c>
      <c r="I186" s="114"/>
      <c r="J186" s="202">
        <f>M186+Y186+AK186+AW186</f>
        <v>0</v>
      </c>
      <c r="K186" s="243"/>
      <c r="L186" s="243"/>
      <c r="M186" s="202">
        <f>SUM(N186:X186)</f>
        <v>0</v>
      </c>
      <c r="N186" s="89"/>
      <c r="O186" s="273"/>
      <c r="P186" s="273"/>
      <c r="Q186" s="273"/>
      <c r="R186" s="273"/>
      <c r="S186" s="273"/>
      <c r="T186" s="273"/>
      <c r="U186" s="273"/>
      <c r="V186" s="273"/>
      <c r="W186" s="168">
        <f>-W78</f>
        <v>0</v>
      </c>
      <c r="X186" s="113"/>
      <c r="Y186" s="202">
        <f>SUM(Z186:AJ186)</f>
        <v>0</v>
      </c>
      <c r="Z186" s="89"/>
      <c r="AA186" s="273"/>
      <c r="AB186" s="273"/>
      <c r="AC186" s="273"/>
      <c r="AD186" s="273"/>
      <c r="AE186" s="273"/>
      <c r="AF186" s="273"/>
      <c r="AG186" s="273"/>
      <c r="AH186" s="273"/>
      <c r="AI186" s="168">
        <f>-AI78</f>
        <v>0</v>
      </c>
      <c r="AJ186" s="113"/>
      <c r="AK186" s="202">
        <f>SUM(AL186:AV186)</f>
        <v>0</v>
      </c>
      <c r="AL186" s="89"/>
      <c r="AM186" s="273"/>
      <c r="AN186" s="273"/>
      <c r="AO186" s="273"/>
      <c r="AP186" s="273"/>
      <c r="AQ186" s="273"/>
      <c r="AR186" s="273"/>
      <c r="AS186" s="273"/>
      <c r="AT186" s="273"/>
      <c r="AU186" s="168">
        <f>-AU78</f>
        <v>0</v>
      </c>
      <c r="AV186" s="113"/>
      <c r="AW186" s="202">
        <f>SUM(AX186:BH186)</f>
        <v>0</v>
      </c>
      <c r="AX186" s="89"/>
      <c r="AY186" s="273"/>
      <c r="AZ186" s="273"/>
      <c r="BA186" s="273"/>
      <c r="BB186" s="273"/>
      <c r="BC186" s="273"/>
      <c r="BD186" s="273"/>
      <c r="BE186" s="273"/>
      <c r="BF186" s="273"/>
      <c r="BG186" s="168">
        <f>-BG78</f>
        <v>0</v>
      </c>
      <c r="BH186" s="210"/>
    </row>
    <row r="187" spans="1:60" s="2" customFormat="1" hidden="1">
      <c r="A187" s="1038"/>
      <c r="B187" s="1109" t="s">
        <v>231</v>
      </c>
      <c r="C187" s="1106" t="s">
        <v>181</v>
      </c>
      <c r="D187" s="644"/>
      <c r="E187" s="180" t="s">
        <v>1237</v>
      </c>
      <c r="F187" s="180"/>
      <c r="G187" s="180"/>
      <c r="H187" s="181" t="s">
        <v>160</v>
      </c>
      <c r="I187" s="114"/>
      <c r="J187" s="202">
        <f>M187+Y187+AK187+AW187</f>
        <v>0</v>
      </c>
      <c r="K187" s="243"/>
      <c r="L187" s="243"/>
      <c r="M187" s="202">
        <f>SUM(N187:X187)</f>
        <v>0</v>
      </c>
      <c r="N187" s="89"/>
      <c r="O187" s="168">
        <f>O$116*O$134</f>
        <v>0</v>
      </c>
      <c r="P187" s="168">
        <f>P$116*P$134</f>
        <v>0</v>
      </c>
      <c r="Q187" s="168">
        <f>Q$116*Q$134</f>
        <v>0</v>
      </c>
      <c r="R187" s="273"/>
      <c r="S187" s="273"/>
      <c r="T187" s="273"/>
      <c r="U187" s="273"/>
      <c r="V187" s="273"/>
      <c r="W187" s="273"/>
      <c r="X187" s="113"/>
      <c r="Y187" s="202">
        <f>SUM(Z187:AJ187)</f>
        <v>0</v>
      </c>
      <c r="Z187" s="89"/>
      <c r="AA187" s="168">
        <f>AA$116*AA$134</f>
        <v>0</v>
      </c>
      <c r="AB187" s="168">
        <f>AB$116*AB$134</f>
        <v>0</v>
      </c>
      <c r="AC187" s="168">
        <f>AC$116*AC$134</f>
        <v>0</v>
      </c>
      <c r="AD187" s="273"/>
      <c r="AE187" s="273"/>
      <c r="AF187" s="273"/>
      <c r="AG187" s="273"/>
      <c r="AH187" s="273"/>
      <c r="AI187" s="273"/>
      <c r="AJ187" s="113"/>
      <c r="AK187" s="202">
        <f>SUM(AL187:AV187)</f>
        <v>0</v>
      </c>
      <c r="AL187" s="89"/>
      <c r="AM187" s="168">
        <f>AM$116*AM$134</f>
        <v>0</v>
      </c>
      <c r="AN187" s="168">
        <f>AN$116*AN$134</f>
        <v>0</v>
      </c>
      <c r="AO187" s="168">
        <f>AO$116*AO$134</f>
        <v>0</v>
      </c>
      <c r="AP187" s="273"/>
      <c r="AQ187" s="273"/>
      <c r="AR187" s="273"/>
      <c r="AS187" s="273"/>
      <c r="AT187" s="273"/>
      <c r="AU187" s="273"/>
      <c r="AV187" s="113"/>
      <c r="AW187" s="202">
        <f>SUM(AX187:BH187)</f>
        <v>0</v>
      </c>
      <c r="AX187" s="89"/>
      <c r="AY187" s="168">
        <f>AY$116*AY$134</f>
        <v>0</v>
      </c>
      <c r="AZ187" s="168">
        <f>AZ$116*AZ$134</f>
        <v>0</v>
      </c>
      <c r="BA187" s="168">
        <f>BA$116*BA$134</f>
        <v>0</v>
      </c>
      <c r="BB187" s="273"/>
      <c r="BC187" s="273"/>
      <c r="BD187" s="273"/>
      <c r="BE187" s="273"/>
      <c r="BF187" s="273"/>
      <c r="BG187" s="273"/>
      <c r="BH187" s="210"/>
    </row>
    <row r="188" spans="1:60" s="2" customFormat="1" hidden="1">
      <c r="A188" s="1038"/>
      <c r="B188" s="1109" t="s">
        <v>231</v>
      </c>
      <c r="C188" s="1106" t="s">
        <v>181</v>
      </c>
      <c r="D188" s="644"/>
      <c r="E188" s="180" t="s">
        <v>232</v>
      </c>
      <c r="F188" s="180"/>
      <c r="G188" s="180"/>
      <c r="H188" s="181" t="s">
        <v>160</v>
      </c>
      <c r="I188" s="114"/>
      <c r="J188" s="202">
        <f>J187+J186</f>
        <v>0</v>
      </c>
      <c r="K188" s="243"/>
      <c r="L188" s="243"/>
      <c r="M188" s="202">
        <f>M187+M186</f>
        <v>0</v>
      </c>
      <c r="N188" s="89"/>
      <c r="O188" s="168">
        <f>O187+O186</f>
        <v>0</v>
      </c>
      <c r="P188" s="168">
        <f>P187+P186</f>
        <v>0</v>
      </c>
      <c r="Q188" s="168">
        <f>Q187+Q186</f>
        <v>0</v>
      </c>
      <c r="R188" s="273"/>
      <c r="S188" s="273"/>
      <c r="T188" s="273"/>
      <c r="U188" s="273"/>
      <c r="V188" s="273"/>
      <c r="W188" s="168">
        <f>W187+W186</f>
        <v>0</v>
      </c>
      <c r="X188" s="113"/>
      <c r="Y188" s="202">
        <f>Y187+Y186</f>
        <v>0</v>
      </c>
      <c r="Z188" s="89"/>
      <c r="AA188" s="168">
        <f>AA187+AA186</f>
        <v>0</v>
      </c>
      <c r="AB188" s="168">
        <f>AB187+AB186</f>
        <v>0</v>
      </c>
      <c r="AC188" s="168">
        <f>AC187+AC186</f>
        <v>0</v>
      </c>
      <c r="AD188" s="273"/>
      <c r="AE188" s="273"/>
      <c r="AF188" s="273"/>
      <c r="AG188" s="273"/>
      <c r="AH188" s="273"/>
      <c r="AI188" s="168">
        <f>AI187+AI186</f>
        <v>0</v>
      </c>
      <c r="AJ188" s="113"/>
      <c r="AK188" s="202">
        <f>AK187+AK186</f>
        <v>0</v>
      </c>
      <c r="AL188" s="89"/>
      <c r="AM188" s="168">
        <f>AM187+AM186</f>
        <v>0</v>
      </c>
      <c r="AN188" s="168">
        <f>AN187+AN186</f>
        <v>0</v>
      </c>
      <c r="AO188" s="168">
        <f>AO187+AO186</f>
        <v>0</v>
      </c>
      <c r="AP188" s="273"/>
      <c r="AQ188" s="273"/>
      <c r="AR188" s="273"/>
      <c r="AS188" s="273"/>
      <c r="AT188" s="273"/>
      <c r="AU188" s="168">
        <f>AU187+AU186</f>
        <v>0</v>
      </c>
      <c r="AV188" s="113"/>
      <c r="AW188" s="202">
        <f>AW187+AW186</f>
        <v>0</v>
      </c>
      <c r="AX188" s="89"/>
      <c r="AY188" s="168">
        <f>AY187+AY186</f>
        <v>0</v>
      </c>
      <c r="AZ188" s="168">
        <f>AZ187+AZ186</f>
        <v>0</v>
      </c>
      <c r="BA188" s="168">
        <f>BA187+BA186</f>
        <v>0</v>
      </c>
      <c r="BB188" s="273"/>
      <c r="BC188" s="273"/>
      <c r="BD188" s="273"/>
      <c r="BE188" s="273"/>
      <c r="BF188" s="273"/>
      <c r="BG188" s="168">
        <f>BG187+BG186</f>
        <v>0</v>
      </c>
      <c r="BH188" s="210"/>
    </row>
    <row r="189" spans="1:60" s="2" customFormat="1">
      <c r="A189" s="1038"/>
      <c r="B189" s="1109" t="s">
        <v>231</v>
      </c>
      <c r="C189" s="1106" t="s">
        <v>96</v>
      </c>
      <c r="D189" s="644"/>
      <c r="E189" s="940" t="s">
        <v>1242</v>
      </c>
      <c r="F189" s="940"/>
      <c r="G189" s="940"/>
      <c r="H189" s="940"/>
      <c r="I189" s="77"/>
      <c r="J189" s="939"/>
      <c r="K189" s="126"/>
      <c r="L189" s="126"/>
      <c r="M189" s="938"/>
      <c r="N189" s="252"/>
      <c r="O189" s="177" t="str">
        <f t="shared" ref="O189:W189" si="155">O$10</f>
        <v>verwarming</v>
      </c>
      <c r="P189" s="177" t="str">
        <f t="shared" si="155"/>
        <v>koeling</v>
      </c>
      <c r="Q189" s="177" t="str">
        <f t="shared" si="155"/>
        <v>tapwater</v>
      </c>
      <c r="R189" s="177" t="str">
        <f t="shared" si="155"/>
        <v>verlichting</v>
      </c>
      <c r="S189" s="177" t="str">
        <f t="shared" si="155"/>
        <v>ventilatoren</v>
      </c>
      <c r="T189" s="177"/>
      <c r="U189" s="177" t="str">
        <f t="shared" si="155"/>
        <v>overig elektra</v>
      </c>
      <c r="V189" s="177" t="str">
        <f t="shared" si="155"/>
        <v>mobiliteit</v>
      </c>
      <c r="W189" s="177" t="str">
        <f t="shared" si="155"/>
        <v>zonnepanelen</v>
      </c>
      <c r="X189" s="253"/>
      <c r="Y189" s="938"/>
      <c r="Z189" s="252"/>
      <c r="AA189" s="177" t="str">
        <f t="shared" ref="AA189:AI189" si="156">AA$10</f>
        <v>verwarming</v>
      </c>
      <c r="AB189" s="177" t="str">
        <f t="shared" si="156"/>
        <v>koeling</v>
      </c>
      <c r="AC189" s="177" t="str">
        <f t="shared" si="156"/>
        <v>tapwater</v>
      </c>
      <c r="AD189" s="177" t="str">
        <f t="shared" si="156"/>
        <v>verlichting</v>
      </c>
      <c r="AE189" s="177" t="str">
        <f t="shared" si="156"/>
        <v>ventilatoren</v>
      </c>
      <c r="AF189" s="177"/>
      <c r="AG189" s="177" t="str">
        <f t="shared" si="156"/>
        <v>overig elektra</v>
      </c>
      <c r="AH189" s="177" t="str">
        <f t="shared" si="156"/>
        <v>mobiliteit</v>
      </c>
      <c r="AI189" s="177" t="str">
        <f t="shared" si="156"/>
        <v>zonnepanelen</v>
      </c>
      <c r="AJ189" s="253"/>
      <c r="AK189" s="938"/>
      <c r="AL189" s="252"/>
      <c r="AM189" s="177" t="str">
        <f t="shared" ref="AM189:AU189" si="157">AM$10</f>
        <v>verwarming</v>
      </c>
      <c r="AN189" s="177" t="str">
        <f t="shared" si="157"/>
        <v>koeling</v>
      </c>
      <c r="AO189" s="177" t="str">
        <f t="shared" si="157"/>
        <v>tapwater</v>
      </c>
      <c r="AP189" s="177" t="str">
        <f t="shared" si="157"/>
        <v>verlichting</v>
      </c>
      <c r="AQ189" s="177" t="str">
        <f t="shared" si="157"/>
        <v>ventilatoren</v>
      </c>
      <c r="AR189" s="177"/>
      <c r="AS189" s="177" t="str">
        <f t="shared" si="157"/>
        <v>overig elektra</v>
      </c>
      <c r="AT189" s="177" t="str">
        <f t="shared" si="157"/>
        <v>mobiliteit</v>
      </c>
      <c r="AU189" s="177" t="str">
        <f t="shared" si="157"/>
        <v>zonnepanelen</v>
      </c>
      <c r="AV189" s="253"/>
      <c r="AW189" s="938"/>
      <c r="AX189" s="252"/>
      <c r="AY189" s="177" t="str">
        <f t="shared" ref="AY189:BG189" si="158">AY$10</f>
        <v>verwarming</v>
      </c>
      <c r="AZ189" s="177" t="str">
        <f t="shared" si="158"/>
        <v>koeling</v>
      </c>
      <c r="BA189" s="177" t="str">
        <f t="shared" si="158"/>
        <v>tapwater</v>
      </c>
      <c r="BB189" s="177" t="str">
        <f t="shared" si="158"/>
        <v>verlichting</v>
      </c>
      <c r="BC189" s="177" t="str">
        <f t="shared" si="158"/>
        <v>ventilatoren</v>
      </c>
      <c r="BD189" s="177"/>
      <c r="BE189" s="177" t="str">
        <f t="shared" si="158"/>
        <v>overig elektra</v>
      </c>
      <c r="BF189" s="177" t="str">
        <f t="shared" si="158"/>
        <v>mobiliteit</v>
      </c>
      <c r="BG189" s="177" t="str">
        <f t="shared" si="158"/>
        <v>zonnepanelen</v>
      </c>
    </row>
    <row r="190" spans="1:60" s="2" customFormat="1" hidden="1">
      <c r="A190" s="1038"/>
      <c r="B190" s="1109" t="s">
        <v>231</v>
      </c>
      <c r="C190" s="1106" t="s">
        <v>181</v>
      </c>
      <c r="D190" s="644"/>
      <c r="E190" s="180" t="s">
        <v>1243</v>
      </c>
      <c r="F190" s="180"/>
      <c r="G190" s="180"/>
      <c r="H190" s="181" t="s">
        <v>202</v>
      </c>
      <c r="I190" s="114"/>
      <c r="J190" s="202">
        <f>M190+Y190+AK190+AW190</f>
        <v>0</v>
      </c>
      <c r="K190" s="243"/>
      <c r="L190" s="243"/>
      <c r="M190" s="249">
        <f>SUM(N190:X190)</f>
        <v>0</v>
      </c>
      <c r="N190" s="89"/>
      <c r="O190" s="251">
        <f t="shared" ref="O190:Q190" si="159">AND(O$84=gebouw,O$105=elektriciteit)*O$116+AND(O$84=gebouw,O$141=elektriciteit)*O$147+SUM(O$168:O$170)</f>
        <v>0</v>
      </c>
      <c r="P190" s="251">
        <f t="shared" si="159"/>
        <v>0</v>
      </c>
      <c r="Q190" s="251">
        <f t="shared" si="159"/>
        <v>0</v>
      </c>
      <c r="R190" s="251" cm="1">
        <f t="array" ref="R190">SUMPRODUCT((N$22:X$22)*(N$29:X$29)*(N$66:X$66))/1000-R191</f>
        <v>0</v>
      </c>
      <c r="S190" s="251">
        <f>SUM(S$168:S$170)</f>
        <v>0</v>
      </c>
      <c r="T190" s="273"/>
      <c r="U190" s="273"/>
      <c r="V190" s="273"/>
      <c r="W190" s="610"/>
      <c r="X190" s="118"/>
      <c r="Y190" s="249">
        <f>SUM(Z190:AJ190)</f>
        <v>0</v>
      </c>
      <c r="Z190" s="89"/>
      <c r="AA190" s="251">
        <f t="shared" ref="AA190:AC190" si="160">AND(AA$84=gebouw,AA$105=elektriciteit)*AA$116+AND(AA$84=gebouw,AA$141=elektriciteit)*AA$147+SUM(AA$168:AA$170)</f>
        <v>0</v>
      </c>
      <c r="AB190" s="251">
        <f t="shared" si="160"/>
        <v>0</v>
      </c>
      <c r="AC190" s="251">
        <f t="shared" si="160"/>
        <v>0</v>
      </c>
      <c r="AD190" s="251" cm="1">
        <f t="array" ref="AD190">SUMPRODUCT((Z$22:AJ$22)*(Z$29:AJ$29)*(Z$66:AJ$66))/1000-AD191</f>
        <v>0</v>
      </c>
      <c r="AE190" s="251">
        <f>SUM(AE$168:AE$170)</f>
        <v>0</v>
      </c>
      <c r="AF190" s="273"/>
      <c r="AG190" s="273"/>
      <c r="AH190" s="273"/>
      <c r="AI190" s="610"/>
      <c r="AJ190" s="118"/>
      <c r="AK190" s="249">
        <f>SUM(AL190:AV190)</f>
        <v>0</v>
      </c>
      <c r="AL190" s="89"/>
      <c r="AM190" s="251">
        <f t="shared" ref="AM190:AO190" si="161">AND(AM$84=gebouw,AM$105=elektriciteit)*AM$116+AND(AM$84=gebouw,AM$141=elektriciteit)*AM$147+SUM(AM$168:AM$170)</f>
        <v>0</v>
      </c>
      <c r="AN190" s="251">
        <f t="shared" si="161"/>
        <v>0</v>
      </c>
      <c r="AO190" s="251">
        <f t="shared" si="161"/>
        <v>0</v>
      </c>
      <c r="AP190" s="251" cm="1">
        <f t="array" ref="AP190">SUMPRODUCT((AL$22:AV$22)*(AL$29:AV$29)*(AL$66:AV$66))/1000-AP191</f>
        <v>0</v>
      </c>
      <c r="AQ190" s="251">
        <f>SUM(AQ$168:AQ$170)</f>
        <v>0</v>
      </c>
      <c r="AR190" s="273"/>
      <c r="AS190" s="273"/>
      <c r="AT190" s="273"/>
      <c r="AU190" s="610"/>
      <c r="AV190" s="118"/>
      <c r="AW190" s="249">
        <f>SUM(AX190:BH190)</f>
        <v>0</v>
      </c>
      <c r="AX190" s="89"/>
      <c r="AY190" s="251">
        <f t="shared" ref="AY190:BA190" si="162">AND(AY$84=gebouw,AY$105=elektriciteit)*AY$116+AND(AY$84=gebouw,AY$141=elektriciteit)*AY$147+SUM(AY$168:AY$170)</f>
        <v>0</v>
      </c>
      <c r="AZ190" s="251">
        <f t="shared" si="162"/>
        <v>0</v>
      </c>
      <c r="BA190" s="251">
        <f t="shared" si="162"/>
        <v>0</v>
      </c>
      <c r="BB190" s="251" cm="1">
        <f t="array" ref="BB190">SUMPRODUCT((AX$22:BH$22)*(AX$29:BH$29)*(AX$66:BH$66))/1000-BB191</f>
        <v>0</v>
      </c>
      <c r="BC190" s="251">
        <f>SUM(BC$168:BC$170)</f>
        <v>0</v>
      </c>
      <c r="BD190" s="251"/>
      <c r="BE190" s="273"/>
      <c r="BF190" s="273"/>
      <c r="BG190" s="610"/>
      <c r="BH190" s="222"/>
    </row>
    <row r="191" spans="1:60" s="2" customFormat="1" hidden="1">
      <c r="A191" s="1038"/>
      <c r="B191" s="1109" t="s">
        <v>231</v>
      </c>
      <c r="C191" s="1106" t="s">
        <v>181</v>
      </c>
      <c r="D191" s="644"/>
      <c r="E191" s="180" t="s">
        <v>1244</v>
      </c>
      <c r="F191" s="180"/>
      <c r="G191" s="180"/>
      <c r="H191" s="181" t="s">
        <v>202</v>
      </c>
      <c r="I191" s="114"/>
      <c r="J191" s="202">
        <f>M191+Y191+AK191+AW191</f>
        <v>0</v>
      </c>
      <c r="K191" s="243"/>
      <c r="L191" s="243"/>
      <c r="M191" s="249">
        <f>SUM(N191:X191)</f>
        <v>0</v>
      </c>
      <c r="N191" s="89"/>
      <c r="O191" s="273"/>
      <c r="P191" s="273"/>
      <c r="Q191" s="273"/>
      <c r="R191" s="251" cm="1">
        <f t="array" ref="R191">SUMPRODUCT((N$22:X$22)*(N$29:X$29)*(N$66:X$66)*(N$19:X$19=woning))/1000+SUMPRODUCT((N$22:X$22)*(N$29:X$29)*(N$66:X$66)*(N$19:X$19=woongebouw))/1000</f>
        <v>0</v>
      </c>
      <c r="S191" s="273"/>
      <c r="T191" s="273"/>
      <c r="U191" s="251">
        <f t="shared" ref="U191" si="163">SUM(U$168:U$170)</f>
        <v>0</v>
      </c>
      <c r="V191" s="273"/>
      <c r="W191" s="610"/>
      <c r="X191" s="118"/>
      <c r="Y191" s="249">
        <f>SUM(Z191:AJ191)</f>
        <v>0</v>
      </c>
      <c r="Z191" s="89"/>
      <c r="AA191" s="273"/>
      <c r="AB191" s="273"/>
      <c r="AC191" s="273"/>
      <c r="AD191" s="251" cm="1">
        <f t="array" ref="AD191">SUMPRODUCT((Z$22:AJ$22)*(Z$29:AJ$29)*(Z$66:AJ$66)*(Z$19:AJ$19=woning))/1000+SUMPRODUCT((Z$22:AJ$22)*(Z$29:AJ$29)*(Z$66:AJ$66)*(Z$19:AJ$19=woongebouw))/1000</f>
        <v>0</v>
      </c>
      <c r="AE191" s="273"/>
      <c r="AF191" s="273"/>
      <c r="AG191" s="251">
        <f t="shared" ref="AG191" si="164">SUM(AG$168:AG$170)</f>
        <v>0</v>
      </c>
      <c r="AH191" s="273"/>
      <c r="AI191" s="610"/>
      <c r="AJ191" s="118"/>
      <c r="AK191" s="249">
        <f>SUM(AL191:AV191)</f>
        <v>0</v>
      </c>
      <c r="AL191" s="89"/>
      <c r="AM191" s="273"/>
      <c r="AN191" s="273"/>
      <c r="AO191" s="273"/>
      <c r="AP191" s="251" cm="1">
        <f t="array" ref="AP191">SUMPRODUCT((AL$22:AV$22)*(AL$29:AV$29)*(AL$66:AV$66)*(AL$19:AV$19=woning))/1000+SUMPRODUCT((AL$22:AV$22)*(AL$29:AV$29)*(AL$66:AV$66)*(AL$19:AV$19=woongebouw))/1000</f>
        <v>0</v>
      </c>
      <c r="AQ191" s="273"/>
      <c r="AR191" s="273"/>
      <c r="AS191" s="251">
        <f t="shared" ref="AS191" si="165">SUM(AS$168:AS$170)</f>
        <v>0</v>
      </c>
      <c r="AT191" s="273"/>
      <c r="AU191" s="610"/>
      <c r="AV191" s="118"/>
      <c r="AW191" s="249">
        <f>SUM(AX191:BH191)</f>
        <v>0</v>
      </c>
      <c r="AX191" s="89"/>
      <c r="AY191" s="273"/>
      <c r="AZ191" s="273"/>
      <c r="BA191" s="273"/>
      <c r="BB191" s="251" cm="1">
        <f t="array" ref="BB191">SUMPRODUCT((AX$22:BH$22)*(AX$29:BH$29)*(AX$66:BH$66)*(AX$19:BH$19=woning))/1000+SUMPRODUCT((AX$22:BH$22)*(AX$29:BH$29)*(AX$66:BH$66)*(AX$19:BH$19=woongebouw))/1000</f>
        <v>0</v>
      </c>
      <c r="BC191" s="273"/>
      <c r="BD191" s="251"/>
      <c r="BE191" s="251">
        <f t="shared" ref="BE191:BF192" si="166">SUM(BE$168:BE$170)</f>
        <v>0</v>
      </c>
      <c r="BF191" s="273"/>
      <c r="BG191" s="610"/>
      <c r="BH191" s="222"/>
    </row>
    <row r="192" spans="1:60" s="2" customFormat="1" hidden="1">
      <c r="A192" s="1038"/>
      <c r="B192" s="1109" t="s">
        <v>231</v>
      </c>
      <c r="C192" s="1106" t="s">
        <v>181</v>
      </c>
      <c r="D192" s="644"/>
      <c r="E192" s="180" t="s">
        <v>1236</v>
      </c>
      <c r="F192" s="180"/>
      <c r="G192" s="180"/>
      <c r="H192" s="181" t="s">
        <v>202</v>
      </c>
      <c r="I192" s="114"/>
      <c r="J192" s="202">
        <f>M192+Y192+AK192+AW192</f>
        <v>0</v>
      </c>
      <c r="K192" s="243"/>
      <c r="L192" s="243"/>
      <c r="M192" s="249">
        <f>SUM(N192:X192)</f>
        <v>0</v>
      </c>
      <c r="N192" s="89"/>
      <c r="O192" s="273"/>
      <c r="P192" s="273"/>
      <c r="Q192" s="273"/>
      <c r="R192" s="273"/>
      <c r="S192" s="273"/>
      <c r="T192" s="273"/>
      <c r="U192" s="273"/>
      <c r="V192" s="251">
        <f t="shared" ref="V192" si="167">SUM(V$168:V$170)</f>
        <v>0</v>
      </c>
      <c r="W192" s="610"/>
      <c r="X192" s="118"/>
      <c r="Y192" s="249">
        <f>SUM(Z192:AJ192)</f>
        <v>0</v>
      </c>
      <c r="Z192" s="89"/>
      <c r="AA192" s="273"/>
      <c r="AB192" s="273"/>
      <c r="AC192" s="273"/>
      <c r="AD192" s="273"/>
      <c r="AE192" s="273"/>
      <c r="AF192" s="273"/>
      <c r="AG192" s="273"/>
      <c r="AH192" s="251">
        <f t="shared" ref="AH192" si="168">SUM(AH$168:AH$170)</f>
        <v>0</v>
      </c>
      <c r="AI192" s="610"/>
      <c r="AJ192" s="118"/>
      <c r="AK192" s="249">
        <f>SUM(AL192:AV192)</f>
        <v>0</v>
      </c>
      <c r="AL192" s="89"/>
      <c r="AM192" s="273"/>
      <c r="AN192" s="273"/>
      <c r="AO192" s="273"/>
      <c r="AP192" s="273"/>
      <c r="AQ192" s="273"/>
      <c r="AR192" s="273"/>
      <c r="AS192" s="273"/>
      <c r="AT192" s="251">
        <f t="shared" ref="AT192" si="169">SUM(AT$168:AT$170)</f>
        <v>0</v>
      </c>
      <c r="AU192" s="610"/>
      <c r="AV192" s="118"/>
      <c r="AW192" s="249">
        <f>SUM(AX192:BH192)</f>
        <v>0</v>
      </c>
      <c r="AX192" s="89"/>
      <c r="AY192" s="273"/>
      <c r="AZ192" s="273"/>
      <c r="BA192" s="273"/>
      <c r="BB192" s="273"/>
      <c r="BC192" s="273"/>
      <c r="BD192" s="251"/>
      <c r="BE192" s="273"/>
      <c r="BF192" s="251">
        <f t="shared" si="166"/>
        <v>0</v>
      </c>
      <c r="BG192" s="610"/>
      <c r="BH192" s="222"/>
    </row>
    <row r="193" spans="1:60" s="2" customFormat="1">
      <c r="A193" s="1038"/>
      <c r="B193" s="1109" t="s">
        <v>231</v>
      </c>
      <c r="C193" s="1106" t="s">
        <v>96</v>
      </c>
      <c r="D193" s="644"/>
      <c r="E193" s="940" t="s">
        <v>1268</v>
      </c>
      <c r="F193" s="940"/>
      <c r="G193" s="940"/>
      <c r="H193" s="940"/>
      <c r="I193" s="77"/>
      <c r="J193" s="939"/>
      <c r="K193" s="126"/>
      <c r="L193" s="126"/>
      <c r="M193" s="938"/>
      <c r="N193" s="252"/>
      <c r="O193" s="177" t="str">
        <f t="shared" ref="O193:W193" si="170">O$10</f>
        <v>verwarming</v>
      </c>
      <c r="P193" s="177" t="str">
        <f t="shared" si="170"/>
        <v>koeling</v>
      </c>
      <c r="Q193" s="177" t="str">
        <f t="shared" si="170"/>
        <v>tapwater</v>
      </c>
      <c r="R193" s="177" t="str">
        <f t="shared" si="170"/>
        <v>verlichting</v>
      </c>
      <c r="S193" s="177" t="str">
        <f t="shared" si="170"/>
        <v>ventilatoren</v>
      </c>
      <c r="T193" s="177"/>
      <c r="U193" s="177" t="str">
        <f t="shared" si="170"/>
        <v>overig elektra</v>
      </c>
      <c r="V193" s="177" t="str">
        <f t="shared" si="170"/>
        <v>mobiliteit</v>
      </c>
      <c r="W193" s="177" t="str">
        <f t="shared" si="170"/>
        <v>zonnepanelen</v>
      </c>
      <c r="X193" s="253"/>
      <c r="Y193" s="938"/>
      <c r="Z193" s="252"/>
      <c r="AA193" s="177" t="str">
        <f t="shared" ref="AA193:AI193" si="171">AA$10</f>
        <v>verwarming</v>
      </c>
      <c r="AB193" s="177" t="str">
        <f t="shared" si="171"/>
        <v>koeling</v>
      </c>
      <c r="AC193" s="177" t="str">
        <f t="shared" si="171"/>
        <v>tapwater</v>
      </c>
      <c r="AD193" s="177" t="str">
        <f t="shared" si="171"/>
        <v>verlichting</v>
      </c>
      <c r="AE193" s="177" t="str">
        <f t="shared" si="171"/>
        <v>ventilatoren</v>
      </c>
      <c r="AF193" s="177"/>
      <c r="AG193" s="177" t="str">
        <f t="shared" si="171"/>
        <v>overig elektra</v>
      </c>
      <c r="AH193" s="177" t="str">
        <f t="shared" si="171"/>
        <v>mobiliteit</v>
      </c>
      <c r="AI193" s="177" t="str">
        <f t="shared" si="171"/>
        <v>zonnepanelen</v>
      </c>
      <c r="AJ193" s="253"/>
      <c r="AK193" s="938"/>
      <c r="AL193" s="252"/>
      <c r="AM193" s="177" t="str">
        <f t="shared" ref="AM193:AU193" si="172">AM$10</f>
        <v>verwarming</v>
      </c>
      <c r="AN193" s="177" t="str">
        <f t="shared" si="172"/>
        <v>koeling</v>
      </c>
      <c r="AO193" s="177" t="str">
        <f t="shared" si="172"/>
        <v>tapwater</v>
      </c>
      <c r="AP193" s="177" t="str">
        <f t="shared" si="172"/>
        <v>verlichting</v>
      </c>
      <c r="AQ193" s="177" t="str">
        <f t="shared" si="172"/>
        <v>ventilatoren</v>
      </c>
      <c r="AR193" s="177"/>
      <c r="AS193" s="177" t="str">
        <f t="shared" si="172"/>
        <v>overig elektra</v>
      </c>
      <c r="AT193" s="177" t="str">
        <f t="shared" si="172"/>
        <v>mobiliteit</v>
      </c>
      <c r="AU193" s="177" t="str">
        <f t="shared" si="172"/>
        <v>zonnepanelen</v>
      </c>
      <c r="AV193" s="253"/>
      <c r="AW193" s="938"/>
      <c r="AX193" s="252"/>
      <c r="AY193" s="177" t="str">
        <f t="shared" ref="AY193:BG193" si="173">AY$10</f>
        <v>verwarming</v>
      </c>
      <c r="AZ193" s="177" t="str">
        <f t="shared" si="173"/>
        <v>koeling</v>
      </c>
      <c r="BA193" s="177" t="str">
        <f t="shared" si="173"/>
        <v>tapwater</v>
      </c>
      <c r="BB193" s="177" t="str">
        <f t="shared" si="173"/>
        <v>verlichting</v>
      </c>
      <c r="BC193" s="177" t="str">
        <f t="shared" si="173"/>
        <v>ventilatoren</v>
      </c>
      <c r="BD193" s="177"/>
      <c r="BE193" s="177" t="str">
        <f t="shared" si="173"/>
        <v>overig elektra</v>
      </c>
      <c r="BF193" s="177" t="str">
        <f t="shared" si="173"/>
        <v>mobiliteit</v>
      </c>
      <c r="BG193" s="177" t="str">
        <f t="shared" si="173"/>
        <v>zonnepanelen</v>
      </c>
    </row>
    <row r="194" spans="1:60" s="2" customFormat="1" hidden="1">
      <c r="A194" s="1038"/>
      <c r="B194" s="1109" t="s">
        <v>231</v>
      </c>
      <c r="C194" s="1106" t="s">
        <v>181</v>
      </c>
      <c r="D194" s="644"/>
      <c r="E194" s="1123" t="s">
        <v>1269</v>
      </c>
      <c r="F194" s="180"/>
      <c r="G194" s="180"/>
      <c r="H194" s="181" t="s">
        <v>1270</v>
      </c>
      <c r="I194" s="114"/>
      <c r="J194" s="190">
        <f>M194+Y194+AK194+AW194</f>
        <v>0</v>
      </c>
      <c r="K194" s="243"/>
      <c r="L194" s="243"/>
      <c r="M194" s="1164">
        <f>SUMIF(N$19:X$19,woning,N$30:X$30)+SUMIF(N$19:X$19,woongebouw,N$30:X$30)</f>
        <v>0</v>
      </c>
      <c r="N194" s="89"/>
      <c r="O194" s="610"/>
      <c r="P194" s="610"/>
      <c r="Q194" s="610"/>
      <c r="R194" s="610"/>
      <c r="S194" s="610"/>
      <c r="T194" s="610"/>
      <c r="U194" s="610"/>
      <c r="V194" s="610"/>
      <c r="W194" s="610"/>
      <c r="X194" s="118"/>
      <c r="Y194" s="1164">
        <f>SUMIF(Z$19:AJ$19,woning,Z$30:AJ$30)+SUMIF(Z$19:AJ$19,woongebouw,Z$30:AJ$30)</f>
        <v>0</v>
      </c>
      <c r="Z194" s="89"/>
      <c r="AA194" s="610"/>
      <c r="AB194" s="610"/>
      <c r="AC194" s="610"/>
      <c r="AD194" s="610"/>
      <c r="AE194" s="610"/>
      <c r="AF194" s="610"/>
      <c r="AG194" s="610"/>
      <c r="AH194" s="610"/>
      <c r="AI194" s="610"/>
      <c r="AJ194" s="118"/>
      <c r="AK194" s="1164">
        <f>SUMIF(AL$19:AV$19,woning,AL$30:AV$30)+SUMIF(AL$19:AV$19,woongebouw,AL$30:AV$30)</f>
        <v>0</v>
      </c>
      <c r="AL194" s="89"/>
      <c r="AM194" s="610"/>
      <c r="AN194" s="610"/>
      <c r="AO194" s="610"/>
      <c r="AP194" s="610"/>
      <c r="AQ194" s="610"/>
      <c r="AR194" s="610"/>
      <c r="AS194" s="610"/>
      <c r="AT194" s="610"/>
      <c r="AU194" s="610"/>
      <c r="AV194" s="118"/>
      <c r="AW194" s="1164">
        <f>SUMIF(AX$19:BH$19,woning,AX$30:BH$30)+SUMIF(AX$19:BH$19,woongebouw,AX$30:BH$30)</f>
        <v>0</v>
      </c>
      <c r="AX194" s="89"/>
      <c r="AY194" s="610"/>
      <c r="AZ194" s="610"/>
      <c r="BA194" s="610"/>
      <c r="BB194" s="610"/>
      <c r="BC194" s="610"/>
      <c r="BD194" s="610"/>
      <c r="BE194" s="610"/>
      <c r="BF194" s="610"/>
      <c r="BG194" s="610"/>
      <c r="BH194" s="222"/>
    </row>
    <row r="195" spans="1:60" s="2" customFormat="1" hidden="1">
      <c r="A195" s="1038"/>
      <c r="B195" s="1109" t="s">
        <v>231</v>
      </c>
      <c r="C195" s="1106" t="s">
        <v>181</v>
      </c>
      <c r="D195" s="644"/>
      <c r="E195" s="1123" t="s">
        <v>1271</v>
      </c>
      <c r="F195" s="180"/>
      <c r="G195" s="180"/>
      <c r="H195" s="181" t="s">
        <v>1270</v>
      </c>
      <c r="I195" s="114"/>
      <c r="J195" s="190">
        <f>M195+Y195+AK195+AW195</f>
        <v>0</v>
      </c>
      <c r="K195" s="243"/>
      <c r="L195" s="243"/>
      <c r="M195" s="1164" cm="1">
        <f t="array" ref="M195">SUMIF(N$19:X$19,onderwijs,N$30:X$30)</f>
        <v>0</v>
      </c>
      <c r="N195" s="89"/>
      <c r="O195" s="610"/>
      <c r="P195" s="610"/>
      <c r="Q195" s="610"/>
      <c r="R195" s="610"/>
      <c r="S195" s="610"/>
      <c r="T195" s="610"/>
      <c r="U195" s="610"/>
      <c r="V195" s="610"/>
      <c r="W195" s="610"/>
      <c r="X195" s="118"/>
      <c r="Y195" s="1164" cm="1">
        <f t="array" ref="Y195">SUMIF(Z$19:AJ$19,onderwijs,Z$30:AJ$30)</f>
        <v>0</v>
      </c>
      <c r="Z195" s="89"/>
      <c r="AA195" s="610"/>
      <c r="AB195" s="610"/>
      <c r="AC195" s="610"/>
      <c r="AD195" s="610"/>
      <c r="AE195" s="610"/>
      <c r="AF195" s="610"/>
      <c r="AG195" s="610"/>
      <c r="AH195" s="610"/>
      <c r="AI195" s="610"/>
      <c r="AJ195" s="118"/>
      <c r="AK195" s="1164" cm="1">
        <f t="array" ref="AK195">SUMIF(AL$19:AV$19,onderwijs,AL$30:AV$30)</f>
        <v>0</v>
      </c>
      <c r="AL195" s="89"/>
      <c r="AM195" s="610"/>
      <c r="AN195" s="610"/>
      <c r="AO195" s="610"/>
      <c r="AP195" s="610"/>
      <c r="AQ195" s="610"/>
      <c r="AR195" s="610"/>
      <c r="AS195" s="610"/>
      <c r="AT195" s="610"/>
      <c r="AU195" s="610"/>
      <c r="AV195" s="118"/>
      <c r="AW195" s="1164" cm="1">
        <f t="array" ref="AW195">SUMIF(AX$19:BH$19,onderwijs,AX$30:BH$30)</f>
        <v>0</v>
      </c>
      <c r="AX195" s="89"/>
      <c r="AY195" s="610"/>
      <c r="AZ195" s="610"/>
      <c r="BA195" s="610"/>
      <c r="BB195" s="610"/>
      <c r="BC195" s="610"/>
      <c r="BD195" s="610"/>
      <c r="BE195" s="610"/>
      <c r="BF195" s="610"/>
      <c r="BG195" s="610"/>
      <c r="BH195" s="222"/>
    </row>
    <row r="196" spans="1:60" s="2" customFormat="1" hidden="1">
      <c r="A196" s="1038"/>
      <c r="B196" s="1109" t="s">
        <v>231</v>
      </c>
      <c r="C196" s="1106" t="s">
        <v>181</v>
      </c>
      <c r="D196" s="644"/>
      <c r="E196" s="1123" t="s">
        <v>1272</v>
      </c>
      <c r="F196" s="180"/>
      <c r="G196" s="180"/>
      <c r="H196" s="181" t="s">
        <v>1270</v>
      </c>
      <c r="I196" s="114"/>
      <c r="J196" s="190">
        <f>M196+Y196+AK196+AW196</f>
        <v>0</v>
      </c>
      <c r="K196" s="243"/>
      <c r="L196" s="243"/>
      <c r="M196" s="1164">
        <f>M29-M194-M195</f>
        <v>0</v>
      </c>
      <c r="N196" s="89"/>
      <c r="O196" s="610"/>
      <c r="P196" s="610"/>
      <c r="Q196" s="610"/>
      <c r="R196" s="610"/>
      <c r="S196" s="610"/>
      <c r="T196" s="610"/>
      <c r="U196" s="610"/>
      <c r="V196" s="610"/>
      <c r="W196" s="610"/>
      <c r="X196" s="118"/>
      <c r="Y196" s="1164">
        <f>Y29-Y194-Y195</f>
        <v>0</v>
      </c>
      <c r="Z196" s="89"/>
      <c r="AA196" s="610"/>
      <c r="AB196" s="610"/>
      <c r="AC196" s="610"/>
      <c r="AD196" s="610"/>
      <c r="AE196" s="610"/>
      <c r="AF196" s="610"/>
      <c r="AG196" s="610"/>
      <c r="AH196" s="610"/>
      <c r="AI196" s="610"/>
      <c r="AJ196" s="118"/>
      <c r="AK196" s="1164">
        <f>AK29-AK194-AK195</f>
        <v>0</v>
      </c>
      <c r="AL196" s="89"/>
      <c r="AM196" s="610"/>
      <c r="AN196" s="610"/>
      <c r="AO196" s="610"/>
      <c r="AP196" s="610"/>
      <c r="AQ196" s="610"/>
      <c r="AR196" s="610"/>
      <c r="AS196" s="610"/>
      <c r="AT196" s="610"/>
      <c r="AU196" s="610"/>
      <c r="AV196" s="118"/>
      <c r="AW196" s="1164">
        <f>AW29-AW194-AW195</f>
        <v>0</v>
      </c>
      <c r="AX196" s="89"/>
      <c r="AY196" s="610"/>
      <c r="AZ196" s="610"/>
      <c r="BA196" s="610"/>
      <c r="BB196" s="610"/>
      <c r="BC196" s="610"/>
      <c r="BD196" s="610"/>
      <c r="BE196" s="610"/>
      <c r="BF196" s="610"/>
      <c r="BG196" s="610"/>
      <c r="BH196" s="222"/>
    </row>
    <row r="197" spans="1:60" s="2" customFormat="1" hidden="1">
      <c r="A197" s="1079"/>
      <c r="B197" s="1112" t="s">
        <v>231</v>
      </c>
      <c r="C197" s="990" t="s">
        <v>181</v>
      </c>
      <c r="D197" s="644"/>
      <c r="E197" s="1123" t="s">
        <v>1309</v>
      </c>
      <c r="F197" s="180"/>
      <c r="G197" s="180"/>
      <c r="H197" s="181" t="s">
        <v>1270</v>
      </c>
      <c r="I197" s="1080"/>
      <c r="J197" s="190"/>
      <c r="K197" s="1081"/>
      <c r="L197" s="1081"/>
      <c r="M197" s="250" t="e">
        <f>((fdu_el_ren_woning*M$194+fdu_el_ren_onderwijs*M$195+fdu_el_ren_utiliteit_overig*M$196)/SUM(M$194:M$196))</f>
        <v>#DIV/0!</v>
      </c>
      <c r="N197" s="1082"/>
      <c r="O197" s="610"/>
      <c r="P197" s="610"/>
      <c r="Q197" s="610"/>
      <c r="R197" s="610"/>
      <c r="S197" s="610"/>
      <c r="T197" s="610"/>
      <c r="U197" s="610"/>
      <c r="V197" s="610"/>
      <c r="W197" s="610"/>
      <c r="X197" s="1083"/>
      <c r="Y197" s="250" t="e">
        <f>((fdu_el_ren_woning*Y$194+fdu_el_ren_onderwijs*Y$195+fdu_el_ren_utiliteit_overig*Y$196)/SUM(Y$194:Y$196))</f>
        <v>#DIV/0!</v>
      </c>
      <c r="Z197" s="1082"/>
      <c r="AA197" s="610"/>
      <c r="AB197" s="610"/>
      <c r="AC197" s="610"/>
      <c r="AD197" s="610"/>
      <c r="AE197" s="610"/>
      <c r="AF197" s="610"/>
      <c r="AG197" s="610"/>
      <c r="AH197" s="610"/>
      <c r="AI197" s="610"/>
      <c r="AJ197" s="1083"/>
      <c r="AK197" s="250" t="e">
        <f>((fdu_el_ren_woning*AK$194+fdu_el_ren_onderwijs*AK$195+fdu_el_ren_utiliteit_overig*AK$196)/SUM(AK$194:AK$196))</f>
        <v>#DIV/0!</v>
      </c>
      <c r="AL197" s="1082"/>
      <c r="AM197" s="610"/>
      <c r="AN197" s="610"/>
      <c r="AO197" s="610"/>
      <c r="AP197" s="610"/>
      <c r="AQ197" s="610"/>
      <c r="AR197" s="610"/>
      <c r="AS197" s="610"/>
      <c r="AT197" s="610"/>
      <c r="AU197" s="610"/>
      <c r="AV197" s="1083"/>
      <c r="AW197" s="250" t="e">
        <f>((fdu_el_ren_woning*AW$194+fdu_el_ren_onderwijs*AW$195+fdu_el_ren_utiliteit_overig*AW$196)/SUM(AW$194:AW$196))</f>
        <v>#DIV/0!</v>
      </c>
      <c r="AX197" s="1082"/>
      <c r="AY197" s="610"/>
      <c r="AZ197" s="610"/>
      <c r="BA197" s="610"/>
      <c r="BB197" s="610"/>
      <c r="BC197" s="610"/>
      <c r="BD197" s="610"/>
      <c r="BE197" s="610"/>
      <c r="BF197" s="610"/>
      <c r="BG197" s="610"/>
      <c r="BH197" s="222"/>
    </row>
    <row r="198" spans="1:60" s="2" customFormat="1" hidden="1">
      <c r="A198" s="1038"/>
      <c r="B198" s="1109" t="s">
        <v>231</v>
      </c>
      <c r="C198" s="1106" t="s">
        <v>181</v>
      </c>
      <c r="D198" s="644"/>
      <c r="E198" s="1123" t="s">
        <v>1310</v>
      </c>
      <c r="F198" s="180"/>
      <c r="G198" s="180"/>
      <c r="H198" s="181" t="s">
        <v>65</v>
      </c>
      <c r="I198" s="114"/>
      <c r="J198" s="190"/>
      <c r="K198" s="243"/>
      <c r="L198" s="243"/>
      <c r="M198" s="190">
        <f>IF(M$50="ja",1,0)</f>
        <v>0</v>
      </c>
      <c r="N198" s="119"/>
      <c r="O198" s="1078"/>
      <c r="P198" s="1078"/>
      <c r="Q198" s="1078"/>
      <c r="R198" s="1078"/>
      <c r="S198" s="1078"/>
      <c r="T198" s="1078"/>
      <c r="U198" s="1078"/>
      <c r="V198" s="1078"/>
      <c r="W198" s="1078"/>
      <c r="X198" s="109"/>
      <c r="Y198" s="190">
        <f>IF(Y$50="ja",1,0)</f>
        <v>0</v>
      </c>
      <c r="Z198" s="119"/>
      <c r="AA198" s="1078"/>
      <c r="AB198" s="1078"/>
      <c r="AC198" s="1078"/>
      <c r="AD198" s="1078"/>
      <c r="AE198" s="1078"/>
      <c r="AF198" s="1078"/>
      <c r="AG198" s="1078"/>
      <c r="AH198" s="1078"/>
      <c r="AI198" s="1078"/>
      <c r="AJ198" s="109"/>
      <c r="AK198" s="190">
        <f>IF(AK$50="ja",1,0)</f>
        <v>0</v>
      </c>
      <c r="AL198" s="119"/>
      <c r="AM198" s="1078"/>
      <c r="AN198" s="1078"/>
      <c r="AO198" s="1078"/>
      <c r="AP198" s="1078"/>
      <c r="AQ198" s="1078"/>
      <c r="AR198" s="1078"/>
      <c r="AS198" s="1078"/>
      <c r="AT198" s="1078"/>
      <c r="AU198" s="1078"/>
      <c r="AV198" s="109"/>
      <c r="AW198" s="190">
        <f>IF(AW$50="ja",1,0)</f>
        <v>0</v>
      </c>
      <c r="AX198" s="89"/>
      <c r="AY198" s="610"/>
      <c r="AZ198" s="610"/>
      <c r="BA198" s="610"/>
      <c r="BB198" s="610"/>
      <c r="BC198" s="610"/>
      <c r="BD198" s="610"/>
      <c r="BE198" s="610"/>
      <c r="BF198" s="610"/>
      <c r="BG198" s="610"/>
      <c r="BH198" s="222"/>
    </row>
    <row r="199" spans="1:60" s="2" customFormat="1">
      <c r="A199" s="1038"/>
      <c r="B199" s="1109" t="s">
        <v>231</v>
      </c>
      <c r="C199" s="1106" t="s">
        <v>96</v>
      </c>
      <c r="D199" s="644"/>
      <c r="E199" s="940" t="s">
        <v>1343</v>
      </c>
      <c r="F199" s="940"/>
      <c r="G199" s="940"/>
      <c r="H199" s="940"/>
      <c r="I199" s="77"/>
      <c r="J199" s="939"/>
      <c r="K199" s="126"/>
      <c r="L199" s="126"/>
      <c r="M199" s="938"/>
      <c r="N199" s="252"/>
      <c r="O199" s="177" t="str">
        <f t="shared" ref="O199:W199" si="174">O$10</f>
        <v>verwarming</v>
      </c>
      <c r="P199" s="177" t="str">
        <f t="shared" si="174"/>
        <v>koeling</v>
      </c>
      <c r="Q199" s="177" t="str">
        <f t="shared" si="174"/>
        <v>tapwater</v>
      </c>
      <c r="R199" s="177" t="str">
        <f t="shared" si="174"/>
        <v>verlichting</v>
      </c>
      <c r="S199" s="177" t="str">
        <f t="shared" si="174"/>
        <v>ventilatoren</v>
      </c>
      <c r="T199" s="177"/>
      <c r="U199" s="177" t="str">
        <f t="shared" si="174"/>
        <v>overig elektra</v>
      </c>
      <c r="V199" s="177" t="str">
        <f t="shared" si="174"/>
        <v>mobiliteit</v>
      </c>
      <c r="W199" s="177" t="str">
        <f t="shared" si="174"/>
        <v>zonnepanelen</v>
      </c>
      <c r="X199" s="253"/>
      <c r="Y199" s="938"/>
      <c r="Z199" s="252"/>
      <c r="AA199" s="177" t="str">
        <f t="shared" ref="AA199:AI199" si="175">AA$10</f>
        <v>verwarming</v>
      </c>
      <c r="AB199" s="177" t="str">
        <f t="shared" si="175"/>
        <v>koeling</v>
      </c>
      <c r="AC199" s="177" t="str">
        <f t="shared" si="175"/>
        <v>tapwater</v>
      </c>
      <c r="AD199" s="177" t="str">
        <f t="shared" si="175"/>
        <v>verlichting</v>
      </c>
      <c r="AE199" s="177" t="str">
        <f t="shared" si="175"/>
        <v>ventilatoren</v>
      </c>
      <c r="AF199" s="177"/>
      <c r="AG199" s="177" t="str">
        <f t="shared" si="175"/>
        <v>overig elektra</v>
      </c>
      <c r="AH199" s="177" t="str">
        <f t="shared" si="175"/>
        <v>mobiliteit</v>
      </c>
      <c r="AI199" s="177" t="str">
        <f t="shared" si="175"/>
        <v>zonnepanelen</v>
      </c>
      <c r="AJ199" s="253"/>
      <c r="AK199" s="938"/>
      <c r="AL199" s="252"/>
      <c r="AM199" s="177" t="str">
        <f t="shared" ref="AM199:AU199" si="176">AM$10</f>
        <v>verwarming</v>
      </c>
      <c r="AN199" s="177" t="str">
        <f t="shared" si="176"/>
        <v>koeling</v>
      </c>
      <c r="AO199" s="177" t="str">
        <f t="shared" si="176"/>
        <v>tapwater</v>
      </c>
      <c r="AP199" s="177" t="str">
        <f t="shared" si="176"/>
        <v>verlichting</v>
      </c>
      <c r="AQ199" s="177" t="str">
        <f t="shared" si="176"/>
        <v>ventilatoren</v>
      </c>
      <c r="AR199" s="177"/>
      <c r="AS199" s="177" t="str">
        <f t="shared" si="176"/>
        <v>overig elektra</v>
      </c>
      <c r="AT199" s="177" t="str">
        <f t="shared" si="176"/>
        <v>mobiliteit</v>
      </c>
      <c r="AU199" s="177" t="str">
        <f t="shared" si="176"/>
        <v>zonnepanelen</v>
      </c>
      <c r="AV199" s="253"/>
      <c r="AW199" s="938"/>
      <c r="AX199" s="252"/>
      <c r="AY199" s="177" t="str">
        <f t="shared" ref="AY199:BG199" si="177">AY$10</f>
        <v>verwarming</v>
      </c>
      <c r="AZ199" s="177" t="str">
        <f t="shared" si="177"/>
        <v>koeling</v>
      </c>
      <c r="BA199" s="177" t="str">
        <f t="shared" si="177"/>
        <v>tapwater</v>
      </c>
      <c r="BB199" s="177" t="str">
        <f t="shared" si="177"/>
        <v>verlichting</v>
      </c>
      <c r="BC199" s="177" t="str">
        <f t="shared" si="177"/>
        <v>ventilatoren</v>
      </c>
      <c r="BD199" s="177"/>
      <c r="BE199" s="177" t="str">
        <f t="shared" si="177"/>
        <v>overig elektra</v>
      </c>
      <c r="BF199" s="177" t="str">
        <f t="shared" si="177"/>
        <v>mobiliteit</v>
      </c>
      <c r="BG199" s="177" t="str">
        <f t="shared" si="177"/>
        <v>zonnepanelen</v>
      </c>
    </row>
    <row r="200" spans="1:60" s="2" customFormat="1" hidden="1">
      <c r="A200" s="1038"/>
      <c r="B200" s="1109" t="s">
        <v>231</v>
      </c>
      <c r="C200" s="1106" t="s">
        <v>181</v>
      </c>
      <c r="D200" s="644"/>
      <c r="E200" s="1123" t="s">
        <v>1288</v>
      </c>
      <c r="F200" s="180"/>
      <c r="G200" s="180"/>
      <c r="H200" s="181" t="s">
        <v>202</v>
      </c>
      <c r="I200" s="114"/>
      <c r="J200" s="202">
        <f t="shared" ref="J200:J203" si="178">M200+Y200+AK200+AW200</f>
        <v>0</v>
      </c>
      <c r="K200" s="243"/>
      <c r="L200" s="243"/>
      <c r="M200" s="249">
        <f>IF(M$190&lt;&gt;0,MIN(M$188,M$190),0)</f>
        <v>0</v>
      </c>
      <c r="N200" s="89"/>
      <c r="O200" s="610"/>
      <c r="P200" s="610"/>
      <c r="Q200" s="610"/>
      <c r="R200" s="610"/>
      <c r="S200" s="610"/>
      <c r="T200" s="610"/>
      <c r="U200" s="610"/>
      <c r="V200" s="610"/>
      <c r="W200" s="610"/>
      <c r="X200" s="118"/>
      <c r="Y200" s="249">
        <f>IF(Y$190&lt;&gt;0,MIN(Y$188,Y$190),0)</f>
        <v>0</v>
      </c>
      <c r="Z200" s="89"/>
      <c r="AA200" s="610"/>
      <c r="AB200" s="610"/>
      <c r="AC200" s="610"/>
      <c r="AD200" s="610"/>
      <c r="AE200" s="610"/>
      <c r="AF200" s="610"/>
      <c r="AG200" s="610"/>
      <c r="AH200" s="610"/>
      <c r="AI200" s="610"/>
      <c r="AJ200" s="118"/>
      <c r="AK200" s="249">
        <f>IF(AK$190&lt;&gt;0,MIN(AK$188,AK$190),0)</f>
        <v>0</v>
      </c>
      <c r="AL200" s="89"/>
      <c r="AM200" s="610"/>
      <c r="AN200" s="610"/>
      <c r="AO200" s="610"/>
      <c r="AP200" s="610"/>
      <c r="AQ200" s="610"/>
      <c r="AR200" s="610"/>
      <c r="AS200" s="610"/>
      <c r="AT200" s="610"/>
      <c r="AU200" s="610"/>
      <c r="AV200" s="118"/>
      <c r="AW200" s="249">
        <f>IF(AW$190&lt;&gt;0,MIN(AW$188,AW$190),0)</f>
        <v>0</v>
      </c>
      <c r="AX200" s="89"/>
      <c r="AY200" s="610"/>
      <c r="AZ200" s="610"/>
      <c r="BA200" s="610"/>
      <c r="BB200" s="610"/>
      <c r="BC200" s="610"/>
      <c r="BD200" s="610"/>
      <c r="BE200" s="610"/>
      <c r="BF200" s="610"/>
      <c r="BG200" s="610"/>
      <c r="BH200" s="222"/>
    </row>
    <row r="201" spans="1:60" s="2" customFormat="1" hidden="1">
      <c r="A201" s="1038"/>
      <c r="B201" s="1109" t="s">
        <v>231</v>
      </c>
      <c r="C201" s="1106" t="s">
        <v>181</v>
      </c>
      <c r="D201" s="645" t="s">
        <v>45</v>
      </c>
      <c r="E201" s="1123" t="s">
        <v>1287</v>
      </c>
      <c r="F201" s="180"/>
      <c r="G201" s="180"/>
      <c r="H201" s="181" t="s">
        <v>202</v>
      </c>
      <c r="I201" s="114"/>
      <c r="J201" s="202">
        <f t="shared" si="178"/>
        <v>0</v>
      </c>
      <c r="K201" s="243"/>
      <c r="L201" s="243"/>
      <c r="M201" s="249">
        <f>MIN(M$186,M$190)*waardering_opslag_hernieuwbaar*(M$50="ja")</f>
        <v>0</v>
      </c>
      <c r="N201" s="89"/>
      <c r="O201" s="610"/>
      <c r="P201" s="610"/>
      <c r="Q201" s="610"/>
      <c r="R201" s="610"/>
      <c r="S201" s="610"/>
      <c r="T201" s="610"/>
      <c r="U201" s="610"/>
      <c r="V201" s="610"/>
      <c r="W201" s="610"/>
      <c r="X201" s="118"/>
      <c r="Y201" s="249">
        <f>MIN(Y$186,Y$190)*waardering_opslag_hernieuwbaar*(Y$50="ja")</f>
        <v>0</v>
      </c>
      <c r="Z201" s="89"/>
      <c r="AA201" s="610"/>
      <c r="AB201" s="610"/>
      <c r="AC201" s="610"/>
      <c r="AD201" s="610"/>
      <c r="AE201" s="610"/>
      <c r="AF201" s="610"/>
      <c r="AG201" s="610"/>
      <c r="AH201" s="610"/>
      <c r="AI201" s="610"/>
      <c r="AJ201" s="118"/>
      <c r="AK201" s="249">
        <f>MIN(AK$186,AK$190)*waardering_opslag_hernieuwbaar*(AK$50="ja")</f>
        <v>0</v>
      </c>
      <c r="AL201" s="89"/>
      <c r="AM201" s="610"/>
      <c r="AN201" s="610"/>
      <c r="AO201" s="610"/>
      <c r="AP201" s="610"/>
      <c r="AQ201" s="610"/>
      <c r="AR201" s="610"/>
      <c r="AS201" s="610"/>
      <c r="AT201" s="610"/>
      <c r="AU201" s="610"/>
      <c r="AV201" s="118"/>
      <c r="AW201" s="249">
        <f>MIN(AW$186,AW$190)*waardering_opslag_hernieuwbaar*(AW$50="ja")</f>
        <v>0</v>
      </c>
      <c r="AX201" s="89"/>
      <c r="AY201" s="610"/>
      <c r="AZ201" s="610"/>
      <c r="BA201" s="610"/>
      <c r="BB201" s="610"/>
      <c r="BC201" s="610"/>
      <c r="BD201" s="610"/>
      <c r="BE201" s="610"/>
      <c r="BF201" s="610"/>
      <c r="BG201" s="610"/>
      <c r="BH201" s="222"/>
    </row>
    <row r="202" spans="1:60" s="2" customFormat="1" hidden="1">
      <c r="A202" s="1038"/>
      <c r="B202" s="1109" t="s">
        <v>231</v>
      </c>
      <c r="C202" s="1106" t="s">
        <v>181</v>
      </c>
      <c r="D202" s="645" t="s">
        <v>45</v>
      </c>
      <c r="E202" s="1123" t="s">
        <v>1311</v>
      </c>
      <c r="F202" s="180"/>
      <c r="G202" s="180"/>
      <c r="H202" s="181" t="s">
        <v>202</v>
      </c>
      <c r="I202" s="114"/>
      <c r="J202" s="202">
        <f t="shared" si="178"/>
        <v>0</v>
      </c>
      <c r="K202" s="243"/>
      <c r="L202" s="243"/>
      <c r="M202" s="249">
        <f>M$188-M200</f>
        <v>0</v>
      </c>
      <c r="N202" s="89"/>
      <c r="O202" s="610"/>
      <c r="P202" s="610"/>
      <c r="Q202" s="610"/>
      <c r="R202" s="610"/>
      <c r="S202" s="610"/>
      <c r="T202" s="610"/>
      <c r="U202" s="610"/>
      <c r="V202" s="610"/>
      <c r="W202" s="610"/>
      <c r="X202" s="118"/>
      <c r="Y202" s="249">
        <f>Y$188-Y200</f>
        <v>0</v>
      </c>
      <c r="Z202" s="89"/>
      <c r="AA202" s="610"/>
      <c r="AB202" s="610"/>
      <c r="AC202" s="610"/>
      <c r="AD202" s="610"/>
      <c r="AE202" s="610"/>
      <c r="AF202" s="610"/>
      <c r="AG202" s="610"/>
      <c r="AH202" s="610"/>
      <c r="AI202" s="610"/>
      <c r="AJ202" s="118"/>
      <c r="AK202" s="249">
        <f>AK$188-AK200</f>
        <v>0</v>
      </c>
      <c r="AL202" s="89"/>
      <c r="AM202" s="610"/>
      <c r="AN202" s="610"/>
      <c r="AO202" s="610"/>
      <c r="AP202" s="610"/>
      <c r="AQ202" s="610"/>
      <c r="AR202" s="610"/>
      <c r="AS202" s="610"/>
      <c r="AT202" s="610"/>
      <c r="AU202" s="610"/>
      <c r="AV202" s="118"/>
      <c r="AW202" s="249">
        <f>AW$188-AW200</f>
        <v>0</v>
      </c>
      <c r="AX202" s="89"/>
      <c r="AY202" s="610"/>
      <c r="AZ202" s="610"/>
      <c r="BA202" s="610"/>
      <c r="BB202" s="610"/>
      <c r="BC202" s="610"/>
      <c r="BD202" s="610"/>
      <c r="BE202" s="610"/>
      <c r="BF202" s="610"/>
      <c r="BG202" s="610"/>
      <c r="BH202" s="222"/>
    </row>
    <row r="203" spans="1:60" s="2" customFormat="1" hidden="1">
      <c r="A203" s="1079"/>
      <c r="B203" s="1112" t="s">
        <v>231</v>
      </c>
      <c r="C203" s="990" t="s">
        <v>181</v>
      </c>
      <c r="D203" s="644"/>
      <c r="E203" s="1123" t="s">
        <v>1274</v>
      </c>
      <c r="F203" s="180"/>
      <c r="G203" s="180"/>
      <c r="H203" s="181" t="s">
        <v>202</v>
      </c>
      <c r="I203" s="1080"/>
      <c r="J203" s="202">
        <f t="shared" si="178"/>
        <v>0</v>
      </c>
      <c r="K203" s="1081"/>
      <c r="L203" s="1081"/>
      <c r="M203" s="249">
        <f>SUM(M$190)-M200</f>
        <v>0</v>
      </c>
      <c r="N203" s="1082"/>
      <c r="O203" s="610"/>
      <c r="P203" s="610"/>
      <c r="Q203" s="610"/>
      <c r="R203" s="610"/>
      <c r="S203" s="610"/>
      <c r="T203" s="610"/>
      <c r="U203" s="610"/>
      <c r="V203" s="610"/>
      <c r="W203" s="610"/>
      <c r="X203" s="1083"/>
      <c r="Y203" s="249">
        <f>SUM(Y$190)-Y200</f>
        <v>0</v>
      </c>
      <c r="Z203" s="1082"/>
      <c r="AA203" s="610"/>
      <c r="AB203" s="610"/>
      <c r="AC203" s="610"/>
      <c r="AD203" s="610"/>
      <c r="AE203" s="610"/>
      <c r="AF203" s="610"/>
      <c r="AG203" s="610"/>
      <c r="AH203" s="610"/>
      <c r="AI203" s="610"/>
      <c r="AJ203" s="1083"/>
      <c r="AK203" s="249">
        <f>SUM(AK$190)-AK200</f>
        <v>0</v>
      </c>
      <c r="AL203" s="1082"/>
      <c r="AM203" s="610"/>
      <c r="AN203" s="610"/>
      <c r="AO203" s="610"/>
      <c r="AP203" s="610"/>
      <c r="AQ203" s="610"/>
      <c r="AR203" s="610"/>
      <c r="AS203" s="610"/>
      <c r="AT203" s="610"/>
      <c r="AU203" s="610"/>
      <c r="AV203" s="1083"/>
      <c r="AW203" s="249">
        <f>SUM(AW$190)-AW200</f>
        <v>0</v>
      </c>
      <c r="AX203" s="1082"/>
      <c r="AY203" s="610"/>
      <c r="AZ203" s="610"/>
      <c r="BA203" s="610"/>
      <c r="BB203" s="610"/>
      <c r="BC203" s="610"/>
      <c r="BD203" s="610"/>
      <c r="BE203" s="610"/>
      <c r="BF203" s="610"/>
      <c r="BG203" s="610"/>
      <c r="BH203" s="222"/>
    </row>
    <row r="204" spans="1:60" s="2" customFormat="1">
      <c r="A204" s="1038"/>
      <c r="B204" s="1109" t="s">
        <v>231</v>
      </c>
      <c r="C204" s="1106" t="s">
        <v>96</v>
      </c>
      <c r="D204" s="644"/>
      <c r="E204" s="940" t="s">
        <v>1344</v>
      </c>
      <c r="F204" s="940"/>
      <c r="G204" s="940"/>
      <c r="H204" s="940"/>
      <c r="I204" s="77"/>
      <c r="J204" s="939"/>
      <c r="K204" s="126"/>
      <c r="L204" s="126"/>
      <c r="M204" s="938"/>
      <c r="N204" s="252"/>
      <c r="O204" s="177" t="str">
        <f t="shared" ref="O204:W204" si="179">O$10</f>
        <v>verwarming</v>
      </c>
      <c r="P204" s="177" t="str">
        <f t="shared" si="179"/>
        <v>koeling</v>
      </c>
      <c r="Q204" s="177" t="str">
        <f t="shared" si="179"/>
        <v>tapwater</v>
      </c>
      <c r="R204" s="177" t="str">
        <f t="shared" si="179"/>
        <v>verlichting</v>
      </c>
      <c r="S204" s="177" t="str">
        <f t="shared" si="179"/>
        <v>ventilatoren</v>
      </c>
      <c r="T204" s="177"/>
      <c r="U204" s="177" t="str">
        <f t="shared" si="179"/>
        <v>overig elektra</v>
      </c>
      <c r="V204" s="177" t="str">
        <f t="shared" si="179"/>
        <v>mobiliteit</v>
      </c>
      <c r="W204" s="177" t="str">
        <f t="shared" si="179"/>
        <v>zonnepanelen</v>
      </c>
      <c r="X204" s="253"/>
      <c r="Y204" s="938"/>
      <c r="Z204" s="252"/>
      <c r="AA204" s="177" t="str">
        <f t="shared" ref="AA204:AI204" si="180">AA$10</f>
        <v>verwarming</v>
      </c>
      <c r="AB204" s="177" t="str">
        <f t="shared" si="180"/>
        <v>koeling</v>
      </c>
      <c r="AC204" s="177" t="str">
        <f t="shared" si="180"/>
        <v>tapwater</v>
      </c>
      <c r="AD204" s="177" t="str">
        <f t="shared" si="180"/>
        <v>verlichting</v>
      </c>
      <c r="AE204" s="177" t="str">
        <f t="shared" si="180"/>
        <v>ventilatoren</v>
      </c>
      <c r="AF204" s="177"/>
      <c r="AG204" s="177" t="str">
        <f t="shared" si="180"/>
        <v>overig elektra</v>
      </c>
      <c r="AH204" s="177" t="str">
        <f t="shared" si="180"/>
        <v>mobiliteit</v>
      </c>
      <c r="AI204" s="177" t="str">
        <f t="shared" si="180"/>
        <v>zonnepanelen</v>
      </c>
      <c r="AJ204" s="253"/>
      <c r="AK204" s="938"/>
      <c r="AL204" s="252"/>
      <c r="AM204" s="177" t="str">
        <f t="shared" ref="AM204:AU204" si="181">AM$10</f>
        <v>verwarming</v>
      </c>
      <c r="AN204" s="177" t="str">
        <f t="shared" si="181"/>
        <v>koeling</v>
      </c>
      <c r="AO204" s="177" t="str">
        <f t="shared" si="181"/>
        <v>tapwater</v>
      </c>
      <c r="AP204" s="177" t="str">
        <f t="shared" si="181"/>
        <v>verlichting</v>
      </c>
      <c r="AQ204" s="177" t="str">
        <f t="shared" si="181"/>
        <v>ventilatoren</v>
      </c>
      <c r="AR204" s="177"/>
      <c r="AS204" s="177" t="str">
        <f t="shared" si="181"/>
        <v>overig elektra</v>
      </c>
      <c r="AT204" s="177" t="str">
        <f t="shared" si="181"/>
        <v>mobiliteit</v>
      </c>
      <c r="AU204" s="177" t="str">
        <f t="shared" si="181"/>
        <v>zonnepanelen</v>
      </c>
      <c r="AV204" s="253"/>
      <c r="AW204" s="938"/>
      <c r="AX204" s="252"/>
      <c r="AY204" s="177" t="str">
        <f t="shared" ref="AY204:BG204" si="182">AY$10</f>
        <v>verwarming</v>
      </c>
      <c r="AZ204" s="177" t="str">
        <f t="shared" si="182"/>
        <v>koeling</v>
      </c>
      <c r="BA204" s="177" t="str">
        <f t="shared" si="182"/>
        <v>tapwater</v>
      </c>
      <c r="BB204" s="177" t="str">
        <f t="shared" si="182"/>
        <v>verlichting</v>
      </c>
      <c r="BC204" s="177" t="str">
        <f t="shared" si="182"/>
        <v>ventilatoren</v>
      </c>
      <c r="BD204" s="177"/>
      <c r="BE204" s="177" t="str">
        <f t="shared" si="182"/>
        <v>overig elektra</v>
      </c>
      <c r="BF204" s="177" t="str">
        <f t="shared" si="182"/>
        <v>mobiliteit</v>
      </c>
      <c r="BG204" s="177" t="str">
        <f t="shared" si="182"/>
        <v>zonnepanelen</v>
      </c>
    </row>
    <row r="205" spans="1:60" s="2" customFormat="1" hidden="1">
      <c r="A205" s="1038"/>
      <c r="B205" s="1109" t="s">
        <v>231</v>
      </c>
      <c r="C205" s="1106" t="s">
        <v>181</v>
      </c>
      <c r="D205" s="645" t="s">
        <v>45</v>
      </c>
      <c r="E205" s="1123" t="s">
        <v>1240</v>
      </c>
      <c r="F205" s="180"/>
      <c r="G205" s="180"/>
      <c r="H205" s="181" t="s">
        <v>202</v>
      </c>
      <c r="I205" s="114"/>
      <c r="J205" s="202">
        <f t="shared" ref="J205:J210" si="183">M205+Y205+AK205+AW205</f>
        <v>0</v>
      </c>
      <c r="K205" s="243"/>
      <c r="L205" s="243"/>
      <c r="M205" s="249">
        <f>IFERROR(MIN(MAX(M$197*M$186,0.3*SUM(M$190)),1*SUM(M$190),M$186),0)</f>
        <v>0</v>
      </c>
      <c r="N205" s="89"/>
      <c r="O205" s="610"/>
      <c r="P205" s="610"/>
      <c r="Q205" s="610"/>
      <c r="R205" s="610"/>
      <c r="S205" s="610"/>
      <c r="T205" s="610"/>
      <c r="U205" s="610"/>
      <c r="V205" s="610"/>
      <c r="W205" s="610"/>
      <c r="X205" s="118"/>
      <c r="Y205" s="249">
        <f>IFERROR(MIN(MAX(Y$197*Y$186,0.3*SUM(Y$190)),1*SUM(Y$190),Y$186),0)</f>
        <v>0</v>
      </c>
      <c r="Z205" s="89"/>
      <c r="AA205" s="610"/>
      <c r="AB205" s="610"/>
      <c r="AC205" s="610"/>
      <c r="AD205" s="610"/>
      <c r="AE205" s="610"/>
      <c r="AF205" s="610"/>
      <c r="AG205" s="610"/>
      <c r="AH205" s="610"/>
      <c r="AI205" s="610"/>
      <c r="AJ205" s="118"/>
      <c r="AK205" s="249">
        <f>IFERROR(MIN(MAX(AK$197*AK$186,0.3*SUM(AK$190)),1*SUM(AK$190),AK$186),0)</f>
        <v>0</v>
      </c>
      <c r="AL205" s="89"/>
      <c r="AM205" s="610"/>
      <c r="AN205" s="610"/>
      <c r="AO205" s="610"/>
      <c r="AP205" s="610"/>
      <c r="AQ205" s="610"/>
      <c r="AR205" s="610"/>
      <c r="AS205" s="610"/>
      <c r="AT205" s="610"/>
      <c r="AU205" s="610"/>
      <c r="AV205" s="118"/>
      <c r="AW205" s="249">
        <f>IFERROR(MIN(MAX(AW$197*AW$186,0.3*SUM(AW$190)),1*SUM(AW$190),AW$186),0)</f>
        <v>0</v>
      </c>
      <c r="AX205" s="89"/>
      <c r="AY205" s="610"/>
      <c r="AZ205" s="610"/>
      <c r="BA205" s="610"/>
      <c r="BB205" s="610"/>
      <c r="BC205" s="610"/>
      <c r="BD205" s="610"/>
      <c r="BE205" s="610"/>
      <c r="BF205" s="610"/>
      <c r="BG205" s="610"/>
      <c r="BH205" s="222"/>
    </row>
    <row r="206" spans="1:60" s="2" customFormat="1" hidden="1">
      <c r="A206" s="1038"/>
      <c r="B206" s="1109" t="s">
        <v>231</v>
      </c>
      <c r="C206" s="1106" t="s">
        <v>181</v>
      </c>
      <c r="D206" s="644"/>
      <c r="E206" s="1123" t="s">
        <v>1312</v>
      </c>
      <c r="F206" s="180"/>
      <c r="G206" s="180"/>
      <c r="H206" s="181" t="s">
        <v>202</v>
      </c>
      <c r="I206" s="114"/>
      <c r="J206" s="202">
        <f t="shared" si="183"/>
        <v>0</v>
      </c>
      <c r="K206" s="243"/>
      <c r="L206" s="243"/>
      <c r="M206" s="249">
        <f>MIN(0.3*M$186*M$198,SUM(M$190)-M205,M$186-M205)</f>
        <v>0</v>
      </c>
      <c r="N206" s="89"/>
      <c r="O206" s="610"/>
      <c r="P206" s="610"/>
      <c r="Q206" s="610"/>
      <c r="R206" s="610"/>
      <c r="S206" s="610"/>
      <c r="T206" s="610"/>
      <c r="U206" s="610"/>
      <c r="V206" s="610"/>
      <c r="W206" s="610"/>
      <c r="X206" s="118"/>
      <c r="Y206" s="249">
        <f>MIN(0.3*Y$186*Y$198,SUM(Y$190)-Y205,Y$186-Y205)</f>
        <v>0</v>
      </c>
      <c r="Z206" s="89"/>
      <c r="AA206" s="610"/>
      <c r="AB206" s="610"/>
      <c r="AC206" s="610"/>
      <c r="AD206" s="610"/>
      <c r="AE206" s="610"/>
      <c r="AF206" s="610"/>
      <c r="AG206" s="610"/>
      <c r="AH206" s="610"/>
      <c r="AI206" s="610"/>
      <c r="AJ206" s="118"/>
      <c r="AK206" s="249">
        <f>MIN(0.3*AK$186*AK$198,SUM(AK$190)-AK205,AK$186-AK205)</f>
        <v>0</v>
      </c>
      <c r="AL206" s="89"/>
      <c r="AM206" s="610"/>
      <c r="AN206" s="610"/>
      <c r="AO206" s="610"/>
      <c r="AP206" s="610"/>
      <c r="AQ206" s="610"/>
      <c r="AR206" s="610"/>
      <c r="AS206" s="610"/>
      <c r="AT206" s="610"/>
      <c r="AU206" s="610"/>
      <c r="AV206" s="118"/>
      <c r="AW206" s="249">
        <f>MIN(0.3*AW$186*AW$198,SUM(AW$190)-AW205,AW$186-AW205)</f>
        <v>0</v>
      </c>
      <c r="AX206" s="89"/>
      <c r="AY206" s="610"/>
      <c r="AZ206" s="610"/>
      <c r="BA206" s="610"/>
      <c r="BB206" s="610"/>
      <c r="BC206" s="610"/>
      <c r="BD206" s="610"/>
      <c r="BE206" s="610"/>
      <c r="BF206" s="610"/>
      <c r="BG206" s="610"/>
      <c r="BH206" s="222"/>
    </row>
    <row r="207" spans="1:60" s="2" customFormat="1" hidden="1">
      <c r="A207" s="1038"/>
      <c r="B207" s="1109" t="s">
        <v>231</v>
      </c>
      <c r="C207" s="1106" t="s">
        <v>181</v>
      </c>
      <c r="D207" s="644"/>
      <c r="E207" s="1123" t="s">
        <v>1246</v>
      </c>
      <c r="F207" s="180"/>
      <c r="G207" s="180"/>
      <c r="H207" s="181" t="s">
        <v>202</v>
      </c>
      <c r="I207" s="114"/>
      <c r="J207" s="202">
        <f t="shared" si="183"/>
        <v>0</v>
      </c>
      <c r="K207" s="243"/>
      <c r="L207" s="243"/>
      <c r="M207" s="249">
        <f>M$186-M205-M206</f>
        <v>0</v>
      </c>
      <c r="N207" s="89"/>
      <c r="O207" s="610"/>
      <c r="P207" s="610"/>
      <c r="Q207" s="610"/>
      <c r="R207" s="610"/>
      <c r="S207" s="610"/>
      <c r="T207" s="610"/>
      <c r="U207" s="610"/>
      <c r="V207" s="610"/>
      <c r="W207" s="610"/>
      <c r="X207" s="118"/>
      <c r="Y207" s="249">
        <f>Y$186-Y205-Y206</f>
        <v>0</v>
      </c>
      <c r="Z207" s="89"/>
      <c r="AA207" s="610"/>
      <c r="AB207" s="610"/>
      <c r="AC207" s="610"/>
      <c r="AD207" s="610"/>
      <c r="AE207" s="610"/>
      <c r="AF207" s="610"/>
      <c r="AG207" s="610"/>
      <c r="AH207" s="610"/>
      <c r="AI207" s="610"/>
      <c r="AJ207" s="118"/>
      <c r="AK207" s="249">
        <f>AK$186-AK205-AK206</f>
        <v>0</v>
      </c>
      <c r="AL207" s="89"/>
      <c r="AM207" s="610"/>
      <c r="AN207" s="610"/>
      <c r="AO207" s="610"/>
      <c r="AP207" s="610"/>
      <c r="AQ207" s="610"/>
      <c r="AR207" s="610"/>
      <c r="AS207" s="610"/>
      <c r="AT207" s="610"/>
      <c r="AU207" s="610"/>
      <c r="AV207" s="118"/>
      <c r="AW207" s="249">
        <f>AW$186-AW205-AW206</f>
        <v>0</v>
      </c>
      <c r="AX207" s="89"/>
      <c r="AY207" s="610"/>
      <c r="AZ207" s="610"/>
      <c r="BA207" s="610"/>
      <c r="BB207" s="610"/>
      <c r="BC207" s="610"/>
      <c r="BD207" s="610"/>
      <c r="BE207" s="610"/>
      <c r="BF207" s="610"/>
      <c r="BG207" s="610"/>
      <c r="BH207" s="222"/>
    </row>
    <row r="208" spans="1:60" s="2" customFormat="1" hidden="1">
      <c r="A208" s="1038"/>
      <c r="B208" s="1109" t="s">
        <v>231</v>
      </c>
      <c r="C208" s="1106" t="s">
        <v>181</v>
      </c>
      <c r="D208" s="645" t="s">
        <v>45</v>
      </c>
      <c r="E208" s="1123" t="s">
        <v>1239</v>
      </c>
      <c r="F208" s="180"/>
      <c r="G208" s="180"/>
      <c r="H208" s="181" t="s">
        <v>202</v>
      </c>
      <c r="I208" s="114"/>
      <c r="J208" s="202">
        <f t="shared" si="183"/>
        <v>0</v>
      </c>
      <c r="K208" s="243"/>
      <c r="L208" s="243"/>
      <c r="M208" s="249">
        <f>MIN(fdu_el_nren*M$187,MAX(0,SUM(M$190)-M205-M206*eta_BAT))</f>
        <v>0</v>
      </c>
      <c r="N208" s="89"/>
      <c r="O208" s="610"/>
      <c r="P208" s="610"/>
      <c r="Q208" s="610"/>
      <c r="R208" s="610"/>
      <c r="S208" s="610"/>
      <c r="T208" s="610"/>
      <c r="U208" s="610"/>
      <c r="V208" s="610"/>
      <c r="W208" s="610"/>
      <c r="X208" s="118"/>
      <c r="Y208" s="249">
        <f>MIN(fdu_el_nren*Y$187,MAX(0,SUM(Y$190)-Y205-Y206*eta_BAT))</f>
        <v>0</v>
      </c>
      <c r="Z208" s="89"/>
      <c r="AA208" s="610"/>
      <c r="AB208" s="610"/>
      <c r="AC208" s="610"/>
      <c r="AD208" s="610"/>
      <c r="AE208" s="610"/>
      <c r="AF208" s="610"/>
      <c r="AG208" s="610"/>
      <c r="AH208" s="610"/>
      <c r="AI208" s="610"/>
      <c r="AJ208" s="118"/>
      <c r="AK208" s="249">
        <f>MIN(fdu_el_nren*AK$187,MAX(0,SUM(AK$190)-AK205-AK206*eta_BAT))</f>
        <v>0</v>
      </c>
      <c r="AL208" s="89"/>
      <c r="AM208" s="610"/>
      <c r="AN208" s="610"/>
      <c r="AO208" s="610"/>
      <c r="AP208" s="610"/>
      <c r="AQ208" s="610"/>
      <c r="AR208" s="610"/>
      <c r="AS208" s="610"/>
      <c r="AT208" s="610"/>
      <c r="AU208" s="610"/>
      <c r="AV208" s="118"/>
      <c r="AW208" s="249">
        <f>MIN(fdu_el_nren*AW$187,MAX(0,SUM(AW$190)-AW205-AW206*eta_BAT))</f>
        <v>0</v>
      </c>
      <c r="AX208" s="89"/>
      <c r="AY208" s="610"/>
      <c r="AZ208" s="610"/>
      <c r="BA208" s="610"/>
      <c r="BB208" s="610"/>
      <c r="BC208" s="610"/>
      <c r="BD208" s="610"/>
      <c r="BE208" s="610"/>
      <c r="BF208" s="610"/>
      <c r="BG208" s="610"/>
      <c r="BH208" s="222"/>
    </row>
    <row r="209" spans="1:60" s="2" customFormat="1" hidden="1">
      <c r="A209" s="1038"/>
      <c r="B209" s="1109" t="s">
        <v>231</v>
      </c>
      <c r="C209" s="1106" t="s">
        <v>181</v>
      </c>
      <c r="D209" s="644"/>
      <c r="E209" s="1123" t="s">
        <v>1245</v>
      </c>
      <c r="F209" s="180"/>
      <c r="G209" s="180"/>
      <c r="H209" s="181" t="s">
        <v>202</v>
      </c>
      <c r="I209" s="114"/>
      <c r="J209" s="202">
        <f t="shared" si="183"/>
        <v>0</v>
      </c>
      <c r="K209" s="243"/>
      <c r="L209" s="243"/>
      <c r="M209" s="249">
        <f>M$187-M208</f>
        <v>0</v>
      </c>
      <c r="N209" s="89"/>
      <c r="O209" s="610"/>
      <c r="P209" s="610"/>
      <c r="Q209" s="610"/>
      <c r="R209" s="610"/>
      <c r="S209" s="610"/>
      <c r="T209" s="610"/>
      <c r="U209" s="610"/>
      <c r="V209" s="610"/>
      <c r="W209" s="610"/>
      <c r="X209" s="118"/>
      <c r="Y209" s="249">
        <f>Y$187-Y208</f>
        <v>0</v>
      </c>
      <c r="Z209" s="89"/>
      <c r="AA209" s="610"/>
      <c r="AB209" s="610"/>
      <c r="AC209" s="610"/>
      <c r="AD209" s="610"/>
      <c r="AE209" s="610"/>
      <c r="AF209" s="610"/>
      <c r="AG209" s="610"/>
      <c r="AH209" s="610"/>
      <c r="AI209" s="610"/>
      <c r="AJ209" s="118"/>
      <c r="AK209" s="249">
        <f>AK$187-AK208</f>
        <v>0</v>
      </c>
      <c r="AL209" s="89"/>
      <c r="AM209" s="610"/>
      <c r="AN209" s="610"/>
      <c r="AO209" s="610"/>
      <c r="AP209" s="610"/>
      <c r="AQ209" s="610"/>
      <c r="AR209" s="610"/>
      <c r="AS209" s="610"/>
      <c r="AT209" s="610"/>
      <c r="AU209" s="610"/>
      <c r="AV209" s="118"/>
      <c r="AW209" s="249">
        <f>AW$187-AW208</f>
        <v>0</v>
      </c>
      <c r="AX209" s="89"/>
      <c r="AY209" s="610"/>
      <c r="AZ209" s="610"/>
      <c r="BA209" s="610"/>
      <c r="BB209" s="610"/>
      <c r="BC209" s="610"/>
      <c r="BD209" s="610"/>
      <c r="BE209" s="610"/>
      <c r="BF209" s="610"/>
      <c r="BG209" s="610"/>
      <c r="BH209" s="222"/>
    </row>
    <row r="210" spans="1:60" s="2" customFormat="1" hidden="1">
      <c r="A210" s="1079"/>
      <c r="B210" s="1112" t="s">
        <v>231</v>
      </c>
      <c r="C210" s="990" t="s">
        <v>181</v>
      </c>
      <c r="D210" s="644"/>
      <c r="E210" s="1123" t="s">
        <v>1274</v>
      </c>
      <c r="F210" s="180"/>
      <c r="G210" s="180"/>
      <c r="H210" s="181" t="s">
        <v>202</v>
      </c>
      <c r="I210" s="1080"/>
      <c r="J210" s="202">
        <f t="shared" si="183"/>
        <v>0</v>
      </c>
      <c r="K210" s="1081"/>
      <c r="L210" s="1081"/>
      <c r="M210" s="249">
        <f>SUM(M$190)-M205-M208-M206*eta_BAT</f>
        <v>0</v>
      </c>
      <c r="N210" s="1082"/>
      <c r="O210" s="610"/>
      <c r="P210" s="610"/>
      <c r="Q210" s="610"/>
      <c r="R210" s="610"/>
      <c r="S210" s="610"/>
      <c r="T210" s="610"/>
      <c r="U210" s="610"/>
      <c r="V210" s="610"/>
      <c r="W210" s="610"/>
      <c r="X210" s="1083"/>
      <c r="Y210" s="249">
        <f>SUM(Y$190)-Y205-Y208-Y206*eta_BAT</f>
        <v>0</v>
      </c>
      <c r="Z210" s="1082"/>
      <c r="AA210" s="610"/>
      <c r="AB210" s="610"/>
      <c r="AC210" s="610"/>
      <c r="AD210" s="610"/>
      <c r="AE210" s="610"/>
      <c r="AF210" s="610"/>
      <c r="AG210" s="610"/>
      <c r="AH210" s="610"/>
      <c r="AI210" s="610"/>
      <c r="AJ210" s="1083"/>
      <c r="AK210" s="249">
        <f>SUM(AK$190)-AK205-AK208-AK206*eta_BAT</f>
        <v>0</v>
      </c>
      <c r="AL210" s="1082"/>
      <c r="AM210" s="610"/>
      <c r="AN210" s="610"/>
      <c r="AO210" s="610"/>
      <c r="AP210" s="610"/>
      <c r="AQ210" s="610"/>
      <c r="AR210" s="610"/>
      <c r="AS210" s="610"/>
      <c r="AT210" s="610"/>
      <c r="AU210" s="610"/>
      <c r="AV210" s="1083"/>
      <c r="AW210" s="249">
        <f>SUM(AW$190)-AW205-AW208-AW206*eta_BAT</f>
        <v>0</v>
      </c>
      <c r="AX210" s="1082"/>
      <c r="AY210" s="610"/>
      <c r="AZ210" s="610"/>
      <c r="BA210" s="610"/>
      <c r="BB210" s="610"/>
      <c r="BC210" s="610"/>
      <c r="BD210" s="610"/>
      <c r="BE210" s="610"/>
      <c r="BF210" s="610"/>
      <c r="BG210" s="610"/>
      <c r="BH210" s="222"/>
    </row>
    <row r="211" spans="1:60" s="2" customFormat="1">
      <c r="A211" s="1038"/>
      <c r="B211" s="1109" t="s">
        <v>231</v>
      </c>
      <c r="C211" s="1106" t="s">
        <v>96</v>
      </c>
      <c r="D211" s="644"/>
      <c r="E211" s="940" t="s">
        <v>1345</v>
      </c>
      <c r="F211" s="940"/>
      <c r="G211" s="940"/>
      <c r="H211" s="940"/>
      <c r="I211" s="77"/>
      <c r="J211" s="939"/>
      <c r="K211" s="126"/>
      <c r="L211" s="126"/>
      <c r="M211" s="938"/>
      <c r="N211" s="252"/>
      <c r="O211" s="177" t="str">
        <f>O$10</f>
        <v>verwarming</v>
      </c>
      <c r="P211" s="177" t="str">
        <f>P$10</f>
        <v>koeling</v>
      </c>
      <c r="Q211" s="177" t="str">
        <f>Q$10</f>
        <v>tapwater</v>
      </c>
      <c r="R211" s="177"/>
      <c r="S211" s="177"/>
      <c r="T211" s="177"/>
      <c r="U211" s="177"/>
      <c r="V211" s="177"/>
      <c r="W211" s="177" t="str">
        <f>W$10</f>
        <v>zonnepanelen</v>
      </c>
      <c r="X211" s="253"/>
      <c r="Y211" s="938"/>
      <c r="Z211" s="252"/>
      <c r="AA211" s="177" t="str">
        <f t="shared" ref="AA211:AI211" si="184">AA$10</f>
        <v>verwarming</v>
      </c>
      <c r="AB211" s="177" t="str">
        <f t="shared" si="184"/>
        <v>koeling</v>
      </c>
      <c r="AC211" s="177" t="str">
        <f t="shared" si="184"/>
        <v>tapwater</v>
      </c>
      <c r="AD211" s="177"/>
      <c r="AE211" s="177"/>
      <c r="AF211" s="177"/>
      <c r="AG211" s="177"/>
      <c r="AH211" s="177"/>
      <c r="AI211" s="177" t="str">
        <f t="shared" si="184"/>
        <v>zonnepanelen</v>
      </c>
      <c r="AJ211" s="253"/>
      <c r="AK211" s="938"/>
      <c r="AL211" s="252"/>
      <c r="AM211" s="177" t="str">
        <f t="shared" ref="AM211:AU211" si="185">AM$10</f>
        <v>verwarming</v>
      </c>
      <c r="AN211" s="177" t="str">
        <f t="shared" si="185"/>
        <v>koeling</v>
      </c>
      <c r="AO211" s="177" t="str">
        <f t="shared" si="185"/>
        <v>tapwater</v>
      </c>
      <c r="AP211" s="177"/>
      <c r="AQ211" s="177"/>
      <c r="AR211" s="177"/>
      <c r="AS211" s="177"/>
      <c r="AT211" s="177"/>
      <c r="AU211" s="177" t="str">
        <f t="shared" si="185"/>
        <v>zonnepanelen</v>
      </c>
      <c r="AV211" s="253"/>
      <c r="AW211" s="938"/>
      <c r="AX211" s="252"/>
      <c r="AY211" s="177" t="str">
        <f t="shared" ref="AY211:BG211" si="186">AY$10</f>
        <v>verwarming</v>
      </c>
      <c r="AZ211" s="177" t="str">
        <f t="shared" si="186"/>
        <v>koeling</v>
      </c>
      <c r="BA211" s="177" t="str">
        <f t="shared" si="186"/>
        <v>tapwater</v>
      </c>
      <c r="BB211" s="177"/>
      <c r="BC211" s="177"/>
      <c r="BD211" s="177"/>
      <c r="BE211" s="177"/>
      <c r="BF211" s="177"/>
      <c r="BG211" s="177" t="str">
        <f t="shared" si="186"/>
        <v>zonnepanelen</v>
      </c>
    </row>
    <row r="212" spans="1:60" s="2" customFormat="1" hidden="1">
      <c r="A212" s="1038"/>
      <c r="B212" s="1109" t="s">
        <v>231</v>
      </c>
      <c r="C212" s="1106" t="s">
        <v>181</v>
      </c>
      <c r="D212" s="644"/>
      <c r="E212" s="1162" t="s">
        <v>1352</v>
      </c>
      <c r="F212" s="1162"/>
      <c r="G212" s="1162"/>
      <c r="H212" s="181" t="s">
        <v>204</v>
      </c>
      <c r="I212" s="114"/>
      <c r="J212" s="190"/>
      <c r="K212" s="79"/>
      <c r="L212" s="79"/>
      <c r="M212" s="250">
        <f>$G$5</f>
        <v>1.45</v>
      </c>
      <c r="N212" s="114"/>
      <c r="O212" s="335"/>
      <c r="P212" s="335"/>
      <c r="Q212" s="335"/>
      <c r="R212" s="335"/>
      <c r="S212" s="335"/>
      <c r="T212" s="335"/>
      <c r="U212" s="335"/>
      <c r="V212" s="335"/>
      <c r="W212" s="335"/>
      <c r="X212" s="109"/>
      <c r="Y212" s="250">
        <f>$G$5</f>
        <v>1.45</v>
      </c>
      <c r="Z212" s="114"/>
      <c r="AA212" s="335"/>
      <c r="AB212" s="335"/>
      <c r="AC212" s="335"/>
      <c r="AD212" s="335"/>
      <c r="AE212" s="335"/>
      <c r="AF212" s="335"/>
      <c r="AG212" s="335"/>
      <c r="AH212" s="335"/>
      <c r="AI212" s="335"/>
      <c r="AJ212" s="109"/>
      <c r="AK212" s="250">
        <f>$G$5</f>
        <v>1.45</v>
      </c>
      <c r="AL212" s="114"/>
      <c r="AM212" s="335"/>
      <c r="AN212" s="335"/>
      <c r="AO212" s="335"/>
      <c r="AP212" s="335"/>
      <c r="AQ212" s="335"/>
      <c r="AR212" s="335"/>
      <c r="AS212" s="335"/>
      <c r="AT212" s="335"/>
      <c r="AU212" s="335"/>
      <c r="AV212" s="109"/>
      <c r="AW212" s="250">
        <f>$G$5</f>
        <v>1.45</v>
      </c>
      <c r="AX212" s="114"/>
      <c r="AY212" s="335"/>
      <c r="AZ212" s="335"/>
      <c r="BA212" s="335"/>
      <c r="BB212" s="335"/>
      <c r="BC212" s="335"/>
      <c r="BD212" s="335"/>
      <c r="BE212" s="335"/>
      <c r="BF212" s="335"/>
      <c r="BG212" s="335"/>
      <c r="BH212" s="219"/>
    </row>
    <row r="213" spans="1:60" s="2" customFormat="1" hidden="1">
      <c r="A213" s="1038"/>
      <c r="B213" s="1109" t="s">
        <v>231</v>
      </c>
      <c r="C213" s="1106" t="s">
        <v>181</v>
      </c>
      <c r="D213" s="644"/>
      <c r="E213" s="1162" t="s">
        <v>1353</v>
      </c>
      <c r="F213" s="1162"/>
      <c r="G213" s="1162"/>
      <c r="H213" s="181" t="s">
        <v>204</v>
      </c>
      <c r="I213" s="114"/>
      <c r="J213" s="190"/>
      <c r="K213" s="79"/>
      <c r="L213" s="79"/>
      <c r="M213" s="250">
        <f>HLOOKUP($F$5,elektriciteit_primaire_energiefactor,ROWS(bibliotheek!$E$304:$E$306),FALSE)</f>
        <v>1.45</v>
      </c>
      <c r="N213" s="114"/>
      <c r="O213" s="335"/>
      <c r="P213" s="335"/>
      <c r="Q213" s="335"/>
      <c r="R213" s="335"/>
      <c r="S213" s="335"/>
      <c r="T213" s="335"/>
      <c r="U213" s="335"/>
      <c r="V213" s="335"/>
      <c r="W213" s="335"/>
      <c r="X213" s="109"/>
      <c r="Y213" s="250">
        <f>HLOOKUP($F$5,elektriciteit_primaire_energiefactor,ROWS(bibliotheek!$E$304:$E$306),FALSE)</f>
        <v>1.45</v>
      </c>
      <c r="Z213" s="114"/>
      <c r="AA213" s="335"/>
      <c r="AB213" s="335"/>
      <c r="AC213" s="335"/>
      <c r="AD213" s="335"/>
      <c r="AE213" s="335"/>
      <c r="AF213" s="335"/>
      <c r="AG213" s="335"/>
      <c r="AH213" s="335"/>
      <c r="AI213" s="335"/>
      <c r="AJ213" s="109"/>
      <c r="AK213" s="250">
        <f>HLOOKUP($F$5,elektriciteit_primaire_energiefactor,ROWS(bibliotheek!$E$304:$E$306),FALSE)</f>
        <v>1.45</v>
      </c>
      <c r="AL213" s="114"/>
      <c r="AM213" s="335"/>
      <c r="AN213" s="335"/>
      <c r="AO213" s="335"/>
      <c r="AP213" s="335"/>
      <c r="AQ213" s="335"/>
      <c r="AR213" s="335"/>
      <c r="AS213" s="335"/>
      <c r="AT213" s="335"/>
      <c r="AU213" s="335"/>
      <c r="AV213" s="109"/>
      <c r="AW213" s="250">
        <f>HLOOKUP($F$5,elektriciteit_primaire_energiefactor,ROWS(bibliotheek!$E$304:$E$306),FALSE)</f>
        <v>1.45</v>
      </c>
      <c r="AX213" s="114"/>
      <c r="AY213" s="335"/>
      <c r="AZ213" s="335"/>
      <c r="BA213" s="335"/>
      <c r="BB213" s="335"/>
      <c r="BC213" s="335"/>
      <c r="BD213" s="335"/>
      <c r="BE213" s="335"/>
      <c r="BF213" s="335"/>
      <c r="BG213" s="335"/>
      <c r="BH213" s="219"/>
    </row>
    <row r="214" spans="1:60" s="2" customFormat="1">
      <c r="A214" s="1038"/>
      <c r="B214" s="1109" t="s">
        <v>231</v>
      </c>
      <c r="C214" s="1106" t="s">
        <v>104</v>
      </c>
      <c r="D214" s="645" t="s">
        <v>45</v>
      </c>
      <c r="E214" s="1162" t="s">
        <v>232</v>
      </c>
      <c r="F214" s="1170"/>
      <c r="G214" s="1170"/>
      <c r="H214" s="181" t="s">
        <v>106</v>
      </c>
      <c r="I214" s="114"/>
      <c r="J214" s="202">
        <f>M214+Y214+AK214+AW214</f>
        <v>0</v>
      </c>
      <c r="K214" s="1062"/>
      <c r="L214" s="1062"/>
      <c r="M214" s="249">
        <f>(M202*M212+M200*M213)</f>
        <v>0</v>
      </c>
      <c r="N214" s="89"/>
      <c r="O214" s="168">
        <f>IF($M$188=0,0,O$188/$M$188*$M214)</f>
        <v>0</v>
      </c>
      <c r="P214" s="168">
        <f>IF($M$188=0,0,P$188/$M$188*$M214)</f>
        <v>0</v>
      </c>
      <c r="Q214" s="168">
        <f>IF($M$188=0,0,Q$188/$M$188*$M214)</f>
        <v>0</v>
      </c>
      <c r="R214" s="273"/>
      <c r="S214" s="273"/>
      <c r="T214" s="273"/>
      <c r="U214" s="273"/>
      <c r="V214" s="273"/>
      <c r="W214" s="168">
        <f>IF($M$188=0,0,W$188/$M$188*$M214)</f>
        <v>0</v>
      </c>
      <c r="X214" s="113"/>
      <c r="Y214" s="249">
        <f>(Y202*Y212+Y200*Y213)</f>
        <v>0</v>
      </c>
      <c r="Z214" s="89"/>
      <c r="AA214" s="168">
        <f>IF($Y$188=0,0,AA$188/$Y$188*$Y214)</f>
        <v>0</v>
      </c>
      <c r="AB214" s="168">
        <f>IF($Y$188=0,0,AB$188/$Y$188*$Y214)</f>
        <v>0</v>
      </c>
      <c r="AC214" s="168">
        <f>IF($Y$188=0,0,AC$188/$Y$188*$Y214)</f>
        <v>0</v>
      </c>
      <c r="AD214" s="168"/>
      <c r="AE214" s="168"/>
      <c r="AF214" s="168"/>
      <c r="AG214" s="168"/>
      <c r="AH214" s="168"/>
      <c r="AI214" s="168">
        <f>IF($Y$188=0,0,AI$188/$Y$188*$Y214)</f>
        <v>0</v>
      </c>
      <c r="AJ214" s="113"/>
      <c r="AK214" s="249">
        <f>(AK202*AK212+AK200*AK213)</f>
        <v>0</v>
      </c>
      <c r="AL214" s="89"/>
      <c r="AM214" s="168">
        <f>IF($AK$188=0,0,AM$188/$AK$188*$AK214)</f>
        <v>0</v>
      </c>
      <c r="AN214" s="168">
        <f>IF($AK$188=0,0,AN$188/$AK$188*$AK214)</f>
        <v>0</v>
      </c>
      <c r="AO214" s="168">
        <f>IF($AK$188=0,0,AO$188/$AK$188*$AK214)</f>
        <v>0</v>
      </c>
      <c r="AP214" s="273"/>
      <c r="AQ214" s="273"/>
      <c r="AR214" s="273"/>
      <c r="AS214" s="273"/>
      <c r="AT214" s="273"/>
      <c r="AU214" s="168">
        <f>IF($AK$188=0,0,AU$188/$AK$188*$AK214)</f>
        <v>0</v>
      </c>
      <c r="AV214" s="113"/>
      <c r="AW214" s="249">
        <f>(AW202*AW212+AW200*AW213)</f>
        <v>0</v>
      </c>
      <c r="AX214" s="89"/>
      <c r="AY214" s="168">
        <f>IF($AW$188=0,0,AY$188/$AW$188*$AW214)</f>
        <v>0</v>
      </c>
      <c r="AZ214" s="168">
        <f>IF($AW$188=0,0,AZ$188/$AW$188*$AW214)</f>
        <v>0</v>
      </c>
      <c r="BA214" s="168">
        <f>IF($AW$188=0,0,BA$188/$AW$188*$AW214)</f>
        <v>0</v>
      </c>
      <c r="BB214" s="273"/>
      <c r="BC214" s="273"/>
      <c r="BD214" s="273"/>
      <c r="BE214" s="273"/>
      <c r="BF214" s="273"/>
      <c r="BG214" s="168">
        <f>IF($AW$188=0,0,BG$188/$AW$188*$AW214)</f>
        <v>0</v>
      </c>
      <c r="BH214" s="210"/>
    </row>
    <row r="215" spans="1:60" s="2" customFormat="1">
      <c r="A215" s="1038"/>
      <c r="B215" s="1109" t="s">
        <v>231</v>
      </c>
      <c r="C215" s="1106" t="s">
        <v>96</v>
      </c>
      <c r="D215" s="644"/>
      <c r="E215" s="940" t="s">
        <v>1346</v>
      </c>
      <c r="F215" s="940"/>
      <c r="G215" s="940"/>
      <c r="H215" s="940"/>
      <c r="I215" s="77"/>
      <c r="J215" s="939"/>
      <c r="K215" s="126"/>
      <c r="L215" s="126"/>
      <c r="M215" s="938"/>
      <c r="N215" s="252"/>
      <c r="O215" s="177" t="str">
        <f t="shared" ref="O215:W215" si="187">O$10</f>
        <v>verwarming</v>
      </c>
      <c r="P215" s="177" t="str">
        <f t="shared" si="187"/>
        <v>koeling</v>
      </c>
      <c r="Q215" s="177" t="str">
        <f t="shared" si="187"/>
        <v>tapwater</v>
      </c>
      <c r="R215" s="177"/>
      <c r="S215" s="177"/>
      <c r="T215" s="177"/>
      <c r="U215" s="177"/>
      <c r="V215" s="177"/>
      <c r="W215" s="177" t="str">
        <f t="shared" si="187"/>
        <v>zonnepanelen</v>
      </c>
      <c r="X215" s="113"/>
      <c r="Y215" s="938"/>
      <c r="Z215" s="252"/>
      <c r="AA215" s="177" t="str">
        <f t="shared" ref="AA215:AI215" si="188">AA$10</f>
        <v>verwarming</v>
      </c>
      <c r="AB215" s="177" t="str">
        <f t="shared" si="188"/>
        <v>koeling</v>
      </c>
      <c r="AC215" s="177" t="str">
        <f t="shared" si="188"/>
        <v>tapwater</v>
      </c>
      <c r="AD215" s="177"/>
      <c r="AE215" s="177"/>
      <c r="AF215" s="177"/>
      <c r="AG215" s="177"/>
      <c r="AH215" s="177"/>
      <c r="AI215" s="177" t="str">
        <f t="shared" si="188"/>
        <v>zonnepanelen</v>
      </c>
      <c r="AJ215" s="113"/>
      <c r="AK215" s="938"/>
      <c r="AL215" s="252"/>
      <c r="AM215" s="177" t="str">
        <f t="shared" ref="AM215:AU215" si="189">AM$10</f>
        <v>verwarming</v>
      </c>
      <c r="AN215" s="177" t="str">
        <f t="shared" si="189"/>
        <v>koeling</v>
      </c>
      <c r="AO215" s="177" t="str">
        <f t="shared" si="189"/>
        <v>tapwater</v>
      </c>
      <c r="AP215" s="177"/>
      <c r="AQ215" s="177"/>
      <c r="AR215" s="177"/>
      <c r="AS215" s="177"/>
      <c r="AT215" s="177"/>
      <c r="AU215" s="177" t="str">
        <f t="shared" si="189"/>
        <v>zonnepanelen</v>
      </c>
      <c r="AV215" s="113"/>
      <c r="AW215" s="938"/>
      <c r="AX215" s="252"/>
      <c r="AY215" s="177" t="str">
        <f>AY$10</f>
        <v>verwarming</v>
      </c>
      <c r="AZ215" s="177" t="str">
        <f>AZ$10</f>
        <v>koeling</v>
      </c>
      <c r="BA215" s="177" t="str">
        <f>BA$10</f>
        <v>tapwater</v>
      </c>
      <c r="BB215" s="177"/>
      <c r="BC215" s="177"/>
      <c r="BD215" s="177"/>
      <c r="BE215" s="177"/>
      <c r="BF215" s="177"/>
      <c r="BG215" s="177" t="str">
        <f>BG$10</f>
        <v>zonnepanelen</v>
      </c>
      <c r="BH215" s="210"/>
    </row>
    <row r="216" spans="1:60" s="2" customFormat="1" hidden="1">
      <c r="A216" s="1038"/>
      <c r="B216" s="1109" t="s">
        <v>231</v>
      </c>
      <c r="C216" s="1106" t="s">
        <v>181</v>
      </c>
      <c r="D216" s="644"/>
      <c r="E216" s="1162" t="s">
        <v>1354</v>
      </c>
      <c r="F216" s="1162"/>
      <c r="G216" s="1162"/>
      <c r="H216" s="181" t="s">
        <v>1208</v>
      </c>
      <c r="I216" s="114"/>
      <c r="J216" s="190"/>
      <c r="K216" s="79"/>
      <c r="L216" s="79"/>
      <c r="M216" s="250">
        <f>HLOOKUP($F$5,bibliotheek!$E$304:$R$311,ROWS(bibliotheek!$E$304:$E$307),FALSE)</f>
        <v>1.35</v>
      </c>
      <c r="N216" s="114"/>
      <c r="O216" s="335"/>
      <c r="P216" s="335"/>
      <c r="Q216" s="335"/>
      <c r="R216" s="335"/>
      <c r="S216" s="335"/>
      <c r="T216" s="335"/>
      <c r="U216" s="335"/>
      <c r="V216" s="335"/>
      <c r="W216" s="335"/>
      <c r="X216" s="113"/>
      <c r="Y216" s="250">
        <f>HLOOKUP($F$5,bibliotheek!$E$304:$R$311,ROWS(bibliotheek!$E$304:$E$307),FALSE)</f>
        <v>1.35</v>
      </c>
      <c r="Z216" s="114"/>
      <c r="AA216" s="335"/>
      <c r="AB216" s="335"/>
      <c r="AC216" s="335"/>
      <c r="AD216" s="335"/>
      <c r="AE216" s="335"/>
      <c r="AF216" s="335"/>
      <c r="AG216" s="335"/>
      <c r="AH216" s="335"/>
      <c r="AI216" s="335"/>
      <c r="AJ216" s="113"/>
      <c r="AK216" s="250">
        <f>HLOOKUP($F$5,bibliotheek!$E$304:$R$311,ROWS(bibliotheek!$E$304:$E$307),FALSE)</f>
        <v>1.35</v>
      </c>
      <c r="AL216" s="114"/>
      <c r="AM216" s="335"/>
      <c r="AN216" s="335"/>
      <c r="AO216" s="335"/>
      <c r="AP216" s="335"/>
      <c r="AQ216" s="335"/>
      <c r="AR216" s="335"/>
      <c r="AS216" s="335"/>
      <c r="AT216" s="335"/>
      <c r="AU216" s="335"/>
      <c r="AV216" s="113"/>
      <c r="AW216" s="250">
        <f>HLOOKUP($F$5,bibliotheek!$E$304:$R$311,ROWS(bibliotheek!$E$304:$E$307),FALSE)</f>
        <v>1.35</v>
      </c>
      <c r="AX216" s="114"/>
      <c r="AY216" s="335"/>
      <c r="AZ216" s="335"/>
      <c r="BA216" s="335"/>
      <c r="BB216" s="335"/>
      <c r="BC216" s="335"/>
      <c r="BD216" s="335"/>
      <c r="BE216" s="335"/>
      <c r="BF216" s="335"/>
      <c r="BG216" s="335"/>
      <c r="BH216" s="210"/>
    </row>
    <row r="217" spans="1:60" s="2" customFormat="1" hidden="1">
      <c r="A217" s="1038"/>
      <c r="B217" s="1109" t="s">
        <v>231</v>
      </c>
      <c r="C217" s="1106" t="s">
        <v>181</v>
      </c>
      <c r="D217" s="644"/>
      <c r="E217" s="1162" t="s">
        <v>1355</v>
      </c>
      <c r="F217" s="1162"/>
      <c r="G217" s="1162"/>
      <c r="H217" s="181" t="s">
        <v>1208</v>
      </c>
      <c r="I217" s="114"/>
      <c r="J217" s="190"/>
      <c r="K217" s="79"/>
      <c r="L217" s="79"/>
      <c r="M217" s="250">
        <f>HLOOKUP($F$5,bibliotheek!$E$304:$R$311,ROWS(bibliotheek!$E$304:$E$308),FALSE)</f>
        <v>1</v>
      </c>
      <c r="N217" s="114"/>
      <c r="O217" s="335"/>
      <c r="P217" s="335"/>
      <c r="Q217" s="335"/>
      <c r="R217" s="335"/>
      <c r="S217" s="335"/>
      <c r="T217" s="335"/>
      <c r="U217" s="335"/>
      <c r="V217" s="335"/>
      <c r="W217" s="335"/>
      <c r="X217" s="113"/>
      <c r="Y217" s="250">
        <f>HLOOKUP($F$5,bibliotheek!$E$304:$R$311,ROWS(bibliotheek!$E$304:$E$308),FALSE)</f>
        <v>1</v>
      </c>
      <c r="Z217" s="114"/>
      <c r="AA217" s="335"/>
      <c r="AB217" s="335"/>
      <c r="AC217" s="335"/>
      <c r="AD217" s="335"/>
      <c r="AE217" s="335"/>
      <c r="AF217" s="335"/>
      <c r="AG217" s="335"/>
      <c r="AH217" s="335"/>
      <c r="AI217" s="335"/>
      <c r="AJ217" s="113"/>
      <c r="AK217" s="250">
        <f>HLOOKUP($F$5,bibliotheek!$E$304:$R$311,ROWS(bibliotheek!$E$304:$E$308),FALSE)</f>
        <v>1</v>
      </c>
      <c r="AL217" s="114"/>
      <c r="AM217" s="335"/>
      <c r="AN217" s="335"/>
      <c r="AO217" s="335"/>
      <c r="AP217" s="335"/>
      <c r="AQ217" s="335"/>
      <c r="AR217" s="335"/>
      <c r="AS217" s="335"/>
      <c r="AT217" s="335"/>
      <c r="AU217" s="335"/>
      <c r="AV217" s="113"/>
      <c r="AW217" s="250">
        <f>HLOOKUP($F$5,bibliotheek!$E$304:$R$311,ROWS(bibliotheek!$E$304:$E$308),FALSE)</f>
        <v>1</v>
      </c>
      <c r="AX217" s="114"/>
      <c r="AY217" s="335"/>
      <c r="AZ217" s="335"/>
      <c r="BA217" s="335"/>
      <c r="BB217" s="335"/>
      <c r="BC217" s="335"/>
      <c r="BD217" s="335"/>
      <c r="BE217" s="335"/>
      <c r="BF217" s="335"/>
      <c r="BG217" s="335"/>
      <c r="BH217" s="210"/>
    </row>
    <row r="218" spans="1:60" s="2" customFormat="1" hidden="1">
      <c r="A218" s="1038"/>
      <c r="B218" s="1109" t="s">
        <v>231</v>
      </c>
      <c r="C218" s="1106" t="s">
        <v>181</v>
      </c>
      <c r="D218" s="644"/>
      <c r="E218" s="1177" t="s">
        <v>1204</v>
      </c>
      <c r="F218" s="1178"/>
      <c r="G218" s="1162"/>
      <c r="H218" s="181" t="s">
        <v>65</v>
      </c>
      <c r="I218" s="114"/>
      <c r="J218" s="190"/>
      <c r="K218" s="79"/>
      <c r="L218" s="79"/>
      <c r="M218" s="250" t="s">
        <v>1205</v>
      </c>
      <c r="N218" s="114"/>
      <c r="O218" s="335"/>
      <c r="P218" s="335"/>
      <c r="Q218" s="335"/>
      <c r="R218" s="335"/>
      <c r="S218" s="335"/>
      <c r="T218" s="335"/>
      <c r="U218" s="335"/>
      <c r="V218" s="335"/>
      <c r="W218" s="335"/>
      <c r="X218" s="113"/>
      <c r="Y218" s="250" t="s">
        <v>1205</v>
      </c>
      <c r="Z218" s="114"/>
      <c r="AA218" s="335"/>
      <c r="AB218" s="335"/>
      <c r="AC218" s="335"/>
      <c r="AD218" s="335"/>
      <c r="AE218" s="335"/>
      <c r="AF218" s="335"/>
      <c r="AG218" s="335"/>
      <c r="AH218" s="335"/>
      <c r="AI218" s="335"/>
      <c r="AJ218" s="113"/>
      <c r="AK218" s="250" t="s">
        <v>1205</v>
      </c>
      <c r="AL218" s="114"/>
      <c r="AM218" s="335"/>
      <c r="AN218" s="335"/>
      <c r="AO218" s="335"/>
      <c r="AP218" s="335"/>
      <c r="AQ218" s="335"/>
      <c r="AR218" s="335"/>
      <c r="AS218" s="335"/>
      <c r="AT218" s="335"/>
      <c r="AU218" s="335"/>
      <c r="AV218" s="113"/>
      <c r="AW218" s="250" t="s">
        <v>1205</v>
      </c>
      <c r="AX218" s="114"/>
      <c r="AY218" s="335"/>
      <c r="AZ218" s="335"/>
      <c r="BA218" s="335"/>
      <c r="BB218" s="335"/>
      <c r="BC218" s="335"/>
      <c r="BD218" s="335"/>
      <c r="BE218" s="335"/>
      <c r="BF218" s="335"/>
      <c r="BG218" s="335"/>
      <c r="BH218" s="210"/>
    </row>
    <row r="219" spans="1:60" s="2" customFormat="1" hidden="1">
      <c r="A219" s="1038"/>
      <c r="B219" s="1109" t="s">
        <v>231</v>
      </c>
      <c r="C219" s="1106" t="s">
        <v>181</v>
      </c>
      <c r="D219" s="644"/>
      <c r="E219" s="1179" t="s">
        <v>1315</v>
      </c>
      <c r="F219" s="1180"/>
      <c r="G219" s="1162"/>
      <c r="H219" s="181" t="s">
        <v>65</v>
      </c>
      <c r="I219" s="114"/>
      <c r="J219" s="190"/>
      <c r="K219" s="79"/>
      <c r="L219" s="79"/>
      <c r="M219" s="250">
        <f>HLOOKUP($F$5,bibliotheek!$E$304:$R$311,ROWS(bibliotheek!$E$304:$E$310),FALSE)</f>
        <v>1</v>
      </c>
      <c r="N219" s="114"/>
      <c r="O219" s="335"/>
      <c r="P219" s="335"/>
      <c r="Q219" s="335"/>
      <c r="R219" s="335"/>
      <c r="S219" s="335"/>
      <c r="T219" s="335"/>
      <c r="U219" s="335"/>
      <c r="V219" s="335"/>
      <c r="W219" s="335"/>
      <c r="X219" s="113"/>
      <c r="Y219" s="250">
        <f>HLOOKUP($F$5,bibliotheek!$E$304:$R$311,ROWS(bibliotheek!$E$304:$E$310),FALSE)</f>
        <v>1</v>
      </c>
      <c r="Z219" s="114"/>
      <c r="AA219" s="335"/>
      <c r="AB219" s="335"/>
      <c r="AC219" s="335"/>
      <c r="AD219" s="335"/>
      <c r="AE219" s="335"/>
      <c r="AF219" s="335"/>
      <c r="AG219" s="335"/>
      <c r="AH219" s="335"/>
      <c r="AI219" s="335"/>
      <c r="AJ219" s="113"/>
      <c r="AK219" s="250">
        <f>HLOOKUP($F$5,bibliotheek!$E$304:$R$311,ROWS(bibliotheek!$E$304:$E$310),FALSE)</f>
        <v>1</v>
      </c>
      <c r="AL219" s="114"/>
      <c r="AM219" s="335"/>
      <c r="AN219" s="335"/>
      <c r="AO219" s="335"/>
      <c r="AP219" s="335"/>
      <c r="AQ219" s="335"/>
      <c r="AR219" s="335"/>
      <c r="AS219" s="335"/>
      <c r="AT219" s="335"/>
      <c r="AU219" s="335"/>
      <c r="AV219" s="113"/>
      <c r="AW219" s="250">
        <f>HLOOKUP($F$5,bibliotheek!$E$304:$R$311,ROWS(bibliotheek!$E$304:$E$310),FALSE)</f>
        <v>1</v>
      </c>
      <c r="AX219" s="114"/>
      <c r="AY219" s="335"/>
      <c r="AZ219" s="335"/>
      <c r="BA219" s="335"/>
      <c r="BB219" s="335"/>
      <c r="BC219" s="335"/>
      <c r="BD219" s="335"/>
      <c r="BE219" s="335"/>
      <c r="BF219" s="335"/>
      <c r="BG219" s="335"/>
      <c r="BH219" s="210"/>
    </row>
    <row r="220" spans="1:60" s="2" customFormat="1">
      <c r="A220" s="1038"/>
      <c r="B220" s="1109" t="s">
        <v>231</v>
      </c>
      <c r="C220" s="1106" t="s">
        <v>104</v>
      </c>
      <c r="D220" s="644"/>
      <c r="E220" s="1162" t="s">
        <v>232</v>
      </c>
      <c r="F220" s="1170"/>
      <c r="G220" s="1170"/>
      <c r="H220" s="181" t="s">
        <v>1206</v>
      </c>
      <c r="I220" s="114"/>
      <c r="J220" s="202">
        <f>M220+Y220+AK220+AW220</f>
        <v>0</v>
      </c>
      <c r="K220" s="1062"/>
      <c r="L220" s="1062"/>
      <c r="M220" s="249">
        <f>M190*M216-(M210*M216-M207*M217-M208*0)</f>
        <v>0</v>
      </c>
      <c r="N220" s="89"/>
      <c r="O220" s="335"/>
      <c r="P220" s="335"/>
      <c r="Q220" s="335"/>
      <c r="R220" s="335"/>
      <c r="S220" s="335"/>
      <c r="T220" s="335"/>
      <c r="U220" s="335"/>
      <c r="V220" s="335"/>
      <c r="W220" s="335"/>
      <c r="X220" s="113"/>
      <c r="Y220" s="249">
        <f>Y190*Y216-(Y210*Y216-Y207*Y217-Y208*0)</f>
        <v>0</v>
      </c>
      <c r="Z220" s="89"/>
      <c r="AA220" s="335"/>
      <c r="AB220" s="335"/>
      <c r="AC220" s="335"/>
      <c r="AD220" s="335"/>
      <c r="AE220" s="335"/>
      <c r="AF220" s="335"/>
      <c r="AG220" s="335"/>
      <c r="AH220" s="335"/>
      <c r="AI220" s="335"/>
      <c r="AJ220" s="113"/>
      <c r="AK220" s="249">
        <f>AK190*AK216-(AK210*AK216-AK207*AK217-AK208*0)</f>
        <v>0</v>
      </c>
      <c r="AL220" s="89"/>
      <c r="AM220" s="335"/>
      <c r="AN220" s="335"/>
      <c r="AO220" s="335"/>
      <c r="AP220" s="335"/>
      <c r="AQ220" s="335"/>
      <c r="AR220" s="335"/>
      <c r="AS220" s="335"/>
      <c r="AT220" s="335"/>
      <c r="AU220" s="335"/>
      <c r="AV220" s="113"/>
      <c r="AW220" s="249">
        <f>AW190*AW216-(AW210*AW216-AW207*AW217-AW208*0)</f>
        <v>0</v>
      </c>
      <c r="AX220" s="89"/>
      <c r="AY220" s="335"/>
      <c r="AZ220" s="335"/>
      <c r="BA220" s="335"/>
      <c r="BB220" s="335"/>
      <c r="BC220" s="335"/>
      <c r="BD220" s="335"/>
      <c r="BE220" s="335"/>
      <c r="BF220" s="335"/>
      <c r="BG220" s="335"/>
      <c r="BH220" s="210"/>
    </row>
    <row r="221" spans="1:60" s="2" customFormat="1">
      <c r="A221" s="1038"/>
      <c r="B221" s="1109" t="s">
        <v>231</v>
      </c>
      <c r="C221" s="1106" t="s">
        <v>96</v>
      </c>
      <c r="D221" s="644"/>
      <c r="E221" s="940" t="s">
        <v>233</v>
      </c>
      <c r="F221" s="940"/>
      <c r="G221" s="940"/>
      <c r="H221" s="940"/>
      <c r="I221" s="77"/>
      <c r="J221" s="939"/>
      <c r="K221" s="126"/>
      <c r="L221" s="126"/>
      <c r="M221" s="938"/>
      <c r="N221" s="252"/>
      <c r="O221" s="177" t="str">
        <f>O$10</f>
        <v>verwarming</v>
      </c>
      <c r="P221" s="177" t="str">
        <f>P$10</f>
        <v>koeling</v>
      </c>
      <c r="Q221" s="177" t="str">
        <f>Q$10</f>
        <v>tapwater</v>
      </c>
      <c r="R221" s="177"/>
      <c r="S221" s="177"/>
      <c r="T221" s="177"/>
      <c r="U221" s="177"/>
      <c r="V221" s="177"/>
      <c r="W221" s="177" t="str">
        <f>W$10</f>
        <v>zonnepanelen</v>
      </c>
      <c r="X221" s="253"/>
      <c r="Y221" s="938"/>
      <c r="Z221" s="252"/>
      <c r="AA221" s="177" t="str">
        <f>AA$10</f>
        <v>verwarming</v>
      </c>
      <c r="AB221" s="177" t="str">
        <f>AB$10</f>
        <v>koeling</v>
      </c>
      <c r="AC221" s="177" t="str">
        <f>AC$10</f>
        <v>tapwater</v>
      </c>
      <c r="AD221" s="177"/>
      <c r="AE221" s="177"/>
      <c r="AF221" s="177"/>
      <c r="AG221" s="177"/>
      <c r="AH221" s="177"/>
      <c r="AI221" s="177" t="str">
        <f>AI$10</f>
        <v>zonnepanelen</v>
      </c>
      <c r="AJ221" s="253"/>
      <c r="AK221" s="938"/>
      <c r="AL221" s="252"/>
      <c r="AM221" s="177" t="str">
        <f>AM$10</f>
        <v>verwarming</v>
      </c>
      <c r="AN221" s="177" t="str">
        <f>AN$10</f>
        <v>koeling</v>
      </c>
      <c r="AO221" s="177" t="str">
        <f>AO$10</f>
        <v>tapwater</v>
      </c>
      <c r="AP221" s="177"/>
      <c r="AQ221" s="177"/>
      <c r="AR221" s="177"/>
      <c r="AS221" s="177"/>
      <c r="AT221" s="177"/>
      <c r="AU221" s="177" t="str">
        <f>AU$10</f>
        <v>zonnepanelen</v>
      </c>
      <c r="AV221" s="253"/>
      <c r="AW221" s="938"/>
      <c r="AX221" s="252"/>
      <c r="AY221" s="177" t="str">
        <f>AY$10</f>
        <v>verwarming</v>
      </c>
      <c r="AZ221" s="177" t="str">
        <f>AZ$10</f>
        <v>koeling</v>
      </c>
      <c r="BA221" s="177" t="str">
        <f>BA$10</f>
        <v>tapwater</v>
      </c>
      <c r="BB221" s="177"/>
      <c r="BC221" s="177"/>
      <c r="BD221" s="177"/>
      <c r="BE221" s="177"/>
      <c r="BF221" s="177"/>
      <c r="BG221" s="177" t="str">
        <f>BG$10</f>
        <v>zonnepanelen</v>
      </c>
    </row>
    <row r="222" spans="1:60" s="2" customFormat="1" hidden="1">
      <c r="A222" s="1038"/>
      <c r="B222" s="1109" t="s">
        <v>231</v>
      </c>
      <c r="C222" s="1106" t="s">
        <v>181</v>
      </c>
      <c r="D222" s="644"/>
      <c r="E222" s="180" t="s">
        <v>234</v>
      </c>
      <c r="F222" s="180"/>
      <c r="G222" s="180"/>
      <c r="H222" s="181" t="s">
        <v>207</v>
      </c>
      <c r="I222" s="114"/>
      <c r="J222" s="190"/>
      <c r="K222" s="79"/>
      <c r="L222" s="79"/>
      <c r="M222" s="359">
        <f>$H$5</f>
        <v>0.26800000000000002</v>
      </c>
      <c r="N222" s="358"/>
      <c r="O222" s="336"/>
      <c r="P222" s="336"/>
      <c r="Q222" s="336"/>
      <c r="R222" s="336"/>
      <c r="S222" s="336"/>
      <c r="T222" s="336"/>
      <c r="U222" s="336"/>
      <c r="V222" s="336"/>
      <c r="W222" s="336"/>
      <c r="X222" s="360"/>
      <c r="Y222" s="359">
        <f>$H$5</f>
        <v>0.26800000000000002</v>
      </c>
      <c r="Z222" s="358"/>
      <c r="AA222" s="336"/>
      <c r="AB222" s="336"/>
      <c r="AC222" s="336"/>
      <c r="AD222" s="336"/>
      <c r="AE222" s="336"/>
      <c r="AF222" s="336"/>
      <c r="AG222" s="336"/>
      <c r="AH222" s="336"/>
      <c r="AI222" s="336"/>
      <c r="AJ222" s="360"/>
      <c r="AK222" s="359">
        <f>$H$5</f>
        <v>0.26800000000000002</v>
      </c>
      <c r="AL222" s="358"/>
      <c r="AM222" s="336"/>
      <c r="AN222" s="336"/>
      <c r="AO222" s="336"/>
      <c r="AP222" s="336"/>
      <c r="AQ222" s="336"/>
      <c r="AR222" s="336"/>
      <c r="AS222" s="336"/>
      <c r="AT222" s="336"/>
      <c r="AU222" s="336"/>
      <c r="AV222" s="360"/>
      <c r="AW222" s="359">
        <f>$H$5</f>
        <v>0.26800000000000002</v>
      </c>
      <c r="AX222" s="114"/>
      <c r="AY222" s="335"/>
      <c r="AZ222" s="335"/>
      <c r="BA222" s="335"/>
      <c r="BB222" s="335"/>
      <c r="BC222" s="335"/>
      <c r="BD222" s="335"/>
      <c r="BE222" s="335"/>
      <c r="BF222" s="335"/>
      <c r="BG222" s="335"/>
      <c r="BH222" s="219"/>
    </row>
    <row r="223" spans="1:60" s="2" customFormat="1" hidden="1">
      <c r="A223" s="1038"/>
      <c r="B223" s="1109" t="s">
        <v>231</v>
      </c>
      <c r="C223" s="1106" t="s">
        <v>181</v>
      </c>
      <c r="D223" s="644"/>
      <c r="E223" s="180" t="s">
        <v>235</v>
      </c>
      <c r="F223" s="180"/>
      <c r="G223" s="180"/>
      <c r="H223" s="181" t="s">
        <v>207</v>
      </c>
      <c r="I223" s="114"/>
      <c r="J223" s="190"/>
      <c r="K223" s="79"/>
      <c r="L223" s="79"/>
      <c r="M223" s="359">
        <f>HLOOKUP($F$5,elektriciteit_primaire_energiefactor,ROWS(bibliotheek!$E$304:$E$312),FALSE)</f>
        <v>0.26800000000000002</v>
      </c>
      <c r="N223" s="358"/>
      <c r="O223" s="336"/>
      <c r="P223" s="336"/>
      <c r="Q223" s="336"/>
      <c r="R223" s="336"/>
      <c r="S223" s="336"/>
      <c r="T223" s="336"/>
      <c r="U223" s="336"/>
      <c r="V223" s="336"/>
      <c r="W223" s="336"/>
      <c r="X223" s="360"/>
      <c r="Y223" s="359">
        <f>HLOOKUP($F$5,elektriciteit_primaire_energiefactor,ROWS(bibliotheek!$E$304:$E$312),FALSE)</f>
        <v>0.26800000000000002</v>
      </c>
      <c r="Z223" s="358"/>
      <c r="AA223" s="336"/>
      <c r="AB223" s="336"/>
      <c r="AC223" s="336"/>
      <c r="AD223" s="336"/>
      <c r="AE223" s="336"/>
      <c r="AF223" s="336"/>
      <c r="AG223" s="336"/>
      <c r="AH223" s="336"/>
      <c r="AI223" s="336"/>
      <c r="AJ223" s="360"/>
      <c r="AK223" s="359">
        <f>HLOOKUP($F$5,elektriciteit_primaire_energiefactor,ROWS(bibliotheek!$E$304:$E$312),FALSE)</f>
        <v>0.26800000000000002</v>
      </c>
      <c r="AL223" s="358"/>
      <c r="AM223" s="336"/>
      <c r="AN223" s="336"/>
      <c r="AO223" s="336"/>
      <c r="AP223" s="336"/>
      <c r="AQ223" s="336"/>
      <c r="AR223" s="336"/>
      <c r="AS223" s="336"/>
      <c r="AT223" s="336"/>
      <c r="AU223" s="336"/>
      <c r="AV223" s="360"/>
      <c r="AW223" s="359">
        <f>HLOOKUP($F$5,elektriciteit_primaire_energiefactor,ROWS(bibliotheek!$E$304:$E$312),FALSE)</f>
        <v>0.26800000000000002</v>
      </c>
      <c r="AX223" s="114"/>
      <c r="AY223" s="335"/>
      <c r="AZ223" s="335"/>
      <c r="BA223" s="335"/>
      <c r="BB223" s="335"/>
      <c r="BC223" s="335"/>
      <c r="BD223" s="335"/>
      <c r="BE223" s="335"/>
      <c r="BF223" s="335"/>
      <c r="BG223" s="335"/>
      <c r="BH223" s="219"/>
    </row>
    <row r="224" spans="1:60" s="2" customFormat="1">
      <c r="A224" s="1038"/>
      <c r="B224" s="1109" t="s">
        <v>231</v>
      </c>
      <c r="C224" s="1106" t="s">
        <v>104</v>
      </c>
      <c r="D224" s="644"/>
      <c r="E224" s="1123" t="s">
        <v>232</v>
      </c>
      <c r="F224" s="181"/>
      <c r="G224" s="181"/>
      <c r="H224" s="181" t="s">
        <v>209</v>
      </c>
      <c r="I224" s="114"/>
      <c r="J224" s="202">
        <f>M224+Y224+AK224+AW224</f>
        <v>0</v>
      </c>
      <c r="K224" s="1062"/>
      <c r="L224" s="1062"/>
      <c r="M224" s="202">
        <f>M187*M222+M186*M223</f>
        <v>0</v>
      </c>
      <c r="N224" s="89"/>
      <c r="O224" s="168">
        <f>IF($M$188=0,0,O$188/$M$188*$M224)</f>
        <v>0</v>
      </c>
      <c r="P224" s="168">
        <f>IF($M$188=0,0,P$188/$M$188*$M224)</f>
        <v>0</v>
      </c>
      <c r="Q224" s="168">
        <f>IF($M$188=0,0,Q$188/$M$188*$M224)</f>
        <v>0</v>
      </c>
      <c r="R224" s="273"/>
      <c r="S224" s="273"/>
      <c r="T224" s="273"/>
      <c r="U224" s="273"/>
      <c r="V224" s="273"/>
      <c r="W224" s="168">
        <f>IF($M$188=0,0,W$188/$M$188*$M224)</f>
        <v>0</v>
      </c>
      <c r="X224" s="113"/>
      <c r="Y224" s="202">
        <f>Y187*Y222+Y186*Y223</f>
        <v>0</v>
      </c>
      <c r="Z224" s="89"/>
      <c r="AA224" s="168">
        <f>IF($Y$188=0,0,AA$188/$Y$188*$Y224)</f>
        <v>0</v>
      </c>
      <c r="AB224" s="168">
        <f>IF($Y$188=0,0,AB$188/$Y$188*$Y224)</f>
        <v>0</v>
      </c>
      <c r="AC224" s="168">
        <f>IF($Y$188=0,0,AC$188/$Y$188*$Y224)</f>
        <v>0</v>
      </c>
      <c r="AD224" s="273"/>
      <c r="AE224" s="273"/>
      <c r="AF224" s="273"/>
      <c r="AG224" s="273"/>
      <c r="AH224" s="273"/>
      <c r="AI224" s="168">
        <f>IF($Y$188=0,0,AI$188/$Y$188*$Y224)</f>
        <v>0</v>
      </c>
      <c r="AJ224" s="113"/>
      <c r="AK224" s="202">
        <f>AK187*AK222+AK186*AK223</f>
        <v>0</v>
      </c>
      <c r="AL224" s="89"/>
      <c r="AM224" s="168">
        <f>IF($AK$188=0,0,AM$188/$AK$188*$AK224)</f>
        <v>0</v>
      </c>
      <c r="AN224" s="168">
        <f>IF($AK$188=0,0,AN$188/$AK$188*$AK224)</f>
        <v>0</v>
      </c>
      <c r="AO224" s="168">
        <f>IF($AK$188=0,0,AO$188/$AK$188*$AK224)</f>
        <v>0</v>
      </c>
      <c r="AP224" s="273"/>
      <c r="AQ224" s="273"/>
      <c r="AR224" s="273"/>
      <c r="AS224" s="273"/>
      <c r="AT224" s="273"/>
      <c r="AU224" s="168">
        <f>IF($AK$188=0,0,AU$188/$AK$188*$AK224)</f>
        <v>0</v>
      </c>
      <c r="AV224" s="113"/>
      <c r="AW224" s="202">
        <f>AW187*AW222+AW186*AW223</f>
        <v>0</v>
      </c>
      <c r="AX224" s="89"/>
      <c r="AY224" s="168">
        <f>IF($AW$188=0,0,AY$188/$AW$188*$AW224)</f>
        <v>0</v>
      </c>
      <c r="AZ224" s="168">
        <f>IF($AW$188=0,0,AZ$188/$AW$188*$AW224)</f>
        <v>0</v>
      </c>
      <c r="BA224" s="168">
        <f>IF($AW$188=0,0,BA$188/$AW$188*$AW224)</f>
        <v>0</v>
      </c>
      <c r="BB224" s="273"/>
      <c r="BC224" s="273"/>
      <c r="BD224" s="273"/>
      <c r="BE224" s="273"/>
      <c r="BF224" s="273"/>
      <c r="BG224" s="168">
        <f>IF($AW$188=0,0,BG$188/$AW$188*$AW224)</f>
        <v>0</v>
      </c>
      <c r="BH224" s="210"/>
    </row>
    <row r="225" spans="1:60">
      <c r="A225" s="1040"/>
      <c r="B225" s="1109" t="s">
        <v>231</v>
      </c>
      <c r="C225" s="1106" t="s">
        <v>96</v>
      </c>
      <c r="D225" s="638"/>
      <c r="E225" s="79"/>
      <c r="F225" s="79"/>
      <c r="G225" s="79"/>
      <c r="H225" s="85"/>
      <c r="I225" s="79"/>
      <c r="J225" s="82"/>
      <c r="K225" s="79"/>
      <c r="L225" s="79"/>
      <c r="M225" s="1169"/>
      <c r="N225" s="79"/>
      <c r="O225" s="108"/>
      <c r="P225" s="108"/>
      <c r="Q225" s="108"/>
      <c r="R225" s="82"/>
      <c r="S225" s="82"/>
      <c r="T225" s="82"/>
      <c r="U225" s="82"/>
      <c r="V225" s="82"/>
      <c r="W225" s="82"/>
      <c r="X225" s="82"/>
      <c r="Y225" s="82"/>
      <c r="Z225" s="79"/>
      <c r="AA225" s="108"/>
      <c r="AB225" s="108"/>
      <c r="AC225" s="108"/>
      <c r="AD225" s="82"/>
      <c r="AE225" s="82"/>
      <c r="AF225" s="82"/>
      <c r="AG225" s="82"/>
      <c r="AH225" s="82"/>
      <c r="AI225" s="82"/>
      <c r="AJ225" s="82"/>
      <c r="AK225" s="82"/>
      <c r="AL225" s="79"/>
      <c r="AM225" s="108"/>
      <c r="AN225" s="108"/>
      <c r="AO225" s="108"/>
      <c r="AP225" s="82"/>
      <c r="AQ225" s="82"/>
      <c r="AR225" s="82"/>
      <c r="AS225" s="82"/>
      <c r="AT225" s="82"/>
      <c r="AU225" s="82"/>
      <c r="AV225" s="82"/>
      <c r="AW225" s="82"/>
      <c r="AX225" s="79"/>
      <c r="AY225" s="108"/>
      <c r="AZ225" s="108"/>
      <c r="BA225" s="108"/>
      <c r="BB225" s="108"/>
      <c r="BC225" s="108"/>
      <c r="BD225" s="108"/>
      <c r="BE225" s="108"/>
      <c r="BF225" s="108"/>
      <c r="BG225" s="108"/>
      <c r="BH225" s="1"/>
    </row>
    <row r="226" spans="1:60">
      <c r="A226" s="1040"/>
      <c r="B226" s="1109" t="s">
        <v>236</v>
      </c>
      <c r="C226" s="1107" t="s">
        <v>96</v>
      </c>
      <c r="D226" s="638"/>
      <c r="E226" s="79"/>
      <c r="F226" s="79"/>
      <c r="G226" s="79"/>
      <c r="H226" s="79"/>
      <c r="I226" s="79"/>
      <c r="J226" s="82"/>
      <c r="K226" s="79"/>
      <c r="L226" s="79"/>
      <c r="M226" s="1169"/>
      <c r="N226" s="79"/>
      <c r="O226" s="113"/>
      <c r="P226" s="108"/>
      <c r="Q226" s="82"/>
      <c r="R226" s="82"/>
      <c r="S226" s="82"/>
      <c r="T226" s="82"/>
      <c r="U226" s="82"/>
      <c r="V226" s="82"/>
      <c r="W226" s="82"/>
      <c r="X226" s="82"/>
      <c r="Y226" s="82"/>
      <c r="Z226" s="79"/>
      <c r="AA226" s="82"/>
      <c r="AB226" s="82"/>
      <c r="AC226" s="82"/>
      <c r="AD226" s="82"/>
      <c r="AE226" s="82"/>
      <c r="AF226" s="82"/>
      <c r="AG226" s="82"/>
      <c r="AH226" s="82"/>
      <c r="AI226" s="82"/>
      <c r="AJ226" s="82"/>
      <c r="AK226" s="82"/>
      <c r="AL226" s="79"/>
      <c r="AM226" s="82"/>
      <c r="AN226" s="82"/>
      <c r="AO226" s="82"/>
      <c r="AP226" s="82"/>
      <c r="AQ226" s="82"/>
      <c r="AR226" s="82"/>
      <c r="AS226" s="82"/>
      <c r="AT226" s="82"/>
      <c r="AU226" s="82"/>
      <c r="AV226" s="82"/>
      <c r="AW226" s="82"/>
      <c r="AX226" s="79"/>
      <c r="AY226" s="82"/>
      <c r="AZ226" s="82"/>
      <c r="BA226" s="82"/>
      <c r="BB226" s="82"/>
      <c r="BC226" s="82"/>
      <c r="BD226" s="82"/>
      <c r="BE226" s="82"/>
      <c r="BF226" s="82"/>
      <c r="BG226" s="82"/>
      <c r="BH226" s="1"/>
    </row>
    <row r="227" spans="1:60" ht="21">
      <c r="A227" s="1040"/>
      <c r="B227" s="1109" t="s">
        <v>236</v>
      </c>
      <c r="C227" s="1106" t="s">
        <v>96</v>
      </c>
      <c r="D227" s="643"/>
      <c r="E227" s="1181" t="s">
        <v>237</v>
      </c>
      <c r="F227" s="199"/>
      <c r="G227" s="692"/>
      <c r="H227" s="692"/>
      <c r="I227" s="77"/>
      <c r="J227" s="200" t="str">
        <f>J$10</f>
        <v>alle locaties</v>
      </c>
      <c r="K227" s="126"/>
      <c r="L227" s="126"/>
      <c r="M227" s="200" t="str">
        <f>M$10</f>
        <v>locatie 1</v>
      </c>
      <c r="N227" s="182"/>
      <c r="O227" s="966" t="str">
        <f>$E227&amp;" per energiepost"</f>
        <v>finaal energiegebruik per energiepost</v>
      </c>
      <c r="P227" s="941"/>
      <c r="Q227" s="941"/>
      <c r="R227" s="941"/>
      <c r="S227" s="941"/>
      <c r="T227" s="941"/>
      <c r="U227" s="941"/>
      <c r="V227" s="941"/>
      <c r="W227" s="956"/>
      <c r="X227" s="174"/>
      <c r="Y227" s="200" t="str">
        <f>Y$10</f>
        <v>locatie 2</v>
      </c>
      <c r="Z227" s="182"/>
      <c r="AA227" s="966" t="str">
        <f>$E227&amp;" per energiepost"</f>
        <v>finaal energiegebruik per energiepost</v>
      </c>
      <c r="AB227" s="941"/>
      <c r="AC227" s="941"/>
      <c r="AD227" s="941"/>
      <c r="AE227" s="941"/>
      <c r="AF227" s="941"/>
      <c r="AG227" s="941"/>
      <c r="AH227" s="941"/>
      <c r="AI227" s="956"/>
      <c r="AJ227" s="174"/>
      <c r="AK227" s="200" t="str">
        <f>AK$10</f>
        <v>locatie 3</v>
      </c>
      <c r="AL227" s="182"/>
      <c r="AM227" s="966" t="str">
        <f>$E227&amp;" per energiepost"</f>
        <v>finaal energiegebruik per energiepost</v>
      </c>
      <c r="AN227" s="941"/>
      <c r="AO227" s="941"/>
      <c r="AP227" s="941"/>
      <c r="AQ227" s="941"/>
      <c r="AR227" s="941"/>
      <c r="AS227" s="941"/>
      <c r="AT227" s="941"/>
      <c r="AU227" s="956"/>
      <c r="AV227" s="174"/>
      <c r="AW227" s="200" t="str">
        <f>AW$10</f>
        <v>locatie 4</v>
      </c>
      <c r="AX227" s="182"/>
      <c r="AY227" s="966" t="str">
        <f>$E227&amp;" per energiepost"</f>
        <v>finaal energiegebruik per energiepost</v>
      </c>
      <c r="AZ227" s="941"/>
      <c r="BA227" s="941"/>
      <c r="BB227" s="941"/>
      <c r="BC227" s="941"/>
      <c r="BD227" s="941"/>
      <c r="BE227" s="941"/>
      <c r="BF227" s="941"/>
      <c r="BG227" s="956"/>
      <c r="BH227" s="1"/>
    </row>
    <row r="228" spans="1:60">
      <c r="A228" s="1040"/>
      <c r="B228" s="1109" t="s">
        <v>236</v>
      </c>
      <c r="C228" s="1106" t="s">
        <v>96</v>
      </c>
      <c r="D228" s="638"/>
      <c r="E228" s="940" t="s">
        <v>238</v>
      </c>
      <c r="F228" s="940"/>
      <c r="G228" s="940"/>
      <c r="H228" s="940"/>
      <c r="I228" s="77"/>
      <c r="J228" s="939"/>
      <c r="K228" s="126"/>
      <c r="L228" s="126"/>
      <c r="M228" s="938"/>
      <c r="N228" s="191"/>
      <c r="O228" s="177" t="str">
        <f t="shared" ref="O228:W228" si="190">O$10</f>
        <v>verwarming</v>
      </c>
      <c r="P228" s="177" t="str">
        <f t="shared" si="190"/>
        <v>koeling</v>
      </c>
      <c r="Q228" s="177" t="str">
        <f t="shared" si="190"/>
        <v>tapwater</v>
      </c>
      <c r="R228" s="177" t="str">
        <f t="shared" si="190"/>
        <v>verlichting</v>
      </c>
      <c r="S228" s="177" t="str">
        <f t="shared" si="190"/>
        <v>ventilatoren</v>
      </c>
      <c r="T228" s="177" t="str">
        <f t="shared" si="190"/>
        <v>kookgas</v>
      </c>
      <c r="U228" s="177" t="str">
        <f t="shared" si="190"/>
        <v>overig elektra</v>
      </c>
      <c r="V228" s="177" t="str">
        <f t="shared" si="190"/>
        <v>mobiliteit</v>
      </c>
      <c r="W228" s="177" t="str">
        <f t="shared" si="190"/>
        <v>zonnepanelen</v>
      </c>
      <c r="X228" s="191"/>
      <c r="Y228" s="938"/>
      <c r="Z228" s="191"/>
      <c r="AA228" s="177" t="str">
        <f t="shared" ref="AA228:AI228" si="191">AA$10</f>
        <v>verwarming</v>
      </c>
      <c r="AB228" s="177" t="str">
        <f t="shared" si="191"/>
        <v>koeling</v>
      </c>
      <c r="AC228" s="177" t="str">
        <f t="shared" si="191"/>
        <v>tapwater</v>
      </c>
      <c r="AD228" s="177" t="str">
        <f t="shared" si="191"/>
        <v>verlichting</v>
      </c>
      <c r="AE228" s="177" t="str">
        <f t="shared" si="191"/>
        <v>ventilatoren</v>
      </c>
      <c r="AF228" s="177" t="str">
        <f t="shared" si="191"/>
        <v>kookgas</v>
      </c>
      <c r="AG228" s="177" t="str">
        <f t="shared" si="191"/>
        <v>overig elektra</v>
      </c>
      <c r="AH228" s="177" t="str">
        <f t="shared" si="191"/>
        <v>mobiliteit</v>
      </c>
      <c r="AI228" s="177" t="str">
        <f t="shared" si="191"/>
        <v>zonnepanelen</v>
      </c>
      <c r="AJ228" s="191"/>
      <c r="AK228" s="938"/>
      <c r="AL228" s="191"/>
      <c r="AM228" s="177" t="str">
        <f t="shared" ref="AM228:AU228" si="192">AM$10</f>
        <v>verwarming</v>
      </c>
      <c r="AN228" s="177" t="str">
        <f t="shared" si="192"/>
        <v>koeling</v>
      </c>
      <c r="AO228" s="177" t="str">
        <f t="shared" si="192"/>
        <v>tapwater</v>
      </c>
      <c r="AP228" s="177" t="str">
        <f t="shared" si="192"/>
        <v>verlichting</v>
      </c>
      <c r="AQ228" s="177" t="str">
        <f t="shared" si="192"/>
        <v>ventilatoren</v>
      </c>
      <c r="AR228" s="177" t="str">
        <f t="shared" si="192"/>
        <v>kookgas</v>
      </c>
      <c r="AS228" s="177" t="str">
        <f t="shared" si="192"/>
        <v>overig elektra</v>
      </c>
      <c r="AT228" s="177" t="str">
        <f t="shared" si="192"/>
        <v>mobiliteit</v>
      </c>
      <c r="AU228" s="177" t="str">
        <f t="shared" si="192"/>
        <v>zonnepanelen</v>
      </c>
      <c r="AV228" s="191"/>
      <c r="AW228" s="938"/>
      <c r="AX228" s="191"/>
      <c r="AY228" s="177" t="str">
        <f t="shared" ref="AY228:BG228" si="193">AY$10</f>
        <v>verwarming</v>
      </c>
      <c r="AZ228" s="177" t="str">
        <f t="shared" si="193"/>
        <v>koeling</v>
      </c>
      <c r="BA228" s="177" t="str">
        <f t="shared" si="193"/>
        <v>tapwater</v>
      </c>
      <c r="BB228" s="177" t="str">
        <f t="shared" si="193"/>
        <v>verlichting</v>
      </c>
      <c r="BC228" s="177" t="str">
        <f t="shared" si="193"/>
        <v>ventilatoren</v>
      </c>
      <c r="BD228" s="177" t="str">
        <f t="shared" si="193"/>
        <v>kookgas</v>
      </c>
      <c r="BE228" s="177" t="str">
        <f t="shared" si="193"/>
        <v>overig elektra</v>
      </c>
      <c r="BF228" s="177" t="str">
        <f t="shared" si="193"/>
        <v>mobiliteit</v>
      </c>
      <c r="BG228" s="177" t="str">
        <f t="shared" si="193"/>
        <v>zonnepanelen</v>
      </c>
      <c r="BH228" s="36"/>
    </row>
    <row r="229" spans="1:60">
      <c r="A229" s="1040"/>
      <c r="B229" s="1109" t="s">
        <v>236</v>
      </c>
      <c r="C229" s="1107" t="s">
        <v>104</v>
      </c>
      <c r="D229" s="641"/>
      <c r="E229" s="180" t="s">
        <v>239</v>
      </c>
      <c r="F229" s="180"/>
      <c r="G229" s="180"/>
      <c r="H229" s="201" t="str">
        <f>m3gas&amp;"/won.geb"</f>
        <v>m3/won.geb</v>
      </c>
      <c r="I229" s="114"/>
      <c r="J229" s="202"/>
      <c r="K229" s="234"/>
      <c r="L229" s="234"/>
      <c r="M229" s="190">
        <f>SUM(N229:X229)</f>
        <v>0</v>
      </c>
      <c r="N229" s="119"/>
      <c r="O229" s="183">
        <f>IF(O$27=0,0,((AND(O$84=gebouw,O$105=aardgas))*O$116+(AND(O$84=gebouw,O$141=aardgas))*O$147)*1000/bibliotheek!$I$508/O$27)</f>
        <v>0</v>
      </c>
      <c r="P229" s="183">
        <f>IF(P$27=0,0,((AND(P$84=gebouw,P$105=aardgas))*P$116+(AND(P$84=gebouw,P$141=aardgas))*P$147)*1000/bibliotheek!$I$508/P$27)</f>
        <v>0</v>
      </c>
      <c r="Q229" s="183">
        <f>IF(Q$27=0,0,((AND(Q$84=gebouw,Q$105=aardgas))*Q$116+(AND(Q$84=gebouw,Q$141=aardgas))*Q$147)*1000/bibliotheek!$I$508/Q$27)</f>
        <v>0</v>
      </c>
      <c r="R229" s="310"/>
      <c r="S229" s="310"/>
      <c r="T229" s="183">
        <f>IF(T$27=0,0,T$78*1000/bibliotheek!$I$508/T$27)</f>
        <v>0</v>
      </c>
      <c r="U229" s="310"/>
      <c r="V229" s="310"/>
      <c r="W229" s="310"/>
      <c r="X229" s="108"/>
      <c r="Y229" s="190">
        <f>SUM(Z229:AJ229)</f>
        <v>0</v>
      </c>
      <c r="Z229" s="119"/>
      <c r="AA229" s="183">
        <f>IF(AA$27=0,0,((AND(AA$84=gebouw,AA$105=aardgas))*AA$116+(AND(AA$84=gebouw,AA$141=aardgas))*AA$147)*1000/bibliotheek!$I$508/AA$27)</f>
        <v>0</v>
      </c>
      <c r="AB229" s="183">
        <f>IF(AB$27=0,0,((AND(AB$84=gebouw,AB$105=aardgas))*AB$116+(AND(AB$84=gebouw,AB$141=aardgas))*AB$147)*1000/bibliotheek!$I$508/AB$27)</f>
        <v>0</v>
      </c>
      <c r="AC229" s="183">
        <f>IF(AC$27=0,0,((AND(AC$84=gebouw,AC$105=aardgas))*AC$116+(AND(AC$84=gebouw,AC$141=aardgas))*AC$147)*1000/bibliotheek!$I$508/AC$27)</f>
        <v>0</v>
      </c>
      <c r="AD229" s="310"/>
      <c r="AE229" s="310"/>
      <c r="AF229" s="183">
        <f>IF(AF$27=0,0,AF$78*1000/bibliotheek!$I$508/AF$27)</f>
        <v>0</v>
      </c>
      <c r="AG229" s="310"/>
      <c r="AH229" s="310"/>
      <c r="AI229" s="310"/>
      <c r="AJ229" s="108"/>
      <c r="AK229" s="190">
        <f>SUM(AL229:AV229)</f>
        <v>0</v>
      </c>
      <c r="AL229" s="119"/>
      <c r="AM229" s="183">
        <f>IF(AM$27=0,0,((AND(AM$84=gebouw,AM$105=aardgas))*AM$116+(AND(AM$84=gebouw,AM$141=aardgas))*AM$147)*1000/bibliotheek!$I$508/AM$27)</f>
        <v>0</v>
      </c>
      <c r="AN229" s="183">
        <f>IF(AN$27=0,0,((AND(AN$84=gebouw,AN$105=aardgas))*AN$116+(AND(AN$84=gebouw,AN$141=aardgas))*AN$147)*1000/bibliotheek!$I$508/AN$27)</f>
        <v>0</v>
      </c>
      <c r="AO229" s="183">
        <f>IF(AO$27=0,0,((AND(AO$84=gebouw,AO$105=aardgas))*AO$116+(AND(AO$84=gebouw,AO$141=aardgas))*AO$147)*1000/bibliotheek!$I$508/AO$27)</f>
        <v>0</v>
      </c>
      <c r="AP229" s="310"/>
      <c r="AQ229" s="310"/>
      <c r="AR229" s="183">
        <f>IF(AR$27=0,0,AR$78*1000/bibliotheek!$I$508/AR$27)</f>
        <v>0</v>
      </c>
      <c r="AS229" s="310"/>
      <c r="AT229" s="310"/>
      <c r="AU229" s="310"/>
      <c r="AV229" s="108"/>
      <c r="AW229" s="190">
        <f>SUM(AX229:BH229)</f>
        <v>0</v>
      </c>
      <c r="AX229" s="119"/>
      <c r="AY229" s="183">
        <f>IF(AY$27=0,0,((AND(AY$84=gebouw,AY$105=aardgas))*AY$116+(AND(AY$84=gebouw,AY$141=aardgas))*AY$147)*1000/bibliotheek!$I$508/AY$27)</f>
        <v>0</v>
      </c>
      <c r="AZ229" s="183">
        <f>IF(AZ$27=0,0,((AND(AZ$84=gebouw,AZ$105=aardgas))*AZ$116+(AND(AZ$84=gebouw,AZ$141=aardgas))*AZ$147)*1000/bibliotheek!$I$508/AZ$27)</f>
        <v>0</v>
      </c>
      <c r="BA229" s="183">
        <f>IF(BA$27=0,0,((AND(BA$84=gebouw,BA$105=aardgas))*BA$116+(AND(BA$84=gebouw,BA$141=aardgas))*BA$147)*1000/bibliotheek!$I$508/BA$27)</f>
        <v>0</v>
      </c>
      <c r="BB229" s="310"/>
      <c r="BC229" s="310"/>
      <c r="BD229" s="183">
        <f>IF(BD$27=0,0,BD$78*1000/bibliotheek!$I$508/BD$27)</f>
        <v>0</v>
      </c>
      <c r="BE229" s="310"/>
      <c r="BF229" s="310"/>
      <c r="BG229" s="310"/>
      <c r="BH229" s="210"/>
    </row>
    <row r="230" spans="1:60">
      <c r="A230" s="1040"/>
      <c r="B230" s="1109" t="s">
        <v>236</v>
      </c>
      <c r="C230" s="1107" t="s">
        <v>104</v>
      </c>
      <c r="D230" s="641"/>
      <c r="E230" s="180" t="s">
        <v>145</v>
      </c>
      <c r="F230" s="180"/>
      <c r="G230" s="180"/>
      <c r="H230" s="201" t="str">
        <f>kWh&amp;"/won.geb"</f>
        <v>kWh/won.geb</v>
      </c>
      <c r="I230" s="114"/>
      <c r="J230" s="202"/>
      <c r="K230" s="234"/>
      <c r="L230" s="234"/>
      <c r="M230" s="190">
        <f>SUM(N230:X230)</f>
        <v>0</v>
      </c>
      <c r="N230" s="119"/>
      <c r="O230" s="183">
        <f>IF(O$27=0,0,(O$190-O$187)*1000/O$27)</f>
        <v>0</v>
      </c>
      <c r="P230" s="183">
        <f>IF(OR(P$27=0,P$31=0),0,(P$190-P$187)*1000/P$27)</f>
        <v>0</v>
      </c>
      <c r="Q230" s="183">
        <f>IF(OR(Q$27=0,Q$31=0),0,(Q$190-Q$187)*1000/Q$27)</f>
        <v>0</v>
      </c>
      <c r="R230" s="183">
        <f>IF(R$27=0,0,R$190*1000/R$27)</f>
        <v>0</v>
      </c>
      <c r="S230" s="183">
        <f>IF(S$27=0,0,S$190*1000/S$27)</f>
        <v>0</v>
      </c>
      <c r="T230" s="273"/>
      <c r="U230" s="183">
        <f>IF(U$27=0,0,U$190*1000/U$27)</f>
        <v>0</v>
      </c>
      <c r="V230" s="183">
        <f>IF(V$27=0,0,V$190*1000/V$27)</f>
        <v>0</v>
      </c>
      <c r="W230" s="183">
        <f>IF(W$27=0,0,-W$186*1000/W$27)</f>
        <v>0</v>
      </c>
      <c r="X230" s="108"/>
      <c r="Y230" s="190">
        <f>SUM(Z230:AJ230)</f>
        <v>0</v>
      </c>
      <c r="Z230" s="119"/>
      <c r="AA230" s="183">
        <f>IF(AA$27=0,0,(AA$190-AA$187)*1000/AA$27)</f>
        <v>0</v>
      </c>
      <c r="AB230" s="183">
        <f>IF(OR(AB$27=0,AB$31=0),0,(AB$190-AB$187)*1000/AB$27)</f>
        <v>0</v>
      </c>
      <c r="AC230" s="183">
        <f>IF(OR(AC$27=0,AC$31=0),0,(AC$190-AC$187)*1000/AC$27)</f>
        <v>0</v>
      </c>
      <c r="AD230" s="183">
        <f>IF(AD$27=0,0,AD$190*1000/AD$27)</f>
        <v>0</v>
      </c>
      <c r="AE230" s="183">
        <f>IF(AE$27=0,0,AE$190*1000/AE$27)</f>
        <v>0</v>
      </c>
      <c r="AF230" s="273"/>
      <c r="AG230" s="183">
        <f>IF(AG$27=0,0,AG$190*1000/AG$27)</f>
        <v>0</v>
      </c>
      <c r="AH230" s="183">
        <f>IF(AH$27=0,0,AH$190*1000/AH$27)</f>
        <v>0</v>
      </c>
      <c r="AI230" s="183">
        <f>IF(AI$27=0,0,-AI$186*1000/AI$27)</f>
        <v>0</v>
      </c>
      <c r="AJ230" s="108"/>
      <c r="AK230" s="190">
        <f>SUM(AL230:AV230)</f>
        <v>0</v>
      </c>
      <c r="AL230" s="119"/>
      <c r="AM230" s="183">
        <f>IF(AM$27=0,0,(AM$190-AM$187)*1000/AM$27)</f>
        <v>0</v>
      </c>
      <c r="AN230" s="183">
        <f>IF(OR(AN$27=0,AN$31=0),0,(AN$190-AN$187)*1000/AN$27)</f>
        <v>0</v>
      </c>
      <c r="AO230" s="183">
        <f>IF(OR(AO$27=0,AO$31=0),0,(AO$190-AO$187)*1000/AO$27)</f>
        <v>0</v>
      </c>
      <c r="AP230" s="183">
        <f>IF(AP$27=0,0,AP$190*1000/AP$27)</f>
        <v>0</v>
      </c>
      <c r="AQ230" s="183">
        <f>IF(AQ$27=0,0,AQ$190*1000/AQ$27)</f>
        <v>0</v>
      </c>
      <c r="AR230" s="168"/>
      <c r="AS230" s="183">
        <f>IF(AS$27=0,0,AS$190*1000/AS$27)</f>
        <v>0</v>
      </c>
      <c r="AT230" s="183">
        <f>IF(AT$27=0,0,AT$190*1000/AT$27)</f>
        <v>0</v>
      </c>
      <c r="AU230" s="183">
        <f>IF(AU$27=0,0,-AU$186*1000/AU$27)</f>
        <v>0</v>
      </c>
      <c r="AV230" s="108"/>
      <c r="AW230" s="190">
        <f>SUM(AX230:BH230)</f>
        <v>0</v>
      </c>
      <c r="AX230" s="119"/>
      <c r="AY230" s="183">
        <f>IF(AY$27=0,0,(AY$190-AY$187)*1000/AY$27)</f>
        <v>0</v>
      </c>
      <c r="AZ230" s="183">
        <f>IF(OR(AZ$27=0,AZ$31=0),0,(AZ$190-AZ$187)*1000/AZ$27)</f>
        <v>0</v>
      </c>
      <c r="BA230" s="183">
        <f>IF(OR(BA$27=0,BA$31=0),0,(BA$190-BA$187)*1000/BA$27)</f>
        <v>0</v>
      </c>
      <c r="BB230" s="183">
        <f>IF(BB$27=0,0,BB$190*1000/BB$27)</f>
        <v>0</v>
      </c>
      <c r="BC230" s="183">
        <f>IF(BC$27=0,0,BC$190*1000/BC$27)</f>
        <v>0</v>
      </c>
      <c r="BD230" s="273"/>
      <c r="BE230" s="183">
        <f>IF(BE$27=0,0,BE$190*1000/BE$27)</f>
        <v>0</v>
      </c>
      <c r="BF230" s="183">
        <f>IF(BF$27=0,0,BF$190*1000/BF$27)</f>
        <v>0</v>
      </c>
      <c r="BG230" s="183">
        <f>IF(BG$27=0,0,-BG$186*1000/BG$27)</f>
        <v>0</v>
      </c>
      <c r="BH230" s="210"/>
    </row>
    <row r="231" spans="1:60">
      <c r="A231" s="1040"/>
      <c r="B231" s="1109" t="s">
        <v>236</v>
      </c>
      <c r="C231" s="1107" t="s">
        <v>104</v>
      </c>
      <c r="D231" s="641"/>
      <c r="E231" s="180" t="s">
        <v>240</v>
      </c>
      <c r="F231" s="180"/>
      <c r="G231" s="180"/>
      <c r="H231" s="201" t="str">
        <f>GJ&amp;"/won.geb"</f>
        <v>GJ/won.geb</v>
      </c>
      <c r="I231" s="114"/>
      <c r="J231" s="202"/>
      <c r="K231" s="234"/>
      <c r="L231" s="234"/>
      <c r="M231" s="202">
        <f>SUM(N231:X231)</f>
        <v>0</v>
      </c>
      <c r="N231" s="89"/>
      <c r="O231" s="168">
        <f>IF(O$27=0,0,(O$84&lt;&gt;gebouw)*(O$78+O$88-O$91)*3.6/O$27)</f>
        <v>0</v>
      </c>
      <c r="P231" s="168">
        <f>IF(P$27=0,0,(P$84&lt;&gt;gebouw)*(P$78+P$88-P$91)*3.6/P$27)</f>
        <v>0</v>
      </c>
      <c r="Q231" s="168">
        <f>IF(Q$27=0,0,(Q$84&lt;&gt;gebouw)*(Q$78+Q$88-Q$91)*3.6/Q$27)</f>
        <v>0</v>
      </c>
      <c r="R231" s="273"/>
      <c r="S231" s="273"/>
      <c r="T231" s="273"/>
      <c r="U231" s="273"/>
      <c r="V231" s="273"/>
      <c r="W231" s="273"/>
      <c r="X231" s="113"/>
      <c r="Y231" s="202">
        <f>SUM(Z231:AJ231)</f>
        <v>0</v>
      </c>
      <c r="Z231" s="89"/>
      <c r="AA231" s="168">
        <f>IF(AA$27=0,0,(AA$84&lt;&gt;gebouw)*(AA$78+AA$88-AA$91)*3.6/AA$27)</f>
        <v>0</v>
      </c>
      <c r="AB231" s="168">
        <f>IF(AB$27=0,0,(AB$84&lt;&gt;gebouw)*(AB$78+AB$88-AB$91)*3.6/AB$27)</f>
        <v>0</v>
      </c>
      <c r="AC231" s="168">
        <f>IF(AC$27=0,0,(AC$84&lt;&gt;gebouw)*(AC$78+AC$88-AC$91)*3.6/AC$27)</f>
        <v>0</v>
      </c>
      <c r="AD231" s="273"/>
      <c r="AE231" s="273"/>
      <c r="AF231" s="273"/>
      <c r="AG231" s="273"/>
      <c r="AH231" s="273"/>
      <c r="AI231" s="273"/>
      <c r="AJ231" s="113"/>
      <c r="AK231" s="202">
        <f>SUM(AL231:AV231)</f>
        <v>0</v>
      </c>
      <c r="AL231" s="89"/>
      <c r="AM231" s="168">
        <f>IF(AM$27=0,0,(AM$84&lt;&gt;gebouw)*(AM$78+AM$88-AM$91)*3.6/AM$27)</f>
        <v>0</v>
      </c>
      <c r="AN231" s="168">
        <f>IF(AN$27=0,0,(AN$84&lt;&gt;gebouw)*(AN$78+AN$88-AN$91)*3.6/AN$27)</f>
        <v>0</v>
      </c>
      <c r="AO231" s="168">
        <f>IF(AO$27=0,0,(AO$84&lt;&gt;gebouw)*(AO$78+AO$88-AO$91)*3.6/AO$27)</f>
        <v>0</v>
      </c>
      <c r="AP231" s="168"/>
      <c r="AQ231" s="168"/>
      <c r="AR231" s="168"/>
      <c r="AS231" s="168"/>
      <c r="AT231" s="168"/>
      <c r="AU231" s="168"/>
      <c r="AV231" s="113"/>
      <c r="AW231" s="202">
        <f>SUM(AX231:BH231)</f>
        <v>0</v>
      </c>
      <c r="AX231" s="89"/>
      <c r="AY231" s="168">
        <f>IF(AY$27=0,0,(AY$84&lt;&gt;gebouw)*(AY$78+AY$88-AY$91)*3.6/AY$27)</f>
        <v>0</v>
      </c>
      <c r="AZ231" s="168">
        <f>IF(AZ$27=0,0,(AZ$84&lt;&gt;gebouw)*(AZ$78+AZ$88-AZ$91)*3.6/AZ$27)</f>
        <v>0</v>
      </c>
      <c r="BA231" s="168">
        <f>IF(BA$27=0,0,(BA$84&lt;&gt;gebouw)*(BA$78+BA$88-BA$91)*3.6/BA$27)</f>
        <v>0</v>
      </c>
      <c r="BB231" s="273"/>
      <c r="BC231" s="273"/>
      <c r="BD231" s="273"/>
      <c r="BE231" s="273"/>
      <c r="BF231" s="273"/>
      <c r="BG231" s="273"/>
      <c r="BH231" s="210"/>
    </row>
    <row r="232" spans="1:60">
      <c r="A232" s="1040"/>
      <c r="B232" s="1109" t="s">
        <v>236</v>
      </c>
      <c r="C232" s="1106" t="s">
        <v>96</v>
      </c>
      <c r="D232" s="641"/>
      <c r="E232" s="940" t="s">
        <v>241</v>
      </c>
      <c r="F232" s="940"/>
      <c r="G232" s="940"/>
      <c r="H232" s="940"/>
      <c r="I232" s="77"/>
      <c r="J232" s="939"/>
      <c r="K232" s="126"/>
      <c r="L232" s="126"/>
      <c r="M232" s="938"/>
      <c r="N232" s="191"/>
      <c r="O232" s="177" t="str">
        <f t="shared" ref="O232:W232" si="194">O$10</f>
        <v>verwarming</v>
      </c>
      <c r="P232" s="177" t="str">
        <f t="shared" si="194"/>
        <v>koeling</v>
      </c>
      <c r="Q232" s="177" t="str">
        <f t="shared" si="194"/>
        <v>tapwater</v>
      </c>
      <c r="R232" s="177" t="str">
        <f t="shared" si="194"/>
        <v>verlichting</v>
      </c>
      <c r="S232" s="177" t="str">
        <f t="shared" si="194"/>
        <v>ventilatoren</v>
      </c>
      <c r="T232" s="177" t="str">
        <f t="shared" si="194"/>
        <v>kookgas</v>
      </c>
      <c r="U232" s="177" t="str">
        <f t="shared" si="194"/>
        <v>overig elektra</v>
      </c>
      <c r="V232" s="177" t="str">
        <f t="shared" si="194"/>
        <v>mobiliteit</v>
      </c>
      <c r="W232" s="177" t="str">
        <f t="shared" si="194"/>
        <v>zonnepanelen</v>
      </c>
      <c r="X232" s="191"/>
      <c r="Y232" s="938"/>
      <c r="Z232" s="191"/>
      <c r="AA232" s="177" t="str">
        <f t="shared" ref="AA232:AI232" si="195">AA$10</f>
        <v>verwarming</v>
      </c>
      <c r="AB232" s="177" t="str">
        <f t="shared" si="195"/>
        <v>koeling</v>
      </c>
      <c r="AC232" s="177" t="str">
        <f t="shared" si="195"/>
        <v>tapwater</v>
      </c>
      <c r="AD232" s="177" t="str">
        <f t="shared" si="195"/>
        <v>verlichting</v>
      </c>
      <c r="AE232" s="177" t="str">
        <f t="shared" si="195"/>
        <v>ventilatoren</v>
      </c>
      <c r="AF232" s="177" t="str">
        <f t="shared" si="195"/>
        <v>kookgas</v>
      </c>
      <c r="AG232" s="177" t="str">
        <f t="shared" si="195"/>
        <v>overig elektra</v>
      </c>
      <c r="AH232" s="177" t="str">
        <f t="shared" si="195"/>
        <v>mobiliteit</v>
      </c>
      <c r="AI232" s="177" t="str">
        <f t="shared" si="195"/>
        <v>zonnepanelen</v>
      </c>
      <c r="AJ232" s="191"/>
      <c r="AK232" s="938"/>
      <c r="AL232" s="191"/>
      <c r="AM232" s="177" t="str">
        <f t="shared" ref="AM232:AU232" si="196">AM$10</f>
        <v>verwarming</v>
      </c>
      <c r="AN232" s="177" t="str">
        <f t="shared" si="196"/>
        <v>koeling</v>
      </c>
      <c r="AO232" s="177" t="str">
        <f t="shared" si="196"/>
        <v>tapwater</v>
      </c>
      <c r="AP232" s="177" t="str">
        <f t="shared" si="196"/>
        <v>verlichting</v>
      </c>
      <c r="AQ232" s="177" t="str">
        <f t="shared" si="196"/>
        <v>ventilatoren</v>
      </c>
      <c r="AR232" s="177" t="str">
        <f t="shared" si="196"/>
        <v>kookgas</v>
      </c>
      <c r="AS232" s="177" t="str">
        <f t="shared" si="196"/>
        <v>overig elektra</v>
      </c>
      <c r="AT232" s="177" t="str">
        <f t="shared" si="196"/>
        <v>mobiliteit</v>
      </c>
      <c r="AU232" s="177" t="str">
        <f t="shared" si="196"/>
        <v>zonnepanelen</v>
      </c>
      <c r="AV232" s="191"/>
      <c r="AW232" s="938"/>
      <c r="AX232" s="191"/>
      <c r="AY232" s="177" t="str">
        <f t="shared" ref="AY232:BG232" si="197">AY$10</f>
        <v>verwarming</v>
      </c>
      <c r="AZ232" s="177" t="str">
        <f t="shared" si="197"/>
        <v>koeling</v>
      </c>
      <c r="BA232" s="177" t="str">
        <f t="shared" si="197"/>
        <v>tapwater</v>
      </c>
      <c r="BB232" s="177" t="str">
        <f t="shared" si="197"/>
        <v>verlichting</v>
      </c>
      <c r="BC232" s="177" t="str">
        <f t="shared" si="197"/>
        <v>ventilatoren</v>
      </c>
      <c r="BD232" s="177" t="str">
        <f t="shared" si="197"/>
        <v>kookgas</v>
      </c>
      <c r="BE232" s="177" t="str">
        <f t="shared" si="197"/>
        <v>overig elektra</v>
      </c>
      <c r="BF232" s="177" t="str">
        <f t="shared" si="197"/>
        <v>mobiliteit</v>
      </c>
      <c r="BG232" s="177" t="str">
        <f t="shared" si="197"/>
        <v>zonnepanelen</v>
      </c>
      <c r="BH232" s="36"/>
    </row>
    <row r="233" spans="1:60">
      <c r="A233" s="1040"/>
      <c r="B233" s="1109" t="s">
        <v>236</v>
      </c>
      <c r="C233" s="1107" t="s">
        <v>104</v>
      </c>
      <c r="D233" s="641"/>
      <c r="E233" s="180" t="s">
        <v>239</v>
      </c>
      <c r="F233" s="180"/>
      <c r="G233" s="180"/>
      <c r="H233" s="201" t="s">
        <v>242</v>
      </c>
      <c r="I233" s="114"/>
      <c r="J233" s="202"/>
      <c r="K233" s="234"/>
      <c r="L233" s="234"/>
      <c r="M233" s="202">
        <f>IF(M$29=0,0,M229*M$22/M$29)</f>
        <v>0</v>
      </c>
      <c r="N233" s="89"/>
      <c r="O233" s="168">
        <f t="shared" ref="O233:Q235" si="198">IF(OR(O$31="",O$31=0),0,O$27*O229/O$31)</f>
        <v>0</v>
      </c>
      <c r="P233" s="168">
        <f t="shared" si="198"/>
        <v>0</v>
      </c>
      <c r="Q233" s="168">
        <f t="shared" si="198"/>
        <v>0</v>
      </c>
      <c r="R233" s="273"/>
      <c r="S233" s="273"/>
      <c r="T233" s="168">
        <f>IF(OR(T$31="",T$31=0),0,T$27*T229/T$31)</f>
        <v>0</v>
      </c>
      <c r="U233" s="273"/>
      <c r="V233" s="273"/>
      <c r="W233" s="273"/>
      <c r="X233" s="113"/>
      <c r="Y233" s="202">
        <f>IF(Y$29=0,0,Y229*Y$22/Y$29)</f>
        <v>0</v>
      </c>
      <c r="Z233" s="89"/>
      <c r="AA233" s="168">
        <f t="shared" ref="AA233:AC235" si="199">IF(OR(AA$31="",AA$31=0),0,AA$27*AA229/AA$31)</f>
        <v>0</v>
      </c>
      <c r="AB233" s="168">
        <f t="shared" si="199"/>
        <v>0</v>
      </c>
      <c r="AC233" s="168">
        <f t="shared" si="199"/>
        <v>0</v>
      </c>
      <c r="AD233" s="273"/>
      <c r="AE233" s="273"/>
      <c r="AF233" s="168">
        <f>IF(OR(AF$31="",AF$31=0),0,AF$27*AF229/AF$31)</f>
        <v>0</v>
      </c>
      <c r="AG233" s="273"/>
      <c r="AH233" s="273"/>
      <c r="AI233" s="273"/>
      <c r="AJ233" s="113"/>
      <c r="AK233" s="202">
        <f>IF(AK$29=0,0,AK229*AK$22/AK$29)</f>
        <v>0</v>
      </c>
      <c r="AL233" s="89"/>
      <c r="AM233" s="168">
        <f t="shared" ref="AM233:AO235" si="200">IF(OR(AM$31="",AM$31=0),0,AM$27*AM229/AM$31)</f>
        <v>0</v>
      </c>
      <c r="AN233" s="168">
        <f t="shared" si="200"/>
        <v>0</v>
      </c>
      <c r="AO233" s="168">
        <f t="shared" si="200"/>
        <v>0</v>
      </c>
      <c r="AP233" s="273"/>
      <c r="AQ233" s="273"/>
      <c r="AR233" s="168">
        <f>IF(OR(AR$31="",AR$31=0),0,AR$27*AR229/AR$31)</f>
        <v>0</v>
      </c>
      <c r="AS233" s="273"/>
      <c r="AT233" s="273"/>
      <c r="AU233" s="273"/>
      <c r="AV233" s="113"/>
      <c r="AW233" s="202">
        <f>IF(AW$29=0,0,AW229*AW$22/AW$29)</f>
        <v>0</v>
      </c>
      <c r="AX233" s="89"/>
      <c r="AY233" s="168">
        <f t="shared" ref="AY233:BA235" si="201">IF(OR(AY$31="",AY$31=0),0,AY$27*AY229/AY$31)</f>
        <v>0</v>
      </c>
      <c r="AZ233" s="168">
        <f t="shared" si="201"/>
        <v>0</v>
      </c>
      <c r="BA233" s="168">
        <f t="shared" si="201"/>
        <v>0</v>
      </c>
      <c r="BB233" s="273"/>
      <c r="BC233" s="273"/>
      <c r="BD233" s="168">
        <f>IF(OR(BD$31="",BD$31=0),0,BD$27*BD229/BD$31)</f>
        <v>0</v>
      </c>
      <c r="BE233" s="273"/>
      <c r="BF233" s="273"/>
      <c r="BG233" s="273"/>
      <c r="BH233" s="210"/>
    </row>
    <row r="234" spans="1:60">
      <c r="A234" s="1040"/>
      <c r="B234" s="1109" t="s">
        <v>236</v>
      </c>
      <c r="C234" s="1107" t="s">
        <v>104</v>
      </c>
      <c r="D234" s="641"/>
      <c r="E234" s="180" t="s">
        <v>145</v>
      </c>
      <c r="F234" s="180"/>
      <c r="G234" s="180"/>
      <c r="H234" s="201" t="s">
        <v>154</v>
      </c>
      <c r="I234" s="114"/>
      <c r="J234" s="202"/>
      <c r="K234" s="234"/>
      <c r="L234" s="234"/>
      <c r="M234" s="202">
        <f>IF(M$29=0,0,M230*M$22/M$29)</f>
        <v>0</v>
      </c>
      <c r="N234" s="89"/>
      <c r="O234" s="168">
        <f t="shared" si="198"/>
        <v>0</v>
      </c>
      <c r="P234" s="168">
        <f t="shared" si="198"/>
        <v>0</v>
      </c>
      <c r="Q234" s="168">
        <f t="shared" si="198"/>
        <v>0</v>
      </c>
      <c r="R234" s="168">
        <f>IF(OR(R$31="",R$31=0),0,R$27*R230/R$31)</f>
        <v>0</v>
      </c>
      <c r="S234" s="168">
        <f>IF(OR(S$31="",S$31=0),0,S$27*S230/S$31)</f>
        <v>0</v>
      </c>
      <c r="T234" s="273"/>
      <c r="U234" s="168">
        <f>IF(OR(U$31="",U$31=0),0,U$27*U230/U$31)</f>
        <v>0</v>
      </c>
      <c r="V234" s="168">
        <f>IF(OR(V$31="",V$31=0),0,V$27*V230/V$31)</f>
        <v>0</v>
      </c>
      <c r="W234" s="168">
        <f>IF(OR(W$31="",W$31=0),0,W$27*W230/W$31)</f>
        <v>0</v>
      </c>
      <c r="X234" s="113"/>
      <c r="Y234" s="202">
        <f>IF(Y$29=0,0,Y230*Y$22/Y$29)</f>
        <v>0</v>
      </c>
      <c r="Z234" s="89"/>
      <c r="AA234" s="168">
        <f t="shared" si="199"/>
        <v>0</v>
      </c>
      <c r="AB234" s="168">
        <f t="shared" si="199"/>
        <v>0</v>
      </c>
      <c r="AC234" s="168">
        <f t="shared" si="199"/>
        <v>0</v>
      </c>
      <c r="AD234" s="168">
        <f>IF(OR(AD$31="",AD$31=0),0,AD$27*AD230/AD$31)</f>
        <v>0</v>
      </c>
      <c r="AE234" s="168">
        <f>IF(OR(AE$31="",AE$31=0),0,AE$27*AE230/AE$31)</f>
        <v>0</v>
      </c>
      <c r="AF234" s="273"/>
      <c r="AG234" s="168">
        <f>IF(OR(AG$31="",AG$31=0),0,AG$27*AG230/AG$31)</f>
        <v>0</v>
      </c>
      <c r="AH234" s="168">
        <f>IF(OR(AH$31="",AH$31=0),0,AH$27*AH230/AH$31)</f>
        <v>0</v>
      </c>
      <c r="AI234" s="168">
        <f>IF(OR(AI$31="",AI$31=0),0,AI$27*AI230/AI$31)</f>
        <v>0</v>
      </c>
      <c r="AJ234" s="113"/>
      <c r="AK234" s="202">
        <f>IF(AK$29=0,0,AK230*AK$22/AK$29)</f>
        <v>0</v>
      </c>
      <c r="AL234" s="89"/>
      <c r="AM234" s="168">
        <f t="shared" si="200"/>
        <v>0</v>
      </c>
      <c r="AN234" s="168">
        <f t="shared" si="200"/>
        <v>0</v>
      </c>
      <c r="AO234" s="168">
        <f t="shared" si="200"/>
        <v>0</v>
      </c>
      <c r="AP234" s="168">
        <f>IF(OR(AP$31="",AP$31=0),0,AP$27*AP230/AP$31)</f>
        <v>0</v>
      </c>
      <c r="AQ234" s="168">
        <f>IF(OR(AQ$31="",AQ$31=0),0,AQ$27*AQ230/AQ$31)</f>
        <v>0</v>
      </c>
      <c r="AR234" s="273"/>
      <c r="AS234" s="168">
        <f>IF(OR(AS$31="",AS$31=0),0,AS$27*AS230/AS$31)</f>
        <v>0</v>
      </c>
      <c r="AT234" s="168">
        <f>IF(OR(AT$31="",AT$31=0),0,AT$27*AT230/AT$31)</f>
        <v>0</v>
      </c>
      <c r="AU234" s="168">
        <f>IF(OR(AU$31="",AU$31=0),0,AU$27*AU230/AU$31)</f>
        <v>0</v>
      </c>
      <c r="AV234" s="113"/>
      <c r="AW234" s="202">
        <f>IF(AW$29=0,0,AW230*AW$22/AW$29)</f>
        <v>0</v>
      </c>
      <c r="AX234" s="89"/>
      <c r="AY234" s="168">
        <f t="shared" si="201"/>
        <v>0</v>
      </c>
      <c r="AZ234" s="168">
        <f t="shared" si="201"/>
        <v>0</v>
      </c>
      <c r="BA234" s="168">
        <f t="shared" si="201"/>
        <v>0</v>
      </c>
      <c r="BB234" s="168">
        <f>IF(OR(BB$31="",BB$31=0),0,BB$27*BB230/BB$31)</f>
        <v>0</v>
      </c>
      <c r="BC234" s="168">
        <f>IF(OR(BC$31="",BC$31=0),0,BC$27*BC230/BC$31)</f>
        <v>0</v>
      </c>
      <c r="BD234" s="273"/>
      <c r="BE234" s="168">
        <f>IF(OR(BE$31="",BE$31=0),0,BE$27*BE230/BE$31)</f>
        <v>0</v>
      </c>
      <c r="BF234" s="168">
        <f>IF(OR(BF$31="",BF$31=0),0,BF$27*BF230/BF$31)</f>
        <v>0</v>
      </c>
      <c r="BG234" s="168">
        <f>IF(OR(BG$31="",BG$31=0),0,BG$27*BG230/BG$31)</f>
        <v>0</v>
      </c>
      <c r="BH234" s="210"/>
    </row>
    <row r="235" spans="1:60">
      <c r="A235" s="1040"/>
      <c r="B235" s="1109" t="s">
        <v>236</v>
      </c>
      <c r="C235" s="1107" t="s">
        <v>104</v>
      </c>
      <c r="D235" s="641"/>
      <c r="E235" s="180" t="s">
        <v>240</v>
      </c>
      <c r="F235" s="180"/>
      <c r="G235" s="180"/>
      <c r="H235" s="201" t="s">
        <v>243</v>
      </c>
      <c r="I235" s="114"/>
      <c r="J235" s="202"/>
      <c r="K235" s="234"/>
      <c r="L235" s="234"/>
      <c r="M235" s="202">
        <f>IF(M$29=0,0,M231*M$22/M$29)</f>
        <v>0</v>
      </c>
      <c r="N235" s="89"/>
      <c r="O235" s="168">
        <f t="shared" si="198"/>
        <v>0</v>
      </c>
      <c r="P235" s="168">
        <f t="shared" si="198"/>
        <v>0</v>
      </c>
      <c r="Q235" s="168">
        <f t="shared" si="198"/>
        <v>0</v>
      </c>
      <c r="R235" s="273"/>
      <c r="S235" s="273"/>
      <c r="T235" s="273"/>
      <c r="U235" s="273"/>
      <c r="V235" s="273"/>
      <c r="W235" s="273"/>
      <c r="X235" s="113"/>
      <c r="Y235" s="202">
        <f>IF(Y$29=0,0,Y231*Y$22/Y$29)</f>
        <v>0</v>
      </c>
      <c r="Z235" s="89"/>
      <c r="AA235" s="168">
        <f t="shared" si="199"/>
        <v>0</v>
      </c>
      <c r="AB235" s="168">
        <f t="shared" si="199"/>
        <v>0</v>
      </c>
      <c r="AC235" s="168">
        <f t="shared" si="199"/>
        <v>0</v>
      </c>
      <c r="AD235" s="273"/>
      <c r="AE235" s="273"/>
      <c r="AF235" s="273"/>
      <c r="AG235" s="273"/>
      <c r="AH235" s="273"/>
      <c r="AI235" s="273"/>
      <c r="AJ235" s="113"/>
      <c r="AK235" s="202">
        <f>IF(AK$29=0,0,AK231*AK$22/AK$29)</f>
        <v>0</v>
      </c>
      <c r="AL235" s="89"/>
      <c r="AM235" s="168">
        <f t="shared" si="200"/>
        <v>0</v>
      </c>
      <c r="AN235" s="168">
        <f t="shared" si="200"/>
        <v>0</v>
      </c>
      <c r="AO235" s="168">
        <f t="shared" si="200"/>
        <v>0</v>
      </c>
      <c r="AP235" s="273"/>
      <c r="AQ235" s="273"/>
      <c r="AR235" s="273"/>
      <c r="AS235" s="273"/>
      <c r="AT235" s="273"/>
      <c r="AU235" s="273"/>
      <c r="AV235" s="113"/>
      <c r="AW235" s="202">
        <f>IF(AW$29=0,0,AW231*AW$22/AW$29)</f>
        <v>0</v>
      </c>
      <c r="AX235" s="89"/>
      <c r="AY235" s="168">
        <f t="shared" si="201"/>
        <v>0</v>
      </c>
      <c r="AZ235" s="168">
        <f t="shared" si="201"/>
        <v>0</v>
      </c>
      <c r="BA235" s="168">
        <f t="shared" si="201"/>
        <v>0</v>
      </c>
      <c r="BB235" s="273"/>
      <c r="BC235" s="273"/>
      <c r="BD235" s="273"/>
      <c r="BE235" s="273"/>
      <c r="BF235" s="273"/>
      <c r="BG235" s="273"/>
      <c r="BH235" s="210"/>
    </row>
    <row r="236" spans="1:60">
      <c r="A236" s="1040"/>
      <c r="B236" s="1109" t="s">
        <v>236</v>
      </c>
      <c r="C236" s="1106" t="s">
        <v>96</v>
      </c>
      <c r="D236" s="638"/>
      <c r="E236" s="79"/>
      <c r="F236" s="79"/>
      <c r="G236" s="79"/>
      <c r="H236" s="85"/>
      <c r="I236" s="79"/>
      <c r="J236" s="82"/>
      <c r="K236" s="79"/>
      <c r="L236" s="79"/>
      <c r="M236" s="82"/>
      <c r="N236" s="79"/>
      <c r="O236" s="82"/>
      <c r="P236" s="82"/>
      <c r="Q236" s="82"/>
      <c r="R236" s="82"/>
      <c r="S236" s="82"/>
      <c r="T236" s="82"/>
      <c r="U236" s="82"/>
      <c r="V236" s="82"/>
      <c r="W236" s="82"/>
      <c r="X236" s="82"/>
      <c r="Y236" s="82"/>
      <c r="Z236" s="79"/>
      <c r="AA236" s="82"/>
      <c r="AB236" s="82"/>
      <c r="AC236" s="82"/>
      <c r="AD236" s="82"/>
      <c r="AE236" s="82"/>
      <c r="AF236" s="82"/>
      <c r="AG236" s="82"/>
      <c r="AH236" s="82"/>
      <c r="AI236" s="82"/>
      <c r="AJ236" s="82"/>
      <c r="AK236" s="82"/>
      <c r="AL236" s="79"/>
      <c r="AM236" s="79"/>
      <c r="AN236" s="79"/>
      <c r="AO236" s="79"/>
      <c r="AP236" s="79"/>
      <c r="AQ236" s="79"/>
      <c r="AR236" s="79"/>
      <c r="AS236" s="79"/>
      <c r="AT236" s="79"/>
      <c r="AU236" s="82"/>
      <c r="AV236" s="82"/>
      <c r="AW236" s="82"/>
      <c r="AX236" s="79"/>
      <c r="AY236" s="82"/>
      <c r="AZ236" s="82"/>
      <c r="BA236" s="82"/>
      <c r="BB236" s="82"/>
      <c r="BC236" s="82"/>
      <c r="BD236" s="82"/>
      <c r="BE236" s="82"/>
      <c r="BF236" s="82"/>
      <c r="BG236" s="82"/>
      <c r="BH236" s="1"/>
    </row>
    <row r="237" spans="1:60">
      <c r="A237" s="1040"/>
      <c r="B237" s="1109" t="s">
        <v>1218</v>
      </c>
      <c r="C237" s="1107" t="s">
        <v>96</v>
      </c>
      <c r="D237" s="638"/>
      <c r="E237" s="79"/>
      <c r="F237" s="79"/>
      <c r="G237" s="79"/>
      <c r="H237" s="85"/>
      <c r="I237" s="79"/>
      <c r="J237" s="82"/>
      <c r="K237" s="79"/>
      <c r="L237" s="79"/>
      <c r="M237" s="82"/>
      <c r="N237" s="79"/>
      <c r="O237" s="82"/>
      <c r="P237" s="82"/>
      <c r="Q237" s="82"/>
      <c r="R237" s="82"/>
      <c r="S237" s="82"/>
      <c r="T237" s="82"/>
      <c r="U237" s="82"/>
      <c r="V237" s="82"/>
      <c r="W237" s="82"/>
      <c r="X237" s="82"/>
      <c r="Y237" s="82"/>
      <c r="Z237" s="79"/>
      <c r="AA237" s="82"/>
      <c r="AB237" s="82"/>
      <c r="AC237" s="82"/>
      <c r="AD237" s="82"/>
      <c r="AE237" s="82"/>
      <c r="AF237" s="82"/>
      <c r="AG237" s="82"/>
      <c r="AH237" s="82"/>
      <c r="AI237" s="82"/>
      <c r="AJ237" s="82"/>
      <c r="AK237" s="82"/>
      <c r="AL237" s="79"/>
      <c r="AM237" s="82"/>
      <c r="AN237" s="82"/>
      <c r="AO237" s="82"/>
      <c r="AP237" s="82"/>
      <c r="AQ237" s="82"/>
      <c r="AR237" s="82"/>
      <c r="AS237" s="82"/>
      <c r="AT237" s="82"/>
      <c r="AU237" s="82"/>
      <c r="AV237" s="82"/>
      <c r="AW237" s="82"/>
      <c r="AX237" s="79"/>
      <c r="AY237" s="82"/>
      <c r="AZ237" s="82"/>
      <c r="BA237" s="82"/>
      <c r="BB237" s="82"/>
      <c r="BC237" s="82"/>
      <c r="BD237" s="82"/>
      <c r="BE237" s="82"/>
      <c r="BF237" s="82"/>
      <c r="BG237" s="82"/>
      <c r="BH237" s="1"/>
    </row>
    <row r="238" spans="1:60" ht="21">
      <c r="A238" s="1040"/>
      <c r="B238" s="1109" t="s">
        <v>1218</v>
      </c>
      <c r="C238" s="1106" t="s">
        <v>96</v>
      </c>
      <c r="D238" s="638"/>
      <c r="E238" s="1181" t="s">
        <v>1356</v>
      </c>
      <c r="F238" s="199"/>
      <c r="G238" s="692"/>
      <c r="H238" s="199"/>
      <c r="I238" s="77"/>
      <c r="J238" s="200" t="str">
        <f>J$10</f>
        <v>alle locaties</v>
      </c>
      <c r="K238" s="126"/>
      <c r="L238" s="126"/>
      <c r="M238" s="200" t="str">
        <f>M$10</f>
        <v>locatie 1</v>
      </c>
      <c r="N238" s="182"/>
      <c r="O238" s="966" t="str">
        <f>$E238&amp;" per energiepost"</f>
        <v>primair fossiel energiegebruik per energiepost per energiepost</v>
      </c>
      <c r="P238" s="941"/>
      <c r="Q238" s="941"/>
      <c r="R238" s="941"/>
      <c r="S238" s="941"/>
      <c r="T238" s="941"/>
      <c r="U238" s="941"/>
      <c r="V238" s="941"/>
      <c r="W238" s="956"/>
      <c r="X238" s="174"/>
      <c r="Y238" s="200" t="str">
        <f>Y$10</f>
        <v>locatie 2</v>
      </c>
      <c r="Z238" s="182"/>
      <c r="AA238" s="966" t="str">
        <f>$E238&amp;" per energiepost"</f>
        <v>primair fossiel energiegebruik per energiepost per energiepost</v>
      </c>
      <c r="AB238" s="941"/>
      <c r="AC238" s="941"/>
      <c r="AD238" s="941"/>
      <c r="AE238" s="941"/>
      <c r="AF238" s="941"/>
      <c r="AG238" s="941"/>
      <c r="AH238" s="941"/>
      <c r="AI238" s="956"/>
      <c r="AJ238" s="174"/>
      <c r="AK238" s="200" t="str">
        <f>AK$10</f>
        <v>locatie 3</v>
      </c>
      <c r="AL238" s="182"/>
      <c r="AM238" s="966" t="str">
        <f>$E238&amp;" per energiepost"</f>
        <v>primair fossiel energiegebruik per energiepost per energiepost</v>
      </c>
      <c r="AN238" s="941"/>
      <c r="AO238" s="941"/>
      <c r="AP238" s="941"/>
      <c r="AQ238" s="941"/>
      <c r="AR238" s="941"/>
      <c r="AS238" s="941"/>
      <c r="AT238" s="941"/>
      <c r="AU238" s="956"/>
      <c r="AV238" s="174"/>
      <c r="AW238" s="200" t="str">
        <f>AW$10</f>
        <v>locatie 4</v>
      </c>
      <c r="AX238" s="182"/>
      <c r="AY238" s="966" t="str">
        <f>$E238&amp;" per energiepost"</f>
        <v>primair fossiel energiegebruik per energiepost per energiepost</v>
      </c>
      <c r="AZ238" s="941"/>
      <c r="BA238" s="941"/>
      <c r="BB238" s="941"/>
      <c r="BC238" s="941"/>
      <c r="BD238" s="941"/>
      <c r="BE238" s="941"/>
      <c r="BF238" s="941"/>
      <c r="BG238" s="956"/>
      <c r="BH238" s="1"/>
    </row>
    <row r="239" spans="1:60">
      <c r="A239" s="1040"/>
      <c r="B239" s="1109" t="s">
        <v>1218</v>
      </c>
      <c r="C239" s="1106" t="s">
        <v>96</v>
      </c>
      <c r="D239" s="638"/>
      <c r="E239" s="940" t="s">
        <v>1316</v>
      </c>
      <c r="F239" s="940"/>
      <c r="G239" s="940"/>
      <c r="H239" s="940"/>
      <c r="I239" s="77"/>
      <c r="J239" s="939"/>
      <c r="K239" s="126"/>
      <c r="L239" s="126"/>
      <c r="M239" s="938"/>
      <c r="N239" s="191"/>
      <c r="O239" s="177" t="str">
        <f t="shared" ref="O239:W239" si="202">O$10</f>
        <v>verwarming</v>
      </c>
      <c r="P239" s="177" t="str">
        <f t="shared" si="202"/>
        <v>koeling</v>
      </c>
      <c r="Q239" s="177" t="str">
        <f t="shared" si="202"/>
        <v>tapwater</v>
      </c>
      <c r="R239" s="177" t="str">
        <f t="shared" si="202"/>
        <v>verlichting</v>
      </c>
      <c r="S239" s="177" t="str">
        <f t="shared" si="202"/>
        <v>ventilatoren</v>
      </c>
      <c r="T239" s="177" t="str">
        <f t="shared" si="202"/>
        <v>kookgas</v>
      </c>
      <c r="U239" s="177" t="str">
        <f t="shared" si="202"/>
        <v>overig elektra</v>
      </c>
      <c r="V239" s="177" t="str">
        <f t="shared" si="202"/>
        <v>mobiliteit</v>
      </c>
      <c r="W239" s="177" t="str">
        <f t="shared" si="202"/>
        <v>zonnepanelen</v>
      </c>
      <c r="X239" s="191"/>
      <c r="Y239" s="938"/>
      <c r="Z239" s="191"/>
      <c r="AA239" s="177" t="str">
        <f t="shared" ref="AA239:AI239" si="203">AA$10</f>
        <v>verwarming</v>
      </c>
      <c r="AB239" s="177" t="str">
        <f t="shared" si="203"/>
        <v>koeling</v>
      </c>
      <c r="AC239" s="177" t="str">
        <f t="shared" si="203"/>
        <v>tapwater</v>
      </c>
      <c r="AD239" s="177" t="str">
        <f t="shared" si="203"/>
        <v>verlichting</v>
      </c>
      <c r="AE239" s="177" t="str">
        <f t="shared" si="203"/>
        <v>ventilatoren</v>
      </c>
      <c r="AF239" s="177" t="str">
        <f t="shared" si="203"/>
        <v>kookgas</v>
      </c>
      <c r="AG239" s="177" t="str">
        <f t="shared" si="203"/>
        <v>overig elektra</v>
      </c>
      <c r="AH239" s="177" t="str">
        <f t="shared" si="203"/>
        <v>mobiliteit</v>
      </c>
      <c r="AI239" s="177" t="str">
        <f t="shared" si="203"/>
        <v>zonnepanelen</v>
      </c>
      <c r="AJ239" s="191"/>
      <c r="AK239" s="938"/>
      <c r="AL239" s="191"/>
      <c r="AM239" s="177" t="str">
        <f t="shared" ref="AM239:AU239" si="204">AM$10</f>
        <v>verwarming</v>
      </c>
      <c r="AN239" s="177" t="str">
        <f t="shared" si="204"/>
        <v>koeling</v>
      </c>
      <c r="AO239" s="177" t="str">
        <f t="shared" si="204"/>
        <v>tapwater</v>
      </c>
      <c r="AP239" s="177" t="str">
        <f t="shared" si="204"/>
        <v>verlichting</v>
      </c>
      <c r="AQ239" s="177" t="str">
        <f t="shared" si="204"/>
        <v>ventilatoren</v>
      </c>
      <c r="AR239" s="177" t="str">
        <f t="shared" si="204"/>
        <v>kookgas</v>
      </c>
      <c r="AS239" s="177" t="str">
        <f t="shared" si="204"/>
        <v>overig elektra</v>
      </c>
      <c r="AT239" s="177" t="str">
        <f t="shared" si="204"/>
        <v>mobiliteit</v>
      </c>
      <c r="AU239" s="177" t="str">
        <f t="shared" si="204"/>
        <v>zonnepanelen</v>
      </c>
      <c r="AV239" s="191"/>
      <c r="AW239" s="938"/>
      <c r="AX239" s="191"/>
      <c r="AY239" s="177" t="str">
        <f t="shared" ref="AY239:BG239" si="205">AY$10</f>
        <v>verwarming</v>
      </c>
      <c r="AZ239" s="177" t="str">
        <f t="shared" si="205"/>
        <v>koeling</v>
      </c>
      <c r="BA239" s="177" t="str">
        <f t="shared" si="205"/>
        <v>tapwater</v>
      </c>
      <c r="BB239" s="177" t="str">
        <f t="shared" si="205"/>
        <v>verlichting</v>
      </c>
      <c r="BC239" s="177" t="str">
        <f t="shared" si="205"/>
        <v>ventilatoren</v>
      </c>
      <c r="BD239" s="177" t="str">
        <f t="shared" si="205"/>
        <v>kookgas</v>
      </c>
      <c r="BE239" s="177" t="str">
        <f t="shared" si="205"/>
        <v>overig elektra</v>
      </c>
      <c r="BF239" s="177" t="str">
        <f t="shared" si="205"/>
        <v>mobiliteit</v>
      </c>
      <c r="BG239" s="177" t="str">
        <f t="shared" si="205"/>
        <v>zonnepanelen</v>
      </c>
      <c r="BH239" s="36"/>
    </row>
    <row r="240" spans="1:60" s="36" customFormat="1">
      <c r="A240" s="1040"/>
      <c r="B240" s="1109" t="s">
        <v>1218</v>
      </c>
      <c r="C240" s="1107" t="s">
        <v>104</v>
      </c>
      <c r="D240" s="638"/>
      <c r="E240" s="237" t="s">
        <v>244</v>
      </c>
      <c r="F240" s="237" t="s">
        <v>190</v>
      </c>
      <c r="G240" s="237"/>
      <c r="H240" s="238" t="s">
        <v>65</v>
      </c>
      <c r="I240" s="239"/>
      <c r="J240" s="240"/>
      <c r="K240" s="235"/>
      <c r="L240" s="235"/>
      <c r="M240" s="240"/>
      <c r="N240" s="241"/>
      <c r="O240" s="242" t="str">
        <f>IF(AND(O$83&lt;&gt;"geen",O$105&lt;&gt;""),O$105,"")</f>
        <v>elektriciteit</v>
      </c>
      <c r="P240" s="242" t="str">
        <f>IF(AND(P$83&lt;&gt;"geen",P$105&lt;&gt;""),P$105,"")</f>
        <v/>
      </c>
      <c r="Q240" s="242" t="str">
        <f>IF(AND(Q$83&lt;&gt;"geen",Q$105&lt;&gt;""),Q$105,"")</f>
        <v>elektriciteit</v>
      </c>
      <c r="R240" s="611"/>
      <c r="S240" s="611"/>
      <c r="T240" s="611"/>
      <c r="U240" s="611"/>
      <c r="V240" s="611"/>
      <c r="W240" s="611"/>
      <c r="X240" s="121"/>
      <c r="Y240" s="240"/>
      <c r="Z240" s="241"/>
      <c r="AA240" s="242" t="str">
        <f>IF(AND(AA$83&lt;&gt;"geen",AA$105&lt;&gt;""),AA$105,"")</f>
        <v>elektriciteit</v>
      </c>
      <c r="AB240" s="242" t="str">
        <f>IF(AND(AB$83&lt;&gt;"geen",AB$105&lt;&gt;""),AB$105,"")</f>
        <v/>
      </c>
      <c r="AC240" s="242" t="str">
        <f>IF(AND(AC$83&lt;&gt;"geen",AC$105&lt;&gt;""),AC$105,"")</f>
        <v>elektriciteit</v>
      </c>
      <c r="AD240" s="611"/>
      <c r="AE240" s="611"/>
      <c r="AF240" s="611"/>
      <c r="AG240" s="611"/>
      <c r="AH240" s="611"/>
      <c r="AI240" s="611"/>
      <c r="AJ240" s="121"/>
      <c r="AK240" s="240"/>
      <c r="AL240" s="241"/>
      <c r="AM240" s="242" t="str">
        <f>IF(AND(AM$83&lt;&gt;"geen",AM$105&lt;&gt;""),AM$105,"")</f>
        <v>elektriciteit</v>
      </c>
      <c r="AN240" s="242" t="str">
        <f>IF(AND(AN$83&lt;&gt;"geen",AN$105&lt;&gt;""),AN$105,"")</f>
        <v/>
      </c>
      <c r="AO240" s="242" t="str">
        <f>IF(AND(AO$83&lt;&gt;"geen",AO$105&lt;&gt;""),AO$105,"")</f>
        <v>elektriciteit</v>
      </c>
      <c r="AP240" s="611"/>
      <c r="AQ240" s="611"/>
      <c r="AR240" s="611"/>
      <c r="AS240" s="611"/>
      <c r="AT240" s="611"/>
      <c r="AU240" s="611"/>
      <c r="AV240" s="121"/>
      <c r="AW240" s="240"/>
      <c r="AX240" s="241"/>
      <c r="AY240" s="242" t="str">
        <f>IF(AND(AY$83&lt;&gt;"geen",AY$105&lt;&gt;""),AY$105,"")</f>
        <v>elektriciteit</v>
      </c>
      <c r="AZ240" s="242" t="str">
        <f>IF(AND(AZ$83&lt;&gt;"geen",AZ$105&lt;&gt;""),AZ$105,"")</f>
        <v/>
      </c>
      <c r="BA240" s="242" t="str">
        <f>IF(AND(BA$83&lt;&gt;"geen",BA$105&lt;&gt;""),BA$105,"")</f>
        <v>elektriciteit</v>
      </c>
      <c r="BB240" s="611"/>
      <c r="BC240" s="611"/>
      <c r="BD240" s="611"/>
      <c r="BE240" s="611"/>
      <c r="BF240" s="611"/>
      <c r="BG240" s="611"/>
      <c r="BH240" s="224"/>
    </row>
    <row r="241" spans="1:60" s="2" customFormat="1">
      <c r="A241" s="1038"/>
      <c r="B241" s="1109" t="s">
        <v>1218</v>
      </c>
      <c r="C241" s="1106" t="s">
        <v>104</v>
      </c>
      <c r="D241" s="644"/>
      <c r="E241" s="347"/>
      <c r="F241" s="255" t="s">
        <v>245</v>
      </c>
      <c r="G241" s="255"/>
      <c r="H241" s="361" t="s">
        <v>106</v>
      </c>
      <c r="I241" s="161"/>
      <c r="J241" s="307">
        <f>M241+Y241+AK241+AW241</f>
        <v>0</v>
      </c>
      <c r="K241" s="362"/>
      <c r="L241" s="362"/>
      <c r="M241" s="307">
        <f>SUM(N241:X241)</f>
        <v>0</v>
      </c>
      <c r="N241" s="308"/>
      <c r="O241" s="363">
        <f>IF(O240="","",(O$105=O240)*O$120)</f>
        <v>0</v>
      </c>
      <c r="P241" s="363" t="str">
        <f>IF(P240="","",(P$105=P240)*P$120)</f>
        <v/>
      </c>
      <c r="Q241" s="363">
        <f>IF(Q240="","",(Q$105=Q240)*Q$120)</f>
        <v>0</v>
      </c>
      <c r="R241" s="309"/>
      <c r="S241" s="309"/>
      <c r="T241" s="309"/>
      <c r="U241" s="309"/>
      <c r="V241" s="309"/>
      <c r="W241" s="309"/>
      <c r="X241" s="113"/>
      <c r="Y241" s="307">
        <f>SUM(Z241:AJ241)</f>
        <v>0</v>
      </c>
      <c r="Z241" s="308"/>
      <c r="AA241" s="363">
        <f>IF(AA240="","",(AA$105=AA240)*AA$120)</f>
        <v>0</v>
      </c>
      <c r="AB241" s="363" t="str">
        <f>IF(AB240="","",(AB$105=AB240)*AB$120)</f>
        <v/>
      </c>
      <c r="AC241" s="363">
        <f>IF(AC240="","",(AC$105=AC240)*AC$120)</f>
        <v>0</v>
      </c>
      <c r="AD241" s="309"/>
      <c r="AE241" s="309"/>
      <c r="AF241" s="309"/>
      <c r="AG241" s="309"/>
      <c r="AH241" s="309"/>
      <c r="AI241" s="309"/>
      <c r="AJ241" s="113"/>
      <c r="AK241" s="307">
        <f>SUM(AL241:AV241)</f>
        <v>0</v>
      </c>
      <c r="AL241" s="308"/>
      <c r="AM241" s="363">
        <f>IF(AM240="","",(AM$105=AM240)*AM$120)</f>
        <v>0</v>
      </c>
      <c r="AN241" s="363" t="str">
        <f>IF(AN240="","",(AN$105=AN240)*AN$120)</f>
        <v/>
      </c>
      <c r="AO241" s="363">
        <f>IF(AO240="","",(AO$105=AO240)*AO$120)</f>
        <v>0</v>
      </c>
      <c r="AP241" s="309"/>
      <c r="AQ241" s="309"/>
      <c r="AR241" s="309"/>
      <c r="AS241" s="309"/>
      <c r="AT241" s="309"/>
      <c r="AU241" s="309"/>
      <c r="AV241" s="113"/>
      <c r="AW241" s="307">
        <f>SUM(AX241:BH241)</f>
        <v>0</v>
      </c>
      <c r="AX241" s="308"/>
      <c r="AY241" s="363">
        <f>IF(AY240="","",(AY$105=AY240)*AY$120)</f>
        <v>0</v>
      </c>
      <c r="AZ241" s="363" t="str">
        <f>IF(AZ240="","",(AZ$105=AZ240)*AZ$120)</f>
        <v/>
      </c>
      <c r="BA241" s="363">
        <f>IF(BA240="","",(BA$105=BA240)*BA$120)</f>
        <v>0</v>
      </c>
      <c r="BB241" s="309"/>
      <c r="BC241" s="309"/>
      <c r="BD241" s="309"/>
      <c r="BE241" s="309"/>
      <c r="BF241" s="309"/>
      <c r="BG241" s="309"/>
      <c r="BH241" s="222"/>
    </row>
    <row r="242" spans="1:60" s="2" customFormat="1">
      <c r="A242" s="1038"/>
      <c r="B242" s="1109" t="s">
        <v>1218</v>
      </c>
      <c r="C242" s="1106" t="s">
        <v>104</v>
      </c>
      <c r="D242" s="644"/>
      <c r="E242" s="254" t="s">
        <v>246</v>
      </c>
      <c r="F242" s="303" t="s">
        <v>190</v>
      </c>
      <c r="G242" s="303"/>
      <c r="H242" s="364" t="s">
        <v>65</v>
      </c>
      <c r="I242" s="365"/>
      <c r="J242" s="366"/>
      <c r="K242" s="367"/>
      <c r="L242" s="367"/>
      <c r="M242" s="366"/>
      <c r="N242" s="368"/>
      <c r="O242" s="369" t="str">
        <f>IF(AND(O$140&lt;&gt;"",O$140&lt;&gt;"geen"),O$141,"")</f>
        <v>elektriciteit</v>
      </c>
      <c r="P242" s="369" t="str">
        <f>IF(AND(P$140&lt;&gt;"",P$140&lt;&gt;"geen"),P$141,"")</f>
        <v/>
      </c>
      <c r="Q242" s="369" t="str">
        <f>IF(AND(Q$140&lt;&gt;"",Q$140&lt;&gt;"geen"),Q$141,"")</f>
        <v>elektriciteit</v>
      </c>
      <c r="R242" s="612"/>
      <c r="S242" s="612"/>
      <c r="T242" s="612"/>
      <c r="U242" s="612"/>
      <c r="V242" s="612"/>
      <c r="W242" s="612"/>
      <c r="X242" s="118"/>
      <c r="Y242" s="366"/>
      <c r="Z242" s="368"/>
      <c r="AA242" s="369" t="str">
        <f>IF(AND(AA$140&lt;&gt;"",AA$140&lt;&gt;"geen"),AA$141,"")</f>
        <v>elektriciteit</v>
      </c>
      <c r="AB242" s="369" t="str">
        <f>IF(AND(AB$140&lt;&gt;"",AB$140&lt;&gt;"geen"),AB$141,"")</f>
        <v/>
      </c>
      <c r="AC242" s="369" t="str">
        <f>IF(AND(AC$140&lt;&gt;"",AC$140&lt;&gt;"geen"),AC$141,"")</f>
        <v>elektriciteit</v>
      </c>
      <c r="AD242" s="612"/>
      <c r="AE242" s="612"/>
      <c r="AF242" s="612"/>
      <c r="AG242" s="612"/>
      <c r="AH242" s="612"/>
      <c r="AI242" s="612"/>
      <c r="AJ242" s="118"/>
      <c r="AK242" s="366"/>
      <c r="AL242" s="368"/>
      <c r="AM242" s="369" t="str">
        <f>IF(AND(AM$140&lt;&gt;"",AM$140&lt;&gt;"geen"),AM$141,"")</f>
        <v>elektriciteit</v>
      </c>
      <c r="AN242" s="369" t="str">
        <f>IF(AND(AN$140&lt;&gt;"",AN$140&lt;&gt;"geen"),AN$141,"")</f>
        <v/>
      </c>
      <c r="AO242" s="369" t="str">
        <f>IF(AND(AO$140&lt;&gt;"",AO$140&lt;&gt;"geen"),AO$141,"")</f>
        <v>elektriciteit</v>
      </c>
      <c r="AP242" s="612"/>
      <c r="AQ242" s="612"/>
      <c r="AR242" s="612"/>
      <c r="AS242" s="612"/>
      <c r="AT242" s="612"/>
      <c r="AU242" s="612"/>
      <c r="AV242" s="118"/>
      <c r="AW242" s="366"/>
      <c r="AX242" s="368"/>
      <c r="AY242" s="369" t="str">
        <f>IF(AND(AY$140&lt;&gt;"",AY$140&lt;&gt;"geen"),AY$141,"")</f>
        <v>elektriciteit</v>
      </c>
      <c r="AZ242" s="369" t="str">
        <f>IF(AND(AZ$140&lt;&gt;"",AZ$140&lt;&gt;"geen"),AZ$141,"")</f>
        <v/>
      </c>
      <c r="BA242" s="369" t="str">
        <f>IF(AND(BA$140&lt;&gt;"",BA$140&lt;&gt;"geen"),BA$141,"")</f>
        <v>elektriciteit</v>
      </c>
      <c r="BB242" s="612"/>
      <c r="BC242" s="612"/>
      <c r="BD242" s="612"/>
      <c r="BE242" s="612"/>
      <c r="BF242" s="612"/>
      <c r="BG242" s="612"/>
      <c r="BH242" s="222"/>
    </row>
    <row r="243" spans="1:60" s="2" customFormat="1">
      <c r="A243" s="1038"/>
      <c r="B243" s="1109" t="s">
        <v>1218</v>
      </c>
      <c r="C243" s="1106" t="s">
        <v>104</v>
      </c>
      <c r="D243" s="644"/>
      <c r="E243" s="347"/>
      <c r="F243" s="255" t="s">
        <v>245</v>
      </c>
      <c r="G243" s="255"/>
      <c r="H243" s="361" t="s">
        <v>106</v>
      </c>
      <c r="I243" s="161"/>
      <c r="J243" s="307">
        <f>M243+Y243+AK243+AW243</f>
        <v>0</v>
      </c>
      <c r="K243" s="362"/>
      <c r="L243" s="362"/>
      <c r="M243" s="307">
        <f>SUM(N243:X243)</f>
        <v>0</v>
      </c>
      <c r="N243" s="308"/>
      <c r="O243" s="363">
        <f>IF(O242="",0,(O$141=O242)*O$151)</f>
        <v>0</v>
      </c>
      <c r="P243" s="363">
        <f>IF(P242="",0,(P$141=P242)*P$151)</f>
        <v>0</v>
      </c>
      <c r="Q243" s="363">
        <f>IF(Q242="",0,(Q$141=Q242)*Q$151)</f>
        <v>0</v>
      </c>
      <c r="R243" s="309"/>
      <c r="S243" s="309"/>
      <c r="T243" s="309"/>
      <c r="U243" s="309"/>
      <c r="V243" s="309"/>
      <c r="W243" s="309"/>
      <c r="X243" s="113"/>
      <c r="Y243" s="307">
        <f>SUM(Z243:AJ243)</f>
        <v>0</v>
      </c>
      <c r="Z243" s="308"/>
      <c r="AA243" s="363">
        <f>IF(AA242="",0,(AA$141=AA242)*AA$151)</f>
        <v>0</v>
      </c>
      <c r="AB243" s="363">
        <f>IF(AB242="",0,(AB$141=AB242)*AB$151)</f>
        <v>0</v>
      </c>
      <c r="AC243" s="363">
        <f>IF(AC242="",0,(AC$141=AC242)*AC$151)</f>
        <v>0</v>
      </c>
      <c r="AD243" s="309"/>
      <c r="AE243" s="309"/>
      <c r="AF243" s="309"/>
      <c r="AG243" s="309"/>
      <c r="AH243" s="309"/>
      <c r="AI243" s="309"/>
      <c r="AJ243" s="113"/>
      <c r="AK243" s="307">
        <f>SUM(AL243:AV243)</f>
        <v>0</v>
      </c>
      <c r="AL243" s="308"/>
      <c r="AM243" s="363">
        <f>IF(AM242="",0,(AM$141=AM242)*AM$151)</f>
        <v>0</v>
      </c>
      <c r="AN243" s="363">
        <f>IF(AN242="",0,(AN$141=AN242)*AN$151)</f>
        <v>0</v>
      </c>
      <c r="AO243" s="363">
        <f>IF(AO242="",0,(AO$141=AO242)*AO$151)</f>
        <v>0</v>
      </c>
      <c r="AP243" s="309"/>
      <c r="AQ243" s="309"/>
      <c r="AR243" s="309"/>
      <c r="AS243" s="309"/>
      <c r="AT243" s="309"/>
      <c r="AU243" s="309"/>
      <c r="AV243" s="113"/>
      <c r="AW243" s="307">
        <f>SUM(AX243:BH243)</f>
        <v>0</v>
      </c>
      <c r="AX243" s="308"/>
      <c r="AY243" s="363">
        <f>IF(AY242="",0,(AY$141=AY242)*AY$151)</f>
        <v>0</v>
      </c>
      <c r="AZ243" s="363">
        <f>IF(AZ242="",0,(AZ$141=AZ242)*AZ$151)</f>
        <v>0</v>
      </c>
      <c r="BA243" s="363">
        <f>IF(BA242="",0,(BA$141=BA242)*BA$151)</f>
        <v>0</v>
      </c>
      <c r="BB243" s="309"/>
      <c r="BC243" s="309"/>
      <c r="BD243" s="309"/>
      <c r="BE243" s="309"/>
      <c r="BF243" s="309"/>
      <c r="BG243" s="309"/>
      <c r="BH243" s="222"/>
    </row>
    <row r="244" spans="1:60" s="2" customFormat="1">
      <c r="A244" s="1038"/>
      <c r="B244" s="1109" t="s">
        <v>1218</v>
      </c>
      <c r="C244" s="1106" t="s">
        <v>104</v>
      </c>
      <c r="D244" s="644"/>
      <c r="E244" s="254" t="s">
        <v>247</v>
      </c>
      <c r="F244" s="303" t="s">
        <v>190</v>
      </c>
      <c r="G244" s="303"/>
      <c r="H244" s="364" t="s">
        <v>65</v>
      </c>
      <c r="I244" s="365"/>
      <c r="J244" s="370"/>
      <c r="K244" s="367"/>
      <c r="L244" s="367"/>
      <c r="M244" s="366"/>
      <c r="N244" s="368"/>
      <c r="O244" s="369" t="str">
        <f t="shared" ref="O244:W244" si="206">elektriciteit</f>
        <v>elektriciteit</v>
      </c>
      <c r="P244" s="369" t="str">
        <f t="shared" si="206"/>
        <v>elektriciteit</v>
      </c>
      <c r="Q244" s="369" t="str">
        <f t="shared" si="206"/>
        <v>elektriciteit</v>
      </c>
      <c r="R244" s="369" t="str">
        <f t="shared" si="206"/>
        <v>elektriciteit</v>
      </c>
      <c r="S244" s="369" t="str">
        <f t="shared" si="206"/>
        <v>elektriciteit</v>
      </c>
      <c r="T244" s="369" t="str">
        <f>aardgas</f>
        <v>aardgas</v>
      </c>
      <c r="U244" s="369" t="str">
        <f t="shared" si="206"/>
        <v>elektriciteit</v>
      </c>
      <c r="V244" s="369" t="str">
        <f t="shared" si="206"/>
        <v>elektriciteit</v>
      </c>
      <c r="W244" s="369" t="str">
        <f t="shared" si="206"/>
        <v>elektriciteit</v>
      </c>
      <c r="X244" s="118"/>
      <c r="Y244" s="366"/>
      <c r="Z244" s="368"/>
      <c r="AA244" s="369" t="str">
        <f t="shared" ref="AA244:AI244" si="207">elektriciteit</f>
        <v>elektriciteit</v>
      </c>
      <c r="AB244" s="369" t="str">
        <f t="shared" si="207"/>
        <v>elektriciteit</v>
      </c>
      <c r="AC244" s="369" t="str">
        <f t="shared" si="207"/>
        <v>elektriciteit</v>
      </c>
      <c r="AD244" s="369" t="str">
        <f t="shared" si="207"/>
        <v>elektriciteit</v>
      </c>
      <c r="AE244" s="369" t="str">
        <f t="shared" si="207"/>
        <v>elektriciteit</v>
      </c>
      <c r="AF244" s="369" t="str">
        <f>aardgas</f>
        <v>aardgas</v>
      </c>
      <c r="AG244" s="369" t="str">
        <f t="shared" si="207"/>
        <v>elektriciteit</v>
      </c>
      <c r="AH244" s="369" t="str">
        <f t="shared" si="207"/>
        <v>elektriciteit</v>
      </c>
      <c r="AI244" s="369" t="str">
        <f t="shared" si="207"/>
        <v>elektriciteit</v>
      </c>
      <c r="AJ244" s="118"/>
      <c r="AK244" s="366"/>
      <c r="AL244" s="368"/>
      <c r="AM244" s="369" t="str">
        <f t="shared" ref="AM244:AU244" si="208">elektriciteit</f>
        <v>elektriciteit</v>
      </c>
      <c r="AN244" s="369" t="str">
        <f t="shared" si="208"/>
        <v>elektriciteit</v>
      </c>
      <c r="AO244" s="369" t="str">
        <f t="shared" si="208"/>
        <v>elektriciteit</v>
      </c>
      <c r="AP244" s="369" t="str">
        <f t="shared" si="208"/>
        <v>elektriciteit</v>
      </c>
      <c r="AQ244" s="369" t="str">
        <f t="shared" si="208"/>
        <v>elektriciteit</v>
      </c>
      <c r="AR244" s="369" t="str">
        <f>aardgas</f>
        <v>aardgas</v>
      </c>
      <c r="AS244" s="369" t="str">
        <f t="shared" si="208"/>
        <v>elektriciteit</v>
      </c>
      <c r="AT244" s="369" t="str">
        <f t="shared" si="208"/>
        <v>elektriciteit</v>
      </c>
      <c r="AU244" s="369" t="str">
        <f t="shared" si="208"/>
        <v>elektriciteit</v>
      </c>
      <c r="AV244" s="118"/>
      <c r="AW244" s="366"/>
      <c r="AX244" s="368"/>
      <c r="AY244" s="369" t="str">
        <f t="shared" ref="AY244:BG244" si="209">elektriciteit</f>
        <v>elektriciteit</v>
      </c>
      <c r="AZ244" s="369" t="str">
        <f t="shared" si="209"/>
        <v>elektriciteit</v>
      </c>
      <c r="BA244" s="369" t="str">
        <f t="shared" si="209"/>
        <v>elektriciteit</v>
      </c>
      <c r="BB244" s="369" t="str">
        <f t="shared" si="209"/>
        <v>elektriciteit</v>
      </c>
      <c r="BC244" s="369" t="str">
        <f t="shared" si="209"/>
        <v>elektriciteit</v>
      </c>
      <c r="BD244" s="369" t="str">
        <f>aardgas</f>
        <v>aardgas</v>
      </c>
      <c r="BE244" s="369" t="str">
        <f t="shared" si="209"/>
        <v>elektriciteit</v>
      </c>
      <c r="BF244" s="369" t="str">
        <f t="shared" si="209"/>
        <v>elektriciteit</v>
      </c>
      <c r="BG244" s="369" t="str">
        <f t="shared" si="209"/>
        <v>elektriciteit</v>
      </c>
      <c r="BH244" s="219"/>
    </row>
    <row r="245" spans="1:60" s="2" customFormat="1">
      <c r="A245" s="1038"/>
      <c r="B245" s="1109" t="s">
        <v>1218</v>
      </c>
      <c r="C245" s="1106" t="s">
        <v>104</v>
      </c>
      <c r="D245" s="644"/>
      <c r="E245" s="255" t="s">
        <v>248</v>
      </c>
      <c r="F245" s="255" t="s">
        <v>245</v>
      </c>
      <c r="G245" s="255"/>
      <c r="H245" s="361" t="s">
        <v>106</v>
      </c>
      <c r="I245" s="161"/>
      <c r="J245" s="307">
        <f>M245+Y245+AK245+AW245</f>
        <v>0</v>
      </c>
      <c r="K245" s="362"/>
      <c r="L245" s="362"/>
      <c r="M245" s="307">
        <f>SUM(N245:X245)</f>
        <v>0</v>
      </c>
      <c r="N245" s="308"/>
      <c r="O245" s="363">
        <f>IF(O244=elektriciteit,O$174-O$214,O$78*bibliotheek!$K$261)</f>
        <v>0</v>
      </c>
      <c r="P245" s="363">
        <f>IF(P244=elektriciteit,P$174-P$214,P$78*bibliotheek!$K$261)</f>
        <v>0</v>
      </c>
      <c r="Q245" s="363">
        <f>IF(Q244=elektriciteit,Q$174-Q$214,Q$78*bibliotheek!$K$261)</f>
        <v>0</v>
      </c>
      <c r="R245" s="363">
        <f>IF(R244=elektriciteit,R$174-R$214,R$78*bibliotheek!$K$261)</f>
        <v>0</v>
      </c>
      <c r="S245" s="363">
        <f>IF(S244=elektriciteit,S$174-S$214,S$78*bibliotheek!$K$261)</f>
        <v>0</v>
      </c>
      <c r="T245" s="363">
        <f>IF(T244=elektriciteit,T$174-T$214,T$78*bibliotheek!$K$261)</f>
        <v>0</v>
      </c>
      <c r="U245" s="363">
        <f>IF(U244=elektriciteit,U$174-U$214,U$78*bibliotheek!$K$261)</f>
        <v>0</v>
      </c>
      <c r="V245" s="363">
        <f>IF(V244=elektriciteit,V$174-V$214,V$78*bibliotheek!$K$261)</f>
        <v>0</v>
      </c>
      <c r="W245" s="363">
        <f>IF(W244=elektriciteit,W$174-W$214,W$78*bibliotheek!$K$261)</f>
        <v>0</v>
      </c>
      <c r="X245" s="113"/>
      <c r="Y245" s="307">
        <f>SUM(Z245:AJ245)</f>
        <v>0</v>
      </c>
      <c r="Z245" s="308"/>
      <c r="AA245" s="363">
        <f>IF(AA244=elektriciteit,AA$174-AA$214,AA$78*bibliotheek!$K$261)</f>
        <v>0</v>
      </c>
      <c r="AB245" s="363">
        <f>IF(AB244=elektriciteit,AB$174-AB$214,AB$78*bibliotheek!$K$261)</f>
        <v>0</v>
      </c>
      <c r="AC245" s="363">
        <f>IF(AC244=elektriciteit,AC$174-AC$214,AC$78*bibliotheek!$K$261)</f>
        <v>0</v>
      </c>
      <c r="AD245" s="363">
        <f>IF(AD244=elektriciteit,AD$174-AD$214,AD$78*bibliotheek!$K$261)</f>
        <v>0</v>
      </c>
      <c r="AE245" s="363">
        <f>IF(AE244=elektriciteit,AE$174-AE$214,AE$78*bibliotheek!$K$261)</f>
        <v>0</v>
      </c>
      <c r="AF245" s="363">
        <f>IF(AF244=elektriciteit,AF$174-AF$214,AF$78*bibliotheek!$K$261)</f>
        <v>0</v>
      </c>
      <c r="AG245" s="363">
        <f>IF(AG244=elektriciteit,AG$174-AG$214,AG$78*bibliotheek!$K$261)</f>
        <v>0</v>
      </c>
      <c r="AH245" s="363">
        <f>IF(AH244=elektriciteit,AH$174-AH$214,AH$78*bibliotheek!$K$261)</f>
        <v>0</v>
      </c>
      <c r="AI245" s="363">
        <f>IF(AI244=elektriciteit,AI$174-AI$214,AI$78*bibliotheek!$K$261)</f>
        <v>0</v>
      </c>
      <c r="AJ245" s="113"/>
      <c r="AK245" s="307">
        <f>SUM(AL245:AV245)</f>
        <v>0</v>
      </c>
      <c r="AL245" s="308"/>
      <c r="AM245" s="363">
        <f>IF(AM244=elektriciteit,AM$174-AM$214,AM$78*bibliotheek!$K$261)</f>
        <v>0</v>
      </c>
      <c r="AN245" s="363">
        <f>IF(AN244=elektriciteit,AN$174-AN$214,AN$78*bibliotheek!$K$261)</f>
        <v>0</v>
      </c>
      <c r="AO245" s="363">
        <f>IF(AO244=elektriciteit,AO$174-AO$214,AO$78*bibliotheek!$K$261)</f>
        <v>0</v>
      </c>
      <c r="AP245" s="363">
        <f>IF(AP244=elektriciteit,AP$174-AP$214,AP$78*bibliotheek!$K$261)</f>
        <v>0</v>
      </c>
      <c r="AQ245" s="363">
        <f>IF(AQ244=elektriciteit,AQ$174-AQ$214,AQ$78*bibliotheek!$K$261)</f>
        <v>0</v>
      </c>
      <c r="AR245" s="363">
        <f>IF(AR244=elektriciteit,AR$174-AR$214,AR$78*bibliotheek!$K$261)</f>
        <v>0</v>
      </c>
      <c r="AS245" s="363">
        <f>IF(AS244=elektriciteit,AS$174-AS$214,AS$78*bibliotheek!$K$261)</f>
        <v>0</v>
      </c>
      <c r="AT245" s="363">
        <f>IF(AT244=elektriciteit,AT$174-AT$214,AT$78*bibliotheek!$K$261)</f>
        <v>0</v>
      </c>
      <c r="AU245" s="363">
        <f>IF(AU244=elektriciteit,AU$174-AU$214,AU$78*bibliotheek!$K$261)</f>
        <v>0</v>
      </c>
      <c r="AV245" s="113"/>
      <c r="AW245" s="307">
        <f>SUM(AX245:BH245)</f>
        <v>0</v>
      </c>
      <c r="AX245" s="308"/>
      <c r="AY245" s="363">
        <f>IF(AY244=elektriciteit,AY$174-AY$214,AY$78*bibliotheek!$K$261)</f>
        <v>0</v>
      </c>
      <c r="AZ245" s="363">
        <f>IF(AZ244=elektriciteit,AZ$174-AZ$214,AZ$78*bibliotheek!$K$261)</f>
        <v>0</v>
      </c>
      <c r="BA245" s="363">
        <f>IF(BA244=elektriciteit,BA$174-BA$214,BA$78*bibliotheek!$K$261)</f>
        <v>0</v>
      </c>
      <c r="BB245" s="363">
        <f>IF(BB244=elektriciteit,BB$174-BB$214,BB$78*bibliotheek!$K$261)</f>
        <v>0</v>
      </c>
      <c r="BC245" s="363">
        <f>IF(BC244=elektriciteit,BC$174-BC$214,BC$78*bibliotheek!$K$261)</f>
        <v>0</v>
      </c>
      <c r="BD245" s="363">
        <f>IF(BD244=elektriciteit,BD$174-BD$214,BD$78*bibliotheek!$K$261)</f>
        <v>0</v>
      </c>
      <c r="BE245" s="363">
        <f>IF(BE244=elektriciteit,BE$174-BE$214,BE$78*bibliotheek!$K$261)</f>
        <v>0</v>
      </c>
      <c r="BF245" s="363">
        <f>IF(BF244=elektriciteit,BF$174-BF$214,BF$78*bibliotheek!$K$261)</f>
        <v>0</v>
      </c>
      <c r="BG245" s="363">
        <f>IF(BG244=elektriciteit,BG$174-BG$214,BG$78*bibliotheek!$K$261)</f>
        <v>0</v>
      </c>
      <c r="BH245" s="222"/>
    </row>
    <row r="246" spans="1:60" s="2" customFormat="1">
      <c r="A246" s="1038"/>
      <c r="B246" s="1110" t="s">
        <v>1218</v>
      </c>
      <c r="C246" s="1106" t="s">
        <v>104</v>
      </c>
      <c r="D246" s="644"/>
      <c r="E246" s="180" t="s">
        <v>232</v>
      </c>
      <c r="F246" s="180" t="s">
        <v>245</v>
      </c>
      <c r="G246" s="180"/>
      <c r="H246" s="201" t="s">
        <v>106</v>
      </c>
      <c r="I246" s="114"/>
      <c r="J246" s="202">
        <f>M246+Y246+AK246+AW246</f>
        <v>0</v>
      </c>
      <c r="K246" s="362"/>
      <c r="L246" s="362"/>
      <c r="M246" s="202">
        <f>SUM(N246:X246)</f>
        <v>0</v>
      </c>
      <c r="N246" s="89"/>
      <c r="O246" s="168">
        <f>O241+O243+O245</f>
        <v>0</v>
      </c>
      <c r="P246" s="168">
        <f t="shared" ref="P246:W246" si="210">P245+IF(P241="",0,P241)+IF(P243="",0,P243)</f>
        <v>0</v>
      </c>
      <c r="Q246" s="168">
        <f t="shared" si="210"/>
        <v>0</v>
      </c>
      <c r="R246" s="168">
        <f t="shared" si="210"/>
        <v>0</v>
      </c>
      <c r="S246" s="168">
        <f t="shared" si="210"/>
        <v>0</v>
      </c>
      <c r="T246" s="168">
        <f t="shared" si="210"/>
        <v>0</v>
      </c>
      <c r="U246" s="168">
        <f t="shared" si="210"/>
        <v>0</v>
      </c>
      <c r="V246" s="168">
        <f t="shared" si="210"/>
        <v>0</v>
      </c>
      <c r="W246" s="168">
        <f t="shared" si="210"/>
        <v>0</v>
      </c>
      <c r="X246" s="113"/>
      <c r="Y246" s="202">
        <f>SUM(Z246:AJ246)</f>
        <v>0</v>
      </c>
      <c r="Z246" s="89"/>
      <c r="AA246" s="168">
        <f>AA241+AA243+AA245</f>
        <v>0</v>
      </c>
      <c r="AB246" s="168">
        <f t="shared" ref="AB246:AI246" si="211">AB245+IF(AB241="",0,AB241)+IF(AB243="",0,AB243)</f>
        <v>0</v>
      </c>
      <c r="AC246" s="168">
        <f t="shared" si="211"/>
        <v>0</v>
      </c>
      <c r="AD246" s="168">
        <f t="shared" si="211"/>
        <v>0</v>
      </c>
      <c r="AE246" s="168">
        <f t="shared" si="211"/>
        <v>0</v>
      </c>
      <c r="AF246" s="168">
        <f t="shared" si="211"/>
        <v>0</v>
      </c>
      <c r="AG246" s="168">
        <f t="shared" si="211"/>
        <v>0</v>
      </c>
      <c r="AH246" s="168">
        <f t="shared" si="211"/>
        <v>0</v>
      </c>
      <c r="AI246" s="168">
        <f t="shared" si="211"/>
        <v>0</v>
      </c>
      <c r="AJ246" s="113"/>
      <c r="AK246" s="202">
        <f>SUM(AL246:AV246)</f>
        <v>0</v>
      </c>
      <c r="AL246" s="89"/>
      <c r="AM246" s="168">
        <f>AM241+AM243+AM245</f>
        <v>0</v>
      </c>
      <c r="AN246" s="168">
        <f t="shared" ref="AN246:AU246" si="212">AN245+IF(AN241="",0,AN241)+IF(AN243="",0,AN243)</f>
        <v>0</v>
      </c>
      <c r="AO246" s="168">
        <f t="shared" si="212"/>
        <v>0</v>
      </c>
      <c r="AP246" s="168">
        <f t="shared" si="212"/>
        <v>0</v>
      </c>
      <c r="AQ246" s="168">
        <f t="shared" si="212"/>
        <v>0</v>
      </c>
      <c r="AR246" s="168">
        <f t="shared" si="212"/>
        <v>0</v>
      </c>
      <c r="AS246" s="168">
        <f t="shared" si="212"/>
        <v>0</v>
      </c>
      <c r="AT246" s="168">
        <f t="shared" si="212"/>
        <v>0</v>
      </c>
      <c r="AU246" s="168">
        <f t="shared" si="212"/>
        <v>0</v>
      </c>
      <c r="AV246" s="113"/>
      <c r="AW246" s="202">
        <f>SUM(AX246:BH246)</f>
        <v>0</v>
      </c>
      <c r="AX246" s="89"/>
      <c r="AY246" s="168">
        <f>AY241+AY243+AY245</f>
        <v>0</v>
      </c>
      <c r="AZ246" s="168">
        <f t="shared" ref="AZ246:BG246" si="213">AZ245+IF(AZ241="",0,AZ241)+IF(AZ243="",0,AZ243)</f>
        <v>0</v>
      </c>
      <c r="BA246" s="168">
        <f t="shared" si="213"/>
        <v>0</v>
      </c>
      <c r="BB246" s="168">
        <f t="shared" si="213"/>
        <v>0</v>
      </c>
      <c r="BC246" s="168">
        <f t="shared" si="213"/>
        <v>0</v>
      </c>
      <c r="BD246" s="168">
        <f t="shared" si="213"/>
        <v>0</v>
      </c>
      <c r="BE246" s="168">
        <f t="shared" si="213"/>
        <v>0</v>
      </c>
      <c r="BF246" s="168">
        <f t="shared" si="213"/>
        <v>0</v>
      </c>
      <c r="BG246" s="168">
        <f t="shared" si="213"/>
        <v>0</v>
      </c>
      <c r="BH246" s="222"/>
    </row>
    <row r="247" spans="1:60">
      <c r="A247" s="1040"/>
      <c r="B247" s="1109" t="s">
        <v>1218</v>
      </c>
      <c r="C247" s="1106" t="s">
        <v>96</v>
      </c>
      <c r="D247" s="638"/>
      <c r="E247" s="79"/>
      <c r="F247" s="79"/>
      <c r="G247" s="79"/>
      <c r="H247" s="82"/>
      <c r="I247" s="122"/>
      <c r="J247" s="113"/>
      <c r="K247" s="79"/>
      <c r="L247" s="79"/>
      <c r="M247" s="113"/>
      <c r="N247" s="79"/>
      <c r="O247" s="85"/>
      <c r="P247" s="85"/>
      <c r="Q247" s="82"/>
      <c r="R247" s="82"/>
      <c r="S247" s="82"/>
      <c r="T247" s="82"/>
      <c r="U247" s="82"/>
      <c r="V247" s="82"/>
      <c r="W247" s="82"/>
      <c r="X247" s="82"/>
      <c r="Y247" s="113"/>
      <c r="Z247" s="79"/>
      <c r="AA247" s="85"/>
      <c r="AB247" s="85"/>
      <c r="AC247" s="82"/>
      <c r="AD247" s="82"/>
      <c r="AE247" s="82"/>
      <c r="AF247" s="82"/>
      <c r="AG247" s="82"/>
      <c r="AH247" s="82"/>
      <c r="AI247" s="82"/>
      <c r="AJ247" s="82"/>
      <c r="AK247" s="113"/>
      <c r="AL247" s="79"/>
      <c r="AM247" s="85"/>
      <c r="AN247" s="85"/>
      <c r="AO247" s="82"/>
      <c r="AP247" s="82"/>
      <c r="AQ247" s="82"/>
      <c r="AR247" s="82"/>
      <c r="AS247" s="82"/>
      <c r="AT247" s="82"/>
      <c r="AU247" s="82"/>
      <c r="AV247" s="82"/>
      <c r="AW247" s="113"/>
      <c r="AX247" s="79"/>
      <c r="AY247" s="82"/>
      <c r="AZ247" s="82"/>
      <c r="BA247" s="82"/>
      <c r="BB247" s="82"/>
      <c r="BC247" s="82"/>
      <c r="BD247" s="82"/>
      <c r="BE247" s="82"/>
      <c r="BF247" s="82"/>
      <c r="BG247" s="82"/>
      <c r="BH247" s="1"/>
    </row>
    <row r="248" spans="1:60">
      <c r="A248" s="1040"/>
      <c r="B248" s="1109" t="s">
        <v>249</v>
      </c>
      <c r="C248" s="1106" t="s">
        <v>96</v>
      </c>
      <c r="D248" s="638"/>
      <c r="E248" s="79"/>
      <c r="F248" s="79"/>
      <c r="G248" s="79"/>
      <c r="H248" s="85"/>
      <c r="I248" s="79"/>
      <c r="J248" s="82"/>
      <c r="K248" s="79"/>
      <c r="L248" s="79"/>
      <c r="M248" s="82"/>
      <c r="N248" s="79"/>
      <c r="O248" s="82"/>
      <c r="P248" s="82"/>
      <c r="Q248" s="82"/>
      <c r="R248" s="82"/>
      <c r="S248" s="82"/>
      <c r="T248" s="82"/>
      <c r="U248" s="82"/>
      <c r="V248" s="82"/>
      <c r="W248" s="82"/>
      <c r="X248" s="82"/>
      <c r="Y248" s="82"/>
      <c r="Z248" s="79"/>
      <c r="AA248" s="82"/>
      <c r="AB248" s="82"/>
      <c r="AC248" s="82"/>
      <c r="AD248" s="82"/>
      <c r="AE248" s="82"/>
      <c r="AF248" s="82"/>
      <c r="AG248" s="82"/>
      <c r="AH248" s="82"/>
      <c r="AI248" s="82"/>
      <c r="AJ248" s="82"/>
      <c r="AK248" s="82"/>
      <c r="AL248" s="79"/>
      <c r="AM248" s="82"/>
      <c r="AN248" s="82"/>
      <c r="AO248" s="82"/>
      <c r="AP248" s="82"/>
      <c r="AQ248" s="82"/>
      <c r="AR248" s="82"/>
      <c r="AS248" s="82"/>
      <c r="AT248" s="82"/>
      <c r="AU248" s="82"/>
      <c r="AV248" s="82"/>
      <c r="AW248" s="82"/>
      <c r="AX248" s="79"/>
      <c r="AY248" s="82"/>
      <c r="AZ248" s="82"/>
      <c r="BA248" s="82"/>
      <c r="BB248" s="82"/>
      <c r="BC248" s="82"/>
      <c r="BD248" s="82"/>
      <c r="BE248" s="82"/>
      <c r="BF248" s="82"/>
      <c r="BG248" s="82"/>
      <c r="BH248" s="1"/>
    </row>
    <row r="249" spans="1:60" ht="21">
      <c r="A249" s="1040"/>
      <c r="B249" s="1109" t="s">
        <v>249</v>
      </c>
      <c r="C249" s="1106" t="s">
        <v>96</v>
      </c>
      <c r="D249" s="643"/>
      <c r="E249" s="1181" t="s">
        <v>1357</v>
      </c>
      <c r="F249" s="1181"/>
      <c r="G249" s="1181"/>
      <c r="H249" s="1181"/>
      <c r="I249" s="77"/>
      <c r="J249" s="200" t="str">
        <f>J$10</f>
        <v>alle locaties</v>
      </c>
      <c r="K249" s="126"/>
      <c r="L249" s="126"/>
      <c r="M249" s="200" t="str">
        <f>M$10</f>
        <v>locatie 1</v>
      </c>
      <c r="N249" s="182"/>
      <c r="O249" s="966" t="str">
        <f>$E249&amp;" per energiepost"</f>
        <v>hernieuwbaar primair fossiel energiegebruik per energiepost per energiepost</v>
      </c>
      <c r="P249" s="941"/>
      <c r="Q249" s="941"/>
      <c r="R249" s="941"/>
      <c r="S249" s="941"/>
      <c r="T249" s="941"/>
      <c r="U249" s="941"/>
      <c r="V249" s="941"/>
      <c r="W249" s="956"/>
      <c r="X249" s="174"/>
      <c r="Y249" s="200" t="str">
        <f>Y$10</f>
        <v>locatie 2</v>
      </c>
      <c r="Z249" s="182"/>
      <c r="AA249" s="966" t="str">
        <f>$E249&amp;" per energiepost"</f>
        <v>hernieuwbaar primair fossiel energiegebruik per energiepost per energiepost</v>
      </c>
      <c r="AB249" s="941"/>
      <c r="AC249" s="941"/>
      <c r="AD249" s="941"/>
      <c r="AE249" s="941"/>
      <c r="AF249" s="941"/>
      <c r="AG249" s="941"/>
      <c r="AH249" s="941"/>
      <c r="AI249" s="956"/>
      <c r="AJ249" s="174"/>
      <c r="AK249" s="200" t="str">
        <f>AK$10</f>
        <v>locatie 3</v>
      </c>
      <c r="AL249" s="182"/>
      <c r="AM249" s="966" t="str">
        <f>$E249&amp;" per energiepost"</f>
        <v>hernieuwbaar primair fossiel energiegebruik per energiepost per energiepost</v>
      </c>
      <c r="AN249" s="941"/>
      <c r="AO249" s="941"/>
      <c r="AP249" s="941"/>
      <c r="AQ249" s="941"/>
      <c r="AR249" s="941"/>
      <c r="AS249" s="941"/>
      <c r="AT249" s="941"/>
      <c r="AU249" s="956"/>
      <c r="AV249" s="174"/>
      <c r="AW249" s="200" t="str">
        <f>AW$10</f>
        <v>locatie 4</v>
      </c>
      <c r="AX249" s="182"/>
      <c r="AY249" s="966" t="str">
        <f>$E249&amp;" per energiepost"</f>
        <v>hernieuwbaar primair fossiel energiegebruik per energiepost per energiepost</v>
      </c>
      <c r="AZ249" s="941"/>
      <c r="BA249" s="941"/>
      <c r="BB249" s="941"/>
      <c r="BC249" s="941"/>
      <c r="BD249" s="941"/>
      <c r="BE249" s="941"/>
      <c r="BF249" s="941"/>
      <c r="BG249" s="956"/>
      <c r="BH249" s="1"/>
    </row>
    <row r="250" spans="1:60">
      <c r="A250" s="1040"/>
      <c r="B250" s="1109" t="s">
        <v>249</v>
      </c>
      <c r="C250" s="1106" t="s">
        <v>96</v>
      </c>
      <c r="D250" s="638"/>
      <c r="E250" s="940" t="s">
        <v>1316</v>
      </c>
      <c r="F250" s="940"/>
      <c r="G250" s="940"/>
      <c r="H250" s="940"/>
      <c r="I250" s="77"/>
      <c r="J250" s="939"/>
      <c r="K250" s="126"/>
      <c r="L250" s="126"/>
      <c r="M250" s="938"/>
      <c r="N250" s="191"/>
      <c r="O250" s="177" t="str">
        <f>O$10</f>
        <v>verwarming</v>
      </c>
      <c r="P250" s="177" t="str">
        <f>P$10</f>
        <v>koeling</v>
      </c>
      <c r="Q250" s="177" t="str">
        <f>Q$10</f>
        <v>tapwater</v>
      </c>
      <c r="R250" s="177"/>
      <c r="S250" s="177"/>
      <c r="T250" s="177"/>
      <c r="U250" s="177"/>
      <c r="V250" s="177"/>
      <c r="W250" s="177" t="str">
        <f>W$10</f>
        <v>zonnepanelen</v>
      </c>
      <c r="X250" s="191"/>
      <c r="Y250" s="938"/>
      <c r="Z250" s="191"/>
      <c r="AA250" s="177" t="str">
        <f>AA$10</f>
        <v>verwarming</v>
      </c>
      <c r="AB250" s="177" t="str">
        <f>AB$10</f>
        <v>koeling</v>
      </c>
      <c r="AC250" s="177" t="str">
        <f>AC$10</f>
        <v>tapwater</v>
      </c>
      <c r="AD250" s="177"/>
      <c r="AE250" s="177"/>
      <c r="AF250" s="177"/>
      <c r="AG250" s="177"/>
      <c r="AH250" s="177"/>
      <c r="AI250" s="177" t="str">
        <f>AI$10</f>
        <v>zonnepanelen</v>
      </c>
      <c r="AJ250" s="191"/>
      <c r="AK250" s="938"/>
      <c r="AL250" s="191"/>
      <c r="AM250" s="177" t="str">
        <f>AM$10</f>
        <v>verwarming</v>
      </c>
      <c r="AN250" s="177" t="str">
        <f>AN$10</f>
        <v>koeling</v>
      </c>
      <c r="AO250" s="177" t="str">
        <f>AO$10</f>
        <v>tapwater</v>
      </c>
      <c r="AP250" s="177"/>
      <c r="AQ250" s="177"/>
      <c r="AR250" s="177"/>
      <c r="AS250" s="177"/>
      <c r="AT250" s="177"/>
      <c r="AU250" s="177" t="str">
        <f>AU$10</f>
        <v>zonnepanelen</v>
      </c>
      <c r="AV250" s="191"/>
      <c r="AW250" s="938"/>
      <c r="AX250" s="191"/>
      <c r="AY250" s="177" t="str">
        <f>AY$10</f>
        <v>verwarming</v>
      </c>
      <c r="AZ250" s="177" t="str">
        <f>AZ$10</f>
        <v>koeling</v>
      </c>
      <c r="BA250" s="177" t="str">
        <f>BA$10</f>
        <v>tapwater</v>
      </c>
      <c r="BB250" s="177"/>
      <c r="BC250" s="177"/>
      <c r="BD250" s="177"/>
      <c r="BE250" s="177"/>
      <c r="BF250" s="177"/>
      <c r="BG250" s="177" t="str">
        <f>BG$10</f>
        <v>zonnepanelen</v>
      </c>
      <c r="BH250" s="36"/>
    </row>
    <row r="251" spans="1:60">
      <c r="A251" s="1040"/>
      <c r="B251" s="1109" t="s">
        <v>249</v>
      </c>
      <c r="C251" s="1107" t="s">
        <v>104</v>
      </c>
      <c r="D251" s="641" t="s">
        <v>45</v>
      </c>
      <c r="E251" s="180" t="s">
        <v>250</v>
      </c>
      <c r="F251" s="180"/>
      <c r="G251" s="180"/>
      <c r="H251" s="201" t="s">
        <v>160</v>
      </c>
      <c r="I251" s="114"/>
      <c r="J251" s="202">
        <f t="shared" ref="J251:J257" si="214">M251+Y251+AK251+AW251</f>
        <v>0</v>
      </c>
      <c r="K251" s="195"/>
      <c r="L251" s="195"/>
      <c r="M251" s="202">
        <f t="shared" ref="M251:M257" si="215">SUM(N251:X251)</f>
        <v>0</v>
      </c>
      <c r="N251" s="114"/>
      <c r="O251" s="168">
        <f>IF(OR(O$111=0,O$111=""),0,HLOOKUP(IF(O$83="",referentie_verwarming,O$83),toestellen_RV,ROWS(bibliotheek!$E$83:$E$87),FALSE)*O$110*(1-1/O$111)*f_P_renheat)</f>
        <v>0</v>
      </c>
      <c r="P251" s="168">
        <f>IF(OR(P$111=0,P$111=""),0,HLOOKUP(IF(P$83="",referentie_koeling,P$83),toestellen_KOEL,ROWS(bibliotheek!$E$190:$E$193),FALSE)*P$110*(1-1/P$111)*f_P_rencold)</f>
        <v>0</v>
      </c>
      <c r="Q251" s="168">
        <f>IF(OR(Q$111=0,Q$111=""),0,HLOOKUP(IF(Q$83="",referentie_warmtapwater,Q$83),toestellen_TAP,ROWS(bibliotheek!$E$139:$E$143),FALSE)*Q$110*(1-1/Q$111)*f_P_renheat)</f>
        <v>0</v>
      </c>
      <c r="R251" s="273"/>
      <c r="S251" s="273"/>
      <c r="T251" s="273"/>
      <c r="U251" s="273"/>
      <c r="V251" s="273"/>
      <c r="W251" s="273"/>
      <c r="X251" s="113"/>
      <c r="Y251" s="202">
        <f t="shared" ref="Y251:Y257" si="216">SUM(Z251:AJ251)</f>
        <v>0</v>
      </c>
      <c r="Z251" s="114"/>
      <c r="AA251" s="168">
        <f>IF(OR(AA$111=0,AA$111=""),0,HLOOKUP(IF(AA$83="",referentie_verwarming,AA$83),toestellen_RV,ROWS(bibliotheek!$E$83:$E$87),FALSE)*AA$110*(1-1/AA$111)*f_P_renheat)</f>
        <v>0</v>
      </c>
      <c r="AB251" s="168">
        <f>IF(OR(AB$111=0,AB$111=""),0,HLOOKUP(IF(AB$83="",referentie_koeling,AB$83),toestellen_KOEL,ROWS(bibliotheek!$E$190:$E$193),FALSE)*AB$110*(1-1/AB$111)*f_P_rencold)</f>
        <v>0</v>
      </c>
      <c r="AC251" s="168">
        <f>IF(OR(AC$111=0,AC$111=""),0,HLOOKUP(IF(AC$83="",referentie_warmtapwater,AC$83),toestellen_TAP,ROWS(bibliotheek!$E$139:$E$143),FALSE)*AC$110*(1-1/AC$111)*f_P_renheat)</f>
        <v>0</v>
      </c>
      <c r="AD251" s="273"/>
      <c r="AE251" s="273"/>
      <c r="AF251" s="273"/>
      <c r="AG251" s="273"/>
      <c r="AH251" s="273"/>
      <c r="AI251" s="273"/>
      <c r="AJ251" s="113"/>
      <c r="AK251" s="202">
        <f t="shared" ref="AK251:AK257" si="217">SUM(AL251:AV251)</f>
        <v>0</v>
      </c>
      <c r="AL251" s="191"/>
      <c r="AM251" s="168">
        <f>IF(OR(AM$111=0,AM$111=""),0,HLOOKUP(IF(AM$83="",referentie_verwarming,AM$83),toestellen_RV,ROWS(bibliotheek!$E$83:$E$87),FALSE)*AM$110*(1-1/AM$111)*f_P_renheat)</f>
        <v>0</v>
      </c>
      <c r="AN251" s="168">
        <f>IF(OR(AN$111=0,AN$111=""),0,HLOOKUP(IF(AN$83="",referentie_koeling,AN$83),toestellen_KOEL,ROWS(bibliotheek!$E$190:$E$193),FALSE)*AN$110*(1-1/AN$111)*f_P_rencold)</f>
        <v>0</v>
      </c>
      <c r="AO251" s="168">
        <f>IF(OR(AO$111=0,AO$111=""),0,HLOOKUP(IF(AO$83="",referentie_warmtapwater,AO$83),toestellen_TAP,ROWS(bibliotheek!$E$139:$E$143),FALSE)*AO$110*(1-1/AO$111)*f_P_renheat)</f>
        <v>0</v>
      </c>
      <c r="AP251" s="273"/>
      <c r="AQ251" s="273"/>
      <c r="AR251" s="273"/>
      <c r="AS251" s="273"/>
      <c r="AT251" s="273"/>
      <c r="AU251" s="273"/>
      <c r="AV251" s="191"/>
      <c r="AW251" s="202">
        <f t="shared" ref="AW251:AW257" si="218">SUM(AX251:BH251)</f>
        <v>0</v>
      </c>
      <c r="AX251" s="191"/>
      <c r="AY251" s="168">
        <f>IF(OR(AY$111=0,AY$111=""),0,HLOOKUP(IF(AY$83="",referentie_verwarming,AY$83),toestellen_RV,ROWS(bibliotheek!$E$83:$E$87),FALSE)*AY$110*(1-1/AY$111)*f_P_renheat)</f>
        <v>0</v>
      </c>
      <c r="AZ251" s="168">
        <f>IF(OR(AZ$111=0,AZ$111=""),0,HLOOKUP(IF(AZ$83="",referentie_koeling,AZ$83),toestellen_KOEL,ROWS(bibliotheek!$E$190:$E$193),FALSE)*AZ$110*(1-1/AZ$111)*f_P_rencold)</f>
        <v>0</v>
      </c>
      <c r="BA251" s="168">
        <f>IF(OR(BA$111=0,BA$111=""),0,HLOOKUP(IF(BA$83="",referentie_warmtapwater,BA$83),toestellen_TAP,ROWS(bibliotheek!$E$139:$E$143),FALSE)*BA$110*(1-1/BA$111)*f_P_renheat)</f>
        <v>0</v>
      </c>
      <c r="BB251" s="273"/>
      <c r="BC251" s="273"/>
      <c r="BD251" s="273"/>
      <c r="BE251" s="273"/>
      <c r="BF251" s="273"/>
      <c r="BG251" s="273"/>
      <c r="BH251" s="210"/>
    </row>
    <row r="252" spans="1:60">
      <c r="A252" s="1040"/>
      <c r="B252" s="1109" t="s">
        <v>249</v>
      </c>
      <c r="C252" s="1107" t="s">
        <v>104</v>
      </c>
      <c r="D252" s="641" t="s">
        <v>45</v>
      </c>
      <c r="E252" s="180" t="s">
        <v>251</v>
      </c>
      <c r="F252" s="180"/>
      <c r="G252" s="180"/>
      <c r="H252" s="201" t="s">
        <v>160</v>
      </c>
      <c r="I252" s="114"/>
      <c r="J252" s="202">
        <f t="shared" si="214"/>
        <v>0</v>
      </c>
      <c r="K252" s="195"/>
      <c r="L252" s="195"/>
      <c r="M252" s="202">
        <f t="shared" si="215"/>
        <v>0</v>
      </c>
      <c r="N252" s="114"/>
      <c r="O252" s="273"/>
      <c r="P252" s="168">
        <f>IF(OR(P$110=0,P$111&lt;=8),0,P$110*f_P_rencold*INDEX(bibliotheek!$E$195:$AC$195,MATCH(P$83,toestellen_KOEL_kopregel,0)))</f>
        <v>0</v>
      </c>
      <c r="Q252" s="273"/>
      <c r="R252" s="273"/>
      <c r="S252" s="273"/>
      <c r="T252" s="273"/>
      <c r="U252" s="273"/>
      <c r="V252" s="273"/>
      <c r="W252" s="273"/>
      <c r="X252" s="113"/>
      <c r="Y252" s="202">
        <f t="shared" si="216"/>
        <v>0</v>
      </c>
      <c r="Z252" s="114"/>
      <c r="AA252" s="273"/>
      <c r="AB252" s="168">
        <f>IF(OR(AB$110=0,AB$111&lt;=8),0,AB$110*f_P_rencold*INDEX(bibliotheek!$E$195:$AC$195,MATCH(AB$83,toestellen_KOEL_kopregel,0)))</f>
        <v>0</v>
      </c>
      <c r="AC252" s="273"/>
      <c r="AD252" s="273"/>
      <c r="AE252" s="273"/>
      <c r="AF252" s="273"/>
      <c r="AG252" s="273"/>
      <c r="AH252" s="273"/>
      <c r="AI252" s="273"/>
      <c r="AJ252" s="113"/>
      <c r="AK252" s="202">
        <f t="shared" si="217"/>
        <v>0</v>
      </c>
      <c r="AL252" s="191"/>
      <c r="AM252" s="273"/>
      <c r="AN252" s="168">
        <f>IF(OR(AN$110=0,AN$111&lt;=8),0,AN$110*f_P_rencold*INDEX(bibliotheek!$E$195:$AC$195,MATCH(AN$83,toestellen_KOEL_kopregel,0)))</f>
        <v>0</v>
      </c>
      <c r="AO252" s="273"/>
      <c r="AP252" s="273"/>
      <c r="AQ252" s="273"/>
      <c r="AR252" s="273"/>
      <c r="AS252" s="273"/>
      <c r="AT252" s="273"/>
      <c r="AU252" s="273"/>
      <c r="AV252" s="191"/>
      <c r="AW252" s="202">
        <f t="shared" si="218"/>
        <v>0</v>
      </c>
      <c r="AX252" s="191"/>
      <c r="AY252" s="273"/>
      <c r="AZ252" s="168">
        <f>IF(OR(AZ$110=0,AZ$111&lt;=8),0,AZ$110*f_P_rencold*INDEX(bibliotheek!$E$195:$AC$195,MATCH(AZ$83,toestellen_KOEL_kopregel,0)))</f>
        <v>0</v>
      </c>
      <c r="BA252" s="273"/>
      <c r="BB252" s="273"/>
      <c r="BC252" s="273"/>
      <c r="BD252" s="273"/>
      <c r="BE252" s="273"/>
      <c r="BF252" s="273"/>
      <c r="BG252" s="273"/>
      <c r="BH252" s="210"/>
    </row>
    <row r="253" spans="1:60">
      <c r="A253" s="1040"/>
      <c r="B253" s="1109" t="s">
        <v>249</v>
      </c>
      <c r="C253" s="1107" t="s">
        <v>104</v>
      </c>
      <c r="D253" s="641" t="s">
        <v>45</v>
      </c>
      <c r="E253" s="180" t="s">
        <v>252</v>
      </c>
      <c r="F253" s="180"/>
      <c r="G253" s="180"/>
      <c r="H253" s="201" t="s">
        <v>160</v>
      </c>
      <c r="I253" s="114"/>
      <c r="J253" s="202">
        <f t="shared" si="214"/>
        <v>0</v>
      </c>
      <c r="K253" s="195"/>
      <c r="L253" s="195"/>
      <c r="M253" s="202">
        <f t="shared" si="215"/>
        <v>0</v>
      </c>
      <c r="N253" s="114"/>
      <c r="O253" s="168">
        <f>IF(OR(O$110=0,LEFT(O$106,2)&lt;&gt;"bm"),0,O$110*INDEX(energiedragers_fPren,MATCH(O$105,energiedragers_namen,0)))+
IF(OR(O$144=0,LEFT(O$142,2)&lt;&gt;"bm"),0,O$144*INDEX(energiedragers_fPren,MATCH(O$141,energiedragers_namen,0)))</f>
        <v>0</v>
      </c>
      <c r="P253" s="273"/>
      <c r="Q253" s="168">
        <f>IF(OR(Q$110=0,LEFT(Q$106,2)&lt;&gt;"bm"),0,Q$110*INDEX(energiedragers_fPren,MATCH(Q$105,energiedragers_namen,0)))+
IF(OR(Q$144=0,LEFT(Q$142,2)&lt;&gt;"bm"),0,Q$144*INDEX(energiedragers_fPren,MATCH(Q$141,energiedragers_namen,0)))</f>
        <v>0</v>
      </c>
      <c r="R253" s="273"/>
      <c r="S253" s="273"/>
      <c r="T253" s="273"/>
      <c r="U253" s="273"/>
      <c r="V253" s="273"/>
      <c r="W253" s="273"/>
      <c r="X253" s="113"/>
      <c r="Y253" s="202">
        <f t="shared" si="216"/>
        <v>0</v>
      </c>
      <c r="Z253" s="114"/>
      <c r="AA253" s="168">
        <f>IF(OR(AA$110=0,LEFT(AA$106,2)&lt;&gt;"bm"),0,AA$110*INDEX(energiedragers_fPren,MATCH(AA$105,energiedragers_namen,0)))+
IF(OR(AA$144=0,LEFT(AA$142,2)&lt;&gt;"bm"),0,AA$144*INDEX(energiedragers_fPren,MATCH(AA$141,energiedragers_namen,0)))</f>
        <v>0</v>
      </c>
      <c r="AB253" s="273"/>
      <c r="AC253" s="168">
        <f>IF(OR(AC$110=0,LEFT(AC$106,2)&lt;&gt;"bm"),0,AC$110*INDEX(energiedragers_fPren,MATCH(AC$105,energiedragers_namen,0)))+
IF(OR(AC$144=0,LEFT(AC$142,2)&lt;&gt;"bm"),0,AC$144*INDEX(energiedragers_fPren,MATCH(AC$141,energiedragers_namen,0)))</f>
        <v>0</v>
      </c>
      <c r="AD253" s="273"/>
      <c r="AE253" s="273"/>
      <c r="AF253" s="273"/>
      <c r="AG253" s="273"/>
      <c r="AH253" s="273"/>
      <c r="AI253" s="273"/>
      <c r="AJ253" s="113"/>
      <c r="AK253" s="202">
        <f t="shared" si="217"/>
        <v>0</v>
      </c>
      <c r="AL253" s="191"/>
      <c r="AM253" s="168">
        <f>IF(OR(AM$110=0,LEFT(AM$106,2)&lt;&gt;"bm"),0,AM$110*INDEX(energiedragers_fPren,MATCH(AM$105,energiedragers_namen,0)))+
IF(OR(AM$144=0,LEFT(AM$142,2)&lt;&gt;"bm"),0,AM$144*INDEX(energiedragers_fPren,MATCH(AM$141,energiedragers_namen,0)))</f>
        <v>0</v>
      </c>
      <c r="AN253" s="273"/>
      <c r="AO253" s="168">
        <f>IF(OR(AO$110=0,LEFT(AO$106,2)&lt;&gt;"bm"),0,AO$110*INDEX(energiedragers_fPren,MATCH(AO$105,energiedragers_namen,0)))+
IF(OR(AO$144=0,LEFT(AO$142,2)&lt;&gt;"bm"),0,AO$144*INDEX(energiedragers_fPren,MATCH(AO$141,energiedragers_namen,0)))</f>
        <v>0</v>
      </c>
      <c r="AP253" s="273"/>
      <c r="AQ253" s="273"/>
      <c r="AR253" s="273"/>
      <c r="AS253" s="273"/>
      <c r="AT253" s="273"/>
      <c r="AU253" s="273"/>
      <c r="AV253" s="191"/>
      <c r="AW253" s="202">
        <f t="shared" si="218"/>
        <v>0</v>
      </c>
      <c r="AX253" s="191"/>
      <c r="AY253" s="168">
        <f>IF(OR(AY$110=0,LEFT(AY$106,2)&lt;&gt;"bm"),0,AY$110*INDEX(energiedragers_fPren,MATCH(AY$105,energiedragers_namen,0)))+
IF(OR(AY$144=0,LEFT(AY$142,2)&lt;&gt;"bm"),0,AY$144*INDEX(energiedragers_fPren,MATCH(AY$141,energiedragers_namen,0)))</f>
        <v>0</v>
      </c>
      <c r="AZ253" s="273"/>
      <c r="BA253" s="168">
        <f>IF(OR(BA$110=0,LEFT(BA$106,2)&lt;&gt;"bm"),0,BA$110*INDEX(energiedragers_fPren,MATCH(BA$105,energiedragers_namen,0)))+
IF(OR(BA$144=0,LEFT(BA$142,2)&lt;&gt;"bm"),0,BA$144*INDEX(energiedragers_fPren,MATCH(BA$141,energiedragers_namen,0)))</f>
        <v>0</v>
      </c>
      <c r="BB253" s="273"/>
      <c r="BC253" s="273"/>
      <c r="BD253" s="273"/>
      <c r="BE253" s="273"/>
      <c r="BF253" s="273"/>
      <c r="BG253" s="273"/>
      <c r="BH253" s="210"/>
    </row>
    <row r="254" spans="1:60">
      <c r="A254" s="1040"/>
      <c r="B254" s="1109" t="s">
        <v>249</v>
      </c>
      <c r="C254" s="1107" t="s">
        <v>104</v>
      </c>
      <c r="D254" s="641" t="s">
        <v>45</v>
      </c>
      <c r="E254" s="180" t="s">
        <v>253</v>
      </c>
      <c r="F254" s="180"/>
      <c r="G254" s="180"/>
      <c r="H254" s="201" t="s">
        <v>160</v>
      </c>
      <c r="I254" s="114"/>
      <c r="J254" s="202">
        <f t="shared" si="214"/>
        <v>0</v>
      </c>
      <c r="K254" s="195"/>
      <c r="L254" s="195"/>
      <c r="M254" s="202">
        <f t="shared" si="215"/>
        <v>0</v>
      </c>
      <c r="N254" s="114"/>
      <c r="O254" s="168">
        <f>IF(OR(O$110=0,LEFT(O$106,2)&lt;&gt;"dx"),0,O$110*INDEX(energiedragers_fPren,MATCH(O$105,energiedragers_namen,0)))+
IF(OR(O$144=0,LEFT(O$142,2)&lt;&gt;"dx"),0,O$144*INDEX(energiedragers_fPren,MATCH(O$141,energiedragers_namen,0)))</f>
        <v>0</v>
      </c>
      <c r="P254" s="168">
        <f>IF(OR(P$110=0,LEFT(P$106,2)&lt;&gt;"dx"),0,P$110*INDEX(energiedragers_fPren,MATCH(P$105,energiedragers_namen,0)))+
IF(OR(P$144=0,LEFT(P$142,2)&lt;&gt;"dx"),0,P$144*INDEX(energiedragers_fPren,MATCH(P$141,energiedragers_namen,0)))</f>
        <v>0</v>
      </c>
      <c r="Q254" s="168">
        <f>IF(OR(Q$110=0,LEFT(Q$106,2)&lt;&gt;"dx"),0,Q$110*INDEX(energiedragers_fPren,MATCH(Q$105,energiedragers_namen,0)))+
IF(OR(Q$144=0,LEFT(Q$142,2)&lt;&gt;"dx"),0,Q$144*INDEX(energiedragers_fPren,MATCH(Q$141,energiedragers_namen,0)))</f>
        <v>0</v>
      </c>
      <c r="R254" s="273"/>
      <c r="S254" s="273"/>
      <c r="T254" s="273"/>
      <c r="U254" s="273"/>
      <c r="V254" s="273"/>
      <c r="W254" s="273"/>
      <c r="X254" s="113"/>
      <c r="Y254" s="202">
        <f t="shared" si="216"/>
        <v>0</v>
      </c>
      <c r="Z254" s="114"/>
      <c r="AA254" s="168">
        <f>IF(OR(AA$110=0,LEFT(AA$106,2)&lt;&gt;"dx"),0,AA$110*INDEX(energiedragers_fPren,MATCH(AA$105,energiedragers_namen,0)))+
IF(OR(AA$144=0,LEFT(AA$142,2)&lt;&gt;"dx"),0,AA$144*INDEX(energiedragers_fPren,MATCH(AA$141,energiedragers_namen,0)))</f>
        <v>0</v>
      </c>
      <c r="AB254" s="168">
        <f>IF(OR(AB$110=0,LEFT(AB$106,2)&lt;&gt;"dx"),0,AB$110*INDEX(energiedragers_fPren,MATCH(AB$105,energiedragers_namen,0)))+
IF(OR(AB$144=0,LEFT(AB$142,2)&lt;&gt;"dx"),0,AB$144*INDEX(energiedragers_fPren,MATCH(AB$141,energiedragers_namen,0)))</f>
        <v>0</v>
      </c>
      <c r="AC254" s="168">
        <f>IF(OR(AC$110=0,LEFT(AC$106,2)&lt;&gt;"dx"),0,AC$110*INDEX(energiedragers_fPren,MATCH(AC$105,energiedragers_namen,0)))+
IF(OR(AC$144=0,LEFT(AC$142,2)&lt;&gt;"dx"),0,AC$144*INDEX(energiedragers_fPren,MATCH(AC$141,energiedragers_namen,0)))</f>
        <v>0</v>
      </c>
      <c r="AD254" s="273"/>
      <c r="AE254" s="273"/>
      <c r="AF254" s="273"/>
      <c r="AG254" s="273"/>
      <c r="AH254" s="273"/>
      <c r="AI254" s="273"/>
      <c r="AJ254" s="113"/>
      <c r="AK254" s="202">
        <f t="shared" si="217"/>
        <v>0</v>
      </c>
      <c r="AL254" s="191"/>
      <c r="AM254" s="168">
        <f>IF(OR(AM$110=0,LEFT(AM$106,2)&lt;&gt;"dx"),0,AM$110*INDEX(energiedragers_fPren,MATCH(AM$105,energiedragers_namen,0)))+
IF(OR(AM$144=0,LEFT(AM$142,2)&lt;&gt;"dx"),0,AM$144*INDEX(energiedragers_fPren,MATCH(AM$141,energiedragers_namen,0)))</f>
        <v>0</v>
      </c>
      <c r="AN254" s="168">
        <f>IF(OR(AN$110=0,LEFT(AN$106,2)&lt;&gt;"dx"),0,AN$110*INDEX(energiedragers_fPren,MATCH(AN$105,energiedragers_namen,0)))+
IF(OR(AN$144=0,LEFT(AN$142,2)&lt;&gt;"dx"),0,AN$144*INDEX(energiedragers_fPren,MATCH(AN$141,energiedragers_namen,0)))</f>
        <v>0</v>
      </c>
      <c r="AO254" s="168">
        <f>IF(OR(AO$110=0,LEFT(AO$106,2)&lt;&gt;"dx"),0,AO$110*INDEX(energiedragers_fPren,MATCH(AO$105,energiedragers_namen,0)))+
IF(OR(AO$144=0,LEFT(AO$142,2)&lt;&gt;"dx"),0,AO$144*INDEX(energiedragers_fPren,MATCH(AO$141,energiedragers_namen,0)))</f>
        <v>0</v>
      </c>
      <c r="AP254" s="273"/>
      <c r="AQ254" s="273"/>
      <c r="AR254" s="273"/>
      <c r="AS254" s="273"/>
      <c r="AT254" s="273"/>
      <c r="AU254" s="273"/>
      <c r="AV254" s="191"/>
      <c r="AW254" s="202">
        <f t="shared" si="218"/>
        <v>0</v>
      </c>
      <c r="AX254" s="191"/>
      <c r="AY254" s="168">
        <f>IF(OR(AY$110=0,LEFT(AY$106,2)&lt;&gt;"dx"),0,AY$110*INDEX(energiedragers_fPren,MATCH(AY$105,energiedragers_namen,0)))+
IF(OR(AY$144=0,LEFT(AY$142,2)&lt;&gt;"dx"),0,AY$144*INDEX(energiedragers_fPren,MATCH(AY$141,energiedragers_namen,0)))</f>
        <v>0</v>
      </c>
      <c r="AZ254" s="168">
        <f>IF(OR(AZ$110=0,LEFT(AZ$106,2)&lt;&gt;"dx"),0,AZ$110*INDEX(energiedragers_fPren,MATCH(AZ$105,energiedragers_namen,0)))+
IF(OR(AZ$144=0,LEFT(AZ$142,2)&lt;&gt;"dx"),0,AZ$144*INDEX(energiedragers_fPren,MATCH(AZ$141,energiedragers_namen,0)))</f>
        <v>0</v>
      </c>
      <c r="BA254" s="168">
        <f>IF(OR(BA$110=0,LEFT(BA$106,2)&lt;&gt;"dx"),0,BA$110*INDEX(energiedragers_fPren,MATCH(BA$105,energiedragers_namen,0)))+
IF(OR(BA$144=0,LEFT(BA$142,2)&lt;&gt;"dx"),0,BA$144*INDEX(energiedragers_fPren,MATCH(BA$141,energiedragers_namen,0)))</f>
        <v>0</v>
      </c>
      <c r="BB254" s="273"/>
      <c r="BC254" s="273"/>
      <c r="BD254" s="273"/>
      <c r="BE254" s="273"/>
      <c r="BF254" s="273"/>
      <c r="BG254" s="273"/>
      <c r="BH254" s="210"/>
    </row>
    <row r="255" spans="1:60">
      <c r="A255" s="1040"/>
      <c r="B255" s="1109" t="s">
        <v>249</v>
      </c>
      <c r="C255" s="1107" t="s">
        <v>104</v>
      </c>
      <c r="D255" s="641" t="s">
        <v>45</v>
      </c>
      <c r="E255" s="180" t="s">
        <v>254</v>
      </c>
      <c r="F255" s="180"/>
      <c r="G255" s="180"/>
      <c r="H255" s="201" t="s">
        <v>160</v>
      </c>
      <c r="I255" s="114"/>
      <c r="J255" s="202">
        <f t="shared" si="214"/>
        <v>0</v>
      </c>
      <c r="K255" s="195"/>
      <c r="L255" s="195"/>
      <c r="M255" s="202">
        <f t="shared" si="215"/>
        <v>0</v>
      </c>
      <c r="N255" s="114"/>
      <c r="O255" s="273"/>
      <c r="P255" s="168">
        <f>IF(OR(P$110=0,LEFT(P$106,2)&lt;&gt;"dx"),0,P$110*INDEX(energiedragers_fPren,MATCH(P$105,energiedragers_namen,0))+
IF(OR(P$144=0,LEFT(P$142,2)&lt;&gt;"dx"),0,P$144*INDEX(energiedragers_fPren,MATCH(P$141,energiedragers_namen,0))))</f>
        <v>0</v>
      </c>
      <c r="Q255" s="273"/>
      <c r="R255" s="273"/>
      <c r="S255" s="273"/>
      <c r="T255" s="273"/>
      <c r="U255" s="273"/>
      <c r="V255" s="273"/>
      <c r="W255" s="273"/>
      <c r="X255" s="113"/>
      <c r="Y255" s="202">
        <f t="shared" si="216"/>
        <v>0</v>
      </c>
      <c r="Z255" s="114"/>
      <c r="AA255" s="273"/>
      <c r="AB255" s="168">
        <f>IF(OR(AB$110=0,LEFT(AB$106,2)&lt;&gt;"dx"),0,AB$110*INDEX(energiedragers_fPren,MATCH(AB$105,energiedragers_namen,0))+
IF(OR(AB$144=0,LEFT(AB$142,2)&lt;&gt;"dx"),0,AB$144*INDEX(energiedragers_fPren,MATCH(AB$141,energiedragers_namen,0))))</f>
        <v>0</v>
      </c>
      <c r="AC255" s="273"/>
      <c r="AD255" s="273"/>
      <c r="AE255" s="273"/>
      <c r="AF255" s="273"/>
      <c r="AG255" s="273"/>
      <c r="AH255" s="273"/>
      <c r="AI255" s="273"/>
      <c r="AJ255" s="113"/>
      <c r="AK255" s="202">
        <f t="shared" si="217"/>
        <v>0</v>
      </c>
      <c r="AL255" s="191"/>
      <c r="AM255" s="273"/>
      <c r="AN255" s="168">
        <f>IF(OR(AN$110=0,LEFT(AN$106,2)&lt;&gt;"dx"),0,AN$110*INDEX(energiedragers_fPren,MATCH(AN$105,energiedragers_namen,0))+
IF(OR(AN$144=0,LEFT(AN$142,2)&lt;&gt;"dx"),0,AN$144*INDEX(energiedragers_fPren,MATCH(AN$141,energiedragers_namen,0))))</f>
        <v>0</v>
      </c>
      <c r="AO255" s="273"/>
      <c r="AP255" s="273"/>
      <c r="AQ255" s="273"/>
      <c r="AR255" s="273"/>
      <c r="AS255" s="273"/>
      <c r="AT255" s="273"/>
      <c r="AU255" s="273"/>
      <c r="AV255" s="191"/>
      <c r="AW255" s="202">
        <f t="shared" si="218"/>
        <v>0</v>
      </c>
      <c r="AX255" s="191"/>
      <c r="AY255" s="273"/>
      <c r="AZ255" s="168">
        <f>IF(OR(AZ$110=0,LEFT(AZ$106,2)&lt;&gt;"dx"),0,AZ$110*INDEX(energiedragers_fPren,MATCH(AZ$105,energiedragers_namen,0))+
IF(OR(AZ$144=0,LEFT(AZ$142,2)&lt;&gt;"dx"),0,AZ$144*INDEX(energiedragers_fPren,MATCH(AZ$141,energiedragers_namen,0))))</f>
        <v>0</v>
      </c>
      <c r="BA255" s="273"/>
      <c r="BB255" s="273"/>
      <c r="BC255" s="273"/>
      <c r="BD255" s="273"/>
      <c r="BE255" s="273"/>
      <c r="BF255" s="273"/>
      <c r="BG255" s="273"/>
      <c r="BH255" s="210"/>
    </row>
    <row r="256" spans="1:60">
      <c r="A256" s="1040"/>
      <c r="B256" s="1109" t="s">
        <v>249</v>
      </c>
      <c r="C256" s="1107" t="s">
        <v>104</v>
      </c>
      <c r="D256" s="641" t="s">
        <v>45</v>
      </c>
      <c r="E256" s="180" t="s">
        <v>255</v>
      </c>
      <c r="F256" s="180"/>
      <c r="G256" s="180"/>
      <c r="H256" s="201" t="s">
        <v>160</v>
      </c>
      <c r="I256" s="114"/>
      <c r="J256" s="202">
        <f t="shared" si="214"/>
        <v>0</v>
      </c>
      <c r="K256" s="195"/>
      <c r="L256" s="195"/>
      <c r="M256" s="202">
        <f t="shared" si="215"/>
        <v>0</v>
      </c>
      <c r="N256" s="114"/>
      <c r="O256" s="168">
        <f>O$91*f_P_renheat</f>
        <v>0</v>
      </c>
      <c r="P256" s="273"/>
      <c r="Q256" s="168">
        <f>Q$91*f_P_renheat</f>
        <v>0</v>
      </c>
      <c r="R256" s="273"/>
      <c r="S256" s="273"/>
      <c r="T256" s="273"/>
      <c r="U256" s="273"/>
      <c r="V256" s="273"/>
      <c r="W256" s="273"/>
      <c r="X256" s="108"/>
      <c r="Y256" s="202">
        <f t="shared" si="216"/>
        <v>0</v>
      </c>
      <c r="Z256" s="114"/>
      <c r="AA256" s="168">
        <f>AA$91*f_P_renheat</f>
        <v>0</v>
      </c>
      <c r="AB256" s="273"/>
      <c r="AC256" s="168">
        <f>AC$91*f_P_renheat</f>
        <v>0</v>
      </c>
      <c r="AD256" s="273"/>
      <c r="AE256" s="273"/>
      <c r="AF256" s="273"/>
      <c r="AG256" s="273"/>
      <c r="AH256" s="273"/>
      <c r="AI256" s="273"/>
      <c r="AJ256" s="108"/>
      <c r="AK256" s="202">
        <f t="shared" si="217"/>
        <v>0</v>
      </c>
      <c r="AL256" s="191"/>
      <c r="AM256" s="168">
        <f>AM$91*f_P_renheat</f>
        <v>0</v>
      </c>
      <c r="AN256" s="273"/>
      <c r="AO256" s="168">
        <f>AO$91*f_P_renheat</f>
        <v>0</v>
      </c>
      <c r="AP256" s="273"/>
      <c r="AQ256" s="273"/>
      <c r="AR256" s="273"/>
      <c r="AS256" s="273"/>
      <c r="AT256" s="273"/>
      <c r="AU256" s="273"/>
      <c r="AV256" s="191"/>
      <c r="AW256" s="202">
        <f t="shared" si="218"/>
        <v>0</v>
      </c>
      <c r="AX256" s="191"/>
      <c r="AY256" s="168">
        <f>AY$91*f_P_renheat</f>
        <v>0</v>
      </c>
      <c r="AZ256" s="273"/>
      <c r="BA256" s="168">
        <f>BA$91*f_P_renheat</f>
        <v>0</v>
      </c>
      <c r="BB256" s="273"/>
      <c r="BC256" s="273"/>
      <c r="BD256" s="273"/>
      <c r="BE256" s="273"/>
      <c r="BF256" s="273"/>
      <c r="BG256" s="273"/>
      <c r="BH256" s="174"/>
    </row>
    <row r="257" spans="1:60">
      <c r="A257" s="1040"/>
      <c r="B257" s="1109" t="s">
        <v>249</v>
      </c>
      <c r="C257" s="1107" t="s">
        <v>104</v>
      </c>
      <c r="D257" s="641" t="s">
        <v>45</v>
      </c>
      <c r="E257" s="180" t="s">
        <v>256</v>
      </c>
      <c r="F257" s="180"/>
      <c r="G257" s="180"/>
      <c r="H257" s="201" t="s">
        <v>160</v>
      </c>
      <c r="I257" s="114"/>
      <c r="J257" s="202">
        <f t="shared" si="214"/>
        <v>0</v>
      </c>
      <c r="K257" s="195"/>
      <c r="L257" s="195"/>
      <c r="M257" s="202">
        <f t="shared" si="215"/>
        <v>0</v>
      </c>
      <c r="N257" s="114"/>
      <c r="O257" s="273"/>
      <c r="P257" s="273"/>
      <c r="Q257" s="273"/>
      <c r="R257" s="273"/>
      <c r="S257" s="273"/>
      <c r="T257" s="273"/>
      <c r="U257" s="273"/>
      <c r="V257" s="273"/>
      <c r="W257" s="168">
        <f>M73*f_P_renelect</f>
        <v>0</v>
      </c>
      <c r="X257" s="113"/>
      <c r="Y257" s="202">
        <f t="shared" si="216"/>
        <v>0</v>
      </c>
      <c r="Z257" s="114"/>
      <c r="AA257" s="273"/>
      <c r="AB257" s="273"/>
      <c r="AC257" s="273"/>
      <c r="AD257" s="273"/>
      <c r="AE257" s="273"/>
      <c r="AF257" s="273"/>
      <c r="AG257" s="273"/>
      <c r="AH257" s="273"/>
      <c r="AI257" s="168">
        <f>Y73*f_P_renelect</f>
        <v>0</v>
      </c>
      <c r="AJ257" s="113"/>
      <c r="AK257" s="202">
        <f t="shared" si="217"/>
        <v>0</v>
      </c>
      <c r="AL257" s="191"/>
      <c r="AM257" s="273"/>
      <c r="AN257" s="273"/>
      <c r="AO257" s="273"/>
      <c r="AP257" s="273"/>
      <c r="AQ257" s="273"/>
      <c r="AR257" s="273"/>
      <c r="AS257" s="273"/>
      <c r="AT257" s="273"/>
      <c r="AU257" s="168">
        <f>AK73*f_P_renelect</f>
        <v>0</v>
      </c>
      <c r="AV257" s="191"/>
      <c r="AW257" s="202">
        <f t="shared" si="218"/>
        <v>0</v>
      </c>
      <c r="AX257" s="191"/>
      <c r="AY257" s="273"/>
      <c r="AZ257" s="273"/>
      <c r="BA257" s="273"/>
      <c r="BB257" s="273"/>
      <c r="BC257" s="273"/>
      <c r="BD257" s="273"/>
      <c r="BE257" s="273"/>
      <c r="BF257" s="273"/>
      <c r="BG257" s="168">
        <f>AW73*f_P_renelect</f>
        <v>0</v>
      </c>
      <c r="BH257" s="210"/>
    </row>
    <row r="258" spans="1:60">
      <c r="A258" s="1040"/>
      <c r="B258" s="1109" t="s">
        <v>249</v>
      </c>
      <c r="C258" s="1107" t="s">
        <v>104</v>
      </c>
      <c r="D258" s="638"/>
      <c r="E258" s="180" t="s">
        <v>232</v>
      </c>
      <c r="F258" s="180"/>
      <c r="G258" s="180"/>
      <c r="H258" s="201" t="s">
        <v>160</v>
      </c>
      <c r="I258" s="114"/>
      <c r="J258" s="202">
        <f>SUM(J251:J257)</f>
        <v>0</v>
      </c>
      <c r="K258" s="195"/>
      <c r="L258" s="195"/>
      <c r="M258" s="202">
        <f>SUM(M251:M257)</f>
        <v>0</v>
      </c>
      <c r="N258" s="114"/>
      <c r="O258" s="168">
        <f t="shared" ref="O258:W258" si="219">SUM(O251:O257)</f>
        <v>0</v>
      </c>
      <c r="P258" s="168">
        <f t="shared" si="219"/>
        <v>0</v>
      </c>
      <c r="Q258" s="168">
        <f t="shared" si="219"/>
        <v>0</v>
      </c>
      <c r="R258" s="273"/>
      <c r="S258" s="273"/>
      <c r="T258" s="273"/>
      <c r="U258" s="273"/>
      <c r="V258" s="273"/>
      <c r="W258" s="168">
        <f t="shared" si="219"/>
        <v>0</v>
      </c>
      <c r="X258" s="113"/>
      <c r="Y258" s="202">
        <f>SUM(Y251:Y257)</f>
        <v>0</v>
      </c>
      <c r="Z258" s="114"/>
      <c r="AA258" s="168">
        <f>SUM(AA251:AA257)</f>
        <v>0</v>
      </c>
      <c r="AB258" s="168">
        <f>SUM(AB251:AB257)</f>
        <v>0</v>
      </c>
      <c r="AC258" s="168">
        <f>SUM(AC251:AC257)</f>
        <v>0</v>
      </c>
      <c r="AD258" s="273"/>
      <c r="AE258" s="273"/>
      <c r="AF258" s="273"/>
      <c r="AG258" s="273"/>
      <c r="AH258" s="273"/>
      <c r="AI258" s="168">
        <f>SUM(AI251:AI257)</f>
        <v>0</v>
      </c>
      <c r="AJ258" s="113"/>
      <c r="AK258" s="202">
        <f>SUM(AK251:AK257)</f>
        <v>0</v>
      </c>
      <c r="AL258" s="191"/>
      <c r="AM258" s="168">
        <f>SUM(AM251:AM257)</f>
        <v>0</v>
      </c>
      <c r="AN258" s="168">
        <f>SUM(AN251:AN257)</f>
        <v>0</v>
      </c>
      <c r="AO258" s="168">
        <f>SUM(AO251:AO257)</f>
        <v>0</v>
      </c>
      <c r="AP258" s="273"/>
      <c r="AQ258" s="273"/>
      <c r="AR258" s="273"/>
      <c r="AS258" s="273"/>
      <c r="AT258" s="273"/>
      <c r="AU258" s="168">
        <f>SUM(AU251:AU257)</f>
        <v>0</v>
      </c>
      <c r="AV258" s="191"/>
      <c r="AW258" s="202">
        <f>SUM(AW251:AW257)</f>
        <v>0</v>
      </c>
      <c r="AX258" s="191"/>
      <c r="AY258" s="168">
        <f>SUM(AY251:AY257)</f>
        <v>0</v>
      </c>
      <c r="AZ258" s="168">
        <f>SUM(AZ251:AZ257)</f>
        <v>0</v>
      </c>
      <c r="BA258" s="168">
        <f>SUM(BA251:BA257)</f>
        <v>0</v>
      </c>
      <c r="BB258" s="273"/>
      <c r="BC258" s="273"/>
      <c r="BD258" s="273"/>
      <c r="BE258" s="273"/>
      <c r="BF258" s="273"/>
      <c r="BG258" s="168">
        <f>SUM(BG251:BG257)</f>
        <v>0</v>
      </c>
      <c r="BH258" s="210"/>
    </row>
    <row r="259" spans="1:60">
      <c r="A259" s="1040"/>
      <c r="B259" s="1109" t="s">
        <v>249</v>
      </c>
      <c r="C259" s="1106" t="s">
        <v>96</v>
      </c>
      <c r="D259" s="638"/>
      <c r="E259" s="79"/>
      <c r="F259" s="79"/>
      <c r="G259" s="79"/>
      <c r="H259" s="85"/>
      <c r="I259" s="79"/>
      <c r="J259" s="82"/>
      <c r="K259" s="79"/>
      <c r="L259" s="79"/>
      <c r="M259" s="82"/>
      <c r="N259" s="79"/>
      <c r="O259" s="82"/>
      <c r="P259" s="82"/>
      <c r="Q259" s="82"/>
      <c r="R259" s="82"/>
      <c r="S259" s="82"/>
      <c r="T259" s="82"/>
      <c r="U259" s="82"/>
      <c r="V259" s="82"/>
      <c r="W259" s="82"/>
      <c r="X259" s="82"/>
      <c r="Y259" s="82"/>
      <c r="Z259" s="79"/>
      <c r="AA259" s="82"/>
      <c r="AB259" s="82"/>
      <c r="AC259" s="82"/>
      <c r="AD259" s="82"/>
      <c r="AE259" s="82"/>
      <c r="AF259" s="82"/>
      <c r="AG259" s="82"/>
      <c r="AH259" s="82"/>
      <c r="AI259" s="82"/>
      <c r="AJ259" s="82"/>
      <c r="AK259" s="82"/>
      <c r="AL259" s="79"/>
      <c r="AM259" s="82"/>
      <c r="AN259" s="82"/>
      <c r="AO259" s="82"/>
      <c r="AP259" s="82"/>
      <c r="AQ259" s="82"/>
      <c r="AR259" s="82"/>
      <c r="AS259" s="82"/>
      <c r="AT259" s="82"/>
      <c r="AU259" s="82"/>
      <c r="AV259" s="191"/>
      <c r="AW259" s="82"/>
      <c r="AX259" s="79"/>
      <c r="AY259" s="82"/>
      <c r="AZ259" s="82"/>
      <c r="BA259" s="82"/>
      <c r="BB259" s="82"/>
      <c r="BC259" s="82"/>
      <c r="BD259" s="82"/>
      <c r="BE259" s="82"/>
      <c r="BF259" s="82"/>
      <c r="BG259" s="82"/>
      <c r="BH259" s="1"/>
    </row>
    <row r="260" spans="1:60">
      <c r="A260" s="1040"/>
      <c r="B260" s="1109" t="s">
        <v>257</v>
      </c>
      <c r="C260" s="1107" t="s">
        <v>96</v>
      </c>
      <c r="D260" s="638"/>
      <c r="E260" s="79"/>
      <c r="F260" s="79"/>
      <c r="G260" s="79"/>
      <c r="H260" s="85"/>
      <c r="I260" s="122"/>
      <c r="J260" s="82"/>
      <c r="K260" s="79"/>
      <c r="L260" s="79"/>
      <c r="M260" s="82"/>
      <c r="N260" s="79"/>
      <c r="O260" s="85"/>
      <c r="P260" s="85"/>
      <c r="Q260" s="82"/>
      <c r="R260" s="82"/>
      <c r="S260" s="82"/>
      <c r="T260" s="82"/>
      <c r="U260" s="82"/>
      <c r="V260" s="82"/>
      <c r="W260" s="82"/>
      <c r="X260" s="82"/>
      <c r="Y260" s="82"/>
      <c r="Z260" s="79"/>
      <c r="AA260" s="85"/>
      <c r="AB260" s="85"/>
      <c r="AC260" s="82"/>
      <c r="AD260" s="82"/>
      <c r="AE260" s="82"/>
      <c r="AF260" s="82"/>
      <c r="AG260" s="82"/>
      <c r="AH260" s="82"/>
      <c r="AI260" s="82"/>
      <c r="AJ260" s="82"/>
      <c r="AK260" s="82"/>
      <c r="AL260" s="79"/>
      <c r="AM260" s="85"/>
      <c r="AN260" s="85"/>
      <c r="AO260" s="82"/>
      <c r="AP260" s="82"/>
      <c r="AQ260" s="82"/>
      <c r="AR260" s="82"/>
      <c r="AS260" s="82"/>
      <c r="AT260" s="82"/>
      <c r="AU260" s="82"/>
      <c r="AV260" s="82"/>
      <c r="AW260" s="82"/>
      <c r="AX260" s="79"/>
      <c r="AY260" s="113"/>
      <c r="AZ260" s="82"/>
      <c r="BA260" s="82"/>
      <c r="BB260" s="82"/>
      <c r="BC260" s="82"/>
      <c r="BD260" s="82"/>
      <c r="BE260" s="82"/>
      <c r="BF260" s="82"/>
      <c r="BG260" s="82"/>
      <c r="BH260" s="1"/>
    </row>
    <row r="261" spans="1:60" ht="21">
      <c r="A261" s="1040"/>
      <c r="B261" s="1109" t="s">
        <v>257</v>
      </c>
      <c r="C261" s="1106" t="s">
        <v>96</v>
      </c>
      <c r="D261" s="643"/>
      <c r="E261" s="1181" t="s">
        <v>1358</v>
      </c>
      <c r="F261" s="1181"/>
      <c r="G261" s="1181"/>
      <c r="H261" s="1181"/>
      <c r="I261" s="77"/>
      <c r="J261" s="200" t="str">
        <f>J$10</f>
        <v>alle locaties</v>
      </c>
      <c r="K261" s="126"/>
      <c r="L261" s="126"/>
      <c r="M261" s="200" t="str">
        <f>M$10</f>
        <v>locatie 1</v>
      </c>
      <c r="N261" s="182"/>
      <c r="O261" s="966" t="str">
        <f>$E261&amp;" per energiepost"</f>
        <v>primaire fossiele energiefactor installaties buiten de locatie per energiepost</v>
      </c>
      <c r="P261" s="941"/>
      <c r="Q261" s="941"/>
      <c r="R261" s="941"/>
      <c r="S261" s="941"/>
      <c r="T261" s="941"/>
      <c r="U261" s="941"/>
      <c r="V261" s="941"/>
      <c r="W261" s="956"/>
      <c r="X261" s="174"/>
      <c r="Y261" s="200" t="str">
        <f>Y$10</f>
        <v>locatie 2</v>
      </c>
      <c r="Z261" s="182"/>
      <c r="AA261" s="966" t="str">
        <f>$E261&amp;" per energiepost"</f>
        <v>primaire fossiele energiefactor installaties buiten de locatie per energiepost</v>
      </c>
      <c r="AB261" s="941"/>
      <c r="AC261" s="941"/>
      <c r="AD261" s="941"/>
      <c r="AE261" s="941"/>
      <c r="AF261" s="941"/>
      <c r="AG261" s="941"/>
      <c r="AH261" s="941"/>
      <c r="AI261" s="956"/>
      <c r="AJ261" s="174"/>
      <c r="AK261" s="200" t="str">
        <f>AK$10</f>
        <v>locatie 3</v>
      </c>
      <c r="AL261" s="182"/>
      <c r="AM261" s="966" t="str">
        <f>$E261&amp;" per energiepost"</f>
        <v>primaire fossiele energiefactor installaties buiten de locatie per energiepost</v>
      </c>
      <c r="AN261" s="941"/>
      <c r="AO261" s="941"/>
      <c r="AP261" s="941"/>
      <c r="AQ261" s="941"/>
      <c r="AR261" s="941"/>
      <c r="AS261" s="941"/>
      <c r="AT261" s="941"/>
      <c r="AU261" s="956"/>
      <c r="AV261" s="174"/>
      <c r="AW261" s="200" t="str">
        <f>AW$10</f>
        <v>locatie 4</v>
      </c>
      <c r="AX261" s="182"/>
      <c r="AY261" s="966" t="str">
        <f>$E261&amp;" per energiepost"</f>
        <v>primaire fossiele energiefactor installaties buiten de locatie per energiepost</v>
      </c>
      <c r="AZ261" s="941"/>
      <c r="BA261" s="941"/>
      <c r="BB261" s="941"/>
      <c r="BC261" s="941"/>
      <c r="BD261" s="941"/>
      <c r="BE261" s="941"/>
      <c r="BF261" s="941"/>
      <c r="BG261" s="956"/>
      <c r="BH261" s="1"/>
    </row>
    <row r="262" spans="1:60">
      <c r="A262" s="1040"/>
      <c r="B262" s="1109" t="s">
        <v>257</v>
      </c>
      <c r="C262" s="1106" t="s">
        <v>96</v>
      </c>
      <c r="D262" s="638"/>
      <c r="E262" s="940" t="s">
        <v>1316</v>
      </c>
      <c r="F262" s="940"/>
      <c r="G262" s="940"/>
      <c r="H262" s="940"/>
      <c r="I262" s="77"/>
      <c r="J262" s="939"/>
      <c r="K262" s="126"/>
      <c r="L262" s="126"/>
      <c r="M262" s="938"/>
      <c r="N262" s="191"/>
      <c r="O262" s="177" t="str">
        <f>O$10</f>
        <v>verwarming</v>
      </c>
      <c r="P262" s="177" t="str">
        <f>P$10</f>
        <v>koeling</v>
      </c>
      <c r="Q262" s="177" t="str">
        <f>Q$10</f>
        <v>tapwater</v>
      </c>
      <c r="R262" s="177"/>
      <c r="S262" s="177"/>
      <c r="T262" s="177"/>
      <c r="U262" s="177"/>
      <c r="V262" s="177"/>
      <c r="W262" s="177"/>
      <c r="X262" s="191"/>
      <c r="Y262" s="938"/>
      <c r="Z262" s="191"/>
      <c r="AA262" s="177" t="str">
        <f>AA$10</f>
        <v>verwarming</v>
      </c>
      <c r="AB262" s="177" t="str">
        <f>AB$10</f>
        <v>koeling</v>
      </c>
      <c r="AC262" s="177" t="str">
        <f>AC$10</f>
        <v>tapwater</v>
      </c>
      <c r="AD262" s="177"/>
      <c r="AE262" s="177"/>
      <c r="AF262" s="177"/>
      <c r="AG262" s="177"/>
      <c r="AH262" s="177"/>
      <c r="AI262" s="177"/>
      <c r="AJ262" s="191"/>
      <c r="AK262" s="938"/>
      <c r="AL262" s="191"/>
      <c r="AM262" s="177" t="str">
        <f>AM$10</f>
        <v>verwarming</v>
      </c>
      <c r="AN262" s="177" t="str">
        <f>AN$10</f>
        <v>koeling</v>
      </c>
      <c r="AO262" s="177" t="str">
        <f>AO$10</f>
        <v>tapwater</v>
      </c>
      <c r="AP262" s="177"/>
      <c r="AQ262" s="177"/>
      <c r="AR262" s="177"/>
      <c r="AS262" s="177"/>
      <c r="AT262" s="177"/>
      <c r="AU262" s="177"/>
      <c r="AV262" s="191"/>
      <c r="AW262" s="938"/>
      <c r="AX262" s="191"/>
      <c r="AY262" s="177" t="str">
        <f>AY$10</f>
        <v>verwarming</v>
      </c>
      <c r="AZ262" s="177" t="str">
        <f>AZ$10</f>
        <v>koeling</v>
      </c>
      <c r="BA262" s="177" t="str">
        <f>BA$10</f>
        <v>tapwater</v>
      </c>
      <c r="BB262" s="177"/>
      <c r="BC262" s="177"/>
      <c r="BD262" s="177"/>
      <c r="BE262" s="177"/>
      <c r="BF262" s="177"/>
      <c r="BG262" s="177"/>
      <c r="BH262" s="36"/>
    </row>
    <row r="263" spans="1:60">
      <c r="A263" s="1040"/>
      <c r="B263" s="1109" t="s">
        <v>257</v>
      </c>
      <c r="C263" s="1107" t="s">
        <v>104</v>
      </c>
      <c r="D263" s="638"/>
      <c r="E263" s="180" t="s">
        <v>259</v>
      </c>
      <c r="F263" s="180"/>
      <c r="G263" s="180"/>
      <c r="H263" s="201" t="s">
        <v>65</v>
      </c>
      <c r="I263" s="114"/>
      <c r="J263" s="226"/>
      <c r="K263" s="234"/>
      <c r="L263" s="234"/>
      <c r="M263" s="202" t="str">
        <f>CONCATENATE(O263,"/",Q263)</f>
        <v>gebouw/gebouw</v>
      </c>
      <c r="N263" s="89"/>
      <c r="O263" s="168" t="str">
        <f>IF(O83=geen,"-",O84)</f>
        <v>gebouw</v>
      </c>
      <c r="P263" s="168" t="str">
        <f>IF(P83=geen,"-",P84)</f>
        <v>-</v>
      </c>
      <c r="Q263" s="168" t="str">
        <f>IF(Q83=geen,"-",Q84)</f>
        <v>gebouw</v>
      </c>
      <c r="R263" s="273"/>
      <c r="S263" s="273"/>
      <c r="T263" s="273"/>
      <c r="U263" s="273"/>
      <c r="V263" s="273"/>
      <c r="W263" s="273"/>
      <c r="X263" s="113"/>
      <c r="Y263" s="202" t="str">
        <f>CONCATENATE(AA263,"/",AC263)</f>
        <v>gebouw/gebouw</v>
      </c>
      <c r="Z263" s="89"/>
      <c r="AA263" s="168" t="str">
        <f>IF(AA83=geen,"-",AA84)</f>
        <v>gebouw</v>
      </c>
      <c r="AB263" s="168" t="str">
        <f>IF(AB83=geen,"-",AB84)</f>
        <v>-</v>
      </c>
      <c r="AC263" s="168" t="str">
        <f>IF(AC83=geen,"-",AC84)</f>
        <v>gebouw</v>
      </c>
      <c r="AD263" s="273"/>
      <c r="AE263" s="273"/>
      <c r="AF263" s="273"/>
      <c r="AG263" s="273"/>
      <c r="AH263" s="273"/>
      <c r="AI263" s="273"/>
      <c r="AJ263" s="113"/>
      <c r="AK263" s="202" t="str">
        <f>CONCATENATE(AM263,"/",AO263)</f>
        <v>gebouw/gebouw</v>
      </c>
      <c r="AL263" s="89"/>
      <c r="AM263" s="168" t="str">
        <f>IF(AM83=geen,"-",AM84)</f>
        <v>gebouw</v>
      </c>
      <c r="AN263" s="168" t="str">
        <f>IF(AN83=geen,"-",AN84)</f>
        <v>-</v>
      </c>
      <c r="AO263" s="168" t="str">
        <f>IF(AO83=geen,"-",AO84)</f>
        <v>gebouw</v>
      </c>
      <c r="AP263" s="273"/>
      <c r="AQ263" s="273"/>
      <c r="AR263" s="273"/>
      <c r="AS263" s="273"/>
      <c r="AT263" s="273"/>
      <c r="AU263" s="273"/>
      <c r="AV263" s="113"/>
      <c r="AW263" s="202" t="str">
        <f>CONCATENATE(AY263,"/",BA263)</f>
        <v>gebouw/gebouw</v>
      </c>
      <c r="AX263" s="89"/>
      <c r="AY263" s="168" t="str">
        <f>IF(AY83=geen,"-",AY84)</f>
        <v>gebouw</v>
      </c>
      <c r="AZ263" s="168" t="str">
        <f>IF(AZ83=geen,"-",AZ84)</f>
        <v>-</v>
      </c>
      <c r="BA263" s="168" t="str">
        <f>IF(BA83=geen,"-",BA84)</f>
        <v>gebouw</v>
      </c>
      <c r="BB263" s="168"/>
      <c r="BC263" s="273"/>
      <c r="BD263" s="273"/>
      <c r="BE263" s="273"/>
      <c r="BF263" s="273"/>
      <c r="BG263" s="273"/>
      <c r="BH263" s="210"/>
    </row>
    <row r="264" spans="1:60">
      <c r="A264" s="1040"/>
      <c r="B264" s="1109" t="s">
        <v>257</v>
      </c>
      <c r="C264" s="1107" t="s">
        <v>104</v>
      </c>
      <c r="D264" s="638"/>
      <c r="E264" s="1123" t="s">
        <v>1347</v>
      </c>
      <c r="F264" s="1123"/>
      <c r="G264" s="180"/>
      <c r="H264" s="201" t="s">
        <v>65</v>
      </c>
      <c r="I264" s="114"/>
      <c r="J264" s="226"/>
      <c r="K264" s="232"/>
      <c r="L264" s="232"/>
      <c r="M264" s="226" t="str">
        <f>IF(SUM(O264:Q264)=0,"",((O$263&lt;&gt;gebouw)*(O$120+O$151+O$174-O$214) + (P$263&lt;&gt;gebouw)*(P$120+P$151+P$174-P$214) + (Q$263&lt;&gt;gebouw)*(Q$120+Q$151+Q$174-Q$214) )/  ((O$263&lt;&gt;gebouw)*O$78 + AND(P$263&lt;&gt;gebouw,P$263&lt;&gt;"-")*P$78 + (Q$263&lt;&gt;gebouw)*Q$78) )</f>
        <v/>
      </c>
      <c r="N264" s="233"/>
      <c r="O264" s="227" t="str">
        <f>IF(OR(O$246=0,O$263=gebouw),"-",(O$120+O$151+O$174-O$214)/O$78)</f>
        <v>-</v>
      </c>
      <c r="P264" s="227" t="str">
        <f>IF(OR(P$246=0,P$263=gebouw),"-",(P$120+P$151+P$174-P$214)/P$78)</f>
        <v>-</v>
      </c>
      <c r="Q264" s="227" t="str">
        <f>IF(OR(Q$246=0,Q$263=gebouw),"-",(Q$120+Q$151+Q$174-Q$214)/Q$78)</f>
        <v>-</v>
      </c>
      <c r="R264" s="274"/>
      <c r="S264" s="274"/>
      <c r="T264" s="274"/>
      <c r="U264" s="274"/>
      <c r="V264" s="274"/>
      <c r="W264" s="274"/>
      <c r="X264" s="123"/>
      <c r="Y264" s="226" t="str">
        <f>IF(SUM(AA264:AC264)=0,"",((AA$263&lt;&gt;gebouw)*(AA$120+AA$151+AA$174-AA$214) + (AB$263&lt;&gt;gebouw)*(AB$120+AB$151+AB$174-AB$214) + (AC$263&lt;&gt;gebouw)*(AC$120+AC$151+AC$174-AC$214) )/  ((AA$263&lt;&gt;gebouw)*AA$78 + AND(AB$263&lt;&gt;gebouw,AB$263&lt;&gt;"-")*AB$78 + (AC$263&lt;&gt;gebouw)*AC$78) )</f>
        <v/>
      </c>
      <c r="Z264" s="233"/>
      <c r="AA264" s="227" t="str">
        <f>IF(OR(AA$246=0,AA$263=gebouw),"-",(AA$120+AA$151+AA$174-AA$214)/AA$78)</f>
        <v>-</v>
      </c>
      <c r="AB264" s="227" t="str">
        <f>IF(OR(AB$246=0,AB$263=gebouw),"-",(AB$120+AB$151+AB$174-AB$214)/AB$78)</f>
        <v>-</v>
      </c>
      <c r="AC264" s="227" t="str">
        <f>IF(OR(AC$246=0,AC$263=gebouw),"-",(AC$120+AC$151+AC$174-AC$214)/AC$78)</f>
        <v>-</v>
      </c>
      <c r="AD264" s="274"/>
      <c r="AE264" s="274"/>
      <c r="AF264" s="274"/>
      <c r="AG264" s="274"/>
      <c r="AH264" s="274"/>
      <c r="AI264" s="274"/>
      <c r="AJ264" s="123"/>
      <c r="AK264" s="226" t="str">
        <f>IF(SUM(AM264:AO264)=0,"",((AM$263&lt;&gt;gebouw)*(AM$120+AM$151+AM$174-AM$214) + (AN$263&lt;&gt;gebouw)*(AN$120+AN$151+AN$174-AN$214) + (AO$263&lt;&gt;gebouw)*(AO$120+AO$151+AO$174-AO$214) )/  ((AM$263&lt;&gt;gebouw)*AM$78 + AND(AN$263&lt;&gt;gebouw,AN$263&lt;&gt;"-")*AN$78 + (AO$263&lt;&gt;gebouw)*AO$78) )</f>
        <v/>
      </c>
      <c r="AL264" s="233"/>
      <c r="AM264" s="227" t="str">
        <f>IF(OR(AM$246=0,AM$263=gebouw),"-",(AM$120+AM$151+AM$174-AM$214)/AM$78)</f>
        <v>-</v>
      </c>
      <c r="AN264" s="227" t="str">
        <f>IF(OR(AN$246=0,AN$263=gebouw),"-",(AN$120+AN$151+AN$174-AN$214)/AN$78)</f>
        <v>-</v>
      </c>
      <c r="AO264" s="227" t="str">
        <f>IF(OR(AO$246=0,AO$263=gebouw),"-",(AO$120+AO$151+AO$174-AO$214)/AO$78)</f>
        <v>-</v>
      </c>
      <c r="AP264" s="274"/>
      <c r="AQ264" s="274"/>
      <c r="AR264" s="274"/>
      <c r="AS264" s="274"/>
      <c r="AT264" s="274"/>
      <c r="AU264" s="274"/>
      <c r="AV264" s="123"/>
      <c r="AW264" s="226" t="str">
        <f>IF(SUM(AY264:BA264)=0,"",((AY$263&lt;&gt;gebouw)*(AY$120+AY$151+AY$174-AY$214) + (AZ$263&lt;&gt;gebouw)*(AZ$120+AZ$151+AZ$174-AZ$214) + (BA$263&lt;&gt;gebouw)*(BA$120+BA$151+BA$174-BA$214) )/  ((AY$263&lt;&gt;gebouw)*AY$78 + AND(AZ$263&lt;&gt;gebouw,AZ$263&lt;&gt;"-")*AZ$78 + (BA$263&lt;&gt;gebouw)*BA$78) )</f>
        <v/>
      </c>
      <c r="AX264" s="233"/>
      <c r="AY264" s="227" t="str">
        <f>IF(OR(AY$246=0,AY$263=gebouw),"-",(AY$120+AY$151+AY$174-AY$214)/AY$78)</f>
        <v>-</v>
      </c>
      <c r="AZ264" s="227" t="str">
        <f>IF(OR(AZ$246=0,AZ$263=gebouw),"-",(AZ$120+AZ$151+AZ$174-AZ$214)/AZ$78)</f>
        <v>-</v>
      </c>
      <c r="BA264" s="227" t="str">
        <f>IF(OR(BA$246=0,BA$263=gebouw),"-",(BA$120+BA$151+BA$174-BA$214)/BA$78)</f>
        <v>-</v>
      </c>
      <c r="BB264" s="227"/>
      <c r="BC264" s="274"/>
      <c r="BD264" s="274"/>
      <c r="BE264" s="274"/>
      <c r="BF264" s="274"/>
      <c r="BG264" s="274"/>
      <c r="BH264" s="210"/>
    </row>
    <row r="265" spans="1:60">
      <c r="A265" s="1040"/>
      <c r="B265" s="1109" t="s">
        <v>257</v>
      </c>
      <c r="C265" s="1106" t="s">
        <v>96</v>
      </c>
      <c r="D265" s="638"/>
      <c r="E265" s="79"/>
      <c r="F265" s="79"/>
      <c r="G265" s="79"/>
      <c r="H265" s="85"/>
      <c r="I265" s="79"/>
      <c r="J265" s="82"/>
      <c r="K265" s="79"/>
      <c r="L265" s="79"/>
      <c r="M265" s="597"/>
      <c r="N265" s="79"/>
      <c r="O265" s="82"/>
      <c r="P265" s="82"/>
      <c r="Q265" s="82"/>
      <c r="R265" s="82"/>
      <c r="S265" s="82"/>
      <c r="T265" s="82"/>
      <c r="U265" s="82"/>
      <c r="V265" s="82"/>
      <c r="W265" s="82"/>
      <c r="X265" s="82"/>
      <c r="Y265" s="123"/>
      <c r="Z265" s="79"/>
      <c r="AA265" s="82"/>
      <c r="AB265" s="82"/>
      <c r="AC265" s="82"/>
      <c r="AD265" s="82"/>
      <c r="AE265" s="82"/>
      <c r="AF265" s="82"/>
      <c r="AG265" s="82"/>
      <c r="AH265" s="82"/>
      <c r="AI265" s="82"/>
      <c r="AJ265" s="82"/>
      <c r="AK265" s="82"/>
      <c r="AL265" s="79"/>
      <c r="AM265" s="82"/>
      <c r="AN265" s="82"/>
      <c r="AO265" s="82"/>
      <c r="AP265" s="82"/>
      <c r="AQ265" s="82"/>
      <c r="AR265" s="82"/>
      <c r="AS265" s="82"/>
      <c r="AT265" s="82"/>
      <c r="AU265" s="82"/>
      <c r="AV265" s="82"/>
      <c r="AW265" s="82"/>
      <c r="AX265" s="79"/>
      <c r="AY265" s="79"/>
      <c r="AZ265" s="82"/>
      <c r="BA265" s="82"/>
      <c r="BB265" s="82"/>
      <c r="BC265" s="82"/>
      <c r="BD265" s="82"/>
      <c r="BE265" s="82"/>
      <c r="BF265" s="82"/>
      <c r="BG265" s="82"/>
      <c r="BH265" s="1"/>
    </row>
    <row r="266" spans="1:60">
      <c r="A266" s="1040"/>
      <c r="B266" s="1109" t="s">
        <v>260</v>
      </c>
      <c r="C266" s="1107" t="s">
        <v>96</v>
      </c>
      <c r="D266" s="638"/>
      <c r="E266" s="79"/>
      <c r="F266" s="79"/>
      <c r="G266" s="79"/>
      <c r="H266" s="85"/>
      <c r="I266" s="79"/>
      <c r="J266" s="82"/>
      <c r="K266" s="79"/>
      <c r="L266" s="79"/>
      <c r="M266" s="82"/>
      <c r="N266" s="79"/>
      <c r="O266" s="82"/>
      <c r="P266" s="82"/>
      <c r="Q266" s="82"/>
      <c r="R266" s="82"/>
      <c r="S266" s="82"/>
      <c r="T266" s="82"/>
      <c r="U266" s="82"/>
      <c r="V266" s="82"/>
      <c r="W266" s="82"/>
      <c r="X266" s="82"/>
      <c r="Y266" s="82"/>
      <c r="Z266" s="79"/>
      <c r="AA266" s="82"/>
      <c r="AB266" s="82"/>
      <c r="AC266" s="82"/>
      <c r="AD266" s="82"/>
      <c r="AE266" s="82"/>
      <c r="AF266" s="82"/>
      <c r="AG266" s="82"/>
      <c r="AH266" s="82"/>
      <c r="AI266" s="82"/>
      <c r="AJ266" s="82"/>
      <c r="AK266" s="82"/>
      <c r="AL266" s="79"/>
      <c r="AM266" s="82"/>
      <c r="AN266" s="82"/>
      <c r="AO266" s="82"/>
      <c r="AP266" s="82"/>
      <c r="AQ266" s="82"/>
      <c r="AR266" s="82"/>
      <c r="AS266" s="82"/>
      <c r="AT266" s="82"/>
      <c r="AU266" s="82"/>
      <c r="AV266" s="82"/>
      <c r="AW266" s="82"/>
      <c r="AX266" s="79"/>
      <c r="AY266" s="82"/>
      <c r="AZ266" s="82"/>
      <c r="BA266" s="82"/>
      <c r="BB266" s="82"/>
      <c r="BC266" s="82"/>
      <c r="BD266" s="82"/>
      <c r="BE266" s="82"/>
      <c r="BF266" s="82"/>
      <c r="BG266" s="82"/>
      <c r="BH266" s="1"/>
    </row>
    <row r="267" spans="1:60" s="2" customFormat="1" ht="21">
      <c r="A267" s="1038"/>
      <c r="B267" s="1109" t="s">
        <v>260</v>
      </c>
      <c r="C267" s="1106" t="s">
        <v>96</v>
      </c>
      <c r="D267" s="640" t="s">
        <v>45</v>
      </c>
      <c r="E267" s="209" t="str">
        <f>"warmte-/koudebehoefte ruimteverwarming ["&amp;$F$6&amp;"]"</f>
        <v>warmte-/koudebehoefte ruimteverwarming [EP]</v>
      </c>
      <c r="F267" s="209"/>
      <c r="G267" s="209"/>
      <c r="H267" s="209"/>
      <c r="I267" s="129"/>
      <c r="J267" s="256"/>
      <c r="K267" s="126"/>
      <c r="L267" s="126"/>
      <c r="M267" s="256" t="str">
        <f>M$10</f>
        <v>locatie 1</v>
      </c>
      <c r="N267" s="182"/>
      <c r="O267" s="955" t="str">
        <f>$E267&amp;" per woning-/gebouwtype"</f>
        <v>warmte-/koudebehoefte ruimteverwarming [EP] per woning-/gebouwtype</v>
      </c>
      <c r="P267" s="945"/>
      <c r="Q267" s="945"/>
      <c r="R267" s="945"/>
      <c r="S267" s="945"/>
      <c r="T267" s="945"/>
      <c r="U267" s="945"/>
      <c r="V267" s="945"/>
      <c r="W267" s="257"/>
      <c r="X267" s="174"/>
      <c r="Y267" s="256" t="str">
        <f>Y$10</f>
        <v>locatie 2</v>
      </c>
      <c r="Z267" s="182"/>
      <c r="AA267" s="955" t="str">
        <f>$E267&amp;" per woning-/gebouwtype"</f>
        <v>warmte-/koudebehoefte ruimteverwarming [EP] per woning-/gebouwtype</v>
      </c>
      <c r="AB267" s="945"/>
      <c r="AC267" s="945"/>
      <c r="AD267" s="945"/>
      <c r="AE267" s="945"/>
      <c r="AF267" s="945"/>
      <c r="AG267" s="945"/>
      <c r="AH267" s="945"/>
      <c r="AI267" s="257"/>
      <c r="AJ267" s="174"/>
      <c r="AK267" s="256" t="str">
        <f>AK$10</f>
        <v>locatie 3</v>
      </c>
      <c r="AL267" s="182"/>
      <c r="AM267" s="955" t="str">
        <f>$E267&amp;" per woning-/gebouwtype"</f>
        <v>warmte-/koudebehoefte ruimteverwarming [EP] per woning-/gebouwtype</v>
      </c>
      <c r="AN267" s="945"/>
      <c r="AO267" s="945"/>
      <c r="AP267" s="945"/>
      <c r="AQ267" s="945"/>
      <c r="AR267" s="945"/>
      <c r="AS267" s="945"/>
      <c r="AT267" s="945"/>
      <c r="AU267" s="257"/>
      <c r="AV267" s="174"/>
      <c r="AW267" s="256" t="str">
        <f>AW$10</f>
        <v>locatie 4</v>
      </c>
      <c r="AX267" s="182"/>
      <c r="AY267" s="955" t="str">
        <f>$E267&amp;" per woning-/gebouwtype"</f>
        <v>warmte-/koudebehoefte ruimteverwarming [EP] per woning-/gebouwtype</v>
      </c>
      <c r="AZ267" s="945"/>
      <c r="BA267" s="945"/>
      <c r="BB267" s="945"/>
      <c r="BC267" s="945"/>
      <c r="BD267" s="945"/>
      <c r="BE267" s="945"/>
      <c r="BF267" s="945"/>
      <c r="BG267" s="257"/>
      <c r="BH267" s="1"/>
    </row>
    <row r="268" spans="1:60">
      <c r="A268" s="1040"/>
      <c r="B268" s="1109" t="s">
        <v>260</v>
      </c>
      <c r="C268" s="1106" t="s">
        <v>96</v>
      </c>
      <c r="D268" s="638"/>
      <c r="E268" s="942" t="str">
        <f>E267</f>
        <v>warmte-/koudebehoefte ruimteverwarming [EP]</v>
      </c>
      <c r="F268" s="942"/>
      <c r="G268" s="942"/>
      <c r="H268" s="942"/>
      <c r="I268" s="129"/>
      <c r="J268" s="943"/>
      <c r="K268" s="126"/>
      <c r="L268" s="126"/>
      <c r="M268" s="944"/>
      <c r="N268" s="195"/>
      <c r="O268" s="258" t="str">
        <f>O$17</f>
        <v/>
      </c>
      <c r="P268" s="258" t="str">
        <f t="shared" ref="P268:W268" si="220">P$17</f>
        <v/>
      </c>
      <c r="Q268" s="258" t="str">
        <f t="shared" si="220"/>
        <v/>
      </c>
      <c r="R268" s="258" t="str">
        <f t="shared" si="220"/>
        <v/>
      </c>
      <c r="S268" s="258" t="str">
        <f t="shared" si="220"/>
        <v/>
      </c>
      <c r="T268" s="258" t="str">
        <f t="shared" si="220"/>
        <v/>
      </c>
      <c r="U268" s="258" t="str">
        <f t="shared" si="220"/>
        <v/>
      </c>
      <c r="V268" s="258" t="str">
        <f t="shared" si="220"/>
        <v/>
      </c>
      <c r="W268" s="258" t="str">
        <f t="shared" si="220"/>
        <v/>
      </c>
      <c r="X268" s="195"/>
      <c r="Y268" s="944"/>
      <c r="Z268" s="195"/>
      <c r="AA268" s="258" t="str">
        <f>AA$17</f>
        <v/>
      </c>
      <c r="AB268" s="258" t="str">
        <f t="shared" ref="AB268:AI268" si="221">AB$17</f>
        <v/>
      </c>
      <c r="AC268" s="258" t="str">
        <f t="shared" si="221"/>
        <v/>
      </c>
      <c r="AD268" s="258" t="str">
        <f t="shared" si="221"/>
        <v/>
      </c>
      <c r="AE268" s="258" t="str">
        <f t="shared" si="221"/>
        <v/>
      </c>
      <c r="AF268" s="258" t="str">
        <f t="shared" si="221"/>
        <v/>
      </c>
      <c r="AG268" s="258" t="str">
        <f t="shared" si="221"/>
        <v/>
      </c>
      <c r="AH268" s="258" t="str">
        <f t="shared" si="221"/>
        <v/>
      </c>
      <c r="AI268" s="258" t="str">
        <f t="shared" si="221"/>
        <v/>
      </c>
      <c r="AJ268" s="195"/>
      <c r="AK268" s="944"/>
      <c r="AL268" s="195"/>
      <c r="AM268" s="258" t="str">
        <f>AM$17</f>
        <v/>
      </c>
      <c r="AN268" s="258" t="str">
        <f t="shared" ref="AN268:AU268" si="222">AN$17</f>
        <v/>
      </c>
      <c r="AO268" s="258" t="str">
        <f t="shared" si="222"/>
        <v/>
      </c>
      <c r="AP268" s="258" t="str">
        <f t="shared" si="222"/>
        <v/>
      </c>
      <c r="AQ268" s="258" t="str">
        <f t="shared" si="222"/>
        <v/>
      </c>
      <c r="AR268" s="258" t="str">
        <f t="shared" si="222"/>
        <v/>
      </c>
      <c r="AS268" s="258" t="str">
        <f t="shared" si="222"/>
        <v/>
      </c>
      <c r="AT268" s="258" t="str">
        <f t="shared" si="222"/>
        <v/>
      </c>
      <c r="AU268" s="258" t="str">
        <f t="shared" si="222"/>
        <v/>
      </c>
      <c r="AV268" s="195"/>
      <c r="AW268" s="944"/>
      <c r="AX268" s="195"/>
      <c r="AY268" s="258" t="str">
        <f>AY$17</f>
        <v/>
      </c>
      <c r="AZ268" s="258" t="str">
        <f t="shared" ref="AZ268:BG268" si="223">AZ$17</f>
        <v/>
      </c>
      <c r="BA268" s="258" t="str">
        <f t="shared" si="223"/>
        <v/>
      </c>
      <c r="BB268" s="258" t="str">
        <f t="shared" si="223"/>
        <v/>
      </c>
      <c r="BC268" s="258" t="str">
        <f t="shared" si="223"/>
        <v/>
      </c>
      <c r="BD268" s="258" t="str">
        <f t="shared" si="223"/>
        <v/>
      </c>
      <c r="BE268" s="258" t="str">
        <f t="shared" si="223"/>
        <v/>
      </c>
      <c r="BF268" s="258" t="str">
        <f t="shared" si="223"/>
        <v/>
      </c>
      <c r="BG268" s="258" t="str">
        <f t="shared" si="223"/>
        <v/>
      </c>
      <c r="BH268" s="36"/>
    </row>
    <row r="269" spans="1:60">
      <c r="A269" s="1040"/>
      <c r="B269" s="1109" t="s">
        <v>260</v>
      </c>
      <c r="C269" s="1107" t="s">
        <v>104</v>
      </c>
      <c r="D269" s="641"/>
      <c r="E269" s="180" t="s">
        <v>1159</v>
      </c>
      <c r="F269" s="180"/>
      <c r="G269" s="180"/>
      <c r="H269" s="201" t="s">
        <v>154</v>
      </c>
      <c r="I269" s="114"/>
      <c r="J269" s="190"/>
      <c r="K269" s="1092"/>
      <c r="L269" s="1092"/>
      <c r="M269" s="190"/>
      <c r="N269" s="119"/>
      <c r="O269" s="183" t="str">
        <f t="shared" ref="O269:W269" si="224">IF(O$17="","",O62)</f>
        <v/>
      </c>
      <c r="P269" s="183" t="str">
        <f t="shared" si="224"/>
        <v/>
      </c>
      <c r="Q269" s="183" t="str">
        <f t="shared" si="224"/>
        <v/>
      </c>
      <c r="R269" s="183" t="str">
        <f t="shared" si="224"/>
        <v/>
      </c>
      <c r="S269" s="183" t="str">
        <f t="shared" si="224"/>
        <v/>
      </c>
      <c r="T269" s="183" t="str">
        <f t="shared" si="224"/>
        <v/>
      </c>
      <c r="U269" s="183" t="str">
        <f t="shared" si="224"/>
        <v/>
      </c>
      <c r="V269" s="183" t="str">
        <f t="shared" si="224"/>
        <v/>
      </c>
      <c r="W269" s="183" t="str">
        <f t="shared" si="224"/>
        <v/>
      </c>
      <c r="X269" s="108"/>
      <c r="Y269" s="190"/>
      <c r="Z269" s="119"/>
      <c r="AA269" s="183" t="str">
        <f t="shared" ref="AA269:AI269" si="225">IF(AA$17="","",AA62)</f>
        <v/>
      </c>
      <c r="AB269" s="183" t="str">
        <f t="shared" si="225"/>
        <v/>
      </c>
      <c r="AC269" s="183" t="str">
        <f t="shared" si="225"/>
        <v/>
      </c>
      <c r="AD269" s="183" t="str">
        <f t="shared" si="225"/>
        <v/>
      </c>
      <c r="AE269" s="183" t="str">
        <f t="shared" si="225"/>
        <v/>
      </c>
      <c r="AF269" s="183" t="str">
        <f t="shared" si="225"/>
        <v/>
      </c>
      <c r="AG269" s="183" t="str">
        <f t="shared" si="225"/>
        <v/>
      </c>
      <c r="AH269" s="183" t="str">
        <f t="shared" si="225"/>
        <v/>
      </c>
      <c r="AI269" s="183" t="str">
        <f t="shared" si="225"/>
        <v/>
      </c>
      <c r="AJ269" s="108"/>
      <c r="AK269" s="190"/>
      <c r="AL269" s="119"/>
      <c r="AM269" s="183" t="str">
        <f t="shared" ref="AM269:AU269" si="226">IF(AM$17="","",AM62)</f>
        <v/>
      </c>
      <c r="AN269" s="183" t="str">
        <f t="shared" si="226"/>
        <v/>
      </c>
      <c r="AO269" s="183" t="str">
        <f t="shared" si="226"/>
        <v/>
      </c>
      <c r="AP269" s="183" t="str">
        <f t="shared" si="226"/>
        <v/>
      </c>
      <c r="AQ269" s="183" t="str">
        <f t="shared" si="226"/>
        <v/>
      </c>
      <c r="AR269" s="183" t="str">
        <f t="shared" si="226"/>
        <v/>
      </c>
      <c r="AS269" s="183" t="str">
        <f t="shared" si="226"/>
        <v/>
      </c>
      <c r="AT269" s="183" t="str">
        <f t="shared" si="226"/>
        <v/>
      </c>
      <c r="AU269" s="183" t="str">
        <f t="shared" si="226"/>
        <v/>
      </c>
      <c r="AV269" s="108"/>
      <c r="AW269" s="190"/>
      <c r="AX269" s="119"/>
      <c r="AY269" s="183" t="str">
        <f t="shared" ref="AY269:BG269" si="227">IF(AY$17="","",AY62)</f>
        <v/>
      </c>
      <c r="AZ269" s="183" t="str">
        <f t="shared" si="227"/>
        <v/>
      </c>
      <c r="BA269" s="183" t="str">
        <f t="shared" si="227"/>
        <v/>
      </c>
      <c r="BB269" s="183" t="str">
        <f t="shared" si="227"/>
        <v/>
      </c>
      <c r="BC269" s="183" t="str">
        <f t="shared" si="227"/>
        <v/>
      </c>
      <c r="BD269" s="183" t="str">
        <f t="shared" si="227"/>
        <v/>
      </c>
      <c r="BE269" s="183" t="str">
        <f t="shared" si="227"/>
        <v/>
      </c>
      <c r="BF269" s="183" t="str">
        <f t="shared" si="227"/>
        <v/>
      </c>
      <c r="BG269" s="183" t="str">
        <f t="shared" si="227"/>
        <v/>
      </c>
      <c r="BH269" s="210"/>
    </row>
    <row r="270" spans="1:60">
      <c r="A270" s="1040"/>
      <c r="B270" s="1109" t="s">
        <v>260</v>
      </c>
      <c r="C270" s="1107" t="s">
        <v>104</v>
      </c>
      <c r="D270" s="641"/>
      <c r="E270" s="180" t="s">
        <v>1160</v>
      </c>
      <c r="F270" s="180"/>
      <c r="G270" s="180"/>
      <c r="H270" s="201" t="s">
        <v>154</v>
      </c>
      <c r="I270" s="114"/>
      <c r="J270" s="190"/>
      <c r="K270" s="1092"/>
      <c r="L270" s="1092"/>
      <c r="M270" s="190"/>
      <c r="N270" s="119"/>
      <c r="O270" s="183" t="str">
        <f t="shared" ref="O270:W270" si="228">IF(O$17="","-",O64)</f>
        <v>-</v>
      </c>
      <c r="P270" s="183" t="str">
        <f t="shared" si="228"/>
        <v>-</v>
      </c>
      <c r="Q270" s="183" t="str">
        <f t="shared" si="228"/>
        <v>-</v>
      </c>
      <c r="R270" s="183" t="str">
        <f t="shared" si="228"/>
        <v>-</v>
      </c>
      <c r="S270" s="183" t="str">
        <f t="shared" si="228"/>
        <v>-</v>
      </c>
      <c r="T270" s="183" t="str">
        <f t="shared" si="228"/>
        <v>-</v>
      </c>
      <c r="U270" s="183" t="str">
        <f t="shared" si="228"/>
        <v>-</v>
      </c>
      <c r="V270" s="183" t="str">
        <f t="shared" si="228"/>
        <v>-</v>
      </c>
      <c r="W270" s="183" t="str">
        <f t="shared" si="228"/>
        <v>-</v>
      </c>
      <c r="X270" s="108"/>
      <c r="Y270" s="190"/>
      <c r="Z270" s="119"/>
      <c r="AA270" s="183" t="str">
        <f t="shared" ref="AA270:AI270" si="229">IF(AA$17="","-",AA64)</f>
        <v>-</v>
      </c>
      <c r="AB270" s="183" t="str">
        <f t="shared" si="229"/>
        <v>-</v>
      </c>
      <c r="AC270" s="183" t="str">
        <f t="shared" si="229"/>
        <v>-</v>
      </c>
      <c r="AD270" s="183" t="str">
        <f t="shared" si="229"/>
        <v>-</v>
      </c>
      <c r="AE270" s="183" t="str">
        <f t="shared" si="229"/>
        <v>-</v>
      </c>
      <c r="AF270" s="183" t="str">
        <f t="shared" si="229"/>
        <v>-</v>
      </c>
      <c r="AG270" s="183" t="str">
        <f t="shared" si="229"/>
        <v>-</v>
      </c>
      <c r="AH270" s="183" t="str">
        <f t="shared" si="229"/>
        <v>-</v>
      </c>
      <c r="AI270" s="183" t="str">
        <f t="shared" si="229"/>
        <v>-</v>
      </c>
      <c r="AJ270" s="108"/>
      <c r="AK270" s="190"/>
      <c r="AL270" s="119"/>
      <c r="AM270" s="183" t="str">
        <f t="shared" ref="AM270:AU270" si="230">IF(AM$17="","-",AM64)</f>
        <v>-</v>
      </c>
      <c r="AN270" s="183" t="str">
        <f t="shared" si="230"/>
        <v>-</v>
      </c>
      <c r="AO270" s="183" t="str">
        <f t="shared" si="230"/>
        <v>-</v>
      </c>
      <c r="AP270" s="183" t="str">
        <f t="shared" si="230"/>
        <v>-</v>
      </c>
      <c r="AQ270" s="183" t="str">
        <f t="shared" si="230"/>
        <v>-</v>
      </c>
      <c r="AR270" s="183" t="str">
        <f t="shared" si="230"/>
        <v>-</v>
      </c>
      <c r="AS270" s="183" t="str">
        <f t="shared" si="230"/>
        <v>-</v>
      </c>
      <c r="AT270" s="183" t="str">
        <f t="shared" si="230"/>
        <v>-</v>
      </c>
      <c r="AU270" s="183" t="str">
        <f t="shared" si="230"/>
        <v>-</v>
      </c>
      <c r="AV270" s="108"/>
      <c r="AW270" s="190"/>
      <c r="AX270" s="119"/>
      <c r="AY270" s="183" t="str">
        <f t="shared" ref="AY270:BG270" si="231">IF(AY$17="","-",AY64)</f>
        <v>-</v>
      </c>
      <c r="AZ270" s="183" t="str">
        <f t="shared" si="231"/>
        <v>-</v>
      </c>
      <c r="BA270" s="183" t="str">
        <f t="shared" si="231"/>
        <v>-</v>
      </c>
      <c r="BB270" s="183" t="str">
        <f t="shared" si="231"/>
        <v>-</v>
      </c>
      <c r="BC270" s="183" t="str">
        <f t="shared" si="231"/>
        <v>-</v>
      </c>
      <c r="BD270" s="183" t="str">
        <f t="shared" si="231"/>
        <v>-</v>
      </c>
      <c r="BE270" s="183" t="str">
        <f t="shared" si="231"/>
        <v>-</v>
      </c>
      <c r="BF270" s="183" t="str">
        <f t="shared" si="231"/>
        <v>-</v>
      </c>
      <c r="BG270" s="183" t="str">
        <f t="shared" si="231"/>
        <v>-</v>
      </c>
      <c r="BH270" s="210"/>
    </row>
    <row r="271" spans="1:60">
      <c r="A271" s="1040"/>
      <c r="B271" s="1109" t="s">
        <v>260</v>
      </c>
      <c r="C271" s="1106" t="s">
        <v>96</v>
      </c>
      <c r="D271" s="638"/>
      <c r="E271" s="79"/>
      <c r="F271" s="79"/>
      <c r="G271" s="79"/>
      <c r="H271" s="85"/>
      <c r="I271" s="79"/>
      <c r="J271" s="82"/>
      <c r="K271" s="79"/>
      <c r="L271" s="79"/>
      <c r="M271" s="82"/>
      <c r="N271" s="79"/>
      <c r="O271" s="81"/>
      <c r="P271" s="82"/>
      <c r="Q271" s="82"/>
      <c r="R271" s="82"/>
      <c r="S271" s="82"/>
      <c r="T271" s="82"/>
      <c r="U271" s="82"/>
      <c r="V271" s="82"/>
      <c r="W271" s="82"/>
      <c r="X271" s="82"/>
      <c r="Y271" s="82"/>
      <c r="Z271" s="79"/>
      <c r="AA271" s="79"/>
      <c r="AB271" s="79"/>
      <c r="AC271" s="79"/>
      <c r="AD271" s="79"/>
      <c r="AE271" s="79"/>
      <c r="AF271" s="79"/>
      <c r="AG271" s="79"/>
      <c r="AH271" s="79"/>
      <c r="AI271" s="79"/>
      <c r="AJ271" s="82"/>
      <c r="AK271" s="82"/>
      <c r="AL271" s="79"/>
      <c r="AM271" s="82"/>
      <c r="AN271" s="82"/>
      <c r="AO271" s="82"/>
      <c r="AP271" s="82"/>
      <c r="AQ271" s="82"/>
      <c r="AR271" s="82"/>
      <c r="AS271" s="82"/>
      <c r="AT271" s="82"/>
      <c r="AU271" s="82"/>
      <c r="AV271" s="82"/>
      <c r="AW271" s="82"/>
      <c r="AX271" s="79"/>
      <c r="AY271" s="82"/>
      <c r="AZ271" s="82"/>
      <c r="BA271" s="82"/>
      <c r="BB271" s="82"/>
      <c r="BC271" s="82"/>
      <c r="BD271" s="82"/>
      <c r="BE271" s="82"/>
      <c r="BF271" s="82"/>
      <c r="BG271" s="82"/>
      <c r="BH271" s="1"/>
    </row>
    <row r="272" spans="1:60" hidden="1">
      <c r="A272" s="1040"/>
      <c r="B272" s="1109" t="s">
        <v>261</v>
      </c>
      <c r="C272" s="1106" t="s">
        <v>262</v>
      </c>
      <c r="D272" s="638"/>
      <c r="E272" s="79"/>
      <c r="F272" s="79"/>
      <c r="G272" s="79"/>
      <c r="H272" s="85"/>
      <c r="I272" s="79"/>
      <c r="J272" s="82"/>
      <c r="K272" s="79"/>
      <c r="L272" s="79"/>
      <c r="M272" s="82"/>
      <c r="N272" s="79"/>
      <c r="O272" s="82"/>
      <c r="P272" s="82"/>
      <c r="Q272" s="82"/>
      <c r="R272" s="82"/>
      <c r="S272" s="82"/>
      <c r="T272" s="82"/>
      <c r="U272" s="82"/>
      <c r="V272" s="82"/>
      <c r="W272" s="82"/>
      <c r="X272" s="82"/>
      <c r="Y272" s="82"/>
      <c r="Z272" s="79"/>
      <c r="AA272" s="82"/>
      <c r="AB272" s="82"/>
      <c r="AC272" s="82"/>
      <c r="AD272" s="82"/>
      <c r="AE272" s="82"/>
      <c r="AF272" s="82"/>
      <c r="AG272" s="82"/>
      <c r="AH272" s="82"/>
      <c r="AI272" s="82"/>
      <c r="AJ272" s="82"/>
      <c r="AK272" s="82"/>
      <c r="AL272" s="79"/>
      <c r="AM272" s="82"/>
      <c r="AN272" s="82"/>
      <c r="AO272" s="82"/>
      <c r="AP272" s="82"/>
      <c r="AQ272" s="82"/>
      <c r="AR272" s="82"/>
      <c r="AS272" s="82"/>
      <c r="AT272" s="82"/>
      <c r="AU272" s="82"/>
      <c r="AV272" s="82"/>
      <c r="AW272" s="82"/>
      <c r="AX272" s="79"/>
      <c r="AY272" s="82"/>
      <c r="AZ272" s="82"/>
      <c r="BA272" s="82"/>
      <c r="BB272" s="82"/>
      <c r="BC272" s="82"/>
      <c r="BD272" s="82"/>
      <c r="BE272" s="82"/>
      <c r="BF272" s="82"/>
      <c r="BG272" s="82"/>
      <c r="BH272" s="1"/>
    </row>
    <row r="273" spans="1:60" s="2" customFormat="1" ht="21" hidden="1">
      <c r="A273" s="1038"/>
      <c r="B273" s="1109" t="s">
        <v>261</v>
      </c>
      <c r="C273" s="1106" t="s">
        <v>262</v>
      </c>
      <c r="D273" s="640"/>
      <c r="E273" s="209" t="s">
        <v>263</v>
      </c>
      <c r="F273" s="209"/>
      <c r="G273" s="209"/>
      <c r="H273" s="209"/>
      <c r="I273" s="129"/>
      <c r="J273" s="256" t="str">
        <f>J$10</f>
        <v>alle locaties</v>
      </c>
      <c r="K273" s="126"/>
      <c r="L273" s="126"/>
      <c r="M273" s="256" t="str">
        <f>M$10</f>
        <v>locatie 1</v>
      </c>
      <c r="N273" s="182"/>
      <c r="O273" s="955" t="s">
        <v>1161</v>
      </c>
      <c r="P273" s="945"/>
      <c r="Q273" s="945"/>
      <c r="R273" s="945"/>
      <c r="S273" s="945"/>
      <c r="T273" s="945"/>
      <c r="U273" s="945"/>
      <c r="V273" s="945"/>
      <c r="W273" s="257"/>
      <c r="X273" s="174"/>
      <c r="Y273" s="256" t="str">
        <f>Y$10</f>
        <v>locatie 2</v>
      </c>
      <c r="Z273" s="182"/>
      <c r="AA273" s="955" t="s">
        <v>1161</v>
      </c>
      <c r="AB273" s="945"/>
      <c r="AC273" s="945"/>
      <c r="AD273" s="945"/>
      <c r="AE273" s="945"/>
      <c r="AF273" s="945"/>
      <c r="AG273" s="945"/>
      <c r="AH273" s="945"/>
      <c r="AI273" s="257"/>
      <c r="AJ273" s="174"/>
      <c r="AK273" s="256" t="str">
        <f>AK$10</f>
        <v>locatie 3</v>
      </c>
      <c r="AL273" s="182"/>
      <c r="AM273" s="955" t="s">
        <v>1161</v>
      </c>
      <c r="AN273" s="945"/>
      <c r="AO273" s="945"/>
      <c r="AP273" s="945"/>
      <c r="AQ273" s="945"/>
      <c r="AR273" s="945"/>
      <c r="AS273" s="945"/>
      <c r="AT273" s="945"/>
      <c r="AU273" s="257"/>
      <c r="AV273" s="174"/>
      <c r="AW273" s="256" t="str">
        <f>AW$10</f>
        <v>locatie 4</v>
      </c>
      <c r="AX273" s="182"/>
      <c r="AY273" s="955" t="s">
        <v>1161</v>
      </c>
      <c r="AZ273" s="945"/>
      <c r="BA273" s="945"/>
      <c r="BB273" s="945"/>
      <c r="BC273" s="945"/>
      <c r="BD273" s="945"/>
      <c r="BE273" s="945"/>
      <c r="BF273" s="945"/>
      <c r="BG273" s="257"/>
      <c r="BH273" s="1"/>
    </row>
    <row r="274" spans="1:60" hidden="1">
      <c r="A274" s="1040"/>
      <c r="B274" s="1109" t="s">
        <v>261</v>
      </c>
      <c r="C274" s="1106" t="s">
        <v>262</v>
      </c>
      <c r="D274" s="638"/>
      <c r="E274" s="942" t="s">
        <v>1317</v>
      </c>
      <c r="F274" s="942"/>
      <c r="G274" s="942"/>
      <c r="H274" s="942"/>
      <c r="I274" s="129"/>
      <c r="J274" s="943"/>
      <c r="K274" s="126"/>
      <c r="L274" s="126"/>
      <c r="M274" s="944"/>
      <c r="N274" s="195"/>
      <c r="O274" s="258" t="str">
        <f>O$17</f>
        <v/>
      </c>
      <c r="P274" s="258" t="str">
        <f t="shared" ref="P274:W274" si="232">P$17</f>
        <v/>
      </c>
      <c r="Q274" s="258" t="str">
        <f t="shared" si="232"/>
        <v/>
      </c>
      <c r="R274" s="258" t="str">
        <f t="shared" si="232"/>
        <v/>
      </c>
      <c r="S274" s="258" t="str">
        <f t="shared" si="232"/>
        <v/>
      </c>
      <c r="T274" s="258" t="str">
        <f t="shared" si="232"/>
        <v/>
      </c>
      <c r="U274" s="258" t="str">
        <f t="shared" si="232"/>
        <v/>
      </c>
      <c r="V274" s="258" t="str">
        <f t="shared" si="232"/>
        <v/>
      </c>
      <c r="W274" s="258" t="str">
        <f t="shared" si="232"/>
        <v/>
      </c>
      <c r="X274" s="195"/>
      <c r="Y274" s="944"/>
      <c r="Z274" s="195"/>
      <c r="AA274" s="258" t="str">
        <f>AA$17</f>
        <v/>
      </c>
      <c r="AB274" s="258" t="str">
        <f t="shared" ref="AB274:AI274" si="233">AB$17</f>
        <v/>
      </c>
      <c r="AC274" s="258" t="str">
        <f t="shared" si="233"/>
        <v/>
      </c>
      <c r="AD274" s="258" t="str">
        <f t="shared" si="233"/>
        <v/>
      </c>
      <c r="AE274" s="258" t="str">
        <f t="shared" si="233"/>
        <v/>
      </c>
      <c r="AF274" s="258" t="str">
        <f t="shared" si="233"/>
        <v/>
      </c>
      <c r="AG274" s="258" t="str">
        <f t="shared" si="233"/>
        <v/>
      </c>
      <c r="AH274" s="258" t="str">
        <f t="shared" si="233"/>
        <v/>
      </c>
      <c r="AI274" s="258" t="str">
        <f t="shared" si="233"/>
        <v/>
      </c>
      <c r="AJ274" s="195"/>
      <c r="AK274" s="944"/>
      <c r="AL274" s="195"/>
      <c r="AM274" s="258" t="str">
        <f>AM$17</f>
        <v/>
      </c>
      <c r="AN274" s="258" t="str">
        <f t="shared" ref="AN274:AU274" si="234">AN$17</f>
        <v/>
      </c>
      <c r="AO274" s="258" t="str">
        <f t="shared" si="234"/>
        <v/>
      </c>
      <c r="AP274" s="258" t="str">
        <f t="shared" si="234"/>
        <v/>
      </c>
      <c r="AQ274" s="258" t="str">
        <f t="shared" si="234"/>
        <v/>
      </c>
      <c r="AR274" s="258" t="str">
        <f t="shared" si="234"/>
        <v/>
      </c>
      <c r="AS274" s="258" t="str">
        <f t="shared" si="234"/>
        <v/>
      </c>
      <c r="AT274" s="258" t="str">
        <f t="shared" si="234"/>
        <v/>
      </c>
      <c r="AU274" s="258" t="str">
        <f t="shared" si="234"/>
        <v/>
      </c>
      <c r="AV274" s="195"/>
      <c r="AW274" s="944"/>
      <c r="AX274" s="195"/>
      <c r="AY274" s="258" t="str">
        <f>AY$17</f>
        <v/>
      </c>
      <c r="AZ274" s="258" t="str">
        <f t="shared" ref="AZ274:BG274" si="235">AZ$17</f>
        <v/>
      </c>
      <c r="BA274" s="258" t="str">
        <f t="shared" si="235"/>
        <v/>
      </c>
      <c r="BB274" s="258" t="str">
        <f t="shared" si="235"/>
        <v/>
      </c>
      <c r="BC274" s="258" t="str">
        <f t="shared" si="235"/>
        <v/>
      </c>
      <c r="BD274" s="258" t="str">
        <f t="shared" si="235"/>
        <v/>
      </c>
      <c r="BE274" s="258" t="str">
        <f t="shared" si="235"/>
        <v/>
      </c>
      <c r="BF274" s="258" t="str">
        <f t="shared" si="235"/>
        <v/>
      </c>
      <c r="BG274" s="258" t="str">
        <f t="shared" si="235"/>
        <v/>
      </c>
      <c r="BH274" s="36"/>
    </row>
    <row r="275" spans="1:60" hidden="1">
      <c r="A275" s="1040"/>
      <c r="B275" s="1109" t="s">
        <v>261</v>
      </c>
      <c r="C275" s="1106" t="s">
        <v>262</v>
      </c>
      <c r="D275" s="641" t="s">
        <v>45</v>
      </c>
      <c r="E275" s="180" t="s">
        <v>264</v>
      </c>
      <c r="F275" s="180"/>
      <c r="G275" s="180"/>
      <c r="H275" s="201" t="s">
        <v>65</v>
      </c>
      <c r="I275" s="114"/>
      <c r="J275" s="190"/>
      <c r="K275" s="195"/>
      <c r="L275" s="195"/>
      <c r="M275" s="357">
        <f>SUM(N275:X275)</f>
        <v>0</v>
      </c>
      <c r="N275" s="358"/>
      <c r="O275" s="228">
        <f t="shared" ref="O275:W275" si="236">IF(OR(O$17="",$M62=0),0,O$30*O62/$M62/1000)</f>
        <v>0</v>
      </c>
      <c r="P275" s="228">
        <f t="shared" si="236"/>
        <v>0</v>
      </c>
      <c r="Q275" s="228">
        <f t="shared" si="236"/>
        <v>0</v>
      </c>
      <c r="R275" s="228">
        <f t="shared" si="236"/>
        <v>0</v>
      </c>
      <c r="S275" s="228">
        <f t="shared" si="236"/>
        <v>0</v>
      </c>
      <c r="T275" s="228">
        <f t="shared" si="236"/>
        <v>0</v>
      </c>
      <c r="U275" s="228">
        <f t="shared" si="236"/>
        <v>0</v>
      </c>
      <c r="V275" s="228">
        <f t="shared" si="236"/>
        <v>0</v>
      </c>
      <c r="W275" s="228">
        <f t="shared" si="236"/>
        <v>0</v>
      </c>
      <c r="X275" s="356"/>
      <c r="Y275" s="357">
        <f>SUM(Z275:AJ275)</f>
        <v>0</v>
      </c>
      <c r="Z275" s="358"/>
      <c r="AA275" s="228">
        <f t="shared" ref="AA275:AI275" si="237">IF(OR(AA$17="",$Y62=0),0,AA$30*AA62/$Y62/1000)</f>
        <v>0</v>
      </c>
      <c r="AB275" s="228">
        <f t="shared" si="237"/>
        <v>0</v>
      </c>
      <c r="AC275" s="228">
        <f t="shared" si="237"/>
        <v>0</v>
      </c>
      <c r="AD275" s="228">
        <f t="shared" si="237"/>
        <v>0</v>
      </c>
      <c r="AE275" s="228">
        <f t="shared" si="237"/>
        <v>0</v>
      </c>
      <c r="AF275" s="228">
        <f t="shared" si="237"/>
        <v>0</v>
      </c>
      <c r="AG275" s="228">
        <f t="shared" si="237"/>
        <v>0</v>
      </c>
      <c r="AH275" s="228">
        <f t="shared" si="237"/>
        <v>0</v>
      </c>
      <c r="AI275" s="228">
        <f t="shared" si="237"/>
        <v>0</v>
      </c>
      <c r="AJ275" s="356"/>
      <c r="AK275" s="357">
        <f>SUM(AL275:AV275)</f>
        <v>0</v>
      </c>
      <c r="AL275" s="358"/>
      <c r="AM275" s="228">
        <f t="shared" ref="AM275:AU275" si="238">IF(OR(AM$17="",$AK62=0),0,AM$30*AM62/$AK62/1000)</f>
        <v>0</v>
      </c>
      <c r="AN275" s="228">
        <f t="shared" si="238"/>
        <v>0</v>
      </c>
      <c r="AO275" s="228">
        <f t="shared" si="238"/>
        <v>0</v>
      </c>
      <c r="AP275" s="228">
        <f t="shared" si="238"/>
        <v>0</v>
      </c>
      <c r="AQ275" s="228">
        <f t="shared" si="238"/>
        <v>0</v>
      </c>
      <c r="AR275" s="228">
        <f t="shared" si="238"/>
        <v>0</v>
      </c>
      <c r="AS275" s="228">
        <f t="shared" si="238"/>
        <v>0</v>
      </c>
      <c r="AT275" s="228">
        <f t="shared" si="238"/>
        <v>0</v>
      </c>
      <c r="AU275" s="228">
        <f t="shared" si="238"/>
        <v>0</v>
      </c>
      <c r="AV275" s="356"/>
      <c r="AW275" s="357">
        <f>SUM(AX275:BH275)</f>
        <v>0</v>
      </c>
      <c r="AX275" s="358"/>
      <c r="AY275" s="228">
        <f t="shared" ref="AY275:BG275" si="239">IF(OR(AY$17="",$AW62=0),0,AY$30*AY62/$AW62/1000)</f>
        <v>0</v>
      </c>
      <c r="AZ275" s="228">
        <f t="shared" si="239"/>
        <v>0</v>
      </c>
      <c r="BA275" s="228">
        <f t="shared" si="239"/>
        <v>0</v>
      </c>
      <c r="BB275" s="228">
        <f t="shared" si="239"/>
        <v>0</v>
      </c>
      <c r="BC275" s="228">
        <f t="shared" si="239"/>
        <v>0</v>
      </c>
      <c r="BD275" s="228">
        <f t="shared" si="239"/>
        <v>0</v>
      </c>
      <c r="BE275" s="228">
        <f t="shared" si="239"/>
        <v>0</v>
      </c>
      <c r="BF275" s="228">
        <f t="shared" si="239"/>
        <v>0</v>
      </c>
      <c r="BG275" s="228">
        <f t="shared" si="239"/>
        <v>0</v>
      </c>
      <c r="BH275" s="210"/>
    </row>
    <row r="276" spans="1:60" hidden="1">
      <c r="A276" s="1040"/>
      <c r="B276" s="1109" t="s">
        <v>261</v>
      </c>
      <c r="C276" s="1106" t="s">
        <v>262</v>
      </c>
      <c r="D276" s="638"/>
      <c r="E276" s="180" t="s">
        <v>265</v>
      </c>
      <c r="F276" s="180"/>
      <c r="G276" s="180"/>
      <c r="H276" s="201" t="s">
        <v>65</v>
      </c>
      <c r="I276" s="114"/>
      <c r="J276" s="190"/>
      <c r="K276" s="195"/>
      <c r="L276" s="195"/>
      <c r="M276" s="357">
        <f>SUM(N276:X276)</f>
        <v>0</v>
      </c>
      <c r="N276" s="358"/>
      <c r="O276" s="228">
        <f t="shared" ref="O276:W276" si="240">IF(OR(O$17="",$M64=0),0,O$30*O64/$M64/1000)</f>
        <v>0</v>
      </c>
      <c r="P276" s="228">
        <f t="shared" si="240"/>
        <v>0</v>
      </c>
      <c r="Q276" s="228">
        <f t="shared" si="240"/>
        <v>0</v>
      </c>
      <c r="R276" s="228">
        <f t="shared" si="240"/>
        <v>0</v>
      </c>
      <c r="S276" s="228">
        <f t="shared" si="240"/>
        <v>0</v>
      </c>
      <c r="T276" s="228">
        <f t="shared" si="240"/>
        <v>0</v>
      </c>
      <c r="U276" s="228">
        <f t="shared" si="240"/>
        <v>0</v>
      </c>
      <c r="V276" s="228">
        <f t="shared" si="240"/>
        <v>0</v>
      </c>
      <c r="W276" s="228">
        <f t="shared" si="240"/>
        <v>0</v>
      </c>
      <c r="X276" s="356"/>
      <c r="Y276" s="357">
        <f>SUM(Z276:AJ276)</f>
        <v>0</v>
      </c>
      <c r="Z276" s="358"/>
      <c r="AA276" s="228">
        <f t="shared" ref="AA276:AI276" si="241">IF(OR(AA$17="",$Y64=0),0,AA$30*AA64/$Y64/1000)</f>
        <v>0</v>
      </c>
      <c r="AB276" s="228">
        <f t="shared" si="241"/>
        <v>0</v>
      </c>
      <c r="AC276" s="228">
        <f t="shared" si="241"/>
        <v>0</v>
      </c>
      <c r="AD276" s="228">
        <f t="shared" si="241"/>
        <v>0</v>
      </c>
      <c r="AE276" s="228">
        <f t="shared" si="241"/>
        <v>0</v>
      </c>
      <c r="AF276" s="228">
        <f t="shared" si="241"/>
        <v>0</v>
      </c>
      <c r="AG276" s="228">
        <f t="shared" si="241"/>
        <v>0</v>
      </c>
      <c r="AH276" s="228">
        <f t="shared" si="241"/>
        <v>0</v>
      </c>
      <c r="AI276" s="228">
        <f t="shared" si="241"/>
        <v>0</v>
      </c>
      <c r="AJ276" s="356"/>
      <c r="AK276" s="357">
        <f>SUM(AL276:AV276)</f>
        <v>0</v>
      </c>
      <c r="AL276" s="358"/>
      <c r="AM276" s="228">
        <f t="shared" ref="AM276:AU276" si="242">IF(OR(AM$17="",$AK64=0),0,AM$30*AM64/$AK64/1000)</f>
        <v>0</v>
      </c>
      <c r="AN276" s="228">
        <f t="shared" si="242"/>
        <v>0</v>
      </c>
      <c r="AO276" s="228">
        <f t="shared" si="242"/>
        <v>0</v>
      </c>
      <c r="AP276" s="228">
        <f t="shared" si="242"/>
        <v>0</v>
      </c>
      <c r="AQ276" s="228">
        <f t="shared" si="242"/>
        <v>0</v>
      </c>
      <c r="AR276" s="228">
        <f t="shared" si="242"/>
        <v>0</v>
      </c>
      <c r="AS276" s="228">
        <f t="shared" si="242"/>
        <v>0</v>
      </c>
      <c r="AT276" s="228">
        <f t="shared" si="242"/>
        <v>0</v>
      </c>
      <c r="AU276" s="228">
        <f t="shared" si="242"/>
        <v>0</v>
      </c>
      <c r="AV276" s="356"/>
      <c r="AW276" s="357">
        <f>SUM(AX276:BH276)</f>
        <v>0</v>
      </c>
      <c r="AX276" s="358"/>
      <c r="AY276" s="228">
        <f t="shared" ref="AY276:BG276" si="243">IF(OR(AY$17="",$AW64=0),0,AY$30*AY64/$AW64/1000)</f>
        <v>0</v>
      </c>
      <c r="AZ276" s="228">
        <f t="shared" si="243"/>
        <v>0</v>
      </c>
      <c r="BA276" s="228">
        <f t="shared" si="243"/>
        <v>0</v>
      </c>
      <c r="BB276" s="228">
        <f t="shared" si="243"/>
        <v>0</v>
      </c>
      <c r="BC276" s="228">
        <f t="shared" si="243"/>
        <v>0</v>
      </c>
      <c r="BD276" s="228">
        <f t="shared" si="243"/>
        <v>0</v>
      </c>
      <c r="BE276" s="228">
        <f t="shared" si="243"/>
        <v>0</v>
      </c>
      <c r="BF276" s="228">
        <f t="shared" si="243"/>
        <v>0</v>
      </c>
      <c r="BG276" s="228">
        <f t="shared" si="243"/>
        <v>0</v>
      </c>
      <c r="BH276" s="210"/>
    </row>
    <row r="277" spans="1:60" hidden="1">
      <c r="A277" s="1040"/>
      <c r="B277" s="1109" t="s">
        <v>261</v>
      </c>
      <c r="C277" s="1106" t="s">
        <v>262</v>
      </c>
      <c r="D277" s="638"/>
      <c r="E277" s="180" t="s">
        <v>266</v>
      </c>
      <c r="F277" s="180"/>
      <c r="G277" s="180"/>
      <c r="H277" s="201" t="s">
        <v>65</v>
      </c>
      <c r="I277" s="114"/>
      <c r="J277" s="190"/>
      <c r="K277" s="195"/>
      <c r="L277" s="195"/>
      <c r="M277" s="357">
        <f>SUM(N277:X277)</f>
        <v>0</v>
      </c>
      <c r="N277" s="358"/>
      <c r="O277" s="228">
        <f t="shared" ref="O277:W277" si="244">IF(OR(O$17="",$M$65=0),0,O$30*O65/$M65/1000)</f>
        <v>0</v>
      </c>
      <c r="P277" s="228">
        <f t="shared" si="244"/>
        <v>0</v>
      </c>
      <c r="Q277" s="228">
        <f t="shared" si="244"/>
        <v>0</v>
      </c>
      <c r="R277" s="228">
        <f t="shared" si="244"/>
        <v>0</v>
      </c>
      <c r="S277" s="228">
        <f t="shared" si="244"/>
        <v>0</v>
      </c>
      <c r="T277" s="228">
        <f t="shared" si="244"/>
        <v>0</v>
      </c>
      <c r="U277" s="228">
        <f t="shared" si="244"/>
        <v>0</v>
      </c>
      <c r="V277" s="228">
        <f t="shared" si="244"/>
        <v>0</v>
      </c>
      <c r="W277" s="228">
        <f t="shared" si="244"/>
        <v>0</v>
      </c>
      <c r="X277" s="356"/>
      <c r="Y277" s="357">
        <f>SUM(Z277:AJ277)</f>
        <v>0</v>
      </c>
      <c r="Z277" s="358"/>
      <c r="AA277" s="228">
        <f t="shared" ref="AA277:AI277" si="245">IF(OR(AA$17="",$Y$65=0),0,AA$30*AA65/$Y65/1000)</f>
        <v>0</v>
      </c>
      <c r="AB277" s="228">
        <f t="shared" si="245"/>
        <v>0</v>
      </c>
      <c r="AC277" s="228">
        <f t="shared" si="245"/>
        <v>0</v>
      </c>
      <c r="AD277" s="228">
        <f t="shared" si="245"/>
        <v>0</v>
      </c>
      <c r="AE277" s="228">
        <f t="shared" si="245"/>
        <v>0</v>
      </c>
      <c r="AF277" s="228">
        <f t="shared" si="245"/>
        <v>0</v>
      </c>
      <c r="AG277" s="228">
        <f t="shared" si="245"/>
        <v>0</v>
      </c>
      <c r="AH277" s="228">
        <f t="shared" si="245"/>
        <v>0</v>
      </c>
      <c r="AI277" s="228">
        <f t="shared" si="245"/>
        <v>0</v>
      </c>
      <c r="AJ277" s="356"/>
      <c r="AK277" s="357">
        <f>SUM(AL277:AV277)</f>
        <v>0</v>
      </c>
      <c r="AL277" s="358"/>
      <c r="AM277" s="228">
        <f t="shared" ref="AM277:AU277" si="246">IF(OR(AM$17="",$AK$65=0),0,AM$30*AM65/$AK65/1000)</f>
        <v>0</v>
      </c>
      <c r="AN277" s="228">
        <f t="shared" si="246"/>
        <v>0</v>
      </c>
      <c r="AO277" s="228">
        <f t="shared" si="246"/>
        <v>0</v>
      </c>
      <c r="AP277" s="228">
        <f t="shared" si="246"/>
        <v>0</v>
      </c>
      <c r="AQ277" s="228">
        <f t="shared" si="246"/>
        <v>0</v>
      </c>
      <c r="AR277" s="228">
        <f t="shared" si="246"/>
        <v>0</v>
      </c>
      <c r="AS277" s="228">
        <f t="shared" si="246"/>
        <v>0</v>
      </c>
      <c r="AT277" s="228">
        <f t="shared" si="246"/>
        <v>0</v>
      </c>
      <c r="AU277" s="228">
        <f t="shared" si="246"/>
        <v>0</v>
      </c>
      <c r="AV277" s="356"/>
      <c r="AW277" s="357">
        <f>SUM(AX277:BH277)</f>
        <v>0</v>
      </c>
      <c r="AX277" s="358"/>
      <c r="AY277" s="228">
        <f t="shared" ref="AY277:BG277" si="247">IF(OR(AY$17="",$AW$65=0),0,AY$30*AY65/$AW65/1000)</f>
        <v>0</v>
      </c>
      <c r="AZ277" s="228">
        <f t="shared" si="247"/>
        <v>0</v>
      </c>
      <c r="BA277" s="228">
        <f t="shared" si="247"/>
        <v>0</v>
      </c>
      <c r="BB277" s="228">
        <f t="shared" si="247"/>
        <v>0</v>
      </c>
      <c r="BC277" s="228">
        <f t="shared" si="247"/>
        <v>0</v>
      </c>
      <c r="BD277" s="228">
        <f t="shared" si="247"/>
        <v>0</v>
      </c>
      <c r="BE277" s="228">
        <f t="shared" si="247"/>
        <v>0</v>
      </c>
      <c r="BF277" s="228">
        <f t="shared" si="247"/>
        <v>0</v>
      </c>
      <c r="BG277" s="228">
        <f t="shared" si="247"/>
        <v>0</v>
      </c>
      <c r="BH277" s="210"/>
    </row>
    <row r="278" spans="1:60" hidden="1">
      <c r="A278" s="1040"/>
      <c r="B278" s="1109" t="s">
        <v>261</v>
      </c>
      <c r="C278" s="1106" t="s">
        <v>262</v>
      </c>
      <c r="D278" s="638"/>
      <c r="E278" s="79"/>
      <c r="F278" s="79"/>
      <c r="G278" s="79"/>
      <c r="H278" s="85"/>
      <c r="I278" s="79"/>
      <c r="J278" s="82"/>
      <c r="K278" s="79"/>
      <c r="L278" s="79"/>
      <c r="M278" s="82"/>
      <c r="N278" s="79"/>
      <c r="O278" s="81"/>
      <c r="P278" s="82"/>
      <c r="Q278" s="82"/>
      <c r="R278" s="82"/>
      <c r="S278" s="82"/>
      <c r="T278" s="82"/>
      <c r="U278" s="82"/>
      <c r="V278" s="82"/>
      <c r="W278" s="82"/>
      <c r="X278" s="82"/>
      <c r="Y278" s="82"/>
      <c r="Z278" s="79"/>
      <c r="AA278" s="79"/>
      <c r="AB278" s="79"/>
      <c r="AC278" s="79"/>
      <c r="AD278" s="79"/>
      <c r="AE278" s="79"/>
      <c r="AF278" s="79"/>
      <c r="AG278" s="79"/>
      <c r="AH278" s="79"/>
      <c r="AI278" s="79"/>
      <c r="AJ278" s="82"/>
      <c r="AK278" s="82"/>
      <c r="AL278" s="79"/>
      <c r="AM278" s="82"/>
      <c r="AN278" s="82"/>
      <c r="AO278" s="82"/>
      <c r="AP278" s="82"/>
      <c r="AQ278" s="82"/>
      <c r="AR278" s="82"/>
      <c r="AS278" s="82"/>
      <c r="AT278" s="82"/>
      <c r="AU278" s="82"/>
      <c r="AV278" s="82"/>
      <c r="AW278" s="82"/>
      <c r="AX278" s="79"/>
      <c r="AY278" s="82"/>
      <c r="AZ278" s="82"/>
      <c r="BA278" s="82"/>
      <c r="BB278" s="82"/>
      <c r="BC278" s="82"/>
      <c r="BD278" s="82"/>
      <c r="BE278" s="82"/>
      <c r="BF278" s="82"/>
      <c r="BG278" s="82"/>
      <c r="BH278" s="1"/>
    </row>
    <row r="279" spans="1:60">
      <c r="A279" s="1040"/>
      <c r="B279" s="1109" t="s">
        <v>1219</v>
      </c>
      <c r="C279" s="1107" t="s">
        <v>96</v>
      </c>
      <c r="D279" s="638"/>
      <c r="E279" s="79"/>
      <c r="F279" s="79"/>
      <c r="G279" s="79"/>
      <c r="H279" s="85"/>
      <c r="I279" s="79"/>
      <c r="J279" s="82"/>
      <c r="K279" s="79"/>
      <c r="L279" s="79"/>
      <c r="M279" s="82"/>
      <c r="N279" s="79"/>
      <c r="O279" s="82"/>
      <c r="P279" s="1098"/>
      <c r="Q279" s="82"/>
      <c r="R279" s="82"/>
      <c r="S279" s="82"/>
      <c r="T279" s="82"/>
      <c r="U279" s="82"/>
      <c r="V279" s="82"/>
      <c r="W279" s="82"/>
      <c r="X279" s="82"/>
      <c r="Y279" s="82"/>
      <c r="Z279" s="79"/>
      <c r="AA279" s="82"/>
      <c r="AB279" s="82"/>
      <c r="AC279" s="82"/>
      <c r="AD279" s="82"/>
      <c r="AE279" s="82"/>
      <c r="AF279" s="82"/>
      <c r="AG279" s="82"/>
      <c r="AH279" s="82"/>
      <c r="AI279" s="82"/>
      <c r="AJ279" s="82"/>
      <c r="AK279" s="82"/>
      <c r="AL279" s="79"/>
      <c r="AM279" s="82"/>
      <c r="AN279" s="82"/>
      <c r="AO279" s="82"/>
      <c r="AP279" s="82"/>
      <c r="AQ279" s="82"/>
      <c r="AR279" s="82"/>
      <c r="AS279" s="82"/>
      <c r="AT279" s="82"/>
      <c r="AU279" s="82"/>
      <c r="AV279" s="82"/>
      <c r="AW279" s="82"/>
      <c r="AX279" s="79"/>
      <c r="AY279" s="82"/>
      <c r="AZ279" s="82"/>
      <c r="BA279" s="82"/>
      <c r="BB279" s="82"/>
      <c r="BC279" s="82"/>
      <c r="BD279" s="82"/>
      <c r="BE279" s="82"/>
      <c r="BF279" s="82"/>
      <c r="BG279" s="82"/>
      <c r="BH279" s="1"/>
    </row>
    <row r="280" spans="1:60" s="2" customFormat="1" ht="21">
      <c r="A280" s="1038"/>
      <c r="B280" s="1109" t="s">
        <v>1219</v>
      </c>
      <c r="C280" s="1106" t="s">
        <v>96</v>
      </c>
      <c r="D280" s="640" t="s">
        <v>45</v>
      </c>
      <c r="E280" s="209" t="s">
        <v>1220</v>
      </c>
      <c r="F280" s="209"/>
      <c r="G280" s="209"/>
      <c r="H280" s="209"/>
      <c r="I280" s="129"/>
      <c r="J280" s="256" t="str">
        <f>"MWh "&amp;J$8</f>
        <v>MWh alle locaties</v>
      </c>
      <c r="K280" s="126"/>
      <c r="L280" s="126"/>
      <c r="M280" s="256" t="str">
        <f>"MWh "&amp;M$8</f>
        <v>MWh locatie 1</v>
      </c>
      <c r="N280" s="182"/>
      <c r="O280" s="955" t="str">
        <f>$E280&amp;" per woning-/gebouwtype"</f>
        <v>primair fossiel energiegebruik per woning-/gebouwtype</v>
      </c>
      <c r="P280" s="945"/>
      <c r="Q280" s="945"/>
      <c r="R280" s="945"/>
      <c r="S280" s="945"/>
      <c r="T280" s="945"/>
      <c r="U280" s="945"/>
      <c r="V280" s="945"/>
      <c r="W280" s="257"/>
      <c r="X280" s="174"/>
      <c r="Y280" s="256" t="str">
        <f>"MWh "&amp;Y$8</f>
        <v>MWh locatie 2</v>
      </c>
      <c r="Z280" s="182"/>
      <c r="AA280" s="955" t="str">
        <f>$E280&amp;" per woning-/gebouwtype"</f>
        <v>primair fossiel energiegebruik per woning-/gebouwtype</v>
      </c>
      <c r="AB280" s="945"/>
      <c r="AC280" s="945"/>
      <c r="AD280" s="945"/>
      <c r="AE280" s="945"/>
      <c r="AF280" s="945"/>
      <c r="AG280" s="945"/>
      <c r="AH280" s="945"/>
      <c r="AI280" s="257"/>
      <c r="AJ280" s="174"/>
      <c r="AK280" s="256" t="str">
        <f>"MWh "&amp;AK$8</f>
        <v>MWh locatie 3</v>
      </c>
      <c r="AL280" s="182"/>
      <c r="AM280" s="955" t="str">
        <f>$E280&amp;" per woning-/gebouwtype"</f>
        <v>primair fossiel energiegebruik per woning-/gebouwtype</v>
      </c>
      <c r="AN280" s="945"/>
      <c r="AO280" s="945"/>
      <c r="AP280" s="945"/>
      <c r="AQ280" s="945"/>
      <c r="AR280" s="945"/>
      <c r="AS280" s="945"/>
      <c r="AT280" s="945"/>
      <c r="AU280" s="257"/>
      <c r="AV280" s="174"/>
      <c r="AW280" s="256" t="str">
        <f>"MWh "&amp;AW$8</f>
        <v>MWh locatie 4</v>
      </c>
      <c r="AX280" s="182"/>
      <c r="AY280" s="955" t="str">
        <f>$E280&amp;" per woning-/gebouwtype"</f>
        <v>primair fossiel energiegebruik per woning-/gebouwtype</v>
      </c>
      <c r="AZ280" s="945"/>
      <c r="BA280" s="945"/>
      <c r="BB280" s="945"/>
      <c r="BC280" s="945"/>
      <c r="BD280" s="945"/>
      <c r="BE280" s="945"/>
      <c r="BF280" s="945"/>
      <c r="BG280" s="257"/>
      <c r="BH280" s="1"/>
    </row>
    <row r="281" spans="1:60">
      <c r="A281" s="1040"/>
      <c r="B281" s="1109" t="s">
        <v>1219</v>
      </c>
      <c r="C281" s="1106" t="s">
        <v>96</v>
      </c>
      <c r="D281" s="638"/>
      <c r="E281" s="942" t="s">
        <v>1318</v>
      </c>
      <c r="F281" s="942"/>
      <c r="G281" s="942"/>
      <c r="H281" s="942"/>
      <c r="I281" s="129"/>
      <c r="J281" s="943"/>
      <c r="K281" s="126"/>
      <c r="L281" s="126"/>
      <c r="M281" s="944"/>
      <c r="N281" s="195"/>
      <c r="O281" s="258" t="str">
        <f>O$17</f>
        <v/>
      </c>
      <c r="P281" s="258" t="str">
        <f t="shared" ref="P281:W281" si="248">P$17</f>
        <v/>
      </c>
      <c r="Q281" s="258" t="str">
        <f t="shared" si="248"/>
        <v/>
      </c>
      <c r="R281" s="258" t="str">
        <f t="shared" si="248"/>
        <v/>
      </c>
      <c r="S281" s="258" t="str">
        <f t="shared" si="248"/>
        <v/>
      </c>
      <c r="T281" s="258" t="str">
        <f t="shared" si="248"/>
        <v/>
      </c>
      <c r="U281" s="258" t="str">
        <f t="shared" si="248"/>
        <v/>
      </c>
      <c r="V281" s="258" t="str">
        <f t="shared" si="248"/>
        <v/>
      </c>
      <c r="W281" s="258" t="str">
        <f t="shared" si="248"/>
        <v/>
      </c>
      <c r="X281" s="195"/>
      <c r="Y281" s="944"/>
      <c r="Z281" s="195"/>
      <c r="AA281" s="258" t="str">
        <f>AA$17</f>
        <v/>
      </c>
      <c r="AB281" s="258" t="str">
        <f t="shared" ref="AB281:AI281" si="249">AB$17</f>
        <v/>
      </c>
      <c r="AC281" s="258" t="str">
        <f t="shared" si="249"/>
        <v/>
      </c>
      <c r="AD281" s="258" t="str">
        <f t="shared" si="249"/>
        <v/>
      </c>
      <c r="AE281" s="258" t="str">
        <f t="shared" si="249"/>
        <v/>
      </c>
      <c r="AF281" s="258" t="str">
        <f t="shared" si="249"/>
        <v/>
      </c>
      <c r="AG281" s="258" t="str">
        <f t="shared" si="249"/>
        <v/>
      </c>
      <c r="AH281" s="258" t="str">
        <f t="shared" si="249"/>
        <v/>
      </c>
      <c r="AI281" s="258" t="str">
        <f t="shared" si="249"/>
        <v/>
      </c>
      <c r="AJ281" s="195"/>
      <c r="AK281" s="944"/>
      <c r="AL281" s="195"/>
      <c r="AM281" s="258" t="str">
        <f>AM$17</f>
        <v/>
      </c>
      <c r="AN281" s="258" t="str">
        <f t="shared" ref="AN281:AU281" si="250">AN$17</f>
        <v/>
      </c>
      <c r="AO281" s="258" t="str">
        <f t="shared" si="250"/>
        <v/>
      </c>
      <c r="AP281" s="258" t="str">
        <f t="shared" si="250"/>
        <v/>
      </c>
      <c r="AQ281" s="258" t="str">
        <f t="shared" si="250"/>
        <v/>
      </c>
      <c r="AR281" s="258" t="str">
        <f t="shared" si="250"/>
        <v/>
      </c>
      <c r="AS281" s="258" t="str">
        <f t="shared" si="250"/>
        <v/>
      </c>
      <c r="AT281" s="258" t="str">
        <f t="shared" si="250"/>
        <v/>
      </c>
      <c r="AU281" s="258" t="str">
        <f t="shared" si="250"/>
        <v/>
      </c>
      <c r="AV281" s="195"/>
      <c r="AW281" s="944"/>
      <c r="AX281" s="195"/>
      <c r="AY281" s="258" t="str">
        <f>AY$17</f>
        <v/>
      </c>
      <c r="AZ281" s="258" t="str">
        <f t="shared" ref="AZ281:BG281" si="251">AZ$17</f>
        <v/>
      </c>
      <c r="BA281" s="258" t="str">
        <f t="shared" si="251"/>
        <v/>
      </c>
      <c r="BB281" s="258" t="str">
        <f t="shared" si="251"/>
        <v/>
      </c>
      <c r="BC281" s="258" t="str">
        <f t="shared" si="251"/>
        <v/>
      </c>
      <c r="BD281" s="258" t="str">
        <f t="shared" si="251"/>
        <v/>
      </c>
      <c r="BE281" s="258" t="str">
        <f t="shared" si="251"/>
        <v/>
      </c>
      <c r="BF281" s="258" t="str">
        <f t="shared" si="251"/>
        <v/>
      </c>
      <c r="BG281" s="258" t="str">
        <f t="shared" si="251"/>
        <v/>
      </c>
      <c r="BH281" s="36"/>
    </row>
    <row r="282" spans="1:60">
      <c r="A282" s="1040"/>
      <c r="B282" s="1109" t="s">
        <v>1219</v>
      </c>
      <c r="C282" s="1107" t="s">
        <v>104</v>
      </c>
      <c r="D282" s="641"/>
      <c r="E282" s="304" t="str">
        <f>$O$10</f>
        <v>verwarming</v>
      </c>
      <c r="F282" s="180"/>
      <c r="G282" s="180"/>
      <c r="H282" s="201" t="s">
        <v>267</v>
      </c>
      <c r="I282" s="114"/>
      <c r="J282" s="190">
        <f t="shared" ref="J282:J290" si="252">M282+Y282+AK282+AW282</f>
        <v>0</v>
      </c>
      <c r="K282" s="1092"/>
      <c r="L282" s="1092"/>
      <c r="M282" s="190">
        <f t="shared" ref="M282:M289" si="253">SUMPRODUCT(N282:X282,N$22:X$22,N$29:X$29)/1000</f>
        <v>0</v>
      </c>
      <c r="N282" s="119"/>
      <c r="O282" s="183">
        <f t="shared" ref="O282:W282" si="254">IF(OR(O$22=0,$O$78=0),0,
(($O$120+$O$151+$O$174)/$O$78)*O62)</f>
        <v>0</v>
      </c>
      <c r="P282" s="183">
        <f t="shared" si="254"/>
        <v>0</v>
      </c>
      <c r="Q282" s="183">
        <f t="shared" si="254"/>
        <v>0</v>
      </c>
      <c r="R282" s="183">
        <f t="shared" si="254"/>
        <v>0</v>
      </c>
      <c r="S282" s="183">
        <f t="shared" si="254"/>
        <v>0</v>
      </c>
      <c r="T282" s="183">
        <f t="shared" si="254"/>
        <v>0</v>
      </c>
      <c r="U282" s="183">
        <f t="shared" si="254"/>
        <v>0</v>
      </c>
      <c r="V282" s="183">
        <f t="shared" si="254"/>
        <v>0</v>
      </c>
      <c r="W282" s="183">
        <f t="shared" si="254"/>
        <v>0</v>
      </c>
      <c r="X282" s="108"/>
      <c r="Y282" s="190">
        <f t="shared" ref="Y282:Y289" si="255">SUMPRODUCT(Z282:AJ282,Z$22:AJ$22,Z$29:AJ$29)/1000</f>
        <v>0</v>
      </c>
      <c r="Z282" s="119"/>
      <c r="AA282" s="183">
        <f t="shared" ref="AA282:AI282" si="256">IF(AA$22=0,0,
(($AA$120+$AA$151+$AA$174)/$AA$78)*AA62)</f>
        <v>0</v>
      </c>
      <c r="AB282" s="183">
        <f t="shared" si="256"/>
        <v>0</v>
      </c>
      <c r="AC282" s="183">
        <f t="shared" si="256"/>
        <v>0</v>
      </c>
      <c r="AD282" s="183">
        <f t="shared" si="256"/>
        <v>0</v>
      </c>
      <c r="AE282" s="183">
        <f t="shared" si="256"/>
        <v>0</v>
      </c>
      <c r="AF282" s="183">
        <f t="shared" si="256"/>
        <v>0</v>
      </c>
      <c r="AG282" s="183">
        <f t="shared" si="256"/>
        <v>0</v>
      </c>
      <c r="AH282" s="183">
        <f t="shared" si="256"/>
        <v>0</v>
      </c>
      <c r="AI282" s="183">
        <f t="shared" si="256"/>
        <v>0</v>
      </c>
      <c r="AJ282" s="1092"/>
      <c r="AK282" s="190">
        <f t="shared" ref="AK282:AK289" si="257">SUMPRODUCT(AL282:AV282,AL$22:AV$22,AL$29:AV$29)/1000</f>
        <v>0</v>
      </c>
      <c r="AL282" s="1092"/>
      <c r="AM282" s="183">
        <f t="shared" ref="AM282:AU282" si="258">IF(AM$22=0,0,
(($AM$120+$AM$151+$AM$174)/$AM$78)*AM62)</f>
        <v>0</v>
      </c>
      <c r="AN282" s="183">
        <f t="shared" si="258"/>
        <v>0</v>
      </c>
      <c r="AO282" s="183">
        <f t="shared" si="258"/>
        <v>0</v>
      </c>
      <c r="AP282" s="183">
        <f t="shared" si="258"/>
        <v>0</v>
      </c>
      <c r="AQ282" s="183">
        <f t="shared" si="258"/>
        <v>0</v>
      </c>
      <c r="AR282" s="183">
        <f t="shared" si="258"/>
        <v>0</v>
      </c>
      <c r="AS282" s="183">
        <f t="shared" si="258"/>
        <v>0</v>
      </c>
      <c r="AT282" s="183">
        <f t="shared" si="258"/>
        <v>0</v>
      </c>
      <c r="AU282" s="183">
        <f t="shared" si="258"/>
        <v>0</v>
      </c>
      <c r="AV282" s="1092"/>
      <c r="AW282" s="190">
        <f t="shared" ref="AW282:AW289" si="259">SUMPRODUCT(AX282:BH282,AX$22:BH$22,AX$29:BH$29)/1000</f>
        <v>0</v>
      </c>
      <c r="AX282" s="1092"/>
      <c r="AY282" s="183">
        <f t="shared" ref="AY282:BG282" si="260">IF(AY$22=0,0,
(($AY$120+$AY$151+$AY$174)/$AY$78)*AY62)</f>
        <v>0</v>
      </c>
      <c r="AZ282" s="183">
        <f t="shared" si="260"/>
        <v>0</v>
      </c>
      <c r="BA282" s="183">
        <f t="shared" si="260"/>
        <v>0</v>
      </c>
      <c r="BB282" s="183">
        <f t="shared" si="260"/>
        <v>0</v>
      </c>
      <c r="BC282" s="183">
        <f t="shared" si="260"/>
        <v>0</v>
      </c>
      <c r="BD282" s="183">
        <f t="shared" si="260"/>
        <v>0</v>
      </c>
      <c r="BE282" s="183">
        <f t="shared" si="260"/>
        <v>0</v>
      </c>
      <c r="BF282" s="183">
        <f t="shared" si="260"/>
        <v>0</v>
      </c>
      <c r="BG282" s="183">
        <f t="shared" si="260"/>
        <v>0</v>
      </c>
      <c r="BH282" s="210"/>
    </row>
    <row r="283" spans="1:60">
      <c r="A283" s="1040"/>
      <c r="B283" s="1109" t="s">
        <v>1219</v>
      </c>
      <c r="C283" s="1107" t="s">
        <v>104</v>
      </c>
      <c r="D283" s="641"/>
      <c r="E283" s="304" t="str">
        <f>$P$10</f>
        <v>koeling</v>
      </c>
      <c r="F283" s="180"/>
      <c r="G283" s="180"/>
      <c r="H283" s="201" t="s">
        <v>267</v>
      </c>
      <c r="I283" s="114"/>
      <c r="J283" s="190">
        <f t="shared" si="252"/>
        <v>0</v>
      </c>
      <c r="K283" s="1092"/>
      <c r="L283" s="1092"/>
      <c r="M283" s="190">
        <f t="shared" si="253"/>
        <v>0</v>
      </c>
      <c r="N283" s="119"/>
      <c r="O283" s="183">
        <f t="shared" ref="O283:W283" si="261">IF(OR(O$22=0,$P$78=0),0,
(($P$120+$P$151+$P$174)/$P$78)*O64)</f>
        <v>0</v>
      </c>
      <c r="P283" s="183">
        <f t="shared" si="261"/>
        <v>0</v>
      </c>
      <c r="Q283" s="183">
        <f t="shared" si="261"/>
        <v>0</v>
      </c>
      <c r="R283" s="183">
        <f t="shared" si="261"/>
        <v>0</v>
      </c>
      <c r="S283" s="183">
        <f t="shared" si="261"/>
        <v>0</v>
      </c>
      <c r="T283" s="183">
        <f t="shared" si="261"/>
        <v>0</v>
      </c>
      <c r="U283" s="183">
        <f t="shared" si="261"/>
        <v>0</v>
      </c>
      <c r="V283" s="183">
        <f t="shared" si="261"/>
        <v>0</v>
      </c>
      <c r="W283" s="183">
        <f t="shared" si="261"/>
        <v>0</v>
      </c>
      <c r="X283" s="108"/>
      <c r="Y283" s="190">
        <f t="shared" si="255"/>
        <v>0</v>
      </c>
      <c r="Z283" s="119"/>
      <c r="AA283" s="183">
        <f t="shared" ref="AA283:AI283" si="262">IF(OR(AA$22=0,$AB$78=0),0,
(($AB$120+$AB$151+$AB$174)/$AB$78)*AA64)</f>
        <v>0</v>
      </c>
      <c r="AB283" s="183">
        <f t="shared" si="262"/>
        <v>0</v>
      </c>
      <c r="AC283" s="183">
        <f t="shared" si="262"/>
        <v>0</v>
      </c>
      <c r="AD283" s="183">
        <f t="shared" si="262"/>
        <v>0</v>
      </c>
      <c r="AE283" s="183">
        <f t="shared" si="262"/>
        <v>0</v>
      </c>
      <c r="AF283" s="183">
        <f t="shared" si="262"/>
        <v>0</v>
      </c>
      <c r="AG283" s="183">
        <f t="shared" si="262"/>
        <v>0</v>
      </c>
      <c r="AH283" s="183">
        <f t="shared" si="262"/>
        <v>0</v>
      </c>
      <c r="AI283" s="183">
        <f t="shared" si="262"/>
        <v>0</v>
      </c>
      <c r="AJ283" s="1092"/>
      <c r="AK283" s="190">
        <f t="shared" si="257"/>
        <v>0</v>
      </c>
      <c r="AL283" s="1092"/>
      <c r="AM283" s="183">
        <f t="shared" ref="AM283:AU283" si="263">IF(OR(AM$22=0,$AN$78=0),0,
(($AN$120+$AN$151+$AN$174)/$AN$78)*AM64)</f>
        <v>0</v>
      </c>
      <c r="AN283" s="183">
        <f t="shared" si="263"/>
        <v>0</v>
      </c>
      <c r="AO283" s="183">
        <f t="shared" si="263"/>
        <v>0</v>
      </c>
      <c r="AP283" s="183">
        <f t="shared" si="263"/>
        <v>0</v>
      </c>
      <c r="AQ283" s="183">
        <f t="shared" si="263"/>
        <v>0</v>
      </c>
      <c r="AR283" s="183">
        <f t="shared" si="263"/>
        <v>0</v>
      </c>
      <c r="AS283" s="183">
        <f t="shared" si="263"/>
        <v>0</v>
      </c>
      <c r="AT283" s="183">
        <f t="shared" si="263"/>
        <v>0</v>
      </c>
      <c r="AU283" s="183">
        <f t="shared" si="263"/>
        <v>0</v>
      </c>
      <c r="AV283" s="1092"/>
      <c r="AW283" s="190">
        <f t="shared" si="259"/>
        <v>0</v>
      </c>
      <c r="AX283" s="1092"/>
      <c r="AY283" s="183">
        <f t="shared" ref="AY283:BG283" si="264">IF(OR(AY$22=0,$AZ$78=0),0,
(($AZ$120+$AZ$151+$AZ$174)/$AZ$78)*AY64)</f>
        <v>0</v>
      </c>
      <c r="AZ283" s="183">
        <f t="shared" si="264"/>
        <v>0</v>
      </c>
      <c r="BA283" s="183">
        <f t="shared" si="264"/>
        <v>0</v>
      </c>
      <c r="BB283" s="183">
        <f t="shared" si="264"/>
        <v>0</v>
      </c>
      <c r="BC283" s="183">
        <f t="shared" si="264"/>
        <v>0</v>
      </c>
      <c r="BD283" s="183">
        <f t="shared" si="264"/>
        <v>0</v>
      </c>
      <c r="BE283" s="183">
        <f t="shared" si="264"/>
        <v>0</v>
      </c>
      <c r="BF283" s="183">
        <f t="shared" si="264"/>
        <v>0</v>
      </c>
      <c r="BG283" s="183">
        <f t="shared" si="264"/>
        <v>0</v>
      </c>
      <c r="BH283" s="210"/>
    </row>
    <row r="284" spans="1:60">
      <c r="A284" s="1040"/>
      <c r="B284" s="1109" t="s">
        <v>1219</v>
      </c>
      <c r="C284" s="1107" t="s">
        <v>104</v>
      </c>
      <c r="D284" s="641"/>
      <c r="E284" s="304" t="str">
        <f>$Q$10</f>
        <v>tapwater</v>
      </c>
      <c r="F284" s="180"/>
      <c r="G284" s="180"/>
      <c r="H284" s="201" t="s">
        <v>267</v>
      </c>
      <c r="I284" s="114"/>
      <c r="J284" s="190">
        <f t="shared" si="252"/>
        <v>0</v>
      </c>
      <c r="K284" s="1092"/>
      <c r="L284" s="1092"/>
      <c r="M284" s="190">
        <f t="shared" si="253"/>
        <v>0</v>
      </c>
      <c r="N284" s="119"/>
      <c r="O284" s="183">
        <f t="shared" ref="O284:W284" si="265">IF(O$22=0,0,
(($Q$120+$Q$151+$Q$174)/$Q$78)*O65)</f>
        <v>0</v>
      </c>
      <c r="P284" s="183">
        <f t="shared" si="265"/>
        <v>0</v>
      </c>
      <c r="Q284" s="183">
        <f t="shared" si="265"/>
        <v>0</v>
      </c>
      <c r="R284" s="183">
        <f t="shared" si="265"/>
        <v>0</v>
      </c>
      <c r="S284" s="183">
        <f t="shared" si="265"/>
        <v>0</v>
      </c>
      <c r="T284" s="183">
        <f t="shared" si="265"/>
        <v>0</v>
      </c>
      <c r="U284" s="183">
        <f t="shared" si="265"/>
        <v>0</v>
      </c>
      <c r="V284" s="183">
        <f t="shared" si="265"/>
        <v>0</v>
      </c>
      <c r="W284" s="183">
        <f t="shared" si="265"/>
        <v>0</v>
      </c>
      <c r="X284" s="108"/>
      <c r="Y284" s="190">
        <f t="shared" si="255"/>
        <v>0</v>
      </c>
      <c r="Z284" s="119"/>
      <c r="AA284" s="183">
        <f t="shared" ref="AA284:AI284" si="266">IF(AA$22=0,0,
(($AC$120+$AC$151+$AC$174)/$AC$78)*AA65)</f>
        <v>0</v>
      </c>
      <c r="AB284" s="183">
        <f t="shared" si="266"/>
        <v>0</v>
      </c>
      <c r="AC284" s="183">
        <f t="shared" si="266"/>
        <v>0</v>
      </c>
      <c r="AD284" s="183">
        <f t="shared" si="266"/>
        <v>0</v>
      </c>
      <c r="AE284" s="183">
        <f t="shared" si="266"/>
        <v>0</v>
      </c>
      <c r="AF284" s="183">
        <f t="shared" si="266"/>
        <v>0</v>
      </c>
      <c r="AG284" s="183">
        <f t="shared" si="266"/>
        <v>0</v>
      </c>
      <c r="AH284" s="183">
        <f t="shared" si="266"/>
        <v>0</v>
      </c>
      <c r="AI284" s="183">
        <f t="shared" si="266"/>
        <v>0</v>
      </c>
      <c r="AJ284" s="1092"/>
      <c r="AK284" s="190">
        <f t="shared" si="257"/>
        <v>0</v>
      </c>
      <c r="AL284" s="1092"/>
      <c r="AM284" s="183">
        <f t="shared" ref="AM284:AU284" si="267">IF(AM$22=0,0,
(($AO$120+$AO$151+$AO$174)/$AO$78)*AM65)</f>
        <v>0</v>
      </c>
      <c r="AN284" s="183">
        <f t="shared" si="267"/>
        <v>0</v>
      </c>
      <c r="AO284" s="183">
        <f t="shared" si="267"/>
        <v>0</v>
      </c>
      <c r="AP284" s="183">
        <f t="shared" si="267"/>
        <v>0</v>
      </c>
      <c r="AQ284" s="183">
        <f t="shared" si="267"/>
        <v>0</v>
      </c>
      <c r="AR284" s="183">
        <f t="shared" si="267"/>
        <v>0</v>
      </c>
      <c r="AS284" s="183">
        <f t="shared" si="267"/>
        <v>0</v>
      </c>
      <c r="AT284" s="183">
        <f t="shared" si="267"/>
        <v>0</v>
      </c>
      <c r="AU284" s="183">
        <f t="shared" si="267"/>
        <v>0</v>
      </c>
      <c r="AV284" s="1092"/>
      <c r="AW284" s="190">
        <f t="shared" si="259"/>
        <v>0</v>
      </c>
      <c r="AX284" s="1092"/>
      <c r="AY284" s="183">
        <f t="shared" ref="AY284:BG284" si="268">IF(AY$22=0,0,
(($BA$120+$BA$151+$BA$174)/$BA$78)*AY65)</f>
        <v>0</v>
      </c>
      <c r="AZ284" s="183">
        <f t="shared" si="268"/>
        <v>0</v>
      </c>
      <c r="BA284" s="183">
        <f t="shared" si="268"/>
        <v>0</v>
      </c>
      <c r="BB284" s="183">
        <f t="shared" si="268"/>
        <v>0</v>
      </c>
      <c r="BC284" s="183">
        <f t="shared" si="268"/>
        <v>0</v>
      </c>
      <c r="BD284" s="183">
        <f t="shared" si="268"/>
        <v>0</v>
      </c>
      <c r="BE284" s="183">
        <f t="shared" si="268"/>
        <v>0</v>
      </c>
      <c r="BF284" s="183">
        <f t="shared" si="268"/>
        <v>0</v>
      </c>
      <c r="BG284" s="183">
        <f t="shared" si="268"/>
        <v>0</v>
      </c>
      <c r="BH284" s="210"/>
    </row>
    <row r="285" spans="1:60">
      <c r="A285" s="1040"/>
      <c r="B285" s="1109" t="s">
        <v>1219</v>
      </c>
      <c r="C285" s="1107" t="s">
        <v>104</v>
      </c>
      <c r="D285" s="641"/>
      <c r="E285" s="304" t="str">
        <f>$R$10</f>
        <v>verlichting</v>
      </c>
      <c r="F285" s="180"/>
      <c r="G285" s="180"/>
      <c r="H285" s="201" t="s">
        <v>267</v>
      </c>
      <c r="I285" s="114"/>
      <c r="J285" s="190">
        <f t="shared" si="252"/>
        <v>0</v>
      </c>
      <c r="K285" s="1092"/>
      <c r="L285" s="1092"/>
      <c r="M285" s="190">
        <f>SUMPRODUCT(N285:X285,N$22:X$22,N$29:X$29)/1000</f>
        <v>0</v>
      </c>
      <c r="N285" s="119"/>
      <c r="O285" s="183">
        <f t="shared" ref="O285:W285" si="269">IF(O$22=0,0,$R$174/$R$78*O66)</f>
        <v>0</v>
      </c>
      <c r="P285" s="183">
        <f t="shared" si="269"/>
        <v>0</v>
      </c>
      <c r="Q285" s="183">
        <f t="shared" si="269"/>
        <v>0</v>
      </c>
      <c r="R285" s="183">
        <f t="shared" si="269"/>
        <v>0</v>
      </c>
      <c r="S285" s="183">
        <f t="shared" si="269"/>
        <v>0</v>
      </c>
      <c r="T285" s="183">
        <f t="shared" si="269"/>
        <v>0</v>
      </c>
      <c r="U285" s="183">
        <f t="shared" si="269"/>
        <v>0</v>
      </c>
      <c r="V285" s="183">
        <f t="shared" si="269"/>
        <v>0</v>
      </c>
      <c r="W285" s="183">
        <f t="shared" si="269"/>
        <v>0</v>
      </c>
      <c r="X285" s="108"/>
      <c r="Y285" s="190">
        <f t="shared" si="255"/>
        <v>0</v>
      </c>
      <c r="Z285" s="119"/>
      <c r="AA285" s="183">
        <f t="shared" ref="AA285:AI285" si="270">IF(AA$22=0,0,$AD$174/$AD$78*AA66)</f>
        <v>0</v>
      </c>
      <c r="AB285" s="183">
        <f t="shared" si="270"/>
        <v>0</v>
      </c>
      <c r="AC285" s="183">
        <f t="shared" si="270"/>
        <v>0</v>
      </c>
      <c r="AD285" s="183">
        <f t="shared" si="270"/>
        <v>0</v>
      </c>
      <c r="AE285" s="183">
        <f t="shared" si="270"/>
        <v>0</v>
      </c>
      <c r="AF285" s="183">
        <f t="shared" si="270"/>
        <v>0</v>
      </c>
      <c r="AG285" s="183">
        <f t="shared" si="270"/>
        <v>0</v>
      </c>
      <c r="AH285" s="183">
        <f t="shared" si="270"/>
        <v>0</v>
      </c>
      <c r="AI285" s="183">
        <f t="shared" si="270"/>
        <v>0</v>
      </c>
      <c r="AJ285" s="1092"/>
      <c r="AK285" s="190">
        <f t="shared" si="257"/>
        <v>0</v>
      </c>
      <c r="AL285" s="1092"/>
      <c r="AM285" s="183">
        <f t="shared" ref="AM285:AU285" si="271">IF(AM$22=0,0,$AP$174/$AP$78*AM66)</f>
        <v>0</v>
      </c>
      <c r="AN285" s="183">
        <f t="shared" si="271"/>
        <v>0</v>
      </c>
      <c r="AO285" s="183">
        <f t="shared" si="271"/>
        <v>0</v>
      </c>
      <c r="AP285" s="183">
        <f t="shared" si="271"/>
        <v>0</v>
      </c>
      <c r="AQ285" s="183">
        <f t="shared" si="271"/>
        <v>0</v>
      </c>
      <c r="AR285" s="183">
        <f t="shared" si="271"/>
        <v>0</v>
      </c>
      <c r="AS285" s="183">
        <f t="shared" si="271"/>
        <v>0</v>
      </c>
      <c r="AT285" s="183">
        <f t="shared" si="271"/>
        <v>0</v>
      </c>
      <c r="AU285" s="183">
        <f t="shared" si="271"/>
        <v>0</v>
      </c>
      <c r="AV285" s="1092"/>
      <c r="AW285" s="190">
        <f t="shared" si="259"/>
        <v>0</v>
      </c>
      <c r="AX285" s="1092"/>
      <c r="AY285" s="183">
        <f t="shared" ref="AY285:BG285" si="272">IF(AY$22=0,0,$BB$174/$BB$78*AY66)</f>
        <v>0</v>
      </c>
      <c r="AZ285" s="183">
        <f t="shared" si="272"/>
        <v>0</v>
      </c>
      <c r="BA285" s="183">
        <f t="shared" si="272"/>
        <v>0</v>
      </c>
      <c r="BB285" s="183">
        <f t="shared" si="272"/>
        <v>0</v>
      </c>
      <c r="BC285" s="183">
        <f t="shared" si="272"/>
        <v>0</v>
      </c>
      <c r="BD285" s="183">
        <f t="shared" si="272"/>
        <v>0</v>
      </c>
      <c r="BE285" s="183">
        <f t="shared" si="272"/>
        <v>0</v>
      </c>
      <c r="BF285" s="183">
        <f t="shared" si="272"/>
        <v>0</v>
      </c>
      <c r="BG285" s="183">
        <f t="shared" si="272"/>
        <v>0</v>
      </c>
      <c r="BH285" s="210"/>
    </row>
    <row r="286" spans="1:60">
      <c r="A286" s="1040"/>
      <c r="B286" s="1109" t="s">
        <v>1219</v>
      </c>
      <c r="C286" s="1107" t="s">
        <v>104</v>
      </c>
      <c r="D286" s="641"/>
      <c r="E286" s="304" t="str">
        <f>$S$10</f>
        <v>ventilatoren</v>
      </c>
      <c r="F286" s="180"/>
      <c r="G286" s="180"/>
      <c r="H286" s="201" t="s">
        <v>267</v>
      </c>
      <c r="I286" s="114"/>
      <c r="J286" s="190">
        <f t="shared" si="252"/>
        <v>0</v>
      </c>
      <c r="K286" s="1092"/>
      <c r="L286" s="1092"/>
      <c r="M286" s="190">
        <f t="shared" si="253"/>
        <v>0</v>
      </c>
      <c r="N286" s="119"/>
      <c r="O286" s="183">
        <f t="shared" ref="O286:W286" si="273">IF(OR(O$22=0,$S$78=0),0,$S$174/$S$78*O67)</f>
        <v>0</v>
      </c>
      <c r="P286" s="183">
        <f t="shared" si="273"/>
        <v>0</v>
      </c>
      <c r="Q286" s="183">
        <f t="shared" si="273"/>
        <v>0</v>
      </c>
      <c r="R286" s="183">
        <f t="shared" si="273"/>
        <v>0</v>
      </c>
      <c r="S286" s="183">
        <f t="shared" si="273"/>
        <v>0</v>
      </c>
      <c r="T286" s="183">
        <f t="shared" si="273"/>
        <v>0</v>
      </c>
      <c r="U286" s="183">
        <f t="shared" si="273"/>
        <v>0</v>
      </c>
      <c r="V286" s="183">
        <f t="shared" si="273"/>
        <v>0</v>
      </c>
      <c r="W286" s="183">
        <f t="shared" si="273"/>
        <v>0</v>
      </c>
      <c r="X286" s="108"/>
      <c r="Y286" s="190">
        <f t="shared" si="255"/>
        <v>0</v>
      </c>
      <c r="Z286" s="119"/>
      <c r="AA286" s="183">
        <f t="shared" ref="AA286:AI286" si="274">IF(OR(AA$22=0,$AE$78=0),0,$AE$174/$AE$78*AA67)</f>
        <v>0</v>
      </c>
      <c r="AB286" s="183">
        <f t="shared" si="274"/>
        <v>0</v>
      </c>
      <c r="AC286" s="183">
        <f t="shared" si="274"/>
        <v>0</v>
      </c>
      <c r="AD286" s="183">
        <f t="shared" si="274"/>
        <v>0</v>
      </c>
      <c r="AE286" s="183">
        <f t="shared" si="274"/>
        <v>0</v>
      </c>
      <c r="AF286" s="183">
        <f t="shared" si="274"/>
        <v>0</v>
      </c>
      <c r="AG286" s="183">
        <f t="shared" si="274"/>
        <v>0</v>
      </c>
      <c r="AH286" s="183">
        <f t="shared" si="274"/>
        <v>0</v>
      </c>
      <c r="AI286" s="183">
        <f t="shared" si="274"/>
        <v>0</v>
      </c>
      <c r="AJ286" s="1092"/>
      <c r="AK286" s="190">
        <f t="shared" si="257"/>
        <v>0</v>
      </c>
      <c r="AL286" s="1092"/>
      <c r="AM286" s="183">
        <f t="shared" ref="AM286:AU286" si="275">IF(OR(AM$22=0,$AQ$78=0),0,$AQ$174/$AQ$78*AM67)</f>
        <v>0</v>
      </c>
      <c r="AN286" s="183">
        <f t="shared" si="275"/>
        <v>0</v>
      </c>
      <c r="AO286" s="183">
        <f t="shared" si="275"/>
        <v>0</v>
      </c>
      <c r="AP286" s="183">
        <f t="shared" si="275"/>
        <v>0</v>
      </c>
      <c r="AQ286" s="183">
        <f t="shared" si="275"/>
        <v>0</v>
      </c>
      <c r="AR286" s="183">
        <f t="shared" si="275"/>
        <v>0</v>
      </c>
      <c r="AS286" s="183">
        <f t="shared" si="275"/>
        <v>0</v>
      </c>
      <c r="AT286" s="183">
        <f t="shared" si="275"/>
        <v>0</v>
      </c>
      <c r="AU286" s="183">
        <f t="shared" si="275"/>
        <v>0</v>
      </c>
      <c r="AV286" s="1092"/>
      <c r="AW286" s="190">
        <f t="shared" si="259"/>
        <v>0</v>
      </c>
      <c r="AX286" s="1092"/>
      <c r="AY286" s="183">
        <f t="shared" ref="AY286:BG286" si="276">IF(OR(AY$22=0,$BC$78=0),0,$BC$174/$BC$78*AY67)</f>
        <v>0</v>
      </c>
      <c r="AZ286" s="183">
        <f t="shared" si="276"/>
        <v>0</v>
      </c>
      <c r="BA286" s="183">
        <f t="shared" si="276"/>
        <v>0</v>
      </c>
      <c r="BB286" s="183">
        <f t="shared" si="276"/>
        <v>0</v>
      </c>
      <c r="BC286" s="183">
        <f t="shared" si="276"/>
        <v>0</v>
      </c>
      <c r="BD286" s="183">
        <f t="shared" si="276"/>
        <v>0</v>
      </c>
      <c r="BE286" s="183">
        <f t="shared" si="276"/>
        <v>0</v>
      </c>
      <c r="BF286" s="183">
        <f t="shared" si="276"/>
        <v>0</v>
      </c>
      <c r="BG286" s="183">
        <f t="shared" si="276"/>
        <v>0</v>
      </c>
      <c r="BH286" s="210"/>
    </row>
    <row r="287" spans="1:60">
      <c r="A287" s="1040"/>
      <c r="B287" s="1109" t="s">
        <v>1219</v>
      </c>
      <c r="C287" s="1107" t="s">
        <v>104</v>
      </c>
      <c r="D287" s="641"/>
      <c r="E287" s="304" t="str">
        <f>$T$10</f>
        <v>kookgas</v>
      </c>
      <c r="F287" s="180"/>
      <c r="G287" s="180"/>
      <c r="H287" s="201" t="s">
        <v>267</v>
      </c>
      <c r="I287" s="114"/>
      <c r="J287" s="190">
        <f t="shared" si="252"/>
        <v>0</v>
      </c>
      <c r="K287" s="1092"/>
      <c r="L287" s="1092"/>
      <c r="M287" s="190">
        <f t="shared" si="253"/>
        <v>0</v>
      </c>
      <c r="N287" s="119"/>
      <c r="O287" s="183">
        <f t="shared" ref="O287:W287" si="277">IF(OR(O$22=0,$T$78=0),0,$T$246/$T$78*O68)</f>
        <v>0</v>
      </c>
      <c r="P287" s="183">
        <f t="shared" si="277"/>
        <v>0</v>
      </c>
      <c r="Q287" s="183">
        <f t="shared" si="277"/>
        <v>0</v>
      </c>
      <c r="R287" s="183">
        <f t="shared" si="277"/>
        <v>0</v>
      </c>
      <c r="S287" s="183">
        <f t="shared" si="277"/>
        <v>0</v>
      </c>
      <c r="T287" s="183">
        <f t="shared" si="277"/>
        <v>0</v>
      </c>
      <c r="U287" s="183">
        <f t="shared" si="277"/>
        <v>0</v>
      </c>
      <c r="V287" s="183">
        <f t="shared" si="277"/>
        <v>0</v>
      </c>
      <c r="W287" s="183">
        <f t="shared" si="277"/>
        <v>0</v>
      </c>
      <c r="X287" s="108"/>
      <c r="Y287" s="190">
        <f t="shared" si="255"/>
        <v>0</v>
      </c>
      <c r="Z287" s="119"/>
      <c r="AA287" s="183">
        <f t="shared" ref="AA287:AI287" si="278">IF(OR(AA$22=0,$AF$78=0),0,$AF$246/$AF$78*AA68)</f>
        <v>0</v>
      </c>
      <c r="AB287" s="183">
        <f t="shared" si="278"/>
        <v>0</v>
      </c>
      <c r="AC287" s="183">
        <f t="shared" si="278"/>
        <v>0</v>
      </c>
      <c r="AD287" s="183">
        <f t="shared" si="278"/>
        <v>0</v>
      </c>
      <c r="AE287" s="183">
        <f t="shared" si="278"/>
        <v>0</v>
      </c>
      <c r="AF287" s="183">
        <f t="shared" si="278"/>
        <v>0</v>
      </c>
      <c r="AG287" s="183">
        <f t="shared" si="278"/>
        <v>0</v>
      </c>
      <c r="AH287" s="183">
        <f t="shared" si="278"/>
        <v>0</v>
      </c>
      <c r="AI287" s="183">
        <f t="shared" si="278"/>
        <v>0</v>
      </c>
      <c r="AJ287" s="1092"/>
      <c r="AK287" s="190">
        <f t="shared" si="257"/>
        <v>0</v>
      </c>
      <c r="AL287" s="1092"/>
      <c r="AM287" s="183">
        <f t="shared" ref="AM287:AU287" si="279">IF(OR(AM$22=0,$AR$78=0),0,$AR$246/$AR$78*AM68)</f>
        <v>0</v>
      </c>
      <c r="AN287" s="183">
        <f t="shared" si="279"/>
        <v>0</v>
      </c>
      <c r="AO287" s="183">
        <f t="shared" si="279"/>
        <v>0</v>
      </c>
      <c r="AP287" s="183">
        <f t="shared" si="279"/>
        <v>0</v>
      </c>
      <c r="AQ287" s="183">
        <f t="shared" si="279"/>
        <v>0</v>
      </c>
      <c r="AR287" s="183">
        <f t="shared" si="279"/>
        <v>0</v>
      </c>
      <c r="AS287" s="183">
        <f t="shared" si="279"/>
        <v>0</v>
      </c>
      <c r="AT287" s="183">
        <f t="shared" si="279"/>
        <v>0</v>
      </c>
      <c r="AU287" s="183">
        <f t="shared" si="279"/>
        <v>0</v>
      </c>
      <c r="AV287" s="1092"/>
      <c r="AW287" s="190">
        <f t="shared" si="259"/>
        <v>0</v>
      </c>
      <c r="AX287" s="1092"/>
      <c r="AY287" s="183">
        <f t="shared" ref="AY287:BG287" si="280">IF(OR(AY$22=0,$BD$78=0),0,$BD$246/$BD$78*AY68)</f>
        <v>0</v>
      </c>
      <c r="AZ287" s="183">
        <f t="shared" si="280"/>
        <v>0</v>
      </c>
      <c r="BA287" s="183">
        <f t="shared" si="280"/>
        <v>0</v>
      </c>
      <c r="BB287" s="183">
        <f t="shared" si="280"/>
        <v>0</v>
      </c>
      <c r="BC287" s="183">
        <f t="shared" si="280"/>
        <v>0</v>
      </c>
      <c r="BD287" s="183">
        <f t="shared" si="280"/>
        <v>0</v>
      </c>
      <c r="BE287" s="183">
        <f t="shared" si="280"/>
        <v>0</v>
      </c>
      <c r="BF287" s="183">
        <f t="shared" si="280"/>
        <v>0</v>
      </c>
      <c r="BG287" s="183">
        <f t="shared" si="280"/>
        <v>0</v>
      </c>
      <c r="BH287" s="210"/>
    </row>
    <row r="288" spans="1:60">
      <c r="A288" s="1040"/>
      <c r="B288" s="1109" t="s">
        <v>1219</v>
      </c>
      <c r="C288" s="1107" t="s">
        <v>104</v>
      </c>
      <c r="D288" s="641"/>
      <c r="E288" s="304" t="str">
        <f>$U$10</f>
        <v>overig elektra</v>
      </c>
      <c r="F288" s="180"/>
      <c r="G288" s="180"/>
      <c r="H288" s="201" t="s">
        <v>267</v>
      </c>
      <c r="I288" s="114"/>
      <c r="J288" s="190">
        <f t="shared" si="252"/>
        <v>0</v>
      </c>
      <c r="K288" s="1092"/>
      <c r="L288" s="1092"/>
      <c r="M288" s="190">
        <f t="shared" si="253"/>
        <v>0</v>
      </c>
      <c r="N288" s="119"/>
      <c r="O288" s="183">
        <f t="shared" ref="O288:W288" si="281">IF(OR(O$22=0,$U$78=0),0,$U$174/$U$78*O69)</f>
        <v>0</v>
      </c>
      <c r="P288" s="183">
        <f t="shared" si="281"/>
        <v>0</v>
      </c>
      <c r="Q288" s="183">
        <f t="shared" si="281"/>
        <v>0</v>
      </c>
      <c r="R288" s="183">
        <f t="shared" si="281"/>
        <v>0</v>
      </c>
      <c r="S288" s="183">
        <f t="shared" si="281"/>
        <v>0</v>
      </c>
      <c r="T288" s="183">
        <f t="shared" si="281"/>
        <v>0</v>
      </c>
      <c r="U288" s="183">
        <f t="shared" si="281"/>
        <v>0</v>
      </c>
      <c r="V288" s="183">
        <f t="shared" si="281"/>
        <v>0</v>
      </c>
      <c r="W288" s="183">
        <f t="shared" si="281"/>
        <v>0</v>
      </c>
      <c r="X288" s="108"/>
      <c r="Y288" s="190">
        <f t="shared" si="255"/>
        <v>0</v>
      </c>
      <c r="Z288" s="119"/>
      <c r="AA288" s="183">
        <f t="shared" ref="AA288:AI288" si="282">IF(OR(AA$22=0,$AG$78=0),0,$AG$174/$AG$78*AA69)</f>
        <v>0</v>
      </c>
      <c r="AB288" s="183">
        <f t="shared" si="282"/>
        <v>0</v>
      </c>
      <c r="AC288" s="183">
        <f t="shared" si="282"/>
        <v>0</v>
      </c>
      <c r="AD288" s="183">
        <f t="shared" si="282"/>
        <v>0</v>
      </c>
      <c r="AE288" s="183">
        <f t="shared" si="282"/>
        <v>0</v>
      </c>
      <c r="AF288" s="183">
        <f t="shared" si="282"/>
        <v>0</v>
      </c>
      <c r="AG288" s="183">
        <f t="shared" si="282"/>
        <v>0</v>
      </c>
      <c r="AH288" s="183">
        <f t="shared" si="282"/>
        <v>0</v>
      </c>
      <c r="AI288" s="183">
        <f t="shared" si="282"/>
        <v>0</v>
      </c>
      <c r="AJ288" s="1092"/>
      <c r="AK288" s="190">
        <f t="shared" si="257"/>
        <v>0</v>
      </c>
      <c r="AL288" s="1092"/>
      <c r="AM288" s="183">
        <f t="shared" ref="AM288:AU288" si="283">IF(OR(AM$22=0,$AS$78=0),0,$AS$174/$AS$78*AM69)</f>
        <v>0</v>
      </c>
      <c r="AN288" s="183">
        <f t="shared" si="283"/>
        <v>0</v>
      </c>
      <c r="AO288" s="183">
        <f t="shared" si="283"/>
        <v>0</v>
      </c>
      <c r="AP288" s="183">
        <f t="shared" si="283"/>
        <v>0</v>
      </c>
      <c r="AQ288" s="183">
        <f t="shared" si="283"/>
        <v>0</v>
      </c>
      <c r="AR288" s="183">
        <f t="shared" si="283"/>
        <v>0</v>
      </c>
      <c r="AS288" s="183">
        <f t="shared" si="283"/>
        <v>0</v>
      </c>
      <c r="AT288" s="183">
        <f t="shared" si="283"/>
        <v>0</v>
      </c>
      <c r="AU288" s="183">
        <f t="shared" si="283"/>
        <v>0</v>
      </c>
      <c r="AV288" s="1092"/>
      <c r="AW288" s="190">
        <f t="shared" si="259"/>
        <v>0</v>
      </c>
      <c r="AX288" s="1092"/>
      <c r="AY288" s="183">
        <f t="shared" ref="AY288:BG288" si="284">IF(OR(AY$22=0,$BE$78=0),0,$BE$174/$BE$78*AY69)</f>
        <v>0</v>
      </c>
      <c r="AZ288" s="183">
        <f t="shared" si="284"/>
        <v>0</v>
      </c>
      <c r="BA288" s="183">
        <f t="shared" si="284"/>
        <v>0</v>
      </c>
      <c r="BB288" s="183">
        <f t="shared" si="284"/>
        <v>0</v>
      </c>
      <c r="BC288" s="183">
        <f t="shared" si="284"/>
        <v>0</v>
      </c>
      <c r="BD288" s="183">
        <f t="shared" si="284"/>
        <v>0</v>
      </c>
      <c r="BE288" s="183">
        <f t="shared" si="284"/>
        <v>0</v>
      </c>
      <c r="BF288" s="183">
        <f t="shared" si="284"/>
        <v>0</v>
      </c>
      <c r="BG288" s="183">
        <f t="shared" si="284"/>
        <v>0</v>
      </c>
      <c r="BH288" s="210"/>
    </row>
    <row r="289" spans="1:60">
      <c r="A289" s="1040"/>
      <c r="B289" s="1109" t="s">
        <v>1219</v>
      </c>
      <c r="C289" s="1107" t="s">
        <v>104</v>
      </c>
      <c r="D289" s="641"/>
      <c r="E289" s="304" t="str">
        <f>$V$10</f>
        <v>mobiliteit</v>
      </c>
      <c r="F289" s="180"/>
      <c r="G289" s="180"/>
      <c r="H289" s="201" t="s">
        <v>267</v>
      </c>
      <c r="I289" s="114"/>
      <c r="J289" s="190">
        <f t="shared" si="252"/>
        <v>0</v>
      </c>
      <c r="K289" s="1092"/>
      <c r="L289" s="1092"/>
      <c r="M289" s="190">
        <f t="shared" si="253"/>
        <v>0</v>
      </c>
      <c r="N289" s="119"/>
      <c r="O289" s="183">
        <f t="shared" ref="O289:W289" si="285">IF(OR($V$169=0,O$29=0),0,$V$174/$V$169*O$71/O$29)</f>
        <v>0</v>
      </c>
      <c r="P289" s="183">
        <f t="shared" si="285"/>
        <v>0</v>
      </c>
      <c r="Q289" s="183">
        <f t="shared" si="285"/>
        <v>0</v>
      </c>
      <c r="R289" s="183">
        <f t="shared" si="285"/>
        <v>0</v>
      </c>
      <c r="S289" s="183">
        <f t="shared" si="285"/>
        <v>0</v>
      </c>
      <c r="T289" s="183">
        <f t="shared" si="285"/>
        <v>0</v>
      </c>
      <c r="U289" s="183">
        <f t="shared" si="285"/>
        <v>0</v>
      </c>
      <c r="V289" s="183">
        <f t="shared" si="285"/>
        <v>0</v>
      </c>
      <c r="W289" s="183">
        <f t="shared" si="285"/>
        <v>0</v>
      </c>
      <c r="X289" s="108"/>
      <c r="Y289" s="190">
        <f t="shared" si="255"/>
        <v>0</v>
      </c>
      <c r="Z289" s="119"/>
      <c r="AA289" s="183">
        <f t="shared" ref="AA289:AI289" si="286">IF(OR($AH$169=0,AA$29=0),0,$AH$174/$AH$169*AA$71/AA$29)</f>
        <v>0</v>
      </c>
      <c r="AB289" s="183">
        <f t="shared" si="286"/>
        <v>0</v>
      </c>
      <c r="AC289" s="183">
        <f t="shared" si="286"/>
        <v>0</v>
      </c>
      <c r="AD289" s="183">
        <f t="shared" si="286"/>
        <v>0</v>
      </c>
      <c r="AE289" s="183">
        <f t="shared" si="286"/>
        <v>0</v>
      </c>
      <c r="AF289" s="183">
        <f t="shared" si="286"/>
        <v>0</v>
      </c>
      <c r="AG289" s="183">
        <f t="shared" si="286"/>
        <v>0</v>
      </c>
      <c r="AH289" s="183">
        <f t="shared" si="286"/>
        <v>0</v>
      </c>
      <c r="AI289" s="183">
        <f t="shared" si="286"/>
        <v>0</v>
      </c>
      <c r="AJ289" s="1092"/>
      <c r="AK289" s="190">
        <f t="shared" si="257"/>
        <v>0</v>
      </c>
      <c r="AL289" s="1092"/>
      <c r="AM289" s="183">
        <f t="shared" ref="AM289:AU289" si="287">IF(OR($AT$169=0,AM$29=0),0,$AT$174/$AT$169*AM$71/AM$29)</f>
        <v>0</v>
      </c>
      <c r="AN289" s="183">
        <f t="shared" si="287"/>
        <v>0</v>
      </c>
      <c r="AO289" s="183">
        <f t="shared" si="287"/>
        <v>0</v>
      </c>
      <c r="AP289" s="183">
        <f t="shared" si="287"/>
        <v>0</v>
      </c>
      <c r="AQ289" s="183">
        <f t="shared" si="287"/>
        <v>0</v>
      </c>
      <c r="AR289" s="183">
        <f t="shared" si="287"/>
        <v>0</v>
      </c>
      <c r="AS289" s="183">
        <f t="shared" si="287"/>
        <v>0</v>
      </c>
      <c r="AT289" s="183">
        <f t="shared" si="287"/>
        <v>0</v>
      </c>
      <c r="AU289" s="183">
        <f t="shared" si="287"/>
        <v>0</v>
      </c>
      <c r="AV289" s="1092"/>
      <c r="AW289" s="190">
        <f t="shared" si="259"/>
        <v>0</v>
      </c>
      <c r="AX289" s="1092"/>
      <c r="AY289" s="183">
        <f>IF(OR($BF$169=0,AY$22=0),0,$BF$174/$BF$169*AY$71/AY$29)</f>
        <v>0</v>
      </c>
      <c r="AZ289" s="183">
        <f t="shared" ref="AZ289:BG289" si="288">IF(OR($BF$169=0,AZ$29=0),0,$BF$174/$BF$169*AZ$71/AZ$29)</f>
        <v>0</v>
      </c>
      <c r="BA289" s="183">
        <f t="shared" si="288"/>
        <v>0</v>
      </c>
      <c r="BB289" s="183">
        <f t="shared" si="288"/>
        <v>0</v>
      </c>
      <c r="BC289" s="183">
        <f t="shared" si="288"/>
        <v>0</v>
      </c>
      <c r="BD289" s="183">
        <f t="shared" si="288"/>
        <v>0</v>
      </c>
      <c r="BE289" s="183">
        <f t="shared" si="288"/>
        <v>0</v>
      </c>
      <c r="BF289" s="183">
        <f t="shared" si="288"/>
        <v>0</v>
      </c>
      <c r="BG289" s="183">
        <f t="shared" si="288"/>
        <v>0</v>
      </c>
      <c r="BH289" s="210"/>
    </row>
    <row r="290" spans="1:60">
      <c r="A290" s="1040"/>
      <c r="B290" s="1109" t="s">
        <v>1219</v>
      </c>
      <c r="C290" s="1107" t="s">
        <v>104</v>
      </c>
      <c r="D290" s="641"/>
      <c r="E290" s="1123" t="s">
        <v>232</v>
      </c>
      <c r="F290" s="180"/>
      <c r="G290" s="180"/>
      <c r="H290" s="201" t="s">
        <v>267</v>
      </c>
      <c r="I290" s="114"/>
      <c r="J290" s="190">
        <f t="shared" si="252"/>
        <v>0</v>
      </c>
      <c r="K290" s="1092"/>
      <c r="L290" s="1092"/>
      <c r="M290" s="190">
        <f>SUM(M282:M289)</f>
        <v>0</v>
      </c>
      <c r="N290" s="119"/>
      <c r="O290" s="183">
        <f t="shared" ref="O290:W290" si="289">SUM(O282:O289)</f>
        <v>0</v>
      </c>
      <c r="P290" s="183">
        <f t="shared" si="289"/>
        <v>0</v>
      </c>
      <c r="Q290" s="183">
        <f t="shared" si="289"/>
        <v>0</v>
      </c>
      <c r="R290" s="183">
        <f t="shared" si="289"/>
        <v>0</v>
      </c>
      <c r="S290" s="183">
        <f t="shared" si="289"/>
        <v>0</v>
      </c>
      <c r="T290" s="183">
        <f>SUM(T282:T289)</f>
        <v>0</v>
      </c>
      <c r="U290" s="183">
        <f t="shared" si="289"/>
        <v>0</v>
      </c>
      <c r="V290" s="183">
        <f t="shared" si="289"/>
        <v>0</v>
      </c>
      <c r="W290" s="183">
        <f t="shared" si="289"/>
        <v>0</v>
      </c>
      <c r="X290" s="108"/>
      <c r="Y290" s="190">
        <f>SUM(Y282:Y289)</f>
        <v>0</v>
      </c>
      <c r="Z290" s="119"/>
      <c r="AA290" s="183">
        <f t="shared" ref="AA290:AI290" si="290">SUM(AA282:AA289)</f>
        <v>0</v>
      </c>
      <c r="AB290" s="183">
        <f t="shared" si="290"/>
        <v>0</v>
      </c>
      <c r="AC290" s="183">
        <f t="shared" si="290"/>
        <v>0</v>
      </c>
      <c r="AD290" s="183">
        <f t="shared" si="290"/>
        <v>0</v>
      </c>
      <c r="AE290" s="183">
        <f t="shared" si="290"/>
        <v>0</v>
      </c>
      <c r="AF290" s="183">
        <f>SUM(AF282:AF289)</f>
        <v>0</v>
      </c>
      <c r="AG290" s="183">
        <f t="shared" si="290"/>
        <v>0</v>
      </c>
      <c r="AH290" s="183">
        <f t="shared" si="290"/>
        <v>0</v>
      </c>
      <c r="AI290" s="183">
        <f t="shared" si="290"/>
        <v>0</v>
      </c>
      <c r="AJ290" s="1092"/>
      <c r="AK290" s="190">
        <f t="shared" ref="AK290:AU290" si="291">SUM(AK282:AK289)</f>
        <v>0</v>
      </c>
      <c r="AL290" s="1092"/>
      <c r="AM290" s="183">
        <f t="shared" si="291"/>
        <v>0</v>
      </c>
      <c r="AN290" s="183">
        <f t="shared" si="291"/>
        <v>0</v>
      </c>
      <c r="AO290" s="183">
        <f t="shared" si="291"/>
        <v>0</v>
      </c>
      <c r="AP290" s="183">
        <f t="shared" si="291"/>
        <v>0</v>
      </c>
      <c r="AQ290" s="183">
        <f t="shared" si="291"/>
        <v>0</v>
      </c>
      <c r="AR290" s="183">
        <f>SUM(AR282:AR289)</f>
        <v>0</v>
      </c>
      <c r="AS290" s="183">
        <f t="shared" si="291"/>
        <v>0</v>
      </c>
      <c r="AT290" s="183">
        <f t="shared" si="291"/>
        <v>0</v>
      </c>
      <c r="AU290" s="183">
        <f t="shared" si="291"/>
        <v>0</v>
      </c>
      <c r="AV290" s="1092"/>
      <c r="AW290" s="190">
        <f>SUM(AW282:AW289)</f>
        <v>0</v>
      </c>
      <c r="AX290" s="1092"/>
      <c r="AY290" s="183">
        <f t="shared" ref="AY290:BG290" si="292">SUM(AY282:AY289)</f>
        <v>0</v>
      </c>
      <c r="AZ290" s="183">
        <f t="shared" si="292"/>
        <v>0</v>
      </c>
      <c r="BA290" s="183">
        <f t="shared" si="292"/>
        <v>0</v>
      </c>
      <c r="BB290" s="183">
        <f t="shared" si="292"/>
        <v>0</v>
      </c>
      <c r="BC290" s="183">
        <f t="shared" si="292"/>
        <v>0</v>
      </c>
      <c r="BD290" s="183">
        <f>SUM(BD282:BD289)</f>
        <v>0</v>
      </c>
      <c r="BE290" s="183">
        <f t="shared" si="292"/>
        <v>0</v>
      </c>
      <c r="BF290" s="183">
        <f t="shared" si="292"/>
        <v>0</v>
      </c>
      <c r="BG290" s="183">
        <f t="shared" si="292"/>
        <v>0</v>
      </c>
      <c r="BH290" s="210"/>
    </row>
    <row r="291" spans="1:60">
      <c r="A291" s="1040"/>
      <c r="B291" s="1109" t="s">
        <v>1219</v>
      </c>
      <c r="C291" s="1106" t="s">
        <v>96</v>
      </c>
      <c r="D291" s="638"/>
      <c r="E291" s="942" t="s">
        <v>1334</v>
      </c>
      <c r="F291" s="942"/>
      <c r="G291" s="942"/>
      <c r="H291" s="942"/>
      <c r="I291" s="129"/>
      <c r="J291" s="943"/>
      <c r="K291" s="126"/>
      <c r="L291" s="126"/>
      <c r="M291" s="944"/>
      <c r="N291" s="195"/>
      <c r="O291" s="258" t="str">
        <f>O$17</f>
        <v/>
      </c>
      <c r="P291" s="258" t="str">
        <f t="shared" ref="P291:W293" si="293">P$17</f>
        <v/>
      </c>
      <c r="Q291" s="258" t="str">
        <f t="shared" si="293"/>
        <v/>
      </c>
      <c r="R291" s="258" t="str">
        <f t="shared" si="293"/>
        <v/>
      </c>
      <c r="S291" s="258" t="str">
        <f t="shared" si="293"/>
        <v/>
      </c>
      <c r="T291" s="258" t="str">
        <f t="shared" si="293"/>
        <v/>
      </c>
      <c r="U291" s="258" t="str">
        <f t="shared" si="293"/>
        <v/>
      </c>
      <c r="V291" s="258" t="str">
        <f t="shared" si="293"/>
        <v/>
      </c>
      <c r="W291" s="258" t="str">
        <f t="shared" si="293"/>
        <v/>
      </c>
      <c r="X291" s="195"/>
      <c r="Y291" s="944"/>
      <c r="Z291" s="195"/>
      <c r="AA291" s="258" t="str">
        <f>AA$17</f>
        <v/>
      </c>
      <c r="AB291" s="258" t="str">
        <f t="shared" ref="AB291:AI293" si="294">AB$17</f>
        <v/>
      </c>
      <c r="AC291" s="258" t="str">
        <f t="shared" si="294"/>
        <v/>
      </c>
      <c r="AD291" s="258" t="str">
        <f t="shared" si="294"/>
        <v/>
      </c>
      <c r="AE291" s="258" t="str">
        <f t="shared" si="294"/>
        <v/>
      </c>
      <c r="AF291" s="258" t="str">
        <f t="shared" si="294"/>
        <v/>
      </c>
      <c r="AG291" s="258" t="str">
        <f t="shared" si="294"/>
        <v/>
      </c>
      <c r="AH291" s="258" t="str">
        <f t="shared" si="294"/>
        <v/>
      </c>
      <c r="AI291" s="258" t="str">
        <f t="shared" si="294"/>
        <v/>
      </c>
      <c r="AJ291" s="195"/>
      <c r="AK291" s="944"/>
      <c r="AL291" s="195"/>
      <c r="AM291" s="258" t="str">
        <f>AM$17</f>
        <v/>
      </c>
      <c r="AN291" s="258" t="str">
        <f t="shared" ref="AN291:AU293" si="295">AN$17</f>
        <v/>
      </c>
      <c r="AO291" s="258" t="str">
        <f t="shared" si="295"/>
        <v/>
      </c>
      <c r="AP291" s="258" t="str">
        <f t="shared" si="295"/>
        <v/>
      </c>
      <c r="AQ291" s="258" t="str">
        <f t="shared" si="295"/>
        <v/>
      </c>
      <c r="AR291" s="258" t="str">
        <f t="shared" si="295"/>
        <v/>
      </c>
      <c r="AS291" s="258" t="str">
        <f t="shared" si="295"/>
        <v/>
      </c>
      <c r="AT291" s="258" t="str">
        <f t="shared" si="295"/>
        <v/>
      </c>
      <c r="AU291" s="258" t="str">
        <f t="shared" si="295"/>
        <v/>
      </c>
      <c r="AV291" s="195"/>
      <c r="AW291" s="944"/>
      <c r="AX291" s="195"/>
      <c r="AY291" s="258" t="str">
        <f>AY$17</f>
        <v/>
      </c>
      <c r="AZ291" s="258" t="str">
        <f t="shared" ref="AZ291:BG293" si="296">AZ$17</f>
        <v/>
      </c>
      <c r="BA291" s="258" t="str">
        <f t="shared" si="296"/>
        <v/>
      </c>
      <c r="BB291" s="258" t="str">
        <f t="shared" si="296"/>
        <v/>
      </c>
      <c r="BC291" s="258" t="str">
        <f t="shared" si="296"/>
        <v/>
      </c>
      <c r="BD291" s="258" t="str">
        <f t="shared" si="296"/>
        <v/>
      </c>
      <c r="BE291" s="258" t="str">
        <f t="shared" si="296"/>
        <v/>
      </c>
      <c r="BF291" s="258" t="str">
        <f t="shared" si="296"/>
        <v/>
      </c>
      <c r="BG291" s="258" t="str">
        <f t="shared" si="296"/>
        <v/>
      </c>
      <c r="BH291" s="36"/>
    </row>
    <row r="292" spans="1:60">
      <c r="A292" s="1040"/>
      <c r="B292" s="1109" t="s">
        <v>1219</v>
      </c>
      <c r="C292" s="1107" t="s">
        <v>104</v>
      </c>
      <c r="D292" s="638"/>
      <c r="E292" s="1123" t="s">
        <v>1335</v>
      </c>
      <c r="F292" s="1123"/>
      <c r="G292" s="180"/>
      <c r="H292" s="201" t="s">
        <v>267</v>
      </c>
      <c r="I292" s="114"/>
      <c r="J292" s="190">
        <f>M292+Y292+AK292+AW292</f>
        <v>0</v>
      </c>
      <c r="K292" s="1092"/>
      <c r="L292" s="1092"/>
      <c r="M292" s="190">
        <f>M$201</f>
        <v>0</v>
      </c>
      <c r="N292" s="119"/>
      <c r="O292" s="183">
        <f>IF(OR(O$22=0,O$29=0,$M$187+$M$186=0),0,$M292*1000/O$31)</f>
        <v>0</v>
      </c>
      <c r="P292" s="183">
        <f t="shared" ref="P292:W292" si="297">IF(OR(P$22=0,P$29=0,$M$187+$M$186=0),0,$M292*1000/P$31)</f>
        <v>0</v>
      </c>
      <c r="Q292" s="183">
        <f t="shared" si="297"/>
        <v>0</v>
      </c>
      <c r="R292" s="183">
        <f t="shared" si="297"/>
        <v>0</v>
      </c>
      <c r="S292" s="183">
        <f t="shared" si="297"/>
        <v>0</v>
      </c>
      <c r="T292" s="183">
        <f t="shared" si="297"/>
        <v>0</v>
      </c>
      <c r="U292" s="183">
        <f t="shared" si="297"/>
        <v>0</v>
      </c>
      <c r="V292" s="183">
        <f t="shared" si="297"/>
        <v>0</v>
      </c>
      <c r="W292" s="183">
        <f t="shared" si="297"/>
        <v>0</v>
      </c>
      <c r="X292" s="108"/>
      <c r="Y292" s="190">
        <f>Y$201</f>
        <v>0</v>
      </c>
      <c r="Z292" s="119"/>
      <c r="AA292" s="183">
        <f>IF(OR(AA$22=0,AA$29=0,$M$187+$M$186=0),0,$Y292*1000/AA$31)</f>
        <v>0</v>
      </c>
      <c r="AB292" s="183">
        <f t="shared" ref="AB292:AI292" si="298">IF(OR(AB$22=0,AB$29=0,$M$187+$M$186=0),0,$Y292*1000/AB$31)</f>
        <v>0</v>
      </c>
      <c r="AC292" s="183">
        <f t="shared" si="298"/>
        <v>0</v>
      </c>
      <c r="AD292" s="183">
        <f t="shared" si="298"/>
        <v>0</v>
      </c>
      <c r="AE292" s="183">
        <f t="shared" si="298"/>
        <v>0</v>
      </c>
      <c r="AF292" s="183">
        <f t="shared" si="298"/>
        <v>0</v>
      </c>
      <c r="AG292" s="183">
        <f t="shared" si="298"/>
        <v>0</v>
      </c>
      <c r="AH292" s="183">
        <f t="shared" si="298"/>
        <v>0</v>
      </c>
      <c r="AI292" s="183">
        <f t="shared" si="298"/>
        <v>0</v>
      </c>
      <c r="AJ292" s="108"/>
      <c r="AK292" s="190">
        <f>AK$201</f>
        <v>0</v>
      </c>
      <c r="AL292" s="119"/>
      <c r="AM292" s="183">
        <f>IF(OR(AM$22=0,AM$29=0,$M$187+$M$186=0),0,$AK292*1000/AM$31)</f>
        <v>0</v>
      </c>
      <c r="AN292" s="183">
        <f t="shared" ref="AN292:AU292" si="299">IF(OR(AN$22=0,AN$29=0,$M$187+$M$186=0),0,$AK292*1000/AN$31)</f>
        <v>0</v>
      </c>
      <c r="AO292" s="183">
        <f t="shared" si="299"/>
        <v>0</v>
      </c>
      <c r="AP292" s="183">
        <f t="shared" si="299"/>
        <v>0</v>
      </c>
      <c r="AQ292" s="183">
        <f t="shared" si="299"/>
        <v>0</v>
      </c>
      <c r="AR292" s="183">
        <f t="shared" si="299"/>
        <v>0</v>
      </c>
      <c r="AS292" s="183">
        <f t="shared" si="299"/>
        <v>0</v>
      </c>
      <c r="AT292" s="183">
        <f t="shared" si="299"/>
        <v>0</v>
      </c>
      <c r="AU292" s="183">
        <f t="shared" si="299"/>
        <v>0</v>
      </c>
      <c r="AV292" s="108"/>
      <c r="AW292" s="190">
        <f>AW$201</f>
        <v>0</v>
      </c>
      <c r="AX292" s="119"/>
      <c r="AY292" s="183">
        <f>IF(OR(AY$22=0,AY$29=0,$M$187+$M$186=0),0,$AW292*1000/AY$31)</f>
        <v>0</v>
      </c>
      <c r="AZ292" s="183">
        <f t="shared" ref="AZ292:BG292" si="300">IF(OR(AZ$22=0,AZ$29=0,$M$187+$M$186=0),0,$AW292*1000/AZ$31)</f>
        <v>0</v>
      </c>
      <c r="BA292" s="183">
        <f t="shared" si="300"/>
        <v>0</v>
      </c>
      <c r="BB292" s="183">
        <f t="shared" si="300"/>
        <v>0</v>
      </c>
      <c r="BC292" s="183">
        <f t="shared" si="300"/>
        <v>0</v>
      </c>
      <c r="BD292" s="183">
        <f t="shared" si="300"/>
        <v>0</v>
      </c>
      <c r="BE292" s="183">
        <f t="shared" si="300"/>
        <v>0</v>
      </c>
      <c r="BF292" s="183">
        <f t="shared" si="300"/>
        <v>0</v>
      </c>
      <c r="BG292" s="183">
        <f t="shared" si="300"/>
        <v>0</v>
      </c>
      <c r="BH292" s="210"/>
    </row>
    <row r="293" spans="1:60">
      <c r="A293" s="1040"/>
      <c r="B293" s="1109" t="s">
        <v>1219</v>
      </c>
      <c r="C293" s="1106" t="s">
        <v>96</v>
      </c>
      <c r="D293" s="638"/>
      <c r="E293" s="942" t="s">
        <v>1319</v>
      </c>
      <c r="F293" s="942"/>
      <c r="G293" s="942"/>
      <c r="H293" s="942"/>
      <c r="I293" s="129"/>
      <c r="J293" s="943"/>
      <c r="K293" s="126"/>
      <c r="L293" s="126"/>
      <c r="M293" s="944"/>
      <c r="N293" s="195"/>
      <c r="O293" s="258" t="str">
        <f>O$17</f>
        <v/>
      </c>
      <c r="P293" s="258" t="str">
        <f t="shared" si="293"/>
        <v/>
      </c>
      <c r="Q293" s="258" t="str">
        <f t="shared" si="293"/>
        <v/>
      </c>
      <c r="R293" s="258" t="str">
        <f t="shared" si="293"/>
        <v/>
      </c>
      <c r="S293" s="258" t="str">
        <f t="shared" si="293"/>
        <v/>
      </c>
      <c r="T293" s="258" t="str">
        <f t="shared" si="293"/>
        <v/>
      </c>
      <c r="U293" s="258" t="str">
        <f t="shared" si="293"/>
        <v/>
      </c>
      <c r="V293" s="258" t="str">
        <f t="shared" si="293"/>
        <v/>
      </c>
      <c r="W293" s="258" t="str">
        <f t="shared" si="293"/>
        <v/>
      </c>
      <c r="X293" s="195"/>
      <c r="Y293" s="944"/>
      <c r="Z293" s="195"/>
      <c r="AA293" s="258" t="str">
        <f>AA$17</f>
        <v/>
      </c>
      <c r="AB293" s="258" t="str">
        <f t="shared" si="294"/>
        <v/>
      </c>
      <c r="AC293" s="258" t="str">
        <f t="shared" si="294"/>
        <v/>
      </c>
      <c r="AD293" s="258" t="str">
        <f t="shared" si="294"/>
        <v/>
      </c>
      <c r="AE293" s="258" t="str">
        <f t="shared" si="294"/>
        <v/>
      </c>
      <c r="AF293" s="258" t="str">
        <f t="shared" si="294"/>
        <v/>
      </c>
      <c r="AG293" s="258" t="str">
        <f t="shared" si="294"/>
        <v/>
      </c>
      <c r="AH293" s="258" t="str">
        <f t="shared" si="294"/>
        <v/>
      </c>
      <c r="AI293" s="258" t="str">
        <f t="shared" si="294"/>
        <v/>
      </c>
      <c r="AJ293" s="195"/>
      <c r="AK293" s="944"/>
      <c r="AL293" s="195"/>
      <c r="AM293" s="258" t="str">
        <f>AM$17</f>
        <v/>
      </c>
      <c r="AN293" s="258" t="str">
        <f t="shared" si="295"/>
        <v/>
      </c>
      <c r="AO293" s="258" t="str">
        <f t="shared" si="295"/>
        <v/>
      </c>
      <c r="AP293" s="258" t="str">
        <f t="shared" si="295"/>
        <v/>
      </c>
      <c r="AQ293" s="258" t="str">
        <f t="shared" si="295"/>
        <v/>
      </c>
      <c r="AR293" s="258" t="str">
        <f t="shared" si="295"/>
        <v/>
      </c>
      <c r="AS293" s="258" t="str">
        <f t="shared" si="295"/>
        <v/>
      </c>
      <c r="AT293" s="258" t="str">
        <f t="shared" si="295"/>
        <v/>
      </c>
      <c r="AU293" s="258" t="str">
        <f t="shared" si="295"/>
        <v/>
      </c>
      <c r="AV293" s="195"/>
      <c r="AW293" s="944"/>
      <c r="AX293" s="195"/>
      <c r="AY293" s="258" t="str">
        <f>AY$17</f>
        <v/>
      </c>
      <c r="AZ293" s="258" t="str">
        <f t="shared" si="296"/>
        <v/>
      </c>
      <c r="BA293" s="258" t="str">
        <f t="shared" si="296"/>
        <v/>
      </c>
      <c r="BB293" s="258" t="str">
        <f t="shared" si="296"/>
        <v/>
      </c>
      <c r="BC293" s="258" t="str">
        <f t="shared" si="296"/>
        <v/>
      </c>
      <c r="BD293" s="258" t="str">
        <f t="shared" si="296"/>
        <v/>
      </c>
      <c r="BE293" s="258" t="str">
        <f t="shared" si="296"/>
        <v/>
      </c>
      <c r="BF293" s="258" t="str">
        <f t="shared" si="296"/>
        <v/>
      </c>
      <c r="BG293" s="258" t="str">
        <f t="shared" si="296"/>
        <v/>
      </c>
      <c r="BH293" s="36"/>
    </row>
    <row r="294" spans="1:60">
      <c r="A294" s="1040"/>
      <c r="B294" s="1109" t="s">
        <v>1219</v>
      </c>
      <c r="C294" s="1107" t="s">
        <v>104</v>
      </c>
      <c r="D294" s="641"/>
      <c r="E294" s="1123" t="s">
        <v>269</v>
      </c>
      <c r="F294" s="1123"/>
      <c r="G294" s="180"/>
      <c r="H294" s="201" t="s">
        <v>267</v>
      </c>
      <c r="I294" s="114"/>
      <c r="J294" s="190">
        <f>M294+Y294+AK294+AW294</f>
        <v>0</v>
      </c>
      <c r="K294" s="1092"/>
      <c r="L294" s="1092"/>
      <c r="M294" s="190">
        <f>SUMPRODUCT(N294:X294,N$22:X$22,N$29:X$29)/1000</f>
        <v>0</v>
      </c>
      <c r="N294" s="119"/>
      <c r="O294" s="183">
        <f t="shared" ref="O294:W294" si="301">IF(OR(O$22=0,O$29=0,$M$187+$M$186=0),0,
-O73*($M$214/($M$187+$M$186))/O29)</f>
        <v>0</v>
      </c>
      <c r="P294" s="183">
        <f t="shared" si="301"/>
        <v>0</v>
      </c>
      <c r="Q294" s="183">
        <f t="shared" si="301"/>
        <v>0</v>
      </c>
      <c r="R294" s="183">
        <f t="shared" si="301"/>
        <v>0</v>
      </c>
      <c r="S294" s="183">
        <f t="shared" si="301"/>
        <v>0</v>
      </c>
      <c r="T294" s="183">
        <f t="shared" si="301"/>
        <v>0</v>
      </c>
      <c r="U294" s="183">
        <f t="shared" si="301"/>
        <v>0</v>
      </c>
      <c r="V294" s="183">
        <f t="shared" si="301"/>
        <v>0</v>
      </c>
      <c r="W294" s="183">
        <f t="shared" si="301"/>
        <v>0</v>
      </c>
      <c r="X294" s="108"/>
      <c r="Y294" s="190">
        <f>SUMPRODUCT(Z294:AJ294,Z$22:AJ$22,Z$29:AJ$29)/1000</f>
        <v>0</v>
      </c>
      <c r="Z294" s="119"/>
      <c r="AA294" s="183">
        <f t="shared" ref="AA294:AI294" si="302">IF(OR(AA$22=0,AA$29=0,$Y$187+$Y$186=0),0,
-AA73*($Y$214/($Y$187+$Y$186))/AA29)</f>
        <v>0</v>
      </c>
      <c r="AB294" s="183">
        <f t="shared" si="302"/>
        <v>0</v>
      </c>
      <c r="AC294" s="183">
        <f t="shared" si="302"/>
        <v>0</v>
      </c>
      <c r="AD294" s="183">
        <f t="shared" si="302"/>
        <v>0</v>
      </c>
      <c r="AE294" s="183">
        <f t="shared" si="302"/>
        <v>0</v>
      </c>
      <c r="AF294" s="183">
        <f t="shared" si="302"/>
        <v>0</v>
      </c>
      <c r="AG294" s="183">
        <f t="shared" si="302"/>
        <v>0</v>
      </c>
      <c r="AH294" s="183">
        <f t="shared" si="302"/>
        <v>0</v>
      </c>
      <c r="AI294" s="183">
        <f t="shared" si="302"/>
        <v>0</v>
      </c>
      <c r="AJ294" s="108"/>
      <c r="AK294" s="190">
        <f>SUMPRODUCT(AL294:AV294,AL$22:AV$22,AL$29:AV$29)/1000</f>
        <v>0</v>
      </c>
      <c r="AL294" s="119"/>
      <c r="AM294" s="183">
        <f t="shared" ref="AM294:AU294" si="303">IF(OR(AM$22=0,AM$29=0,$AK$187+$AK$186=0),0,
-AM73*($AK$214/($AK$187+$AK$186))/AM29)</f>
        <v>0</v>
      </c>
      <c r="AN294" s="183">
        <f t="shared" si="303"/>
        <v>0</v>
      </c>
      <c r="AO294" s="183">
        <f t="shared" si="303"/>
        <v>0</v>
      </c>
      <c r="AP294" s="183">
        <f t="shared" si="303"/>
        <v>0</v>
      </c>
      <c r="AQ294" s="183">
        <f t="shared" si="303"/>
        <v>0</v>
      </c>
      <c r="AR294" s="183">
        <f t="shared" si="303"/>
        <v>0</v>
      </c>
      <c r="AS294" s="183">
        <f t="shared" si="303"/>
        <v>0</v>
      </c>
      <c r="AT294" s="183">
        <f t="shared" si="303"/>
        <v>0</v>
      </c>
      <c r="AU294" s="183">
        <f t="shared" si="303"/>
        <v>0</v>
      </c>
      <c r="AV294" s="108"/>
      <c r="AW294" s="190">
        <f>SUMPRODUCT(AX294:BH294,AX$22:BH$22,AX$29:BH$29)/1000</f>
        <v>0</v>
      </c>
      <c r="AX294" s="119"/>
      <c r="AY294" s="183">
        <f t="shared" ref="AY294:BG294" si="304">IF(OR(AY$22=0,AY$29=0,$AW$187+$AW$186=0),0,
-AY73*($AW$214/($AW$187+$AW$186))/AY29)</f>
        <v>0</v>
      </c>
      <c r="AZ294" s="183">
        <f t="shared" si="304"/>
        <v>0</v>
      </c>
      <c r="BA294" s="183">
        <f t="shared" si="304"/>
        <v>0</v>
      </c>
      <c r="BB294" s="183">
        <f t="shared" si="304"/>
        <v>0</v>
      </c>
      <c r="BC294" s="183">
        <f t="shared" si="304"/>
        <v>0</v>
      </c>
      <c r="BD294" s="183">
        <f t="shared" si="304"/>
        <v>0</v>
      </c>
      <c r="BE294" s="183">
        <f t="shared" si="304"/>
        <v>0</v>
      </c>
      <c r="BF294" s="183">
        <f t="shared" si="304"/>
        <v>0</v>
      </c>
      <c r="BG294" s="183">
        <f t="shared" si="304"/>
        <v>0</v>
      </c>
      <c r="BH294" s="210"/>
    </row>
    <row r="295" spans="1:60">
      <c r="A295" s="1040"/>
      <c r="B295" s="1109" t="s">
        <v>1219</v>
      </c>
      <c r="C295" s="1107" t="s">
        <v>104</v>
      </c>
      <c r="D295" s="641"/>
      <c r="E295" s="1123" t="s">
        <v>268</v>
      </c>
      <c r="F295" s="1123"/>
      <c r="G295" s="180"/>
      <c r="H295" s="201" t="s">
        <v>267</v>
      </c>
      <c r="I295" s="114"/>
      <c r="J295" s="190">
        <f>M295+Y295+AK295+AW295</f>
        <v>0</v>
      </c>
      <c r="K295" s="1092"/>
      <c r="L295" s="1092"/>
      <c r="M295" s="190">
        <f>SUMPRODUCT(N295:X295,N$22:X$22,N$29:X$29)/1000</f>
        <v>0</v>
      </c>
      <c r="N295" s="119"/>
      <c r="O295" s="183">
        <f t="shared" ref="O295:W295" si="305">IF(OR(O$22=0,O$29=0,$M$187+$M$186=0),0,
-(O275*($M$187/($M$187+$M$186))*$M$214*1000)/(O22*O29))</f>
        <v>0</v>
      </c>
      <c r="P295" s="183">
        <f t="shared" si="305"/>
        <v>0</v>
      </c>
      <c r="Q295" s="183">
        <f t="shared" si="305"/>
        <v>0</v>
      </c>
      <c r="R295" s="183">
        <f t="shared" si="305"/>
        <v>0</v>
      </c>
      <c r="S295" s="183">
        <f t="shared" si="305"/>
        <v>0</v>
      </c>
      <c r="T295" s="183">
        <f t="shared" si="305"/>
        <v>0</v>
      </c>
      <c r="U295" s="183">
        <f t="shared" si="305"/>
        <v>0</v>
      </c>
      <c r="V295" s="183">
        <f t="shared" si="305"/>
        <v>0</v>
      </c>
      <c r="W295" s="183">
        <f t="shared" si="305"/>
        <v>0</v>
      </c>
      <c r="X295" s="108"/>
      <c r="Y295" s="190">
        <f>SUMPRODUCT(Z295:AJ295,Z$22:AJ$22,Z$29:AJ$29)/1000</f>
        <v>0</v>
      </c>
      <c r="Z295" s="119"/>
      <c r="AA295" s="183">
        <f t="shared" ref="AA295:AI295" si="306">IF(OR(AA$17="-",AA$22=0,AA$29=0,$Y$187+$Y$186=0),0,
-(AA275*($Y$187/($Y$187+$Y$186))*$Y$214*1000)/(AA22*AA29))</f>
        <v>0</v>
      </c>
      <c r="AB295" s="183">
        <f t="shared" si="306"/>
        <v>0</v>
      </c>
      <c r="AC295" s="183">
        <f t="shared" si="306"/>
        <v>0</v>
      </c>
      <c r="AD295" s="183">
        <f t="shared" si="306"/>
        <v>0</v>
      </c>
      <c r="AE295" s="183">
        <f t="shared" si="306"/>
        <v>0</v>
      </c>
      <c r="AF295" s="183">
        <f t="shared" si="306"/>
        <v>0</v>
      </c>
      <c r="AG295" s="183">
        <f t="shared" si="306"/>
        <v>0</v>
      </c>
      <c r="AH295" s="183">
        <f t="shared" si="306"/>
        <v>0</v>
      </c>
      <c r="AI295" s="183">
        <f t="shared" si="306"/>
        <v>0</v>
      </c>
      <c r="AJ295" s="108"/>
      <c r="AK295" s="190">
        <f>SUMPRODUCT(AL295:AV295,AL$22:AV$22,AL$29:AV$29)/1000</f>
        <v>0</v>
      </c>
      <c r="AL295" s="119"/>
      <c r="AM295" s="183">
        <f t="shared" ref="AM295:AU295" si="307">IF(OR(AM$22=0,AM$29=0,$AK$187+$AK$186=0),0,
-AM275*($AK$187/($AK$187+$AK$186))*$AK$214*1000/(AM22*AM29))</f>
        <v>0</v>
      </c>
      <c r="AN295" s="183">
        <f t="shared" si="307"/>
        <v>0</v>
      </c>
      <c r="AO295" s="183">
        <f t="shared" si="307"/>
        <v>0</v>
      </c>
      <c r="AP295" s="183">
        <f t="shared" si="307"/>
        <v>0</v>
      </c>
      <c r="AQ295" s="183">
        <f t="shared" si="307"/>
        <v>0</v>
      </c>
      <c r="AR295" s="183">
        <f t="shared" si="307"/>
        <v>0</v>
      </c>
      <c r="AS295" s="183">
        <f t="shared" si="307"/>
        <v>0</v>
      </c>
      <c r="AT295" s="183">
        <f t="shared" si="307"/>
        <v>0</v>
      </c>
      <c r="AU295" s="183">
        <f t="shared" si="307"/>
        <v>0</v>
      </c>
      <c r="AV295" s="108"/>
      <c r="AW295" s="190">
        <f>SUMPRODUCT(AX295:BH295,AX$22:BH$22,AX$29:BH$29)/1000</f>
        <v>0</v>
      </c>
      <c r="AX295" s="119"/>
      <c r="AY295" s="183">
        <f t="shared" ref="AY295:BG295" si="308">IF(OR(AY$22=0,AY$29=0,$AW$187+$AW$186=0),0,
-AY275*($AW$187/($AW$187+$AW$186))*$AW$214*1000/(AY22*AY29))</f>
        <v>0</v>
      </c>
      <c r="AZ295" s="183">
        <f t="shared" si="308"/>
        <v>0</v>
      </c>
      <c r="BA295" s="183">
        <f t="shared" si="308"/>
        <v>0</v>
      </c>
      <c r="BB295" s="183">
        <f t="shared" si="308"/>
        <v>0</v>
      </c>
      <c r="BC295" s="183">
        <f t="shared" si="308"/>
        <v>0</v>
      </c>
      <c r="BD295" s="183">
        <f t="shared" si="308"/>
        <v>0</v>
      </c>
      <c r="BE295" s="183">
        <f t="shared" si="308"/>
        <v>0</v>
      </c>
      <c r="BF295" s="183">
        <f t="shared" si="308"/>
        <v>0</v>
      </c>
      <c r="BG295" s="183">
        <f t="shared" si="308"/>
        <v>0</v>
      </c>
      <c r="BH295" s="210"/>
    </row>
    <row r="296" spans="1:60">
      <c r="A296" s="1040"/>
      <c r="B296" s="1109" t="s">
        <v>1219</v>
      </c>
      <c r="C296" s="1107" t="s">
        <v>104</v>
      </c>
      <c r="D296" s="641"/>
      <c r="E296" s="1123" t="s">
        <v>232</v>
      </c>
      <c r="F296" s="1123"/>
      <c r="G296" s="180"/>
      <c r="H296" s="201" t="s">
        <v>267</v>
      </c>
      <c r="I296" s="114"/>
      <c r="J296" s="190">
        <f>M296+Y296+AK296+AW296</f>
        <v>0</v>
      </c>
      <c r="K296" s="1092"/>
      <c r="L296" s="1092"/>
      <c r="M296" s="190">
        <f>M295+M294</f>
        <v>0</v>
      </c>
      <c r="N296" s="119"/>
      <c r="O296" s="183">
        <f t="shared" ref="O296:W296" si="309">O295+O294</f>
        <v>0</v>
      </c>
      <c r="P296" s="183">
        <f t="shared" si="309"/>
        <v>0</v>
      </c>
      <c r="Q296" s="183">
        <f t="shared" si="309"/>
        <v>0</v>
      </c>
      <c r="R296" s="183">
        <f t="shared" si="309"/>
        <v>0</v>
      </c>
      <c r="S296" s="183">
        <f t="shared" si="309"/>
        <v>0</v>
      </c>
      <c r="T296" s="183">
        <f t="shared" si="309"/>
        <v>0</v>
      </c>
      <c r="U296" s="183">
        <f t="shared" si="309"/>
        <v>0</v>
      </c>
      <c r="V296" s="183">
        <f t="shared" si="309"/>
        <v>0</v>
      </c>
      <c r="W296" s="183">
        <f t="shared" si="309"/>
        <v>0</v>
      </c>
      <c r="X296" s="108"/>
      <c r="Y296" s="190">
        <f>Y295+Y294</f>
        <v>0</v>
      </c>
      <c r="Z296" s="119"/>
      <c r="AA296" s="183">
        <f t="shared" ref="AA296:AI296" si="310">AA295+AA294</f>
        <v>0</v>
      </c>
      <c r="AB296" s="183">
        <f t="shared" si="310"/>
        <v>0</v>
      </c>
      <c r="AC296" s="183">
        <f t="shared" si="310"/>
        <v>0</v>
      </c>
      <c r="AD296" s="183">
        <f t="shared" si="310"/>
        <v>0</v>
      </c>
      <c r="AE296" s="183">
        <f t="shared" si="310"/>
        <v>0</v>
      </c>
      <c r="AF296" s="183">
        <f t="shared" si="310"/>
        <v>0</v>
      </c>
      <c r="AG296" s="183">
        <f t="shared" si="310"/>
        <v>0</v>
      </c>
      <c r="AH296" s="183">
        <f t="shared" si="310"/>
        <v>0</v>
      </c>
      <c r="AI296" s="183">
        <f t="shared" si="310"/>
        <v>0</v>
      </c>
      <c r="AJ296" s="108"/>
      <c r="AK296" s="190">
        <f>AK295+AK294</f>
        <v>0</v>
      </c>
      <c r="AL296" s="119"/>
      <c r="AM296" s="183">
        <f t="shared" ref="AM296:AU296" si="311">AM295+AM294</f>
        <v>0</v>
      </c>
      <c r="AN296" s="183">
        <f t="shared" si="311"/>
        <v>0</v>
      </c>
      <c r="AO296" s="183">
        <f t="shared" si="311"/>
        <v>0</v>
      </c>
      <c r="AP296" s="183">
        <f t="shared" si="311"/>
        <v>0</v>
      </c>
      <c r="AQ296" s="183">
        <f t="shared" si="311"/>
        <v>0</v>
      </c>
      <c r="AR296" s="183">
        <f t="shared" si="311"/>
        <v>0</v>
      </c>
      <c r="AS296" s="183">
        <f t="shared" si="311"/>
        <v>0</v>
      </c>
      <c r="AT296" s="183">
        <f t="shared" si="311"/>
        <v>0</v>
      </c>
      <c r="AU296" s="183">
        <f t="shared" si="311"/>
        <v>0</v>
      </c>
      <c r="AV296" s="108"/>
      <c r="AW296" s="190">
        <f>AW295+AW294</f>
        <v>0</v>
      </c>
      <c r="AX296" s="119"/>
      <c r="AY296" s="183">
        <f t="shared" ref="AY296:BG296" si="312">AY295+AY294</f>
        <v>0</v>
      </c>
      <c r="AZ296" s="183">
        <f t="shared" si="312"/>
        <v>0</v>
      </c>
      <c r="BA296" s="183">
        <f t="shared" si="312"/>
        <v>0</v>
      </c>
      <c r="BB296" s="183">
        <f t="shared" si="312"/>
        <v>0</v>
      </c>
      <c r="BC296" s="183">
        <f t="shared" si="312"/>
        <v>0</v>
      </c>
      <c r="BD296" s="183">
        <f t="shared" si="312"/>
        <v>0</v>
      </c>
      <c r="BE296" s="183">
        <f t="shared" si="312"/>
        <v>0</v>
      </c>
      <c r="BF296" s="183">
        <f t="shared" si="312"/>
        <v>0</v>
      </c>
      <c r="BG296" s="183">
        <f t="shared" si="312"/>
        <v>0</v>
      </c>
      <c r="BH296" s="210"/>
    </row>
    <row r="297" spans="1:60">
      <c r="A297" s="1040"/>
      <c r="B297" s="1109" t="s">
        <v>1219</v>
      </c>
      <c r="C297" s="1106" t="s">
        <v>96</v>
      </c>
      <c r="D297" s="638"/>
      <c r="E297" s="942" t="s">
        <v>1359</v>
      </c>
      <c r="F297" s="942"/>
      <c r="G297" s="942"/>
      <c r="H297" s="942"/>
      <c r="I297" s="129"/>
      <c r="J297" s="943"/>
      <c r="K297" s="126"/>
      <c r="L297" s="126"/>
      <c r="M297" s="944"/>
      <c r="N297" s="195"/>
      <c r="O297" s="258" t="str">
        <f>O$17</f>
        <v/>
      </c>
      <c r="P297" s="258" t="str">
        <f t="shared" ref="P297:W297" si="313">P$17</f>
        <v/>
      </c>
      <c r="Q297" s="258" t="str">
        <f t="shared" si="313"/>
        <v/>
      </c>
      <c r="R297" s="258" t="str">
        <f t="shared" si="313"/>
        <v/>
      </c>
      <c r="S297" s="258" t="str">
        <f t="shared" si="313"/>
        <v/>
      </c>
      <c r="T297" s="258" t="str">
        <f t="shared" si="313"/>
        <v/>
      </c>
      <c r="U297" s="258" t="str">
        <f t="shared" si="313"/>
        <v/>
      </c>
      <c r="V297" s="258" t="str">
        <f t="shared" si="313"/>
        <v/>
      </c>
      <c r="W297" s="258" t="str">
        <f t="shared" si="313"/>
        <v/>
      </c>
      <c r="X297" s="195"/>
      <c r="Y297" s="944"/>
      <c r="Z297" s="195"/>
      <c r="AA297" s="258" t="str">
        <f>AA$17</f>
        <v/>
      </c>
      <c r="AB297" s="258" t="str">
        <f t="shared" ref="AB297:AI297" si="314">AB$17</f>
        <v/>
      </c>
      <c r="AC297" s="258" t="str">
        <f t="shared" si="314"/>
        <v/>
      </c>
      <c r="AD297" s="258" t="str">
        <f t="shared" si="314"/>
        <v/>
      </c>
      <c r="AE297" s="258" t="str">
        <f t="shared" si="314"/>
        <v/>
      </c>
      <c r="AF297" s="258" t="str">
        <f t="shared" si="314"/>
        <v/>
      </c>
      <c r="AG297" s="258" t="str">
        <f t="shared" si="314"/>
        <v/>
      </c>
      <c r="AH297" s="258" t="str">
        <f t="shared" si="314"/>
        <v/>
      </c>
      <c r="AI297" s="258" t="str">
        <f t="shared" si="314"/>
        <v/>
      </c>
      <c r="AJ297" s="195"/>
      <c r="AK297" s="944"/>
      <c r="AL297" s="195"/>
      <c r="AM297" s="258" t="str">
        <f>AM$17</f>
        <v/>
      </c>
      <c r="AN297" s="258" t="str">
        <f t="shared" ref="AN297:AU297" si="315">AN$17</f>
        <v/>
      </c>
      <c r="AO297" s="258" t="str">
        <f t="shared" si="315"/>
        <v/>
      </c>
      <c r="AP297" s="258" t="str">
        <f t="shared" si="315"/>
        <v/>
      </c>
      <c r="AQ297" s="258" t="str">
        <f t="shared" si="315"/>
        <v/>
      </c>
      <c r="AR297" s="258" t="str">
        <f t="shared" si="315"/>
        <v/>
      </c>
      <c r="AS297" s="258" t="str">
        <f t="shared" si="315"/>
        <v/>
      </c>
      <c r="AT297" s="258" t="str">
        <f t="shared" si="315"/>
        <v/>
      </c>
      <c r="AU297" s="258" t="str">
        <f t="shared" si="315"/>
        <v/>
      </c>
      <c r="AV297" s="195"/>
      <c r="AW297" s="944"/>
      <c r="AX297" s="195"/>
      <c r="AY297" s="258" t="str">
        <f>AY$17</f>
        <v/>
      </c>
      <c r="AZ297" s="258" t="str">
        <f t="shared" ref="AZ297:BG297" si="316">AZ$17</f>
        <v/>
      </c>
      <c r="BA297" s="258" t="str">
        <f t="shared" si="316"/>
        <v/>
      </c>
      <c r="BB297" s="258" t="str">
        <f t="shared" si="316"/>
        <v/>
      </c>
      <c r="BC297" s="258" t="str">
        <f t="shared" si="316"/>
        <v/>
      </c>
      <c r="BD297" s="258" t="str">
        <f t="shared" si="316"/>
        <v/>
      </c>
      <c r="BE297" s="258" t="str">
        <f t="shared" si="316"/>
        <v/>
      </c>
      <c r="BF297" s="258" t="str">
        <f t="shared" si="316"/>
        <v/>
      </c>
      <c r="BG297" s="258" t="str">
        <f t="shared" si="316"/>
        <v/>
      </c>
      <c r="BH297" s="36"/>
    </row>
    <row r="298" spans="1:60">
      <c r="A298" s="1040"/>
      <c r="B298" s="1109" t="s">
        <v>1219</v>
      </c>
      <c r="C298" s="1107" t="s">
        <v>104</v>
      </c>
      <c r="D298" s="641"/>
      <c r="E298" s="1123" t="s">
        <v>1340</v>
      </c>
      <c r="F298" s="180"/>
      <c r="G298" s="180"/>
      <c r="H298" s="201" t="s">
        <v>267</v>
      </c>
      <c r="I298" s="114"/>
      <c r="J298" s="190">
        <f>M298+Y298+AK298+AW298</f>
        <v>0</v>
      </c>
      <c r="K298" s="1092"/>
      <c r="L298" s="1092"/>
      <c r="M298" s="190">
        <f>SUMPRODUCT(N298:X298,N$22:X$22,N$29:X$29)/1000</f>
        <v>0</v>
      </c>
      <c r="N298" s="119"/>
      <c r="O298" s="183">
        <f t="shared" ref="O298:W298" si="317">O290+O296</f>
        <v>0</v>
      </c>
      <c r="P298" s="183">
        <f t="shared" si="317"/>
        <v>0</v>
      </c>
      <c r="Q298" s="183">
        <f t="shared" si="317"/>
        <v>0</v>
      </c>
      <c r="R298" s="183">
        <f t="shared" si="317"/>
        <v>0</v>
      </c>
      <c r="S298" s="183">
        <f t="shared" si="317"/>
        <v>0</v>
      </c>
      <c r="T298" s="183">
        <f t="shared" si="317"/>
        <v>0</v>
      </c>
      <c r="U298" s="183">
        <f t="shared" si="317"/>
        <v>0</v>
      </c>
      <c r="V298" s="183">
        <f t="shared" si="317"/>
        <v>0</v>
      </c>
      <c r="W298" s="183">
        <f t="shared" si="317"/>
        <v>0</v>
      </c>
      <c r="X298" s="108"/>
      <c r="Y298" s="190">
        <f>Y290+Y296</f>
        <v>0</v>
      </c>
      <c r="Z298" s="119"/>
      <c r="AA298" s="183">
        <f t="shared" ref="AA298:AI298" si="318">AA290+AA296</f>
        <v>0</v>
      </c>
      <c r="AB298" s="183">
        <f t="shared" si="318"/>
        <v>0</v>
      </c>
      <c r="AC298" s="183">
        <f t="shared" si="318"/>
        <v>0</v>
      </c>
      <c r="AD298" s="183">
        <f t="shared" si="318"/>
        <v>0</v>
      </c>
      <c r="AE298" s="183">
        <f t="shared" si="318"/>
        <v>0</v>
      </c>
      <c r="AF298" s="183">
        <f t="shared" si="318"/>
        <v>0</v>
      </c>
      <c r="AG298" s="183">
        <f t="shared" si="318"/>
        <v>0</v>
      </c>
      <c r="AH298" s="183">
        <f t="shared" si="318"/>
        <v>0</v>
      </c>
      <c r="AI298" s="183">
        <f t="shared" si="318"/>
        <v>0</v>
      </c>
      <c r="AJ298" s="108"/>
      <c r="AK298" s="190">
        <f>AK290+AK296</f>
        <v>0</v>
      </c>
      <c r="AL298" s="119"/>
      <c r="AM298" s="183">
        <f t="shared" ref="AM298:AU298" si="319">AM290+AM296</f>
        <v>0</v>
      </c>
      <c r="AN298" s="183">
        <f t="shared" si="319"/>
        <v>0</v>
      </c>
      <c r="AO298" s="183">
        <f t="shared" si="319"/>
        <v>0</v>
      </c>
      <c r="AP298" s="183">
        <f t="shared" si="319"/>
        <v>0</v>
      </c>
      <c r="AQ298" s="183">
        <f t="shared" si="319"/>
        <v>0</v>
      </c>
      <c r="AR298" s="183">
        <f t="shared" si="319"/>
        <v>0</v>
      </c>
      <c r="AS298" s="183">
        <f t="shared" si="319"/>
        <v>0</v>
      </c>
      <c r="AT298" s="183">
        <f t="shared" si="319"/>
        <v>0</v>
      </c>
      <c r="AU298" s="183">
        <f t="shared" si="319"/>
        <v>0</v>
      </c>
      <c r="AV298" s="108"/>
      <c r="AW298" s="190">
        <f>AW290+AW296</f>
        <v>0</v>
      </c>
      <c r="AX298" s="119"/>
      <c r="AY298" s="183">
        <f t="shared" ref="AY298:BG298" si="320">AY290+AY296</f>
        <v>0</v>
      </c>
      <c r="AZ298" s="183">
        <f t="shared" si="320"/>
        <v>0</v>
      </c>
      <c r="BA298" s="183">
        <f t="shared" si="320"/>
        <v>0</v>
      </c>
      <c r="BB298" s="183">
        <f t="shared" si="320"/>
        <v>0</v>
      </c>
      <c r="BC298" s="183">
        <f t="shared" si="320"/>
        <v>0</v>
      </c>
      <c r="BD298" s="183">
        <f t="shared" si="320"/>
        <v>0</v>
      </c>
      <c r="BE298" s="183">
        <f t="shared" si="320"/>
        <v>0</v>
      </c>
      <c r="BF298" s="183">
        <f t="shared" si="320"/>
        <v>0</v>
      </c>
      <c r="BG298" s="183">
        <f t="shared" si="320"/>
        <v>0</v>
      </c>
      <c r="BH298" s="210"/>
    </row>
    <row r="299" spans="1:60">
      <c r="A299" s="1040"/>
      <c r="B299" s="1109" t="s">
        <v>1219</v>
      </c>
      <c r="C299" s="1107" t="s">
        <v>104</v>
      </c>
      <c r="D299" s="641"/>
      <c r="E299" s="1123" t="s">
        <v>1341</v>
      </c>
      <c r="F299" s="180"/>
      <c r="G299" s="180"/>
      <c r="H299" s="201" t="s">
        <v>267</v>
      </c>
      <c r="I299" s="114"/>
      <c r="J299" s="190">
        <f>M299+Y299+AK299+AW299</f>
        <v>0</v>
      </c>
      <c r="K299" s="1092"/>
      <c r="L299" s="1092"/>
      <c r="M299" s="190">
        <f>SUMPRODUCT(N299:X299,N$22:X$22,N$29:X$29)/1000</f>
        <v>0</v>
      </c>
      <c r="N299" s="119"/>
      <c r="O299" s="183">
        <f t="shared" ref="O299:W299" si="321">O$282+O$283+O$284+IF(OR(O$19=woning,O$19=woongebouw),0,O$285)+O$286-O$292+O$296</f>
        <v>0</v>
      </c>
      <c r="P299" s="183">
        <f t="shared" si="321"/>
        <v>0</v>
      </c>
      <c r="Q299" s="183">
        <f t="shared" si="321"/>
        <v>0</v>
      </c>
      <c r="R299" s="183">
        <f t="shared" si="321"/>
        <v>0</v>
      </c>
      <c r="S299" s="183">
        <f t="shared" si="321"/>
        <v>0</v>
      </c>
      <c r="T299" s="183">
        <f t="shared" si="321"/>
        <v>0</v>
      </c>
      <c r="U299" s="183">
        <f t="shared" si="321"/>
        <v>0</v>
      </c>
      <c r="V299" s="183">
        <f t="shared" si="321"/>
        <v>0</v>
      </c>
      <c r="W299" s="183">
        <f t="shared" si="321"/>
        <v>0</v>
      </c>
      <c r="X299" s="108"/>
      <c r="Y299" s="190">
        <f>SUMPRODUCT(Z299:AJ299,Z$22:AJ$22,Z$29:AJ$29)/1000</f>
        <v>0</v>
      </c>
      <c r="Z299" s="119"/>
      <c r="AA299" s="183">
        <f t="shared" ref="AA299:AI299" si="322">AA$282+AA$283+AA$284+IF(OR(AA$19=woning,AA$19=woongebouw),0,AA$285)+AA$286-AA$292+AA$296</f>
        <v>0</v>
      </c>
      <c r="AB299" s="183">
        <f t="shared" si="322"/>
        <v>0</v>
      </c>
      <c r="AC299" s="183">
        <f t="shared" si="322"/>
        <v>0</v>
      </c>
      <c r="AD299" s="183">
        <f t="shared" si="322"/>
        <v>0</v>
      </c>
      <c r="AE299" s="183">
        <f t="shared" si="322"/>
        <v>0</v>
      </c>
      <c r="AF299" s="183">
        <f t="shared" si="322"/>
        <v>0</v>
      </c>
      <c r="AG299" s="183">
        <f t="shared" si="322"/>
        <v>0</v>
      </c>
      <c r="AH299" s="183">
        <f t="shared" si="322"/>
        <v>0</v>
      </c>
      <c r="AI299" s="183">
        <f t="shared" si="322"/>
        <v>0</v>
      </c>
      <c r="AJ299" s="108"/>
      <c r="AK299" s="190">
        <f>SUMPRODUCT(AL299:AV299,AL$22:AV$22,AL$29:AV$29)/1000</f>
        <v>0</v>
      </c>
      <c r="AL299" s="119"/>
      <c r="AM299" s="183">
        <f t="shared" ref="AM299:AU299" si="323">AM$282+AM$283+AM$284+IF(OR(AM$19=woning,AM$19=woongebouw),0,AM$285)+AM$286-AM$292+AM$296</f>
        <v>0</v>
      </c>
      <c r="AN299" s="183">
        <f t="shared" si="323"/>
        <v>0</v>
      </c>
      <c r="AO299" s="183">
        <f t="shared" si="323"/>
        <v>0</v>
      </c>
      <c r="AP299" s="183">
        <f t="shared" si="323"/>
        <v>0</v>
      </c>
      <c r="AQ299" s="183">
        <f t="shared" si="323"/>
        <v>0</v>
      </c>
      <c r="AR299" s="183">
        <f t="shared" si="323"/>
        <v>0</v>
      </c>
      <c r="AS299" s="183">
        <f t="shared" si="323"/>
        <v>0</v>
      </c>
      <c r="AT299" s="183">
        <f t="shared" si="323"/>
        <v>0</v>
      </c>
      <c r="AU299" s="183">
        <f t="shared" si="323"/>
        <v>0</v>
      </c>
      <c r="AV299" s="108"/>
      <c r="AW299" s="190">
        <f>SUMPRODUCT(AX299:BH299,AX$22:BH$22,AX$29:BH$29)/1000</f>
        <v>0</v>
      </c>
      <c r="AX299" s="119"/>
      <c r="AY299" s="183">
        <f t="shared" ref="AY299:BG299" si="324">AY$282+AY$283+AY$284+IF(OR(AY$19=woning,AY$19=woongebouw),0,AY$285)+AY$286-AY$292+AY$296</f>
        <v>0</v>
      </c>
      <c r="AZ299" s="183">
        <f t="shared" si="324"/>
        <v>0</v>
      </c>
      <c r="BA299" s="183">
        <f t="shared" si="324"/>
        <v>0</v>
      </c>
      <c r="BB299" s="183">
        <f t="shared" si="324"/>
        <v>0</v>
      </c>
      <c r="BC299" s="183">
        <f t="shared" si="324"/>
        <v>0</v>
      </c>
      <c r="BD299" s="183">
        <f t="shared" si="324"/>
        <v>0</v>
      </c>
      <c r="BE299" s="183">
        <f t="shared" si="324"/>
        <v>0</v>
      </c>
      <c r="BF299" s="183">
        <f t="shared" si="324"/>
        <v>0</v>
      </c>
      <c r="BG299" s="183">
        <f t="shared" si="324"/>
        <v>0</v>
      </c>
      <c r="BH299" s="210"/>
    </row>
    <row r="300" spans="1:60">
      <c r="A300" s="1040"/>
      <c r="B300" s="1109" t="s">
        <v>1221</v>
      </c>
      <c r="C300" s="1106" t="s">
        <v>96</v>
      </c>
      <c r="D300" s="638"/>
      <c r="E300" s="79"/>
      <c r="F300" s="79"/>
      <c r="G300" s="79"/>
      <c r="H300" s="85"/>
      <c r="I300" s="79"/>
      <c r="J300" s="113"/>
      <c r="K300" s="79"/>
      <c r="L300" s="79"/>
      <c r="M300" s="113"/>
      <c r="N300" s="79"/>
      <c r="O300" s="81"/>
      <c r="P300" s="356"/>
      <c r="Q300" s="356"/>
      <c r="R300" s="82"/>
      <c r="S300" s="1152"/>
      <c r="T300" s="82"/>
      <c r="U300" s="82"/>
      <c r="V300" s="82"/>
      <c r="W300" s="82"/>
      <c r="X300" s="82"/>
      <c r="Y300" s="82"/>
      <c r="Z300" s="79"/>
      <c r="AA300" s="79"/>
      <c r="AB300" s="79"/>
      <c r="AC300" s="79"/>
      <c r="AD300" s="79"/>
      <c r="AE300" s="79"/>
      <c r="AF300" s="79"/>
      <c r="AG300" s="79"/>
      <c r="AH300" s="79"/>
      <c r="AI300" s="79"/>
      <c r="AJ300" s="79"/>
      <c r="AK300" s="113"/>
      <c r="AL300" s="79"/>
      <c r="AM300" s="82"/>
      <c r="AN300" s="82"/>
      <c r="AO300" s="82"/>
      <c r="AP300" s="82"/>
      <c r="AQ300" s="82"/>
      <c r="AR300" s="82"/>
      <c r="AS300" s="82"/>
      <c r="AT300" s="82"/>
      <c r="AU300" s="82"/>
      <c r="AV300" s="82"/>
      <c r="AW300" s="82"/>
      <c r="AX300" s="79"/>
      <c r="AY300" s="82"/>
      <c r="AZ300" s="82"/>
      <c r="BA300" s="82"/>
      <c r="BB300" s="82"/>
      <c r="BC300" s="82"/>
      <c r="BD300" s="82"/>
      <c r="BE300" s="82"/>
      <c r="BF300" s="82"/>
      <c r="BG300" s="82"/>
      <c r="BH300" s="1"/>
    </row>
    <row r="301" spans="1:60">
      <c r="A301" s="1040"/>
      <c r="B301" s="1109" t="s">
        <v>1222</v>
      </c>
      <c r="C301" s="1107" t="s">
        <v>96</v>
      </c>
      <c r="D301" s="638"/>
      <c r="E301" s="79"/>
      <c r="F301" s="79"/>
      <c r="G301" s="79"/>
      <c r="H301" s="85"/>
      <c r="I301" s="79"/>
      <c r="J301" s="1088"/>
      <c r="K301" s="79"/>
      <c r="L301" s="79"/>
      <c r="M301" s="113"/>
      <c r="N301" s="79"/>
      <c r="O301" s="1087"/>
      <c r="P301" s="356"/>
      <c r="Q301" s="356"/>
      <c r="R301" s="123"/>
      <c r="S301" s="82"/>
      <c r="T301" s="82"/>
      <c r="U301" s="82"/>
      <c r="V301" s="82"/>
      <c r="W301" s="82"/>
      <c r="X301" s="82"/>
      <c r="Y301" s="82"/>
      <c r="Z301" s="79"/>
      <c r="AA301" s="82"/>
      <c r="AB301" s="113"/>
      <c r="AC301" s="82"/>
      <c r="AD301" s="82"/>
      <c r="AE301" s="82"/>
      <c r="AF301" s="82"/>
      <c r="AG301" s="82"/>
      <c r="AH301" s="82"/>
      <c r="AI301" s="82"/>
      <c r="AJ301" s="82"/>
      <c r="AK301" s="82"/>
      <c r="AL301" s="79"/>
      <c r="AM301" s="82"/>
      <c r="AN301" s="82"/>
      <c r="AO301" s="82"/>
      <c r="AP301" s="82"/>
      <c r="AQ301" s="82"/>
      <c r="AR301" s="82"/>
      <c r="AS301" s="82"/>
      <c r="AT301" s="82"/>
      <c r="AU301" s="82"/>
      <c r="AV301" s="82"/>
      <c r="AW301" s="82"/>
      <c r="AX301" s="79"/>
      <c r="AY301" s="82"/>
      <c r="AZ301" s="82"/>
      <c r="BA301" s="82"/>
      <c r="BB301" s="82"/>
      <c r="BC301" s="82"/>
      <c r="BD301" s="82"/>
      <c r="BE301" s="82"/>
      <c r="BF301" s="82"/>
      <c r="BG301" s="82"/>
      <c r="BH301" s="1"/>
    </row>
    <row r="302" spans="1:60" s="2" customFormat="1" ht="21">
      <c r="A302" s="1038"/>
      <c r="B302" s="1109" t="s">
        <v>1222</v>
      </c>
      <c r="C302" s="1106" t="s">
        <v>96</v>
      </c>
      <c r="D302" s="641" t="s">
        <v>45</v>
      </c>
      <c r="E302" s="209" t="s">
        <v>1320</v>
      </c>
      <c r="F302" s="209"/>
      <c r="G302" s="209"/>
      <c r="H302" s="209"/>
      <c r="I302" s="129"/>
      <c r="J302" s="256" t="str">
        <f>"MWh "&amp;J$8</f>
        <v>MWh alle locaties</v>
      </c>
      <c r="K302" s="126"/>
      <c r="L302" s="126"/>
      <c r="M302" s="256" t="str">
        <f>"MWh "&amp;M$8</f>
        <v>MWh locatie 1</v>
      </c>
      <c r="N302" s="182"/>
      <c r="O302" s="955" t="str">
        <f>$E302&amp;" per woning-/gebouwtype"</f>
        <v>hernieuwbaar primair fossiel energiegebruik per woning-/gebouwtype</v>
      </c>
      <c r="P302" s="945"/>
      <c r="Q302" s="945"/>
      <c r="R302" s="945"/>
      <c r="S302" s="945"/>
      <c r="T302" s="945"/>
      <c r="U302" s="945"/>
      <c r="V302" s="945"/>
      <c r="W302" s="257"/>
      <c r="X302" s="174"/>
      <c r="Y302" s="256" t="str">
        <f>"MWh "&amp;Y$8</f>
        <v>MWh locatie 2</v>
      </c>
      <c r="Z302" s="182"/>
      <c r="AA302" s="955" t="str">
        <f>$E302&amp;" per woning-/gebouwtype"</f>
        <v>hernieuwbaar primair fossiel energiegebruik per woning-/gebouwtype</v>
      </c>
      <c r="AB302" s="945"/>
      <c r="AC302" s="945"/>
      <c r="AD302" s="945"/>
      <c r="AE302" s="945"/>
      <c r="AF302" s="945"/>
      <c r="AG302" s="945"/>
      <c r="AH302" s="945"/>
      <c r="AI302" s="257"/>
      <c r="AJ302" s="174"/>
      <c r="AK302" s="256" t="str">
        <f>"MWh "&amp;AK$8</f>
        <v>MWh locatie 3</v>
      </c>
      <c r="AL302" s="182"/>
      <c r="AM302" s="955" t="str">
        <f>$E302&amp;" per woning-/gebouwtype"</f>
        <v>hernieuwbaar primair fossiel energiegebruik per woning-/gebouwtype</v>
      </c>
      <c r="AN302" s="945"/>
      <c r="AO302" s="945"/>
      <c r="AP302" s="945"/>
      <c r="AQ302" s="945"/>
      <c r="AR302" s="945"/>
      <c r="AS302" s="945"/>
      <c r="AT302" s="945"/>
      <c r="AU302" s="257"/>
      <c r="AV302" s="174"/>
      <c r="AW302" s="256" t="str">
        <f>"MWh "&amp;AW$8</f>
        <v>MWh locatie 4</v>
      </c>
      <c r="AX302" s="182"/>
      <c r="AY302" s="955" t="str">
        <f>$E302&amp;" per woning-/gebouwtype"</f>
        <v>hernieuwbaar primair fossiel energiegebruik per woning-/gebouwtype</v>
      </c>
      <c r="AZ302" s="945"/>
      <c r="BA302" s="945"/>
      <c r="BB302" s="945"/>
      <c r="BC302" s="945"/>
      <c r="BD302" s="945"/>
      <c r="BE302" s="945"/>
      <c r="BF302" s="945"/>
      <c r="BG302" s="257"/>
      <c r="BH302" s="1"/>
    </row>
    <row r="303" spans="1:60">
      <c r="A303" s="1040"/>
      <c r="B303" s="1109" t="s">
        <v>1222</v>
      </c>
      <c r="C303" s="1106" t="s">
        <v>96</v>
      </c>
      <c r="D303" s="638"/>
      <c r="E303" s="942" t="s">
        <v>270</v>
      </c>
      <c r="F303" s="942"/>
      <c r="G303" s="942"/>
      <c r="H303" s="942"/>
      <c r="I303" s="129"/>
      <c r="J303" s="943"/>
      <c r="K303" s="126"/>
      <c r="L303" s="126"/>
      <c r="M303" s="944"/>
      <c r="N303" s="195"/>
      <c r="O303" s="258" t="str">
        <f>O$17</f>
        <v/>
      </c>
      <c r="P303" s="258" t="str">
        <f t="shared" ref="P303:W303" si="325">P$17</f>
        <v/>
      </c>
      <c r="Q303" s="258" t="str">
        <f t="shared" si="325"/>
        <v/>
      </c>
      <c r="R303" s="258" t="str">
        <f t="shared" si="325"/>
        <v/>
      </c>
      <c r="S303" s="258" t="str">
        <f t="shared" si="325"/>
        <v/>
      </c>
      <c r="T303" s="258" t="str">
        <f t="shared" si="325"/>
        <v/>
      </c>
      <c r="U303" s="258" t="str">
        <f t="shared" si="325"/>
        <v/>
      </c>
      <c r="V303" s="258" t="str">
        <f t="shared" si="325"/>
        <v/>
      </c>
      <c r="W303" s="258" t="str">
        <f t="shared" si="325"/>
        <v/>
      </c>
      <c r="X303" s="195"/>
      <c r="Y303" s="944"/>
      <c r="Z303" s="195"/>
      <c r="AA303" s="258" t="str">
        <f>AA$17</f>
        <v/>
      </c>
      <c r="AB303" s="258" t="str">
        <f t="shared" ref="AB303:AI303" si="326">AB$17</f>
        <v/>
      </c>
      <c r="AC303" s="258" t="str">
        <f t="shared" si="326"/>
        <v/>
      </c>
      <c r="AD303" s="258" t="str">
        <f t="shared" si="326"/>
        <v/>
      </c>
      <c r="AE303" s="258" t="str">
        <f t="shared" si="326"/>
        <v/>
      </c>
      <c r="AF303" s="258" t="str">
        <f t="shared" si="326"/>
        <v/>
      </c>
      <c r="AG303" s="258" t="str">
        <f t="shared" si="326"/>
        <v/>
      </c>
      <c r="AH303" s="258" t="str">
        <f t="shared" si="326"/>
        <v/>
      </c>
      <c r="AI303" s="258" t="str">
        <f t="shared" si="326"/>
        <v/>
      </c>
      <c r="AJ303" s="195"/>
      <c r="AK303" s="944"/>
      <c r="AL303" s="195"/>
      <c r="AM303" s="258" t="str">
        <f>AM$17</f>
        <v/>
      </c>
      <c r="AN303" s="258" t="str">
        <f t="shared" ref="AN303:AU303" si="327">AN$17</f>
        <v/>
      </c>
      <c r="AO303" s="258" t="str">
        <f t="shared" si="327"/>
        <v/>
      </c>
      <c r="AP303" s="258" t="str">
        <f t="shared" si="327"/>
        <v/>
      </c>
      <c r="AQ303" s="258" t="str">
        <f t="shared" si="327"/>
        <v/>
      </c>
      <c r="AR303" s="258" t="str">
        <f t="shared" si="327"/>
        <v/>
      </c>
      <c r="AS303" s="258" t="str">
        <f t="shared" si="327"/>
        <v/>
      </c>
      <c r="AT303" s="258" t="str">
        <f t="shared" si="327"/>
        <v/>
      </c>
      <c r="AU303" s="258" t="str">
        <f t="shared" si="327"/>
        <v/>
      </c>
      <c r="AV303" s="195"/>
      <c r="AW303" s="944"/>
      <c r="AX303" s="195"/>
      <c r="AY303" s="258" t="str">
        <f>AY$17</f>
        <v/>
      </c>
      <c r="AZ303" s="258" t="str">
        <f t="shared" ref="AZ303:BG303" si="328">AZ$17</f>
        <v/>
      </c>
      <c r="BA303" s="258" t="str">
        <f t="shared" si="328"/>
        <v/>
      </c>
      <c r="BB303" s="258" t="str">
        <f t="shared" si="328"/>
        <v/>
      </c>
      <c r="BC303" s="258" t="str">
        <f t="shared" si="328"/>
        <v/>
      </c>
      <c r="BD303" s="258" t="str">
        <f t="shared" si="328"/>
        <v/>
      </c>
      <c r="BE303" s="258" t="str">
        <f t="shared" si="328"/>
        <v/>
      </c>
      <c r="BF303" s="258" t="str">
        <f t="shared" si="328"/>
        <v/>
      </c>
      <c r="BG303" s="258" t="str">
        <f t="shared" si="328"/>
        <v/>
      </c>
      <c r="BH303" s="36"/>
    </row>
    <row r="304" spans="1:60">
      <c r="A304" s="1040"/>
      <c r="B304" s="1109" t="s">
        <v>1222</v>
      </c>
      <c r="C304" s="1107" t="s">
        <v>104</v>
      </c>
      <c r="D304" s="641" t="s">
        <v>45</v>
      </c>
      <c r="E304" s="180" t="s">
        <v>1329</v>
      </c>
      <c r="F304" s="180"/>
      <c r="G304" s="180"/>
      <c r="H304" s="201" t="s">
        <v>267</v>
      </c>
      <c r="I304" s="114"/>
      <c r="J304" s="190">
        <f>M304+Y304+AK304+AW304</f>
        <v>0</v>
      </c>
      <c r="K304" s="1092"/>
      <c r="L304" s="1092"/>
      <c r="M304" s="190">
        <f>SUMPRODUCT(N304:X304,N$30:X$30)/1000</f>
        <v>0</v>
      </c>
      <c r="N304" s="119"/>
      <c r="O304" s="227" t="str">
        <f t="shared" ref="O304:W304" si="329">IF(OR(O$17="",O$22=0,O$29=0),"",O$282+O$283+O$284+IF(OR(O$19=woning,O$19=woongebouw),0,O$285)+O$286-O$292+O$296)</f>
        <v/>
      </c>
      <c r="P304" s="183" t="str">
        <f t="shared" si="329"/>
        <v/>
      </c>
      <c r="Q304" s="183" t="str">
        <f t="shared" si="329"/>
        <v/>
      </c>
      <c r="R304" s="183" t="str">
        <f t="shared" si="329"/>
        <v/>
      </c>
      <c r="S304" s="183" t="str">
        <f t="shared" si="329"/>
        <v/>
      </c>
      <c r="T304" s="183" t="str">
        <f t="shared" si="329"/>
        <v/>
      </c>
      <c r="U304" s="183" t="str">
        <f t="shared" si="329"/>
        <v/>
      </c>
      <c r="V304" s="183" t="str">
        <f t="shared" si="329"/>
        <v/>
      </c>
      <c r="W304" s="183" t="str">
        <f t="shared" si="329"/>
        <v/>
      </c>
      <c r="X304" s="108"/>
      <c r="Y304" s="190">
        <f>SUMPRODUCT(Z304:AJ304,Z$30:AJ$30)/1000</f>
        <v>0</v>
      </c>
      <c r="Z304" s="119"/>
      <c r="AA304" s="183" t="str">
        <f t="shared" ref="AA304:AI304" si="330">IF(OR(AA$17="",AA$22=0,AA$29=0),"",AA$282+AA$283+AA$284+IF(OR(AA$19=woning,AA$19=woongebouw),0,AA$285)+AA$286-AA$292+AA$296)</f>
        <v/>
      </c>
      <c r="AB304" s="183" t="str">
        <f t="shared" si="330"/>
        <v/>
      </c>
      <c r="AC304" s="183" t="str">
        <f t="shared" si="330"/>
        <v/>
      </c>
      <c r="AD304" s="183" t="str">
        <f t="shared" si="330"/>
        <v/>
      </c>
      <c r="AE304" s="183" t="str">
        <f t="shared" si="330"/>
        <v/>
      </c>
      <c r="AF304" s="183" t="str">
        <f t="shared" si="330"/>
        <v/>
      </c>
      <c r="AG304" s="183" t="str">
        <f t="shared" si="330"/>
        <v/>
      </c>
      <c r="AH304" s="183" t="str">
        <f t="shared" si="330"/>
        <v/>
      </c>
      <c r="AI304" s="183" t="str">
        <f t="shared" si="330"/>
        <v/>
      </c>
      <c r="AJ304" s="108"/>
      <c r="AK304" s="190">
        <f>SUMPRODUCT(AL304:AV304,AL$30:AV$30)/1000</f>
        <v>0</v>
      </c>
      <c r="AL304" s="119"/>
      <c r="AM304" s="183" t="str">
        <f t="shared" ref="AM304:AU304" si="331">IF(OR(AM$17="",AM$22=0,AM$29=0),"",AM$282+AM$283+AM$284+IF(OR(AM$19=woning,AM$19=woongebouw),0,AM$285)+AM$286-AM$292+AM$296)</f>
        <v/>
      </c>
      <c r="AN304" s="183" t="str">
        <f t="shared" si="331"/>
        <v/>
      </c>
      <c r="AO304" s="183" t="str">
        <f t="shared" si="331"/>
        <v/>
      </c>
      <c r="AP304" s="183" t="str">
        <f t="shared" si="331"/>
        <v/>
      </c>
      <c r="AQ304" s="183" t="str">
        <f t="shared" si="331"/>
        <v/>
      </c>
      <c r="AR304" s="183" t="str">
        <f t="shared" si="331"/>
        <v/>
      </c>
      <c r="AS304" s="183" t="str">
        <f t="shared" si="331"/>
        <v/>
      </c>
      <c r="AT304" s="183" t="str">
        <f t="shared" si="331"/>
        <v/>
      </c>
      <c r="AU304" s="183" t="str">
        <f t="shared" si="331"/>
        <v/>
      </c>
      <c r="AV304" s="108"/>
      <c r="AW304" s="190">
        <f>SUMPRODUCT(AX304:BH304,AX$30:BH$30)/1000</f>
        <v>0</v>
      </c>
      <c r="AX304" s="119"/>
      <c r="AY304" s="183" t="str">
        <f t="shared" ref="AY304:BG304" si="332">IF(OR(AY$17="",AY$22=0,AY$29=0),"",AY$282+AY$283+AY$284+IF(OR(AY$19=woning,AY$19=woongebouw),0,AY$285)+AY$286-AY$292+AY$296)</f>
        <v/>
      </c>
      <c r="AZ304" s="183" t="str">
        <f t="shared" si="332"/>
        <v/>
      </c>
      <c r="BA304" s="183" t="str">
        <f t="shared" si="332"/>
        <v/>
      </c>
      <c r="BB304" s="183" t="str">
        <f t="shared" si="332"/>
        <v/>
      </c>
      <c r="BC304" s="183" t="str">
        <f t="shared" si="332"/>
        <v/>
      </c>
      <c r="BD304" s="183" t="str">
        <f t="shared" si="332"/>
        <v/>
      </c>
      <c r="BE304" s="183" t="str">
        <f t="shared" si="332"/>
        <v/>
      </c>
      <c r="BF304" s="183" t="str">
        <f t="shared" si="332"/>
        <v/>
      </c>
      <c r="BG304" s="183" t="str">
        <f t="shared" si="332"/>
        <v/>
      </c>
      <c r="BH304" s="210"/>
    </row>
    <row r="305" spans="1:60">
      <c r="A305" s="1040"/>
      <c r="B305" s="1109" t="s">
        <v>1222</v>
      </c>
      <c r="C305" s="1106" t="s">
        <v>96</v>
      </c>
      <c r="D305" s="638"/>
      <c r="E305" s="942" t="s">
        <v>271</v>
      </c>
      <c r="F305" s="942"/>
      <c r="G305" s="942"/>
      <c r="H305" s="942"/>
      <c r="I305" s="129"/>
      <c r="J305" s="943"/>
      <c r="K305" s="126"/>
      <c r="L305" s="126"/>
      <c r="M305" s="944"/>
      <c r="N305" s="195"/>
      <c r="O305" s="258" t="str">
        <f>O$17</f>
        <v/>
      </c>
      <c r="P305" s="258" t="str">
        <f t="shared" ref="P305:W305" si="333">P$17</f>
        <v/>
      </c>
      <c r="Q305" s="258" t="str">
        <f t="shared" si="333"/>
        <v/>
      </c>
      <c r="R305" s="258" t="str">
        <f t="shared" si="333"/>
        <v/>
      </c>
      <c r="S305" s="258" t="str">
        <f t="shared" si="333"/>
        <v/>
      </c>
      <c r="T305" s="258" t="str">
        <f t="shared" si="333"/>
        <v/>
      </c>
      <c r="U305" s="258" t="str">
        <f t="shared" si="333"/>
        <v/>
      </c>
      <c r="V305" s="258" t="str">
        <f t="shared" si="333"/>
        <v/>
      </c>
      <c r="W305" s="258" t="str">
        <f t="shared" si="333"/>
        <v/>
      </c>
      <c r="X305" s="195"/>
      <c r="Y305" s="944"/>
      <c r="Z305" s="195"/>
      <c r="AA305" s="258" t="str">
        <f>AA$17</f>
        <v/>
      </c>
      <c r="AB305" s="258" t="str">
        <f t="shared" ref="AB305:AI305" si="334">AB$17</f>
        <v/>
      </c>
      <c r="AC305" s="258" t="str">
        <f t="shared" si="334"/>
        <v/>
      </c>
      <c r="AD305" s="258" t="str">
        <f t="shared" si="334"/>
        <v/>
      </c>
      <c r="AE305" s="258" t="str">
        <f t="shared" si="334"/>
        <v/>
      </c>
      <c r="AF305" s="258" t="str">
        <f t="shared" si="334"/>
        <v/>
      </c>
      <c r="AG305" s="258" t="str">
        <f t="shared" si="334"/>
        <v/>
      </c>
      <c r="AH305" s="258" t="str">
        <f t="shared" si="334"/>
        <v/>
      </c>
      <c r="AI305" s="258" t="str">
        <f t="shared" si="334"/>
        <v/>
      </c>
      <c r="AJ305" s="195"/>
      <c r="AK305" s="944"/>
      <c r="AL305" s="195"/>
      <c r="AM305" s="258" t="str">
        <f>AM$17</f>
        <v/>
      </c>
      <c r="AN305" s="258" t="str">
        <f t="shared" ref="AN305:AU305" si="335">AN$17</f>
        <v/>
      </c>
      <c r="AO305" s="258" t="str">
        <f t="shared" si="335"/>
        <v/>
      </c>
      <c r="AP305" s="258" t="str">
        <f t="shared" si="335"/>
        <v/>
      </c>
      <c r="AQ305" s="258" t="str">
        <f t="shared" si="335"/>
        <v/>
      </c>
      <c r="AR305" s="258" t="str">
        <f t="shared" si="335"/>
        <v/>
      </c>
      <c r="AS305" s="258" t="str">
        <f t="shared" si="335"/>
        <v/>
      </c>
      <c r="AT305" s="258" t="str">
        <f t="shared" si="335"/>
        <v/>
      </c>
      <c r="AU305" s="258" t="str">
        <f t="shared" si="335"/>
        <v/>
      </c>
      <c r="AV305" s="195"/>
      <c r="AW305" s="944"/>
      <c r="AX305" s="195"/>
      <c r="AY305" s="258" t="str">
        <f>AY$17</f>
        <v/>
      </c>
      <c r="AZ305" s="258" t="str">
        <f t="shared" ref="AZ305:BG305" si="336">AZ$17</f>
        <v/>
      </c>
      <c r="BA305" s="258" t="str">
        <f t="shared" si="336"/>
        <v/>
      </c>
      <c r="BB305" s="258" t="str">
        <f t="shared" si="336"/>
        <v/>
      </c>
      <c r="BC305" s="258" t="str">
        <f t="shared" si="336"/>
        <v/>
      </c>
      <c r="BD305" s="258" t="str">
        <f t="shared" si="336"/>
        <v/>
      </c>
      <c r="BE305" s="258" t="str">
        <f t="shared" si="336"/>
        <v/>
      </c>
      <c r="BF305" s="258" t="str">
        <f t="shared" si="336"/>
        <v/>
      </c>
      <c r="BG305" s="258" t="str">
        <f t="shared" si="336"/>
        <v/>
      </c>
      <c r="BH305" s="36"/>
    </row>
    <row r="306" spans="1:60">
      <c r="A306" s="1040"/>
      <c r="B306" s="1109" t="s">
        <v>1222</v>
      </c>
      <c r="C306" s="1107" t="s">
        <v>104</v>
      </c>
      <c r="D306" s="641" t="s">
        <v>45</v>
      </c>
      <c r="E306" s="180" t="s">
        <v>1328</v>
      </c>
      <c r="F306" s="180"/>
      <c r="G306" s="180"/>
      <c r="H306" s="201" t="s">
        <v>267</v>
      </c>
      <c r="I306" s="114"/>
      <c r="J306" s="190">
        <f t="shared" ref="J306:J311" si="337">M306+Y306+AK306+AW306</f>
        <v>0</v>
      </c>
      <c r="K306" s="1092"/>
      <c r="L306" s="1092"/>
      <c r="M306" s="190">
        <f t="shared" ref="M306:M311" si="338">SUMPRODUCT(N306:X306,N$30:X$30)/1000</f>
        <v>0</v>
      </c>
      <c r="N306" s="119"/>
      <c r="O306" s="183" t="str">
        <f t="shared" ref="O306:W306" si="339">IF(OR(O$17="",O$22=0,O$29=0),"",
(O$275*$O251+O$276*$P251+O$277*$Q251)*1000/(O$22*O$29))</f>
        <v/>
      </c>
      <c r="P306" s="183" t="str">
        <f t="shared" si="339"/>
        <v/>
      </c>
      <c r="Q306" s="183" t="str">
        <f t="shared" si="339"/>
        <v/>
      </c>
      <c r="R306" s="183" t="str">
        <f t="shared" si="339"/>
        <v/>
      </c>
      <c r="S306" s="183" t="str">
        <f t="shared" si="339"/>
        <v/>
      </c>
      <c r="T306" s="183" t="str">
        <f t="shared" si="339"/>
        <v/>
      </c>
      <c r="U306" s="183" t="str">
        <f t="shared" si="339"/>
        <v/>
      </c>
      <c r="V306" s="183" t="str">
        <f t="shared" si="339"/>
        <v/>
      </c>
      <c r="W306" s="183" t="str">
        <f t="shared" si="339"/>
        <v/>
      </c>
      <c r="X306" s="108"/>
      <c r="Y306" s="190">
        <f t="shared" ref="Y306:Y311" si="340">SUMPRODUCT(Z306:AJ306,Z$30:AJ$30)/1000</f>
        <v>0</v>
      </c>
      <c r="Z306" s="119"/>
      <c r="AA306" s="183" t="str">
        <f t="shared" ref="AA306:AI306" si="341">IF(OR(AA$17="",AA$22=0,AA$29=0),"",
(AA$275*$AA251+AA$276*$AB251+AA$277*$AC251)*1000/(AA$22*AA$29))</f>
        <v/>
      </c>
      <c r="AB306" s="183" t="str">
        <f t="shared" si="341"/>
        <v/>
      </c>
      <c r="AC306" s="183" t="str">
        <f t="shared" si="341"/>
        <v/>
      </c>
      <c r="AD306" s="183" t="str">
        <f t="shared" si="341"/>
        <v/>
      </c>
      <c r="AE306" s="183" t="str">
        <f t="shared" si="341"/>
        <v/>
      </c>
      <c r="AF306" s="183" t="str">
        <f t="shared" si="341"/>
        <v/>
      </c>
      <c r="AG306" s="183" t="str">
        <f t="shared" si="341"/>
        <v/>
      </c>
      <c r="AH306" s="183" t="str">
        <f t="shared" si="341"/>
        <v/>
      </c>
      <c r="AI306" s="183" t="str">
        <f t="shared" si="341"/>
        <v/>
      </c>
      <c r="AJ306" s="108"/>
      <c r="AK306" s="190">
        <f t="shared" ref="AK306:AK311" si="342">SUMPRODUCT(AL306:AV306,AL$30:AV$30)/1000</f>
        <v>0</v>
      </c>
      <c r="AL306" s="119"/>
      <c r="AM306" s="183" t="str">
        <f t="shared" ref="AM306:AU306" si="343">IF(OR(AM$17="",AM$22=0,AM$29=0),"",
(AM$275*$AM251+AM$276*$AN251+AM$277*$AO251)*1000/(AM$22*AM$29))</f>
        <v/>
      </c>
      <c r="AN306" s="183" t="str">
        <f t="shared" si="343"/>
        <v/>
      </c>
      <c r="AO306" s="183" t="str">
        <f t="shared" si="343"/>
        <v/>
      </c>
      <c r="AP306" s="183" t="str">
        <f t="shared" si="343"/>
        <v/>
      </c>
      <c r="AQ306" s="183" t="str">
        <f t="shared" si="343"/>
        <v/>
      </c>
      <c r="AR306" s="183" t="str">
        <f t="shared" si="343"/>
        <v/>
      </c>
      <c r="AS306" s="183" t="str">
        <f t="shared" si="343"/>
        <v/>
      </c>
      <c r="AT306" s="183" t="str">
        <f t="shared" si="343"/>
        <v/>
      </c>
      <c r="AU306" s="183" t="str">
        <f t="shared" si="343"/>
        <v/>
      </c>
      <c r="AV306" s="108"/>
      <c r="AW306" s="190">
        <f t="shared" ref="AW306:AW311" si="344">SUMPRODUCT(AX306:BH306,AX$30:BH$30)/1000</f>
        <v>0</v>
      </c>
      <c r="AX306" s="119"/>
      <c r="AY306" s="183" t="str">
        <f t="shared" ref="AY306:BG306" si="345">IF(OR(AY$17="",AY$22=0,AY$29=0),"",
(AY$275*$AY251+AY$276*$AZ251+AY$277*$BA251)*1000/(AY$22*AY$29))</f>
        <v/>
      </c>
      <c r="AZ306" s="183" t="str">
        <f t="shared" si="345"/>
        <v/>
      </c>
      <c r="BA306" s="183" t="str">
        <f t="shared" si="345"/>
        <v/>
      </c>
      <c r="BB306" s="183" t="str">
        <f t="shared" si="345"/>
        <v/>
      </c>
      <c r="BC306" s="183" t="str">
        <f t="shared" si="345"/>
        <v/>
      </c>
      <c r="BD306" s="183" t="str">
        <f t="shared" si="345"/>
        <v/>
      </c>
      <c r="BE306" s="183" t="str">
        <f t="shared" si="345"/>
        <v/>
      </c>
      <c r="BF306" s="183" t="str">
        <f t="shared" si="345"/>
        <v/>
      </c>
      <c r="BG306" s="183" t="str">
        <f t="shared" si="345"/>
        <v/>
      </c>
      <c r="BH306" s="210"/>
    </row>
    <row r="307" spans="1:60">
      <c r="A307" s="1040"/>
      <c r="B307" s="1109" t="s">
        <v>1222</v>
      </c>
      <c r="C307" s="1107" t="s">
        <v>104</v>
      </c>
      <c r="D307" s="641" t="s">
        <v>45</v>
      </c>
      <c r="E307" s="180" t="s">
        <v>1327</v>
      </c>
      <c r="F307" s="180"/>
      <c r="G307" s="180"/>
      <c r="H307" s="201" t="s">
        <v>267</v>
      </c>
      <c r="I307" s="114"/>
      <c r="J307" s="190">
        <f t="shared" si="337"/>
        <v>0</v>
      </c>
      <c r="K307" s="1092"/>
      <c r="L307" s="1092"/>
      <c r="M307" s="190">
        <f t="shared" si="338"/>
        <v>0</v>
      </c>
      <c r="N307" s="119"/>
      <c r="O307" s="183" t="str">
        <f t="shared" ref="O307:W307" si="346">IF(OR(O$17="",O$22=0,O$29=0),"",
(O$276*$P252)*1000/(O$22*O$29))</f>
        <v/>
      </c>
      <c r="P307" s="183" t="str">
        <f t="shared" si="346"/>
        <v/>
      </c>
      <c r="Q307" s="183" t="str">
        <f t="shared" si="346"/>
        <v/>
      </c>
      <c r="R307" s="183" t="str">
        <f t="shared" si="346"/>
        <v/>
      </c>
      <c r="S307" s="183" t="str">
        <f t="shared" si="346"/>
        <v/>
      </c>
      <c r="T307" s="183" t="str">
        <f t="shared" si="346"/>
        <v/>
      </c>
      <c r="U307" s="183" t="str">
        <f t="shared" si="346"/>
        <v/>
      </c>
      <c r="V307" s="183" t="str">
        <f t="shared" si="346"/>
        <v/>
      </c>
      <c r="W307" s="183" t="str">
        <f t="shared" si="346"/>
        <v/>
      </c>
      <c r="X307" s="108"/>
      <c r="Y307" s="190">
        <f t="shared" si="340"/>
        <v>0</v>
      </c>
      <c r="Z307" s="119"/>
      <c r="AA307" s="183" t="str">
        <f t="shared" ref="AA307:AI307" si="347">IF(OR(AA$17="",AA$22=0,AA$29=0),"",
(AA$276*$AB252)*1000/(AA$22*AA$29))</f>
        <v/>
      </c>
      <c r="AB307" s="183" t="str">
        <f t="shared" si="347"/>
        <v/>
      </c>
      <c r="AC307" s="183" t="str">
        <f t="shared" si="347"/>
        <v/>
      </c>
      <c r="AD307" s="183" t="str">
        <f t="shared" si="347"/>
        <v/>
      </c>
      <c r="AE307" s="183" t="str">
        <f t="shared" si="347"/>
        <v/>
      </c>
      <c r="AF307" s="183" t="str">
        <f t="shared" si="347"/>
        <v/>
      </c>
      <c r="AG307" s="183" t="str">
        <f t="shared" si="347"/>
        <v/>
      </c>
      <c r="AH307" s="183" t="str">
        <f t="shared" si="347"/>
        <v/>
      </c>
      <c r="AI307" s="183" t="str">
        <f t="shared" si="347"/>
        <v/>
      </c>
      <c r="AJ307" s="108"/>
      <c r="AK307" s="190">
        <f t="shared" si="342"/>
        <v>0</v>
      </c>
      <c r="AL307" s="119"/>
      <c r="AM307" s="183" t="str">
        <f t="shared" ref="AM307:AU307" si="348">IF(OR(AM$17="",AM$22=0,AM$29=0),"",
(AM$276*$AN252)*1000/(AM$22*AM$29))</f>
        <v/>
      </c>
      <c r="AN307" s="183" t="str">
        <f t="shared" si="348"/>
        <v/>
      </c>
      <c r="AO307" s="183" t="str">
        <f t="shared" si="348"/>
        <v/>
      </c>
      <c r="AP307" s="183" t="str">
        <f t="shared" si="348"/>
        <v/>
      </c>
      <c r="AQ307" s="183" t="str">
        <f t="shared" si="348"/>
        <v/>
      </c>
      <c r="AR307" s="183" t="str">
        <f t="shared" si="348"/>
        <v/>
      </c>
      <c r="AS307" s="183" t="str">
        <f t="shared" si="348"/>
        <v/>
      </c>
      <c r="AT307" s="183" t="str">
        <f t="shared" si="348"/>
        <v/>
      </c>
      <c r="AU307" s="183" t="str">
        <f t="shared" si="348"/>
        <v/>
      </c>
      <c r="AV307" s="108"/>
      <c r="AW307" s="190">
        <f t="shared" si="344"/>
        <v>0</v>
      </c>
      <c r="AX307" s="119"/>
      <c r="AY307" s="183" t="str">
        <f t="shared" ref="AY307:BG307" si="349">IF(OR(AY$17="",AY$22=0,AY$29=0),"",
(AY$276*$AZ252)*1000/(AY$22*AY$29))</f>
        <v/>
      </c>
      <c r="AZ307" s="183" t="str">
        <f t="shared" si="349"/>
        <v/>
      </c>
      <c r="BA307" s="183" t="str">
        <f t="shared" si="349"/>
        <v/>
      </c>
      <c r="BB307" s="183" t="str">
        <f t="shared" si="349"/>
        <v/>
      </c>
      <c r="BC307" s="183" t="str">
        <f t="shared" si="349"/>
        <v/>
      </c>
      <c r="BD307" s="183" t="str">
        <f t="shared" si="349"/>
        <v/>
      </c>
      <c r="BE307" s="183" t="str">
        <f t="shared" si="349"/>
        <v/>
      </c>
      <c r="BF307" s="183" t="str">
        <f t="shared" si="349"/>
        <v/>
      </c>
      <c r="BG307" s="183" t="str">
        <f t="shared" si="349"/>
        <v/>
      </c>
      <c r="BH307" s="210"/>
    </row>
    <row r="308" spans="1:60">
      <c r="A308" s="1040"/>
      <c r="B308" s="1109" t="s">
        <v>1222</v>
      </c>
      <c r="C308" s="1107" t="s">
        <v>104</v>
      </c>
      <c r="D308" s="641" t="s">
        <v>45</v>
      </c>
      <c r="E308" s="180" t="s">
        <v>1326</v>
      </c>
      <c r="F308" s="180"/>
      <c r="G308" s="180"/>
      <c r="H308" s="201" t="s">
        <v>267</v>
      </c>
      <c r="I308" s="114"/>
      <c r="J308" s="190">
        <f t="shared" si="337"/>
        <v>0</v>
      </c>
      <c r="K308" s="1092"/>
      <c r="L308" s="1092"/>
      <c r="M308" s="190">
        <f t="shared" si="338"/>
        <v>0</v>
      </c>
      <c r="N308" s="119"/>
      <c r="O308" s="183" t="str">
        <f t="shared" ref="O308:W308" si="350">IF(OR(O$17="",O$22=0,O$29=0),"",
(O$275*$O253+O$277*$Q253)*1000/(O$22*O$29))</f>
        <v/>
      </c>
      <c r="P308" s="183" t="str">
        <f t="shared" si="350"/>
        <v/>
      </c>
      <c r="Q308" s="183" t="str">
        <f t="shared" si="350"/>
        <v/>
      </c>
      <c r="R308" s="183" t="str">
        <f t="shared" si="350"/>
        <v/>
      </c>
      <c r="S308" s="183" t="str">
        <f t="shared" si="350"/>
        <v/>
      </c>
      <c r="T308" s="183" t="str">
        <f t="shared" si="350"/>
        <v/>
      </c>
      <c r="U308" s="183" t="str">
        <f t="shared" si="350"/>
        <v/>
      </c>
      <c r="V308" s="183" t="str">
        <f t="shared" si="350"/>
        <v/>
      </c>
      <c r="W308" s="183" t="str">
        <f t="shared" si="350"/>
        <v/>
      </c>
      <c r="X308" s="108"/>
      <c r="Y308" s="190">
        <f t="shared" si="340"/>
        <v>0</v>
      </c>
      <c r="Z308" s="119"/>
      <c r="AA308" s="183" t="str">
        <f t="shared" ref="AA308:AI308" si="351">IF(OR(AA$17="",AA$22=0,AA$29=0),"",
(AA$275*$AA253+AA$277*$AC253)*1000/(AA$22*AA$29))</f>
        <v/>
      </c>
      <c r="AB308" s="183" t="str">
        <f t="shared" si="351"/>
        <v/>
      </c>
      <c r="AC308" s="183" t="str">
        <f t="shared" si="351"/>
        <v/>
      </c>
      <c r="AD308" s="183" t="str">
        <f t="shared" si="351"/>
        <v/>
      </c>
      <c r="AE308" s="183" t="str">
        <f t="shared" si="351"/>
        <v/>
      </c>
      <c r="AF308" s="183" t="str">
        <f t="shared" si="351"/>
        <v/>
      </c>
      <c r="AG308" s="183" t="str">
        <f t="shared" si="351"/>
        <v/>
      </c>
      <c r="AH308" s="183" t="str">
        <f t="shared" si="351"/>
        <v/>
      </c>
      <c r="AI308" s="183" t="str">
        <f t="shared" si="351"/>
        <v/>
      </c>
      <c r="AJ308" s="108"/>
      <c r="AK308" s="190">
        <f t="shared" si="342"/>
        <v>0</v>
      </c>
      <c r="AL308" s="119"/>
      <c r="AM308" s="183" t="str">
        <f t="shared" ref="AM308:AU308" si="352">IF(OR(AM$17="",AM$22=0,AM$29=0),"",
(AM$275*$AM253+AM$277*$AO253)*1000/(AM$22*AM$29))</f>
        <v/>
      </c>
      <c r="AN308" s="183" t="str">
        <f t="shared" si="352"/>
        <v/>
      </c>
      <c r="AO308" s="183" t="str">
        <f t="shared" si="352"/>
        <v/>
      </c>
      <c r="AP308" s="183" t="str">
        <f t="shared" si="352"/>
        <v/>
      </c>
      <c r="AQ308" s="183" t="str">
        <f t="shared" si="352"/>
        <v/>
      </c>
      <c r="AR308" s="183" t="str">
        <f t="shared" si="352"/>
        <v/>
      </c>
      <c r="AS308" s="183" t="str">
        <f t="shared" si="352"/>
        <v/>
      </c>
      <c r="AT308" s="183" t="str">
        <f t="shared" si="352"/>
        <v/>
      </c>
      <c r="AU308" s="183" t="str">
        <f t="shared" si="352"/>
        <v/>
      </c>
      <c r="AV308" s="108"/>
      <c r="AW308" s="190">
        <f t="shared" si="344"/>
        <v>0</v>
      </c>
      <c r="AX308" s="119"/>
      <c r="AY308" s="183" t="str">
        <f t="shared" ref="AY308:BG308" si="353">IF(OR(AY$17="",AY$22=0,AY$29=0),"",
(AY$275*$AY253+AY$277*$BA253)*1000/(AY$22*AY$29))</f>
        <v/>
      </c>
      <c r="AZ308" s="183" t="str">
        <f t="shared" si="353"/>
        <v/>
      </c>
      <c r="BA308" s="183" t="str">
        <f t="shared" si="353"/>
        <v/>
      </c>
      <c r="BB308" s="183" t="str">
        <f t="shared" si="353"/>
        <v/>
      </c>
      <c r="BC308" s="183" t="str">
        <f t="shared" si="353"/>
        <v/>
      </c>
      <c r="BD308" s="183" t="str">
        <f t="shared" si="353"/>
        <v/>
      </c>
      <c r="BE308" s="183" t="str">
        <f t="shared" si="353"/>
        <v/>
      </c>
      <c r="BF308" s="183" t="str">
        <f t="shared" si="353"/>
        <v/>
      </c>
      <c r="BG308" s="183" t="str">
        <f t="shared" si="353"/>
        <v/>
      </c>
      <c r="BH308" s="210"/>
    </row>
    <row r="309" spans="1:60">
      <c r="A309" s="1040"/>
      <c r="B309" s="1109" t="s">
        <v>1222</v>
      </c>
      <c r="C309" s="1107" t="s">
        <v>104</v>
      </c>
      <c r="D309" s="641" t="s">
        <v>45</v>
      </c>
      <c r="E309" s="180" t="s">
        <v>1325</v>
      </c>
      <c r="F309" s="180"/>
      <c r="G309" s="180"/>
      <c r="H309" s="201" t="s">
        <v>267</v>
      </c>
      <c r="I309" s="114"/>
      <c r="J309" s="190">
        <f t="shared" si="337"/>
        <v>0</v>
      </c>
      <c r="K309" s="1092"/>
      <c r="L309" s="1092"/>
      <c r="M309" s="190">
        <f t="shared" si="338"/>
        <v>0</v>
      </c>
      <c r="N309" s="119"/>
      <c r="O309" s="183" t="str">
        <f t="shared" ref="O309:W309" si="354">IF(OR(O$17="",O$22=0,O$29=0),"",
(O$275*$O254+O$276*$P254+O$277*$Q254)*1000/(O$22*O$29))</f>
        <v/>
      </c>
      <c r="P309" s="183" t="str">
        <f t="shared" si="354"/>
        <v/>
      </c>
      <c r="Q309" s="183" t="str">
        <f t="shared" si="354"/>
        <v/>
      </c>
      <c r="R309" s="183" t="str">
        <f t="shared" si="354"/>
        <v/>
      </c>
      <c r="S309" s="183" t="str">
        <f t="shared" si="354"/>
        <v/>
      </c>
      <c r="T309" s="183" t="str">
        <f t="shared" si="354"/>
        <v/>
      </c>
      <c r="U309" s="183" t="str">
        <f t="shared" si="354"/>
        <v/>
      </c>
      <c r="V309" s="183" t="str">
        <f t="shared" si="354"/>
        <v/>
      </c>
      <c r="W309" s="183" t="str">
        <f t="shared" si="354"/>
        <v/>
      </c>
      <c r="X309" s="108"/>
      <c r="Y309" s="190">
        <f t="shared" si="340"/>
        <v>0</v>
      </c>
      <c r="Z309" s="119"/>
      <c r="AA309" s="183" t="str">
        <f t="shared" ref="AA309:AI309" si="355">IF(OR(AA$17="",AA$22=0,AA$29=0),"",
(AA$275*$AA254+AA$276*$AB254+AA$277*$AC254)*1000/(AA$22*AA$29))</f>
        <v/>
      </c>
      <c r="AB309" s="183" t="str">
        <f t="shared" si="355"/>
        <v/>
      </c>
      <c r="AC309" s="183" t="str">
        <f t="shared" si="355"/>
        <v/>
      </c>
      <c r="AD309" s="183" t="str">
        <f t="shared" si="355"/>
        <v/>
      </c>
      <c r="AE309" s="183" t="str">
        <f t="shared" si="355"/>
        <v/>
      </c>
      <c r="AF309" s="183" t="str">
        <f t="shared" si="355"/>
        <v/>
      </c>
      <c r="AG309" s="183" t="str">
        <f t="shared" si="355"/>
        <v/>
      </c>
      <c r="AH309" s="183" t="str">
        <f t="shared" si="355"/>
        <v/>
      </c>
      <c r="AI309" s="183" t="str">
        <f t="shared" si="355"/>
        <v/>
      </c>
      <c r="AJ309" s="108"/>
      <c r="AK309" s="190">
        <f t="shared" si="342"/>
        <v>0</v>
      </c>
      <c r="AL309" s="119"/>
      <c r="AM309" s="183" t="str">
        <f t="shared" ref="AM309:AU309" si="356">IF(OR(AM$17="",AM$22=0,AM$29=0),"",
(AM$275*$AM254+AM$276*$AN254+AM$277*$AO254)*1000/(AM$22*AM$29))</f>
        <v/>
      </c>
      <c r="AN309" s="183" t="str">
        <f t="shared" si="356"/>
        <v/>
      </c>
      <c r="AO309" s="183" t="str">
        <f t="shared" si="356"/>
        <v/>
      </c>
      <c r="AP309" s="183" t="str">
        <f t="shared" si="356"/>
        <v/>
      </c>
      <c r="AQ309" s="183" t="str">
        <f t="shared" si="356"/>
        <v/>
      </c>
      <c r="AR309" s="183" t="str">
        <f t="shared" si="356"/>
        <v/>
      </c>
      <c r="AS309" s="183" t="str">
        <f t="shared" si="356"/>
        <v/>
      </c>
      <c r="AT309" s="183" t="str">
        <f t="shared" si="356"/>
        <v/>
      </c>
      <c r="AU309" s="183" t="str">
        <f t="shared" si="356"/>
        <v/>
      </c>
      <c r="AV309" s="108"/>
      <c r="AW309" s="190">
        <f t="shared" si="344"/>
        <v>0</v>
      </c>
      <c r="AX309" s="119"/>
      <c r="AY309" s="183" t="str">
        <f t="shared" ref="AY309:BG309" si="357">IF(OR(AY$17="",AY$22=0,AY$29=0),"",
(AY$275*$AY254+AY$276*$AZ254+AY$277*$BA254)*1000/(AY$22*AY$29))</f>
        <v/>
      </c>
      <c r="AZ309" s="183" t="str">
        <f t="shared" si="357"/>
        <v/>
      </c>
      <c r="BA309" s="183" t="str">
        <f t="shared" si="357"/>
        <v/>
      </c>
      <c r="BB309" s="183" t="str">
        <f t="shared" si="357"/>
        <v/>
      </c>
      <c r="BC309" s="183" t="str">
        <f t="shared" si="357"/>
        <v/>
      </c>
      <c r="BD309" s="183" t="str">
        <f t="shared" si="357"/>
        <v/>
      </c>
      <c r="BE309" s="183" t="str">
        <f t="shared" si="357"/>
        <v/>
      </c>
      <c r="BF309" s="183" t="str">
        <f t="shared" si="357"/>
        <v/>
      </c>
      <c r="BG309" s="183" t="str">
        <f t="shared" si="357"/>
        <v/>
      </c>
      <c r="BH309" s="210"/>
    </row>
    <row r="310" spans="1:60">
      <c r="A310" s="1040"/>
      <c r="B310" s="1109" t="s">
        <v>1222</v>
      </c>
      <c r="C310" s="1107" t="s">
        <v>104</v>
      </c>
      <c r="D310" s="641" t="s">
        <v>45</v>
      </c>
      <c r="E310" s="180" t="s">
        <v>1324</v>
      </c>
      <c r="F310" s="180"/>
      <c r="G310" s="180"/>
      <c r="H310" s="201" t="s">
        <v>267</v>
      </c>
      <c r="I310" s="114"/>
      <c r="J310" s="190">
        <f t="shared" si="337"/>
        <v>0</v>
      </c>
      <c r="K310" s="1092"/>
      <c r="L310" s="1092"/>
      <c r="M310" s="190">
        <f t="shared" si="338"/>
        <v>0</v>
      </c>
      <c r="N310" s="119"/>
      <c r="O310" s="183" t="str">
        <f t="shared" ref="O310:W310" si="358">IF(OR(O$17="",O$22=0,O$29=0),"",
(O$276*$P255)*1000/(O$22*O$29))</f>
        <v/>
      </c>
      <c r="P310" s="183" t="str">
        <f t="shared" si="358"/>
        <v/>
      </c>
      <c r="Q310" s="183" t="str">
        <f t="shared" si="358"/>
        <v/>
      </c>
      <c r="R310" s="183" t="str">
        <f t="shared" si="358"/>
        <v/>
      </c>
      <c r="S310" s="183" t="str">
        <f t="shared" si="358"/>
        <v/>
      </c>
      <c r="T310" s="183" t="str">
        <f t="shared" si="358"/>
        <v/>
      </c>
      <c r="U310" s="183" t="str">
        <f t="shared" si="358"/>
        <v/>
      </c>
      <c r="V310" s="183" t="str">
        <f t="shared" si="358"/>
        <v/>
      </c>
      <c r="W310" s="183" t="str">
        <f t="shared" si="358"/>
        <v/>
      </c>
      <c r="X310" s="108"/>
      <c r="Y310" s="190">
        <f t="shared" si="340"/>
        <v>0</v>
      </c>
      <c r="Z310" s="119"/>
      <c r="AA310" s="183" t="str">
        <f t="shared" ref="AA310:AI310" si="359">IF(OR(AA$17="",AA$22=0,AA$29=0),"",
(AA$276*$AB255)*1000/(AA$22*AA$29))</f>
        <v/>
      </c>
      <c r="AB310" s="183" t="str">
        <f t="shared" si="359"/>
        <v/>
      </c>
      <c r="AC310" s="183" t="str">
        <f t="shared" si="359"/>
        <v/>
      </c>
      <c r="AD310" s="183" t="str">
        <f t="shared" si="359"/>
        <v/>
      </c>
      <c r="AE310" s="183" t="str">
        <f t="shared" si="359"/>
        <v/>
      </c>
      <c r="AF310" s="183" t="str">
        <f t="shared" si="359"/>
        <v/>
      </c>
      <c r="AG310" s="183" t="str">
        <f t="shared" si="359"/>
        <v/>
      </c>
      <c r="AH310" s="183" t="str">
        <f t="shared" si="359"/>
        <v/>
      </c>
      <c r="AI310" s="183" t="str">
        <f t="shared" si="359"/>
        <v/>
      </c>
      <c r="AJ310" s="108"/>
      <c r="AK310" s="190">
        <f t="shared" si="342"/>
        <v>0</v>
      </c>
      <c r="AL310" s="119"/>
      <c r="AM310" s="183" t="str">
        <f t="shared" ref="AM310:AU310" si="360">IF(OR(AM$17="",AM$22=0,AM$29=0),"",
(AM$276*$AN255)*1000/(AM$22*AM$29))</f>
        <v/>
      </c>
      <c r="AN310" s="183" t="str">
        <f t="shared" si="360"/>
        <v/>
      </c>
      <c r="AO310" s="183" t="str">
        <f t="shared" si="360"/>
        <v/>
      </c>
      <c r="AP310" s="183" t="str">
        <f t="shared" si="360"/>
        <v/>
      </c>
      <c r="AQ310" s="183" t="str">
        <f t="shared" si="360"/>
        <v/>
      </c>
      <c r="AR310" s="183" t="str">
        <f t="shared" si="360"/>
        <v/>
      </c>
      <c r="AS310" s="183" t="str">
        <f t="shared" si="360"/>
        <v/>
      </c>
      <c r="AT310" s="183" t="str">
        <f t="shared" si="360"/>
        <v/>
      </c>
      <c r="AU310" s="183" t="str">
        <f t="shared" si="360"/>
        <v/>
      </c>
      <c r="AV310" s="108"/>
      <c r="AW310" s="190">
        <f t="shared" si="344"/>
        <v>0</v>
      </c>
      <c r="AX310" s="119"/>
      <c r="AY310" s="183" t="str">
        <f t="shared" ref="AY310:BG310" si="361">IF(OR(AY$17="",AY$22=0,AY$29=0),"",
(AY$276*$AZ255)*1000/(AY$22*AY$29))</f>
        <v/>
      </c>
      <c r="AZ310" s="183" t="str">
        <f t="shared" si="361"/>
        <v/>
      </c>
      <c r="BA310" s="183" t="str">
        <f t="shared" si="361"/>
        <v/>
      </c>
      <c r="BB310" s="183" t="str">
        <f t="shared" si="361"/>
        <v/>
      </c>
      <c r="BC310" s="183" t="str">
        <f t="shared" si="361"/>
        <v/>
      </c>
      <c r="BD310" s="183" t="str">
        <f t="shared" si="361"/>
        <v/>
      </c>
      <c r="BE310" s="183" t="str">
        <f t="shared" si="361"/>
        <v/>
      </c>
      <c r="BF310" s="183" t="str">
        <f t="shared" si="361"/>
        <v/>
      </c>
      <c r="BG310" s="183" t="str">
        <f t="shared" si="361"/>
        <v/>
      </c>
      <c r="BH310" s="210"/>
    </row>
    <row r="311" spans="1:60">
      <c r="A311" s="1040"/>
      <c r="B311" s="1109" t="s">
        <v>1222</v>
      </c>
      <c r="C311" s="1107" t="s">
        <v>104</v>
      </c>
      <c r="D311" s="641" t="s">
        <v>45</v>
      </c>
      <c r="E311" s="180" t="s">
        <v>1323</v>
      </c>
      <c r="F311" s="180"/>
      <c r="G311" s="180"/>
      <c r="H311" s="201" t="s">
        <v>267</v>
      </c>
      <c r="I311" s="114"/>
      <c r="J311" s="190">
        <f t="shared" si="337"/>
        <v>0</v>
      </c>
      <c r="K311" s="1092"/>
      <c r="L311" s="1092"/>
      <c r="M311" s="190">
        <f t="shared" si="338"/>
        <v>0</v>
      </c>
      <c r="N311" s="119"/>
      <c r="O311" s="183" t="str">
        <f t="shared" ref="O311:W311" si="362">IF(OR(O$17="",O$22=0,O$29=0),"",
(O$275*$O256+O$277*$Q256)*1000/(O$22*O$29))</f>
        <v/>
      </c>
      <c r="P311" s="183" t="str">
        <f t="shared" si="362"/>
        <v/>
      </c>
      <c r="Q311" s="183" t="str">
        <f t="shared" si="362"/>
        <v/>
      </c>
      <c r="R311" s="183" t="str">
        <f t="shared" si="362"/>
        <v/>
      </c>
      <c r="S311" s="183" t="str">
        <f t="shared" si="362"/>
        <v/>
      </c>
      <c r="T311" s="183" t="str">
        <f t="shared" si="362"/>
        <v/>
      </c>
      <c r="U311" s="183" t="str">
        <f t="shared" si="362"/>
        <v/>
      </c>
      <c r="V311" s="183" t="str">
        <f t="shared" si="362"/>
        <v/>
      </c>
      <c r="W311" s="183" t="str">
        <f t="shared" si="362"/>
        <v/>
      </c>
      <c r="X311" s="108"/>
      <c r="Y311" s="190">
        <f t="shared" si="340"/>
        <v>0</v>
      </c>
      <c r="Z311" s="119"/>
      <c r="AA311" s="183" t="str">
        <f t="shared" ref="AA311:AI311" si="363">IF(OR(AA$17="",AA$22=0,AA$29=0),"",
(AA$275*$AA256+AA$277*$AC256)*1000/(AA$22*AA$29))</f>
        <v/>
      </c>
      <c r="AB311" s="183" t="str">
        <f t="shared" si="363"/>
        <v/>
      </c>
      <c r="AC311" s="183" t="str">
        <f t="shared" si="363"/>
        <v/>
      </c>
      <c r="AD311" s="183" t="str">
        <f t="shared" si="363"/>
        <v/>
      </c>
      <c r="AE311" s="183" t="str">
        <f t="shared" si="363"/>
        <v/>
      </c>
      <c r="AF311" s="183" t="str">
        <f t="shared" si="363"/>
        <v/>
      </c>
      <c r="AG311" s="183" t="str">
        <f t="shared" si="363"/>
        <v/>
      </c>
      <c r="AH311" s="183" t="str">
        <f t="shared" si="363"/>
        <v/>
      </c>
      <c r="AI311" s="183" t="str">
        <f t="shared" si="363"/>
        <v/>
      </c>
      <c r="AJ311" s="108"/>
      <c r="AK311" s="190">
        <f t="shared" si="342"/>
        <v>0</v>
      </c>
      <c r="AL311" s="119"/>
      <c r="AM311" s="183" t="str">
        <f t="shared" ref="AM311:AU311" si="364">IF(OR(AM$17="",AM$22=0,AM$29=0),"",
(AM$275*$AM256+AM$277*$AO256)*1000/(AM$22*AM$29))</f>
        <v/>
      </c>
      <c r="AN311" s="183" t="str">
        <f t="shared" si="364"/>
        <v/>
      </c>
      <c r="AO311" s="183" t="str">
        <f t="shared" si="364"/>
        <v/>
      </c>
      <c r="AP311" s="183" t="str">
        <f t="shared" si="364"/>
        <v/>
      </c>
      <c r="AQ311" s="183" t="str">
        <f t="shared" si="364"/>
        <v/>
      </c>
      <c r="AR311" s="183" t="str">
        <f t="shared" si="364"/>
        <v/>
      </c>
      <c r="AS311" s="183" t="str">
        <f t="shared" si="364"/>
        <v/>
      </c>
      <c r="AT311" s="183" t="str">
        <f t="shared" si="364"/>
        <v/>
      </c>
      <c r="AU311" s="183" t="str">
        <f t="shared" si="364"/>
        <v/>
      </c>
      <c r="AV311" s="108"/>
      <c r="AW311" s="190">
        <f t="shared" si="344"/>
        <v>0</v>
      </c>
      <c r="AX311" s="119"/>
      <c r="AY311" s="183" t="str">
        <f t="shared" ref="AY311:BG311" si="365">IF(OR(AY$17="",AY$22=0,AY$29=0),"",
(AY$275*$AY256+AY$277*$BA256)*1000/(AY$22*AY$29))</f>
        <v/>
      </c>
      <c r="AZ311" s="183" t="str">
        <f t="shared" si="365"/>
        <v/>
      </c>
      <c r="BA311" s="183" t="str">
        <f t="shared" si="365"/>
        <v/>
      </c>
      <c r="BB311" s="183" t="str">
        <f t="shared" si="365"/>
        <v/>
      </c>
      <c r="BC311" s="183" t="str">
        <f t="shared" si="365"/>
        <v/>
      </c>
      <c r="BD311" s="183" t="str">
        <f t="shared" si="365"/>
        <v/>
      </c>
      <c r="BE311" s="183" t="str">
        <f t="shared" si="365"/>
        <v/>
      </c>
      <c r="BF311" s="183" t="str">
        <f t="shared" si="365"/>
        <v/>
      </c>
      <c r="BG311" s="183" t="str">
        <f t="shared" si="365"/>
        <v/>
      </c>
      <c r="BH311" s="174"/>
    </row>
    <row r="312" spans="1:60">
      <c r="A312" s="1040"/>
      <c r="B312" s="1109" t="s">
        <v>1222</v>
      </c>
      <c r="C312" s="1106" t="s">
        <v>96</v>
      </c>
      <c r="D312" s="638"/>
      <c r="E312" s="942" t="s">
        <v>1321</v>
      </c>
      <c r="F312" s="942"/>
      <c r="G312" s="942"/>
      <c r="H312" s="942"/>
      <c r="I312" s="129"/>
      <c r="J312" s="943"/>
      <c r="K312" s="126"/>
      <c r="L312" s="126"/>
      <c r="M312" s="944"/>
      <c r="N312" s="195"/>
      <c r="O312" s="258" t="str">
        <f>O$17</f>
        <v/>
      </c>
      <c r="P312" s="258" t="str">
        <f t="shared" ref="P312:W312" si="366">P$17</f>
        <v/>
      </c>
      <c r="Q312" s="258" t="str">
        <f t="shared" si="366"/>
        <v/>
      </c>
      <c r="R312" s="258" t="str">
        <f t="shared" si="366"/>
        <v/>
      </c>
      <c r="S312" s="258" t="str">
        <f t="shared" si="366"/>
        <v/>
      </c>
      <c r="T312" s="258" t="str">
        <f t="shared" si="366"/>
        <v/>
      </c>
      <c r="U312" s="258" t="str">
        <f t="shared" si="366"/>
        <v/>
      </c>
      <c r="V312" s="258" t="str">
        <f t="shared" si="366"/>
        <v/>
      </c>
      <c r="W312" s="258" t="str">
        <f t="shared" si="366"/>
        <v/>
      </c>
      <c r="X312" s="195"/>
      <c r="Y312" s="944"/>
      <c r="Z312" s="195"/>
      <c r="AA312" s="258" t="str">
        <f>AA$17</f>
        <v/>
      </c>
      <c r="AB312" s="258" t="str">
        <f t="shared" ref="AB312:AI312" si="367">AB$17</f>
        <v/>
      </c>
      <c r="AC312" s="258" t="str">
        <f t="shared" si="367"/>
        <v/>
      </c>
      <c r="AD312" s="258" t="str">
        <f t="shared" si="367"/>
        <v/>
      </c>
      <c r="AE312" s="258" t="str">
        <f t="shared" si="367"/>
        <v/>
      </c>
      <c r="AF312" s="258" t="str">
        <f t="shared" si="367"/>
        <v/>
      </c>
      <c r="AG312" s="258" t="str">
        <f t="shared" si="367"/>
        <v/>
      </c>
      <c r="AH312" s="258" t="str">
        <f t="shared" si="367"/>
        <v/>
      </c>
      <c r="AI312" s="258" t="str">
        <f t="shared" si="367"/>
        <v/>
      </c>
      <c r="AJ312" s="195"/>
      <c r="AK312" s="944"/>
      <c r="AL312" s="195"/>
      <c r="AM312" s="258" t="str">
        <f>AM$17</f>
        <v/>
      </c>
      <c r="AN312" s="258" t="str">
        <f t="shared" ref="AN312:AU312" si="368">AN$17</f>
        <v/>
      </c>
      <c r="AO312" s="258" t="str">
        <f t="shared" si="368"/>
        <v/>
      </c>
      <c r="AP312" s="258" t="str">
        <f t="shared" si="368"/>
        <v/>
      </c>
      <c r="AQ312" s="258" t="str">
        <f t="shared" si="368"/>
        <v/>
      </c>
      <c r="AR312" s="258" t="str">
        <f t="shared" si="368"/>
        <v/>
      </c>
      <c r="AS312" s="258" t="str">
        <f t="shared" si="368"/>
        <v/>
      </c>
      <c r="AT312" s="258" t="str">
        <f t="shared" si="368"/>
        <v/>
      </c>
      <c r="AU312" s="258" t="str">
        <f t="shared" si="368"/>
        <v/>
      </c>
      <c r="AV312" s="195"/>
      <c r="AW312" s="944"/>
      <c r="AX312" s="195"/>
      <c r="AY312" s="258" t="str">
        <f>AY$17</f>
        <v/>
      </c>
      <c r="AZ312" s="258" t="str">
        <f t="shared" ref="AZ312:BG312" si="369">AZ$17</f>
        <v/>
      </c>
      <c r="BA312" s="258" t="str">
        <f t="shared" si="369"/>
        <v/>
      </c>
      <c r="BB312" s="258" t="str">
        <f t="shared" si="369"/>
        <v/>
      </c>
      <c r="BC312" s="258" t="str">
        <f t="shared" si="369"/>
        <v/>
      </c>
      <c r="BD312" s="258" t="str">
        <f t="shared" si="369"/>
        <v/>
      </c>
      <c r="BE312" s="258" t="str">
        <f t="shared" si="369"/>
        <v/>
      </c>
      <c r="BF312" s="258" t="str">
        <f t="shared" si="369"/>
        <v/>
      </c>
      <c r="BG312" s="258" t="str">
        <f t="shared" si="369"/>
        <v/>
      </c>
      <c r="BH312" s="36"/>
    </row>
    <row r="313" spans="1:60">
      <c r="A313" s="1040"/>
      <c r="B313" s="1109" t="s">
        <v>1222</v>
      </c>
      <c r="C313" s="1107" t="s">
        <v>104</v>
      </c>
      <c r="D313" s="641" t="s">
        <v>45</v>
      </c>
      <c r="E313" s="180" t="s">
        <v>1322</v>
      </c>
      <c r="F313" s="180"/>
      <c r="G313" s="180"/>
      <c r="H313" s="201" t="s">
        <v>267</v>
      </c>
      <c r="I313" s="114"/>
      <c r="J313" s="190">
        <f>M313+Y313+AK313+AW313</f>
        <v>0</v>
      </c>
      <c r="K313" s="1092"/>
      <c r="L313" s="1092"/>
      <c r="M313" s="190">
        <f>SUMPRODUCT(N313:X313,N$30:X$30)/1000</f>
        <v>0</v>
      </c>
      <c r="N313" s="119"/>
      <c r="O313" s="183" t="str">
        <f t="shared" ref="O313:W313" si="370">IF(OR(O$17="",O$22=0,O$29=0),"",
O$73/O$29*f_P_renelect)</f>
        <v/>
      </c>
      <c r="P313" s="183" t="str">
        <f t="shared" si="370"/>
        <v/>
      </c>
      <c r="Q313" s="183" t="str">
        <f t="shared" si="370"/>
        <v/>
      </c>
      <c r="R313" s="183" t="str">
        <f t="shared" si="370"/>
        <v/>
      </c>
      <c r="S313" s="183" t="str">
        <f t="shared" si="370"/>
        <v/>
      </c>
      <c r="T313" s="183" t="str">
        <f t="shared" si="370"/>
        <v/>
      </c>
      <c r="U313" s="183" t="str">
        <f t="shared" si="370"/>
        <v/>
      </c>
      <c r="V313" s="183" t="str">
        <f t="shared" si="370"/>
        <v/>
      </c>
      <c r="W313" s="183" t="str">
        <f t="shared" si="370"/>
        <v/>
      </c>
      <c r="X313" s="108"/>
      <c r="Y313" s="190">
        <f>SUMPRODUCT(Z313:AJ313,Z$30:AJ$30)/1000</f>
        <v>0</v>
      </c>
      <c r="Z313" s="119"/>
      <c r="AA313" s="183" t="str">
        <f t="shared" ref="AA313:AI313" si="371">IF(OR(AA$17="",AA$22=0,AA$29=0),"",
AA$73/AA$29*f_P_renelect)</f>
        <v/>
      </c>
      <c r="AB313" s="183" t="str">
        <f t="shared" si="371"/>
        <v/>
      </c>
      <c r="AC313" s="183" t="str">
        <f t="shared" si="371"/>
        <v/>
      </c>
      <c r="AD313" s="183" t="str">
        <f t="shared" si="371"/>
        <v/>
      </c>
      <c r="AE313" s="183" t="str">
        <f t="shared" si="371"/>
        <v/>
      </c>
      <c r="AF313" s="183" t="str">
        <f t="shared" si="371"/>
        <v/>
      </c>
      <c r="AG313" s="183" t="str">
        <f t="shared" si="371"/>
        <v/>
      </c>
      <c r="AH313" s="183" t="str">
        <f t="shared" si="371"/>
        <v/>
      </c>
      <c r="AI313" s="183" t="str">
        <f t="shared" si="371"/>
        <v/>
      </c>
      <c r="AJ313" s="108"/>
      <c r="AK313" s="190">
        <f>SUMPRODUCT(AL313:AV313,AL$30:AV$30)/1000</f>
        <v>0</v>
      </c>
      <c r="AL313" s="119"/>
      <c r="AM313" s="183" t="str">
        <f t="shared" ref="AM313:AU313" si="372">IF(OR(AM$17="",AM$22=0,AM$29=0),"",
AM$73/AM$29*f_P_renelect)</f>
        <v/>
      </c>
      <c r="AN313" s="183" t="str">
        <f t="shared" si="372"/>
        <v/>
      </c>
      <c r="AO313" s="183" t="str">
        <f t="shared" si="372"/>
        <v/>
      </c>
      <c r="AP313" s="183" t="str">
        <f t="shared" si="372"/>
        <v/>
      </c>
      <c r="AQ313" s="183" t="str">
        <f t="shared" si="372"/>
        <v/>
      </c>
      <c r="AR313" s="183" t="str">
        <f t="shared" si="372"/>
        <v/>
      </c>
      <c r="AS313" s="183" t="str">
        <f t="shared" si="372"/>
        <v/>
      </c>
      <c r="AT313" s="183" t="str">
        <f t="shared" si="372"/>
        <v/>
      </c>
      <c r="AU313" s="183" t="str">
        <f t="shared" si="372"/>
        <v/>
      </c>
      <c r="AV313" s="108"/>
      <c r="AW313" s="190">
        <f>SUMPRODUCT(AX313:BH313,AX$30:BH$30)/1000</f>
        <v>0</v>
      </c>
      <c r="AX313" s="119"/>
      <c r="AY313" s="183" t="str">
        <f t="shared" ref="AY313:BG313" si="373">IF(OR(AY$17="",AY$22=0,AY$29=0),"",
AY$73/AY$29*f_P_renelect)</f>
        <v/>
      </c>
      <c r="AZ313" s="183" t="str">
        <f t="shared" si="373"/>
        <v/>
      </c>
      <c r="BA313" s="183" t="str">
        <f t="shared" si="373"/>
        <v/>
      </c>
      <c r="BB313" s="183" t="str">
        <f t="shared" si="373"/>
        <v/>
      </c>
      <c r="BC313" s="183" t="str">
        <f t="shared" si="373"/>
        <v/>
      </c>
      <c r="BD313" s="183" t="str">
        <f t="shared" si="373"/>
        <v/>
      </c>
      <c r="BE313" s="183" t="str">
        <f t="shared" si="373"/>
        <v/>
      </c>
      <c r="BF313" s="183" t="str">
        <f t="shared" si="373"/>
        <v/>
      </c>
      <c r="BG313" s="183" t="str">
        <f t="shared" si="373"/>
        <v/>
      </c>
      <c r="BH313" s="210"/>
    </row>
    <row r="314" spans="1:60">
      <c r="A314" s="1040"/>
      <c r="B314" s="1109" t="s">
        <v>1222</v>
      </c>
      <c r="C314" s="1106" t="s">
        <v>96</v>
      </c>
      <c r="D314" s="638"/>
      <c r="E314" s="942" t="s">
        <v>1320</v>
      </c>
      <c r="F314" s="942"/>
      <c r="G314" s="942"/>
      <c r="H314" s="942"/>
      <c r="I314" s="129"/>
      <c r="J314" s="943"/>
      <c r="K314" s="126"/>
      <c r="L314" s="126"/>
      <c r="M314" s="944"/>
      <c r="N314" s="195"/>
      <c r="O314" s="258" t="str">
        <f>O$17</f>
        <v/>
      </c>
      <c r="P314" s="258" t="str">
        <f t="shared" ref="P314:W314" si="374">P$17</f>
        <v/>
      </c>
      <c r="Q314" s="258" t="str">
        <f t="shared" si="374"/>
        <v/>
      </c>
      <c r="R314" s="258" t="str">
        <f t="shared" si="374"/>
        <v/>
      </c>
      <c r="S314" s="258" t="str">
        <f t="shared" si="374"/>
        <v/>
      </c>
      <c r="T314" s="258" t="str">
        <f t="shared" si="374"/>
        <v/>
      </c>
      <c r="U314" s="258" t="str">
        <f t="shared" si="374"/>
        <v/>
      </c>
      <c r="V314" s="258" t="str">
        <f t="shared" si="374"/>
        <v/>
      </c>
      <c r="W314" s="258" t="str">
        <f t="shared" si="374"/>
        <v/>
      </c>
      <c r="X314" s="195"/>
      <c r="Y314" s="944"/>
      <c r="Z314" s="195"/>
      <c r="AA314" s="258" t="str">
        <f>AA$17</f>
        <v/>
      </c>
      <c r="AB314" s="258" t="str">
        <f t="shared" ref="AB314:AI314" si="375">AB$17</f>
        <v/>
      </c>
      <c r="AC314" s="258" t="str">
        <f t="shared" si="375"/>
        <v/>
      </c>
      <c r="AD314" s="258" t="str">
        <f t="shared" si="375"/>
        <v/>
      </c>
      <c r="AE314" s="258" t="str">
        <f t="shared" si="375"/>
        <v/>
      </c>
      <c r="AF314" s="258" t="str">
        <f t="shared" si="375"/>
        <v/>
      </c>
      <c r="AG314" s="258" t="str">
        <f t="shared" si="375"/>
        <v/>
      </c>
      <c r="AH314" s="258" t="str">
        <f t="shared" si="375"/>
        <v/>
      </c>
      <c r="AI314" s="258" t="str">
        <f t="shared" si="375"/>
        <v/>
      </c>
      <c r="AJ314" s="195"/>
      <c r="AK314" s="944"/>
      <c r="AL314" s="195"/>
      <c r="AM314" s="258" t="str">
        <f>AM$17</f>
        <v/>
      </c>
      <c r="AN314" s="258" t="str">
        <f t="shared" ref="AN314:AU314" si="376">AN$17</f>
        <v/>
      </c>
      <c r="AO314" s="258" t="str">
        <f t="shared" si="376"/>
        <v/>
      </c>
      <c r="AP314" s="258" t="str">
        <f t="shared" si="376"/>
        <v/>
      </c>
      <c r="AQ314" s="258" t="str">
        <f t="shared" si="376"/>
        <v/>
      </c>
      <c r="AR314" s="258" t="str">
        <f t="shared" si="376"/>
        <v/>
      </c>
      <c r="AS314" s="258" t="str">
        <f t="shared" si="376"/>
        <v/>
      </c>
      <c r="AT314" s="258" t="str">
        <f t="shared" si="376"/>
        <v/>
      </c>
      <c r="AU314" s="258" t="str">
        <f t="shared" si="376"/>
        <v/>
      </c>
      <c r="AV314" s="195"/>
      <c r="AW314" s="944"/>
      <c r="AX314" s="195"/>
      <c r="AY314" s="258" t="str">
        <f>AY$17</f>
        <v/>
      </c>
      <c r="AZ314" s="258" t="str">
        <f t="shared" ref="AZ314:BG314" si="377">AZ$17</f>
        <v/>
      </c>
      <c r="BA314" s="258" t="str">
        <f t="shared" si="377"/>
        <v/>
      </c>
      <c r="BB314" s="258" t="str">
        <f t="shared" si="377"/>
        <v/>
      </c>
      <c r="BC314" s="258" t="str">
        <f t="shared" si="377"/>
        <v/>
      </c>
      <c r="BD314" s="258" t="str">
        <f t="shared" si="377"/>
        <v/>
      </c>
      <c r="BE314" s="258" t="str">
        <f t="shared" si="377"/>
        <v/>
      </c>
      <c r="BF314" s="258" t="str">
        <f t="shared" si="377"/>
        <v/>
      </c>
      <c r="BG314" s="258" t="str">
        <f t="shared" si="377"/>
        <v/>
      </c>
      <c r="BH314" s="36"/>
    </row>
    <row r="315" spans="1:60">
      <c r="A315" s="1040"/>
      <c r="B315" s="1109" t="s">
        <v>1222</v>
      </c>
      <c r="C315" s="1107" t="s">
        <v>104</v>
      </c>
      <c r="D315" s="641" t="s">
        <v>45</v>
      </c>
      <c r="E315" s="1123" t="s">
        <v>232</v>
      </c>
      <c r="F315" s="1123"/>
      <c r="G315" s="180"/>
      <c r="H315" s="201" t="s">
        <v>267</v>
      </c>
      <c r="I315" s="114"/>
      <c r="J315" s="190">
        <f>M315+Y315+AK315+AW315</f>
        <v>0</v>
      </c>
      <c r="K315" s="1092"/>
      <c r="L315" s="1092"/>
      <c r="M315" s="190">
        <f>SUMPRODUCT(N315:X315,N$30:X$30)/1000</f>
        <v>0</v>
      </c>
      <c r="N315" s="119"/>
      <c r="O315" s="183" t="str">
        <f t="shared" ref="O315:W315" si="378">IF(OR(O$17="",O$22=0,O$29=0),"",SUM(O306:O311)+O313)</f>
        <v/>
      </c>
      <c r="P315" s="183" t="str">
        <f t="shared" si="378"/>
        <v/>
      </c>
      <c r="Q315" s="183" t="str">
        <f t="shared" si="378"/>
        <v/>
      </c>
      <c r="R315" s="183" t="str">
        <f t="shared" si="378"/>
        <v/>
      </c>
      <c r="S315" s="183" t="str">
        <f t="shared" si="378"/>
        <v/>
      </c>
      <c r="T315" s="183" t="str">
        <f t="shared" si="378"/>
        <v/>
      </c>
      <c r="U315" s="183" t="str">
        <f t="shared" si="378"/>
        <v/>
      </c>
      <c r="V315" s="183" t="str">
        <f t="shared" si="378"/>
        <v/>
      </c>
      <c r="W315" s="183" t="str">
        <f t="shared" si="378"/>
        <v/>
      </c>
      <c r="X315" s="108"/>
      <c r="Y315" s="190">
        <f>SUMPRODUCT(Z315:AJ315,Z$30:AJ$30)/1000</f>
        <v>0</v>
      </c>
      <c r="Z315" s="119"/>
      <c r="AA315" s="183" t="str">
        <f t="shared" ref="AA315:AI315" si="379">IF(OR(AA$17="",AA$22=0,AA$29=0),"",SUM(AA306:AA311)+AA313)</f>
        <v/>
      </c>
      <c r="AB315" s="183" t="str">
        <f t="shared" si="379"/>
        <v/>
      </c>
      <c r="AC315" s="183" t="str">
        <f t="shared" si="379"/>
        <v/>
      </c>
      <c r="AD315" s="183" t="str">
        <f t="shared" si="379"/>
        <v/>
      </c>
      <c r="AE315" s="183" t="str">
        <f t="shared" si="379"/>
        <v/>
      </c>
      <c r="AF315" s="183" t="str">
        <f t="shared" si="379"/>
        <v/>
      </c>
      <c r="AG315" s="183" t="str">
        <f t="shared" si="379"/>
        <v/>
      </c>
      <c r="AH315" s="183" t="str">
        <f t="shared" si="379"/>
        <v/>
      </c>
      <c r="AI315" s="183" t="str">
        <f t="shared" si="379"/>
        <v/>
      </c>
      <c r="AJ315" s="108"/>
      <c r="AK315" s="190">
        <f>SUMPRODUCT(AL315:AV315,AL$30:AV$30)/1000</f>
        <v>0</v>
      </c>
      <c r="AL315" s="119"/>
      <c r="AM315" s="183" t="str">
        <f>IF(OR(AM$17="",AM$22=0,AM$29=0),"",SUM(AM306:AM311)+AM313)</f>
        <v/>
      </c>
      <c r="AN315" s="183" t="str">
        <f t="shared" ref="AN315:AU315" si="380">IF(OR(AN$17="",AN$22=0,AN$29=0),"",SUM(AN306:AN311)+AN313)</f>
        <v/>
      </c>
      <c r="AO315" s="183" t="str">
        <f t="shared" si="380"/>
        <v/>
      </c>
      <c r="AP315" s="183" t="str">
        <f t="shared" si="380"/>
        <v/>
      </c>
      <c r="AQ315" s="183" t="str">
        <f t="shared" si="380"/>
        <v/>
      </c>
      <c r="AR315" s="183" t="str">
        <f t="shared" si="380"/>
        <v/>
      </c>
      <c r="AS315" s="183" t="str">
        <f t="shared" si="380"/>
        <v/>
      </c>
      <c r="AT315" s="183" t="str">
        <f t="shared" si="380"/>
        <v/>
      </c>
      <c r="AU315" s="183" t="str">
        <f t="shared" si="380"/>
        <v/>
      </c>
      <c r="AV315" s="108"/>
      <c r="AW315" s="190">
        <f>SUMPRODUCT(AX315:BH315,AX$30:BH$30)/1000</f>
        <v>0</v>
      </c>
      <c r="AX315" s="119"/>
      <c r="AY315" s="183" t="str">
        <f>IF(OR(AY$17="",AY$22=0,AY$29=0),"",SUM(AY306:AY311)+AY313)</f>
        <v/>
      </c>
      <c r="AZ315" s="183" t="str">
        <f t="shared" ref="AZ315:BG315" si="381">IF(OR(AZ$17="",AZ$22=0,AZ$29=0),"",SUM(AZ306:AZ311)+AZ313)</f>
        <v/>
      </c>
      <c r="BA315" s="183" t="str">
        <f t="shared" si="381"/>
        <v/>
      </c>
      <c r="BB315" s="183" t="str">
        <f t="shared" si="381"/>
        <v/>
      </c>
      <c r="BC315" s="183" t="str">
        <f t="shared" si="381"/>
        <v/>
      </c>
      <c r="BD315" s="183" t="str">
        <f t="shared" si="381"/>
        <v/>
      </c>
      <c r="BE315" s="183" t="str">
        <f t="shared" si="381"/>
        <v/>
      </c>
      <c r="BF315" s="183" t="str">
        <f t="shared" si="381"/>
        <v/>
      </c>
      <c r="BG315" s="183" t="str">
        <f t="shared" si="381"/>
        <v/>
      </c>
      <c r="BH315" s="210"/>
    </row>
    <row r="316" spans="1:60">
      <c r="A316" s="1040"/>
      <c r="B316" s="1109" t="s">
        <v>1222</v>
      </c>
      <c r="C316" s="1106" t="s">
        <v>96</v>
      </c>
      <c r="D316" s="638"/>
      <c r="E316" s="942" t="s">
        <v>272</v>
      </c>
      <c r="F316" s="942"/>
      <c r="G316" s="942"/>
      <c r="H316" s="942"/>
      <c r="I316" s="129"/>
      <c r="J316" s="943"/>
      <c r="K316" s="126"/>
      <c r="L316" s="126"/>
      <c r="M316" s="944"/>
      <c r="N316" s="195"/>
      <c r="O316" s="258" t="str">
        <f>O$17</f>
        <v/>
      </c>
      <c r="P316" s="258" t="str">
        <f t="shared" ref="P316:W316" si="382">P$17</f>
        <v/>
      </c>
      <c r="Q316" s="258" t="str">
        <f t="shared" si="382"/>
        <v/>
      </c>
      <c r="R316" s="258" t="str">
        <f t="shared" si="382"/>
        <v/>
      </c>
      <c r="S316" s="258" t="str">
        <f t="shared" si="382"/>
        <v/>
      </c>
      <c r="T316" s="258" t="str">
        <f t="shared" si="382"/>
        <v/>
      </c>
      <c r="U316" s="258" t="str">
        <f t="shared" si="382"/>
        <v/>
      </c>
      <c r="V316" s="258" t="str">
        <f t="shared" si="382"/>
        <v/>
      </c>
      <c r="W316" s="258" t="str">
        <f t="shared" si="382"/>
        <v/>
      </c>
      <c r="X316" s="195"/>
      <c r="Y316" s="944"/>
      <c r="Z316" s="195"/>
      <c r="AA316" s="258" t="str">
        <f>AA$17</f>
        <v/>
      </c>
      <c r="AB316" s="258" t="str">
        <f t="shared" ref="AB316:AI316" si="383">AB$17</f>
        <v/>
      </c>
      <c r="AC316" s="258" t="str">
        <f t="shared" si="383"/>
        <v/>
      </c>
      <c r="AD316" s="258" t="str">
        <f t="shared" si="383"/>
        <v/>
      </c>
      <c r="AE316" s="258" t="str">
        <f t="shared" si="383"/>
        <v/>
      </c>
      <c r="AF316" s="258" t="str">
        <f t="shared" si="383"/>
        <v/>
      </c>
      <c r="AG316" s="258" t="str">
        <f t="shared" si="383"/>
        <v/>
      </c>
      <c r="AH316" s="258" t="str">
        <f t="shared" si="383"/>
        <v/>
      </c>
      <c r="AI316" s="258" t="str">
        <f t="shared" si="383"/>
        <v/>
      </c>
      <c r="AJ316" s="195"/>
      <c r="AK316" s="944"/>
      <c r="AL316" s="195"/>
      <c r="AM316" s="258" t="str">
        <f>AM$17</f>
        <v/>
      </c>
      <c r="AN316" s="258" t="str">
        <f t="shared" ref="AN316:AU316" si="384">AN$17</f>
        <v/>
      </c>
      <c r="AO316" s="258" t="str">
        <f t="shared" si="384"/>
        <v/>
      </c>
      <c r="AP316" s="258" t="str">
        <f t="shared" si="384"/>
        <v/>
      </c>
      <c r="AQ316" s="258" t="str">
        <f t="shared" si="384"/>
        <v/>
      </c>
      <c r="AR316" s="258" t="str">
        <f t="shared" si="384"/>
        <v/>
      </c>
      <c r="AS316" s="258" t="str">
        <f t="shared" si="384"/>
        <v/>
      </c>
      <c r="AT316" s="258" t="str">
        <f t="shared" si="384"/>
        <v/>
      </c>
      <c r="AU316" s="258" t="str">
        <f t="shared" si="384"/>
        <v/>
      </c>
      <c r="AV316" s="195"/>
      <c r="AW316" s="944"/>
      <c r="AX316" s="195"/>
      <c r="AY316" s="258" t="str">
        <f>AY$17</f>
        <v/>
      </c>
      <c r="AZ316" s="258" t="str">
        <f t="shared" ref="AZ316:BG316" si="385">AZ$17</f>
        <v/>
      </c>
      <c r="BA316" s="258" t="str">
        <f t="shared" si="385"/>
        <v/>
      </c>
      <c r="BB316" s="258" t="str">
        <f t="shared" si="385"/>
        <v/>
      </c>
      <c r="BC316" s="258" t="str">
        <f t="shared" si="385"/>
        <v/>
      </c>
      <c r="BD316" s="258" t="str">
        <f t="shared" si="385"/>
        <v/>
      </c>
      <c r="BE316" s="258" t="str">
        <f t="shared" si="385"/>
        <v/>
      </c>
      <c r="BF316" s="258" t="str">
        <f t="shared" si="385"/>
        <v/>
      </c>
      <c r="BG316" s="258" t="str">
        <f t="shared" si="385"/>
        <v/>
      </c>
      <c r="BH316" s="36"/>
    </row>
    <row r="317" spans="1:60">
      <c r="A317" s="1040"/>
      <c r="B317" s="1109" t="s">
        <v>1222</v>
      </c>
      <c r="C317" s="1107" t="s">
        <v>104</v>
      </c>
      <c r="D317" s="641" t="s">
        <v>45</v>
      </c>
      <c r="E317" s="1123" t="s">
        <v>1360</v>
      </c>
      <c r="F317" s="1123"/>
      <c r="G317" s="180"/>
      <c r="H317" s="201" t="s">
        <v>139</v>
      </c>
      <c r="I317" s="114"/>
      <c r="J317" s="554" t="str">
        <f>IF(J$22=0,"",
IF(J304+J315=0,0,J315/(J304+J315)))</f>
        <v/>
      </c>
      <c r="K317" s="1096"/>
      <c r="L317" s="1096"/>
      <c r="M317" s="554" t="str">
        <f>IF(M$22=0,"",
IF(M304+M315=0,0,M315/(M304+M315)))</f>
        <v/>
      </c>
      <c r="N317" s="1097"/>
      <c r="O317" s="1159" t="str">
        <f t="shared" ref="O317:W317" si="386">IF(OR(O$17="",O$22=0,O$29=0),"",
IF(O304+O315=0,0,O315/(O304+O315)))</f>
        <v/>
      </c>
      <c r="P317" s="285" t="str">
        <f t="shared" si="386"/>
        <v/>
      </c>
      <c r="Q317" s="285" t="str">
        <f t="shared" si="386"/>
        <v/>
      </c>
      <c r="R317" s="285" t="str">
        <f t="shared" si="386"/>
        <v/>
      </c>
      <c r="S317" s="285" t="str">
        <f t="shared" si="386"/>
        <v/>
      </c>
      <c r="T317" s="285" t="str">
        <f t="shared" si="386"/>
        <v/>
      </c>
      <c r="U317" s="285" t="str">
        <f t="shared" si="386"/>
        <v/>
      </c>
      <c r="V317" s="285" t="str">
        <f t="shared" si="386"/>
        <v/>
      </c>
      <c r="W317" s="285" t="str">
        <f t="shared" si="386"/>
        <v/>
      </c>
      <c r="X317" s="124"/>
      <c r="Y317" s="554" t="str">
        <f>IF(Y$22=0,"",
IF(Y304+Y315=0,0,Y315/(Y304+Y315)))</f>
        <v/>
      </c>
      <c r="Z317" s="1097"/>
      <c r="AA317" s="285" t="str">
        <f t="shared" ref="AA317:AI317" si="387">IF(OR(AA$17="",AA$22=0,AA$29=0),"",
IF(AA304+AA315=0,0,AA315/(AA304+AA315)))</f>
        <v/>
      </c>
      <c r="AB317" s="285" t="str">
        <f t="shared" si="387"/>
        <v/>
      </c>
      <c r="AC317" s="285" t="str">
        <f t="shared" si="387"/>
        <v/>
      </c>
      <c r="AD317" s="285" t="str">
        <f t="shared" si="387"/>
        <v/>
      </c>
      <c r="AE317" s="285" t="str">
        <f t="shared" si="387"/>
        <v/>
      </c>
      <c r="AF317" s="285" t="str">
        <f t="shared" si="387"/>
        <v/>
      </c>
      <c r="AG317" s="285" t="str">
        <f t="shared" si="387"/>
        <v/>
      </c>
      <c r="AH317" s="285" t="str">
        <f t="shared" si="387"/>
        <v/>
      </c>
      <c r="AI317" s="285" t="str">
        <f t="shared" si="387"/>
        <v/>
      </c>
      <c r="AJ317" s="124"/>
      <c r="AK317" s="554" t="str">
        <f>IF(AK$22=0,"",
IF(AK304+AK315=0,0,AK315/(AK304+AK315)))</f>
        <v/>
      </c>
      <c r="AL317" s="1097"/>
      <c r="AM317" s="285" t="str">
        <f>IF(OR(AM$17="",AM$22=0,AM$29=0),"",
IF(AM304+AM315=0,0,AM315/(AM304+AM315)))</f>
        <v/>
      </c>
      <c r="AN317" s="285" t="str">
        <f t="shared" ref="AN317:AU317" si="388">IF(OR(AN$17="",AN$22=0,AN$29=0),"",
IF(AN304+AN315=0,0,AN315/(AN304+AN315)))</f>
        <v/>
      </c>
      <c r="AO317" s="285" t="str">
        <f>IF(OR(AO$17="",AO$22=0,AO$29=0),"",
IF(AO304+AO315=0,0,AO315/(AO304+AO315)))</f>
        <v/>
      </c>
      <c r="AP317" s="285" t="str">
        <f t="shared" si="388"/>
        <v/>
      </c>
      <c r="AQ317" s="285" t="str">
        <f t="shared" si="388"/>
        <v/>
      </c>
      <c r="AR317" s="285" t="str">
        <f t="shared" si="388"/>
        <v/>
      </c>
      <c r="AS317" s="285" t="str">
        <f t="shared" si="388"/>
        <v/>
      </c>
      <c r="AT317" s="285" t="str">
        <f t="shared" si="388"/>
        <v/>
      </c>
      <c r="AU317" s="285" t="str">
        <f t="shared" si="388"/>
        <v/>
      </c>
      <c r="AV317" s="124"/>
      <c r="AW317" s="554" t="str">
        <f>IF(AW$22=0,"",
IF(AW304+AW315=0,0,AW315/(AW304+AW315)))</f>
        <v/>
      </c>
      <c r="AX317" s="1097"/>
      <c r="AY317" s="285" t="str">
        <f>IF(OR(AY$17="",AY$22=0,AY$29=0),"",
IF(AY304+AY315=0,0,AY315/(AY304+AY315)))</f>
        <v/>
      </c>
      <c r="AZ317" s="285" t="str">
        <f t="shared" ref="AZ317:BG317" si="389">IF(OR(AZ$17="",AZ$22=0,AZ$29=0),"",
IF(AZ304+AZ315=0,0,AZ315/(AZ304+AZ315)))</f>
        <v/>
      </c>
      <c r="BA317" s="285" t="str">
        <f t="shared" si="389"/>
        <v/>
      </c>
      <c r="BB317" s="285" t="str">
        <f t="shared" si="389"/>
        <v/>
      </c>
      <c r="BC317" s="285" t="str">
        <f t="shared" si="389"/>
        <v/>
      </c>
      <c r="BD317" s="285" t="str">
        <f t="shared" si="389"/>
        <v/>
      </c>
      <c r="BE317" s="285" t="str">
        <f t="shared" si="389"/>
        <v/>
      </c>
      <c r="BF317" s="285" t="str">
        <f t="shared" si="389"/>
        <v/>
      </c>
      <c r="BG317" s="285" t="str">
        <f t="shared" si="389"/>
        <v/>
      </c>
      <c r="BH317" s="212"/>
    </row>
    <row r="318" spans="1:60">
      <c r="A318" s="1040"/>
      <c r="B318" s="1109" t="s">
        <v>1222</v>
      </c>
      <c r="C318" s="1106" t="s">
        <v>96</v>
      </c>
      <c r="D318" s="638"/>
      <c r="E318" s="79"/>
      <c r="F318" s="79"/>
      <c r="G318" s="79"/>
      <c r="H318" s="85"/>
      <c r="I318" s="79"/>
      <c r="J318" s="82"/>
      <c r="K318" s="195"/>
      <c r="L318" s="195"/>
      <c r="M318" s="82"/>
      <c r="N318" s="79"/>
      <c r="O318" s="108"/>
      <c r="P318" s="108"/>
      <c r="Q318" s="108"/>
      <c r="R318" s="108"/>
      <c r="S318" s="108"/>
      <c r="T318" s="108"/>
      <c r="U318" s="108"/>
      <c r="V318" s="108"/>
      <c r="W318" s="108"/>
      <c r="X318" s="82"/>
      <c r="Y318" s="82"/>
      <c r="Z318" s="82"/>
      <c r="AA318" s="82"/>
      <c r="AB318" s="82"/>
      <c r="AC318" s="82"/>
      <c r="AD318" s="82"/>
      <c r="AE318" s="82"/>
      <c r="AF318" s="82"/>
      <c r="AG318" s="82"/>
      <c r="AH318" s="82"/>
      <c r="AI318" s="82"/>
      <c r="AJ318" s="82"/>
      <c r="AK318" s="82"/>
      <c r="AL318" s="79"/>
      <c r="AM318" s="108"/>
      <c r="AN318" s="108"/>
      <c r="AO318" s="108"/>
      <c r="AP318" s="108"/>
      <c r="AQ318" s="108"/>
      <c r="AR318" s="108"/>
      <c r="AS318" s="108"/>
      <c r="AT318" s="108"/>
      <c r="AU318" s="108"/>
      <c r="AV318" s="82"/>
      <c r="AW318" s="82"/>
      <c r="AX318" s="79"/>
      <c r="AY318" s="108"/>
      <c r="AZ318" s="108"/>
      <c r="BA318" s="108"/>
      <c r="BB318" s="108"/>
      <c r="BC318" s="108"/>
      <c r="BD318" s="108"/>
      <c r="BE318" s="108"/>
      <c r="BF318" s="108"/>
      <c r="BG318" s="108"/>
      <c r="BH318" s="1"/>
    </row>
    <row r="319" spans="1:60">
      <c r="A319" s="1040"/>
      <c r="B319" s="1109" t="s">
        <v>1223</v>
      </c>
      <c r="C319" s="1107" t="s">
        <v>96</v>
      </c>
      <c r="D319" s="638"/>
      <c r="E319" s="1098"/>
      <c r="F319" s="85"/>
      <c r="G319" s="85"/>
      <c r="H319" s="85"/>
      <c r="I319" s="79"/>
      <c r="J319" s="105"/>
      <c r="K319" s="79"/>
      <c r="L319" s="79"/>
      <c r="M319" s="82"/>
      <c r="N319" s="79"/>
      <c r="O319" s="79"/>
      <c r="P319" s="82"/>
      <c r="Q319" s="82"/>
      <c r="R319" s="82"/>
      <c r="S319" s="82"/>
      <c r="T319" s="82"/>
      <c r="U319" s="82"/>
      <c r="V319" s="82"/>
      <c r="W319" s="82"/>
      <c r="X319" s="82"/>
      <c r="Y319" s="82"/>
      <c r="Z319" s="79"/>
      <c r="AA319" s="82"/>
      <c r="AB319" s="82"/>
      <c r="AC319" s="82"/>
      <c r="AD319" s="82"/>
      <c r="AE319" s="82"/>
      <c r="AF319" s="82"/>
      <c r="AG319" s="82"/>
      <c r="AH319" s="82"/>
      <c r="AI319" s="82"/>
      <c r="AJ319" s="82"/>
      <c r="AK319" s="82"/>
      <c r="AL319" s="79"/>
      <c r="AM319" s="82"/>
      <c r="AN319" s="82"/>
      <c r="AO319" s="82"/>
      <c r="AP319" s="82"/>
      <c r="AQ319" s="82"/>
      <c r="AR319" s="82"/>
      <c r="AS319" s="82"/>
      <c r="AT319" s="82"/>
      <c r="AU319" s="82"/>
      <c r="AV319" s="82"/>
      <c r="AW319" s="82"/>
      <c r="AX319" s="79"/>
      <c r="AY319" s="82"/>
      <c r="AZ319" s="82"/>
      <c r="BA319" s="82"/>
      <c r="BB319" s="82"/>
      <c r="BC319" s="82"/>
      <c r="BD319" s="82"/>
      <c r="BE319" s="82"/>
      <c r="BF319" s="82"/>
      <c r="BG319" s="82"/>
      <c r="BH319" s="1"/>
    </row>
    <row r="320" spans="1:60" s="2" customFormat="1" ht="21">
      <c r="A320" s="1038"/>
      <c r="B320" s="1110" t="s">
        <v>1223</v>
      </c>
      <c r="C320" s="1106" t="s">
        <v>96</v>
      </c>
      <c r="D320" s="640" t="s">
        <v>45</v>
      </c>
      <c r="E320" s="209" t="s">
        <v>1371</v>
      </c>
      <c r="F320" s="209"/>
      <c r="G320" s="209"/>
      <c r="H320" s="1188" t="str">
        <f>IF(OR($F$5&lt;&gt;"NTA8800:2026",$F$6&lt;&gt;"EP"),"Voor correcte EP: Kies linksboven 'NTA8800:2026' en 'EP'","")</f>
        <v/>
      </c>
      <c r="I320" s="129"/>
      <c r="J320" s="256"/>
      <c r="K320" s="126"/>
      <c r="L320" s="126"/>
      <c r="M320" s="256" t="str">
        <f>M$8</f>
        <v>locatie 1</v>
      </c>
      <c r="N320" s="182"/>
      <c r="O320" s="955" t="str">
        <f>$E320&amp;" per woning-/gebouwtype"</f>
        <v>energieprestatie indicatoren primair fossiel per woning-/gebouwtype</v>
      </c>
      <c r="P320" s="945"/>
      <c r="Q320" s="945"/>
      <c r="R320" s="945"/>
      <c r="S320" s="945"/>
      <c r="T320" s="945"/>
      <c r="U320" s="945"/>
      <c r="V320" s="945"/>
      <c r="W320" s="257"/>
      <c r="X320" s="174"/>
      <c r="Y320" s="256" t="str">
        <f>Y$8</f>
        <v>locatie 2</v>
      </c>
      <c r="Z320" s="182"/>
      <c r="AA320" s="955" t="str">
        <f>$E320&amp;" per woning-/gebouwtype"</f>
        <v>energieprestatie indicatoren primair fossiel per woning-/gebouwtype</v>
      </c>
      <c r="AB320" s="945"/>
      <c r="AC320" s="945"/>
      <c r="AD320" s="945"/>
      <c r="AE320" s="945"/>
      <c r="AF320" s="945"/>
      <c r="AG320" s="945"/>
      <c r="AH320" s="945"/>
      <c r="AI320" s="257"/>
      <c r="AJ320" s="174"/>
      <c r="AK320" s="256" t="str">
        <f>AK$8</f>
        <v>locatie 3</v>
      </c>
      <c r="AL320" s="182"/>
      <c r="AM320" s="955" t="str">
        <f>$E320&amp;" per woning-/gebouwtype"</f>
        <v>energieprestatie indicatoren primair fossiel per woning-/gebouwtype</v>
      </c>
      <c r="AN320" s="945"/>
      <c r="AO320" s="945"/>
      <c r="AP320" s="945"/>
      <c r="AQ320" s="945"/>
      <c r="AR320" s="945"/>
      <c r="AS320" s="945"/>
      <c r="AT320" s="945"/>
      <c r="AU320" s="257"/>
      <c r="AV320" s="174"/>
      <c r="AW320" s="256" t="str">
        <f>AW$8</f>
        <v>locatie 4</v>
      </c>
      <c r="AX320" s="182"/>
      <c r="AY320" s="955" t="str">
        <f>$E320&amp;" per woning-/gebouwtype"</f>
        <v>energieprestatie indicatoren primair fossiel per woning-/gebouwtype</v>
      </c>
      <c r="AZ320" s="945"/>
      <c r="BA320" s="945"/>
      <c r="BB320" s="945"/>
      <c r="BC320" s="945"/>
      <c r="BD320" s="945"/>
      <c r="BE320" s="945"/>
      <c r="BF320" s="945"/>
      <c r="BG320" s="257"/>
      <c r="BH320" s="1"/>
    </row>
    <row r="321" spans="1:60" hidden="1">
      <c r="A321" s="1040"/>
      <c r="B321" s="1109" t="s">
        <v>1223</v>
      </c>
      <c r="C321" s="1106" t="s">
        <v>262</v>
      </c>
      <c r="D321" s="641"/>
      <c r="E321" s="942" t="s">
        <v>273</v>
      </c>
      <c r="F321" s="942"/>
      <c r="G321" s="942"/>
      <c r="H321" s="942"/>
      <c r="I321" s="129"/>
      <c r="J321" s="943"/>
      <c r="K321" s="126"/>
      <c r="L321" s="126"/>
      <c r="M321" s="944"/>
      <c r="N321" s="195"/>
      <c r="O321" s="258" t="str">
        <f>O$17</f>
        <v/>
      </c>
      <c r="P321" s="258" t="str">
        <f t="shared" ref="P321:W321" si="390">P$17</f>
        <v/>
      </c>
      <c r="Q321" s="258" t="str">
        <f t="shared" si="390"/>
        <v/>
      </c>
      <c r="R321" s="258" t="str">
        <f t="shared" si="390"/>
        <v/>
      </c>
      <c r="S321" s="258" t="str">
        <f t="shared" si="390"/>
        <v/>
      </c>
      <c r="T321" s="258" t="str">
        <f t="shared" si="390"/>
        <v/>
      </c>
      <c r="U321" s="258" t="str">
        <f t="shared" si="390"/>
        <v/>
      </c>
      <c r="V321" s="258" t="str">
        <f t="shared" si="390"/>
        <v/>
      </c>
      <c r="W321" s="258" t="str">
        <f t="shared" si="390"/>
        <v/>
      </c>
      <c r="X321" s="195"/>
      <c r="Y321" s="944"/>
      <c r="Z321" s="195"/>
      <c r="AA321" s="258" t="str">
        <f>AA$17</f>
        <v/>
      </c>
      <c r="AB321" s="258" t="str">
        <f t="shared" ref="AB321:AI321" si="391">AB$17</f>
        <v/>
      </c>
      <c r="AC321" s="258" t="str">
        <f t="shared" si="391"/>
        <v/>
      </c>
      <c r="AD321" s="258" t="str">
        <f t="shared" si="391"/>
        <v/>
      </c>
      <c r="AE321" s="258" t="str">
        <f t="shared" si="391"/>
        <v/>
      </c>
      <c r="AF321" s="258" t="str">
        <f t="shared" si="391"/>
        <v/>
      </c>
      <c r="AG321" s="258" t="str">
        <f t="shared" si="391"/>
        <v/>
      </c>
      <c r="AH321" s="258" t="str">
        <f t="shared" si="391"/>
        <v/>
      </c>
      <c r="AI321" s="258" t="str">
        <f t="shared" si="391"/>
        <v/>
      </c>
      <c r="AJ321" s="195"/>
      <c r="AK321" s="944"/>
      <c r="AL321" s="195"/>
      <c r="AM321" s="258" t="str">
        <f>AM$17</f>
        <v/>
      </c>
      <c r="AN321" s="258" t="str">
        <f t="shared" ref="AN321:AU321" si="392">AN$17</f>
        <v/>
      </c>
      <c r="AO321" s="258" t="str">
        <f t="shared" si="392"/>
        <v/>
      </c>
      <c r="AP321" s="258" t="str">
        <f t="shared" si="392"/>
        <v/>
      </c>
      <c r="AQ321" s="258" t="str">
        <f t="shared" si="392"/>
        <v/>
      </c>
      <c r="AR321" s="258" t="str">
        <f t="shared" si="392"/>
        <v/>
      </c>
      <c r="AS321" s="258" t="str">
        <f t="shared" si="392"/>
        <v/>
      </c>
      <c r="AT321" s="258" t="str">
        <f t="shared" si="392"/>
        <v/>
      </c>
      <c r="AU321" s="258" t="str">
        <f t="shared" si="392"/>
        <v/>
      </c>
      <c r="AV321" s="195"/>
      <c r="AW321" s="944"/>
      <c r="AX321" s="195"/>
      <c r="AY321" s="258" t="str">
        <f>AY$17</f>
        <v/>
      </c>
      <c r="AZ321" s="258" t="str">
        <f t="shared" ref="AZ321:BG321" si="393">AZ$17</f>
        <v/>
      </c>
      <c r="BA321" s="258" t="str">
        <f t="shared" si="393"/>
        <v/>
      </c>
      <c r="BB321" s="258" t="str">
        <f t="shared" si="393"/>
        <v/>
      </c>
      <c r="BC321" s="258" t="str">
        <f t="shared" si="393"/>
        <v/>
      </c>
      <c r="BD321" s="258" t="str">
        <f t="shared" si="393"/>
        <v/>
      </c>
      <c r="BE321" s="258" t="str">
        <f t="shared" si="393"/>
        <v/>
      </c>
      <c r="BF321" s="258" t="str">
        <f t="shared" si="393"/>
        <v/>
      </c>
      <c r="BG321" s="258" t="str">
        <f t="shared" si="393"/>
        <v/>
      </c>
      <c r="BH321" s="36"/>
    </row>
    <row r="322" spans="1:60" hidden="1">
      <c r="A322" s="1040"/>
      <c r="B322" s="1109" t="s">
        <v>1223</v>
      </c>
      <c r="C322" s="1106" t="s">
        <v>262</v>
      </c>
      <c r="D322" s="641"/>
      <c r="E322" s="203" t="s">
        <v>274</v>
      </c>
      <c r="F322" s="203"/>
      <c r="G322" s="203"/>
      <c r="H322" s="204" t="s">
        <v>65</v>
      </c>
      <c r="I322" s="205"/>
      <c r="J322" s="206"/>
      <c r="K322" s="79"/>
      <c r="L322" s="79"/>
      <c r="M322" s="206"/>
      <c r="N322" s="205"/>
      <c r="O322" s="1153" t="str">
        <f t="shared" ref="O322:W322" si="394">IF(OR(O$17="",O$22=0,O$29=0),"",MATCH(O$19,BENG_gebruiksfuncties,0))</f>
        <v/>
      </c>
      <c r="P322" s="1153" t="str">
        <f t="shared" si="394"/>
        <v/>
      </c>
      <c r="Q322" s="1153" t="str">
        <f t="shared" si="394"/>
        <v/>
      </c>
      <c r="R322" s="1153" t="str">
        <f t="shared" si="394"/>
        <v/>
      </c>
      <c r="S322" s="1153" t="str">
        <f t="shared" si="394"/>
        <v/>
      </c>
      <c r="T322" s="1153" t="str">
        <f t="shared" si="394"/>
        <v/>
      </c>
      <c r="U322" s="1153" t="str">
        <f t="shared" si="394"/>
        <v/>
      </c>
      <c r="V322" s="1153" t="str">
        <f t="shared" si="394"/>
        <v/>
      </c>
      <c r="W322" s="1153" t="str">
        <f t="shared" si="394"/>
        <v/>
      </c>
      <c r="X322" s="108"/>
      <c r="Y322" s="206"/>
      <c r="Z322" s="205"/>
      <c r="AA322" s="207" t="str">
        <f t="shared" ref="AA322:AI322" si="395">IF(OR(AA$17="",AA$22=0,AA$29=0),"",MATCH(AA$19,BENG_gebruiksfuncties,0))</f>
        <v/>
      </c>
      <c r="AB322" s="207" t="str">
        <f t="shared" si="395"/>
        <v/>
      </c>
      <c r="AC322" s="207" t="str">
        <f t="shared" si="395"/>
        <v/>
      </c>
      <c r="AD322" s="207" t="str">
        <f t="shared" si="395"/>
        <v/>
      </c>
      <c r="AE322" s="207" t="str">
        <f t="shared" si="395"/>
        <v/>
      </c>
      <c r="AF322" s="207" t="str">
        <f t="shared" si="395"/>
        <v/>
      </c>
      <c r="AG322" s="207" t="str">
        <f t="shared" si="395"/>
        <v/>
      </c>
      <c r="AH322" s="207" t="str">
        <f t="shared" si="395"/>
        <v/>
      </c>
      <c r="AI322" s="207" t="str">
        <f t="shared" si="395"/>
        <v/>
      </c>
      <c r="AJ322" s="108"/>
      <c r="AK322" s="206"/>
      <c r="AL322" s="205"/>
      <c r="AM322" s="207" t="str">
        <f>IF(OR(AM$17="",AM$22=0,AM$29=0),"",MATCH(AM$19,BENG_gebruiksfuncties,0))</f>
        <v/>
      </c>
      <c r="AN322" s="207" t="str">
        <f t="shared" ref="AN322:AU322" si="396">IF(OR(AN$17="",AN$22=0,AN$29=0),"",MATCH(AN$19,BENG_gebruiksfuncties,0))</f>
        <v/>
      </c>
      <c r="AO322" s="207" t="str">
        <f t="shared" si="396"/>
        <v/>
      </c>
      <c r="AP322" s="207" t="str">
        <f t="shared" si="396"/>
        <v/>
      </c>
      <c r="AQ322" s="207" t="str">
        <f t="shared" si="396"/>
        <v/>
      </c>
      <c r="AR322" s="207" t="str">
        <f t="shared" si="396"/>
        <v/>
      </c>
      <c r="AS322" s="207" t="str">
        <f t="shared" si="396"/>
        <v/>
      </c>
      <c r="AT322" s="207" t="str">
        <f t="shared" si="396"/>
        <v/>
      </c>
      <c r="AU322" s="207" t="str">
        <f t="shared" si="396"/>
        <v/>
      </c>
      <c r="AV322" s="108"/>
      <c r="AW322" s="206"/>
      <c r="AX322" s="205"/>
      <c r="AY322" s="207" t="str">
        <f t="shared" ref="AY322:BG322" si="397">IF(OR(AY$17="",AY$22=0,AY$29=0),"",MATCH(AY$19,BENG_gebruiksfuncties,0))</f>
        <v/>
      </c>
      <c r="AZ322" s="207" t="str">
        <f t="shared" si="397"/>
        <v/>
      </c>
      <c r="BA322" s="207" t="str">
        <f t="shared" si="397"/>
        <v/>
      </c>
      <c r="BB322" s="207" t="str">
        <f t="shared" si="397"/>
        <v/>
      </c>
      <c r="BC322" s="207" t="str">
        <f t="shared" si="397"/>
        <v/>
      </c>
      <c r="BD322" s="207" t="str">
        <f t="shared" si="397"/>
        <v/>
      </c>
      <c r="BE322" s="207" t="str">
        <f t="shared" si="397"/>
        <v/>
      </c>
      <c r="BF322" s="207" t="str">
        <f t="shared" si="397"/>
        <v/>
      </c>
      <c r="BG322" s="207" t="str">
        <f t="shared" si="397"/>
        <v/>
      </c>
      <c r="BH322" s="210"/>
    </row>
    <row r="323" spans="1:60">
      <c r="A323" s="1040"/>
      <c r="B323" s="1109" t="s">
        <v>1223</v>
      </c>
      <c r="C323" s="1106" t="s">
        <v>96</v>
      </c>
      <c r="D323" s="640" t="s">
        <v>45</v>
      </c>
      <c r="E323" s="942" t="s">
        <v>1166</v>
      </c>
      <c r="F323" s="942"/>
      <c r="G323" s="942"/>
      <c r="H323" s="942"/>
      <c r="I323" s="129"/>
      <c r="J323" s="943"/>
      <c r="K323" s="126"/>
      <c r="L323" s="126"/>
      <c r="M323" s="944"/>
      <c r="N323" s="195"/>
      <c r="O323" s="1154" t="str">
        <f>O$17</f>
        <v/>
      </c>
      <c r="P323" s="1154" t="str">
        <f t="shared" ref="P323:W323" si="398">P$17</f>
        <v/>
      </c>
      <c r="Q323" s="1154" t="str">
        <f t="shared" si="398"/>
        <v/>
      </c>
      <c r="R323" s="1154" t="str">
        <f t="shared" si="398"/>
        <v/>
      </c>
      <c r="S323" s="1154" t="str">
        <f t="shared" si="398"/>
        <v/>
      </c>
      <c r="T323" s="1154" t="str">
        <f t="shared" si="398"/>
        <v/>
      </c>
      <c r="U323" s="1154" t="str">
        <f t="shared" si="398"/>
        <v/>
      </c>
      <c r="V323" s="1154" t="str">
        <f t="shared" si="398"/>
        <v/>
      </c>
      <c r="W323" s="1154" t="str">
        <f t="shared" si="398"/>
        <v/>
      </c>
      <c r="X323" s="195"/>
      <c r="Y323" s="944"/>
      <c r="Z323" s="195"/>
      <c r="AA323" s="258" t="str">
        <f>AA$17</f>
        <v/>
      </c>
      <c r="AB323" s="258" t="str">
        <f t="shared" ref="AB323:AI323" si="399">AB$17</f>
        <v/>
      </c>
      <c r="AC323" s="258" t="str">
        <f t="shared" si="399"/>
        <v/>
      </c>
      <c r="AD323" s="258" t="str">
        <f t="shared" si="399"/>
        <v/>
      </c>
      <c r="AE323" s="258" t="str">
        <f t="shared" si="399"/>
        <v/>
      </c>
      <c r="AF323" s="258" t="str">
        <f t="shared" si="399"/>
        <v/>
      </c>
      <c r="AG323" s="258" t="str">
        <f t="shared" si="399"/>
        <v/>
      </c>
      <c r="AH323" s="258" t="str">
        <f t="shared" si="399"/>
        <v/>
      </c>
      <c r="AI323" s="258" t="str">
        <f t="shared" si="399"/>
        <v/>
      </c>
      <c r="AJ323" s="195"/>
      <c r="AK323" s="944"/>
      <c r="AL323" s="195"/>
      <c r="AM323" s="258" t="str">
        <f>AM$17</f>
        <v/>
      </c>
      <c r="AN323" s="258" t="str">
        <f t="shared" ref="AN323:AU323" si="400">AN$17</f>
        <v/>
      </c>
      <c r="AO323" s="258" t="str">
        <f t="shared" si="400"/>
        <v/>
      </c>
      <c r="AP323" s="258" t="str">
        <f t="shared" si="400"/>
        <v/>
      </c>
      <c r="AQ323" s="258" t="str">
        <f t="shared" si="400"/>
        <v/>
      </c>
      <c r="AR323" s="258" t="str">
        <f t="shared" si="400"/>
        <v/>
      </c>
      <c r="AS323" s="258" t="str">
        <f t="shared" si="400"/>
        <v/>
      </c>
      <c r="AT323" s="258" t="str">
        <f t="shared" si="400"/>
        <v/>
      </c>
      <c r="AU323" s="258" t="str">
        <f t="shared" si="400"/>
        <v/>
      </c>
      <c r="AV323" s="195"/>
      <c r="AW323" s="944"/>
      <c r="AX323" s="195"/>
      <c r="AY323" s="258" t="str">
        <f>AY$17</f>
        <v/>
      </c>
      <c r="AZ323" s="258" t="str">
        <f t="shared" ref="AZ323:BG323" si="401">AZ$17</f>
        <v/>
      </c>
      <c r="BA323" s="258" t="str">
        <f t="shared" si="401"/>
        <v/>
      </c>
      <c r="BB323" s="258" t="str">
        <f t="shared" si="401"/>
        <v/>
      </c>
      <c r="BC323" s="258" t="str">
        <f t="shared" si="401"/>
        <v/>
      </c>
      <c r="BD323" s="258" t="str">
        <f t="shared" si="401"/>
        <v/>
      </c>
      <c r="BE323" s="258" t="str">
        <f t="shared" si="401"/>
        <v/>
      </c>
      <c r="BF323" s="258" t="str">
        <f t="shared" si="401"/>
        <v/>
      </c>
      <c r="BG323" s="258" t="str">
        <f t="shared" si="401"/>
        <v/>
      </c>
      <c r="BH323" s="36"/>
    </row>
    <row r="324" spans="1:60">
      <c r="A324" s="1040"/>
      <c r="B324" s="1109" t="s">
        <v>1223</v>
      </c>
      <c r="C324" s="1107" t="s">
        <v>104</v>
      </c>
      <c r="D324" s="641"/>
      <c r="E324" s="203" t="s">
        <v>275</v>
      </c>
      <c r="F324" s="203"/>
      <c r="G324" s="203"/>
      <c r="H324" s="204" t="s">
        <v>154</v>
      </c>
      <c r="I324" s="205"/>
      <c r="J324" s="206"/>
      <c r="K324" s="79"/>
      <c r="L324" s="79"/>
      <c r="M324" s="206"/>
      <c r="N324" s="205"/>
      <c r="O324" s="1155" t="str" cm="1">
        <f t="array" ref="O324">IF(OR(O$17="",O$38="",O$40="",O$322=""),"",
IF(O$32&lt;=INDEX(BENG1_eis_grenswaarde_1,O$322),
      INDEX(BENG1_eis_Als_deeldoor_Ag_kleiner_dan_grenswaarde_1,O$322),
IF(O$32&lt;=INDEX(BENG1_eis_grenswaarde_2,O$322),
      INDEX(BENG1_eis_C1,O$322) + INDEX(BENG1_eis_C2,O$322) * (O$32 - INDEX(BENG1_eis_C3,O$322) ),
      INDEX(BENG1_eis_C4,O$322)  + INDEX(BENG1_eis_C5,O$322) * (O$32 - INDEX(BENG1_eis_C6,O$322) ))))</f>
        <v/>
      </c>
      <c r="P324" s="1155" t="str" cm="1">
        <f t="array" ref="P324">IF(OR(P$17="",P$38="",P$40="",P$322=""),"",
IF(P$32&lt;=INDEX(BENG1_eis_grenswaarde_1,P$322),
      INDEX(BENG1_eis_Als_deeldoor_Ag_kleiner_dan_grenswaarde_1,P$322),
IF(P$32&lt;=INDEX(BENG1_eis_grenswaarde_2,P$322),
      INDEX(BENG1_eis_C1,P$322) + INDEX(BENG1_eis_C2,P$322) * (P$32 - INDEX(BENG1_eis_C3,P$322) ),
      INDEX(BENG1_eis_C4,P$322)  + INDEX(BENG1_eis_C5,P$322) * (P$32 - INDEX(BENG1_eis_C6,P$322) ))))</f>
        <v/>
      </c>
      <c r="Q324" s="1155" t="str" cm="1">
        <f t="array" ref="Q324">IF(OR(Q$17="",Q$38="",Q$40="",Q$322=""),"",
IF(Q$32&lt;=INDEX(BENG1_eis_grenswaarde_1,Q$322),
      INDEX(BENG1_eis_Als_deeldoor_Ag_kleiner_dan_grenswaarde_1,Q$322),
IF(Q$32&lt;=INDEX(BENG1_eis_grenswaarde_2,Q$322),
      INDEX(BENG1_eis_C1,Q$322) + INDEX(BENG1_eis_C2,Q$322) * (Q$32 - INDEX(BENG1_eis_C3,Q$322) ),
      INDEX(BENG1_eis_C4,Q$322)  + INDEX(BENG1_eis_C5,Q$322) * (Q$32 - INDEX(BENG1_eis_C6,Q$322) ))))</f>
        <v/>
      </c>
      <c r="R324" s="1155" t="str" cm="1">
        <f t="array" ref="R324">IF(OR(R$17="",R$38="",R$40="",R$322=""),"",
IF(R$32&lt;=INDEX(BENG1_eis_grenswaarde_1,R$322),
      INDEX(BENG1_eis_Als_deeldoor_Ag_kleiner_dan_grenswaarde_1,R$322),
IF(R$32&lt;=INDEX(BENG1_eis_grenswaarde_2,R$322),
      INDEX(BENG1_eis_C1,R$322) + INDEX(BENG1_eis_C2,R$322) * (R$32 - INDEX(BENG1_eis_C3,R$322) ),
      INDEX(BENG1_eis_C4,R$322)  + INDEX(BENG1_eis_C5,R$322) * (R$32 - INDEX(BENG1_eis_C6,R$322) ))))</f>
        <v/>
      </c>
      <c r="S324" s="1155" t="str" cm="1">
        <f t="array" ref="S324">IF(OR(S$17="",S$38="",S$40="",S$322=""),"",
IF(S$32&lt;=INDEX(BENG1_eis_grenswaarde_1,S$322),
      INDEX(BENG1_eis_Als_deeldoor_Ag_kleiner_dan_grenswaarde_1,S$322),
IF(S$32&lt;=INDEX(BENG1_eis_grenswaarde_2,S$322),
      INDEX(BENG1_eis_C1,S$322) + INDEX(BENG1_eis_C2,S$322) * (S$32 - INDEX(BENG1_eis_C3,S$322) ),
      INDEX(BENG1_eis_C4,S$322)  + INDEX(BENG1_eis_C5,S$322) * (S$32 - INDEX(BENG1_eis_C6,S$322) ))))</f>
        <v/>
      </c>
      <c r="T324" s="1155" t="str" cm="1">
        <f t="array" ref="T324">IF(OR(T$17="",T$38="",T$40="",T$322=""),"",
IF(T$32&lt;=INDEX(BENG1_eis_grenswaarde_1,T$322),
      INDEX(BENG1_eis_Als_deeldoor_Ag_kleiner_dan_grenswaarde_1,T$322),
IF(T$32&lt;=INDEX(BENG1_eis_grenswaarde_2,T$322),
      INDEX(BENG1_eis_C1,T$322) + INDEX(BENG1_eis_C2,T$322) * (T$32 - INDEX(BENG1_eis_C3,T$322) ),
      INDEX(BENG1_eis_C4,T$322)  + INDEX(BENG1_eis_C5,T$322) * (T$32 - INDEX(BENG1_eis_C6,T$322) ))))</f>
        <v/>
      </c>
      <c r="U324" s="1155" t="str" cm="1">
        <f t="array" ref="U324">IF(OR(U$17="",U$38="",U$40="",U$322=""),"",
IF(U$32&lt;=INDEX(BENG1_eis_grenswaarde_1,U$322),
      INDEX(BENG1_eis_Als_deeldoor_Ag_kleiner_dan_grenswaarde_1,U$322),
IF(U$32&lt;=INDEX(BENG1_eis_grenswaarde_2,U$322),
      INDEX(BENG1_eis_C1,U$322) + INDEX(BENG1_eis_C2,U$322) * (U$32 - INDEX(BENG1_eis_C3,U$322) ),
      INDEX(BENG1_eis_C4,U$322)  + INDEX(BENG1_eis_C5,U$322) * (U$32 - INDEX(BENG1_eis_C6,U$322) ))))</f>
        <v/>
      </c>
      <c r="V324" s="1155" t="str" cm="1">
        <f t="array" ref="V324">IF(OR(V$17="",V$38="",V$40="",V$322=""),"",
IF(V$32&lt;=INDEX(BENG1_eis_grenswaarde_1,V$322),
      INDEX(BENG1_eis_Als_deeldoor_Ag_kleiner_dan_grenswaarde_1,V$322),
IF(V$32&lt;=INDEX(BENG1_eis_grenswaarde_2,V$322),
      INDEX(BENG1_eis_C1,V$322) + INDEX(BENG1_eis_C2,V$322) * (V$32 - INDEX(BENG1_eis_C3,V$322) ),
      INDEX(BENG1_eis_C4,V$322)  + INDEX(BENG1_eis_C5,V$322) * (V$32 - INDEX(BENG1_eis_C6,V$322) ))))</f>
        <v/>
      </c>
      <c r="W324" s="1155" t="str" cm="1">
        <f t="array" ref="W324">IF(OR(W$17="",W$38="",W$40="",W$322=""),"",
IF(W$32&lt;=INDEX(BENG1_eis_grenswaarde_1,W$322),
      INDEX(BENG1_eis_Als_deeldoor_Ag_kleiner_dan_grenswaarde_1,W$322),
IF(W$32&lt;=INDEX(BENG1_eis_grenswaarde_2,W$322),
      INDEX(BENG1_eis_C1,W$322) + INDEX(BENG1_eis_C2,W$322) * (W$32 - INDEX(BENG1_eis_C3,W$322) ),
      INDEX(BENG1_eis_C4,W$322)  + INDEX(BENG1_eis_C5,W$322) * (W$32 - INDEX(BENG1_eis_C6,W$322) ))))</f>
        <v/>
      </c>
      <c r="X324" s="108"/>
      <c r="Y324" s="206"/>
      <c r="Z324" s="1091"/>
      <c r="AA324" s="542" t="str" cm="1">
        <f t="array" ref="AA324">IF(OR(AA$17="",AA$38="",AA$40="",AA$322=""),"",
IF(AA$32&lt;=INDEX(BENG1_eis_grenswaarde_1,AA$322),
      INDEX(BENG1_eis_Als_deeldoor_Ag_kleiner_dan_grenswaarde_1,AA$322),
IF(AA$32&lt;=INDEX(BENG1_eis_grenswaarde_2,AA$322),
      INDEX(BENG1_eis_C1,AA$322) + INDEX(BENG1_eis_C2,AA$322) * (AA$32 - INDEX(BENG1_eis_C3,AA$322) ),
      INDEX(BENG1_eis_C4,AA$322)  + INDEX(BENG1_eis_C5,AA$322) * (AA$32 - INDEX(BENG1_eis_C6,AA$322) ))))</f>
        <v/>
      </c>
      <c r="AB324" s="542" t="str" cm="1">
        <f t="array" ref="AB324">IF(OR(AB$17="",AB$38="",AB$40="",AB$322=""),"",
IF(AB$32&lt;=INDEX(BENG1_eis_grenswaarde_1,AB$322),
      INDEX(BENG1_eis_Als_deeldoor_Ag_kleiner_dan_grenswaarde_1,AB$322),
IF(AB$32&lt;=INDEX(BENG1_eis_grenswaarde_2,AB$322),
      INDEX(BENG1_eis_C1,AB$322) + INDEX(BENG1_eis_C2,AB$322) * (AB$32 - INDEX(BENG1_eis_C3,AB$322) ),
      INDEX(BENG1_eis_C4,AB$322)  + INDEX(BENG1_eis_C5,AB$322) * (AB$32 - INDEX(BENG1_eis_C6,AB$322) ))))</f>
        <v/>
      </c>
      <c r="AC324" s="542" t="str" cm="1">
        <f t="array" ref="AC324">IF(OR(AC$17="",AC$38="",AC$40="",AC$322=""),"",
IF(AC$32&lt;=INDEX(BENG1_eis_grenswaarde_1,AC$322),
      INDEX(BENG1_eis_Als_deeldoor_Ag_kleiner_dan_grenswaarde_1,AC$322),
IF(AC$32&lt;=INDEX(BENG1_eis_grenswaarde_2,AC$322),
      INDEX(BENG1_eis_C1,AC$322) + INDEX(BENG1_eis_C2,AC$322) * (AC$32 - INDEX(BENG1_eis_C3,AC$322) ),
      INDEX(BENG1_eis_C4,AC$322)  + INDEX(BENG1_eis_C5,AC$322) * (AC$32 - INDEX(BENG1_eis_C6,AC$322) ))))</f>
        <v/>
      </c>
      <c r="AD324" s="542" t="str" cm="1">
        <f t="array" ref="AD324">IF(OR(AD$17="",AD$38="",AD$40="",AD$322=""),"",
IF(AD$32&lt;=INDEX(BENG1_eis_grenswaarde_1,AD$322),
      INDEX(BENG1_eis_Als_deeldoor_Ag_kleiner_dan_grenswaarde_1,AD$322),
IF(AD$32&lt;=INDEX(BENG1_eis_grenswaarde_2,AD$322),
      INDEX(BENG1_eis_C1,AD$322) + INDEX(BENG1_eis_C2,AD$322) * (AD$32 - INDEX(BENG1_eis_C3,AD$322) ),
      INDEX(BENG1_eis_C4,AD$322)  + INDEX(BENG1_eis_C5,AD$322) * (AD$32 - INDEX(BENG1_eis_C6,AD$322) ))))</f>
        <v/>
      </c>
      <c r="AE324" s="542" t="str" cm="1">
        <f t="array" ref="AE324">IF(OR(AE$17="",AE$38="",AE$40="",AE$322=""),"",
IF(AE$32&lt;=INDEX(BENG1_eis_grenswaarde_1,AE$322),
      INDEX(BENG1_eis_Als_deeldoor_Ag_kleiner_dan_grenswaarde_1,AE$322),
IF(AE$32&lt;=INDEX(BENG1_eis_grenswaarde_2,AE$322),
      INDEX(BENG1_eis_C1,AE$322) + INDEX(BENG1_eis_C2,AE$322) * (AE$32 - INDEX(BENG1_eis_C3,AE$322) ),
      INDEX(BENG1_eis_C4,AE$322)  + INDEX(BENG1_eis_C5,AE$322) * (AE$32 - INDEX(BENG1_eis_C6,AE$322) ))))</f>
        <v/>
      </c>
      <c r="AF324" s="542" t="str" cm="1">
        <f t="array" ref="AF324">IF(OR(AF$17="",AF$38="",AF$40="",AF$322=""),"",
IF(AF$32&lt;=INDEX(BENG1_eis_grenswaarde_1,AF$322),
      INDEX(BENG1_eis_Als_deeldoor_Ag_kleiner_dan_grenswaarde_1,AF$322),
IF(AF$32&lt;=INDEX(BENG1_eis_grenswaarde_2,AF$322),
      INDEX(BENG1_eis_C1,AF$322) + INDEX(BENG1_eis_C2,AF$322) * (AF$32 - INDEX(BENG1_eis_C3,AF$322) ),
      INDEX(BENG1_eis_C4,AF$322)  + INDEX(BENG1_eis_C5,AF$322) * (AF$32 - INDEX(BENG1_eis_C6,AF$322) ))))</f>
        <v/>
      </c>
      <c r="AG324" s="542" t="str" cm="1">
        <f t="array" ref="AG324">IF(OR(AG$17="",AG$38="",AG$40="",AG$322=""),"",
IF(AG$32&lt;=INDEX(BENG1_eis_grenswaarde_1,AG$322),
      INDEX(BENG1_eis_Als_deeldoor_Ag_kleiner_dan_grenswaarde_1,AG$322),
IF(AG$32&lt;=INDEX(BENG1_eis_grenswaarde_2,AG$322),
      INDEX(BENG1_eis_C1,AG$322) + INDEX(BENG1_eis_C2,AG$322) * (AG$32 - INDEX(BENG1_eis_C3,AG$322) ),
      INDEX(BENG1_eis_C4,AG$322)  + INDEX(BENG1_eis_C5,AG$322) * (AG$32 - INDEX(BENG1_eis_C6,AG$322) ))))</f>
        <v/>
      </c>
      <c r="AH324" s="542" t="str" cm="1">
        <f t="array" ref="AH324">IF(OR(AH$17="",AH$38="",AH$40="",AH$322=""),"",
IF(AH$32&lt;=INDEX(BENG1_eis_grenswaarde_1,AH$322),
      INDEX(BENG1_eis_Als_deeldoor_Ag_kleiner_dan_grenswaarde_1,AH$322),
IF(AH$32&lt;=INDEX(BENG1_eis_grenswaarde_2,AH$322),
      INDEX(BENG1_eis_C1,AH$322) + INDEX(BENG1_eis_C2,AH$322) * (AH$32 - INDEX(BENG1_eis_C3,AH$322) ),
      INDEX(BENG1_eis_C4,AH$322)  + INDEX(BENG1_eis_C5,AH$322) * (AH$32 - INDEX(BENG1_eis_C6,AH$322) ))))</f>
        <v/>
      </c>
      <c r="AI324" s="542" t="str" cm="1">
        <f t="array" ref="AI324">IF(OR(AI$17="",AI$38="",AI$40="",AI$322=""),"",
IF(AI$32&lt;=INDEX(BENG1_eis_grenswaarde_1,AI$322),
      INDEX(BENG1_eis_Als_deeldoor_Ag_kleiner_dan_grenswaarde_1,AI$322),
IF(AI$32&lt;=INDEX(BENG1_eis_grenswaarde_2,AI$322),
      INDEX(BENG1_eis_C1,AI$322) + INDEX(BENG1_eis_C2,AI$322) * (AI$32 - INDEX(BENG1_eis_C3,AI$322) ),
      INDEX(BENG1_eis_C4,AI$322)  + INDEX(BENG1_eis_C5,AI$322) * (AI$32 - INDEX(BENG1_eis_C6,AI$322) ))))</f>
        <v/>
      </c>
      <c r="AJ324" s="108"/>
      <c r="AK324" s="206"/>
      <c r="AL324" s="1091"/>
      <c r="AM324" s="542" t="str" cm="1">
        <f t="array" ref="AM324">IF(OR(AM$17="",AM$38="",AM$40="",AM$322=""),"",
IF(AM$32&lt;=INDEX(BENG1_eis_grenswaarde_1,AM$322),
      INDEX(BENG1_eis_Als_deeldoor_Ag_kleiner_dan_grenswaarde_1,AM$322),
IF(AM$32&lt;=INDEX(BENG1_eis_grenswaarde_2,AM$322),
      INDEX(BENG1_eis_C1,AM$322) + INDEX(BENG1_eis_C2,AM$322) * (AM$32 - INDEX(BENG1_eis_C3,AM$322) ),
      INDEX(BENG1_eis_C4,AM$322)  + INDEX(BENG1_eis_C5,AM$322) * (AM$32 - INDEX(BENG1_eis_C6,AM$322) ))))</f>
        <v/>
      </c>
      <c r="AN324" s="542" t="str" cm="1">
        <f t="array" ref="AN324">IF(OR(AN$17="",AN$38="",AN$40="",AN$322=""),"",
IF(AN$32&lt;=INDEX(BENG1_eis_grenswaarde_1,AN$322),
      INDEX(BENG1_eis_Als_deeldoor_Ag_kleiner_dan_grenswaarde_1,AN$322),
IF(AN$32&lt;=INDEX(BENG1_eis_grenswaarde_2,AN$322),
      INDEX(BENG1_eis_C1,AN$322) + INDEX(BENG1_eis_C2,AN$322) * (AN$32 - INDEX(BENG1_eis_C3,AN$322) ),
      INDEX(BENG1_eis_C4,AN$322)  + INDEX(BENG1_eis_C5,AN$322) * (AN$32 - INDEX(BENG1_eis_C6,AN$322) ))))</f>
        <v/>
      </c>
      <c r="AO324" s="542" t="str" cm="1">
        <f t="array" ref="AO324">IF(OR(AO$17="",AO$38="",AO$40="",AO$322=""),"",
IF(AO$32&lt;=INDEX(BENG1_eis_grenswaarde_1,AO$322),
      INDEX(BENG1_eis_Als_deeldoor_Ag_kleiner_dan_grenswaarde_1,AO$322),
IF(AO$32&lt;=INDEX(BENG1_eis_grenswaarde_2,AO$322),
      INDEX(BENG1_eis_C1,AO$322) + INDEX(BENG1_eis_C2,AO$322) * (AO$32 - INDEX(BENG1_eis_C3,AO$322) ),
      INDEX(BENG1_eis_C4,AO$322)  + INDEX(BENG1_eis_C5,AO$322) * (AO$32 - INDEX(BENG1_eis_C6,AO$322) ))))</f>
        <v/>
      </c>
      <c r="AP324" s="542" t="str" cm="1">
        <f t="array" ref="AP324">IF(OR(AP$17="",AP$38="",AP$40="",AP$322=""),"",
IF(AP$32&lt;=INDEX(BENG1_eis_grenswaarde_1,AP$322),
      INDEX(BENG1_eis_Als_deeldoor_Ag_kleiner_dan_grenswaarde_1,AP$322),
IF(AP$32&lt;=INDEX(BENG1_eis_grenswaarde_2,AP$322),
      INDEX(BENG1_eis_C1,AP$322) + INDEX(BENG1_eis_C2,AP$322) * (AP$32 - INDEX(BENG1_eis_C3,AP$322) ),
      INDEX(BENG1_eis_C4,AP$322)  + INDEX(BENG1_eis_C5,AP$322) * (AP$32 - INDEX(BENG1_eis_C6,AP$322) ))))</f>
        <v/>
      </c>
      <c r="AQ324" s="542" t="str" cm="1">
        <f t="array" ref="AQ324">IF(OR(AQ$17="",AQ$38="",AQ$40="",AQ$322=""),"",
IF(AQ$32&lt;=INDEX(BENG1_eis_grenswaarde_1,AQ$322),
      INDEX(BENG1_eis_Als_deeldoor_Ag_kleiner_dan_grenswaarde_1,AQ$322),
IF(AQ$32&lt;=INDEX(BENG1_eis_grenswaarde_2,AQ$322),
      INDEX(BENG1_eis_C1,AQ$322) + INDEX(BENG1_eis_C2,AQ$322) * (AQ$32 - INDEX(BENG1_eis_C3,AQ$322) ),
      INDEX(BENG1_eis_C4,AQ$322)  + INDEX(BENG1_eis_C5,AQ$322) * (AQ$32 - INDEX(BENG1_eis_C6,AQ$322) ))))</f>
        <v/>
      </c>
      <c r="AR324" s="542" t="str" cm="1">
        <f t="array" ref="AR324">IF(OR(AR$17="",AR$38="",AR$40="",AR$322=""),"",
IF(AR$32&lt;=INDEX(BENG1_eis_grenswaarde_1,AR$322),
      INDEX(BENG1_eis_Als_deeldoor_Ag_kleiner_dan_grenswaarde_1,AR$322),
IF(AR$32&lt;=INDEX(BENG1_eis_grenswaarde_2,AR$322),
      INDEX(BENG1_eis_C1,AR$322) + INDEX(BENG1_eis_C2,AR$322) * (AR$32 - INDEX(BENG1_eis_C3,AR$322) ),
      INDEX(BENG1_eis_C4,AR$322)  + INDEX(BENG1_eis_C5,AR$322) * (AR$32 - INDEX(BENG1_eis_C6,AR$322) ))))</f>
        <v/>
      </c>
      <c r="AS324" s="542" t="str" cm="1">
        <f t="array" ref="AS324">IF(OR(AS$17="",AS$38="",AS$40="",AS$322=""),"",
IF(AS$32&lt;=INDEX(BENG1_eis_grenswaarde_1,AS$322),
      INDEX(BENG1_eis_Als_deeldoor_Ag_kleiner_dan_grenswaarde_1,AS$322),
IF(AS$32&lt;=INDEX(BENG1_eis_grenswaarde_2,AS$322),
      INDEX(BENG1_eis_C1,AS$322) + INDEX(BENG1_eis_C2,AS$322) * (AS$32 - INDEX(BENG1_eis_C3,AS$322) ),
      INDEX(BENG1_eis_C4,AS$322)  + INDEX(BENG1_eis_C5,AS$322) * (AS$32 - INDEX(BENG1_eis_C6,AS$322) ))))</f>
        <v/>
      </c>
      <c r="AT324" s="542" t="str" cm="1">
        <f t="array" ref="AT324">IF(OR(AT$17="",AT$38="",AT$40="",AT$322=""),"",
IF(AT$32&lt;=INDEX(BENG1_eis_grenswaarde_1,AT$322),
      INDEX(BENG1_eis_Als_deeldoor_Ag_kleiner_dan_grenswaarde_1,AT$322),
IF(AT$32&lt;=INDEX(BENG1_eis_grenswaarde_2,AT$322),
      INDEX(BENG1_eis_C1,AT$322) + INDEX(BENG1_eis_C2,AT$322) * (AT$32 - INDEX(BENG1_eis_C3,AT$322) ),
      INDEX(BENG1_eis_C4,AT$322)  + INDEX(BENG1_eis_C5,AT$322) * (AT$32 - INDEX(BENG1_eis_C6,AT$322) ))))</f>
        <v/>
      </c>
      <c r="AU324" s="542" t="str" cm="1">
        <f t="array" ref="AU324">IF(OR(AU$17="",AU$38="",AU$40="",AU$322=""),"",
IF(AU$32&lt;=INDEX(BENG1_eis_grenswaarde_1,AU$322),
      INDEX(BENG1_eis_Als_deeldoor_Ag_kleiner_dan_grenswaarde_1,AU$322),
IF(AU$32&lt;=INDEX(BENG1_eis_grenswaarde_2,AU$322),
      INDEX(BENG1_eis_C1,AU$322) + INDEX(BENG1_eis_C2,AU$322) * (AU$32 - INDEX(BENG1_eis_C3,AU$322) ),
      INDEX(BENG1_eis_C4,AU$322)  + INDEX(BENG1_eis_C5,AU$322) * (AU$32 - INDEX(BENG1_eis_C6,AU$322) ))))</f>
        <v/>
      </c>
      <c r="AV324" s="108"/>
      <c r="AW324" s="206"/>
      <c r="AX324" s="1091"/>
      <c r="AY324" s="542" t="str" cm="1">
        <f t="array" ref="AY324">IF(OR(AY$17="",AY$38="",AY$40="",AY$322=""),"",
IF(AY$32&lt;=INDEX(BENG1_eis_grenswaarde_1,AY$322),
      INDEX(BENG1_eis_Als_deeldoor_Ag_kleiner_dan_grenswaarde_1,AY$322),
IF(AY$32&lt;=INDEX(BENG1_eis_grenswaarde_2,AY$322),
      INDEX(BENG1_eis_C1,AY$322) + INDEX(BENG1_eis_C2,AY$322) * (AY$32 - INDEX(BENG1_eis_C3,AY$322) ),
      INDEX(BENG1_eis_C4,AY$322)  + INDEX(BENG1_eis_C5,AY$322) * (AY$32 - INDEX(BENG1_eis_C6,AY$322) ))))</f>
        <v/>
      </c>
      <c r="AZ324" s="542" t="str" cm="1">
        <f t="array" ref="AZ324">IF(OR(AZ$17="",AZ$38="",AZ$40="",AZ$322=""),"",
IF(AZ$32&lt;=INDEX(BENG1_eis_grenswaarde_1,AZ$322),
      INDEX(BENG1_eis_Als_deeldoor_Ag_kleiner_dan_grenswaarde_1,AZ$322),
IF(AZ$32&lt;=INDEX(BENG1_eis_grenswaarde_2,AZ$322),
      INDEX(BENG1_eis_C1,AZ$322) + INDEX(BENG1_eis_C2,AZ$322) * (AZ$32 - INDEX(BENG1_eis_C3,AZ$322) ),
      INDEX(BENG1_eis_C4,AZ$322)  + INDEX(BENG1_eis_C5,AZ$322) * (AZ$32 - INDEX(BENG1_eis_C6,AZ$322) ))))</f>
        <v/>
      </c>
      <c r="BA324" s="542" t="str" cm="1">
        <f t="array" ref="BA324">IF(OR(BA$17="",BA$38="",BA$40="",BA$322=""),"",
IF(BA$32&lt;=INDEX(BENG1_eis_grenswaarde_1,BA$322),
      INDEX(BENG1_eis_Als_deeldoor_Ag_kleiner_dan_grenswaarde_1,BA$322),
IF(BA$32&lt;=INDEX(BENG1_eis_grenswaarde_2,BA$322),
      INDEX(BENG1_eis_C1,BA$322) + INDEX(BENG1_eis_C2,BA$322) * (BA$32 - INDEX(BENG1_eis_C3,BA$322) ),
      INDEX(BENG1_eis_C4,BA$322)  + INDEX(BENG1_eis_C5,BA$322) * (BA$32 - INDEX(BENG1_eis_C6,BA$322) ))))</f>
        <v/>
      </c>
      <c r="BB324" s="542" t="str" cm="1">
        <f t="array" ref="BB324">IF(OR(BB$17="",BB$38="",BB$40="",BB$322=""),"",
IF(BB$32&lt;=INDEX(BENG1_eis_grenswaarde_1,BB$322),
      INDEX(BENG1_eis_Als_deeldoor_Ag_kleiner_dan_grenswaarde_1,BB$322),
IF(BB$32&lt;=INDEX(BENG1_eis_grenswaarde_2,BB$322),
      INDEX(BENG1_eis_C1,BB$322) + INDEX(BENG1_eis_C2,BB$322) * (BB$32 - INDEX(BENG1_eis_C3,BB$322) ),
      INDEX(BENG1_eis_C4,BB$322)  + INDEX(BENG1_eis_C5,BB$322) * (BB$32 - INDEX(BENG1_eis_C6,BB$322) ))))</f>
        <v/>
      </c>
      <c r="BC324" s="542" t="str" cm="1">
        <f t="array" ref="BC324">IF(OR(BC$17="",BC$38="",BC$40="",BC$322=""),"",
IF(BC$32&lt;=INDEX(BENG1_eis_grenswaarde_1,BC$322),
      INDEX(BENG1_eis_Als_deeldoor_Ag_kleiner_dan_grenswaarde_1,BC$322),
IF(BC$32&lt;=INDEX(BENG1_eis_grenswaarde_2,BC$322),
      INDEX(BENG1_eis_C1,BC$322) + INDEX(BENG1_eis_C2,BC$322) * (BC$32 - INDEX(BENG1_eis_C3,BC$322) ),
      INDEX(BENG1_eis_C4,BC$322)  + INDEX(BENG1_eis_C5,BC$322) * (BC$32 - INDEX(BENG1_eis_C6,BC$322) ))))</f>
        <v/>
      </c>
      <c r="BD324" s="542" t="str" cm="1">
        <f t="array" ref="BD324">IF(OR(BD$17="",BD$38="",BD$40="",BD$322=""),"",
IF(BD$32&lt;=INDEX(BENG1_eis_grenswaarde_1,BD$322),
      INDEX(BENG1_eis_Als_deeldoor_Ag_kleiner_dan_grenswaarde_1,BD$322),
IF(BD$32&lt;=INDEX(BENG1_eis_grenswaarde_2,BD$322),
      INDEX(BENG1_eis_C1,BD$322) + INDEX(BENG1_eis_C2,BD$322) * (BD$32 - INDEX(BENG1_eis_C3,BD$322) ),
      INDEX(BENG1_eis_C4,BD$322)  + INDEX(BENG1_eis_C5,BD$322) * (BD$32 - INDEX(BENG1_eis_C6,BD$322) ))))</f>
        <v/>
      </c>
      <c r="BE324" s="542" t="str" cm="1">
        <f t="array" ref="BE324">IF(OR(BE$17="",BE$38="",BE$40="",BE$322=""),"",
IF(BE$32&lt;=INDEX(BENG1_eis_grenswaarde_1,BE$322),
      INDEX(BENG1_eis_Als_deeldoor_Ag_kleiner_dan_grenswaarde_1,BE$322),
IF(BE$32&lt;=INDEX(BENG1_eis_grenswaarde_2,BE$322),
      INDEX(BENG1_eis_C1,BE$322) + INDEX(BENG1_eis_C2,BE$322) * (BE$32 - INDEX(BENG1_eis_C3,BE$322) ),
      INDEX(BENG1_eis_C4,BE$322)  + INDEX(BENG1_eis_C5,BE$322) * (BE$32 - INDEX(BENG1_eis_C6,BE$322) ))))</f>
        <v/>
      </c>
      <c r="BF324" s="542" t="str" cm="1">
        <f t="array" ref="BF324">IF(OR(BF$17="",BF$38="",BF$40="",BF$322=""),"",
IF(BF$32&lt;=INDEX(BENG1_eis_grenswaarde_1,BF$322),
      INDEX(BENG1_eis_Als_deeldoor_Ag_kleiner_dan_grenswaarde_1,BF$322),
IF(BF$32&lt;=INDEX(BENG1_eis_grenswaarde_2,BF$322),
      INDEX(BENG1_eis_C1,BF$322) + INDEX(BENG1_eis_C2,BF$322) * (BF$32 - INDEX(BENG1_eis_C3,BF$322) ),
      INDEX(BENG1_eis_C4,BF$322)  + INDEX(BENG1_eis_C5,BF$322) * (BF$32 - INDEX(BENG1_eis_C6,BF$322) ))))</f>
        <v/>
      </c>
      <c r="BG324" s="542" t="str" cm="1">
        <f t="array" ref="BG324">IF(OR(BG$17="",BG$38="",BG$40="",BG$322=""),"",
IF(BG$32&lt;=INDEX(BENG1_eis_grenswaarde_1,BG$322),
      INDEX(BENG1_eis_Als_deeldoor_Ag_kleiner_dan_grenswaarde_1,BG$322),
IF(BG$32&lt;=INDEX(BENG1_eis_grenswaarde_2,BG$322),
      INDEX(BENG1_eis_C1,BG$322) + INDEX(BENG1_eis_C2,BG$322) * (BG$32 - INDEX(BENG1_eis_C3,BG$322) ),
      INDEX(BENG1_eis_C4,BG$322)  + INDEX(BENG1_eis_C5,BG$322) * (BG$32 - INDEX(BENG1_eis_C6,BG$322) ))))</f>
        <v/>
      </c>
      <c r="BH324" s="210"/>
    </row>
    <row r="325" spans="1:60">
      <c r="A325" s="1040"/>
      <c r="B325" s="1109" t="s">
        <v>1223</v>
      </c>
      <c r="C325" s="1107" t="s">
        <v>104</v>
      </c>
      <c r="D325" s="641"/>
      <c r="E325" s="203" t="s">
        <v>276</v>
      </c>
      <c r="F325" s="203"/>
      <c r="G325" s="203"/>
      <c r="H325" s="204" t="s">
        <v>267</v>
      </c>
      <c r="I325" s="205"/>
      <c r="J325" s="206"/>
      <c r="K325" s="79"/>
      <c r="L325" s="79"/>
      <c r="M325" s="206"/>
      <c r="N325" s="205"/>
      <c r="O325" s="1155" t="str" cm="1">
        <f t="array" ref="O325">IF(O$322="","",INDEX(BENG2_eis,O$322))</f>
        <v/>
      </c>
      <c r="P325" s="1155" t="str" cm="1">
        <f t="array" ref="P325">IF(P$322="","",INDEX(BENG2_eis,P$322))</f>
        <v/>
      </c>
      <c r="Q325" s="1155" t="str" cm="1">
        <f t="array" ref="Q325">IF(Q$322="","",INDEX(BENG2_eis,Q$322))</f>
        <v/>
      </c>
      <c r="R325" s="1155" t="str" cm="1">
        <f t="array" ref="R325">IF(R$322="","",INDEX(BENG2_eis,R$322))</f>
        <v/>
      </c>
      <c r="S325" s="1155" t="str" cm="1">
        <f t="array" ref="S325">IF(S$322="","",INDEX(BENG2_eis,S$322))</f>
        <v/>
      </c>
      <c r="T325" s="1155" t="str" cm="1">
        <f t="array" ref="T325">IF(T$322="","",INDEX(BENG2_eis,T$322))</f>
        <v/>
      </c>
      <c r="U325" s="1155" t="str" cm="1">
        <f t="array" ref="U325">IF(U$322="","",INDEX(BENG2_eis,U$322))</f>
        <v/>
      </c>
      <c r="V325" s="1155" t="str" cm="1">
        <f t="array" ref="V325">IF(V$322="","",INDEX(BENG2_eis,V$322))</f>
        <v/>
      </c>
      <c r="W325" s="1155" t="str" cm="1">
        <f t="array" ref="W325">IF(W$322="","",INDEX(BENG2_eis,W$322))</f>
        <v/>
      </c>
      <c r="X325" s="108"/>
      <c r="Y325" s="206"/>
      <c r="Z325" s="1091"/>
      <c r="AA325" s="542" t="str" cm="1">
        <f t="array" ref="AA325">IF(AA$322="","",INDEX(BENG2_eis,AA$322))</f>
        <v/>
      </c>
      <c r="AB325" s="542" t="str" cm="1">
        <f t="array" ref="AB325">IF(AB$322="","",INDEX(BENG2_eis,AB$322))</f>
        <v/>
      </c>
      <c r="AC325" s="542" t="str" cm="1">
        <f t="array" ref="AC325">IF(AC$322="","",INDEX(BENG2_eis,AC$322))</f>
        <v/>
      </c>
      <c r="AD325" s="542" t="str" cm="1">
        <f t="array" ref="AD325">IF(AD$322="","",INDEX(BENG2_eis,AD$322))</f>
        <v/>
      </c>
      <c r="AE325" s="542" t="str" cm="1">
        <f t="array" ref="AE325">IF(AE$322="","",INDEX(BENG2_eis,AE$322))</f>
        <v/>
      </c>
      <c r="AF325" s="542" t="str" cm="1">
        <f t="array" ref="AF325">IF(AF$322="","",INDEX(BENG2_eis,AF$322))</f>
        <v/>
      </c>
      <c r="AG325" s="542" t="str" cm="1">
        <f t="array" ref="AG325">IF(AG$322="","",INDEX(BENG2_eis,AG$322))</f>
        <v/>
      </c>
      <c r="AH325" s="542" t="str" cm="1">
        <f t="array" ref="AH325">IF(AH$322="","",INDEX(BENG2_eis,AH$322))</f>
        <v/>
      </c>
      <c r="AI325" s="542" t="str" cm="1">
        <f t="array" ref="AI325">IF(AI$322="","",INDEX(BENG2_eis,AI$322))</f>
        <v/>
      </c>
      <c r="AJ325" s="108"/>
      <c r="AK325" s="206"/>
      <c r="AL325" s="1091"/>
      <c r="AM325" s="542" t="str" cm="1">
        <f t="array" ref="AM325">IF(AM$322="","",INDEX(BENG2_eis,AM$322))</f>
        <v/>
      </c>
      <c r="AN325" s="542" t="str" cm="1">
        <f t="array" ref="AN325">IF(AN$322="","",INDEX(BENG2_eis,AN$322))</f>
        <v/>
      </c>
      <c r="AO325" s="542" t="str" cm="1">
        <f t="array" ref="AO325">IF(AO$322="","",INDEX(BENG2_eis,AO$322))</f>
        <v/>
      </c>
      <c r="AP325" s="542" t="str" cm="1">
        <f t="array" ref="AP325">IF(AP$322="","",INDEX(BENG2_eis,AP$322))</f>
        <v/>
      </c>
      <c r="AQ325" s="542" t="str" cm="1">
        <f t="array" ref="AQ325">IF(AQ$322="","",INDEX(BENG2_eis,AQ$322))</f>
        <v/>
      </c>
      <c r="AR325" s="542" t="str" cm="1">
        <f t="array" ref="AR325">IF(AR$322="","",INDEX(BENG2_eis,AR$322))</f>
        <v/>
      </c>
      <c r="AS325" s="542" t="str" cm="1">
        <f t="array" ref="AS325">IF(AS$322="","",INDEX(BENG2_eis,AS$322))</f>
        <v/>
      </c>
      <c r="AT325" s="542" t="str" cm="1">
        <f t="array" ref="AT325">IF(AT$322="","",INDEX(BENG2_eis,AT$322))</f>
        <v/>
      </c>
      <c r="AU325" s="542" t="str" cm="1">
        <f t="array" ref="AU325">IF(AU$322="","",INDEX(BENG2_eis,AU$322))</f>
        <v/>
      </c>
      <c r="AV325" s="108"/>
      <c r="AW325" s="206"/>
      <c r="AX325" s="1091"/>
      <c r="AY325" s="542" t="str" cm="1">
        <f t="array" ref="AY325">IF(AY$322="","",INDEX(BENG2_eis,AY$322))</f>
        <v/>
      </c>
      <c r="AZ325" s="542" t="str" cm="1">
        <f t="array" ref="AZ325">IF(AZ$322="","",INDEX(BENG2_eis,AZ$322))</f>
        <v/>
      </c>
      <c r="BA325" s="542" t="str" cm="1">
        <f t="array" ref="BA325">IF(BA$322="","",INDEX(BENG2_eis,BA$322))</f>
        <v/>
      </c>
      <c r="BB325" s="542" t="str" cm="1">
        <f t="array" ref="BB325">IF(BB$322="","",INDEX(BENG2_eis,BB$322))</f>
        <v/>
      </c>
      <c r="BC325" s="542" t="str" cm="1">
        <f t="array" ref="BC325">IF(BC$322="","",INDEX(BENG2_eis,BC$322))</f>
        <v/>
      </c>
      <c r="BD325" s="542" t="str" cm="1">
        <f t="array" ref="BD325">IF(BD$322="","",INDEX(BENG2_eis,BD$322))</f>
        <v/>
      </c>
      <c r="BE325" s="542" t="str" cm="1">
        <f t="array" ref="BE325">IF(BE$322="","",INDEX(BENG2_eis,BE$322))</f>
        <v/>
      </c>
      <c r="BF325" s="542" t="str" cm="1">
        <f t="array" ref="BF325">IF(BF$322="","",INDEX(BENG2_eis,BF$322))</f>
        <v/>
      </c>
      <c r="BG325" s="542" t="str" cm="1">
        <f t="array" ref="BG325">IF(BG$322="","",INDEX(BENG2_eis,BG$322))</f>
        <v/>
      </c>
      <c r="BH325" s="210"/>
    </row>
    <row r="326" spans="1:60">
      <c r="A326" s="1040"/>
      <c r="B326" s="1109" t="s">
        <v>1223</v>
      </c>
      <c r="C326" s="1107" t="s">
        <v>104</v>
      </c>
      <c r="D326" s="641"/>
      <c r="E326" s="203" t="s">
        <v>277</v>
      </c>
      <c r="F326" s="203"/>
      <c r="G326" s="203"/>
      <c r="H326" s="204" t="s">
        <v>139</v>
      </c>
      <c r="I326" s="205"/>
      <c r="J326" s="206"/>
      <c r="K326" s="79"/>
      <c r="L326" s="79"/>
      <c r="M326" s="206"/>
      <c r="N326" s="205"/>
      <c r="O326" s="1155" t="str" cm="1">
        <f t="array" ref="O326">IF(O$322="","",INDEX(BENG3_eis,O$322))</f>
        <v/>
      </c>
      <c r="P326" s="1155" t="str" cm="1">
        <f t="array" ref="P326">IF(P$322="","",INDEX(BENG3_eis,P$322))</f>
        <v/>
      </c>
      <c r="Q326" s="1155" t="str" cm="1">
        <f t="array" ref="Q326">IF(Q$322="","",INDEX(BENG3_eis,Q$322))</f>
        <v/>
      </c>
      <c r="R326" s="1155" t="str" cm="1">
        <f t="array" ref="R326">IF(R$322="","",INDEX(BENG3_eis,R$322))</f>
        <v/>
      </c>
      <c r="S326" s="1155" t="str" cm="1">
        <f t="array" ref="S326">IF(S$322="","",INDEX(BENG3_eis,S$322))</f>
        <v/>
      </c>
      <c r="T326" s="1155" t="str" cm="1">
        <f t="array" ref="T326">IF(T$322="","",INDEX(BENG3_eis,T$322))</f>
        <v/>
      </c>
      <c r="U326" s="1155" t="str" cm="1">
        <f t="array" ref="U326">IF(U$322="","",INDEX(BENG3_eis,U$322))</f>
        <v/>
      </c>
      <c r="V326" s="1155" t="str" cm="1">
        <f t="array" ref="V326">IF(V$322="","",INDEX(BENG3_eis,V$322))</f>
        <v/>
      </c>
      <c r="W326" s="1155" t="str" cm="1">
        <f t="array" ref="W326">IF(W$322="","",INDEX(BENG3_eis,W$322))</f>
        <v/>
      </c>
      <c r="X326" s="108"/>
      <c r="Y326" s="206"/>
      <c r="Z326" s="1091"/>
      <c r="AA326" s="542" t="str" cm="1">
        <f t="array" ref="AA326">IF(AA$322="","",INDEX(BENG3_eis,AA$322))</f>
        <v/>
      </c>
      <c r="AB326" s="542" t="str" cm="1">
        <f t="array" ref="AB326">IF(AB$322="","",INDEX(BENG3_eis,AB$322))</f>
        <v/>
      </c>
      <c r="AC326" s="542" t="str" cm="1">
        <f t="array" ref="AC326">IF(AC$322="","",INDEX(BENG3_eis,AC$322))</f>
        <v/>
      </c>
      <c r="AD326" s="542" t="str" cm="1">
        <f t="array" ref="AD326">IF(AD$322="","",INDEX(BENG3_eis,AD$322))</f>
        <v/>
      </c>
      <c r="AE326" s="542" t="str" cm="1">
        <f t="array" ref="AE326">IF(AE$322="","",INDEX(BENG3_eis,AE$322))</f>
        <v/>
      </c>
      <c r="AF326" s="542" t="str" cm="1">
        <f t="array" ref="AF326">IF(AF$322="","",INDEX(BENG3_eis,AF$322))</f>
        <v/>
      </c>
      <c r="AG326" s="542" t="str" cm="1">
        <f t="array" ref="AG326">IF(AG$322="","",INDEX(BENG3_eis,AG$322))</f>
        <v/>
      </c>
      <c r="AH326" s="542" t="str" cm="1">
        <f t="array" ref="AH326">IF(AH$322="","",INDEX(BENG3_eis,AH$322))</f>
        <v/>
      </c>
      <c r="AI326" s="542" t="str" cm="1">
        <f t="array" ref="AI326">IF(AI$322="","",INDEX(BENG3_eis,AI$322))</f>
        <v/>
      </c>
      <c r="AJ326" s="108"/>
      <c r="AK326" s="206"/>
      <c r="AL326" s="1091"/>
      <c r="AM326" s="542" t="str" cm="1">
        <f t="array" ref="AM326">IF(AM$322="","",INDEX(BENG3_eis,AM$322))</f>
        <v/>
      </c>
      <c r="AN326" s="542" t="str" cm="1">
        <f t="array" ref="AN326">IF(AN$322="","",INDEX(BENG3_eis,AN$322))</f>
        <v/>
      </c>
      <c r="AO326" s="542" t="str" cm="1">
        <f t="array" ref="AO326">IF(AO$322="","",INDEX(BENG3_eis,AO$322))</f>
        <v/>
      </c>
      <c r="AP326" s="542" t="str" cm="1">
        <f t="array" ref="AP326">IF(AP$322="","",INDEX(BENG3_eis,AP$322))</f>
        <v/>
      </c>
      <c r="AQ326" s="542" t="str" cm="1">
        <f t="array" ref="AQ326">IF(AQ$322="","",INDEX(BENG3_eis,AQ$322))</f>
        <v/>
      </c>
      <c r="AR326" s="542" t="str" cm="1">
        <f t="array" ref="AR326">IF(AR$322="","",INDEX(BENG3_eis,AR$322))</f>
        <v/>
      </c>
      <c r="AS326" s="542" t="str" cm="1">
        <f t="array" ref="AS326">IF(AS$322="","",INDEX(BENG3_eis,AS$322))</f>
        <v/>
      </c>
      <c r="AT326" s="542" t="str" cm="1">
        <f t="array" ref="AT326">IF(AT$322="","",INDEX(BENG3_eis,AT$322))</f>
        <v/>
      </c>
      <c r="AU326" s="542" t="str" cm="1">
        <f t="array" ref="AU326">IF(AU$322="","",INDEX(BENG3_eis,AU$322))</f>
        <v/>
      </c>
      <c r="AV326" s="108"/>
      <c r="AW326" s="206"/>
      <c r="AX326" s="1091"/>
      <c r="AY326" s="542" t="str" cm="1">
        <f t="array" ref="AY326">IF(AY$322="","",INDEX(BENG3_eis,AY$322))</f>
        <v/>
      </c>
      <c r="AZ326" s="542" t="str" cm="1">
        <f t="array" ref="AZ326">IF(AZ$322="","",INDEX(BENG3_eis,AZ$322))</f>
        <v/>
      </c>
      <c r="BA326" s="542" t="str" cm="1">
        <f t="array" ref="BA326">IF(BA$322="","",INDEX(BENG3_eis,BA$322))</f>
        <v/>
      </c>
      <c r="BB326" s="542" t="str" cm="1">
        <f t="array" ref="BB326">IF(BB$322="","",INDEX(BENG3_eis,BB$322))</f>
        <v/>
      </c>
      <c r="BC326" s="542" t="str" cm="1">
        <f t="array" ref="BC326">IF(BC$322="","",INDEX(BENG3_eis,BC$322))</f>
        <v/>
      </c>
      <c r="BD326" s="542" t="str" cm="1">
        <f t="array" ref="BD326">IF(BD$322="","",INDEX(BENG3_eis,BD$322))</f>
        <v/>
      </c>
      <c r="BE326" s="542" t="str" cm="1">
        <f t="array" ref="BE326">IF(BE$322="","",INDEX(BENG3_eis,BE$322))</f>
        <v/>
      </c>
      <c r="BF326" s="542" t="str" cm="1">
        <f t="array" ref="BF326">IF(BF$322="","",INDEX(BENG3_eis,BF$322))</f>
        <v/>
      </c>
      <c r="BG326" s="542" t="str" cm="1">
        <f t="array" ref="BG326">IF(BG$322="","",INDEX(BENG3_eis,BG$322))</f>
        <v/>
      </c>
      <c r="BH326" s="210"/>
    </row>
    <row r="327" spans="1:60">
      <c r="A327" s="1040"/>
      <c r="B327" s="1109" t="s">
        <v>1223</v>
      </c>
      <c r="C327" s="1106" t="s">
        <v>96</v>
      </c>
      <c r="D327" s="640" t="s">
        <v>45</v>
      </c>
      <c r="E327" s="942" t="s">
        <v>278</v>
      </c>
      <c r="F327" s="942"/>
      <c r="G327" s="942"/>
      <c r="H327" s="942"/>
      <c r="I327" s="129"/>
      <c r="J327" s="943"/>
      <c r="K327" s="126"/>
      <c r="L327" s="126"/>
      <c r="M327" s="944"/>
      <c r="N327" s="195"/>
      <c r="O327" s="1154" t="str">
        <f>O$17</f>
        <v/>
      </c>
      <c r="P327" s="1154" t="str">
        <f t="shared" ref="P327:W327" si="402">P$17</f>
        <v/>
      </c>
      <c r="Q327" s="1154" t="str">
        <f t="shared" si="402"/>
        <v/>
      </c>
      <c r="R327" s="1154" t="str">
        <f t="shared" si="402"/>
        <v/>
      </c>
      <c r="S327" s="1154" t="str">
        <f t="shared" si="402"/>
        <v/>
      </c>
      <c r="T327" s="1154" t="str">
        <f t="shared" si="402"/>
        <v/>
      </c>
      <c r="U327" s="1154" t="str">
        <f t="shared" si="402"/>
        <v/>
      </c>
      <c r="V327" s="1154" t="str">
        <f t="shared" si="402"/>
        <v/>
      </c>
      <c r="W327" s="1154" t="str">
        <f t="shared" si="402"/>
        <v/>
      </c>
      <c r="X327" s="195"/>
      <c r="Y327" s="944"/>
      <c r="Z327" s="195"/>
      <c r="AA327" s="258" t="str">
        <f>AA$17</f>
        <v/>
      </c>
      <c r="AB327" s="258" t="str">
        <f t="shared" ref="AB327:AI327" si="403">AB$17</f>
        <v/>
      </c>
      <c r="AC327" s="258" t="str">
        <f t="shared" si="403"/>
        <v/>
      </c>
      <c r="AD327" s="258" t="str">
        <f t="shared" si="403"/>
        <v/>
      </c>
      <c r="AE327" s="258" t="str">
        <f t="shared" si="403"/>
        <v/>
      </c>
      <c r="AF327" s="258" t="str">
        <f t="shared" si="403"/>
        <v/>
      </c>
      <c r="AG327" s="258" t="str">
        <f t="shared" si="403"/>
        <v/>
      </c>
      <c r="AH327" s="258" t="str">
        <f t="shared" si="403"/>
        <v/>
      </c>
      <c r="AI327" s="258" t="str">
        <f t="shared" si="403"/>
        <v/>
      </c>
      <c r="AJ327" s="195"/>
      <c r="AK327" s="944"/>
      <c r="AL327" s="195"/>
      <c r="AM327" s="258" t="str">
        <f>AM$17</f>
        <v/>
      </c>
      <c r="AN327" s="258" t="str">
        <f t="shared" ref="AN327:AU327" si="404">AN$17</f>
        <v/>
      </c>
      <c r="AO327" s="258" t="str">
        <f t="shared" si="404"/>
        <v/>
      </c>
      <c r="AP327" s="258" t="str">
        <f t="shared" si="404"/>
        <v/>
      </c>
      <c r="AQ327" s="258" t="str">
        <f t="shared" si="404"/>
        <v/>
      </c>
      <c r="AR327" s="258" t="str">
        <f t="shared" si="404"/>
        <v/>
      </c>
      <c r="AS327" s="258" t="str">
        <f t="shared" si="404"/>
        <v/>
      </c>
      <c r="AT327" s="258" t="str">
        <f t="shared" si="404"/>
        <v/>
      </c>
      <c r="AU327" s="258" t="str">
        <f t="shared" si="404"/>
        <v/>
      </c>
      <c r="AV327" s="195"/>
      <c r="AW327" s="944"/>
      <c r="AX327" s="195"/>
      <c r="AY327" s="258" t="str">
        <f>AY$17</f>
        <v/>
      </c>
      <c r="AZ327" s="258" t="str">
        <f t="shared" ref="AZ327:BG327" si="405">AZ$17</f>
        <v/>
      </c>
      <c r="BA327" s="258" t="str">
        <f t="shared" si="405"/>
        <v/>
      </c>
      <c r="BB327" s="258" t="str">
        <f t="shared" si="405"/>
        <v/>
      </c>
      <c r="BC327" s="258" t="str">
        <f t="shared" si="405"/>
        <v/>
      </c>
      <c r="BD327" s="258" t="str">
        <f t="shared" si="405"/>
        <v/>
      </c>
      <c r="BE327" s="258" t="str">
        <f t="shared" si="405"/>
        <v/>
      </c>
      <c r="BF327" s="258" t="str">
        <f t="shared" si="405"/>
        <v/>
      </c>
      <c r="BG327" s="258" t="str">
        <f t="shared" si="405"/>
        <v/>
      </c>
      <c r="BH327" s="36"/>
    </row>
    <row r="328" spans="1:60" hidden="1">
      <c r="A328" s="1041"/>
      <c r="B328" s="1109" t="s">
        <v>1223</v>
      </c>
      <c r="C328" s="1106" t="s">
        <v>262</v>
      </c>
      <c r="D328" s="1183"/>
      <c r="E328" s="413" t="s">
        <v>1058</v>
      </c>
      <c r="F328" s="296"/>
      <c r="G328" s="894" t="str">
        <f ca="1">fitformule_Ehc_nd_EP</f>
        <v>Ehc;nd;EP</v>
      </c>
      <c r="H328" s="295" t="s">
        <v>65</v>
      </c>
      <c r="I328" s="259"/>
      <c r="J328" s="895"/>
      <c r="K328" s="896"/>
      <c r="L328" s="896"/>
      <c r="M328" s="895"/>
      <c r="N328" s="897" t="s">
        <v>84</v>
      </c>
      <c r="O328" s="1156" t="e">
        <f t="shared" ref="O328:W328" ca="1" si="406">$F$6
&amp;INDEX(gebruiksfuncties_fitcurve_NTA8800,MATCH(O$19,gebruiksfuncties_namen,0))
&amp;INDEX(ventilatiesystemen_code,MATCH(O$40,ventilatiesystemen_namen,0))
&amp;O$49
&amp;$G328</f>
        <v>#N/A</v>
      </c>
      <c r="P328" s="1157" t="e">
        <f t="shared" ca="1" si="406"/>
        <v>#N/A</v>
      </c>
      <c r="Q328" s="1157" t="e">
        <f t="shared" ca="1" si="406"/>
        <v>#N/A</v>
      </c>
      <c r="R328" s="1157" t="e">
        <f t="shared" ca="1" si="406"/>
        <v>#N/A</v>
      </c>
      <c r="S328" s="1157" t="e">
        <f t="shared" ca="1" si="406"/>
        <v>#N/A</v>
      </c>
      <c r="T328" s="1157" t="e">
        <f t="shared" ca="1" si="406"/>
        <v>#N/A</v>
      </c>
      <c r="U328" s="1157" t="e">
        <f t="shared" ca="1" si="406"/>
        <v>#N/A</v>
      </c>
      <c r="V328" s="1157" t="e">
        <f t="shared" ca="1" si="406"/>
        <v>#N/A</v>
      </c>
      <c r="W328" s="1157" t="e">
        <f t="shared" ca="1" si="406"/>
        <v>#N/A</v>
      </c>
      <c r="X328" s="896"/>
      <c r="Y328" s="895"/>
      <c r="Z328" s="897" t="s">
        <v>84</v>
      </c>
      <c r="AA328" s="880" t="e">
        <f t="shared" ref="AA328:AI328" ca="1" si="407">$F$6
&amp;INDEX(gebruiksfuncties_fitcurve_NTA8800,MATCH(AA$19,gebruiksfuncties_namen,0))
&amp;INDEX(ventilatiesystemen_code,MATCH(AA$40,ventilatiesystemen_namen,0))
&amp;AA$49
&amp;$G328</f>
        <v>#N/A</v>
      </c>
      <c r="AB328" s="880" t="e">
        <f t="shared" ca="1" si="407"/>
        <v>#N/A</v>
      </c>
      <c r="AC328" s="880" t="e">
        <f t="shared" ca="1" si="407"/>
        <v>#N/A</v>
      </c>
      <c r="AD328" s="880" t="e">
        <f t="shared" ca="1" si="407"/>
        <v>#N/A</v>
      </c>
      <c r="AE328" s="880" t="e">
        <f t="shared" ca="1" si="407"/>
        <v>#N/A</v>
      </c>
      <c r="AF328" s="880" t="e">
        <f t="shared" ca="1" si="407"/>
        <v>#N/A</v>
      </c>
      <c r="AG328" s="880" t="e">
        <f t="shared" ca="1" si="407"/>
        <v>#N/A</v>
      </c>
      <c r="AH328" s="880" t="e">
        <f t="shared" ca="1" si="407"/>
        <v>#N/A</v>
      </c>
      <c r="AI328" s="880" t="e">
        <f t="shared" ca="1" si="407"/>
        <v>#N/A</v>
      </c>
      <c r="AJ328" s="896"/>
      <c r="AK328" s="895"/>
      <c r="AL328" s="897" t="s">
        <v>84</v>
      </c>
      <c r="AM328" s="880" t="e">
        <f t="shared" ref="AM328:AU328" ca="1" si="408">$F$6
&amp;INDEX(gebruiksfuncties_fitcurve_NTA8800,MATCH(AM$19,gebruiksfuncties_namen,0))
&amp;INDEX(ventilatiesystemen_code,MATCH(AM$40,ventilatiesystemen_namen,0))
&amp;AM$49
&amp;$G328</f>
        <v>#N/A</v>
      </c>
      <c r="AN328" s="880" t="e">
        <f t="shared" ca="1" si="408"/>
        <v>#N/A</v>
      </c>
      <c r="AO328" s="880" t="e">
        <f t="shared" ca="1" si="408"/>
        <v>#N/A</v>
      </c>
      <c r="AP328" s="880" t="e">
        <f t="shared" ca="1" si="408"/>
        <v>#N/A</v>
      </c>
      <c r="AQ328" s="880" t="e">
        <f t="shared" ca="1" si="408"/>
        <v>#N/A</v>
      </c>
      <c r="AR328" s="880" t="e">
        <f t="shared" ca="1" si="408"/>
        <v>#N/A</v>
      </c>
      <c r="AS328" s="880" t="e">
        <f t="shared" ca="1" si="408"/>
        <v>#N/A</v>
      </c>
      <c r="AT328" s="880" t="e">
        <f t="shared" ca="1" si="408"/>
        <v>#N/A</v>
      </c>
      <c r="AU328" s="880" t="e">
        <f t="shared" ca="1" si="408"/>
        <v>#N/A</v>
      </c>
      <c r="AV328" s="896"/>
      <c r="AW328" s="895"/>
      <c r="AX328" s="897" t="s">
        <v>84</v>
      </c>
      <c r="AY328" s="880" t="e">
        <f t="shared" ref="AY328:BG328" ca="1" si="409">$F$6
&amp;INDEX(gebruiksfuncties_fitcurve_NTA8800,MATCH(AY$19,gebruiksfuncties_namen,0))
&amp;INDEX(ventilatiesystemen_code,MATCH(AY$40,ventilatiesystemen_namen,0))
&amp;AY$49
&amp;$G328</f>
        <v>#N/A</v>
      </c>
      <c r="AZ328" s="880" t="e">
        <f t="shared" ca="1" si="409"/>
        <v>#N/A</v>
      </c>
      <c r="BA328" s="880" t="e">
        <f t="shared" ca="1" si="409"/>
        <v>#N/A</v>
      </c>
      <c r="BB328" s="880" t="e">
        <f t="shared" ca="1" si="409"/>
        <v>#N/A</v>
      </c>
      <c r="BC328" s="880" t="e">
        <f t="shared" ca="1" si="409"/>
        <v>#N/A</v>
      </c>
      <c r="BD328" s="880" t="e">
        <f t="shared" ca="1" si="409"/>
        <v>#N/A</v>
      </c>
      <c r="BE328" s="880" t="e">
        <f t="shared" ca="1" si="409"/>
        <v>#N/A</v>
      </c>
      <c r="BF328" s="880" t="e">
        <f t="shared" ca="1" si="409"/>
        <v>#N/A</v>
      </c>
      <c r="BG328" s="880" t="e">
        <f t="shared" ca="1" si="409"/>
        <v>#N/A</v>
      </c>
      <c r="BH328" s="218"/>
    </row>
    <row r="329" spans="1:60">
      <c r="A329" s="1040"/>
      <c r="B329" s="1109" t="s">
        <v>1223</v>
      </c>
      <c r="C329" s="1107" t="s">
        <v>104</v>
      </c>
      <c r="D329" s="640" t="s">
        <v>45</v>
      </c>
      <c r="E329" s="203" t="s">
        <v>279</v>
      </c>
      <c r="F329" s="203"/>
      <c r="G329" s="203"/>
      <c r="H329" s="204" t="s">
        <v>154</v>
      </c>
      <c r="I329" s="205"/>
      <c r="J329" s="206"/>
      <c r="K329" s="79"/>
      <c r="L329" s="79"/>
      <c r="M329" s="206"/>
      <c r="N329" s="205"/>
      <c r="O329" s="1158" t="str">
        <f t="shared" ref="O329:W329" si="410">IFERROR(IF(OR(O$17="",O$38="",O$40=""),"",MAX(warmtebehoefte_verwarming_ondergrens,
HLOOKUP(O$328,fitcurves_NTA8800,MATCH(fit_a0,parameters_fitformule,0),FALSE)
+HLOOKUP(O$328,fitcurves_NTA8800,MATCH(fit_a1,parameters_fitformule,0),FALSE)
*O$54*O$32^HLOOKUP(O$328,fitcurves_NTA8800,MATCH(fit_n1,parameters_fitformule,0),FALSE)
)),0)</f>
        <v/>
      </c>
      <c r="P329" s="1158" t="str">
        <f t="shared" si="410"/>
        <v/>
      </c>
      <c r="Q329" s="1158" t="str">
        <f t="shared" si="410"/>
        <v/>
      </c>
      <c r="R329" s="1158" t="str">
        <f t="shared" si="410"/>
        <v/>
      </c>
      <c r="S329" s="1158" t="str">
        <f t="shared" si="410"/>
        <v/>
      </c>
      <c r="T329" s="1158" t="str">
        <f t="shared" si="410"/>
        <v/>
      </c>
      <c r="U329" s="1158" t="str">
        <f t="shared" si="410"/>
        <v/>
      </c>
      <c r="V329" s="1158" t="str">
        <f t="shared" si="410"/>
        <v/>
      </c>
      <c r="W329" s="1158" t="str">
        <f t="shared" si="410"/>
        <v/>
      </c>
      <c r="X329" s="108"/>
      <c r="Y329" s="206"/>
      <c r="Z329" s="205"/>
      <c r="AA329" s="1090" t="str">
        <f t="shared" ref="AA329:AI329" si="411">IFERROR(IF(OR(AA$17="",AA$38="",AA$40=""),"",MAX(warmtebehoefte_verwarming_ondergrens,
HLOOKUP(AA$328,fitcurves_NTA8800,MATCH(fit_a0,parameters_fitformule,0),FALSE)
+HLOOKUP(AA$328,fitcurves_NTA8800,MATCH(fit_a1,parameters_fitformule,0),FALSE)
*AA$54*AA$32^HLOOKUP(AA$328,fitcurves_NTA8800,MATCH(fit_n1,parameters_fitformule,0),FALSE)
)),0)</f>
        <v/>
      </c>
      <c r="AB329" s="1090" t="str">
        <f t="shared" si="411"/>
        <v/>
      </c>
      <c r="AC329" s="1090" t="str">
        <f t="shared" si="411"/>
        <v/>
      </c>
      <c r="AD329" s="1090" t="str">
        <f t="shared" si="411"/>
        <v/>
      </c>
      <c r="AE329" s="1090" t="str">
        <f t="shared" si="411"/>
        <v/>
      </c>
      <c r="AF329" s="1090" t="str">
        <f t="shared" si="411"/>
        <v/>
      </c>
      <c r="AG329" s="1090" t="str">
        <f t="shared" si="411"/>
        <v/>
      </c>
      <c r="AH329" s="1090" t="str">
        <f t="shared" si="411"/>
        <v/>
      </c>
      <c r="AI329" s="1090" t="str">
        <f t="shared" si="411"/>
        <v/>
      </c>
      <c r="AJ329" s="108"/>
      <c r="AK329" s="206"/>
      <c r="AL329" s="205"/>
      <c r="AM329" s="1090" t="str">
        <f t="shared" ref="AM329:AU329" si="412">IFERROR(IF(OR(AM$17="",AM$38="",AM$40=""),"",MAX(warmtebehoefte_verwarming_ondergrens,
HLOOKUP(AM$328,fitcurves_NTA8800,MATCH(fit_a0,parameters_fitformule,0),FALSE)
+HLOOKUP(AM$328,fitcurves_NTA8800,MATCH(fit_a1,parameters_fitformule,0),FALSE)
*AM$54*AM$32^HLOOKUP(AM$328,fitcurves_NTA8800,MATCH(fit_n1,parameters_fitformule,0),FALSE)
)),0)</f>
        <v/>
      </c>
      <c r="AN329" s="1090" t="str">
        <f t="shared" si="412"/>
        <v/>
      </c>
      <c r="AO329" s="1090" t="str">
        <f t="shared" si="412"/>
        <v/>
      </c>
      <c r="AP329" s="1090" t="str">
        <f t="shared" si="412"/>
        <v/>
      </c>
      <c r="AQ329" s="1090" t="str">
        <f t="shared" si="412"/>
        <v/>
      </c>
      <c r="AR329" s="1090" t="str">
        <f t="shared" si="412"/>
        <v/>
      </c>
      <c r="AS329" s="1090" t="str">
        <f t="shared" si="412"/>
        <v/>
      </c>
      <c r="AT329" s="1090" t="str">
        <f t="shared" si="412"/>
        <v/>
      </c>
      <c r="AU329" s="1090" t="str">
        <f t="shared" si="412"/>
        <v/>
      </c>
      <c r="AV329" s="108"/>
      <c r="AW329" s="206"/>
      <c r="AX329" s="205"/>
      <c r="AY329" s="1090" t="str">
        <f t="shared" ref="AY329:BG329" si="413">IFERROR(IF(OR(AY$17="",AY$38="",AY$40=""),"",MAX(warmtebehoefte_verwarming_ondergrens,
HLOOKUP(AY$328,fitcurves_NTA8800,MATCH(fit_a0,parameters_fitformule,0),FALSE)
+HLOOKUP(AY$328,fitcurves_NTA8800,MATCH(fit_a1,parameters_fitformule,0),FALSE)
*AY$54*AY$32^HLOOKUP(AY$328,fitcurves_NTA8800,MATCH(fit_n1,parameters_fitformule,0),FALSE)
)),0)</f>
        <v/>
      </c>
      <c r="AZ329" s="1090" t="str">
        <f t="shared" si="413"/>
        <v/>
      </c>
      <c r="BA329" s="1090" t="str">
        <f t="shared" si="413"/>
        <v/>
      </c>
      <c r="BB329" s="1090" t="str">
        <f t="shared" si="413"/>
        <v/>
      </c>
      <c r="BC329" s="1090" t="str">
        <f t="shared" si="413"/>
        <v/>
      </c>
      <c r="BD329" s="1090" t="str">
        <f t="shared" si="413"/>
        <v/>
      </c>
      <c r="BE329" s="1090" t="str">
        <f t="shared" si="413"/>
        <v/>
      </c>
      <c r="BF329" s="1090" t="str">
        <f t="shared" si="413"/>
        <v/>
      </c>
      <c r="BG329" s="1090" t="str">
        <f t="shared" si="413"/>
        <v/>
      </c>
      <c r="BH329" s="210"/>
    </row>
    <row r="330" spans="1:60">
      <c r="A330" s="1040"/>
      <c r="B330" s="1109" t="s">
        <v>1223</v>
      </c>
      <c r="C330" s="1107" t="s">
        <v>104</v>
      </c>
      <c r="D330" s="640" t="s">
        <v>45</v>
      </c>
      <c r="E330" s="203" t="s">
        <v>280</v>
      </c>
      <c r="F330" s="203"/>
      <c r="G330" s="203"/>
      <c r="H330" s="204" t="s">
        <v>267</v>
      </c>
      <c r="I330" s="205"/>
      <c r="J330" s="206"/>
      <c r="K330" s="79"/>
      <c r="L330" s="79"/>
      <c r="M330" s="206"/>
      <c r="N330" s="205"/>
      <c r="O330" s="1158" t="str">
        <f t="shared" ref="O330:W330" si="414">IF(OR(O$17="",O$22=0,O$29=0),"",ROUNDUP(O$298-O$287-O$288-O$289-IF(OR(O$19=woning,O$19=woongebouw),O285,0),2)-O$292)</f>
        <v/>
      </c>
      <c r="P330" s="1158" t="str">
        <f t="shared" si="414"/>
        <v/>
      </c>
      <c r="Q330" s="1158" t="str">
        <f t="shared" si="414"/>
        <v/>
      </c>
      <c r="R330" s="1158" t="str">
        <f t="shared" si="414"/>
        <v/>
      </c>
      <c r="S330" s="1158" t="str">
        <f t="shared" si="414"/>
        <v/>
      </c>
      <c r="T330" s="1158" t="str">
        <f t="shared" si="414"/>
        <v/>
      </c>
      <c r="U330" s="1158" t="str">
        <f t="shared" si="414"/>
        <v/>
      </c>
      <c r="V330" s="1158" t="str">
        <f t="shared" si="414"/>
        <v/>
      </c>
      <c r="W330" s="1158" t="str">
        <f t="shared" si="414"/>
        <v/>
      </c>
      <c r="X330" s="108"/>
      <c r="Y330" s="206"/>
      <c r="Z330" s="205"/>
      <c r="AA330" s="1090" t="str">
        <f t="shared" ref="AA330:AI330" si="415">IF(OR(AA$17="",AA$22=0,AA$29=0),"",ROUNDUP(AA$298-AA$287-AA$288-AA$289-IF(OR(AA$19=woning,AA$19=woongebouw),AA285,0),2)-AA$292)</f>
        <v/>
      </c>
      <c r="AB330" s="1090" t="str">
        <f t="shared" si="415"/>
        <v/>
      </c>
      <c r="AC330" s="1090" t="str">
        <f t="shared" si="415"/>
        <v/>
      </c>
      <c r="AD330" s="1090" t="str">
        <f t="shared" si="415"/>
        <v/>
      </c>
      <c r="AE330" s="1090" t="str">
        <f t="shared" si="415"/>
        <v/>
      </c>
      <c r="AF330" s="1090" t="str">
        <f t="shared" si="415"/>
        <v/>
      </c>
      <c r="AG330" s="1090" t="str">
        <f t="shared" si="415"/>
        <v/>
      </c>
      <c r="AH330" s="1090" t="str">
        <f t="shared" si="415"/>
        <v/>
      </c>
      <c r="AI330" s="1090" t="str">
        <f t="shared" si="415"/>
        <v/>
      </c>
      <c r="AJ330" s="108"/>
      <c r="AK330" s="206"/>
      <c r="AL330" s="205"/>
      <c r="AM330" s="1090" t="str">
        <f t="shared" ref="AM330:AU330" si="416">IF(OR(AM$17="",AM$22=0,AM$29=0),"",ROUNDUP(AM$298-AM$287-AM$288-AM$289-IF(OR(AM$19=woning,AM$19=woongebouw),AM285,0),2)-AM$292)</f>
        <v/>
      </c>
      <c r="AN330" s="1090" t="str">
        <f t="shared" si="416"/>
        <v/>
      </c>
      <c r="AO330" s="1090" t="str">
        <f t="shared" si="416"/>
        <v/>
      </c>
      <c r="AP330" s="1090" t="str">
        <f t="shared" si="416"/>
        <v/>
      </c>
      <c r="AQ330" s="1090" t="str">
        <f t="shared" si="416"/>
        <v/>
      </c>
      <c r="AR330" s="1090" t="str">
        <f t="shared" si="416"/>
        <v/>
      </c>
      <c r="AS330" s="1090" t="str">
        <f t="shared" si="416"/>
        <v/>
      </c>
      <c r="AT330" s="1090" t="str">
        <f t="shared" si="416"/>
        <v/>
      </c>
      <c r="AU330" s="1090" t="str">
        <f t="shared" si="416"/>
        <v/>
      </c>
      <c r="AV330" s="108"/>
      <c r="AW330" s="206"/>
      <c r="AX330" s="205"/>
      <c r="AY330" s="1090" t="str">
        <f t="shared" ref="AY330:BG330" si="417">IF(OR(AY$17="",AY$22=0,AY$29=0),"",ROUNDUP(AY$298-AY$287-AY$288-AY$289-IF(OR(AY$19=woning,AY$19=woongebouw),AY285,0),2)-AY$292)</f>
        <v/>
      </c>
      <c r="AZ330" s="1090" t="str">
        <f t="shared" si="417"/>
        <v/>
      </c>
      <c r="BA330" s="1090" t="str">
        <f t="shared" si="417"/>
        <v/>
      </c>
      <c r="BB330" s="1090" t="str">
        <f t="shared" si="417"/>
        <v/>
      </c>
      <c r="BC330" s="1090" t="str">
        <f t="shared" si="417"/>
        <v/>
      </c>
      <c r="BD330" s="1090" t="str">
        <f t="shared" si="417"/>
        <v/>
      </c>
      <c r="BE330" s="1090" t="str">
        <f t="shared" si="417"/>
        <v/>
      </c>
      <c r="BF330" s="1090" t="str">
        <f t="shared" si="417"/>
        <v/>
      </c>
      <c r="BG330" s="1090" t="str">
        <f t="shared" si="417"/>
        <v/>
      </c>
      <c r="BH330" s="210"/>
    </row>
    <row r="331" spans="1:60">
      <c r="A331" s="1040"/>
      <c r="B331" s="1109" t="s">
        <v>1223</v>
      </c>
      <c r="C331" s="1107" t="s">
        <v>104</v>
      </c>
      <c r="D331" s="641" t="s">
        <v>45</v>
      </c>
      <c r="E331" s="203" t="s">
        <v>281</v>
      </c>
      <c r="F331" s="203"/>
      <c r="G331" s="203"/>
      <c r="H331" s="204" t="s">
        <v>139</v>
      </c>
      <c r="I331" s="205"/>
      <c r="J331" s="206"/>
      <c r="K331" s="79"/>
      <c r="L331" s="79"/>
      <c r="M331" s="206"/>
      <c r="N331" s="205"/>
      <c r="O331" s="1160" t="str">
        <f t="shared" ref="O331:W331" si="418">IF(O$322="","",O317)</f>
        <v/>
      </c>
      <c r="P331" s="1089" t="str">
        <f t="shared" si="418"/>
        <v/>
      </c>
      <c r="Q331" s="1089" t="str">
        <f t="shared" si="418"/>
        <v/>
      </c>
      <c r="R331" s="1089" t="str">
        <f t="shared" si="418"/>
        <v/>
      </c>
      <c r="S331" s="1089" t="str">
        <f t="shared" si="418"/>
        <v/>
      </c>
      <c r="T331" s="1089" t="str">
        <f t="shared" si="418"/>
        <v/>
      </c>
      <c r="U331" s="1089" t="str">
        <f t="shared" si="418"/>
        <v/>
      </c>
      <c r="V331" s="1089" t="str">
        <f t="shared" si="418"/>
        <v/>
      </c>
      <c r="W331" s="1089" t="str">
        <f t="shared" si="418"/>
        <v/>
      </c>
      <c r="X331" s="597"/>
      <c r="Y331" s="598"/>
      <c r="Z331" s="599"/>
      <c r="AA331" s="1089" t="str">
        <f t="shared" ref="AA331:AI331" si="419">IF(AA$322="","",AA317)</f>
        <v/>
      </c>
      <c r="AB331" s="1089" t="str">
        <f t="shared" si="419"/>
        <v/>
      </c>
      <c r="AC331" s="1089" t="str">
        <f t="shared" si="419"/>
        <v/>
      </c>
      <c r="AD331" s="1089" t="str">
        <f t="shared" si="419"/>
        <v/>
      </c>
      <c r="AE331" s="1089" t="str">
        <f t="shared" si="419"/>
        <v/>
      </c>
      <c r="AF331" s="1089" t="str">
        <f t="shared" si="419"/>
        <v/>
      </c>
      <c r="AG331" s="1089" t="str">
        <f t="shared" si="419"/>
        <v/>
      </c>
      <c r="AH331" s="1089" t="str">
        <f t="shared" si="419"/>
        <v/>
      </c>
      <c r="AI331" s="1089" t="str">
        <f t="shared" si="419"/>
        <v/>
      </c>
      <c r="AJ331" s="597"/>
      <c r="AK331" s="598"/>
      <c r="AL331" s="599"/>
      <c r="AM331" s="1089" t="str">
        <f>IF(AM$322="","",AM317)</f>
        <v/>
      </c>
      <c r="AN331" s="1089" t="str">
        <f t="shared" ref="AN331:AU331" si="420">IF(AN$322="","",AN317)</f>
        <v/>
      </c>
      <c r="AO331" s="1089" t="str">
        <f t="shared" si="420"/>
        <v/>
      </c>
      <c r="AP331" s="1089" t="str">
        <f t="shared" si="420"/>
        <v/>
      </c>
      <c r="AQ331" s="1089" t="str">
        <f t="shared" si="420"/>
        <v/>
      </c>
      <c r="AR331" s="1089" t="str">
        <f t="shared" si="420"/>
        <v/>
      </c>
      <c r="AS331" s="1089" t="str">
        <f t="shared" si="420"/>
        <v/>
      </c>
      <c r="AT331" s="1089" t="str">
        <f t="shared" si="420"/>
        <v/>
      </c>
      <c r="AU331" s="1089" t="str">
        <f t="shared" si="420"/>
        <v/>
      </c>
      <c r="AV331" s="597"/>
      <c r="AW331" s="598"/>
      <c r="AX331" s="599"/>
      <c r="AY331" s="1089" t="str">
        <f>IF(AY$322="","",AY317)</f>
        <v/>
      </c>
      <c r="AZ331" s="1089" t="str">
        <f t="shared" ref="AZ331:BG331" si="421">IF(AZ$322="","",AZ317)</f>
        <v/>
      </c>
      <c r="BA331" s="1089" t="str">
        <f t="shared" si="421"/>
        <v/>
      </c>
      <c r="BB331" s="1089" t="str">
        <f t="shared" si="421"/>
        <v/>
      </c>
      <c r="BC331" s="1089" t="str">
        <f t="shared" si="421"/>
        <v/>
      </c>
      <c r="BD331" s="1089" t="str">
        <f t="shared" si="421"/>
        <v/>
      </c>
      <c r="BE331" s="1089" t="str">
        <f t="shared" si="421"/>
        <v/>
      </c>
      <c r="BF331" s="1089" t="str">
        <f t="shared" si="421"/>
        <v/>
      </c>
      <c r="BG331" s="1089" t="str">
        <f t="shared" si="421"/>
        <v/>
      </c>
      <c r="BH331" s="210"/>
    </row>
    <row r="332" spans="1:60">
      <c r="A332" s="1040"/>
      <c r="B332" s="1109" t="s">
        <v>1223</v>
      </c>
      <c r="C332" s="1106" t="s">
        <v>96</v>
      </c>
      <c r="D332" s="638"/>
      <c r="E332" s="942" t="s">
        <v>282</v>
      </c>
      <c r="F332" s="942"/>
      <c r="G332" s="942"/>
      <c r="H332" s="942"/>
      <c r="I332" s="129"/>
      <c r="J332" s="943"/>
      <c r="K332" s="126"/>
      <c r="L332" s="126"/>
      <c r="M332" s="944"/>
      <c r="N332" s="195"/>
      <c r="O332" s="258" t="str">
        <f>O$17</f>
        <v/>
      </c>
      <c r="P332" s="258" t="str">
        <f t="shared" ref="P332:W332" si="422">P$17</f>
        <v/>
      </c>
      <c r="Q332" s="258" t="str">
        <f t="shared" si="422"/>
        <v/>
      </c>
      <c r="R332" s="258" t="str">
        <f t="shared" si="422"/>
        <v/>
      </c>
      <c r="S332" s="258" t="str">
        <f t="shared" si="422"/>
        <v/>
      </c>
      <c r="T332" s="258" t="str">
        <f t="shared" si="422"/>
        <v/>
      </c>
      <c r="U332" s="258" t="str">
        <f t="shared" si="422"/>
        <v/>
      </c>
      <c r="V332" s="258" t="str">
        <f t="shared" si="422"/>
        <v/>
      </c>
      <c r="W332" s="258" t="str">
        <f t="shared" si="422"/>
        <v/>
      </c>
      <c r="X332" s="195"/>
      <c r="Y332" s="944"/>
      <c r="Z332" s="195"/>
      <c r="AA332" s="258" t="str">
        <f>AA$17</f>
        <v/>
      </c>
      <c r="AB332" s="258" t="str">
        <f t="shared" ref="AB332:AI332" si="423">AB$17</f>
        <v/>
      </c>
      <c r="AC332" s="258" t="str">
        <f t="shared" si="423"/>
        <v/>
      </c>
      <c r="AD332" s="258" t="str">
        <f t="shared" si="423"/>
        <v/>
      </c>
      <c r="AE332" s="258" t="str">
        <f t="shared" si="423"/>
        <v/>
      </c>
      <c r="AF332" s="258" t="str">
        <f t="shared" si="423"/>
        <v/>
      </c>
      <c r="AG332" s="258" t="str">
        <f t="shared" si="423"/>
        <v/>
      </c>
      <c r="AH332" s="258" t="str">
        <f t="shared" si="423"/>
        <v/>
      </c>
      <c r="AI332" s="258" t="str">
        <f t="shared" si="423"/>
        <v/>
      </c>
      <c r="AJ332" s="195"/>
      <c r="AK332" s="944"/>
      <c r="AL332" s="195"/>
      <c r="AM332" s="258" t="str">
        <f>AM$17</f>
        <v/>
      </c>
      <c r="AN332" s="258" t="str">
        <f t="shared" ref="AN332:AU332" si="424">AN$17</f>
        <v/>
      </c>
      <c r="AO332" s="258" t="str">
        <f t="shared" si="424"/>
        <v/>
      </c>
      <c r="AP332" s="258" t="str">
        <f t="shared" si="424"/>
        <v/>
      </c>
      <c r="AQ332" s="258" t="str">
        <f t="shared" si="424"/>
        <v/>
      </c>
      <c r="AR332" s="258" t="str">
        <f t="shared" si="424"/>
        <v/>
      </c>
      <c r="AS332" s="258" t="str">
        <f t="shared" si="424"/>
        <v/>
      </c>
      <c r="AT332" s="258" t="str">
        <f t="shared" si="424"/>
        <v/>
      </c>
      <c r="AU332" s="258" t="str">
        <f t="shared" si="424"/>
        <v/>
      </c>
      <c r="AV332" s="195"/>
      <c r="AW332" s="944"/>
      <c r="AX332" s="195"/>
      <c r="AY332" s="258" t="str">
        <f>AY$17</f>
        <v/>
      </c>
      <c r="AZ332" s="258" t="str">
        <f t="shared" ref="AZ332:BG332" si="425">AZ$17</f>
        <v/>
      </c>
      <c r="BA332" s="258" t="str">
        <f t="shared" si="425"/>
        <v/>
      </c>
      <c r="BB332" s="258" t="str">
        <f t="shared" si="425"/>
        <v/>
      </c>
      <c r="BC332" s="258" t="str">
        <f t="shared" si="425"/>
        <v/>
      </c>
      <c r="BD332" s="258" t="str">
        <f t="shared" si="425"/>
        <v/>
      </c>
      <c r="BE332" s="258" t="str">
        <f t="shared" si="425"/>
        <v/>
      </c>
      <c r="BF332" s="258" t="str">
        <f t="shared" si="425"/>
        <v/>
      </c>
      <c r="BG332" s="258" t="str">
        <f t="shared" si="425"/>
        <v/>
      </c>
      <c r="BH332" s="36"/>
    </row>
    <row r="333" spans="1:60">
      <c r="A333" s="1040"/>
      <c r="B333" s="1109" t="s">
        <v>1223</v>
      </c>
      <c r="C333" s="1107" t="s">
        <v>104</v>
      </c>
      <c r="D333" s="640" t="s">
        <v>45</v>
      </c>
      <c r="E333" s="1134" t="s">
        <v>282</v>
      </c>
      <c r="F333" s="203"/>
      <c r="G333" s="203"/>
      <c r="H333" s="204" t="s">
        <v>65</v>
      </c>
      <c r="I333" s="114"/>
      <c r="J333" s="202"/>
      <c r="K333" s="195"/>
      <c r="L333" s="195"/>
      <c r="M333" s="202"/>
      <c r="N333" s="114"/>
      <c r="O333" s="168" t="str">
        <f ca="1">IF(OR(O$22=0,$O$78=0),"",
INDEX(energielabels_labelnamen,MATCH(O330,OFFSET(bibliotheek!$H$488,0,MATCH(O$19,gebruiksfuncties_namen,0)-1,ROWS(energielabels_labelnamen),1),-1)))</f>
        <v/>
      </c>
      <c r="P333" s="168" t="str">
        <f ca="1">IF(OR(P$22=0,$O$78=0),"",
INDEX(energielabels_labelnamen,MATCH(P330,OFFSET(bibliotheek!$H$488,0,MATCH(P$19,gebruiksfuncties_namen,0)-1,ROWS(energielabels_labelnamen),1),-1)))</f>
        <v/>
      </c>
      <c r="Q333" s="168" t="str">
        <f ca="1">IF(OR(Q$22=0,$O$78=0),"",
INDEX(energielabels_labelnamen,MATCH(Q330,OFFSET(bibliotheek!$H$488,0,MATCH(Q$19,gebruiksfuncties_namen,0)-1,ROWS(energielabels_labelnamen),1),-1)))</f>
        <v/>
      </c>
      <c r="R333" s="168" t="str">
        <f ca="1">IF(OR(R$22=0,$O$78=0),"",
INDEX(energielabels_labelnamen,MATCH(R330,OFFSET(bibliotheek!$H$488,0,MATCH(R$19,gebruiksfuncties_namen,0)-1,ROWS(energielabels_labelnamen),1),-1)))</f>
        <v/>
      </c>
      <c r="S333" s="168" t="str">
        <f ca="1">IF(OR(S$22=0,$O$78=0),"",
INDEX(energielabels_labelnamen,MATCH(S330,OFFSET(bibliotheek!$H$488,0,MATCH(S$19,gebruiksfuncties_namen,0)-1,ROWS(energielabels_labelnamen),1),-1)))</f>
        <v/>
      </c>
      <c r="T333" s="168" t="str">
        <f ca="1">IF(OR(T$22=0,$O$78=0),"",
INDEX(energielabels_labelnamen,MATCH(T330,OFFSET(bibliotheek!$H$488,0,MATCH(T$19,gebruiksfuncties_namen,0)-1,ROWS(energielabels_labelnamen),1),-1)))</f>
        <v/>
      </c>
      <c r="U333" s="168" t="str">
        <f ca="1">IF(OR(U$22=0,$O$78=0),"",
INDEX(energielabels_labelnamen,MATCH(U330,OFFSET(bibliotheek!$H$488,0,MATCH(U$19,gebruiksfuncties_namen,0)-1,ROWS(energielabels_labelnamen),1),-1)))</f>
        <v/>
      </c>
      <c r="V333" s="168" t="str">
        <f ca="1">IF(OR(V$22=0,$O$78=0),"",
INDEX(energielabels_labelnamen,MATCH(V330,OFFSET(bibliotheek!$H$488,0,MATCH(V$19,gebruiksfuncties_namen,0)-1,ROWS(energielabels_labelnamen),1),-1)))</f>
        <v/>
      </c>
      <c r="W333" s="168" t="str">
        <f ca="1">IF(OR(W$22=0,$O$78=0),"",
INDEX(energielabels_labelnamen,MATCH(W330,OFFSET(bibliotheek!$H$488,0,MATCH(W$19,gebruiksfuncties_namen,0)-1,ROWS(energielabels_labelnamen),1),-1)))</f>
        <v/>
      </c>
      <c r="X333" s="113"/>
      <c r="Y333" s="202"/>
      <c r="Z333" s="114"/>
      <c r="AA333" s="168" t="str">
        <f ca="1">IF(OR(AA$22=0,$AA$78=0),"",
INDEX(energielabels_labelnamen,MATCH(AA330,OFFSET(bibliotheek!$H$488,0,MATCH(AA$19,gebruiksfuncties_namen,0)-1,ROWS(energielabels_labelnamen),1),-1)))</f>
        <v/>
      </c>
      <c r="AB333" s="168" t="str">
        <f ca="1">IF(OR(AB$22=0,$AA$78=0),"",
INDEX(energielabels_labelnamen,MATCH(AB330,OFFSET(bibliotheek!$H$488,0,MATCH(AB$19,gebruiksfuncties_namen,0)-1,ROWS(energielabels_labelnamen),1),-1)))</f>
        <v/>
      </c>
      <c r="AC333" s="168" t="str">
        <f ca="1">IF(OR(AC$22=0,$AA$78=0),"",
INDEX(energielabels_labelnamen,MATCH(AC330,OFFSET(bibliotheek!$H$488,0,MATCH(AC$19,gebruiksfuncties_namen,0)-1,ROWS(energielabels_labelnamen),1),-1)))</f>
        <v/>
      </c>
      <c r="AD333" s="168" t="str">
        <f ca="1">IF(OR(AD$22=0,$AA$78=0),"",
INDEX(energielabels_labelnamen,MATCH(AD330,OFFSET(bibliotheek!$H$488,0,MATCH(AD$19,gebruiksfuncties_namen,0)-1,ROWS(energielabels_labelnamen),1),-1)))</f>
        <v/>
      </c>
      <c r="AE333" s="168" t="str">
        <f ca="1">IF(OR(AE$22=0,$AA$78=0),"",
INDEX(energielabels_labelnamen,MATCH(AE330,OFFSET(bibliotheek!$H$488,0,MATCH(AE$19,gebruiksfuncties_namen,0)-1,ROWS(energielabels_labelnamen),1),-1)))</f>
        <v/>
      </c>
      <c r="AF333" s="168" t="str">
        <f ca="1">IF(OR(AF$22=0,$AA$78=0),"",
INDEX(energielabels_labelnamen,MATCH(AF330,OFFSET(bibliotheek!$H$488,0,MATCH(AF$19,gebruiksfuncties_namen,0)-1,ROWS(energielabels_labelnamen),1),-1)))</f>
        <v/>
      </c>
      <c r="AG333" s="168" t="str">
        <f ca="1">IF(OR(AG$22=0,$AA$78=0),"",
INDEX(energielabels_labelnamen,MATCH(AG330,OFFSET(bibliotheek!$H$488,0,MATCH(AG$19,gebruiksfuncties_namen,0)-1,ROWS(energielabels_labelnamen),1),-1)))</f>
        <v/>
      </c>
      <c r="AH333" s="168" t="str">
        <f ca="1">IF(OR(AH$22=0,$AA$78=0),"",
INDEX(energielabels_labelnamen,MATCH(AH330,OFFSET(bibliotheek!$H$488,0,MATCH(AH$19,gebruiksfuncties_namen,0)-1,ROWS(energielabels_labelnamen),1),-1)))</f>
        <v/>
      </c>
      <c r="AI333" s="168" t="str">
        <f ca="1">IF(OR(AI$22=0,$AA$78=0),"",
INDEX(energielabels_labelnamen,MATCH(AI330,OFFSET(bibliotheek!$H$488,0,MATCH(AI$19,gebruiksfuncties_namen,0)-1,ROWS(energielabels_labelnamen),1),-1)))</f>
        <v/>
      </c>
      <c r="AJ333" s="113"/>
      <c r="AK333" s="202"/>
      <c r="AL333" s="114"/>
      <c r="AM333" s="168" t="str">
        <f ca="1">IF(OR(AM$22=0,$AM$78=0),"",
INDEX(energielabels_labelnamen,MATCH(AM330,OFFSET(bibliotheek!$H$488,0,MATCH(AM$19,gebruiksfuncties_namen,0)-1,ROWS(energielabels_labelnamen),1),-1)))</f>
        <v/>
      </c>
      <c r="AN333" s="168" t="str">
        <f ca="1">IF(OR(AN$22=0,$AM$78=0),"",
INDEX(energielabels_labelnamen,MATCH(AN330,OFFSET(bibliotheek!$H$488,0,MATCH(AN$19,gebruiksfuncties_namen,0)-1,ROWS(energielabels_labelnamen),1),-1)))</f>
        <v/>
      </c>
      <c r="AO333" s="168" t="str">
        <f ca="1">IF(OR(AO$22=0,$AM$78=0),"",
INDEX(energielabels_labelnamen,MATCH(AO330,OFFSET(bibliotheek!$H$488,0,MATCH(AO$19,gebruiksfuncties_namen,0)-1,ROWS(energielabels_labelnamen),1),-1)))</f>
        <v/>
      </c>
      <c r="AP333" s="168" t="str">
        <f ca="1">IF(OR(AP$22=0,$AM$78=0),"",
INDEX(energielabels_labelnamen,MATCH(AP330,OFFSET(bibliotheek!$H$488,0,MATCH(AP$19,gebruiksfuncties_namen,0)-1,ROWS(energielabels_labelnamen),1),-1)))</f>
        <v/>
      </c>
      <c r="AQ333" s="168" t="str">
        <f ca="1">IF(OR(AQ$22=0,$AM$78=0),"",
INDEX(energielabels_labelnamen,MATCH(AQ330,OFFSET(bibliotheek!$H$488,0,MATCH(AQ$19,gebruiksfuncties_namen,0)-1,ROWS(energielabels_labelnamen),1),-1)))</f>
        <v/>
      </c>
      <c r="AR333" s="168" t="str">
        <f ca="1">IF(OR(AR$22=0,$AM$78=0),"",
INDEX(energielabels_labelnamen,MATCH(AR330,OFFSET(bibliotheek!$H$488,0,MATCH(AR$19,gebruiksfuncties_namen,0)-1,ROWS(energielabels_labelnamen),1),-1)))</f>
        <v/>
      </c>
      <c r="AS333" s="168" t="str">
        <f ca="1">IF(OR(AS$22=0,$AM$78=0),"",
INDEX(energielabels_labelnamen,MATCH(AS330,OFFSET(bibliotheek!$H$488,0,MATCH(AS$19,gebruiksfuncties_namen,0)-1,ROWS(energielabels_labelnamen),1),-1)))</f>
        <v/>
      </c>
      <c r="AT333" s="168" t="str">
        <f ca="1">IF(OR(AT$22=0,$AM$78=0),"",
INDEX(energielabels_labelnamen,MATCH(AT330,OFFSET(bibliotheek!$H$488,0,MATCH(AT$19,gebruiksfuncties_namen,0)-1,ROWS(energielabels_labelnamen),1),-1)))</f>
        <v/>
      </c>
      <c r="AU333" s="168" t="str">
        <f ca="1">IF(OR(AU$22=0,$AM$78=0),"",
INDEX(energielabels_labelnamen,MATCH(AU330,OFFSET(bibliotheek!$H$488,0,MATCH(AU$19,gebruiksfuncties_namen,0)-1,ROWS(energielabels_labelnamen),1),-1)))</f>
        <v/>
      </c>
      <c r="AV333" s="113"/>
      <c r="AW333" s="202"/>
      <c r="AX333" s="114"/>
      <c r="AY333" s="168" t="str">
        <f ca="1">IF(OR(AY$22=0,$AW$78=0),"",
INDEX(energielabels_labelnamen,MATCH(AY330,OFFSET(bibliotheek!$H$488,0,MATCH(AY$19,gebruiksfuncties_namen,0)-1,ROWS(energielabels_labelnamen),1),-1)))</f>
        <v/>
      </c>
      <c r="AZ333" s="168" t="str">
        <f ca="1">IF(OR(AZ$22=0,$AW$78=0),"",
INDEX(energielabels_labelnamen,MATCH(AZ330,OFFSET(bibliotheek!$H$488,0,MATCH(AZ$19,gebruiksfuncties_namen,0)-1,ROWS(energielabels_labelnamen),1),-1)))</f>
        <v/>
      </c>
      <c r="BA333" s="168" t="str">
        <f ca="1">IF(OR(BA$22=0,$AW$78=0),"",
INDEX(energielabels_labelnamen,MATCH(BA330,OFFSET(bibliotheek!$H$488,0,MATCH(BA$19,gebruiksfuncties_namen,0)-1,ROWS(energielabels_labelnamen),1),-1)))</f>
        <v/>
      </c>
      <c r="BB333" s="168" t="str">
        <f ca="1">IF(OR(BB$22=0,$AW$78=0),"",
INDEX(energielabels_labelnamen,MATCH(BB330,OFFSET(bibliotheek!$H$488,0,MATCH(BB$19,gebruiksfuncties_namen,0)-1,ROWS(energielabels_labelnamen),1),-1)))</f>
        <v/>
      </c>
      <c r="BC333" s="168" t="str">
        <f ca="1">IF(OR(BC$22=0,$AW$78=0),"",
INDEX(energielabels_labelnamen,MATCH(BC330,OFFSET(bibliotheek!$H$488,0,MATCH(BC$19,gebruiksfuncties_namen,0)-1,ROWS(energielabels_labelnamen),1),-1)))</f>
        <v/>
      </c>
      <c r="BD333" s="168" t="str">
        <f ca="1">IF(OR(BD$22=0,$AW$78=0),"",
INDEX(energielabels_labelnamen,MATCH(BD330,OFFSET(bibliotheek!$H$488,0,MATCH(BD$19,gebruiksfuncties_namen,0)-1,ROWS(energielabels_labelnamen),1),-1)))</f>
        <v/>
      </c>
      <c r="BE333" s="168" t="str">
        <f ca="1">IF(OR(BE$22=0,$AW$78=0),"",
INDEX(energielabels_labelnamen,MATCH(BE330,OFFSET(bibliotheek!$H$488,0,MATCH(BE$19,gebruiksfuncties_namen,0)-1,ROWS(energielabels_labelnamen),1),-1)))</f>
        <v/>
      </c>
      <c r="BF333" s="168" t="str">
        <f ca="1">IF(OR(BF$22=0,$AW$78=0),"",
INDEX(energielabels_labelnamen,MATCH(BF330,OFFSET(bibliotheek!$H$488,0,MATCH(BF$19,gebruiksfuncties_namen,0)-1,ROWS(energielabels_labelnamen),1),-1)))</f>
        <v/>
      </c>
      <c r="BG333" s="168" t="str">
        <f ca="1">IF(OR(BG$22=0,$AW$78=0),"",
INDEX(energielabels_labelnamen,MATCH(BG330,OFFSET(bibliotheek!$H$488,0,MATCH(BG$19,gebruiksfuncties_namen,0)-1,ROWS(energielabels_labelnamen),1),-1)))</f>
        <v/>
      </c>
      <c r="BH333" s="210"/>
    </row>
    <row r="334" spans="1:60">
      <c r="A334" s="1040"/>
      <c r="B334" s="1109" t="s">
        <v>1223</v>
      </c>
      <c r="C334" s="1107" t="s">
        <v>104</v>
      </c>
      <c r="D334" s="640" t="s">
        <v>45</v>
      </c>
      <c r="E334" s="203" t="s">
        <v>1015</v>
      </c>
      <c r="F334" s="862"/>
      <c r="G334" s="862"/>
      <c r="H334" s="204" t="s">
        <v>65</v>
      </c>
      <c r="I334" s="114"/>
      <c r="J334" s="202"/>
      <c r="K334" s="195"/>
      <c r="L334" s="195"/>
      <c r="M334" s="202"/>
      <c r="N334" s="114"/>
      <c r="O334" s="168" t="str">
        <f t="shared" ref="O334:W334" si="426">IF(O$26=0,"",INDEX(eindnorm_utiliteit_energielabel,MATCH(O$19,gebruiksfuncties_namen,0)))</f>
        <v/>
      </c>
      <c r="P334" s="168" t="str">
        <f>IF(P$26=0,"",INDEX(eindnorm_utiliteit_energielabel,MATCH(P$19,gebruiksfuncties_namen,0)))</f>
        <v/>
      </c>
      <c r="Q334" s="168" t="str">
        <f t="shared" si="426"/>
        <v/>
      </c>
      <c r="R334" s="168" t="str">
        <f t="shared" si="426"/>
        <v/>
      </c>
      <c r="S334" s="168" t="str">
        <f t="shared" si="426"/>
        <v/>
      </c>
      <c r="T334" s="168" t="str">
        <f t="shared" si="426"/>
        <v/>
      </c>
      <c r="U334" s="168" t="str">
        <f t="shared" si="426"/>
        <v/>
      </c>
      <c r="V334" s="168" t="str">
        <f t="shared" si="426"/>
        <v/>
      </c>
      <c r="W334" s="168" t="str">
        <f t="shared" si="426"/>
        <v/>
      </c>
      <c r="X334" s="113"/>
      <c r="Y334" s="202"/>
      <c r="Z334" s="114"/>
      <c r="AA334" s="168" t="str">
        <f t="shared" ref="AA334:AI334" si="427">IF(AA$26=0,"",INDEX(eindnorm_utiliteit_energielabel,MATCH(AA$19,gebruiksfuncties_namen,0)))</f>
        <v/>
      </c>
      <c r="AB334" s="168" t="str">
        <f t="shared" si="427"/>
        <v/>
      </c>
      <c r="AC334" s="168" t="str">
        <f t="shared" si="427"/>
        <v/>
      </c>
      <c r="AD334" s="168" t="str">
        <f t="shared" si="427"/>
        <v/>
      </c>
      <c r="AE334" s="168" t="str">
        <f t="shared" si="427"/>
        <v/>
      </c>
      <c r="AF334" s="168" t="str">
        <f t="shared" si="427"/>
        <v/>
      </c>
      <c r="AG334" s="168" t="str">
        <f t="shared" si="427"/>
        <v/>
      </c>
      <c r="AH334" s="168" t="str">
        <f t="shared" si="427"/>
        <v/>
      </c>
      <c r="AI334" s="168" t="str">
        <f t="shared" si="427"/>
        <v/>
      </c>
      <c r="AJ334" s="113"/>
      <c r="AK334" s="202"/>
      <c r="AL334" s="114"/>
      <c r="AM334" s="168" t="str">
        <f t="shared" ref="AM334:AU334" si="428">IF(AM$26=0,"",INDEX(eindnorm_utiliteit_energielabel,MATCH(AM$19,gebruiksfuncties_namen,0)))</f>
        <v/>
      </c>
      <c r="AN334" s="168" t="str">
        <f t="shared" si="428"/>
        <v/>
      </c>
      <c r="AO334" s="168" t="str">
        <f t="shared" si="428"/>
        <v/>
      </c>
      <c r="AP334" s="168" t="str">
        <f t="shared" si="428"/>
        <v/>
      </c>
      <c r="AQ334" s="168" t="str">
        <f t="shared" si="428"/>
        <v/>
      </c>
      <c r="AR334" s="168" t="str">
        <f t="shared" si="428"/>
        <v/>
      </c>
      <c r="AS334" s="168" t="str">
        <f t="shared" si="428"/>
        <v/>
      </c>
      <c r="AT334" s="168" t="str">
        <f t="shared" si="428"/>
        <v/>
      </c>
      <c r="AU334" s="168" t="str">
        <f t="shared" si="428"/>
        <v/>
      </c>
      <c r="AV334" s="113"/>
      <c r="AW334" s="202"/>
      <c r="AX334" s="114"/>
      <c r="AY334" s="168" t="str">
        <f t="shared" ref="AY334:BG334" si="429">IF(AY$26=0,"",INDEX(eindnorm_utiliteit_energielabel,MATCH(AY$19,gebruiksfuncties_namen,0)))</f>
        <v/>
      </c>
      <c r="AZ334" s="168" t="str">
        <f t="shared" si="429"/>
        <v/>
      </c>
      <c r="BA334" s="168" t="str">
        <f t="shared" si="429"/>
        <v/>
      </c>
      <c r="BB334" s="168" t="str">
        <f t="shared" si="429"/>
        <v/>
      </c>
      <c r="BC334" s="168" t="str">
        <f t="shared" si="429"/>
        <v/>
      </c>
      <c r="BD334" s="168" t="str">
        <f t="shared" si="429"/>
        <v/>
      </c>
      <c r="BE334" s="168" t="str">
        <f t="shared" si="429"/>
        <v/>
      </c>
      <c r="BF334" s="168" t="str">
        <f t="shared" si="429"/>
        <v/>
      </c>
      <c r="BG334" s="168" t="str">
        <f t="shared" si="429"/>
        <v/>
      </c>
      <c r="BH334" s="210"/>
    </row>
    <row r="335" spans="1:60">
      <c r="A335" s="1040"/>
      <c r="B335" s="1109" t="s">
        <v>1223</v>
      </c>
      <c r="C335" s="1106" t="s">
        <v>96</v>
      </c>
      <c r="D335" s="640" t="s">
        <v>45</v>
      </c>
      <c r="E335" s="942" t="s">
        <v>283</v>
      </c>
      <c r="F335" s="942"/>
      <c r="G335" s="942"/>
      <c r="H335" s="942"/>
      <c r="I335" s="129"/>
      <c r="J335" s="943"/>
      <c r="K335" s="126"/>
      <c r="L335" s="126"/>
      <c r="M335" s="944"/>
      <c r="N335" s="195"/>
      <c r="O335" s="258" t="str">
        <f>O$17</f>
        <v/>
      </c>
      <c r="P335" s="258" t="str">
        <f t="shared" ref="P335:W335" si="430">P$17</f>
        <v/>
      </c>
      <c r="Q335" s="258" t="str">
        <f t="shared" si="430"/>
        <v/>
      </c>
      <c r="R335" s="258" t="str">
        <f t="shared" si="430"/>
        <v/>
      </c>
      <c r="S335" s="258" t="str">
        <f t="shared" si="430"/>
        <v/>
      </c>
      <c r="T335" s="258" t="str">
        <f t="shared" si="430"/>
        <v/>
      </c>
      <c r="U335" s="258" t="str">
        <f t="shared" si="430"/>
        <v/>
      </c>
      <c r="V335" s="258" t="str">
        <f t="shared" si="430"/>
        <v/>
      </c>
      <c r="W335" s="258" t="str">
        <f t="shared" si="430"/>
        <v/>
      </c>
      <c r="X335" s="195"/>
      <c r="Y335" s="944"/>
      <c r="Z335" s="195"/>
      <c r="AA335" s="258" t="str">
        <f>AA$17</f>
        <v/>
      </c>
      <c r="AB335" s="258" t="str">
        <f t="shared" ref="AB335:AI335" si="431">AB$17</f>
        <v/>
      </c>
      <c r="AC335" s="258" t="str">
        <f t="shared" si="431"/>
        <v/>
      </c>
      <c r="AD335" s="258" t="str">
        <f t="shared" si="431"/>
        <v/>
      </c>
      <c r="AE335" s="258" t="str">
        <f t="shared" si="431"/>
        <v/>
      </c>
      <c r="AF335" s="258" t="str">
        <f t="shared" si="431"/>
        <v/>
      </c>
      <c r="AG335" s="258" t="str">
        <f t="shared" si="431"/>
        <v/>
      </c>
      <c r="AH335" s="258" t="str">
        <f t="shared" si="431"/>
        <v/>
      </c>
      <c r="AI335" s="258" t="str">
        <f t="shared" si="431"/>
        <v/>
      </c>
      <c r="AJ335" s="195"/>
      <c r="AK335" s="944"/>
      <c r="AL335" s="195"/>
      <c r="AM335" s="258" t="str">
        <f>AM$17</f>
        <v/>
      </c>
      <c r="AN335" s="258" t="str">
        <f t="shared" ref="AN335:AU335" si="432">AN$17</f>
        <v/>
      </c>
      <c r="AO335" s="258" t="str">
        <f t="shared" si="432"/>
        <v/>
      </c>
      <c r="AP335" s="258" t="str">
        <f t="shared" si="432"/>
        <v/>
      </c>
      <c r="AQ335" s="258" t="str">
        <f t="shared" si="432"/>
        <v/>
      </c>
      <c r="AR335" s="258" t="str">
        <f t="shared" si="432"/>
        <v/>
      </c>
      <c r="AS335" s="258" t="str">
        <f t="shared" si="432"/>
        <v/>
      </c>
      <c r="AT335" s="258" t="str">
        <f t="shared" si="432"/>
        <v/>
      </c>
      <c r="AU335" s="258" t="str">
        <f t="shared" si="432"/>
        <v/>
      </c>
      <c r="AV335" s="195"/>
      <c r="AW335" s="944"/>
      <c r="AX335" s="195"/>
      <c r="AY335" s="258" t="str">
        <f>AY$17</f>
        <v/>
      </c>
      <c r="AZ335" s="258" t="str">
        <f t="shared" ref="AZ335:BG335" si="433">AZ$17</f>
        <v/>
      </c>
      <c r="BA335" s="258" t="str">
        <f t="shared" si="433"/>
        <v/>
      </c>
      <c r="BB335" s="258" t="str">
        <f t="shared" si="433"/>
        <v/>
      </c>
      <c r="BC335" s="258" t="str">
        <f t="shared" si="433"/>
        <v/>
      </c>
      <c r="BD335" s="258" t="str">
        <f t="shared" si="433"/>
        <v/>
      </c>
      <c r="BE335" s="258" t="str">
        <f t="shared" si="433"/>
        <v/>
      </c>
      <c r="BF335" s="258" t="str">
        <f t="shared" si="433"/>
        <v/>
      </c>
      <c r="BG335" s="258" t="str">
        <f t="shared" si="433"/>
        <v/>
      </c>
      <c r="BH335" s="36"/>
    </row>
    <row r="336" spans="1:60">
      <c r="A336" s="1040"/>
      <c r="B336" s="1109" t="s">
        <v>1223</v>
      </c>
      <c r="C336" s="1107" t="s">
        <v>104</v>
      </c>
      <c r="D336" s="641"/>
      <c r="E336" s="203" t="s">
        <v>284</v>
      </c>
      <c r="F336" s="203"/>
      <c r="G336" s="203"/>
      <c r="H336" s="204" t="s">
        <v>154</v>
      </c>
      <c r="I336" s="205"/>
      <c r="J336" s="206"/>
      <c r="K336" s="79"/>
      <c r="L336" s="79"/>
      <c r="M336" s="206"/>
      <c r="N336" s="205"/>
      <c r="O336" s="542" t="str">
        <f t="shared" ref="O336:W336" si="434">IF(O$337="","",IF(O$337="nvt","nvt",
INDEX(standaardwaarde_basis,MATCH(O$19,standaardwaarden_gebruiksfuncties,0))+
MAX(0,O$32-1)*INDEX(standaardwaarde_extra_vraag_boven_grenswaarde_vormfactor,MATCH(O$19,standaardwaarden_gebruiksfuncties,0))))</f>
        <v/>
      </c>
      <c r="P336" s="542" t="str">
        <f t="shared" si="434"/>
        <v/>
      </c>
      <c r="Q336" s="542" t="str">
        <f t="shared" si="434"/>
        <v/>
      </c>
      <c r="R336" s="542" t="str">
        <f t="shared" si="434"/>
        <v/>
      </c>
      <c r="S336" s="542" t="str">
        <f t="shared" si="434"/>
        <v/>
      </c>
      <c r="T336" s="542" t="str">
        <f t="shared" si="434"/>
        <v/>
      </c>
      <c r="U336" s="542" t="str">
        <f t="shared" si="434"/>
        <v/>
      </c>
      <c r="V336" s="542" t="str">
        <f t="shared" si="434"/>
        <v/>
      </c>
      <c r="W336" s="542" t="str">
        <f t="shared" si="434"/>
        <v/>
      </c>
      <c r="X336" s="108"/>
      <c r="Y336" s="206"/>
      <c r="Z336" s="1091"/>
      <c r="AA336" s="542" t="str">
        <f t="shared" ref="AA336:AI336" si="435">IF(AA$337="","",IF(AA$337="nvt","nvt",
INDEX(standaardwaarde_basis,MATCH(AA$19,standaardwaarden_gebruiksfuncties,0))+
MAX(0,AA$32-1)*INDEX(standaardwaarde_extra_vraag_boven_grenswaarde_vormfactor,MATCH(AA$19,standaardwaarden_gebruiksfuncties,0))))</f>
        <v/>
      </c>
      <c r="AB336" s="542" t="str">
        <f t="shared" si="435"/>
        <v/>
      </c>
      <c r="AC336" s="542" t="str">
        <f t="shared" si="435"/>
        <v/>
      </c>
      <c r="AD336" s="542" t="str">
        <f t="shared" si="435"/>
        <v/>
      </c>
      <c r="AE336" s="542" t="str">
        <f t="shared" si="435"/>
        <v/>
      </c>
      <c r="AF336" s="542" t="str">
        <f t="shared" si="435"/>
        <v/>
      </c>
      <c r="AG336" s="542" t="str">
        <f t="shared" si="435"/>
        <v/>
      </c>
      <c r="AH336" s="542" t="str">
        <f t="shared" si="435"/>
        <v/>
      </c>
      <c r="AI336" s="542" t="str">
        <f t="shared" si="435"/>
        <v/>
      </c>
      <c r="AJ336" s="108"/>
      <c r="AK336" s="206"/>
      <c r="AL336" s="1091"/>
      <c r="AM336" s="542" t="str">
        <f t="shared" ref="AM336:AU336" si="436">IF(AM$337="","",IF(AM$337="nvt","nvt",
INDEX(standaardwaarde_basis,MATCH(AM$19,standaardwaarden_gebruiksfuncties,0))+
MAX(0,AM$32-1)*INDEX(standaardwaarde_extra_vraag_boven_grenswaarde_vormfactor,MATCH(AM$19,standaardwaarden_gebruiksfuncties,0))))</f>
        <v/>
      </c>
      <c r="AN336" s="542" t="str">
        <f t="shared" si="436"/>
        <v/>
      </c>
      <c r="AO336" s="542" t="str">
        <f t="shared" si="436"/>
        <v/>
      </c>
      <c r="AP336" s="542" t="str">
        <f t="shared" si="436"/>
        <v/>
      </c>
      <c r="AQ336" s="542" t="str">
        <f t="shared" si="436"/>
        <v/>
      </c>
      <c r="AR336" s="542" t="str">
        <f t="shared" si="436"/>
        <v/>
      </c>
      <c r="AS336" s="542" t="str">
        <f t="shared" si="436"/>
        <v/>
      </c>
      <c r="AT336" s="542" t="str">
        <f t="shared" si="436"/>
        <v/>
      </c>
      <c r="AU336" s="542" t="str">
        <f t="shared" si="436"/>
        <v/>
      </c>
      <c r="AV336" s="108"/>
      <c r="AW336" s="206"/>
      <c r="AX336" s="1091"/>
      <c r="AY336" s="542" t="str">
        <f t="shared" ref="AY336:BG336" si="437">IF(AY$337="","",IF(AY$337="nvt","nvt",
INDEX(standaardwaarde_basis,MATCH(AY$19,standaardwaarden_gebruiksfuncties,0))+
MAX(0,AY$32-1)*INDEX(standaardwaarde_extra_vraag_boven_grenswaarde_vormfactor,MATCH(AY$19,standaardwaarden_gebruiksfuncties,0))))</f>
        <v/>
      </c>
      <c r="AZ336" s="542" t="str">
        <f t="shared" si="437"/>
        <v/>
      </c>
      <c r="BA336" s="542" t="str">
        <f t="shared" si="437"/>
        <v/>
      </c>
      <c r="BB336" s="542" t="str">
        <f t="shared" si="437"/>
        <v/>
      </c>
      <c r="BC336" s="542" t="str">
        <f t="shared" si="437"/>
        <v/>
      </c>
      <c r="BD336" s="542" t="str">
        <f t="shared" si="437"/>
        <v/>
      </c>
      <c r="BE336" s="542" t="str">
        <f t="shared" si="437"/>
        <v/>
      </c>
      <c r="BF336" s="542" t="str">
        <f t="shared" si="437"/>
        <v/>
      </c>
      <c r="BG336" s="542" t="str">
        <f t="shared" si="437"/>
        <v/>
      </c>
      <c r="BH336" s="210"/>
    </row>
    <row r="337" spans="1:60">
      <c r="A337" s="1040"/>
      <c r="B337" s="1109" t="s">
        <v>1223</v>
      </c>
      <c r="C337" s="1107" t="s">
        <v>104</v>
      </c>
      <c r="D337" s="641"/>
      <c r="E337" s="203" t="s">
        <v>285</v>
      </c>
      <c r="F337" s="203"/>
      <c r="G337" s="203"/>
      <c r="H337" s="204" t="s">
        <v>154</v>
      </c>
      <c r="I337" s="205"/>
      <c r="J337" s="206"/>
      <c r="K337" s="79"/>
      <c r="L337" s="79"/>
      <c r="M337" s="206"/>
      <c r="N337" s="205"/>
      <c r="O337" s="542" t="str">
        <f t="shared" ref="O337:W337" si="438">IF(OR(O$17="",O$38="",O$40="",O$322=""),"",IF(OR(O$19=woning,O$19=woongebouw),O$269,"nvt"))</f>
        <v/>
      </c>
      <c r="P337" s="542" t="str">
        <f t="shared" si="438"/>
        <v/>
      </c>
      <c r="Q337" s="542" t="str">
        <f t="shared" si="438"/>
        <v/>
      </c>
      <c r="R337" s="542" t="str">
        <f t="shared" si="438"/>
        <v/>
      </c>
      <c r="S337" s="542" t="str">
        <f t="shared" si="438"/>
        <v/>
      </c>
      <c r="T337" s="542" t="str">
        <f t="shared" si="438"/>
        <v/>
      </c>
      <c r="U337" s="542" t="str">
        <f t="shared" si="438"/>
        <v/>
      </c>
      <c r="V337" s="542" t="str">
        <f t="shared" si="438"/>
        <v/>
      </c>
      <c r="W337" s="542" t="str">
        <f t="shared" si="438"/>
        <v/>
      </c>
      <c r="X337" s="108"/>
      <c r="Y337" s="206"/>
      <c r="Z337" s="1091"/>
      <c r="AA337" s="542" t="str">
        <f t="shared" ref="AA337:AI337" si="439">IF(OR(AA$17="",AA$38="",AA$40="",AA$322=""),"",IF(OR(AA$19=woning,AA$19=woongebouw),AA$269,"nvt"))</f>
        <v/>
      </c>
      <c r="AB337" s="542" t="str">
        <f t="shared" si="439"/>
        <v/>
      </c>
      <c r="AC337" s="542" t="str">
        <f t="shared" si="439"/>
        <v/>
      </c>
      <c r="AD337" s="542" t="str">
        <f t="shared" si="439"/>
        <v/>
      </c>
      <c r="AE337" s="542" t="str">
        <f t="shared" si="439"/>
        <v/>
      </c>
      <c r="AF337" s="542" t="str">
        <f t="shared" si="439"/>
        <v/>
      </c>
      <c r="AG337" s="542" t="str">
        <f t="shared" si="439"/>
        <v/>
      </c>
      <c r="AH337" s="542" t="str">
        <f t="shared" si="439"/>
        <v/>
      </c>
      <c r="AI337" s="542" t="str">
        <f t="shared" si="439"/>
        <v/>
      </c>
      <c r="AJ337" s="108"/>
      <c r="AK337" s="206"/>
      <c r="AL337" s="1091"/>
      <c r="AM337" s="542" t="str">
        <f t="shared" ref="AM337:AU337" si="440">IF(OR(AM$17="",AM$38="",AM$40="",AM$322=""),"",IF(OR(AM$19=woning,AM$19=woongebouw),AM$269,"nvt"))</f>
        <v/>
      </c>
      <c r="AN337" s="542" t="str">
        <f t="shared" si="440"/>
        <v/>
      </c>
      <c r="AO337" s="542" t="str">
        <f t="shared" si="440"/>
        <v/>
      </c>
      <c r="AP337" s="542" t="str">
        <f t="shared" si="440"/>
        <v/>
      </c>
      <c r="AQ337" s="542" t="str">
        <f t="shared" si="440"/>
        <v/>
      </c>
      <c r="AR337" s="542" t="str">
        <f t="shared" si="440"/>
        <v/>
      </c>
      <c r="AS337" s="542" t="str">
        <f t="shared" si="440"/>
        <v/>
      </c>
      <c r="AT337" s="542" t="str">
        <f t="shared" si="440"/>
        <v/>
      </c>
      <c r="AU337" s="542" t="str">
        <f t="shared" si="440"/>
        <v/>
      </c>
      <c r="AV337" s="108"/>
      <c r="AW337" s="206"/>
      <c r="AX337" s="1091"/>
      <c r="AY337" s="542" t="str">
        <f t="shared" ref="AY337:BG337" si="441">IF(OR(AY$17="",AY$38="",AY$40="",AY$322=""),"",IF(OR(AY$19=woning,AY$19=woongebouw),AY$269,"nvt"))</f>
        <v/>
      </c>
      <c r="AZ337" s="542" t="str">
        <f t="shared" si="441"/>
        <v/>
      </c>
      <c r="BA337" s="542" t="str">
        <f t="shared" si="441"/>
        <v/>
      </c>
      <c r="BB337" s="542" t="str">
        <f t="shared" si="441"/>
        <v/>
      </c>
      <c r="BC337" s="542" t="str">
        <f t="shared" si="441"/>
        <v/>
      </c>
      <c r="BD337" s="542" t="str">
        <f t="shared" si="441"/>
        <v/>
      </c>
      <c r="BE337" s="542" t="str">
        <f t="shared" si="441"/>
        <v/>
      </c>
      <c r="BF337" s="542" t="str">
        <f t="shared" si="441"/>
        <v/>
      </c>
      <c r="BG337" s="542" t="str">
        <f t="shared" si="441"/>
        <v/>
      </c>
      <c r="BH337" s="210"/>
    </row>
    <row r="338" spans="1:60">
      <c r="A338" s="1040"/>
      <c r="B338" s="1109" t="s">
        <v>1223</v>
      </c>
      <c r="C338" s="1106" t="s">
        <v>96</v>
      </c>
      <c r="D338" s="638"/>
      <c r="E338" s="942" t="s">
        <v>286</v>
      </c>
      <c r="F338" s="942"/>
      <c r="G338" s="942"/>
      <c r="H338" s="942"/>
      <c r="I338" s="129"/>
      <c r="J338" s="943"/>
      <c r="K338" s="126"/>
      <c r="L338" s="126"/>
      <c r="M338" s="944"/>
      <c r="N338" s="195"/>
      <c r="O338" s="258" t="str">
        <f>O$17</f>
        <v/>
      </c>
      <c r="P338" s="258" t="str">
        <f t="shared" ref="P338:W338" si="442">P$17</f>
        <v/>
      </c>
      <c r="Q338" s="258" t="str">
        <f t="shared" si="442"/>
        <v/>
      </c>
      <c r="R338" s="258" t="str">
        <f t="shared" si="442"/>
        <v/>
      </c>
      <c r="S338" s="258" t="str">
        <f t="shared" si="442"/>
        <v/>
      </c>
      <c r="T338" s="258" t="str">
        <f t="shared" si="442"/>
        <v/>
      </c>
      <c r="U338" s="258" t="str">
        <f t="shared" si="442"/>
        <v/>
      </c>
      <c r="V338" s="258" t="str">
        <f t="shared" si="442"/>
        <v/>
      </c>
      <c r="W338" s="258" t="str">
        <f t="shared" si="442"/>
        <v/>
      </c>
      <c r="X338" s="1092"/>
      <c r="Y338" s="944"/>
      <c r="Z338" s="1092"/>
      <c r="AA338" s="258" t="str">
        <f>AA$17</f>
        <v/>
      </c>
      <c r="AB338" s="258" t="str">
        <f t="shared" ref="AB338:AI338" si="443">AB$17</f>
        <v/>
      </c>
      <c r="AC338" s="258" t="str">
        <f t="shared" si="443"/>
        <v/>
      </c>
      <c r="AD338" s="258" t="str">
        <f t="shared" si="443"/>
        <v/>
      </c>
      <c r="AE338" s="258" t="str">
        <f t="shared" si="443"/>
        <v/>
      </c>
      <c r="AF338" s="258" t="str">
        <f t="shared" si="443"/>
        <v/>
      </c>
      <c r="AG338" s="258" t="str">
        <f t="shared" si="443"/>
        <v/>
      </c>
      <c r="AH338" s="258" t="str">
        <f t="shared" si="443"/>
        <v/>
      </c>
      <c r="AI338" s="258" t="str">
        <f t="shared" si="443"/>
        <v/>
      </c>
      <c r="AJ338" s="1092"/>
      <c r="AK338" s="944"/>
      <c r="AL338" s="1092"/>
      <c r="AM338" s="258" t="str">
        <f>AM$17</f>
        <v/>
      </c>
      <c r="AN338" s="258" t="str">
        <f t="shared" ref="AN338:AU338" si="444">AN$17</f>
        <v/>
      </c>
      <c r="AO338" s="258" t="str">
        <f t="shared" si="444"/>
        <v/>
      </c>
      <c r="AP338" s="258" t="str">
        <f t="shared" si="444"/>
        <v/>
      </c>
      <c r="AQ338" s="258" t="str">
        <f t="shared" si="444"/>
        <v/>
      </c>
      <c r="AR338" s="258" t="str">
        <f t="shared" si="444"/>
        <v/>
      </c>
      <c r="AS338" s="258" t="str">
        <f t="shared" si="444"/>
        <v/>
      </c>
      <c r="AT338" s="258" t="str">
        <f t="shared" si="444"/>
        <v/>
      </c>
      <c r="AU338" s="258" t="str">
        <f t="shared" si="444"/>
        <v/>
      </c>
      <c r="AV338" s="1092"/>
      <c r="AW338" s="944"/>
      <c r="AX338" s="1092"/>
      <c r="AY338" s="258" t="str">
        <f>AY$17</f>
        <v/>
      </c>
      <c r="AZ338" s="258" t="str">
        <f t="shared" ref="AZ338:BG338" si="445">AZ$17</f>
        <v/>
      </c>
      <c r="BA338" s="258" t="str">
        <f t="shared" si="445"/>
        <v/>
      </c>
      <c r="BB338" s="258" t="str">
        <f t="shared" si="445"/>
        <v/>
      </c>
      <c r="BC338" s="258" t="str">
        <f t="shared" si="445"/>
        <v/>
      </c>
      <c r="BD338" s="258" t="str">
        <f t="shared" si="445"/>
        <v/>
      </c>
      <c r="BE338" s="258" t="str">
        <f t="shared" si="445"/>
        <v/>
      </c>
      <c r="BF338" s="258" t="str">
        <f t="shared" si="445"/>
        <v/>
      </c>
      <c r="BG338" s="258" t="str">
        <f t="shared" si="445"/>
        <v/>
      </c>
      <c r="BH338" s="36"/>
    </row>
    <row r="339" spans="1:60">
      <c r="A339" s="1040"/>
      <c r="B339" s="1109" t="s">
        <v>1223</v>
      </c>
      <c r="C339" s="1107" t="s">
        <v>104</v>
      </c>
      <c r="D339" s="641"/>
      <c r="E339" s="203" t="s">
        <v>287</v>
      </c>
      <c r="F339" s="203"/>
      <c r="G339" s="203"/>
      <c r="H339" s="204" t="s">
        <v>154</v>
      </c>
      <c r="I339" s="205"/>
      <c r="J339" s="206"/>
      <c r="K339" s="79"/>
      <c r="L339" s="79"/>
      <c r="M339" s="206"/>
      <c r="N339" s="205"/>
      <c r="O339" s="542" t="str" cm="1">
        <f t="array" ref="O339">IF(O$337="","",IF(O$337="nvt","nvt",
INDEX(standaardwaarde_basis,MATCH(O$19,standaardwaarden_gebruiksfuncties,0)+1)+
MAX(0,O$32-1)*INDEX(standaardwaarde_extra_vraag_boven_grenswaarde_vormfactor,MATCH(O$19,standaardwaarden_gebruiksfuncties,0)+1)))</f>
        <v/>
      </c>
      <c r="P339" s="542" t="str" cm="1">
        <f t="array" ref="P339">IF(P$337="","",IF(P$337="nvt","nvt",
INDEX(standaardwaarde_basis,MATCH(P$19,standaardwaarden_gebruiksfuncties,0)+1)+
MAX(0,P$32-1)*INDEX(standaardwaarde_extra_vraag_boven_grenswaarde_vormfactor,MATCH(P$19,standaardwaarden_gebruiksfuncties,0)+1)))</f>
        <v/>
      </c>
      <c r="Q339" s="542" t="str" cm="1">
        <f t="array" ref="Q339">IF(Q$337="","",IF(Q$337="nvt","nvt",
INDEX(standaardwaarde_basis,MATCH(Q$19,standaardwaarden_gebruiksfuncties,0)+1)+
MAX(0,Q$32-1)*INDEX(standaardwaarde_extra_vraag_boven_grenswaarde_vormfactor,MATCH(Q$19,standaardwaarden_gebruiksfuncties,0)+1)))</f>
        <v/>
      </c>
      <c r="R339" s="542" t="str" cm="1">
        <f t="array" ref="R339">IF(R$337="","",IF(R$337="nvt","nvt",
INDEX(standaardwaarde_basis,MATCH(R$19,standaardwaarden_gebruiksfuncties,0)+1)+
MAX(0,R$32-1)*INDEX(standaardwaarde_extra_vraag_boven_grenswaarde_vormfactor,MATCH(R$19,standaardwaarden_gebruiksfuncties,0)+1)))</f>
        <v/>
      </c>
      <c r="S339" s="542" t="str" cm="1">
        <f t="array" ref="S339">IF(S$337="","",IF(S$337="nvt","nvt",
INDEX(standaardwaarde_basis,MATCH(S$19,standaardwaarden_gebruiksfuncties,0)+1)+
MAX(0,S$32-1)*INDEX(standaardwaarde_extra_vraag_boven_grenswaarde_vormfactor,MATCH(S$19,standaardwaarden_gebruiksfuncties,0)+1)))</f>
        <v/>
      </c>
      <c r="T339" s="542" t="str" cm="1">
        <f t="array" ref="T339">IF(T$337="","",IF(T$337="nvt","nvt",
INDEX(standaardwaarde_basis,MATCH(T$19,standaardwaarden_gebruiksfuncties,0)+1)+
MAX(0,T$32-1)*INDEX(standaardwaarde_extra_vraag_boven_grenswaarde_vormfactor,MATCH(T$19,standaardwaarden_gebruiksfuncties,0)+1)))</f>
        <v/>
      </c>
      <c r="U339" s="542" t="str" cm="1">
        <f t="array" ref="U339">IF(U$337="","",IF(U$337="nvt","nvt",
INDEX(standaardwaarde_basis,MATCH(U$19,standaardwaarden_gebruiksfuncties,0)+1)+
MAX(0,U$32-1)*INDEX(standaardwaarde_extra_vraag_boven_grenswaarde_vormfactor,MATCH(U$19,standaardwaarden_gebruiksfuncties,0)+1)))</f>
        <v/>
      </c>
      <c r="V339" s="542" t="str" cm="1">
        <f t="array" ref="V339">IF(V$337="","",IF(V$337="nvt","nvt",
INDEX(standaardwaarde_basis,MATCH(V$19,standaardwaarden_gebruiksfuncties,0)+1)+
MAX(0,V$32-1)*INDEX(standaardwaarde_extra_vraag_boven_grenswaarde_vormfactor,MATCH(V$19,standaardwaarden_gebruiksfuncties,0)+1)))</f>
        <v/>
      </c>
      <c r="W339" s="542" t="str" cm="1">
        <f t="array" ref="W339">IF(W$337="","",IF(W$337="nvt","nvt",
INDEX(standaardwaarde_basis,MATCH(W$19,standaardwaarden_gebruiksfuncties,0)+1)+
MAX(0,W$32-1)*INDEX(standaardwaarde_extra_vraag_boven_grenswaarde_vormfactor,MATCH(W$19,standaardwaarden_gebruiksfuncties,0)+1)))</f>
        <v/>
      </c>
      <c r="X339" s="108"/>
      <c r="Y339" s="206"/>
      <c r="Z339" s="1091"/>
      <c r="AA339" s="542" t="str" cm="1">
        <f t="array" ref="AA339">IF(AA$337="","",IF(AA$337="nvt","nvt",
INDEX(standaardwaarde_basis,MATCH(AA$19,standaardwaarden_gebruiksfuncties,0)+1)+
MAX(0,AA$32-1)*INDEX(standaardwaarde_extra_vraag_boven_grenswaarde_vormfactor,MATCH(AA$19,standaardwaarden_gebruiksfuncties,0)+1)))</f>
        <v/>
      </c>
      <c r="AB339" s="542" t="str" cm="1">
        <f t="array" ref="AB339">IF(AB$337="","",IF(AB$337="nvt","nvt",
INDEX(standaardwaarde_basis,MATCH(AB$19,standaardwaarden_gebruiksfuncties,0)+1)+
MAX(0,AB$32-1)*INDEX(standaardwaarde_extra_vraag_boven_grenswaarde_vormfactor,MATCH(AB$19,standaardwaarden_gebruiksfuncties,0)+1)))</f>
        <v/>
      </c>
      <c r="AC339" s="542" t="str" cm="1">
        <f t="array" ref="AC339">IF(AC$337="","",IF(AC$337="nvt","nvt",
INDEX(standaardwaarde_basis,MATCH(AC$19,standaardwaarden_gebruiksfuncties,0)+1)+
MAX(0,AC$32-1)*INDEX(standaardwaarde_extra_vraag_boven_grenswaarde_vormfactor,MATCH(AC$19,standaardwaarden_gebruiksfuncties,0)+1)))</f>
        <v/>
      </c>
      <c r="AD339" s="542" t="str" cm="1">
        <f t="array" ref="AD339">IF(AD$337="","",IF(AD$337="nvt","nvt",
INDEX(standaardwaarde_basis,MATCH(AD$19,standaardwaarden_gebruiksfuncties,0)+1)+
MAX(0,AD$32-1)*INDEX(standaardwaarde_extra_vraag_boven_grenswaarde_vormfactor,MATCH(AD$19,standaardwaarden_gebruiksfuncties,0)+1)))</f>
        <v/>
      </c>
      <c r="AE339" s="542" t="str" cm="1">
        <f t="array" ref="AE339">IF(AE$337="","",IF(AE$337="nvt","nvt",
INDEX(standaardwaarde_basis,MATCH(AE$19,standaardwaarden_gebruiksfuncties,0)+1)+
MAX(0,AE$32-1)*INDEX(standaardwaarde_extra_vraag_boven_grenswaarde_vormfactor,MATCH(AE$19,standaardwaarden_gebruiksfuncties,0)+1)))</f>
        <v/>
      </c>
      <c r="AF339" s="542" t="str" cm="1">
        <f t="array" ref="AF339">IF(AF$337="","",IF(AF$337="nvt","nvt",
INDEX(standaardwaarde_basis,MATCH(AF$19,standaardwaarden_gebruiksfuncties,0)+1)+
MAX(0,AF$32-1)*INDEX(standaardwaarde_extra_vraag_boven_grenswaarde_vormfactor,MATCH(AF$19,standaardwaarden_gebruiksfuncties,0)+1)))</f>
        <v/>
      </c>
      <c r="AG339" s="542" t="str" cm="1">
        <f t="array" ref="AG339">IF(AG$337="","",IF(AG$337="nvt","nvt",
INDEX(standaardwaarde_basis,MATCH(AG$19,standaardwaarden_gebruiksfuncties,0)+1)+
MAX(0,AG$32-1)*INDEX(standaardwaarde_extra_vraag_boven_grenswaarde_vormfactor,MATCH(AG$19,standaardwaarden_gebruiksfuncties,0)+1)))</f>
        <v/>
      </c>
      <c r="AH339" s="542" t="str" cm="1">
        <f t="array" ref="AH339">IF(AH$337="","",IF(AH$337="nvt","nvt",
INDEX(standaardwaarde_basis,MATCH(AH$19,standaardwaarden_gebruiksfuncties,0)+1)+
MAX(0,AH$32-1)*INDEX(standaardwaarde_extra_vraag_boven_grenswaarde_vormfactor,MATCH(AH$19,standaardwaarden_gebruiksfuncties,0)+1)))</f>
        <v/>
      </c>
      <c r="AI339" s="542" t="str" cm="1">
        <f t="array" ref="AI339">IF(AI$337="","",IF(AI$337="nvt","nvt",
INDEX(standaardwaarde_basis,MATCH(AI$19,standaardwaarden_gebruiksfuncties,0)+1)+
MAX(0,AI$32-1)*INDEX(standaardwaarde_extra_vraag_boven_grenswaarde_vormfactor,MATCH(AI$19,standaardwaarden_gebruiksfuncties,0)+1)))</f>
        <v/>
      </c>
      <c r="AJ339" s="108"/>
      <c r="AK339" s="206"/>
      <c r="AL339" s="1091"/>
      <c r="AM339" s="542" t="str" cm="1">
        <f t="array" ref="AM339">IF(AM$337="","",IF(AM$337="nvt","nvt",
INDEX(standaardwaarde_basis,MATCH(AM$19,standaardwaarden_gebruiksfuncties,0)+1)+
MAX(0,AM$32-1)*INDEX(standaardwaarde_extra_vraag_boven_grenswaarde_vormfactor,MATCH(AM$19,standaardwaarden_gebruiksfuncties,0)+1)))</f>
        <v/>
      </c>
      <c r="AN339" s="542" t="str" cm="1">
        <f t="array" ref="AN339">IF(AN$337="","",IF(AN$337="nvt","nvt",
INDEX(standaardwaarde_basis,MATCH(AN$19,standaardwaarden_gebruiksfuncties,0)+1)+
MAX(0,AN$32-1)*INDEX(standaardwaarde_extra_vraag_boven_grenswaarde_vormfactor,MATCH(AN$19,standaardwaarden_gebruiksfuncties,0)+1)))</f>
        <v/>
      </c>
      <c r="AO339" s="542" t="str" cm="1">
        <f t="array" ref="AO339">IF(AO$337="","",IF(AO$337="nvt","nvt",
INDEX(standaardwaarde_basis,MATCH(AO$19,standaardwaarden_gebruiksfuncties,0)+1)+
MAX(0,AO$32-1)*INDEX(standaardwaarde_extra_vraag_boven_grenswaarde_vormfactor,MATCH(AO$19,standaardwaarden_gebruiksfuncties,0)+1)))</f>
        <v/>
      </c>
      <c r="AP339" s="542" t="str" cm="1">
        <f t="array" ref="AP339">IF(AP$337="","",IF(AP$337="nvt","nvt",
INDEX(standaardwaarde_basis,MATCH(AP$19,standaardwaarden_gebruiksfuncties,0)+1)+
MAX(0,AP$32-1)*INDEX(standaardwaarde_extra_vraag_boven_grenswaarde_vormfactor,MATCH(AP$19,standaardwaarden_gebruiksfuncties,0)+1)))</f>
        <v/>
      </c>
      <c r="AQ339" s="542" t="str" cm="1">
        <f t="array" ref="AQ339">IF(AQ$337="","",IF(AQ$337="nvt","nvt",
INDEX(standaardwaarde_basis,MATCH(AQ$19,standaardwaarden_gebruiksfuncties,0)+1)+
MAX(0,AQ$32-1)*INDEX(standaardwaarde_extra_vraag_boven_grenswaarde_vormfactor,MATCH(AQ$19,standaardwaarden_gebruiksfuncties,0)+1)))</f>
        <v/>
      </c>
      <c r="AR339" s="542" t="str" cm="1">
        <f t="array" ref="AR339">IF(AR$337="","",IF(AR$337="nvt","nvt",
INDEX(standaardwaarde_basis,MATCH(AR$19,standaardwaarden_gebruiksfuncties,0)+1)+
MAX(0,AR$32-1)*INDEX(standaardwaarde_extra_vraag_boven_grenswaarde_vormfactor,MATCH(AR$19,standaardwaarden_gebruiksfuncties,0)+1)))</f>
        <v/>
      </c>
      <c r="AS339" s="542" t="str" cm="1">
        <f t="array" ref="AS339">IF(AS$337="","",IF(AS$337="nvt","nvt",
INDEX(standaardwaarde_basis,MATCH(AS$19,standaardwaarden_gebruiksfuncties,0)+1)+
MAX(0,AS$32-1)*INDEX(standaardwaarde_extra_vraag_boven_grenswaarde_vormfactor,MATCH(AS$19,standaardwaarden_gebruiksfuncties,0)+1)))</f>
        <v/>
      </c>
      <c r="AT339" s="542" t="str" cm="1">
        <f t="array" ref="AT339">IF(AT$337="","",IF(AT$337="nvt","nvt",
INDEX(standaardwaarde_basis,MATCH(AT$19,standaardwaarden_gebruiksfuncties,0)+1)+
MAX(0,AT$32-1)*INDEX(standaardwaarde_extra_vraag_boven_grenswaarde_vormfactor,MATCH(AT$19,standaardwaarden_gebruiksfuncties,0)+1)))</f>
        <v/>
      </c>
      <c r="AU339" s="542" t="str" cm="1">
        <f t="array" ref="AU339">IF(AU$337="","",IF(AU$337="nvt","nvt",
INDEX(standaardwaarde_basis,MATCH(AU$19,standaardwaarden_gebruiksfuncties,0)+1)+
MAX(0,AU$32-1)*INDEX(standaardwaarde_extra_vraag_boven_grenswaarde_vormfactor,MATCH(AU$19,standaardwaarden_gebruiksfuncties,0)+1)))</f>
        <v/>
      </c>
      <c r="AV339" s="108"/>
      <c r="AW339" s="206"/>
      <c r="AX339" s="1091"/>
      <c r="AY339" s="542" t="str" cm="1">
        <f t="array" ref="AY339">IF(AY$337="","",IF(AY$337="nvt","nvt",
INDEX(standaardwaarde_basis,MATCH(AY$19,standaardwaarden_gebruiksfuncties,0)+1)+
MAX(0,AY$32-1)*INDEX(standaardwaarde_extra_vraag_boven_grenswaarde_vormfactor,MATCH(AY$19,standaardwaarden_gebruiksfuncties,0)+1)))</f>
        <v/>
      </c>
      <c r="AZ339" s="542" t="str" cm="1">
        <f t="array" ref="AZ339">IF(AZ$337="","",IF(AZ$337="nvt","nvt",
INDEX(standaardwaarde_basis,MATCH(AZ$19,standaardwaarden_gebruiksfuncties,0)+1)+
MAX(0,AZ$32-1)*INDEX(standaardwaarde_extra_vraag_boven_grenswaarde_vormfactor,MATCH(AZ$19,standaardwaarden_gebruiksfuncties,0)+1)))</f>
        <v/>
      </c>
      <c r="BA339" s="542" t="str" cm="1">
        <f t="array" ref="BA339">IF(BA$337="","",IF(BA$337="nvt","nvt",
INDEX(standaardwaarde_basis,MATCH(BA$19,standaardwaarden_gebruiksfuncties,0)+1)+
MAX(0,BA$32-1)*INDEX(standaardwaarde_extra_vraag_boven_grenswaarde_vormfactor,MATCH(BA$19,standaardwaarden_gebruiksfuncties,0)+1)))</f>
        <v/>
      </c>
      <c r="BB339" s="542" t="str" cm="1">
        <f t="array" ref="BB339">IF(BB$337="","",IF(BB$337="nvt","nvt",
INDEX(standaardwaarde_basis,MATCH(BB$19,standaardwaarden_gebruiksfuncties,0)+1)+
MAX(0,BB$32-1)*INDEX(standaardwaarde_extra_vraag_boven_grenswaarde_vormfactor,MATCH(BB$19,standaardwaarden_gebruiksfuncties,0)+1)))</f>
        <v/>
      </c>
      <c r="BC339" s="542" t="str" cm="1">
        <f t="array" ref="BC339">IF(BC$337="","",IF(BC$337="nvt","nvt",
INDEX(standaardwaarde_basis,MATCH(BC$19,standaardwaarden_gebruiksfuncties,0)+1)+
MAX(0,BC$32-1)*INDEX(standaardwaarde_extra_vraag_boven_grenswaarde_vormfactor,MATCH(BC$19,standaardwaarden_gebruiksfuncties,0)+1)))</f>
        <v/>
      </c>
      <c r="BD339" s="542" t="str" cm="1">
        <f t="array" ref="BD339">IF(BD$337="","",IF(BD$337="nvt","nvt",
INDEX(standaardwaarde_basis,MATCH(BD$19,standaardwaarden_gebruiksfuncties,0)+1)+
MAX(0,BD$32-1)*INDEX(standaardwaarde_extra_vraag_boven_grenswaarde_vormfactor,MATCH(BD$19,standaardwaarden_gebruiksfuncties,0)+1)))</f>
        <v/>
      </c>
      <c r="BE339" s="542" t="str" cm="1">
        <f t="array" ref="BE339">IF(BE$337="","",IF(BE$337="nvt","nvt",
INDEX(standaardwaarde_basis,MATCH(BE$19,standaardwaarden_gebruiksfuncties,0)+1)+
MAX(0,BE$32-1)*INDEX(standaardwaarde_extra_vraag_boven_grenswaarde_vormfactor,MATCH(BE$19,standaardwaarden_gebruiksfuncties,0)+1)))</f>
        <v/>
      </c>
      <c r="BF339" s="542" t="str" cm="1">
        <f t="array" ref="BF339">IF(BF$337="","",IF(BF$337="nvt","nvt",
INDEX(standaardwaarde_basis,MATCH(BF$19,standaardwaarden_gebruiksfuncties,0)+1)+
MAX(0,BF$32-1)*INDEX(standaardwaarde_extra_vraag_boven_grenswaarde_vormfactor,MATCH(BF$19,standaardwaarden_gebruiksfuncties,0)+1)))</f>
        <v/>
      </c>
      <c r="BG339" s="542" t="str" cm="1">
        <f t="array" ref="BG339">IF(BG$337="","",IF(BG$337="nvt","nvt",
INDEX(standaardwaarde_basis,MATCH(BG$19,standaardwaarden_gebruiksfuncties,0)+1)+
MAX(0,BG$32-1)*INDEX(standaardwaarde_extra_vraag_boven_grenswaarde_vormfactor,MATCH(BG$19,standaardwaarden_gebruiksfuncties,0)+1)))</f>
        <v/>
      </c>
      <c r="BH339" s="210"/>
    </row>
    <row r="340" spans="1:60">
      <c r="A340" s="1040"/>
      <c r="B340" s="1109" t="s">
        <v>1223</v>
      </c>
      <c r="C340" s="1107" t="s">
        <v>104</v>
      </c>
      <c r="D340" s="641"/>
      <c r="E340" s="203" t="s">
        <v>285</v>
      </c>
      <c r="F340" s="203"/>
      <c r="G340" s="203"/>
      <c r="H340" s="204" t="s">
        <v>154</v>
      </c>
      <c r="I340" s="205"/>
      <c r="J340" s="206"/>
      <c r="K340" s="79"/>
      <c r="L340" s="79"/>
      <c r="M340" s="206"/>
      <c r="N340" s="205"/>
      <c r="O340" s="542" t="str">
        <f t="shared" ref="O340:W340" si="446">IF(OR(O$17="",O$38="",O$40="",O$322=""),"",IF(OR(O$19=woning,O$19=woongebouw),O$269,"nvt"))</f>
        <v/>
      </c>
      <c r="P340" s="542" t="str">
        <f t="shared" si="446"/>
        <v/>
      </c>
      <c r="Q340" s="542" t="str">
        <f t="shared" si="446"/>
        <v/>
      </c>
      <c r="R340" s="542" t="str">
        <f t="shared" si="446"/>
        <v/>
      </c>
      <c r="S340" s="542" t="str">
        <f t="shared" si="446"/>
        <v/>
      </c>
      <c r="T340" s="542" t="str">
        <f t="shared" si="446"/>
        <v/>
      </c>
      <c r="U340" s="542" t="str">
        <f t="shared" si="446"/>
        <v/>
      </c>
      <c r="V340" s="542" t="str">
        <f t="shared" si="446"/>
        <v/>
      </c>
      <c r="W340" s="542" t="str">
        <f t="shared" si="446"/>
        <v/>
      </c>
      <c r="X340" s="108"/>
      <c r="Y340" s="206"/>
      <c r="Z340" s="1091"/>
      <c r="AA340" s="542" t="str">
        <f t="shared" ref="AA340:AI340" si="447">IF(OR(AA$17="",AA$38="",AA$40="",AA$322=""),"",IF(OR(AA$19=woning,AA$19=woongebouw),AA$269,"nvt"))</f>
        <v/>
      </c>
      <c r="AB340" s="542" t="str">
        <f t="shared" si="447"/>
        <v/>
      </c>
      <c r="AC340" s="542" t="str">
        <f t="shared" si="447"/>
        <v/>
      </c>
      <c r="AD340" s="542" t="str">
        <f t="shared" si="447"/>
        <v/>
      </c>
      <c r="AE340" s="542" t="str">
        <f t="shared" si="447"/>
        <v/>
      </c>
      <c r="AF340" s="542" t="str">
        <f t="shared" si="447"/>
        <v/>
      </c>
      <c r="AG340" s="542" t="str">
        <f t="shared" si="447"/>
        <v/>
      </c>
      <c r="AH340" s="542" t="str">
        <f t="shared" si="447"/>
        <v/>
      </c>
      <c r="AI340" s="542" t="str">
        <f t="shared" si="447"/>
        <v/>
      </c>
      <c r="AJ340" s="108"/>
      <c r="AK340" s="206"/>
      <c r="AL340" s="1091"/>
      <c r="AM340" s="542" t="str">
        <f t="shared" ref="AM340:AU340" si="448">IF(OR(AM$17="",AM$38="",AM$40="",AM$322=""),"",IF(OR(AM$19=woning,AM$19=woongebouw),AM$269,"nvt"))</f>
        <v/>
      </c>
      <c r="AN340" s="542" t="str">
        <f t="shared" si="448"/>
        <v/>
      </c>
      <c r="AO340" s="542" t="str">
        <f t="shared" si="448"/>
        <v/>
      </c>
      <c r="AP340" s="542" t="str">
        <f t="shared" si="448"/>
        <v/>
      </c>
      <c r="AQ340" s="542" t="str">
        <f t="shared" si="448"/>
        <v/>
      </c>
      <c r="AR340" s="542" t="str">
        <f t="shared" si="448"/>
        <v/>
      </c>
      <c r="AS340" s="542" t="str">
        <f t="shared" si="448"/>
        <v/>
      </c>
      <c r="AT340" s="542" t="str">
        <f t="shared" si="448"/>
        <v/>
      </c>
      <c r="AU340" s="542" t="str">
        <f t="shared" si="448"/>
        <v/>
      </c>
      <c r="AV340" s="108"/>
      <c r="AW340" s="206"/>
      <c r="AX340" s="1091"/>
      <c r="AY340" s="542" t="str">
        <f t="shared" ref="AY340:BG340" si="449">IF(OR(AY$17="",AY$38="",AY$40="",AY$322=""),"",IF(OR(AY$19=woning,AY$19=woongebouw),AY$269,"nvt"))</f>
        <v/>
      </c>
      <c r="AZ340" s="542" t="str">
        <f t="shared" si="449"/>
        <v/>
      </c>
      <c r="BA340" s="542" t="str">
        <f t="shared" si="449"/>
        <v/>
      </c>
      <c r="BB340" s="542" t="str">
        <f t="shared" si="449"/>
        <v/>
      </c>
      <c r="BC340" s="542" t="str">
        <f t="shared" si="449"/>
        <v/>
      </c>
      <c r="BD340" s="542" t="str">
        <f t="shared" si="449"/>
        <v/>
      </c>
      <c r="BE340" s="542" t="str">
        <f t="shared" si="449"/>
        <v/>
      </c>
      <c r="BF340" s="542" t="str">
        <f t="shared" si="449"/>
        <v/>
      </c>
      <c r="BG340" s="542" t="str">
        <f t="shared" si="449"/>
        <v/>
      </c>
      <c r="BH340" s="210"/>
    </row>
    <row r="341" spans="1:60">
      <c r="A341" s="1040"/>
      <c r="B341" s="1109" t="s">
        <v>1223</v>
      </c>
      <c r="C341" s="1106" t="s">
        <v>96</v>
      </c>
      <c r="D341" s="638"/>
      <c r="E341" s="79"/>
      <c r="F341" s="79"/>
      <c r="G341" s="79"/>
      <c r="H341" s="85"/>
      <c r="I341" s="79"/>
      <c r="J341" s="82"/>
      <c r="K341" s="79"/>
      <c r="L341" s="79"/>
      <c r="M341" s="82"/>
      <c r="N341" s="79"/>
      <c r="O341" s="108"/>
      <c r="P341" s="108"/>
      <c r="Q341" s="108"/>
      <c r="R341" s="108"/>
      <c r="S341" s="108"/>
      <c r="T341" s="108"/>
      <c r="U341" s="108"/>
      <c r="V341" s="108"/>
      <c r="W341" s="108"/>
      <c r="X341" s="82"/>
      <c r="Y341" s="82"/>
      <c r="Z341" s="79"/>
      <c r="AA341" s="108"/>
      <c r="AB341" s="108"/>
      <c r="AC341" s="108"/>
      <c r="AD341" s="108"/>
      <c r="AE341" s="108"/>
      <c r="AF341" s="108"/>
      <c r="AG341" s="108"/>
      <c r="AH341" s="108"/>
      <c r="AI341" s="108"/>
      <c r="AJ341" s="82"/>
      <c r="AK341" s="82"/>
      <c r="AL341" s="79"/>
      <c r="AM341" s="108"/>
      <c r="AN341" s="108"/>
      <c r="AO341" s="108"/>
      <c r="AP341" s="108"/>
      <c r="AQ341" s="108"/>
      <c r="AR341" s="108"/>
      <c r="AS341" s="108"/>
      <c r="AT341" s="108"/>
      <c r="AU341" s="108"/>
      <c r="AV341" s="82"/>
      <c r="AW341" s="82"/>
      <c r="AX341" s="79"/>
      <c r="AY341" s="108"/>
      <c r="AZ341" s="108"/>
      <c r="BA341" s="108"/>
      <c r="BB341" s="108"/>
      <c r="BC341" s="108"/>
      <c r="BD341" s="108"/>
      <c r="BE341" s="108"/>
      <c r="BF341" s="108"/>
      <c r="BG341" s="108"/>
      <c r="BH341" s="1"/>
    </row>
    <row r="342" spans="1:60">
      <c r="A342" s="1040"/>
      <c r="B342" s="1109" t="s">
        <v>1224</v>
      </c>
      <c r="C342" s="1107" t="s">
        <v>96</v>
      </c>
      <c r="D342" s="638"/>
      <c r="E342" s="79"/>
      <c r="F342" s="79"/>
      <c r="G342" s="79"/>
      <c r="H342" s="85"/>
      <c r="I342" s="79"/>
      <c r="J342" s="82"/>
      <c r="K342" s="79"/>
      <c r="L342" s="79"/>
      <c r="M342" s="82"/>
      <c r="N342" s="79"/>
      <c r="O342" s="82"/>
      <c r="P342" s="82"/>
      <c r="Q342" s="82"/>
      <c r="R342" s="82"/>
      <c r="S342" s="82"/>
      <c r="T342" s="82"/>
      <c r="U342" s="82"/>
      <c r="V342" s="82"/>
      <c r="W342" s="82"/>
      <c r="X342" s="82"/>
      <c r="Y342" s="82"/>
      <c r="Z342" s="79"/>
      <c r="AA342" s="82"/>
      <c r="AB342" s="82"/>
      <c r="AC342" s="82"/>
      <c r="AD342" s="82"/>
      <c r="AE342" s="82"/>
      <c r="AF342" s="82"/>
      <c r="AG342" s="82"/>
      <c r="AH342" s="82"/>
      <c r="AI342" s="82"/>
      <c r="AJ342" s="82"/>
      <c r="AK342" s="82"/>
      <c r="AL342" s="79"/>
      <c r="AM342" s="82"/>
      <c r="AN342" s="82"/>
      <c r="AO342" s="82"/>
      <c r="AP342" s="82"/>
      <c r="AQ342" s="82"/>
      <c r="AR342" s="82"/>
      <c r="AS342" s="82"/>
      <c r="AT342" s="82"/>
      <c r="AU342" s="82"/>
      <c r="AV342" s="82"/>
      <c r="AW342" s="82"/>
      <c r="AX342" s="79"/>
      <c r="AY342" s="82"/>
      <c r="AZ342" s="82"/>
      <c r="BA342" s="82"/>
      <c r="BB342" s="82"/>
      <c r="BC342" s="82"/>
      <c r="BD342" s="82"/>
      <c r="BE342" s="82"/>
      <c r="BF342" s="82"/>
      <c r="BG342" s="82"/>
      <c r="BH342" s="1"/>
    </row>
    <row r="343" spans="1:60" s="2" customFormat="1" ht="21">
      <c r="A343" s="1038"/>
      <c r="B343" s="1109" t="s">
        <v>1224</v>
      </c>
      <c r="C343" s="1106" t="s">
        <v>96</v>
      </c>
      <c r="D343" s="640" t="s">
        <v>45</v>
      </c>
      <c r="E343" s="209" t="s">
        <v>1361</v>
      </c>
      <c r="F343" s="209"/>
      <c r="G343" s="209"/>
      <c r="H343" s="209"/>
      <c r="I343" s="129"/>
      <c r="J343" s="256" t="str">
        <f>"ton CO2 "&amp;J$8</f>
        <v>ton CO2 alle locaties</v>
      </c>
      <c r="K343" s="126"/>
      <c r="L343" s="126"/>
      <c r="M343" s="256" t="str">
        <f>"ton CO2 "&amp;M$8</f>
        <v>ton CO2 locatie 1</v>
      </c>
      <c r="N343" s="182"/>
      <c r="O343" s="955" t="str">
        <f>$E343&amp;" per woning-/gebouwtype"</f>
        <v>CO2 emissie indicatie op basis van berekening fossiel per woning-/gebouwtype</v>
      </c>
      <c r="P343" s="945"/>
      <c r="Q343" s="945"/>
      <c r="R343" s="945"/>
      <c r="S343" s="945"/>
      <c r="T343" s="945"/>
      <c r="U343" s="945"/>
      <c r="V343" s="945"/>
      <c r="W343" s="257"/>
      <c r="X343" s="174"/>
      <c r="Y343" s="256" t="str">
        <f>"ton CO2 "&amp;Y$8</f>
        <v>ton CO2 locatie 2</v>
      </c>
      <c r="Z343" s="182"/>
      <c r="AA343" s="955" t="str">
        <f>$E343&amp;" per woning-/gebouwtype"</f>
        <v>CO2 emissie indicatie op basis van berekening fossiel per woning-/gebouwtype</v>
      </c>
      <c r="AB343" s="945"/>
      <c r="AC343" s="945"/>
      <c r="AD343" s="945"/>
      <c r="AE343" s="945"/>
      <c r="AF343" s="945"/>
      <c r="AG343" s="945"/>
      <c r="AH343" s="945"/>
      <c r="AI343" s="257"/>
      <c r="AJ343" s="174"/>
      <c r="AK343" s="256" t="str">
        <f>"ton CO2 "&amp;AK$8</f>
        <v>ton CO2 locatie 3</v>
      </c>
      <c r="AL343" s="182"/>
      <c r="AM343" s="955" t="str">
        <f>$E343&amp;" per woning-/gebouwtype"</f>
        <v>CO2 emissie indicatie op basis van berekening fossiel per woning-/gebouwtype</v>
      </c>
      <c r="AN343" s="945"/>
      <c r="AO343" s="945"/>
      <c r="AP343" s="945"/>
      <c r="AQ343" s="945"/>
      <c r="AR343" s="945"/>
      <c r="AS343" s="945"/>
      <c r="AT343" s="945"/>
      <c r="AU343" s="257"/>
      <c r="AV343" s="174"/>
      <c r="AW343" s="256" t="str">
        <f>"ton CO2 "&amp;AW$8</f>
        <v>ton CO2 locatie 4</v>
      </c>
      <c r="AX343" s="182"/>
      <c r="AY343" s="955" t="str">
        <f>$E343&amp;" per woning-/gebouwtype"</f>
        <v>CO2 emissie indicatie op basis van berekening fossiel per woning-/gebouwtype</v>
      </c>
      <c r="AZ343" s="945"/>
      <c r="BA343" s="945"/>
      <c r="BB343" s="945"/>
      <c r="BC343" s="945"/>
      <c r="BD343" s="945"/>
      <c r="BE343" s="945"/>
      <c r="BF343" s="945"/>
      <c r="BG343" s="257"/>
      <c r="BH343" s="1"/>
    </row>
    <row r="344" spans="1:60">
      <c r="A344" s="1040"/>
      <c r="B344" s="1109" t="s">
        <v>1224</v>
      </c>
      <c r="C344" s="1106" t="s">
        <v>96</v>
      </c>
      <c r="D344" s="638"/>
      <c r="E344" s="942" t="s">
        <v>288</v>
      </c>
      <c r="F344" s="942"/>
      <c r="G344" s="942"/>
      <c r="H344" s="942"/>
      <c r="I344" s="129"/>
      <c r="J344" s="943"/>
      <c r="K344" s="126"/>
      <c r="L344" s="126"/>
      <c r="M344" s="944"/>
      <c r="N344" s="195"/>
      <c r="O344" s="258" t="str">
        <f>O$17</f>
        <v/>
      </c>
      <c r="P344" s="258" t="str">
        <f t="shared" ref="P344:W344" si="450">P$17</f>
        <v/>
      </c>
      <c r="Q344" s="258" t="str">
        <f t="shared" si="450"/>
        <v/>
      </c>
      <c r="R344" s="258" t="str">
        <f t="shared" si="450"/>
        <v/>
      </c>
      <c r="S344" s="258" t="str">
        <f t="shared" si="450"/>
        <v/>
      </c>
      <c r="T344" s="258" t="str">
        <f t="shared" si="450"/>
        <v/>
      </c>
      <c r="U344" s="258" t="str">
        <f t="shared" si="450"/>
        <v/>
      </c>
      <c r="V344" s="258" t="str">
        <f t="shared" si="450"/>
        <v/>
      </c>
      <c r="W344" s="258" t="str">
        <f t="shared" si="450"/>
        <v/>
      </c>
      <c r="X344" s="195"/>
      <c r="Y344" s="944"/>
      <c r="Z344" s="195"/>
      <c r="AA344" s="258" t="str">
        <f>AA$17</f>
        <v/>
      </c>
      <c r="AB344" s="258" t="str">
        <f t="shared" ref="AB344:AI344" si="451">AB$17</f>
        <v/>
      </c>
      <c r="AC344" s="258" t="str">
        <f t="shared" si="451"/>
        <v/>
      </c>
      <c r="AD344" s="258" t="str">
        <f t="shared" si="451"/>
        <v/>
      </c>
      <c r="AE344" s="258" t="str">
        <f t="shared" si="451"/>
        <v/>
      </c>
      <c r="AF344" s="258" t="str">
        <f t="shared" si="451"/>
        <v/>
      </c>
      <c r="AG344" s="258" t="str">
        <f t="shared" si="451"/>
        <v/>
      </c>
      <c r="AH344" s="258" t="str">
        <f t="shared" si="451"/>
        <v/>
      </c>
      <c r="AI344" s="258" t="str">
        <f t="shared" si="451"/>
        <v/>
      </c>
      <c r="AJ344" s="195"/>
      <c r="AK344" s="944"/>
      <c r="AL344" s="195"/>
      <c r="AM344" s="258" t="str">
        <f>AM$17</f>
        <v/>
      </c>
      <c r="AN344" s="258" t="str">
        <f t="shared" ref="AN344:AU344" si="452">AN$17</f>
        <v/>
      </c>
      <c r="AO344" s="258" t="str">
        <f t="shared" si="452"/>
        <v/>
      </c>
      <c r="AP344" s="258" t="str">
        <f t="shared" si="452"/>
        <v/>
      </c>
      <c r="AQ344" s="258" t="str">
        <f t="shared" si="452"/>
        <v/>
      </c>
      <c r="AR344" s="258" t="str">
        <f t="shared" si="452"/>
        <v/>
      </c>
      <c r="AS344" s="258" t="str">
        <f t="shared" si="452"/>
        <v/>
      </c>
      <c r="AT344" s="258" t="str">
        <f t="shared" si="452"/>
        <v/>
      </c>
      <c r="AU344" s="258" t="str">
        <f t="shared" si="452"/>
        <v/>
      </c>
      <c r="AV344" s="195"/>
      <c r="AW344" s="944"/>
      <c r="AX344" s="195"/>
      <c r="AY344" s="258" t="str">
        <f>AY$17</f>
        <v/>
      </c>
      <c r="AZ344" s="258" t="str">
        <f t="shared" ref="AZ344:BG344" si="453">AZ$17</f>
        <v/>
      </c>
      <c r="BA344" s="258" t="str">
        <f t="shared" si="453"/>
        <v/>
      </c>
      <c r="BB344" s="258" t="str">
        <f t="shared" si="453"/>
        <v/>
      </c>
      <c r="BC344" s="258" t="str">
        <f t="shared" si="453"/>
        <v/>
      </c>
      <c r="BD344" s="258" t="str">
        <f t="shared" si="453"/>
        <v/>
      </c>
      <c r="BE344" s="258" t="str">
        <f t="shared" si="453"/>
        <v/>
      </c>
      <c r="BF344" s="258" t="str">
        <f t="shared" si="453"/>
        <v/>
      </c>
      <c r="BG344" s="258" t="str">
        <f t="shared" si="453"/>
        <v/>
      </c>
      <c r="BH344" s="36"/>
    </row>
    <row r="345" spans="1:60" s="2" customFormat="1">
      <c r="A345" s="1038"/>
      <c r="B345" s="1110" t="s">
        <v>1224</v>
      </c>
      <c r="C345" s="1106" t="s">
        <v>104</v>
      </c>
      <c r="D345" s="645"/>
      <c r="E345" s="304" t="str">
        <f>$O$10</f>
        <v>verwarming</v>
      </c>
      <c r="F345" s="203"/>
      <c r="G345" s="203"/>
      <c r="H345" s="204" t="s">
        <v>289</v>
      </c>
      <c r="I345" s="205"/>
      <c r="J345" s="206">
        <f t="shared" ref="J345:J353" si="454">M345+Y345+AK345+AW345</f>
        <v>0</v>
      </c>
      <c r="K345" s="220"/>
      <c r="L345" s="220"/>
      <c r="M345" s="206">
        <f t="shared" ref="M345:M352" si="455">SUMPRODUCT(N345:X345,N$22:X$22,N$29:X$29)/1000</f>
        <v>0</v>
      </c>
      <c r="N345" s="220"/>
      <c r="O345" s="1093">
        <f t="shared" ref="O345:W345" si="456">IF($O$78=0,0,
($O$130+$O$161+$O$181)/$O$78*O62)</f>
        <v>0</v>
      </c>
      <c r="P345" s="1093">
        <f t="shared" si="456"/>
        <v>0</v>
      </c>
      <c r="Q345" s="1093">
        <f t="shared" si="456"/>
        <v>0</v>
      </c>
      <c r="R345" s="1093">
        <f t="shared" si="456"/>
        <v>0</v>
      </c>
      <c r="S345" s="1093">
        <f t="shared" si="456"/>
        <v>0</v>
      </c>
      <c r="T345" s="1093">
        <f t="shared" si="456"/>
        <v>0</v>
      </c>
      <c r="U345" s="1093">
        <f t="shared" si="456"/>
        <v>0</v>
      </c>
      <c r="V345" s="1093">
        <f t="shared" si="456"/>
        <v>0</v>
      </c>
      <c r="W345" s="1093">
        <f t="shared" si="456"/>
        <v>0</v>
      </c>
      <c r="X345" s="174"/>
      <c r="Y345" s="206">
        <f t="shared" ref="Y345:Y352" si="457">SUMPRODUCT(Z345:AJ345,Z$22:AJ$22,Z$29:AJ$29)/1000</f>
        <v>0</v>
      </c>
      <c r="Z345" s="220"/>
      <c r="AA345" s="1093">
        <f t="shared" ref="AA345:AI345" si="458">IF($AA$78=0,0,
($AA$130+$AA$161+$AA$181)/$AA$78*AA62)</f>
        <v>0</v>
      </c>
      <c r="AB345" s="1093">
        <f t="shared" si="458"/>
        <v>0</v>
      </c>
      <c r="AC345" s="1093">
        <f t="shared" si="458"/>
        <v>0</v>
      </c>
      <c r="AD345" s="1093">
        <f t="shared" si="458"/>
        <v>0</v>
      </c>
      <c r="AE345" s="1093">
        <f t="shared" si="458"/>
        <v>0</v>
      </c>
      <c r="AF345" s="1093">
        <f t="shared" si="458"/>
        <v>0</v>
      </c>
      <c r="AG345" s="1093">
        <f t="shared" si="458"/>
        <v>0</v>
      </c>
      <c r="AH345" s="1093">
        <f t="shared" si="458"/>
        <v>0</v>
      </c>
      <c r="AI345" s="1093">
        <f t="shared" si="458"/>
        <v>0</v>
      </c>
      <c r="AJ345" s="174"/>
      <c r="AK345" s="206">
        <f t="shared" ref="AK345:AK352" si="459">SUMPRODUCT(AL345:AV345,AL$22:AV$22,AL$29:AV$29)/1000</f>
        <v>0</v>
      </c>
      <c r="AL345" s="1091"/>
      <c r="AM345" s="1093">
        <f t="shared" ref="AM345:AU345" si="460">IF($AM$78=0,0,
($AM$130+$AM$161+$AM$181)/$AM$78*AM62)</f>
        <v>0</v>
      </c>
      <c r="AN345" s="1093">
        <f t="shared" si="460"/>
        <v>0</v>
      </c>
      <c r="AO345" s="1093">
        <f t="shared" si="460"/>
        <v>0</v>
      </c>
      <c r="AP345" s="1093">
        <f t="shared" si="460"/>
        <v>0</v>
      </c>
      <c r="AQ345" s="1093">
        <f t="shared" si="460"/>
        <v>0</v>
      </c>
      <c r="AR345" s="1093">
        <f t="shared" si="460"/>
        <v>0</v>
      </c>
      <c r="AS345" s="1093">
        <f t="shared" si="460"/>
        <v>0</v>
      </c>
      <c r="AT345" s="1093">
        <f t="shared" si="460"/>
        <v>0</v>
      </c>
      <c r="AU345" s="1093">
        <f t="shared" si="460"/>
        <v>0</v>
      </c>
      <c r="AV345" s="174"/>
      <c r="AW345" s="206">
        <f t="shared" ref="AW345:AW352" si="461">SUMPRODUCT(AX345:BH345,AX$22:BH$22,AX$29:BH$29)/1000</f>
        <v>0</v>
      </c>
      <c r="AX345" s="1091"/>
      <c r="AY345" s="1093">
        <f t="shared" ref="AY345:BG345" si="462">IF($AY$78=0,0,
($AY$130+$AY$161+$AY$181)/$AY$78*AY62)</f>
        <v>0</v>
      </c>
      <c r="AZ345" s="1093">
        <f t="shared" si="462"/>
        <v>0</v>
      </c>
      <c r="BA345" s="1093">
        <f t="shared" si="462"/>
        <v>0</v>
      </c>
      <c r="BB345" s="1093">
        <f t="shared" si="462"/>
        <v>0</v>
      </c>
      <c r="BC345" s="1093">
        <f t="shared" si="462"/>
        <v>0</v>
      </c>
      <c r="BD345" s="1093">
        <f t="shared" si="462"/>
        <v>0</v>
      </c>
      <c r="BE345" s="1093">
        <f t="shared" si="462"/>
        <v>0</v>
      </c>
      <c r="BF345" s="1093">
        <f t="shared" si="462"/>
        <v>0</v>
      </c>
      <c r="BG345" s="1093">
        <f t="shared" si="462"/>
        <v>0</v>
      </c>
      <c r="BH345" s="210"/>
    </row>
    <row r="346" spans="1:60" s="2" customFormat="1">
      <c r="A346" s="1038"/>
      <c r="B346" s="1110" t="s">
        <v>1224</v>
      </c>
      <c r="C346" s="1106" t="s">
        <v>104</v>
      </c>
      <c r="D346" s="645"/>
      <c r="E346" s="304" t="str">
        <f>$P$10</f>
        <v>koeling</v>
      </c>
      <c r="F346" s="203"/>
      <c r="G346" s="203"/>
      <c r="H346" s="204" t="s">
        <v>289</v>
      </c>
      <c r="I346" s="205"/>
      <c r="J346" s="206">
        <f t="shared" si="454"/>
        <v>0</v>
      </c>
      <c r="K346" s="220"/>
      <c r="L346" s="220"/>
      <c r="M346" s="206">
        <f t="shared" si="455"/>
        <v>0</v>
      </c>
      <c r="N346" s="220"/>
      <c r="O346" s="1093">
        <f t="shared" ref="O346:W346" si="463">IF($P$78=0,0,
($P$130+$P$161+$P$181)/$P$78*O64)</f>
        <v>0</v>
      </c>
      <c r="P346" s="1093">
        <f t="shared" si="463"/>
        <v>0</v>
      </c>
      <c r="Q346" s="1093">
        <f t="shared" si="463"/>
        <v>0</v>
      </c>
      <c r="R346" s="1093">
        <f t="shared" si="463"/>
        <v>0</v>
      </c>
      <c r="S346" s="1093">
        <f t="shared" si="463"/>
        <v>0</v>
      </c>
      <c r="T346" s="1093">
        <f t="shared" si="463"/>
        <v>0</v>
      </c>
      <c r="U346" s="1093">
        <f t="shared" si="463"/>
        <v>0</v>
      </c>
      <c r="V346" s="1093">
        <f t="shared" si="463"/>
        <v>0</v>
      </c>
      <c r="W346" s="1093">
        <f t="shared" si="463"/>
        <v>0</v>
      </c>
      <c r="X346" s="174"/>
      <c r="Y346" s="206">
        <f t="shared" si="457"/>
        <v>0</v>
      </c>
      <c r="Z346" s="220"/>
      <c r="AA346" s="1093">
        <f t="shared" ref="AA346:AI346" si="464">IF($AB$78=0,0,
($AB$130+$AB$161+$AB$181)/$AB$78*AA64)</f>
        <v>0</v>
      </c>
      <c r="AB346" s="1093">
        <f t="shared" si="464"/>
        <v>0</v>
      </c>
      <c r="AC346" s="1093">
        <f t="shared" si="464"/>
        <v>0</v>
      </c>
      <c r="AD346" s="1093">
        <f t="shared" si="464"/>
        <v>0</v>
      </c>
      <c r="AE346" s="1093">
        <f t="shared" si="464"/>
        <v>0</v>
      </c>
      <c r="AF346" s="1093">
        <f t="shared" si="464"/>
        <v>0</v>
      </c>
      <c r="AG346" s="1093">
        <f t="shared" si="464"/>
        <v>0</v>
      </c>
      <c r="AH346" s="1093">
        <f t="shared" si="464"/>
        <v>0</v>
      </c>
      <c r="AI346" s="1093">
        <f t="shared" si="464"/>
        <v>0</v>
      </c>
      <c r="AJ346" s="174"/>
      <c r="AK346" s="206">
        <f t="shared" si="459"/>
        <v>0</v>
      </c>
      <c r="AL346" s="1091"/>
      <c r="AM346" s="1093">
        <f t="shared" ref="AM346:AU346" si="465">IF($AN$78=0,0,
($AN$130+$AN$161+$AN$181)/$AN$78*AM64)</f>
        <v>0</v>
      </c>
      <c r="AN346" s="1093">
        <f t="shared" si="465"/>
        <v>0</v>
      </c>
      <c r="AO346" s="1093">
        <f t="shared" si="465"/>
        <v>0</v>
      </c>
      <c r="AP346" s="1093">
        <f t="shared" si="465"/>
        <v>0</v>
      </c>
      <c r="AQ346" s="1093">
        <f t="shared" si="465"/>
        <v>0</v>
      </c>
      <c r="AR346" s="1093">
        <f t="shared" si="465"/>
        <v>0</v>
      </c>
      <c r="AS346" s="1093">
        <f t="shared" si="465"/>
        <v>0</v>
      </c>
      <c r="AT346" s="1093">
        <f t="shared" si="465"/>
        <v>0</v>
      </c>
      <c r="AU346" s="1093">
        <f t="shared" si="465"/>
        <v>0</v>
      </c>
      <c r="AV346" s="174"/>
      <c r="AW346" s="206">
        <f t="shared" si="461"/>
        <v>0</v>
      </c>
      <c r="AX346" s="1091"/>
      <c r="AY346" s="1093">
        <f t="shared" ref="AY346:BG346" si="466">IF($AZ$78=0,0,
($AZ$130+$AZ$161+$AZ$181)/$AZ$78*AY64)</f>
        <v>0</v>
      </c>
      <c r="AZ346" s="1093">
        <f t="shared" si="466"/>
        <v>0</v>
      </c>
      <c r="BA346" s="1093">
        <f t="shared" si="466"/>
        <v>0</v>
      </c>
      <c r="BB346" s="1093">
        <f t="shared" si="466"/>
        <v>0</v>
      </c>
      <c r="BC346" s="1093">
        <f t="shared" si="466"/>
        <v>0</v>
      </c>
      <c r="BD346" s="1093">
        <f t="shared" si="466"/>
        <v>0</v>
      </c>
      <c r="BE346" s="1093">
        <f t="shared" si="466"/>
        <v>0</v>
      </c>
      <c r="BF346" s="1093">
        <f t="shared" si="466"/>
        <v>0</v>
      </c>
      <c r="BG346" s="1093">
        <f t="shared" si="466"/>
        <v>0</v>
      </c>
      <c r="BH346" s="210"/>
    </row>
    <row r="347" spans="1:60" s="2" customFormat="1">
      <c r="A347" s="1038"/>
      <c r="B347" s="1110" t="s">
        <v>1224</v>
      </c>
      <c r="C347" s="1106" t="s">
        <v>104</v>
      </c>
      <c r="D347" s="645"/>
      <c r="E347" s="304" t="str">
        <f>$Q$10</f>
        <v>tapwater</v>
      </c>
      <c r="F347" s="203"/>
      <c r="G347" s="203"/>
      <c r="H347" s="204" t="s">
        <v>289</v>
      </c>
      <c r="I347" s="205"/>
      <c r="J347" s="206">
        <f t="shared" si="454"/>
        <v>0</v>
      </c>
      <c r="K347" s="220"/>
      <c r="L347" s="220"/>
      <c r="M347" s="206">
        <f t="shared" si="455"/>
        <v>0</v>
      </c>
      <c r="N347" s="220"/>
      <c r="O347" s="1093">
        <f t="shared" ref="O347:W347" si="467">IF($Q$78=0,0,
($Q$130+$Q$161+$Q$181)/$Q$78*O65)</f>
        <v>0</v>
      </c>
      <c r="P347" s="1093">
        <f t="shared" si="467"/>
        <v>0</v>
      </c>
      <c r="Q347" s="1093">
        <f t="shared" si="467"/>
        <v>0</v>
      </c>
      <c r="R347" s="1093">
        <f t="shared" si="467"/>
        <v>0</v>
      </c>
      <c r="S347" s="1093">
        <f t="shared" si="467"/>
        <v>0</v>
      </c>
      <c r="T347" s="1093">
        <f t="shared" si="467"/>
        <v>0</v>
      </c>
      <c r="U347" s="1093">
        <f t="shared" si="467"/>
        <v>0</v>
      </c>
      <c r="V347" s="1093">
        <f t="shared" si="467"/>
        <v>0</v>
      </c>
      <c r="W347" s="1093">
        <f t="shared" si="467"/>
        <v>0</v>
      </c>
      <c r="X347" s="174"/>
      <c r="Y347" s="206">
        <f t="shared" si="457"/>
        <v>0</v>
      </c>
      <c r="Z347" s="220"/>
      <c r="AA347" s="1093">
        <f t="shared" ref="AA347:AI347" si="468">IF($AC$78=0,0,
($AC$130+$AC$161+$AC$181)/$AC$78*AA65)</f>
        <v>0</v>
      </c>
      <c r="AB347" s="1093">
        <f t="shared" si="468"/>
        <v>0</v>
      </c>
      <c r="AC347" s="1093">
        <f t="shared" si="468"/>
        <v>0</v>
      </c>
      <c r="AD347" s="1093">
        <f t="shared" si="468"/>
        <v>0</v>
      </c>
      <c r="AE347" s="1093">
        <f t="shared" si="468"/>
        <v>0</v>
      </c>
      <c r="AF347" s="1093">
        <f t="shared" si="468"/>
        <v>0</v>
      </c>
      <c r="AG347" s="1093">
        <f t="shared" si="468"/>
        <v>0</v>
      </c>
      <c r="AH347" s="1093">
        <f t="shared" si="468"/>
        <v>0</v>
      </c>
      <c r="AI347" s="1093">
        <f t="shared" si="468"/>
        <v>0</v>
      </c>
      <c r="AJ347" s="174"/>
      <c r="AK347" s="206">
        <f t="shared" si="459"/>
        <v>0</v>
      </c>
      <c r="AL347" s="1091"/>
      <c r="AM347" s="1093">
        <f t="shared" ref="AM347:AU347" si="469">IF($AO$78=0,0,
($AO$130+$AO$161+$AO$181)/$AO$78*AM65)</f>
        <v>0</v>
      </c>
      <c r="AN347" s="1093">
        <f t="shared" si="469"/>
        <v>0</v>
      </c>
      <c r="AO347" s="1093">
        <f t="shared" si="469"/>
        <v>0</v>
      </c>
      <c r="AP347" s="1093">
        <f t="shared" si="469"/>
        <v>0</v>
      </c>
      <c r="AQ347" s="1093">
        <f t="shared" si="469"/>
        <v>0</v>
      </c>
      <c r="AR347" s="1093">
        <f t="shared" si="469"/>
        <v>0</v>
      </c>
      <c r="AS347" s="1093">
        <f t="shared" si="469"/>
        <v>0</v>
      </c>
      <c r="AT347" s="1093">
        <f t="shared" si="469"/>
        <v>0</v>
      </c>
      <c r="AU347" s="1093">
        <f t="shared" si="469"/>
        <v>0</v>
      </c>
      <c r="AV347" s="174"/>
      <c r="AW347" s="206">
        <f t="shared" si="461"/>
        <v>0</v>
      </c>
      <c r="AX347" s="1091"/>
      <c r="AY347" s="1093">
        <f t="shared" ref="AY347:BG347" si="470">IF($BA$78=0,0,
($BA$130+$BA$161+$BA$181)/$BA$78*AY65)</f>
        <v>0</v>
      </c>
      <c r="AZ347" s="1093">
        <f t="shared" si="470"/>
        <v>0</v>
      </c>
      <c r="BA347" s="1093">
        <f t="shared" si="470"/>
        <v>0</v>
      </c>
      <c r="BB347" s="1093">
        <f t="shared" si="470"/>
        <v>0</v>
      </c>
      <c r="BC347" s="1093">
        <f t="shared" si="470"/>
        <v>0</v>
      </c>
      <c r="BD347" s="1093">
        <f t="shared" si="470"/>
        <v>0</v>
      </c>
      <c r="BE347" s="1093">
        <f t="shared" si="470"/>
        <v>0</v>
      </c>
      <c r="BF347" s="1093">
        <f t="shared" si="470"/>
        <v>0</v>
      </c>
      <c r="BG347" s="1093">
        <f t="shared" si="470"/>
        <v>0</v>
      </c>
      <c r="BH347" s="210"/>
    </row>
    <row r="348" spans="1:60" s="2" customFormat="1">
      <c r="A348" s="1038"/>
      <c r="B348" s="1110" t="s">
        <v>1224</v>
      </c>
      <c r="C348" s="1106" t="s">
        <v>104</v>
      </c>
      <c r="D348" s="645"/>
      <c r="E348" s="304" t="str">
        <f>$R$10</f>
        <v>verlichting</v>
      </c>
      <c r="F348" s="203"/>
      <c r="G348" s="203"/>
      <c r="H348" s="204" t="s">
        <v>289</v>
      </c>
      <c r="I348" s="205"/>
      <c r="J348" s="206">
        <f t="shared" si="454"/>
        <v>0</v>
      </c>
      <c r="K348" s="220"/>
      <c r="L348" s="220"/>
      <c r="M348" s="206">
        <f t="shared" si="455"/>
        <v>0</v>
      </c>
      <c r="N348" s="220"/>
      <c r="O348" s="1093">
        <f t="shared" ref="O348:W348" si="471">IF($R$78=0,0,$R$181/$R$78*O66)</f>
        <v>0</v>
      </c>
      <c r="P348" s="1093">
        <f t="shared" si="471"/>
        <v>0</v>
      </c>
      <c r="Q348" s="1093">
        <f t="shared" si="471"/>
        <v>0</v>
      </c>
      <c r="R348" s="1093">
        <f t="shared" si="471"/>
        <v>0</v>
      </c>
      <c r="S348" s="1093">
        <f t="shared" si="471"/>
        <v>0</v>
      </c>
      <c r="T348" s="1093">
        <f t="shared" si="471"/>
        <v>0</v>
      </c>
      <c r="U348" s="1093">
        <f t="shared" si="471"/>
        <v>0</v>
      </c>
      <c r="V348" s="1093">
        <f t="shared" si="471"/>
        <v>0</v>
      </c>
      <c r="W348" s="1093">
        <f t="shared" si="471"/>
        <v>0</v>
      </c>
      <c r="X348" s="174"/>
      <c r="Y348" s="206">
        <f t="shared" si="457"/>
        <v>0</v>
      </c>
      <c r="Z348" s="220"/>
      <c r="AA348" s="1093">
        <f t="shared" ref="AA348:AI348" si="472">IF($AD$78=0,0,$AD$181/$AD$78*AA66)</f>
        <v>0</v>
      </c>
      <c r="AB348" s="1093">
        <f t="shared" si="472"/>
        <v>0</v>
      </c>
      <c r="AC348" s="1093">
        <f t="shared" si="472"/>
        <v>0</v>
      </c>
      <c r="AD348" s="1093">
        <f t="shared" si="472"/>
        <v>0</v>
      </c>
      <c r="AE348" s="1093">
        <f t="shared" si="472"/>
        <v>0</v>
      </c>
      <c r="AF348" s="1093">
        <f t="shared" si="472"/>
        <v>0</v>
      </c>
      <c r="AG348" s="1093">
        <f t="shared" si="472"/>
        <v>0</v>
      </c>
      <c r="AH348" s="1093">
        <f t="shared" si="472"/>
        <v>0</v>
      </c>
      <c r="AI348" s="1093">
        <f t="shared" si="472"/>
        <v>0</v>
      </c>
      <c r="AJ348" s="174"/>
      <c r="AK348" s="206">
        <f t="shared" si="459"/>
        <v>0</v>
      </c>
      <c r="AL348" s="1091"/>
      <c r="AM348" s="1093">
        <f t="shared" ref="AM348:AU348" si="473">IF($AP$78=0,0,$AP$181/$AP$78*AM66)</f>
        <v>0</v>
      </c>
      <c r="AN348" s="1093">
        <f t="shared" si="473"/>
        <v>0</v>
      </c>
      <c r="AO348" s="1093">
        <f t="shared" si="473"/>
        <v>0</v>
      </c>
      <c r="AP348" s="1093">
        <f t="shared" si="473"/>
        <v>0</v>
      </c>
      <c r="AQ348" s="1093">
        <f t="shared" si="473"/>
        <v>0</v>
      </c>
      <c r="AR348" s="1093">
        <f t="shared" si="473"/>
        <v>0</v>
      </c>
      <c r="AS348" s="1093">
        <f t="shared" si="473"/>
        <v>0</v>
      </c>
      <c r="AT348" s="1093">
        <f t="shared" si="473"/>
        <v>0</v>
      </c>
      <c r="AU348" s="1093">
        <f t="shared" si="473"/>
        <v>0</v>
      </c>
      <c r="AV348" s="174"/>
      <c r="AW348" s="206">
        <f t="shared" si="461"/>
        <v>0</v>
      </c>
      <c r="AX348" s="1091"/>
      <c r="AY348" s="1093">
        <f t="shared" ref="AY348:BG348" si="474">IF($BB$78=0,0,$BB$181/$BB$78*AY66)</f>
        <v>0</v>
      </c>
      <c r="AZ348" s="1093">
        <f t="shared" si="474"/>
        <v>0</v>
      </c>
      <c r="BA348" s="1093">
        <f t="shared" si="474"/>
        <v>0</v>
      </c>
      <c r="BB348" s="1093">
        <f t="shared" si="474"/>
        <v>0</v>
      </c>
      <c r="BC348" s="1093">
        <f t="shared" si="474"/>
        <v>0</v>
      </c>
      <c r="BD348" s="1093">
        <f t="shared" si="474"/>
        <v>0</v>
      </c>
      <c r="BE348" s="1093">
        <f t="shared" si="474"/>
        <v>0</v>
      </c>
      <c r="BF348" s="1093">
        <f t="shared" si="474"/>
        <v>0</v>
      </c>
      <c r="BG348" s="1093">
        <f t="shared" si="474"/>
        <v>0</v>
      </c>
      <c r="BH348" s="210"/>
    </row>
    <row r="349" spans="1:60" s="2" customFormat="1">
      <c r="A349" s="1038"/>
      <c r="B349" s="1110" t="s">
        <v>1224</v>
      </c>
      <c r="C349" s="1106" t="s">
        <v>104</v>
      </c>
      <c r="D349" s="645"/>
      <c r="E349" s="304" t="str">
        <f>$S$10</f>
        <v>ventilatoren</v>
      </c>
      <c r="F349" s="203"/>
      <c r="G349" s="203"/>
      <c r="H349" s="204" t="s">
        <v>289</v>
      </c>
      <c r="I349" s="205"/>
      <c r="J349" s="206">
        <f t="shared" si="454"/>
        <v>0</v>
      </c>
      <c r="K349" s="220"/>
      <c r="L349" s="220"/>
      <c r="M349" s="206">
        <f t="shared" si="455"/>
        <v>0</v>
      </c>
      <c r="N349" s="220"/>
      <c r="O349" s="1093">
        <f t="shared" ref="O349:W349" si="475">IF($S$78=0,0,$S$181/$S$78*O67)</f>
        <v>0</v>
      </c>
      <c r="P349" s="1093">
        <f t="shared" si="475"/>
        <v>0</v>
      </c>
      <c r="Q349" s="1093">
        <f t="shared" si="475"/>
        <v>0</v>
      </c>
      <c r="R349" s="1093">
        <f t="shared" si="475"/>
        <v>0</v>
      </c>
      <c r="S349" s="1093">
        <f t="shared" si="475"/>
        <v>0</v>
      </c>
      <c r="T349" s="1093">
        <f t="shared" si="475"/>
        <v>0</v>
      </c>
      <c r="U349" s="1093">
        <f t="shared" si="475"/>
        <v>0</v>
      </c>
      <c r="V349" s="1093">
        <f t="shared" si="475"/>
        <v>0</v>
      </c>
      <c r="W349" s="1093">
        <f t="shared" si="475"/>
        <v>0</v>
      </c>
      <c r="X349" s="174"/>
      <c r="Y349" s="206">
        <f t="shared" si="457"/>
        <v>0</v>
      </c>
      <c r="Z349" s="220"/>
      <c r="AA349" s="1093">
        <f t="shared" ref="AA349:AI349" si="476">IF($AE$78=0,0,$AE$181/$AE$78*AA67)</f>
        <v>0</v>
      </c>
      <c r="AB349" s="1093">
        <f t="shared" si="476"/>
        <v>0</v>
      </c>
      <c r="AC349" s="1093">
        <f t="shared" si="476"/>
        <v>0</v>
      </c>
      <c r="AD349" s="1093">
        <f t="shared" si="476"/>
        <v>0</v>
      </c>
      <c r="AE349" s="1093">
        <f t="shared" si="476"/>
        <v>0</v>
      </c>
      <c r="AF349" s="1093">
        <f t="shared" si="476"/>
        <v>0</v>
      </c>
      <c r="AG349" s="1093">
        <f t="shared" si="476"/>
        <v>0</v>
      </c>
      <c r="AH349" s="1093">
        <f t="shared" si="476"/>
        <v>0</v>
      </c>
      <c r="AI349" s="1093">
        <f t="shared" si="476"/>
        <v>0</v>
      </c>
      <c r="AJ349" s="174"/>
      <c r="AK349" s="206">
        <f t="shared" si="459"/>
        <v>0</v>
      </c>
      <c r="AL349" s="1091"/>
      <c r="AM349" s="1093">
        <f t="shared" ref="AM349:AU349" si="477">IF($AQ$78=0,0,$AQ$181/$AQ$78*AM67)</f>
        <v>0</v>
      </c>
      <c r="AN349" s="1093">
        <f t="shared" si="477"/>
        <v>0</v>
      </c>
      <c r="AO349" s="1093">
        <f t="shared" si="477"/>
        <v>0</v>
      </c>
      <c r="AP349" s="1093">
        <f t="shared" si="477"/>
        <v>0</v>
      </c>
      <c r="AQ349" s="1093">
        <f t="shared" si="477"/>
        <v>0</v>
      </c>
      <c r="AR349" s="1093">
        <f t="shared" si="477"/>
        <v>0</v>
      </c>
      <c r="AS349" s="1093">
        <f t="shared" si="477"/>
        <v>0</v>
      </c>
      <c r="AT349" s="1093">
        <f t="shared" si="477"/>
        <v>0</v>
      </c>
      <c r="AU349" s="1093">
        <f t="shared" si="477"/>
        <v>0</v>
      </c>
      <c r="AV349" s="174"/>
      <c r="AW349" s="206">
        <f t="shared" si="461"/>
        <v>0</v>
      </c>
      <c r="AX349" s="1091"/>
      <c r="AY349" s="1093">
        <f t="shared" ref="AY349:BG349" si="478">IF($BC$78=0,0,$BC$181/$BC$78*AY67)</f>
        <v>0</v>
      </c>
      <c r="AZ349" s="1093">
        <f t="shared" si="478"/>
        <v>0</v>
      </c>
      <c r="BA349" s="1093">
        <f t="shared" si="478"/>
        <v>0</v>
      </c>
      <c r="BB349" s="1093">
        <f t="shared" si="478"/>
        <v>0</v>
      </c>
      <c r="BC349" s="1093">
        <f t="shared" si="478"/>
        <v>0</v>
      </c>
      <c r="BD349" s="1093">
        <f t="shared" si="478"/>
        <v>0</v>
      </c>
      <c r="BE349" s="1093">
        <f t="shared" si="478"/>
        <v>0</v>
      </c>
      <c r="BF349" s="1093">
        <f t="shared" si="478"/>
        <v>0</v>
      </c>
      <c r="BG349" s="1093">
        <f t="shared" si="478"/>
        <v>0</v>
      </c>
      <c r="BH349" s="210"/>
    </row>
    <row r="350" spans="1:60" s="2" customFormat="1">
      <c r="A350" s="1038"/>
      <c r="B350" s="1110" t="s">
        <v>1224</v>
      </c>
      <c r="C350" s="1106" t="s">
        <v>104</v>
      </c>
      <c r="D350" s="645"/>
      <c r="E350" s="304" t="str">
        <f>$T$10</f>
        <v>kookgas</v>
      </c>
      <c r="F350" s="203"/>
      <c r="G350" s="203"/>
      <c r="H350" s="204" t="s">
        <v>289</v>
      </c>
      <c r="I350" s="205"/>
      <c r="J350" s="206">
        <f t="shared" si="454"/>
        <v>0</v>
      </c>
      <c r="K350" s="220"/>
      <c r="L350" s="220"/>
      <c r="M350" s="206">
        <f t="shared" si="455"/>
        <v>0</v>
      </c>
      <c r="N350" s="220"/>
      <c r="O350" s="1093">
        <f t="shared" ref="O350:W350" si="479">IF($T$78=0,0,$T$181/$T$78*O68)</f>
        <v>0</v>
      </c>
      <c r="P350" s="1093">
        <f t="shared" si="479"/>
        <v>0</v>
      </c>
      <c r="Q350" s="1093">
        <f t="shared" si="479"/>
        <v>0</v>
      </c>
      <c r="R350" s="1093">
        <f t="shared" si="479"/>
        <v>0</v>
      </c>
      <c r="S350" s="1093">
        <f t="shared" si="479"/>
        <v>0</v>
      </c>
      <c r="T350" s="1093">
        <f t="shared" si="479"/>
        <v>0</v>
      </c>
      <c r="U350" s="1093">
        <f t="shared" si="479"/>
        <v>0</v>
      </c>
      <c r="V350" s="1093">
        <f t="shared" si="479"/>
        <v>0</v>
      </c>
      <c r="W350" s="1093">
        <f t="shared" si="479"/>
        <v>0</v>
      </c>
      <c r="X350" s="174"/>
      <c r="Y350" s="206">
        <f t="shared" si="457"/>
        <v>0</v>
      </c>
      <c r="Z350" s="220"/>
      <c r="AA350" s="1093">
        <f t="shared" ref="AA350:AI350" si="480">IF($AF$78=0,0,$AF$181/$AF$78*AA68)</f>
        <v>0</v>
      </c>
      <c r="AB350" s="1093">
        <f t="shared" si="480"/>
        <v>0</v>
      </c>
      <c r="AC350" s="1093">
        <f t="shared" si="480"/>
        <v>0</v>
      </c>
      <c r="AD350" s="1093">
        <f t="shared" si="480"/>
        <v>0</v>
      </c>
      <c r="AE350" s="1093">
        <f t="shared" si="480"/>
        <v>0</v>
      </c>
      <c r="AF350" s="1093">
        <f t="shared" si="480"/>
        <v>0</v>
      </c>
      <c r="AG350" s="1093">
        <f t="shared" si="480"/>
        <v>0</v>
      </c>
      <c r="AH350" s="1093">
        <f t="shared" si="480"/>
        <v>0</v>
      </c>
      <c r="AI350" s="1093">
        <f t="shared" si="480"/>
        <v>0</v>
      </c>
      <c r="AJ350" s="174"/>
      <c r="AK350" s="206">
        <f t="shared" si="459"/>
        <v>0</v>
      </c>
      <c r="AL350" s="1091"/>
      <c r="AM350" s="1093">
        <f t="shared" ref="AM350:AU350" si="481">IF($AR$78=0,0,$AR$181/$AR$78*AM68)</f>
        <v>0</v>
      </c>
      <c r="AN350" s="1093">
        <f t="shared" si="481"/>
        <v>0</v>
      </c>
      <c r="AO350" s="1093">
        <f t="shared" si="481"/>
        <v>0</v>
      </c>
      <c r="AP350" s="1093">
        <f t="shared" si="481"/>
        <v>0</v>
      </c>
      <c r="AQ350" s="1093">
        <f t="shared" si="481"/>
        <v>0</v>
      </c>
      <c r="AR350" s="1093">
        <f t="shared" si="481"/>
        <v>0</v>
      </c>
      <c r="AS350" s="1093">
        <f t="shared" si="481"/>
        <v>0</v>
      </c>
      <c r="AT350" s="1093">
        <f t="shared" si="481"/>
        <v>0</v>
      </c>
      <c r="AU350" s="1093">
        <f t="shared" si="481"/>
        <v>0</v>
      </c>
      <c r="AV350" s="174"/>
      <c r="AW350" s="206">
        <f t="shared" si="461"/>
        <v>0</v>
      </c>
      <c r="AX350" s="1091"/>
      <c r="AY350" s="1093">
        <f t="shared" ref="AY350:BG350" si="482">IF($BD$78=0,0,$BD$181/$BD$78*AY68)</f>
        <v>0</v>
      </c>
      <c r="AZ350" s="1093">
        <f t="shared" si="482"/>
        <v>0</v>
      </c>
      <c r="BA350" s="1093">
        <f t="shared" si="482"/>
        <v>0</v>
      </c>
      <c r="BB350" s="1093">
        <f t="shared" si="482"/>
        <v>0</v>
      </c>
      <c r="BC350" s="1093">
        <f t="shared" si="482"/>
        <v>0</v>
      </c>
      <c r="BD350" s="1093">
        <f t="shared" si="482"/>
        <v>0</v>
      </c>
      <c r="BE350" s="1093">
        <f t="shared" si="482"/>
        <v>0</v>
      </c>
      <c r="BF350" s="1093">
        <f t="shared" si="482"/>
        <v>0</v>
      </c>
      <c r="BG350" s="1093">
        <f t="shared" si="482"/>
        <v>0</v>
      </c>
      <c r="BH350" s="210"/>
    </row>
    <row r="351" spans="1:60" s="2" customFormat="1">
      <c r="A351" s="1038"/>
      <c r="B351" s="1110" t="s">
        <v>1224</v>
      </c>
      <c r="C351" s="1106" t="s">
        <v>104</v>
      </c>
      <c r="D351" s="645"/>
      <c r="E351" s="304" t="str">
        <f>$U$10</f>
        <v>overig elektra</v>
      </c>
      <c r="F351" s="203"/>
      <c r="G351" s="203"/>
      <c r="H351" s="204" t="s">
        <v>289</v>
      </c>
      <c r="I351" s="205"/>
      <c r="J351" s="206">
        <f t="shared" si="454"/>
        <v>0</v>
      </c>
      <c r="K351" s="220"/>
      <c r="L351" s="220"/>
      <c r="M351" s="206">
        <f t="shared" si="455"/>
        <v>0</v>
      </c>
      <c r="N351" s="220"/>
      <c r="O351" s="1093">
        <f t="shared" ref="O351:W351" si="483">IF($U$78=0,0,$U$181/$U$78*O69)</f>
        <v>0</v>
      </c>
      <c r="P351" s="1093">
        <f t="shared" si="483"/>
        <v>0</v>
      </c>
      <c r="Q351" s="1093">
        <f t="shared" si="483"/>
        <v>0</v>
      </c>
      <c r="R351" s="1093">
        <f t="shared" si="483"/>
        <v>0</v>
      </c>
      <c r="S351" s="1093">
        <f t="shared" si="483"/>
        <v>0</v>
      </c>
      <c r="T351" s="1093">
        <f t="shared" si="483"/>
        <v>0</v>
      </c>
      <c r="U351" s="1093">
        <f t="shared" si="483"/>
        <v>0</v>
      </c>
      <c r="V351" s="1093">
        <f t="shared" si="483"/>
        <v>0</v>
      </c>
      <c r="W351" s="1093">
        <f t="shared" si="483"/>
        <v>0</v>
      </c>
      <c r="X351" s="174"/>
      <c r="Y351" s="206">
        <f t="shared" si="457"/>
        <v>0</v>
      </c>
      <c r="Z351" s="220"/>
      <c r="AA351" s="1093">
        <f t="shared" ref="AA351:AI351" si="484">IF($AG$78=0,0,$AG$181/$AG$78*AA69)</f>
        <v>0</v>
      </c>
      <c r="AB351" s="1093">
        <f t="shared" si="484"/>
        <v>0</v>
      </c>
      <c r="AC351" s="1093">
        <f t="shared" si="484"/>
        <v>0</v>
      </c>
      <c r="AD351" s="1093">
        <f t="shared" si="484"/>
        <v>0</v>
      </c>
      <c r="AE351" s="1093">
        <f t="shared" si="484"/>
        <v>0</v>
      </c>
      <c r="AF351" s="1093">
        <f t="shared" si="484"/>
        <v>0</v>
      </c>
      <c r="AG351" s="1093">
        <f t="shared" si="484"/>
        <v>0</v>
      </c>
      <c r="AH351" s="1093">
        <f t="shared" si="484"/>
        <v>0</v>
      </c>
      <c r="AI351" s="1093">
        <f t="shared" si="484"/>
        <v>0</v>
      </c>
      <c r="AJ351" s="174"/>
      <c r="AK351" s="206">
        <f t="shared" si="459"/>
        <v>0</v>
      </c>
      <c r="AL351" s="1091"/>
      <c r="AM351" s="1093">
        <f t="shared" ref="AM351:AU351" si="485">IF($AS$78=0,0,$AS$181/$AS$78*AM69)</f>
        <v>0</v>
      </c>
      <c r="AN351" s="1093">
        <f t="shared" si="485"/>
        <v>0</v>
      </c>
      <c r="AO351" s="1093">
        <f t="shared" si="485"/>
        <v>0</v>
      </c>
      <c r="AP351" s="1093">
        <f t="shared" si="485"/>
        <v>0</v>
      </c>
      <c r="AQ351" s="1093">
        <f t="shared" si="485"/>
        <v>0</v>
      </c>
      <c r="AR351" s="1093">
        <f t="shared" si="485"/>
        <v>0</v>
      </c>
      <c r="AS351" s="1093">
        <f t="shared" si="485"/>
        <v>0</v>
      </c>
      <c r="AT351" s="1093">
        <f t="shared" si="485"/>
        <v>0</v>
      </c>
      <c r="AU351" s="1093">
        <f t="shared" si="485"/>
        <v>0</v>
      </c>
      <c r="AV351" s="174"/>
      <c r="AW351" s="206">
        <f t="shared" si="461"/>
        <v>0</v>
      </c>
      <c r="AX351" s="1091"/>
      <c r="AY351" s="1093">
        <f t="shared" ref="AY351:BG351" si="486">IF($BE$78=0,0,$BE$181/$BE$78*AY69)</f>
        <v>0</v>
      </c>
      <c r="AZ351" s="1093">
        <f t="shared" si="486"/>
        <v>0</v>
      </c>
      <c r="BA351" s="1093">
        <f t="shared" si="486"/>
        <v>0</v>
      </c>
      <c r="BB351" s="1093">
        <f t="shared" si="486"/>
        <v>0</v>
      </c>
      <c r="BC351" s="1093">
        <f t="shared" si="486"/>
        <v>0</v>
      </c>
      <c r="BD351" s="1093">
        <f t="shared" si="486"/>
        <v>0</v>
      </c>
      <c r="BE351" s="1093">
        <f t="shared" si="486"/>
        <v>0</v>
      </c>
      <c r="BF351" s="1093">
        <f t="shared" si="486"/>
        <v>0</v>
      </c>
      <c r="BG351" s="1093">
        <f t="shared" si="486"/>
        <v>0</v>
      </c>
      <c r="BH351" s="210"/>
    </row>
    <row r="352" spans="1:60" s="2" customFormat="1">
      <c r="A352" s="1038"/>
      <c r="B352" s="1110" t="s">
        <v>1224</v>
      </c>
      <c r="C352" s="1106" t="s">
        <v>104</v>
      </c>
      <c r="D352" s="645"/>
      <c r="E352" s="304" t="str">
        <f>$V$10</f>
        <v>mobiliteit</v>
      </c>
      <c r="F352" s="203"/>
      <c r="G352" s="203"/>
      <c r="H352" s="204" t="s">
        <v>289</v>
      </c>
      <c r="I352" s="205"/>
      <c r="J352" s="206">
        <f t="shared" si="454"/>
        <v>0</v>
      </c>
      <c r="K352" s="220"/>
      <c r="L352" s="220"/>
      <c r="M352" s="206">
        <f t="shared" si="455"/>
        <v>0</v>
      </c>
      <c r="N352" s="220"/>
      <c r="O352" s="1093">
        <f t="shared" ref="O352:W352" si="487">IF(OR($V$169=0,O$29=0),0,$V$181/$V$169*O$71/O$29)</f>
        <v>0</v>
      </c>
      <c r="P352" s="1093">
        <f t="shared" si="487"/>
        <v>0</v>
      </c>
      <c r="Q352" s="1093">
        <f t="shared" si="487"/>
        <v>0</v>
      </c>
      <c r="R352" s="1093">
        <f t="shared" si="487"/>
        <v>0</v>
      </c>
      <c r="S352" s="1093">
        <f t="shared" si="487"/>
        <v>0</v>
      </c>
      <c r="T352" s="1093">
        <f t="shared" si="487"/>
        <v>0</v>
      </c>
      <c r="U352" s="1093">
        <f t="shared" si="487"/>
        <v>0</v>
      </c>
      <c r="V352" s="1093">
        <f t="shared" si="487"/>
        <v>0</v>
      </c>
      <c r="W352" s="1093">
        <f t="shared" si="487"/>
        <v>0</v>
      </c>
      <c r="X352" s="174"/>
      <c r="Y352" s="206">
        <f t="shared" si="457"/>
        <v>0</v>
      </c>
      <c r="Z352" s="220"/>
      <c r="AA352" s="1093">
        <f t="shared" ref="AA352:AI352" si="488">IF(OR($AH$169=0,AA$29=0),0,$AH$181/$AH$169*AA$71/AA$29)</f>
        <v>0</v>
      </c>
      <c r="AB352" s="1093">
        <f t="shared" si="488"/>
        <v>0</v>
      </c>
      <c r="AC352" s="1093">
        <f t="shared" si="488"/>
        <v>0</v>
      </c>
      <c r="AD352" s="1093">
        <f t="shared" si="488"/>
        <v>0</v>
      </c>
      <c r="AE352" s="1093">
        <f t="shared" si="488"/>
        <v>0</v>
      </c>
      <c r="AF352" s="1093">
        <f t="shared" si="488"/>
        <v>0</v>
      </c>
      <c r="AG352" s="1093">
        <f t="shared" si="488"/>
        <v>0</v>
      </c>
      <c r="AH352" s="1093">
        <f t="shared" si="488"/>
        <v>0</v>
      </c>
      <c r="AI352" s="1093">
        <f t="shared" si="488"/>
        <v>0</v>
      </c>
      <c r="AJ352" s="174"/>
      <c r="AK352" s="206">
        <f t="shared" si="459"/>
        <v>0</v>
      </c>
      <c r="AL352" s="1091"/>
      <c r="AM352" s="1093">
        <f t="shared" ref="AM352:AU352" si="489">IF(OR($AT$169=0,AM$29=0),0,$AT$181/$AT$169*AM$71/AM$29)</f>
        <v>0</v>
      </c>
      <c r="AN352" s="1093">
        <f t="shared" si="489"/>
        <v>0</v>
      </c>
      <c r="AO352" s="1093">
        <f t="shared" si="489"/>
        <v>0</v>
      </c>
      <c r="AP352" s="1093">
        <f t="shared" si="489"/>
        <v>0</v>
      </c>
      <c r="AQ352" s="1093">
        <f t="shared" si="489"/>
        <v>0</v>
      </c>
      <c r="AR352" s="1093">
        <f t="shared" si="489"/>
        <v>0</v>
      </c>
      <c r="AS352" s="1093">
        <f t="shared" si="489"/>
        <v>0</v>
      </c>
      <c r="AT352" s="1093">
        <f t="shared" si="489"/>
        <v>0</v>
      </c>
      <c r="AU352" s="1093">
        <f t="shared" si="489"/>
        <v>0</v>
      </c>
      <c r="AV352" s="174"/>
      <c r="AW352" s="206">
        <f t="shared" si="461"/>
        <v>0</v>
      </c>
      <c r="AX352" s="1091"/>
      <c r="AY352" s="1093">
        <f t="shared" ref="AY352:BG352" si="490">IF(OR($BF$169=0,AY$29=0),0,$BF$181/$BF$169*AY$71/AY$29)</f>
        <v>0</v>
      </c>
      <c r="AZ352" s="1093">
        <f t="shared" si="490"/>
        <v>0</v>
      </c>
      <c r="BA352" s="1093">
        <f t="shared" si="490"/>
        <v>0</v>
      </c>
      <c r="BB352" s="1093">
        <f t="shared" si="490"/>
        <v>0</v>
      </c>
      <c r="BC352" s="1093">
        <f t="shared" si="490"/>
        <v>0</v>
      </c>
      <c r="BD352" s="1093">
        <f t="shared" si="490"/>
        <v>0</v>
      </c>
      <c r="BE352" s="1093">
        <f t="shared" si="490"/>
        <v>0</v>
      </c>
      <c r="BF352" s="1093">
        <f t="shared" si="490"/>
        <v>0</v>
      </c>
      <c r="BG352" s="1093">
        <f t="shared" si="490"/>
        <v>0</v>
      </c>
      <c r="BH352" s="210"/>
    </row>
    <row r="353" spans="1:60" s="2" customFormat="1">
      <c r="A353" s="1038"/>
      <c r="B353" s="1110" t="s">
        <v>1224</v>
      </c>
      <c r="C353" s="1106" t="s">
        <v>104</v>
      </c>
      <c r="D353" s="645"/>
      <c r="E353" s="203" t="s">
        <v>1278</v>
      </c>
      <c r="F353" s="203"/>
      <c r="G353" s="203"/>
      <c r="H353" s="204" t="s">
        <v>289</v>
      </c>
      <c r="I353" s="205"/>
      <c r="J353" s="206">
        <f t="shared" si="454"/>
        <v>0</v>
      </c>
      <c r="K353" s="220"/>
      <c r="L353" s="220"/>
      <c r="M353" s="206">
        <f>SUM(M345:M352)</f>
        <v>0</v>
      </c>
      <c r="N353" s="220"/>
      <c r="O353" s="1093">
        <f t="shared" ref="O353:W353" si="491">SUM(O345:O352)</f>
        <v>0</v>
      </c>
      <c r="P353" s="1093">
        <f t="shared" si="491"/>
        <v>0</v>
      </c>
      <c r="Q353" s="1093">
        <f t="shared" si="491"/>
        <v>0</v>
      </c>
      <c r="R353" s="1093">
        <f t="shared" si="491"/>
        <v>0</v>
      </c>
      <c r="S353" s="1093">
        <f t="shared" si="491"/>
        <v>0</v>
      </c>
      <c r="T353" s="1093">
        <f t="shared" si="491"/>
        <v>0</v>
      </c>
      <c r="U353" s="1093">
        <f t="shared" si="491"/>
        <v>0</v>
      </c>
      <c r="V353" s="1093">
        <f t="shared" si="491"/>
        <v>0</v>
      </c>
      <c r="W353" s="1093">
        <f t="shared" si="491"/>
        <v>0</v>
      </c>
      <c r="X353" s="174"/>
      <c r="Y353" s="206">
        <f>SUM(Y345:Y352)</f>
        <v>0</v>
      </c>
      <c r="Z353" s="220"/>
      <c r="AA353" s="1093">
        <f t="shared" ref="AA353:AI353" si="492">SUM(AA345:AA352)</f>
        <v>0</v>
      </c>
      <c r="AB353" s="1093">
        <f t="shared" si="492"/>
        <v>0</v>
      </c>
      <c r="AC353" s="1093">
        <f t="shared" si="492"/>
        <v>0</v>
      </c>
      <c r="AD353" s="1093">
        <f t="shared" si="492"/>
        <v>0</v>
      </c>
      <c r="AE353" s="1093">
        <f t="shared" si="492"/>
        <v>0</v>
      </c>
      <c r="AF353" s="1093">
        <f t="shared" si="492"/>
        <v>0</v>
      </c>
      <c r="AG353" s="1093">
        <f t="shared" si="492"/>
        <v>0</v>
      </c>
      <c r="AH353" s="1093">
        <f t="shared" si="492"/>
        <v>0</v>
      </c>
      <c r="AI353" s="1093">
        <f t="shared" si="492"/>
        <v>0</v>
      </c>
      <c r="AJ353" s="174"/>
      <c r="AK353" s="206">
        <f>SUM(AK345:AK352)</f>
        <v>0</v>
      </c>
      <c r="AL353" s="1091"/>
      <c r="AM353" s="1093">
        <f t="shared" ref="AM353:AU353" si="493">SUM(AM345:AM352)</f>
        <v>0</v>
      </c>
      <c r="AN353" s="1093">
        <f t="shared" si="493"/>
        <v>0</v>
      </c>
      <c r="AO353" s="1093">
        <f t="shared" si="493"/>
        <v>0</v>
      </c>
      <c r="AP353" s="1093">
        <f t="shared" si="493"/>
        <v>0</v>
      </c>
      <c r="AQ353" s="1093">
        <f t="shared" si="493"/>
        <v>0</v>
      </c>
      <c r="AR353" s="1093">
        <f t="shared" si="493"/>
        <v>0</v>
      </c>
      <c r="AS353" s="1093">
        <f t="shared" si="493"/>
        <v>0</v>
      </c>
      <c r="AT353" s="1093">
        <f t="shared" si="493"/>
        <v>0</v>
      </c>
      <c r="AU353" s="1093">
        <f t="shared" si="493"/>
        <v>0</v>
      </c>
      <c r="AV353" s="174"/>
      <c r="AW353" s="206">
        <f>SUM(AW345:AW352)</f>
        <v>0</v>
      </c>
      <c r="AX353" s="1091"/>
      <c r="AY353" s="1093">
        <f t="shared" ref="AY353:BG353" si="494">SUM(AY345:AY352)</f>
        <v>0</v>
      </c>
      <c r="AZ353" s="1093">
        <f t="shared" si="494"/>
        <v>0</v>
      </c>
      <c r="BA353" s="1093">
        <f t="shared" si="494"/>
        <v>0</v>
      </c>
      <c r="BB353" s="1093">
        <f t="shared" si="494"/>
        <v>0</v>
      </c>
      <c r="BC353" s="1093">
        <f t="shared" si="494"/>
        <v>0</v>
      </c>
      <c r="BD353" s="1093">
        <f t="shared" si="494"/>
        <v>0</v>
      </c>
      <c r="BE353" s="1093">
        <f t="shared" si="494"/>
        <v>0</v>
      </c>
      <c r="BF353" s="1093">
        <f t="shared" si="494"/>
        <v>0</v>
      </c>
      <c r="BG353" s="1093">
        <f t="shared" si="494"/>
        <v>0</v>
      </c>
      <c r="BH353" s="210"/>
    </row>
    <row r="354" spans="1:60" s="2" customFormat="1">
      <c r="A354" s="1038"/>
      <c r="B354" s="1110" t="s">
        <v>1224</v>
      </c>
      <c r="C354" s="1106" t="s">
        <v>96</v>
      </c>
      <c r="D354" s="644"/>
      <c r="E354" s="942" t="s">
        <v>290</v>
      </c>
      <c r="F354" s="942"/>
      <c r="G354" s="942"/>
      <c r="H354" s="942"/>
      <c r="I354" s="129"/>
      <c r="J354" s="943"/>
      <c r="K354" s="1094"/>
      <c r="L354" s="1094"/>
      <c r="M354" s="944"/>
      <c r="N354" s="1095"/>
      <c r="O354" s="258" t="str">
        <f>O$17</f>
        <v/>
      </c>
      <c r="P354" s="258" t="str">
        <f t="shared" ref="P354:W354" si="495">P$17</f>
        <v/>
      </c>
      <c r="Q354" s="258" t="str">
        <f t="shared" si="495"/>
        <v/>
      </c>
      <c r="R354" s="258" t="str">
        <f t="shared" si="495"/>
        <v/>
      </c>
      <c r="S354" s="258" t="str">
        <f t="shared" si="495"/>
        <v/>
      </c>
      <c r="T354" s="258" t="str">
        <f t="shared" si="495"/>
        <v/>
      </c>
      <c r="U354" s="258" t="str">
        <f t="shared" si="495"/>
        <v/>
      </c>
      <c r="V354" s="258" t="str">
        <f t="shared" si="495"/>
        <v/>
      </c>
      <c r="W354" s="258" t="str">
        <f t="shared" si="495"/>
        <v/>
      </c>
      <c r="X354" s="1095"/>
      <c r="Y354" s="944"/>
      <c r="Z354" s="1095"/>
      <c r="AA354" s="258" t="str">
        <f>AA$17</f>
        <v/>
      </c>
      <c r="AB354" s="258" t="str">
        <f t="shared" ref="AB354:AI354" si="496">AB$17</f>
        <v/>
      </c>
      <c r="AC354" s="258" t="str">
        <f t="shared" si="496"/>
        <v/>
      </c>
      <c r="AD354" s="258" t="str">
        <f t="shared" si="496"/>
        <v/>
      </c>
      <c r="AE354" s="258" t="str">
        <f t="shared" si="496"/>
        <v/>
      </c>
      <c r="AF354" s="258" t="str">
        <f t="shared" si="496"/>
        <v/>
      </c>
      <c r="AG354" s="258" t="str">
        <f t="shared" si="496"/>
        <v/>
      </c>
      <c r="AH354" s="258" t="str">
        <f t="shared" si="496"/>
        <v/>
      </c>
      <c r="AI354" s="258" t="str">
        <f t="shared" si="496"/>
        <v/>
      </c>
      <c r="AJ354" s="1095"/>
      <c r="AK354" s="944"/>
      <c r="AL354" s="1095"/>
      <c r="AM354" s="258" t="str">
        <f>AM$17</f>
        <v/>
      </c>
      <c r="AN354" s="258" t="str">
        <f t="shared" ref="AN354:AU354" si="497">AN$17</f>
        <v/>
      </c>
      <c r="AO354" s="258" t="str">
        <f t="shared" si="497"/>
        <v/>
      </c>
      <c r="AP354" s="258" t="str">
        <f t="shared" si="497"/>
        <v/>
      </c>
      <c r="AQ354" s="258" t="str">
        <f t="shared" si="497"/>
        <v/>
      </c>
      <c r="AR354" s="258" t="str">
        <f t="shared" si="497"/>
        <v/>
      </c>
      <c r="AS354" s="258" t="str">
        <f t="shared" si="497"/>
        <v/>
      </c>
      <c r="AT354" s="258" t="str">
        <f t="shared" si="497"/>
        <v/>
      </c>
      <c r="AU354" s="258" t="str">
        <f t="shared" si="497"/>
        <v/>
      </c>
      <c r="AV354" s="1095"/>
      <c r="AW354" s="944"/>
      <c r="AX354" s="1095"/>
      <c r="AY354" s="258" t="str">
        <f>AY$17</f>
        <v/>
      </c>
      <c r="AZ354" s="258" t="str">
        <f t="shared" ref="AZ354:BG354" si="498">AZ$17</f>
        <v/>
      </c>
      <c r="BA354" s="258" t="str">
        <f t="shared" si="498"/>
        <v/>
      </c>
      <c r="BB354" s="258" t="str">
        <f t="shared" si="498"/>
        <v/>
      </c>
      <c r="BC354" s="258" t="str">
        <f t="shared" si="498"/>
        <v/>
      </c>
      <c r="BD354" s="258" t="str">
        <f t="shared" si="498"/>
        <v/>
      </c>
      <c r="BE354" s="258" t="str">
        <f t="shared" si="498"/>
        <v/>
      </c>
      <c r="BF354" s="258" t="str">
        <f t="shared" si="498"/>
        <v/>
      </c>
      <c r="BG354" s="258" t="str">
        <f t="shared" si="498"/>
        <v/>
      </c>
    </row>
    <row r="355" spans="1:60" s="2" customFormat="1">
      <c r="A355" s="1038"/>
      <c r="B355" s="1110" t="s">
        <v>1224</v>
      </c>
      <c r="C355" s="1106" t="s">
        <v>104</v>
      </c>
      <c r="D355" s="645"/>
      <c r="E355" s="180" t="s">
        <v>291</v>
      </c>
      <c r="F355" s="203"/>
      <c r="G355" s="203"/>
      <c r="H355" s="204" t="s">
        <v>289</v>
      </c>
      <c r="I355" s="205"/>
      <c r="J355" s="206">
        <f>M355+Y355+AK355+AW355</f>
        <v>0</v>
      </c>
      <c r="K355" s="220"/>
      <c r="L355" s="220"/>
      <c r="M355" s="206">
        <f>SUMPRODUCT(N355:X355,N$22:X$22,N$29:X$29)/1000</f>
        <v>0</v>
      </c>
      <c r="N355" s="220"/>
      <c r="O355" s="1093">
        <f t="shared" ref="O355:W355" si="499">IF(OR(O$22=0,O$29=0,($M$187+$M$186)=0),0,
-(O275*$M$187/($M$187+$M$186)*$M$224*1000)/(O22*O29))</f>
        <v>0</v>
      </c>
      <c r="P355" s="1093">
        <f t="shared" si="499"/>
        <v>0</v>
      </c>
      <c r="Q355" s="1093">
        <f t="shared" si="499"/>
        <v>0</v>
      </c>
      <c r="R355" s="1093">
        <f t="shared" si="499"/>
        <v>0</v>
      </c>
      <c r="S355" s="1093">
        <f t="shared" si="499"/>
        <v>0</v>
      </c>
      <c r="T355" s="1093">
        <f t="shared" si="499"/>
        <v>0</v>
      </c>
      <c r="U355" s="1093">
        <f t="shared" si="499"/>
        <v>0</v>
      </c>
      <c r="V355" s="1093">
        <f t="shared" si="499"/>
        <v>0</v>
      </c>
      <c r="W355" s="1093">
        <f t="shared" si="499"/>
        <v>0</v>
      </c>
      <c r="X355" s="174"/>
      <c r="Y355" s="206">
        <f>SUMPRODUCT(Z355:AJ355,Z$22:AJ$22,Z$29:AJ$29)/1000</f>
        <v>0</v>
      </c>
      <c r="Z355" s="220"/>
      <c r="AA355" s="1093">
        <f t="shared" ref="AA355:AI355" si="500">IF(OR(AA$22=0,AA$29=0,($Y$187+$Y$186)=0),0,
-(AA275*$Y$187/($Y$187+$Y$186)*$Y$224*1000)/(AA22*AA29))</f>
        <v>0</v>
      </c>
      <c r="AB355" s="1093">
        <f t="shared" si="500"/>
        <v>0</v>
      </c>
      <c r="AC355" s="1093">
        <f t="shared" si="500"/>
        <v>0</v>
      </c>
      <c r="AD355" s="1093">
        <f t="shared" si="500"/>
        <v>0</v>
      </c>
      <c r="AE355" s="1093">
        <f t="shared" si="500"/>
        <v>0</v>
      </c>
      <c r="AF355" s="1093">
        <f t="shared" si="500"/>
        <v>0</v>
      </c>
      <c r="AG355" s="1093">
        <f t="shared" si="500"/>
        <v>0</v>
      </c>
      <c r="AH355" s="1093">
        <f t="shared" si="500"/>
        <v>0</v>
      </c>
      <c r="AI355" s="1093">
        <f t="shared" si="500"/>
        <v>0</v>
      </c>
      <c r="AJ355" s="174"/>
      <c r="AK355" s="206">
        <f>SUMPRODUCT(AL355:AV355,AL$22:AV$22,AL$29:AV$29)/1000</f>
        <v>0</v>
      </c>
      <c r="AL355" s="1091"/>
      <c r="AM355" s="1093">
        <f t="shared" ref="AM355:AU355" si="501">IF(OR(AM$22=0,AM$29=0,($AK$187+$AK$186)=0),0,
-(AM275*$AK$187/($AK$187+$AK$186)*$AK$224*1000)/(AM22*AM29))</f>
        <v>0</v>
      </c>
      <c r="AN355" s="1093">
        <f t="shared" si="501"/>
        <v>0</v>
      </c>
      <c r="AO355" s="1093">
        <f t="shared" si="501"/>
        <v>0</v>
      </c>
      <c r="AP355" s="1093">
        <f t="shared" si="501"/>
        <v>0</v>
      </c>
      <c r="AQ355" s="1093">
        <f t="shared" si="501"/>
        <v>0</v>
      </c>
      <c r="AR355" s="1093">
        <f t="shared" si="501"/>
        <v>0</v>
      </c>
      <c r="AS355" s="1093">
        <f t="shared" si="501"/>
        <v>0</v>
      </c>
      <c r="AT355" s="1093">
        <f t="shared" si="501"/>
        <v>0</v>
      </c>
      <c r="AU355" s="1093">
        <f t="shared" si="501"/>
        <v>0</v>
      </c>
      <c r="AV355" s="174"/>
      <c r="AW355" s="206">
        <f>SUMPRODUCT(AX355:BH355,AX$22:BH$22,AX$29:BH$29)/1000</f>
        <v>0</v>
      </c>
      <c r="AX355" s="1091"/>
      <c r="AY355" s="1093">
        <f t="shared" ref="AY355:BG355" si="502">IF(OR(AY$22=0,AY$29=0,($AW$187+$AW$186)=0),0,
-(AY275*$AW$187/($AW$187+$AW$186)*$AW$224*1000)/(AY22*AY29))</f>
        <v>0</v>
      </c>
      <c r="AZ355" s="1093">
        <f t="shared" si="502"/>
        <v>0</v>
      </c>
      <c r="BA355" s="1093">
        <f t="shared" si="502"/>
        <v>0</v>
      </c>
      <c r="BB355" s="1093">
        <f t="shared" si="502"/>
        <v>0</v>
      </c>
      <c r="BC355" s="1093">
        <f t="shared" si="502"/>
        <v>0</v>
      </c>
      <c r="BD355" s="1093">
        <f t="shared" si="502"/>
        <v>0</v>
      </c>
      <c r="BE355" s="1093">
        <f t="shared" si="502"/>
        <v>0</v>
      </c>
      <c r="BF355" s="1093">
        <f t="shared" si="502"/>
        <v>0</v>
      </c>
      <c r="BG355" s="1093">
        <f t="shared" si="502"/>
        <v>0</v>
      </c>
      <c r="BH355" s="210"/>
    </row>
    <row r="356" spans="1:60" s="2" customFormat="1">
      <c r="A356" s="1038"/>
      <c r="B356" s="1110" t="s">
        <v>1224</v>
      </c>
      <c r="C356" s="1106" t="s">
        <v>104</v>
      </c>
      <c r="D356" s="645"/>
      <c r="E356" s="180" t="s">
        <v>292</v>
      </c>
      <c r="F356" s="203"/>
      <c r="G356" s="203"/>
      <c r="H356" s="204" t="s">
        <v>289</v>
      </c>
      <c r="I356" s="205"/>
      <c r="J356" s="206">
        <f>M356+Y356+AK356+AW356</f>
        <v>0</v>
      </c>
      <c r="K356" s="220"/>
      <c r="L356" s="220"/>
      <c r="M356" s="206">
        <f>SUMPRODUCT(N356:X356,N$22:X$22,N$29:X$29)/1000</f>
        <v>0</v>
      </c>
      <c r="N356" s="220"/>
      <c r="O356" s="1093">
        <f t="shared" ref="O356:W356" si="503">IF(OR(O$22=0,O$29=0,($M$187+$M$186)=0),0,
-O73*$M$224/($M$187+$M$186)/O29)</f>
        <v>0</v>
      </c>
      <c r="P356" s="1093">
        <f t="shared" si="503"/>
        <v>0</v>
      </c>
      <c r="Q356" s="1093">
        <f t="shared" si="503"/>
        <v>0</v>
      </c>
      <c r="R356" s="1093">
        <f t="shared" si="503"/>
        <v>0</v>
      </c>
      <c r="S356" s="1093">
        <f t="shared" si="503"/>
        <v>0</v>
      </c>
      <c r="T356" s="1093">
        <f t="shared" si="503"/>
        <v>0</v>
      </c>
      <c r="U356" s="1093">
        <f t="shared" si="503"/>
        <v>0</v>
      </c>
      <c r="V356" s="1093">
        <f t="shared" si="503"/>
        <v>0</v>
      </c>
      <c r="W356" s="1093">
        <f t="shared" si="503"/>
        <v>0</v>
      </c>
      <c r="X356" s="174"/>
      <c r="Y356" s="206">
        <f>SUMPRODUCT(Z356:AJ356,Z$22:AJ$22,Z$29:AJ$29)/1000</f>
        <v>0</v>
      </c>
      <c r="Z356" s="220"/>
      <c r="AA356" s="1093">
        <f t="shared" ref="AA356:AI356" si="504">IF(OR(AA$22=0,AA$29=0,($Y$187+$Y$186)=0),0,
-AA73*$Y$224/($Y$187+$Y$186)/AA29)</f>
        <v>0</v>
      </c>
      <c r="AB356" s="1093">
        <f t="shared" si="504"/>
        <v>0</v>
      </c>
      <c r="AC356" s="1093">
        <f t="shared" si="504"/>
        <v>0</v>
      </c>
      <c r="AD356" s="1093">
        <f t="shared" si="504"/>
        <v>0</v>
      </c>
      <c r="AE356" s="1093">
        <f t="shared" si="504"/>
        <v>0</v>
      </c>
      <c r="AF356" s="1093">
        <f t="shared" si="504"/>
        <v>0</v>
      </c>
      <c r="AG356" s="1093">
        <f t="shared" si="504"/>
        <v>0</v>
      </c>
      <c r="AH356" s="1093">
        <f t="shared" si="504"/>
        <v>0</v>
      </c>
      <c r="AI356" s="1093">
        <f t="shared" si="504"/>
        <v>0</v>
      </c>
      <c r="AJ356" s="174"/>
      <c r="AK356" s="206">
        <f>SUMPRODUCT(AL356:AV356,AL$22:AV$22,AL$29:AV$29)/1000</f>
        <v>0</v>
      </c>
      <c r="AL356" s="1091"/>
      <c r="AM356" s="1093">
        <f t="shared" ref="AM356:AU356" si="505">IF(OR(AM$22=0,AM$29=0,($AK$187+$AK$186)=0),0,
-AM73*$AK$224/($AK$187+$AK$186)/AM29)</f>
        <v>0</v>
      </c>
      <c r="AN356" s="1093">
        <f t="shared" si="505"/>
        <v>0</v>
      </c>
      <c r="AO356" s="1093">
        <f t="shared" si="505"/>
        <v>0</v>
      </c>
      <c r="AP356" s="1093">
        <f t="shared" si="505"/>
        <v>0</v>
      </c>
      <c r="AQ356" s="1093">
        <f t="shared" si="505"/>
        <v>0</v>
      </c>
      <c r="AR356" s="1093">
        <f t="shared" si="505"/>
        <v>0</v>
      </c>
      <c r="AS356" s="1093">
        <f t="shared" si="505"/>
        <v>0</v>
      </c>
      <c r="AT356" s="1093">
        <f t="shared" si="505"/>
        <v>0</v>
      </c>
      <c r="AU356" s="1093">
        <f t="shared" si="505"/>
        <v>0</v>
      </c>
      <c r="AV356" s="174"/>
      <c r="AW356" s="206">
        <f>SUMPRODUCT(AX356:BH356,AX$22:BH$22,AX$29:BH$29)/1000</f>
        <v>0</v>
      </c>
      <c r="AX356" s="1091"/>
      <c r="AY356" s="1093">
        <f t="shared" ref="AY356:BG356" si="506">IF(OR(AY$22=0,AY$29=0,($AW$187+$AW$186)=0),0,
-AY73*$AW$224/($AW$187+$AW$186)/AY29)</f>
        <v>0</v>
      </c>
      <c r="AZ356" s="1093">
        <f t="shared" si="506"/>
        <v>0</v>
      </c>
      <c r="BA356" s="1093">
        <f t="shared" si="506"/>
        <v>0</v>
      </c>
      <c r="BB356" s="1093">
        <f t="shared" si="506"/>
        <v>0</v>
      </c>
      <c r="BC356" s="1093">
        <f t="shared" si="506"/>
        <v>0</v>
      </c>
      <c r="BD356" s="1093">
        <f t="shared" si="506"/>
        <v>0</v>
      </c>
      <c r="BE356" s="1093">
        <f t="shared" si="506"/>
        <v>0</v>
      </c>
      <c r="BF356" s="1093">
        <f t="shared" si="506"/>
        <v>0</v>
      </c>
      <c r="BG356" s="1093">
        <f t="shared" si="506"/>
        <v>0</v>
      </c>
      <c r="BH356" s="210"/>
    </row>
    <row r="357" spans="1:60" s="2" customFormat="1">
      <c r="A357" s="1038"/>
      <c r="B357" s="1110" t="s">
        <v>1224</v>
      </c>
      <c r="C357" s="1106" t="s">
        <v>104</v>
      </c>
      <c r="D357" s="645"/>
      <c r="E357" s="203" t="s">
        <v>293</v>
      </c>
      <c r="F357" s="203"/>
      <c r="G357" s="203"/>
      <c r="H357" s="204" t="s">
        <v>289</v>
      </c>
      <c r="I357" s="205"/>
      <c r="J357" s="206">
        <f>M357+Y357+AK357+AW357</f>
        <v>0</v>
      </c>
      <c r="K357" s="220"/>
      <c r="L357" s="220"/>
      <c r="M357" s="206">
        <f>M355+M356</f>
        <v>0</v>
      </c>
      <c r="N357" s="220"/>
      <c r="O357" s="1093">
        <f t="shared" ref="O357:W357" si="507">O355+O356</f>
        <v>0</v>
      </c>
      <c r="P357" s="1093">
        <f t="shared" si="507"/>
        <v>0</v>
      </c>
      <c r="Q357" s="1093">
        <f t="shared" si="507"/>
        <v>0</v>
      </c>
      <c r="R357" s="1093">
        <f t="shared" si="507"/>
        <v>0</v>
      </c>
      <c r="S357" s="1093">
        <f t="shared" si="507"/>
        <v>0</v>
      </c>
      <c r="T357" s="1093">
        <f>T355+T356</f>
        <v>0</v>
      </c>
      <c r="U357" s="1093">
        <f t="shared" si="507"/>
        <v>0</v>
      </c>
      <c r="V357" s="1093">
        <f t="shared" si="507"/>
        <v>0</v>
      </c>
      <c r="W357" s="1093">
        <f t="shared" si="507"/>
        <v>0</v>
      </c>
      <c r="X357" s="174"/>
      <c r="Y357" s="206">
        <f>Y355+Y356</f>
        <v>0</v>
      </c>
      <c r="Z357" s="220"/>
      <c r="AA357" s="1093">
        <f t="shared" ref="AA357:AI357" si="508">AA355+AA356</f>
        <v>0</v>
      </c>
      <c r="AB357" s="1093">
        <f t="shared" si="508"/>
        <v>0</v>
      </c>
      <c r="AC357" s="1093">
        <f t="shared" si="508"/>
        <v>0</v>
      </c>
      <c r="AD357" s="1093">
        <f t="shared" si="508"/>
        <v>0</v>
      </c>
      <c r="AE357" s="1093">
        <f t="shared" si="508"/>
        <v>0</v>
      </c>
      <c r="AF357" s="1093">
        <f>AF355+AF356</f>
        <v>0</v>
      </c>
      <c r="AG357" s="1093">
        <f t="shared" si="508"/>
        <v>0</v>
      </c>
      <c r="AH357" s="1093">
        <f t="shared" si="508"/>
        <v>0</v>
      </c>
      <c r="AI357" s="1093">
        <f t="shared" si="508"/>
        <v>0</v>
      </c>
      <c r="AJ357" s="174"/>
      <c r="AK357" s="206">
        <f>AK355+AK356</f>
        <v>0</v>
      </c>
      <c r="AL357" s="1091"/>
      <c r="AM357" s="1093">
        <f t="shared" ref="AM357:AU357" si="509">AM355+AM356</f>
        <v>0</v>
      </c>
      <c r="AN357" s="1093">
        <f t="shared" si="509"/>
        <v>0</v>
      </c>
      <c r="AO357" s="1093">
        <f t="shared" si="509"/>
        <v>0</v>
      </c>
      <c r="AP357" s="1093">
        <f t="shared" si="509"/>
        <v>0</v>
      </c>
      <c r="AQ357" s="1093">
        <f t="shared" si="509"/>
        <v>0</v>
      </c>
      <c r="AR357" s="1093">
        <f>AR355+AR356</f>
        <v>0</v>
      </c>
      <c r="AS357" s="1093">
        <f t="shared" si="509"/>
        <v>0</v>
      </c>
      <c r="AT357" s="1093">
        <f t="shared" si="509"/>
        <v>0</v>
      </c>
      <c r="AU357" s="1093">
        <f t="shared" si="509"/>
        <v>0</v>
      </c>
      <c r="AV357" s="174"/>
      <c r="AW357" s="206">
        <f>AW355+AW356</f>
        <v>0</v>
      </c>
      <c r="AX357" s="1091"/>
      <c r="AY357" s="1093">
        <f t="shared" ref="AY357:BG357" si="510">AY355+AY356</f>
        <v>0</v>
      </c>
      <c r="AZ357" s="1093">
        <f t="shared" si="510"/>
        <v>0</v>
      </c>
      <c r="BA357" s="1093">
        <f t="shared" si="510"/>
        <v>0</v>
      </c>
      <c r="BB357" s="1093">
        <f t="shared" si="510"/>
        <v>0</v>
      </c>
      <c r="BC357" s="1093">
        <f t="shared" si="510"/>
        <v>0</v>
      </c>
      <c r="BD357" s="1093">
        <f>BD355+BD356</f>
        <v>0</v>
      </c>
      <c r="BE357" s="1093">
        <f t="shared" si="510"/>
        <v>0</v>
      </c>
      <c r="BF357" s="1093">
        <f t="shared" si="510"/>
        <v>0</v>
      </c>
      <c r="BG357" s="1093">
        <f t="shared" si="510"/>
        <v>0</v>
      </c>
      <c r="BH357" s="210"/>
    </row>
    <row r="358" spans="1:60" s="2" customFormat="1">
      <c r="A358" s="1038"/>
      <c r="B358" s="1110" t="s">
        <v>1224</v>
      </c>
      <c r="C358" s="1106" t="s">
        <v>96</v>
      </c>
      <c r="D358" s="644"/>
      <c r="E358" s="942" t="s">
        <v>107</v>
      </c>
      <c r="F358" s="942"/>
      <c r="G358" s="942"/>
      <c r="H358" s="942"/>
      <c r="I358" s="129"/>
      <c r="J358" s="943"/>
      <c r="K358" s="1094"/>
      <c r="L358" s="1094"/>
      <c r="M358" s="944"/>
      <c r="N358" s="1095"/>
      <c r="O358" s="258" t="str">
        <f>O$17</f>
        <v/>
      </c>
      <c r="P358" s="258" t="str">
        <f t="shared" ref="P358:W358" si="511">P$17</f>
        <v/>
      </c>
      <c r="Q358" s="258" t="str">
        <f t="shared" si="511"/>
        <v/>
      </c>
      <c r="R358" s="258" t="str">
        <f t="shared" si="511"/>
        <v/>
      </c>
      <c r="S358" s="258" t="str">
        <f t="shared" si="511"/>
        <v/>
      </c>
      <c r="T358" s="258" t="str">
        <f t="shared" si="511"/>
        <v/>
      </c>
      <c r="U358" s="258" t="str">
        <f t="shared" si="511"/>
        <v/>
      </c>
      <c r="V358" s="258" t="str">
        <f t="shared" si="511"/>
        <v/>
      </c>
      <c r="W358" s="258" t="str">
        <f t="shared" si="511"/>
        <v/>
      </c>
      <c r="X358" s="1095"/>
      <c r="Y358" s="944"/>
      <c r="Z358" s="1095"/>
      <c r="AA358" s="258" t="str">
        <f>AA$17</f>
        <v/>
      </c>
      <c r="AB358" s="258" t="str">
        <f t="shared" ref="AB358:AI358" si="512">AB$17</f>
        <v/>
      </c>
      <c r="AC358" s="258" t="str">
        <f t="shared" si="512"/>
        <v/>
      </c>
      <c r="AD358" s="258" t="str">
        <f t="shared" si="512"/>
        <v/>
      </c>
      <c r="AE358" s="258" t="str">
        <f t="shared" si="512"/>
        <v/>
      </c>
      <c r="AF358" s="258" t="str">
        <f t="shared" si="512"/>
        <v/>
      </c>
      <c r="AG358" s="258" t="str">
        <f t="shared" si="512"/>
        <v/>
      </c>
      <c r="AH358" s="258" t="str">
        <f t="shared" si="512"/>
        <v/>
      </c>
      <c r="AI358" s="258" t="str">
        <f t="shared" si="512"/>
        <v/>
      </c>
      <c r="AJ358" s="1095"/>
      <c r="AK358" s="944"/>
      <c r="AL358" s="1095"/>
      <c r="AM358" s="258" t="str">
        <f>AM$17</f>
        <v/>
      </c>
      <c r="AN358" s="258" t="str">
        <f t="shared" ref="AN358:AU358" si="513">AN$17</f>
        <v/>
      </c>
      <c r="AO358" s="258" t="str">
        <f t="shared" si="513"/>
        <v/>
      </c>
      <c r="AP358" s="258" t="str">
        <f t="shared" si="513"/>
        <v/>
      </c>
      <c r="AQ358" s="258" t="str">
        <f t="shared" si="513"/>
        <v/>
      </c>
      <c r="AR358" s="258" t="str">
        <f t="shared" si="513"/>
        <v/>
      </c>
      <c r="AS358" s="258" t="str">
        <f t="shared" si="513"/>
        <v/>
      </c>
      <c r="AT358" s="258" t="str">
        <f t="shared" si="513"/>
        <v/>
      </c>
      <c r="AU358" s="258" t="str">
        <f t="shared" si="513"/>
        <v/>
      </c>
      <c r="AV358" s="1095"/>
      <c r="AW358" s="944"/>
      <c r="AX358" s="1095"/>
      <c r="AY358" s="258" t="str">
        <f>AY$17</f>
        <v/>
      </c>
      <c r="AZ358" s="258" t="str">
        <f t="shared" ref="AZ358:BG358" si="514">AZ$17</f>
        <v/>
      </c>
      <c r="BA358" s="258" t="str">
        <f t="shared" si="514"/>
        <v/>
      </c>
      <c r="BB358" s="258" t="str">
        <f t="shared" si="514"/>
        <v/>
      </c>
      <c r="BC358" s="258" t="str">
        <f t="shared" si="514"/>
        <v/>
      </c>
      <c r="BD358" s="258" t="str">
        <f t="shared" si="514"/>
        <v/>
      </c>
      <c r="BE358" s="258" t="str">
        <f t="shared" si="514"/>
        <v/>
      </c>
      <c r="BF358" s="258" t="str">
        <f t="shared" si="514"/>
        <v/>
      </c>
      <c r="BG358" s="258" t="str">
        <f t="shared" si="514"/>
        <v/>
      </c>
    </row>
    <row r="359" spans="1:60" s="2" customFormat="1">
      <c r="A359" s="1038"/>
      <c r="B359" s="1110" t="s">
        <v>1224</v>
      </c>
      <c r="C359" s="1106" t="s">
        <v>104</v>
      </c>
      <c r="D359" s="645"/>
      <c r="E359" s="203" t="s">
        <v>1340</v>
      </c>
      <c r="F359" s="203"/>
      <c r="G359" s="203"/>
      <c r="H359" s="204" t="s">
        <v>289</v>
      </c>
      <c r="I359" s="205"/>
      <c r="J359" s="206">
        <f>M359+Y359+AK359+AW359</f>
        <v>0</v>
      </c>
      <c r="K359" s="220"/>
      <c r="L359" s="220"/>
      <c r="M359" s="206">
        <f>SUMPRODUCT(N359:X359,N$22:X$22,N$29:X$29)/1000</f>
        <v>0</v>
      </c>
      <c r="N359" s="220"/>
      <c r="O359" s="1093">
        <f t="shared" ref="O359:W359" si="515">O353+O357</f>
        <v>0</v>
      </c>
      <c r="P359" s="1093">
        <f t="shared" si="515"/>
        <v>0</v>
      </c>
      <c r="Q359" s="1093">
        <f t="shared" si="515"/>
        <v>0</v>
      </c>
      <c r="R359" s="1093">
        <f t="shared" si="515"/>
        <v>0</v>
      </c>
      <c r="S359" s="1093">
        <f t="shared" si="515"/>
        <v>0</v>
      </c>
      <c r="T359" s="1093">
        <f>T353+T357</f>
        <v>0</v>
      </c>
      <c r="U359" s="1093">
        <f t="shared" si="515"/>
        <v>0</v>
      </c>
      <c r="V359" s="1093">
        <f t="shared" si="515"/>
        <v>0</v>
      </c>
      <c r="W359" s="1093">
        <f t="shared" si="515"/>
        <v>0</v>
      </c>
      <c r="X359" s="174"/>
      <c r="Y359" s="206">
        <f>SUMPRODUCT(Z359:AJ359,Z$22:AJ$22,Z$29:AJ$29)/1000</f>
        <v>0</v>
      </c>
      <c r="Z359" s="220"/>
      <c r="AA359" s="1093">
        <f t="shared" ref="AA359:AE359" si="516">AA353+AA357</f>
        <v>0</v>
      </c>
      <c r="AB359" s="1093">
        <f t="shared" si="516"/>
        <v>0</v>
      </c>
      <c r="AC359" s="1093">
        <f t="shared" si="516"/>
        <v>0</v>
      </c>
      <c r="AD359" s="1093">
        <f t="shared" si="516"/>
        <v>0</v>
      </c>
      <c r="AE359" s="1093">
        <f t="shared" si="516"/>
        <v>0</v>
      </c>
      <c r="AF359" s="1093">
        <f>AF353+AF357</f>
        <v>0</v>
      </c>
      <c r="AG359" s="1093">
        <f t="shared" ref="AG359:AI359" si="517">AG353+AG357</f>
        <v>0</v>
      </c>
      <c r="AH359" s="1093">
        <f t="shared" si="517"/>
        <v>0</v>
      </c>
      <c r="AI359" s="1093">
        <f t="shared" si="517"/>
        <v>0</v>
      </c>
      <c r="AJ359" s="174"/>
      <c r="AK359" s="206">
        <f>SUMPRODUCT(AL359:AV359,AL$22:AV$22,AL$29:AV$29)/1000</f>
        <v>0</v>
      </c>
      <c r="AL359" s="1091"/>
      <c r="AM359" s="1093">
        <f t="shared" ref="AM359:AQ359" si="518">AM353+AM357</f>
        <v>0</v>
      </c>
      <c r="AN359" s="1093">
        <f t="shared" si="518"/>
        <v>0</v>
      </c>
      <c r="AO359" s="1093">
        <f t="shared" si="518"/>
        <v>0</v>
      </c>
      <c r="AP359" s="1093">
        <f t="shared" si="518"/>
        <v>0</v>
      </c>
      <c r="AQ359" s="1093">
        <f t="shared" si="518"/>
        <v>0</v>
      </c>
      <c r="AR359" s="1093">
        <f>AR353+AR357</f>
        <v>0</v>
      </c>
      <c r="AS359" s="1093">
        <f t="shared" ref="AS359:AU359" si="519">AS353+AS357</f>
        <v>0</v>
      </c>
      <c r="AT359" s="1093">
        <f t="shared" si="519"/>
        <v>0</v>
      </c>
      <c r="AU359" s="1093">
        <f t="shared" si="519"/>
        <v>0</v>
      </c>
      <c r="AV359" s="174"/>
      <c r="AW359" s="206">
        <f>SUMPRODUCT(AX359:BH359,AX$22:BH$22,AX$29:BH$29)/1000</f>
        <v>0</v>
      </c>
      <c r="AX359" s="1091"/>
      <c r="AY359" s="1093">
        <f t="shared" ref="AY359:BC359" si="520">AY353+AY357</f>
        <v>0</v>
      </c>
      <c r="AZ359" s="1093">
        <f t="shared" si="520"/>
        <v>0</v>
      </c>
      <c r="BA359" s="1093">
        <f t="shared" si="520"/>
        <v>0</v>
      </c>
      <c r="BB359" s="1093">
        <f t="shared" si="520"/>
        <v>0</v>
      </c>
      <c r="BC359" s="1093">
        <f t="shared" si="520"/>
        <v>0</v>
      </c>
      <c r="BD359" s="1093">
        <f>BD353+BD357</f>
        <v>0</v>
      </c>
      <c r="BE359" s="1093">
        <f t="shared" ref="BE359:BG359" si="521">BE353+BE357</f>
        <v>0</v>
      </c>
      <c r="BF359" s="1093">
        <f t="shared" si="521"/>
        <v>0</v>
      </c>
      <c r="BG359" s="1093">
        <f t="shared" si="521"/>
        <v>0</v>
      </c>
      <c r="BH359" s="210"/>
    </row>
    <row r="360" spans="1:60" s="2" customFormat="1">
      <c r="A360" s="1038"/>
      <c r="B360" s="1110" t="s">
        <v>1224</v>
      </c>
      <c r="C360" s="1106" t="s">
        <v>104</v>
      </c>
      <c r="D360" s="645"/>
      <c r="E360" s="203" t="s">
        <v>1341</v>
      </c>
      <c r="F360" s="203"/>
      <c r="G360" s="203"/>
      <c r="H360" s="204" t="s">
        <v>289</v>
      </c>
      <c r="I360" s="205"/>
      <c r="J360" s="206">
        <f>M360+Y360+AK360+AW360</f>
        <v>0</v>
      </c>
      <c r="K360" s="220"/>
      <c r="L360" s="220"/>
      <c r="M360" s="206">
        <f>SUMPRODUCT(N360:X360,N$22:X$22,N$29:X$29)/1000</f>
        <v>0</v>
      </c>
      <c r="N360" s="220"/>
      <c r="O360" s="1093">
        <f t="shared" ref="O360:W360" si="522">O$345+O$346+O$347+IF(OR(O$19=woning,O$19=woongebouw),0,O$348)+O$349+O$357</f>
        <v>0</v>
      </c>
      <c r="P360" s="1093">
        <f t="shared" si="522"/>
        <v>0</v>
      </c>
      <c r="Q360" s="1093">
        <f t="shared" si="522"/>
        <v>0</v>
      </c>
      <c r="R360" s="1093">
        <f t="shared" si="522"/>
        <v>0</v>
      </c>
      <c r="S360" s="1093">
        <f t="shared" si="522"/>
        <v>0</v>
      </c>
      <c r="T360" s="1093">
        <f t="shared" si="522"/>
        <v>0</v>
      </c>
      <c r="U360" s="1093">
        <f t="shared" si="522"/>
        <v>0</v>
      </c>
      <c r="V360" s="1093">
        <f t="shared" si="522"/>
        <v>0</v>
      </c>
      <c r="W360" s="1093">
        <f t="shared" si="522"/>
        <v>0</v>
      </c>
      <c r="X360" s="174"/>
      <c r="Y360" s="206">
        <f>SUMPRODUCT(Z360:AJ360,Z$22:AJ$22,Z$29:AJ$29)/1000</f>
        <v>0</v>
      </c>
      <c r="Z360" s="220"/>
      <c r="AA360" s="1093">
        <f t="shared" ref="AA360:AI360" si="523">AA$345+AA$346+AA$347+IF(OR(AA$19=woning,AA$19=woongebouw),0,AA$348)+AA$349+AA$357</f>
        <v>0</v>
      </c>
      <c r="AB360" s="1093">
        <f t="shared" si="523"/>
        <v>0</v>
      </c>
      <c r="AC360" s="1093">
        <f t="shared" si="523"/>
        <v>0</v>
      </c>
      <c r="AD360" s="1093">
        <f t="shared" si="523"/>
        <v>0</v>
      </c>
      <c r="AE360" s="1093">
        <f t="shared" si="523"/>
        <v>0</v>
      </c>
      <c r="AF360" s="1093">
        <f t="shared" si="523"/>
        <v>0</v>
      </c>
      <c r="AG360" s="1093">
        <f t="shared" si="523"/>
        <v>0</v>
      </c>
      <c r="AH360" s="1093">
        <f t="shared" si="523"/>
        <v>0</v>
      </c>
      <c r="AI360" s="1093">
        <f t="shared" si="523"/>
        <v>0</v>
      </c>
      <c r="AJ360" s="174"/>
      <c r="AK360" s="206">
        <f>SUMPRODUCT(AL360:AV360,AL$22:AV$22,AL$29:AV$29)/1000</f>
        <v>0</v>
      </c>
      <c r="AL360" s="1091"/>
      <c r="AM360" s="1093">
        <f t="shared" ref="AM360:AU360" si="524">AM$345+AM$346+AM$347+IF(OR(AM$19=woning,AM$19=woongebouw),0,AM$348)+AM$349+AM$357</f>
        <v>0</v>
      </c>
      <c r="AN360" s="1093">
        <f t="shared" si="524"/>
        <v>0</v>
      </c>
      <c r="AO360" s="1093">
        <f t="shared" si="524"/>
        <v>0</v>
      </c>
      <c r="AP360" s="1093">
        <f t="shared" si="524"/>
        <v>0</v>
      </c>
      <c r="AQ360" s="1093">
        <f t="shared" si="524"/>
        <v>0</v>
      </c>
      <c r="AR360" s="1093">
        <f t="shared" si="524"/>
        <v>0</v>
      </c>
      <c r="AS360" s="1093">
        <f t="shared" si="524"/>
        <v>0</v>
      </c>
      <c r="AT360" s="1093">
        <f t="shared" si="524"/>
        <v>0</v>
      </c>
      <c r="AU360" s="1093">
        <f t="shared" si="524"/>
        <v>0</v>
      </c>
      <c r="AV360" s="174"/>
      <c r="AW360" s="206">
        <f>SUMPRODUCT(AX360:BH360,AX$22:BH$22,AX$29:BH$29)/1000</f>
        <v>0</v>
      </c>
      <c r="AX360" s="1091"/>
      <c r="AY360" s="1093">
        <f t="shared" ref="AY360:BG360" si="525">AY$345+AY$346+AY$347+IF(OR(AY$19=woning,AY$19=woongebouw),0,AY$348)+AY$349+AY$357</f>
        <v>0</v>
      </c>
      <c r="AZ360" s="1093">
        <f t="shared" si="525"/>
        <v>0</v>
      </c>
      <c r="BA360" s="1093">
        <f t="shared" si="525"/>
        <v>0</v>
      </c>
      <c r="BB360" s="1093">
        <f t="shared" si="525"/>
        <v>0</v>
      </c>
      <c r="BC360" s="1093">
        <f t="shared" si="525"/>
        <v>0</v>
      </c>
      <c r="BD360" s="1093">
        <f t="shared" si="525"/>
        <v>0</v>
      </c>
      <c r="BE360" s="1093">
        <f t="shared" si="525"/>
        <v>0</v>
      </c>
      <c r="BF360" s="1093">
        <f t="shared" si="525"/>
        <v>0</v>
      </c>
      <c r="BG360" s="1093">
        <f t="shared" si="525"/>
        <v>0</v>
      </c>
      <c r="BH360" s="210"/>
    </row>
    <row r="361" spans="1:60">
      <c r="A361" s="1040"/>
      <c r="B361" s="1109" t="s">
        <v>1219</v>
      </c>
      <c r="C361" s="1106" t="s">
        <v>96</v>
      </c>
      <c r="D361" s="638"/>
      <c r="E361" s="79"/>
      <c r="F361" s="79"/>
      <c r="G361" s="79"/>
      <c r="H361" s="85"/>
      <c r="I361" s="79"/>
      <c r="J361" s="113"/>
      <c r="K361" s="79"/>
      <c r="L361" s="79"/>
      <c r="M361" s="113"/>
      <c r="N361" s="79"/>
      <c r="O361" s="81"/>
      <c r="P361" s="1163"/>
      <c r="Q361" s="81"/>
      <c r="R361" s="81"/>
      <c r="S361" s="81"/>
      <c r="T361" s="81"/>
      <c r="U361" s="81"/>
      <c r="V361" s="81"/>
      <c r="W361" s="81"/>
      <c r="X361" s="82"/>
      <c r="Y361" s="82"/>
      <c r="Z361" s="79"/>
      <c r="AA361" s="79"/>
      <c r="AB361" s="79"/>
      <c r="AC361" s="79"/>
      <c r="AD361" s="79"/>
      <c r="AE361" s="79"/>
      <c r="AF361" s="79"/>
      <c r="AG361" s="79"/>
      <c r="AH361" s="79"/>
      <c r="AI361" s="79"/>
      <c r="AJ361" s="79"/>
      <c r="AK361" s="113"/>
      <c r="AL361" s="79"/>
      <c r="AM361" s="82"/>
      <c r="AN361" s="82"/>
      <c r="AO361" s="82"/>
      <c r="AP361" s="82"/>
      <c r="AQ361" s="82"/>
      <c r="AR361" s="82"/>
      <c r="AS361" s="82"/>
      <c r="AT361" s="82"/>
      <c r="AU361" s="82"/>
      <c r="AV361" s="82"/>
      <c r="AW361" s="82"/>
      <c r="AX361" s="79"/>
      <c r="AY361" s="82"/>
      <c r="AZ361" s="82"/>
      <c r="BA361" s="82"/>
      <c r="BB361" s="82"/>
      <c r="BC361" s="82"/>
      <c r="BD361" s="82"/>
      <c r="BE361" s="82"/>
      <c r="BF361" s="82"/>
      <c r="BG361" s="82"/>
      <c r="BH361" s="1"/>
    </row>
    <row r="362" spans="1:60">
      <c r="A362" s="1040"/>
      <c r="B362" s="1109" t="s">
        <v>1221</v>
      </c>
      <c r="C362" s="1106" t="s">
        <v>96</v>
      </c>
      <c r="D362" s="638"/>
      <c r="E362" s="1184"/>
      <c r="F362" s="79"/>
      <c r="G362" s="79"/>
      <c r="H362" s="85"/>
      <c r="I362" s="79"/>
      <c r="J362" s="1088"/>
      <c r="K362" s="79"/>
      <c r="L362" s="79"/>
      <c r="M362" s="113"/>
      <c r="N362" s="79"/>
      <c r="O362" s="1087"/>
      <c r="P362" s="1087"/>
      <c r="Q362" s="1087"/>
      <c r="R362" s="1087"/>
      <c r="S362" s="1087"/>
      <c r="T362" s="1087"/>
      <c r="U362" s="1087"/>
      <c r="V362" s="1087"/>
      <c r="W362" s="1087"/>
      <c r="X362" s="82"/>
      <c r="Y362" s="82"/>
      <c r="Z362" s="79"/>
      <c r="AA362" s="79"/>
      <c r="AB362" s="79"/>
      <c r="AC362" s="79"/>
      <c r="AD362" s="79"/>
      <c r="AE362" s="79"/>
      <c r="AF362" s="79"/>
      <c r="AG362" s="79"/>
      <c r="AH362" s="79"/>
      <c r="AI362" s="79"/>
      <c r="AJ362" s="79"/>
      <c r="AK362" s="113"/>
      <c r="AL362" s="79"/>
      <c r="AM362" s="82"/>
      <c r="AN362" s="82"/>
      <c r="AO362" s="82"/>
      <c r="AP362" s="82"/>
      <c r="AQ362" s="82"/>
      <c r="AR362" s="82"/>
      <c r="AS362" s="82"/>
      <c r="AT362" s="82"/>
      <c r="AU362" s="82"/>
      <c r="AV362" s="82"/>
      <c r="AW362" s="82"/>
      <c r="AX362" s="79"/>
      <c r="AY362" s="82"/>
      <c r="AZ362" s="82"/>
      <c r="BA362" s="82"/>
      <c r="BB362" s="82"/>
      <c r="BC362" s="82"/>
      <c r="BD362" s="82"/>
      <c r="BE362" s="82"/>
      <c r="BF362" s="82"/>
      <c r="BG362" s="82"/>
      <c r="BH362" s="1"/>
    </row>
    <row r="363" spans="1:60" ht="21">
      <c r="A363" s="1040"/>
      <c r="B363" s="1109" t="s">
        <v>1221</v>
      </c>
      <c r="C363" s="1106" t="s">
        <v>96</v>
      </c>
      <c r="D363" s="645" t="s">
        <v>45</v>
      </c>
      <c r="E363" s="209" t="s">
        <v>1362</v>
      </c>
      <c r="F363" s="209"/>
      <c r="G363" s="209"/>
      <c r="H363" s="1188" t="str">
        <f>IF(OR($F$5&lt;&gt;"NTA8800:2026",$F$6&lt;&gt;"EP"),"Voor correcte EP: Kies linksboven 'NTA8800:2026' en 'EP'","")</f>
        <v/>
      </c>
      <c r="I363" s="129"/>
      <c r="J363" s="256"/>
      <c r="K363" s="126"/>
      <c r="L363" s="126"/>
      <c r="M363" s="256" t="str">
        <f>"MWh "&amp;M$8</f>
        <v>MWh locatie 1</v>
      </c>
      <c r="N363" s="182"/>
      <c r="O363" s="955" t="str">
        <f>$E363&amp;" per woning-/gebouwtype"</f>
        <v>primair totaal energiegebruik ZEB per woning-/gebouwtype</v>
      </c>
      <c r="P363" s="945"/>
      <c r="Q363" s="945"/>
      <c r="R363" s="945"/>
      <c r="S363" s="945"/>
      <c r="T363" s="945"/>
      <c r="U363" s="945"/>
      <c r="V363" s="945"/>
      <c r="W363" s="257"/>
      <c r="X363" s="82"/>
      <c r="Y363" s="256" t="str">
        <f>"MWh "&amp;Y$8</f>
        <v>MWh locatie 2</v>
      </c>
      <c r="Z363" s="182"/>
      <c r="AA363" s="955" t="str">
        <f>$E363&amp;" per woning-/gebouwtype"</f>
        <v>primair totaal energiegebruik ZEB per woning-/gebouwtype</v>
      </c>
      <c r="AB363" s="945"/>
      <c r="AC363" s="945"/>
      <c r="AD363" s="945"/>
      <c r="AE363" s="945"/>
      <c r="AF363" s="945"/>
      <c r="AG363" s="945"/>
      <c r="AH363" s="945"/>
      <c r="AI363" s="257"/>
      <c r="AJ363" s="79"/>
      <c r="AK363" s="256" t="str">
        <f>"MWh "&amp;AK$8</f>
        <v>MWh locatie 3</v>
      </c>
      <c r="AL363" s="182"/>
      <c r="AM363" s="955" t="str">
        <f>$E363&amp;" per woning-/gebouwtype"</f>
        <v>primair totaal energiegebruik ZEB per woning-/gebouwtype</v>
      </c>
      <c r="AN363" s="945"/>
      <c r="AO363" s="945"/>
      <c r="AP363" s="945"/>
      <c r="AQ363" s="945"/>
      <c r="AR363" s="945"/>
      <c r="AS363" s="945"/>
      <c r="AT363" s="945"/>
      <c r="AU363" s="257"/>
      <c r="AV363" s="82"/>
      <c r="AW363" s="256" t="str">
        <f>"MWh "&amp;AW$8</f>
        <v>MWh locatie 4</v>
      </c>
      <c r="AX363" s="182"/>
      <c r="AY363" s="955" t="str">
        <f>$E363&amp;" per woning-/gebouwtype"</f>
        <v>primair totaal energiegebruik ZEB per woning-/gebouwtype</v>
      </c>
      <c r="AZ363" s="945"/>
      <c r="BA363" s="945"/>
      <c r="BB363" s="945"/>
      <c r="BC363" s="945"/>
      <c r="BD363" s="945"/>
      <c r="BE363" s="945"/>
      <c r="BF363" s="945"/>
      <c r="BG363" s="257"/>
      <c r="BH363" s="1"/>
    </row>
    <row r="364" spans="1:60">
      <c r="A364" s="1040"/>
      <c r="B364" s="1109" t="s">
        <v>1221</v>
      </c>
      <c r="C364" s="1106" t="s">
        <v>96</v>
      </c>
      <c r="D364" s="645"/>
      <c r="E364" s="942" t="s">
        <v>1330</v>
      </c>
      <c r="F364" s="942"/>
      <c r="G364" s="942"/>
      <c r="H364" s="942"/>
      <c r="I364" s="129"/>
      <c r="J364" s="943"/>
      <c r="K364" s="126"/>
      <c r="L364" s="126"/>
      <c r="M364" s="944"/>
      <c r="N364" s="195"/>
      <c r="O364" s="258" t="str">
        <f>O$17</f>
        <v/>
      </c>
      <c r="P364" s="258" t="str">
        <f t="shared" ref="P364:W364" si="526">P$17</f>
        <v/>
      </c>
      <c r="Q364" s="258" t="str">
        <f t="shared" si="526"/>
        <v/>
      </c>
      <c r="R364" s="258" t="str">
        <f t="shared" si="526"/>
        <v/>
      </c>
      <c r="S364" s="258" t="str">
        <f t="shared" si="526"/>
        <v/>
      </c>
      <c r="T364" s="258" t="str">
        <f t="shared" si="526"/>
        <v/>
      </c>
      <c r="U364" s="258" t="str">
        <f t="shared" si="526"/>
        <v/>
      </c>
      <c r="V364" s="258" t="str">
        <f t="shared" si="526"/>
        <v/>
      </c>
      <c r="W364" s="258" t="str">
        <f t="shared" si="526"/>
        <v/>
      </c>
      <c r="X364" s="82"/>
      <c r="Y364" s="944"/>
      <c r="Z364" s="195"/>
      <c r="AA364" s="258" t="str">
        <f>AA$17</f>
        <v/>
      </c>
      <c r="AB364" s="258" t="str">
        <f t="shared" ref="AB364:AI364" si="527">AB$17</f>
        <v/>
      </c>
      <c r="AC364" s="258" t="str">
        <f t="shared" si="527"/>
        <v/>
      </c>
      <c r="AD364" s="258" t="str">
        <f t="shared" si="527"/>
        <v/>
      </c>
      <c r="AE364" s="258" t="str">
        <f t="shared" si="527"/>
        <v/>
      </c>
      <c r="AF364" s="258" t="str">
        <f t="shared" si="527"/>
        <v/>
      </c>
      <c r="AG364" s="258" t="str">
        <f t="shared" si="527"/>
        <v/>
      </c>
      <c r="AH364" s="258" t="str">
        <f t="shared" si="527"/>
        <v/>
      </c>
      <c r="AI364" s="258" t="str">
        <f t="shared" si="527"/>
        <v/>
      </c>
      <c r="AJ364" s="79"/>
      <c r="AK364" s="944"/>
      <c r="AL364" s="195"/>
      <c r="AM364" s="258" t="str">
        <f>AM$17</f>
        <v/>
      </c>
      <c r="AN364" s="258" t="str">
        <f t="shared" ref="AN364:AU364" si="528">AN$17</f>
        <v/>
      </c>
      <c r="AO364" s="258" t="str">
        <f t="shared" si="528"/>
        <v/>
      </c>
      <c r="AP364" s="258" t="str">
        <f t="shared" si="528"/>
        <v/>
      </c>
      <c r="AQ364" s="258" t="str">
        <f t="shared" si="528"/>
        <v/>
      </c>
      <c r="AR364" s="258" t="str">
        <f t="shared" si="528"/>
        <v/>
      </c>
      <c r="AS364" s="258" t="str">
        <f t="shared" si="528"/>
        <v/>
      </c>
      <c r="AT364" s="258" t="str">
        <f t="shared" si="528"/>
        <v/>
      </c>
      <c r="AU364" s="258" t="str">
        <f t="shared" si="528"/>
        <v/>
      </c>
      <c r="AV364" s="82"/>
      <c r="AW364" s="944"/>
      <c r="AX364" s="195"/>
      <c r="AY364" s="258" t="str">
        <f>AY$17</f>
        <v/>
      </c>
      <c r="AZ364" s="258" t="str">
        <f t="shared" ref="AZ364:BG364" si="529">AZ$17</f>
        <v/>
      </c>
      <c r="BA364" s="258" t="str">
        <f t="shared" si="529"/>
        <v/>
      </c>
      <c r="BB364" s="258" t="str">
        <f t="shared" si="529"/>
        <v/>
      </c>
      <c r="BC364" s="258" t="str">
        <f t="shared" si="529"/>
        <v/>
      </c>
      <c r="BD364" s="258" t="str">
        <f t="shared" si="529"/>
        <v/>
      </c>
      <c r="BE364" s="258" t="str">
        <f t="shared" si="529"/>
        <v/>
      </c>
      <c r="BF364" s="258" t="str">
        <f t="shared" si="529"/>
        <v/>
      </c>
      <c r="BG364" s="258" t="str">
        <f t="shared" si="529"/>
        <v/>
      </c>
      <c r="BH364" s="1"/>
    </row>
    <row r="365" spans="1:60">
      <c r="A365" s="1040"/>
      <c r="B365" s="1109" t="s">
        <v>1221</v>
      </c>
      <c r="C365" s="1107" t="s">
        <v>104</v>
      </c>
      <c r="D365" s="645"/>
      <c r="E365" s="304" t="str">
        <f>$O$10</f>
        <v>verwarming</v>
      </c>
      <c r="F365" s="180"/>
      <c r="G365" s="180"/>
      <c r="H365" s="201" t="s">
        <v>1207</v>
      </c>
      <c r="I365" s="114"/>
      <c r="J365" s="190"/>
      <c r="K365" s="1092"/>
      <c r="L365" s="1092"/>
      <c r="M365" s="190">
        <f>SUMPRODUCT(N365:X365,N$22:X$22,N$29:X$29)/1000</f>
        <v>0</v>
      </c>
      <c r="N365" s="119"/>
      <c r="O365" s="183">
        <f>IF(OR(O$22=0,$O$78=0),0,
(($O$126+$O$157+$O$178)/$O$78)*O$62)</f>
        <v>0</v>
      </c>
      <c r="P365" s="183">
        <f t="shared" ref="P365:W365" si="530">IF(OR(P$22=0,$O$78=0),0,
(($O$126+$O$157+$O$178)/$O$78)*P$62)</f>
        <v>0</v>
      </c>
      <c r="Q365" s="183">
        <f t="shared" si="530"/>
        <v>0</v>
      </c>
      <c r="R365" s="183">
        <f t="shared" si="530"/>
        <v>0</v>
      </c>
      <c r="S365" s="183">
        <f t="shared" si="530"/>
        <v>0</v>
      </c>
      <c r="T365" s="183">
        <f t="shared" si="530"/>
        <v>0</v>
      </c>
      <c r="U365" s="183">
        <f t="shared" si="530"/>
        <v>0</v>
      </c>
      <c r="V365" s="183">
        <f t="shared" si="530"/>
        <v>0</v>
      </c>
      <c r="W365" s="183">
        <f t="shared" si="530"/>
        <v>0</v>
      </c>
      <c r="X365" s="108"/>
      <c r="Y365" s="190">
        <f>SUMPRODUCT(Z365:AJ365,Z$22:AJ$22,Z$29:AJ$29)/1000</f>
        <v>0</v>
      </c>
      <c r="Z365" s="119"/>
      <c r="AA365" s="183">
        <f>IF(OR(AA$22=0,$AA$78=0),0,
(($AA$126+$AA$157+$AA$178)/$AA$78)*AA$62)</f>
        <v>0</v>
      </c>
      <c r="AB365" s="183">
        <f t="shared" ref="AB365:AI365" si="531">IF(OR(AB$22=0,$AA$78=0),0,
(($AA$126+$AA$157+$AA$178)/$AA$78)*AB$62)</f>
        <v>0</v>
      </c>
      <c r="AC365" s="183">
        <f t="shared" si="531"/>
        <v>0</v>
      </c>
      <c r="AD365" s="183">
        <f t="shared" si="531"/>
        <v>0</v>
      </c>
      <c r="AE365" s="183">
        <f t="shared" si="531"/>
        <v>0</v>
      </c>
      <c r="AF365" s="183">
        <f t="shared" si="531"/>
        <v>0</v>
      </c>
      <c r="AG365" s="183">
        <f t="shared" si="531"/>
        <v>0</v>
      </c>
      <c r="AH365" s="183">
        <f t="shared" si="531"/>
        <v>0</v>
      </c>
      <c r="AI365" s="183">
        <f t="shared" si="531"/>
        <v>0</v>
      </c>
      <c r="AJ365" s="1051"/>
      <c r="AK365" s="190">
        <f>SUMPRODUCT(AL365:AV365,AL$22:AV$22,AL$29:AV$29)/1000</f>
        <v>0</v>
      </c>
      <c r="AL365" s="119"/>
      <c r="AM365" s="183">
        <f>IF(OR(AM$22=0,$AM$78=0),0,
(($AM$126+$AM$157+$AM$178)/$AM$78)*AM$62)</f>
        <v>0</v>
      </c>
      <c r="AN365" s="183">
        <f t="shared" ref="AN365:AU365" si="532">IF(OR(AN$22=0,$AM$78=0),0,
(($AM$126+$AM$157+$AM$178)/$AM$78)*AN$62)</f>
        <v>0</v>
      </c>
      <c r="AO365" s="183">
        <f t="shared" si="532"/>
        <v>0</v>
      </c>
      <c r="AP365" s="183">
        <f t="shared" si="532"/>
        <v>0</v>
      </c>
      <c r="AQ365" s="183">
        <f t="shared" si="532"/>
        <v>0</v>
      </c>
      <c r="AR365" s="183">
        <f t="shared" si="532"/>
        <v>0</v>
      </c>
      <c r="AS365" s="183">
        <f t="shared" si="532"/>
        <v>0</v>
      </c>
      <c r="AT365" s="183">
        <f t="shared" si="532"/>
        <v>0</v>
      </c>
      <c r="AU365" s="183">
        <f t="shared" si="532"/>
        <v>0</v>
      </c>
      <c r="AV365" s="108"/>
      <c r="AW365" s="190">
        <f>SUMPRODUCT(AX365:BH365,AX$22:BH$22,AX$29:BH$29)/1000</f>
        <v>0</v>
      </c>
      <c r="AX365" s="119"/>
      <c r="AY365" s="183">
        <f>IF(OR(AY$22=0,$AY$78=0),0,
(($AY$126+$AY$157+$AY$178)/$AY$78)*AY$62)</f>
        <v>0</v>
      </c>
      <c r="AZ365" s="183">
        <f t="shared" ref="AZ365:BG365" si="533">IF(OR(AZ$22=0,$AY$78=0),0,
(($AY$126+$AY$157+$AY$178)/$AY$78)*AZ$62)</f>
        <v>0</v>
      </c>
      <c r="BA365" s="183">
        <f t="shared" si="533"/>
        <v>0</v>
      </c>
      <c r="BB365" s="183">
        <f t="shared" si="533"/>
        <v>0</v>
      </c>
      <c r="BC365" s="183">
        <f t="shared" si="533"/>
        <v>0</v>
      </c>
      <c r="BD365" s="183">
        <f t="shared" si="533"/>
        <v>0</v>
      </c>
      <c r="BE365" s="183">
        <f t="shared" si="533"/>
        <v>0</v>
      </c>
      <c r="BF365" s="183">
        <f t="shared" si="533"/>
        <v>0</v>
      </c>
      <c r="BG365" s="183">
        <f t="shared" si="533"/>
        <v>0</v>
      </c>
      <c r="BH365" s="1"/>
    </row>
    <row r="366" spans="1:60">
      <c r="A366" s="1040"/>
      <c r="B366" s="1109" t="s">
        <v>1221</v>
      </c>
      <c r="C366" s="1107" t="s">
        <v>104</v>
      </c>
      <c r="D366" s="645"/>
      <c r="E366" s="304" t="str">
        <f>$P$10</f>
        <v>koeling</v>
      </c>
      <c r="F366" s="180"/>
      <c r="G366" s="180"/>
      <c r="H366" s="201" t="s">
        <v>1207</v>
      </c>
      <c r="I366" s="114"/>
      <c r="J366" s="190"/>
      <c r="K366" s="1092"/>
      <c r="L366" s="1092"/>
      <c r="M366" s="190">
        <f t="shared" ref="M366:M374" si="534">SUMPRODUCT(N366:X366,N$22:X$22,N$29:X$29)/1000</f>
        <v>0</v>
      </c>
      <c r="N366" s="119"/>
      <c r="O366" s="183">
        <f t="shared" ref="O366:W366" si="535">IF(OR(O$22=0,$P$78=0),0,
(($P$126+$P$157+$P$178)/$P$78)*O64)</f>
        <v>0</v>
      </c>
      <c r="P366" s="183">
        <f t="shared" si="535"/>
        <v>0</v>
      </c>
      <c r="Q366" s="183">
        <f t="shared" si="535"/>
        <v>0</v>
      </c>
      <c r="R366" s="183">
        <f t="shared" si="535"/>
        <v>0</v>
      </c>
      <c r="S366" s="183">
        <f t="shared" si="535"/>
        <v>0</v>
      </c>
      <c r="T366" s="183">
        <f t="shared" si="535"/>
        <v>0</v>
      </c>
      <c r="U366" s="183">
        <f t="shared" si="535"/>
        <v>0</v>
      </c>
      <c r="V366" s="183">
        <f t="shared" si="535"/>
        <v>0</v>
      </c>
      <c r="W366" s="183">
        <f t="shared" si="535"/>
        <v>0</v>
      </c>
      <c r="X366" s="108"/>
      <c r="Y366" s="190">
        <f t="shared" ref="Y366:Y374" si="536">SUMPRODUCT(Z366:AJ366,Z$22:AJ$22,Z$29:AJ$29)/1000</f>
        <v>0</v>
      </c>
      <c r="Z366" s="119"/>
      <c r="AA366" s="183">
        <f t="shared" ref="AA366:AI366" si="537">IF(OR(AA$22=0,$AB$78=0),0,
(($AB$126+$AB$157+$AB$178)/$AB$78)*AA64)</f>
        <v>0</v>
      </c>
      <c r="AB366" s="183">
        <f t="shared" si="537"/>
        <v>0</v>
      </c>
      <c r="AC366" s="183">
        <f t="shared" si="537"/>
        <v>0</v>
      </c>
      <c r="AD366" s="183">
        <f t="shared" si="537"/>
        <v>0</v>
      </c>
      <c r="AE366" s="183">
        <f t="shared" si="537"/>
        <v>0</v>
      </c>
      <c r="AF366" s="183">
        <f t="shared" si="537"/>
        <v>0</v>
      </c>
      <c r="AG366" s="183">
        <f t="shared" si="537"/>
        <v>0</v>
      </c>
      <c r="AH366" s="183">
        <f t="shared" si="537"/>
        <v>0</v>
      </c>
      <c r="AI366" s="183">
        <f t="shared" si="537"/>
        <v>0</v>
      </c>
      <c r="AJ366" s="1051"/>
      <c r="AK366" s="190">
        <f t="shared" ref="AK366:AK374" si="538">SUMPRODUCT(AL366:AV366,AL$22:AV$22,AL$29:AV$29)/1000</f>
        <v>0</v>
      </c>
      <c r="AL366" s="119"/>
      <c r="AM366" s="183">
        <f t="shared" ref="AM366:AU366" si="539">IF(OR(AM$22=0,$AN$78=0),0,
(($AN$126+$AN$157+$AN$178)/$AN$78)*AM64)</f>
        <v>0</v>
      </c>
      <c r="AN366" s="183">
        <f t="shared" si="539"/>
        <v>0</v>
      </c>
      <c r="AO366" s="183">
        <f t="shared" si="539"/>
        <v>0</v>
      </c>
      <c r="AP366" s="183">
        <f t="shared" si="539"/>
        <v>0</v>
      </c>
      <c r="AQ366" s="183">
        <f t="shared" si="539"/>
        <v>0</v>
      </c>
      <c r="AR366" s="183">
        <f t="shared" si="539"/>
        <v>0</v>
      </c>
      <c r="AS366" s="183">
        <f t="shared" si="539"/>
        <v>0</v>
      </c>
      <c r="AT366" s="183">
        <f t="shared" si="539"/>
        <v>0</v>
      </c>
      <c r="AU366" s="183">
        <f t="shared" si="539"/>
        <v>0</v>
      </c>
      <c r="AV366" s="108"/>
      <c r="AW366" s="190">
        <f t="shared" ref="AW366:AW374" si="540">SUMPRODUCT(AX366:BH366,AX$22:BH$22,AX$29:BH$29)/1000</f>
        <v>0</v>
      </c>
      <c r="AX366" s="119"/>
      <c r="AY366" s="183">
        <f t="shared" ref="AY366:BG366" si="541">IF(OR(AY$22=0,$AZ$78=0),0,
(($AZ$126+$AZ$157+$AZ$178)/$AZ$78)*AY64)</f>
        <v>0</v>
      </c>
      <c r="AZ366" s="183">
        <f t="shared" si="541"/>
        <v>0</v>
      </c>
      <c r="BA366" s="183">
        <f t="shared" si="541"/>
        <v>0</v>
      </c>
      <c r="BB366" s="183">
        <f t="shared" si="541"/>
        <v>0</v>
      </c>
      <c r="BC366" s="183">
        <f t="shared" si="541"/>
        <v>0</v>
      </c>
      <c r="BD366" s="183">
        <f t="shared" si="541"/>
        <v>0</v>
      </c>
      <c r="BE366" s="183">
        <f t="shared" si="541"/>
        <v>0</v>
      </c>
      <c r="BF366" s="183">
        <f t="shared" si="541"/>
        <v>0</v>
      </c>
      <c r="BG366" s="183">
        <f t="shared" si="541"/>
        <v>0</v>
      </c>
      <c r="BH366" s="1"/>
    </row>
    <row r="367" spans="1:60">
      <c r="A367" s="1040"/>
      <c r="B367" s="1109" t="s">
        <v>1221</v>
      </c>
      <c r="C367" s="1107" t="s">
        <v>104</v>
      </c>
      <c r="D367" s="645"/>
      <c r="E367" s="304" t="str">
        <f>$Q$10</f>
        <v>tapwater</v>
      </c>
      <c r="F367" s="180"/>
      <c r="G367" s="180"/>
      <c r="H367" s="201" t="s">
        <v>1207</v>
      </c>
      <c r="I367" s="114"/>
      <c r="J367" s="190"/>
      <c r="K367" s="1092"/>
      <c r="L367" s="1092"/>
      <c r="M367" s="190">
        <f t="shared" si="534"/>
        <v>0</v>
      </c>
      <c r="N367" s="119"/>
      <c r="O367" s="183">
        <f>IF(O$22=0,0,
(($Q$126+$Q$157+$Q$178)/$Q$78)*O$65)</f>
        <v>0</v>
      </c>
      <c r="P367" s="183">
        <f t="shared" ref="P367:W367" si="542">IF(P$22=0,0,
(($Q$126+$Q$157+$Q$178)/$Q$78)*P$65)</f>
        <v>0</v>
      </c>
      <c r="Q367" s="183">
        <f t="shared" si="542"/>
        <v>0</v>
      </c>
      <c r="R367" s="183">
        <f t="shared" si="542"/>
        <v>0</v>
      </c>
      <c r="S367" s="183">
        <f t="shared" si="542"/>
        <v>0</v>
      </c>
      <c r="T367" s="183">
        <f t="shared" si="542"/>
        <v>0</v>
      </c>
      <c r="U367" s="183">
        <f t="shared" si="542"/>
        <v>0</v>
      </c>
      <c r="V367" s="183">
        <f t="shared" si="542"/>
        <v>0</v>
      </c>
      <c r="W367" s="183">
        <f t="shared" si="542"/>
        <v>0</v>
      </c>
      <c r="X367" s="108"/>
      <c r="Y367" s="190">
        <f t="shared" si="536"/>
        <v>0</v>
      </c>
      <c r="Z367" s="119"/>
      <c r="AA367" s="183">
        <f>IF(AA$22=0,0,
(($AC$126+$AC$157+$AC$178)/$AC$78)*AA$65)</f>
        <v>0</v>
      </c>
      <c r="AB367" s="183">
        <f t="shared" ref="AB367:AI367" si="543">IF(AB$22=0,0,
(($AC$126+$AC$157+$AC$178)/$AC$78)*AB$65)</f>
        <v>0</v>
      </c>
      <c r="AC367" s="183">
        <f t="shared" si="543"/>
        <v>0</v>
      </c>
      <c r="AD367" s="183">
        <f t="shared" si="543"/>
        <v>0</v>
      </c>
      <c r="AE367" s="183">
        <f t="shared" si="543"/>
        <v>0</v>
      </c>
      <c r="AF367" s="183">
        <f t="shared" si="543"/>
        <v>0</v>
      </c>
      <c r="AG367" s="183">
        <f t="shared" si="543"/>
        <v>0</v>
      </c>
      <c r="AH367" s="183">
        <f t="shared" si="543"/>
        <v>0</v>
      </c>
      <c r="AI367" s="183">
        <f t="shared" si="543"/>
        <v>0</v>
      </c>
      <c r="AJ367" s="1051"/>
      <c r="AK367" s="190">
        <f t="shared" si="538"/>
        <v>0</v>
      </c>
      <c r="AL367" s="119"/>
      <c r="AM367" s="183">
        <f>IF(AM$22=0,0,
(($AO$126+$AO$157+$AO$178)/$AO$78)*AM$65)</f>
        <v>0</v>
      </c>
      <c r="AN367" s="183">
        <f t="shared" ref="AN367:AU367" si="544">IF(AN$22=0,0,
(($AO$126+$AO$157+$AO$178)/$AO$78)*AN$65)</f>
        <v>0</v>
      </c>
      <c r="AO367" s="183">
        <f t="shared" si="544"/>
        <v>0</v>
      </c>
      <c r="AP367" s="183">
        <f t="shared" si="544"/>
        <v>0</v>
      </c>
      <c r="AQ367" s="183">
        <f t="shared" si="544"/>
        <v>0</v>
      </c>
      <c r="AR367" s="183">
        <f t="shared" si="544"/>
        <v>0</v>
      </c>
      <c r="AS367" s="183">
        <f t="shared" si="544"/>
        <v>0</v>
      </c>
      <c r="AT367" s="183">
        <f t="shared" si="544"/>
        <v>0</v>
      </c>
      <c r="AU367" s="183">
        <f t="shared" si="544"/>
        <v>0</v>
      </c>
      <c r="AV367" s="108"/>
      <c r="AW367" s="190">
        <f t="shared" si="540"/>
        <v>0</v>
      </c>
      <c r="AX367" s="119"/>
      <c r="AY367" s="183">
        <f>IF(AY$22=0,0,
(($BA$126+$BA$157+$BA$178)/$BA$78)*AY$65)</f>
        <v>0</v>
      </c>
      <c r="AZ367" s="183">
        <f t="shared" ref="AZ367:BF367" si="545">IF(AZ$22=0,0,
(($BA$126+$BA$157+$BA$178)/$BA$78)*AZ$65)</f>
        <v>0</v>
      </c>
      <c r="BA367" s="183">
        <f t="shared" si="545"/>
        <v>0</v>
      </c>
      <c r="BB367" s="183">
        <f t="shared" si="545"/>
        <v>0</v>
      </c>
      <c r="BC367" s="183">
        <f t="shared" si="545"/>
        <v>0</v>
      </c>
      <c r="BD367" s="183">
        <f t="shared" si="545"/>
        <v>0</v>
      </c>
      <c r="BE367" s="183">
        <f t="shared" si="545"/>
        <v>0</v>
      </c>
      <c r="BF367" s="183">
        <f t="shared" si="545"/>
        <v>0</v>
      </c>
      <c r="BG367" s="183">
        <f>IF(BG$22=0,0,
(($BA$126+$BA$157+$BA$178)/$BA$78)*BG$65)</f>
        <v>0</v>
      </c>
      <c r="BH367" s="1"/>
    </row>
    <row r="368" spans="1:60">
      <c r="A368" s="1040"/>
      <c r="B368" s="1109" t="s">
        <v>1221</v>
      </c>
      <c r="C368" s="1107" t="s">
        <v>104</v>
      </c>
      <c r="D368" s="645"/>
      <c r="E368" s="304" t="str">
        <f>$R$10</f>
        <v>verlichting</v>
      </c>
      <c r="F368" s="180"/>
      <c r="G368" s="180"/>
      <c r="H368" s="201" t="s">
        <v>1207</v>
      </c>
      <c r="I368" s="114"/>
      <c r="J368" s="190"/>
      <c r="K368" s="1092"/>
      <c r="L368" s="1092"/>
      <c r="M368" s="190">
        <f t="shared" si="534"/>
        <v>0</v>
      </c>
      <c r="N368" s="119"/>
      <c r="O368" s="183">
        <f>IF(OR(O$19=woning,O$19=woongebouw,O$22=0),0,O66*bibliotheek!$I$307)</f>
        <v>0</v>
      </c>
      <c r="P368" s="183">
        <f>IF(OR(P$19=woning,P$19=woongebouw,P$22=0),0,P66*bibliotheek!$I$307)</f>
        <v>0</v>
      </c>
      <c r="Q368" s="183">
        <f>IF(OR(Q$19=woning,Q$19=woongebouw,Q$22=0),0,Q66*bibliotheek!$I$307)</f>
        <v>0</v>
      </c>
      <c r="R368" s="183">
        <f>IF(OR(R$19=woning,R$19=woongebouw,R$22=0),0,R66*bibliotheek!$I$307)</f>
        <v>0</v>
      </c>
      <c r="S368" s="183">
        <f>IF(OR(S$19=woning,S$19=woongebouw,S$22=0),0,S66*bibliotheek!$I$307)</f>
        <v>0</v>
      </c>
      <c r="T368" s="183">
        <f>IF(OR(T$19=woning,T$19=woongebouw,T$22=0),0,T66*bibliotheek!$I$307)</f>
        <v>0</v>
      </c>
      <c r="U368" s="183">
        <f>IF(OR(U$19=woning,U$19=woongebouw,U$22=0),0,U66*bibliotheek!$I$307)</f>
        <v>0</v>
      </c>
      <c r="V368" s="183">
        <f>IF(OR(V$19=woning,V$19=woongebouw,V$22=0),0,V66*bibliotheek!$I$307)</f>
        <v>0</v>
      </c>
      <c r="W368" s="183">
        <f>IF(OR(W$19=woning,W$19=woongebouw,W$22=0),0,W66*bibliotheek!$I$307)</f>
        <v>0</v>
      </c>
      <c r="X368" s="108"/>
      <c r="Y368" s="190">
        <f t="shared" si="536"/>
        <v>0</v>
      </c>
      <c r="Z368" s="119"/>
      <c r="AA368" s="183">
        <f>IF(OR(AA$19=woning,AA$19=woongebouw,AA$22=0),0,AA66*bibliotheek!$I$307)</f>
        <v>0</v>
      </c>
      <c r="AB368" s="183">
        <f>IF(OR(AB$19=woning,AB$19=woongebouw,AB$22=0),0,AB66*bibliotheek!$I$307)</f>
        <v>0</v>
      </c>
      <c r="AC368" s="183">
        <f>IF(OR(AC$19=woning,AC$19=woongebouw,AC$22=0),0,AC66*bibliotheek!$I$307)</f>
        <v>0</v>
      </c>
      <c r="AD368" s="183">
        <f>IF(OR(AD$19=woning,AD$19=woongebouw,AD$22=0),0,AD66*bibliotheek!$I$307)</f>
        <v>0</v>
      </c>
      <c r="AE368" s="183">
        <f>IF(OR(AE$19=woning,AE$19=woongebouw,AE$22=0),0,AE66*bibliotheek!$I$307)</f>
        <v>0</v>
      </c>
      <c r="AF368" s="183">
        <f>IF(OR(AF$19=woning,AF$19=woongebouw,AF$22=0),0,AF66*bibliotheek!$I$307)</f>
        <v>0</v>
      </c>
      <c r="AG368" s="183">
        <f>IF(OR(AG$19=woning,AG$19=woongebouw,AG$22=0),0,AG66*bibliotheek!$I$307)</f>
        <v>0</v>
      </c>
      <c r="AH368" s="183">
        <f>IF(OR(AH$19=woning,AH$19=woongebouw,AH$22=0),0,AH66*bibliotheek!$I$307)</f>
        <v>0</v>
      </c>
      <c r="AI368" s="183">
        <f>IF(OR(AI$19=woning,AI$19=woongebouw,AI$22=0),0,AI66*bibliotheek!$I$307)</f>
        <v>0</v>
      </c>
      <c r="AJ368" s="1051"/>
      <c r="AK368" s="190">
        <f t="shared" si="538"/>
        <v>0</v>
      </c>
      <c r="AL368" s="119"/>
      <c r="AM368" s="183">
        <f>IF(OR(AM$19=woning,AM$19=woongebouw,AM$22=0),0,AM66*bibliotheek!$I$307)</f>
        <v>0</v>
      </c>
      <c r="AN368" s="183">
        <f>IF(OR(AN$19=woning,AN$19=woongebouw,AN$22=0),0,AN66*bibliotheek!$I$307)</f>
        <v>0</v>
      </c>
      <c r="AO368" s="183">
        <f>IF(OR(AO$19=woning,AO$19=woongebouw,AO$22=0),0,AO66*bibliotheek!$I$307)</f>
        <v>0</v>
      </c>
      <c r="AP368" s="183">
        <f>IF(OR(AP$19=woning,AP$19=woongebouw,AP$22=0),0,AP66*bibliotheek!$I$307)</f>
        <v>0</v>
      </c>
      <c r="AQ368" s="183">
        <f>IF(OR(AQ$19=woning,AQ$19=woongebouw,AQ$22=0),0,AQ66*bibliotheek!$I$307)</f>
        <v>0</v>
      </c>
      <c r="AR368" s="183">
        <f>IF(OR(AR$19=woning,AR$19=woongebouw,AR$22=0),0,AR66*bibliotheek!$I$307)</f>
        <v>0</v>
      </c>
      <c r="AS368" s="183">
        <f>IF(OR(AS$19=woning,AS$19=woongebouw,AS$22=0),0,AS66*bibliotheek!$I$307)</f>
        <v>0</v>
      </c>
      <c r="AT368" s="183">
        <f>IF(OR(AT$19=woning,AT$19=woongebouw,AT$22=0),0,AT66*bibliotheek!$I$307)</f>
        <v>0</v>
      </c>
      <c r="AU368" s="183">
        <f>IF(OR(AU$19=woning,AU$19=woongebouw,AU$22=0),0,AU66*bibliotheek!$I$307)</f>
        <v>0</v>
      </c>
      <c r="AV368" s="108"/>
      <c r="AW368" s="190">
        <f t="shared" si="540"/>
        <v>0</v>
      </c>
      <c r="AX368" s="119"/>
      <c r="AY368" s="183">
        <f>IF(OR(AY$19=woning,AY$19=woongebouw,AY$22=0),0,AY66*bibliotheek!$I$307)</f>
        <v>0</v>
      </c>
      <c r="AZ368" s="183">
        <f>IF(OR(AZ$19=woning,AZ$19=woongebouw,AZ$22=0),0,AZ66*bibliotheek!$I$307)</f>
        <v>0</v>
      </c>
      <c r="BA368" s="183">
        <f>IF(OR(BA$19=woning,BA$19=woongebouw,BA$22=0),0,BA66*bibliotheek!$I$307)</f>
        <v>0</v>
      </c>
      <c r="BB368" s="183">
        <f>IF(OR(BB$19=woning,BB$19=woongebouw,BB$22=0),0,BB66*bibliotheek!$I$307)</f>
        <v>0</v>
      </c>
      <c r="BC368" s="183">
        <f>IF(OR(BC$19=woning,BC$19=woongebouw,BC$22=0),0,BC66*bibliotheek!$I$307)</f>
        <v>0</v>
      </c>
      <c r="BD368" s="183">
        <f>IF(OR(BD$19=woning,BD$19=woongebouw,BD$22=0),0,BD66*bibliotheek!$I$307)</f>
        <v>0</v>
      </c>
      <c r="BE368" s="183">
        <f>IF(OR(BE$19=woning,BE$19=woongebouw,BE$22=0),0,BE66*bibliotheek!$I$307)</f>
        <v>0</v>
      </c>
      <c r="BF368" s="183">
        <f>IF(OR(BF$19=woning,BF$19=woongebouw,BF$22=0),0,BF66*bibliotheek!$I$307)</f>
        <v>0</v>
      </c>
      <c r="BG368" s="183">
        <f>IF(OR(BG$19=woning,BG$19=woongebouw,BG$22=0),0,BG66*bibliotheek!$I$307)</f>
        <v>0</v>
      </c>
      <c r="BH368" s="1"/>
    </row>
    <row r="369" spans="1:60">
      <c r="A369" s="1040"/>
      <c r="B369" s="1109" t="s">
        <v>1221</v>
      </c>
      <c r="C369" s="1107" t="s">
        <v>104</v>
      </c>
      <c r="D369" s="645"/>
      <c r="E369" s="304" t="str">
        <f>$S$10</f>
        <v>ventilatoren</v>
      </c>
      <c r="F369" s="180"/>
      <c r="G369" s="180"/>
      <c r="H369" s="201" t="s">
        <v>1207</v>
      </c>
      <c r="I369" s="114"/>
      <c r="J369" s="190"/>
      <c r="K369" s="1092"/>
      <c r="L369" s="1092"/>
      <c r="M369" s="190">
        <f t="shared" si="534"/>
        <v>0</v>
      </c>
      <c r="N369" s="119"/>
      <c r="O369" s="183">
        <f>IF(OR(O$22=0,$S$78=0),0,$S$178/$S$78*O$67)</f>
        <v>0</v>
      </c>
      <c r="P369" s="183">
        <f t="shared" ref="P369:W369" si="546">IF(OR(P$22=0,$S$78=0),0,$S$178/$S$78*P$67)</f>
        <v>0</v>
      </c>
      <c r="Q369" s="183">
        <f t="shared" si="546"/>
        <v>0</v>
      </c>
      <c r="R369" s="183">
        <f t="shared" si="546"/>
        <v>0</v>
      </c>
      <c r="S369" s="183">
        <f t="shared" si="546"/>
        <v>0</v>
      </c>
      <c r="T369" s="183">
        <f t="shared" si="546"/>
        <v>0</v>
      </c>
      <c r="U369" s="183">
        <f t="shared" si="546"/>
        <v>0</v>
      </c>
      <c r="V369" s="183">
        <f t="shared" si="546"/>
        <v>0</v>
      </c>
      <c r="W369" s="183">
        <f t="shared" si="546"/>
        <v>0</v>
      </c>
      <c r="X369" s="108"/>
      <c r="Y369" s="190">
        <f t="shared" si="536"/>
        <v>0</v>
      </c>
      <c r="Z369" s="119"/>
      <c r="AA369" s="183">
        <f>IF(OR(AA$22=0,$AE$78=0),0,$AE$178/$AE$78*AA$67)</f>
        <v>0</v>
      </c>
      <c r="AB369" s="183">
        <f t="shared" ref="AB369:AI369" si="547">IF(OR(AB$22=0,$AE$78=0),0,$AE$178/$AE$78*AB$67)</f>
        <v>0</v>
      </c>
      <c r="AC369" s="183">
        <f t="shared" si="547"/>
        <v>0</v>
      </c>
      <c r="AD369" s="183">
        <f t="shared" si="547"/>
        <v>0</v>
      </c>
      <c r="AE369" s="183">
        <f t="shared" si="547"/>
        <v>0</v>
      </c>
      <c r="AF369" s="183">
        <f t="shared" si="547"/>
        <v>0</v>
      </c>
      <c r="AG369" s="183">
        <f t="shared" si="547"/>
        <v>0</v>
      </c>
      <c r="AH369" s="183">
        <f t="shared" si="547"/>
        <v>0</v>
      </c>
      <c r="AI369" s="183">
        <f t="shared" si="547"/>
        <v>0</v>
      </c>
      <c r="AJ369" s="1051"/>
      <c r="AK369" s="190">
        <f t="shared" si="538"/>
        <v>0</v>
      </c>
      <c r="AL369" s="119"/>
      <c r="AM369" s="183">
        <f>IF(OR(AM$22=0,$AQ$78=0),0,$AQ$178/$AQ$78*AM$67)</f>
        <v>0</v>
      </c>
      <c r="AN369" s="183">
        <f t="shared" ref="AN369:AU369" si="548">IF(OR(AN$22=0,$AQ$78=0),0,$AQ$178/$AQ$78*AN$67)</f>
        <v>0</v>
      </c>
      <c r="AO369" s="183">
        <f t="shared" si="548"/>
        <v>0</v>
      </c>
      <c r="AP369" s="183">
        <f t="shared" si="548"/>
        <v>0</v>
      </c>
      <c r="AQ369" s="183">
        <f t="shared" si="548"/>
        <v>0</v>
      </c>
      <c r="AR369" s="183">
        <f t="shared" si="548"/>
        <v>0</v>
      </c>
      <c r="AS369" s="183">
        <f t="shared" si="548"/>
        <v>0</v>
      </c>
      <c r="AT369" s="183">
        <f t="shared" si="548"/>
        <v>0</v>
      </c>
      <c r="AU369" s="183">
        <f t="shared" si="548"/>
        <v>0</v>
      </c>
      <c r="AV369" s="108"/>
      <c r="AW369" s="190">
        <f t="shared" si="540"/>
        <v>0</v>
      </c>
      <c r="AX369" s="119"/>
      <c r="AY369" s="183">
        <f>IF(OR(AY$22=0,$BC$78=0),0,$BC$178/$BC$78*AY$67)</f>
        <v>0</v>
      </c>
      <c r="AZ369" s="183">
        <f t="shared" ref="AZ369:BF369" si="549">IF(OR(AZ$22=0,$BC$78=0),0,$BC$178/$BC$78*AZ$67)</f>
        <v>0</v>
      </c>
      <c r="BA369" s="183">
        <f t="shared" si="549"/>
        <v>0</v>
      </c>
      <c r="BB369" s="183">
        <f t="shared" si="549"/>
        <v>0</v>
      </c>
      <c r="BC369" s="183">
        <f t="shared" si="549"/>
        <v>0</v>
      </c>
      <c r="BD369" s="183">
        <f t="shared" si="549"/>
        <v>0</v>
      </c>
      <c r="BE369" s="183">
        <f t="shared" si="549"/>
        <v>0</v>
      </c>
      <c r="BF369" s="183">
        <f t="shared" si="549"/>
        <v>0</v>
      </c>
      <c r="BG369" s="183">
        <f>IF(OR(BG$22=0,$BC$78=0),0,$BC$178/$BC$78*BG$67)</f>
        <v>0</v>
      </c>
      <c r="BH369" s="1"/>
    </row>
    <row r="370" spans="1:60">
      <c r="A370" s="1040"/>
      <c r="B370" s="1109" t="s">
        <v>1221</v>
      </c>
      <c r="C370" s="1107" t="s">
        <v>104</v>
      </c>
      <c r="D370" s="645"/>
      <c r="E370" s="203" t="s">
        <v>232</v>
      </c>
      <c r="F370" s="203"/>
      <c r="G370" s="180"/>
      <c r="H370" s="201" t="s">
        <v>1207</v>
      </c>
      <c r="I370" s="114"/>
      <c r="J370" s="190"/>
      <c r="K370" s="1092"/>
      <c r="L370" s="1092"/>
      <c r="M370" s="190">
        <f t="shared" si="534"/>
        <v>0</v>
      </c>
      <c r="N370" s="119"/>
      <c r="O370" s="183">
        <f t="shared" ref="O370:W370" si="550">SUM(O365:O369)</f>
        <v>0</v>
      </c>
      <c r="P370" s="183">
        <f t="shared" si="550"/>
        <v>0</v>
      </c>
      <c r="Q370" s="183">
        <f t="shared" si="550"/>
        <v>0</v>
      </c>
      <c r="R370" s="183">
        <f t="shared" si="550"/>
        <v>0</v>
      </c>
      <c r="S370" s="183">
        <f t="shared" si="550"/>
        <v>0</v>
      </c>
      <c r="T370" s="183">
        <f t="shared" si="550"/>
        <v>0</v>
      </c>
      <c r="U370" s="183">
        <f t="shared" si="550"/>
        <v>0</v>
      </c>
      <c r="V370" s="183">
        <f t="shared" si="550"/>
        <v>0</v>
      </c>
      <c r="W370" s="183">
        <f t="shared" si="550"/>
        <v>0</v>
      </c>
      <c r="X370" s="108"/>
      <c r="Y370" s="190">
        <f t="shared" si="536"/>
        <v>0</v>
      </c>
      <c r="Z370" s="119"/>
      <c r="AA370" s="183">
        <f t="shared" ref="AA370:AI370" si="551">SUM(AA365:AA369)</f>
        <v>0</v>
      </c>
      <c r="AB370" s="183">
        <f t="shared" si="551"/>
        <v>0</v>
      </c>
      <c r="AC370" s="183">
        <f t="shared" si="551"/>
        <v>0</v>
      </c>
      <c r="AD370" s="183">
        <f t="shared" si="551"/>
        <v>0</v>
      </c>
      <c r="AE370" s="183">
        <f t="shared" si="551"/>
        <v>0</v>
      </c>
      <c r="AF370" s="183">
        <f t="shared" si="551"/>
        <v>0</v>
      </c>
      <c r="AG370" s="183">
        <f t="shared" si="551"/>
        <v>0</v>
      </c>
      <c r="AH370" s="183">
        <f t="shared" si="551"/>
        <v>0</v>
      </c>
      <c r="AI370" s="183">
        <f t="shared" si="551"/>
        <v>0</v>
      </c>
      <c r="AJ370" s="1051"/>
      <c r="AK370" s="190">
        <f t="shared" si="538"/>
        <v>0</v>
      </c>
      <c r="AL370" s="119"/>
      <c r="AM370" s="183">
        <f t="shared" ref="AM370:AU370" si="552">SUM(AM365:AM369)</f>
        <v>0</v>
      </c>
      <c r="AN370" s="183">
        <f t="shared" si="552"/>
        <v>0</v>
      </c>
      <c r="AO370" s="183">
        <f t="shared" si="552"/>
        <v>0</v>
      </c>
      <c r="AP370" s="183">
        <f t="shared" si="552"/>
        <v>0</v>
      </c>
      <c r="AQ370" s="183">
        <f t="shared" si="552"/>
        <v>0</v>
      </c>
      <c r="AR370" s="183">
        <f t="shared" si="552"/>
        <v>0</v>
      </c>
      <c r="AS370" s="183">
        <f t="shared" si="552"/>
        <v>0</v>
      </c>
      <c r="AT370" s="183">
        <f t="shared" si="552"/>
        <v>0</v>
      </c>
      <c r="AU370" s="183">
        <f t="shared" si="552"/>
        <v>0</v>
      </c>
      <c r="AV370" s="108"/>
      <c r="AW370" s="190">
        <f t="shared" si="540"/>
        <v>0</v>
      </c>
      <c r="AX370" s="119"/>
      <c r="AY370" s="183">
        <f t="shared" ref="AY370:BG370" si="553">SUM(AY365:AY369)</f>
        <v>0</v>
      </c>
      <c r="AZ370" s="183">
        <f t="shared" si="553"/>
        <v>0</v>
      </c>
      <c r="BA370" s="183">
        <f t="shared" si="553"/>
        <v>0</v>
      </c>
      <c r="BB370" s="183">
        <f t="shared" si="553"/>
        <v>0</v>
      </c>
      <c r="BC370" s="183">
        <f t="shared" si="553"/>
        <v>0</v>
      </c>
      <c r="BD370" s="183">
        <f t="shared" si="553"/>
        <v>0</v>
      </c>
      <c r="BE370" s="183">
        <f t="shared" si="553"/>
        <v>0</v>
      </c>
      <c r="BF370" s="183">
        <f t="shared" si="553"/>
        <v>0</v>
      </c>
      <c r="BG370" s="183">
        <f t="shared" si="553"/>
        <v>0</v>
      </c>
      <c r="BH370" s="1"/>
    </row>
    <row r="371" spans="1:60">
      <c r="A371" s="1040"/>
      <c r="B371" s="1109" t="s">
        <v>1221</v>
      </c>
      <c r="C371" s="1106" t="s">
        <v>96</v>
      </c>
      <c r="D371" s="645"/>
      <c r="E371" s="942" t="s">
        <v>1331</v>
      </c>
      <c r="F371" s="942"/>
      <c r="G371" s="942"/>
      <c r="H371" s="942"/>
      <c r="I371" s="129"/>
      <c r="J371" s="943"/>
      <c r="K371" s="126"/>
      <c r="L371" s="126"/>
      <c r="M371" s="944"/>
      <c r="N371" s="195"/>
      <c r="O371" s="258"/>
      <c r="P371" s="258"/>
      <c r="Q371" s="258"/>
      <c r="R371" s="258"/>
      <c r="S371" s="258"/>
      <c r="T371" s="258"/>
      <c r="U371" s="258"/>
      <c r="V371" s="258"/>
      <c r="W371" s="258"/>
      <c r="X371" s="82"/>
      <c r="Y371" s="944"/>
      <c r="Z371" s="195"/>
      <c r="AA371" s="258"/>
      <c r="AB371" s="258"/>
      <c r="AC371" s="258"/>
      <c r="AD371" s="258"/>
      <c r="AE371" s="258"/>
      <c r="AF371" s="258"/>
      <c r="AG371" s="258"/>
      <c r="AH371" s="258"/>
      <c r="AI371" s="258"/>
      <c r="AJ371" s="79"/>
      <c r="AK371" s="944"/>
      <c r="AL371" s="195"/>
      <c r="AM371" s="258"/>
      <c r="AN371" s="258"/>
      <c r="AO371" s="258"/>
      <c r="AP371" s="258"/>
      <c r="AQ371" s="258"/>
      <c r="AR371" s="258"/>
      <c r="AS371" s="258"/>
      <c r="AT371" s="258"/>
      <c r="AU371" s="258"/>
      <c r="AV371" s="82"/>
      <c r="AW371" s="944"/>
      <c r="AX371" s="195"/>
      <c r="AY371" s="258"/>
      <c r="AZ371" s="258"/>
      <c r="BA371" s="258"/>
      <c r="BB371" s="258"/>
      <c r="BC371" s="258"/>
      <c r="BD371" s="258"/>
      <c r="BE371" s="258"/>
      <c r="BF371" s="258"/>
      <c r="BG371" s="258"/>
      <c r="BH371" s="1"/>
    </row>
    <row r="372" spans="1:60">
      <c r="A372" s="1040"/>
      <c r="B372" s="1109" t="s">
        <v>1221</v>
      </c>
      <c r="C372" s="1107" t="s">
        <v>104</v>
      </c>
      <c r="D372" s="645"/>
      <c r="E372" s="203" t="s">
        <v>232</v>
      </c>
      <c r="F372" s="203"/>
      <c r="G372" s="180"/>
      <c r="H372" s="201" t="s">
        <v>1207</v>
      </c>
      <c r="I372" s="114"/>
      <c r="J372" s="190"/>
      <c r="K372" s="1092"/>
      <c r="L372" s="1092"/>
      <c r="M372" s="190" t="e">
        <f t="shared" si="534"/>
        <v>#DIV/0!</v>
      </c>
      <c r="N372" s="119"/>
      <c r="O372" s="183" t="e">
        <f>-$M$220*1000/O$31</f>
        <v>#DIV/0!</v>
      </c>
      <c r="P372" s="183" t="e">
        <f t="shared" ref="P372:W372" si="554">-$M$220*1000/P$31</f>
        <v>#DIV/0!</v>
      </c>
      <c r="Q372" s="183" t="e">
        <f t="shared" si="554"/>
        <v>#DIV/0!</v>
      </c>
      <c r="R372" s="183" t="e">
        <f t="shared" si="554"/>
        <v>#DIV/0!</v>
      </c>
      <c r="S372" s="183" t="e">
        <f t="shared" si="554"/>
        <v>#DIV/0!</v>
      </c>
      <c r="T372" s="183" t="e">
        <f t="shared" si="554"/>
        <v>#DIV/0!</v>
      </c>
      <c r="U372" s="183" t="e">
        <f t="shared" si="554"/>
        <v>#DIV/0!</v>
      </c>
      <c r="V372" s="183" t="e">
        <f t="shared" si="554"/>
        <v>#DIV/0!</v>
      </c>
      <c r="W372" s="183" t="e">
        <f t="shared" si="554"/>
        <v>#DIV/0!</v>
      </c>
      <c r="X372" s="108"/>
      <c r="Y372" s="190" t="e">
        <f t="shared" si="536"/>
        <v>#DIV/0!</v>
      </c>
      <c r="Z372" s="119"/>
      <c r="AA372" s="183" t="e">
        <f t="shared" ref="AA372:AI372" si="555">-$Y$220*1000/AA$31</f>
        <v>#DIV/0!</v>
      </c>
      <c r="AB372" s="183" t="e">
        <f t="shared" si="555"/>
        <v>#DIV/0!</v>
      </c>
      <c r="AC372" s="183" t="e">
        <f t="shared" si="555"/>
        <v>#DIV/0!</v>
      </c>
      <c r="AD372" s="183" t="e">
        <f t="shared" si="555"/>
        <v>#DIV/0!</v>
      </c>
      <c r="AE372" s="183" t="e">
        <f t="shared" si="555"/>
        <v>#DIV/0!</v>
      </c>
      <c r="AF372" s="183" t="e">
        <f t="shared" si="555"/>
        <v>#DIV/0!</v>
      </c>
      <c r="AG372" s="183" t="e">
        <f t="shared" si="555"/>
        <v>#DIV/0!</v>
      </c>
      <c r="AH372" s="183" t="e">
        <f t="shared" si="555"/>
        <v>#DIV/0!</v>
      </c>
      <c r="AI372" s="183" t="e">
        <f t="shared" si="555"/>
        <v>#DIV/0!</v>
      </c>
      <c r="AJ372" s="1051"/>
      <c r="AK372" s="190" t="e">
        <f t="shared" si="538"/>
        <v>#DIV/0!</v>
      </c>
      <c r="AL372" s="119"/>
      <c r="AM372" s="183" t="e">
        <f t="shared" ref="AM372:AU372" si="556">-$AK$220*1000/AM$31</f>
        <v>#DIV/0!</v>
      </c>
      <c r="AN372" s="183" t="e">
        <f t="shared" si="556"/>
        <v>#DIV/0!</v>
      </c>
      <c r="AO372" s="183" t="e">
        <f t="shared" si="556"/>
        <v>#DIV/0!</v>
      </c>
      <c r="AP372" s="183" t="e">
        <f t="shared" si="556"/>
        <v>#DIV/0!</v>
      </c>
      <c r="AQ372" s="183" t="e">
        <f t="shared" si="556"/>
        <v>#DIV/0!</v>
      </c>
      <c r="AR372" s="183" t="e">
        <f t="shared" si="556"/>
        <v>#DIV/0!</v>
      </c>
      <c r="AS372" s="183" t="e">
        <f t="shared" si="556"/>
        <v>#DIV/0!</v>
      </c>
      <c r="AT372" s="183" t="e">
        <f t="shared" si="556"/>
        <v>#DIV/0!</v>
      </c>
      <c r="AU372" s="183" t="e">
        <f t="shared" si="556"/>
        <v>#DIV/0!</v>
      </c>
      <c r="AV372" s="108"/>
      <c r="AW372" s="190" t="e">
        <f t="shared" si="540"/>
        <v>#DIV/0!</v>
      </c>
      <c r="AX372" s="119"/>
      <c r="AY372" s="183" t="e">
        <f t="shared" ref="AY372:BG372" si="557">-$AW$220*1000/AY$31</f>
        <v>#DIV/0!</v>
      </c>
      <c r="AZ372" s="183" t="e">
        <f t="shared" si="557"/>
        <v>#DIV/0!</v>
      </c>
      <c r="BA372" s="183" t="e">
        <f t="shared" si="557"/>
        <v>#DIV/0!</v>
      </c>
      <c r="BB372" s="183" t="e">
        <f t="shared" si="557"/>
        <v>#DIV/0!</v>
      </c>
      <c r="BC372" s="183" t="e">
        <f t="shared" si="557"/>
        <v>#DIV/0!</v>
      </c>
      <c r="BD372" s="183" t="e">
        <f t="shared" si="557"/>
        <v>#DIV/0!</v>
      </c>
      <c r="BE372" s="183" t="e">
        <f t="shared" si="557"/>
        <v>#DIV/0!</v>
      </c>
      <c r="BF372" s="183" t="e">
        <f t="shared" si="557"/>
        <v>#DIV/0!</v>
      </c>
      <c r="BG372" s="183" t="e">
        <f t="shared" si="557"/>
        <v>#DIV/0!</v>
      </c>
    </row>
    <row r="373" spans="1:60">
      <c r="A373" s="1040"/>
      <c r="B373" s="1109" t="s">
        <v>1221</v>
      </c>
      <c r="C373" s="1106" t="s">
        <v>96</v>
      </c>
      <c r="D373" s="645"/>
      <c r="E373" s="942" t="s">
        <v>1200</v>
      </c>
      <c r="F373" s="942"/>
      <c r="G373" s="942"/>
      <c r="H373" s="942"/>
      <c r="I373" s="129"/>
      <c r="J373" s="943"/>
      <c r="K373" s="126"/>
      <c r="L373" s="126"/>
      <c r="M373" s="944"/>
      <c r="N373" s="195"/>
      <c r="O373" s="258"/>
      <c r="P373" s="258"/>
      <c r="Q373" s="258"/>
      <c r="R373" s="258"/>
      <c r="S373" s="258"/>
      <c r="T373" s="258"/>
      <c r="U373" s="258"/>
      <c r="V373" s="258"/>
      <c r="W373" s="258"/>
      <c r="X373" s="82"/>
      <c r="Y373" s="944"/>
      <c r="Z373" s="195"/>
      <c r="AA373" s="258"/>
      <c r="AB373" s="258"/>
      <c r="AC373" s="258"/>
      <c r="AD373" s="258"/>
      <c r="AE373" s="258"/>
      <c r="AF373" s="258"/>
      <c r="AG373" s="258"/>
      <c r="AH373" s="258"/>
      <c r="AI373" s="258"/>
      <c r="AJ373" s="79"/>
      <c r="AK373" s="944"/>
      <c r="AL373" s="195"/>
      <c r="AM373" s="258"/>
      <c r="AN373" s="258"/>
      <c r="AO373" s="258"/>
      <c r="AP373" s="258"/>
      <c r="AQ373" s="258"/>
      <c r="AR373" s="258"/>
      <c r="AS373" s="258"/>
      <c r="AT373" s="258"/>
      <c r="AU373" s="258"/>
      <c r="AV373" s="82"/>
      <c r="AW373" s="944"/>
      <c r="AX373" s="195"/>
      <c r="AY373" s="258"/>
      <c r="AZ373" s="258"/>
      <c r="BA373" s="258"/>
      <c r="BB373" s="258"/>
      <c r="BC373" s="258"/>
      <c r="BD373" s="258"/>
      <c r="BE373" s="258"/>
      <c r="BF373" s="258"/>
      <c r="BG373" s="258"/>
      <c r="BH373" s="1"/>
    </row>
    <row r="374" spans="1:60">
      <c r="A374" s="1040"/>
      <c r="B374" s="1109" t="s">
        <v>1221</v>
      </c>
      <c r="C374" s="1107" t="s">
        <v>104</v>
      </c>
      <c r="D374" s="645"/>
      <c r="E374" s="203" t="s">
        <v>232</v>
      </c>
      <c r="F374" s="203"/>
      <c r="G374" s="180"/>
      <c r="H374" s="201" t="s">
        <v>1207</v>
      </c>
      <c r="I374" s="114"/>
      <c r="J374" s="190"/>
      <c r="K374" s="1092"/>
      <c r="L374" s="1092"/>
      <c r="M374" s="190" t="e">
        <f t="shared" si="534"/>
        <v>#DIV/0!</v>
      </c>
      <c r="N374" s="119"/>
      <c r="O374" s="183" t="e">
        <f>O370+O372</f>
        <v>#DIV/0!</v>
      </c>
      <c r="P374" s="183" t="e">
        <f t="shared" ref="P374:W374" si="558">P370+P372</f>
        <v>#DIV/0!</v>
      </c>
      <c r="Q374" s="183" t="e">
        <f t="shared" si="558"/>
        <v>#DIV/0!</v>
      </c>
      <c r="R374" s="183" t="e">
        <f t="shared" si="558"/>
        <v>#DIV/0!</v>
      </c>
      <c r="S374" s="183" t="e">
        <f t="shared" si="558"/>
        <v>#DIV/0!</v>
      </c>
      <c r="T374" s="183" t="e">
        <f t="shared" si="558"/>
        <v>#DIV/0!</v>
      </c>
      <c r="U374" s="183" t="e">
        <f t="shared" si="558"/>
        <v>#DIV/0!</v>
      </c>
      <c r="V374" s="183" t="e">
        <f t="shared" si="558"/>
        <v>#DIV/0!</v>
      </c>
      <c r="W374" s="183" t="e">
        <f t="shared" si="558"/>
        <v>#DIV/0!</v>
      </c>
      <c r="X374" s="108"/>
      <c r="Y374" s="190" t="e">
        <f t="shared" si="536"/>
        <v>#DIV/0!</v>
      </c>
      <c r="Z374" s="119"/>
      <c r="AA374" s="183" t="e">
        <f t="shared" ref="AA374:AI374" si="559">AA370+AA372</f>
        <v>#DIV/0!</v>
      </c>
      <c r="AB374" s="183" t="e">
        <f t="shared" si="559"/>
        <v>#DIV/0!</v>
      </c>
      <c r="AC374" s="183" t="e">
        <f t="shared" si="559"/>
        <v>#DIV/0!</v>
      </c>
      <c r="AD374" s="183" t="e">
        <f t="shared" si="559"/>
        <v>#DIV/0!</v>
      </c>
      <c r="AE374" s="183" t="e">
        <f t="shared" si="559"/>
        <v>#DIV/0!</v>
      </c>
      <c r="AF374" s="183" t="e">
        <f t="shared" si="559"/>
        <v>#DIV/0!</v>
      </c>
      <c r="AG374" s="183" t="e">
        <f t="shared" si="559"/>
        <v>#DIV/0!</v>
      </c>
      <c r="AH374" s="183" t="e">
        <f t="shared" si="559"/>
        <v>#DIV/0!</v>
      </c>
      <c r="AI374" s="183" t="e">
        <f t="shared" si="559"/>
        <v>#DIV/0!</v>
      </c>
      <c r="AJ374" s="1051"/>
      <c r="AK374" s="190" t="e">
        <f t="shared" si="538"/>
        <v>#DIV/0!</v>
      </c>
      <c r="AL374" s="119"/>
      <c r="AM374" s="183" t="e">
        <f t="shared" ref="AM374:AU374" si="560">AM370+AM372</f>
        <v>#DIV/0!</v>
      </c>
      <c r="AN374" s="183" t="e">
        <f t="shared" si="560"/>
        <v>#DIV/0!</v>
      </c>
      <c r="AO374" s="183" t="e">
        <f t="shared" si="560"/>
        <v>#DIV/0!</v>
      </c>
      <c r="AP374" s="183" t="e">
        <f t="shared" si="560"/>
        <v>#DIV/0!</v>
      </c>
      <c r="AQ374" s="183" t="e">
        <f t="shared" si="560"/>
        <v>#DIV/0!</v>
      </c>
      <c r="AR374" s="183" t="e">
        <f t="shared" si="560"/>
        <v>#DIV/0!</v>
      </c>
      <c r="AS374" s="183" t="e">
        <f t="shared" si="560"/>
        <v>#DIV/0!</v>
      </c>
      <c r="AT374" s="183" t="e">
        <f t="shared" si="560"/>
        <v>#DIV/0!</v>
      </c>
      <c r="AU374" s="183" t="e">
        <f t="shared" si="560"/>
        <v>#DIV/0!</v>
      </c>
      <c r="AV374" s="108"/>
      <c r="AW374" s="190" t="e">
        <f t="shared" si="540"/>
        <v>#DIV/0!</v>
      </c>
      <c r="AX374" s="119"/>
      <c r="AY374" s="183" t="e">
        <f t="shared" ref="AY374:BG374" si="561">AY370+AY372</f>
        <v>#DIV/0!</v>
      </c>
      <c r="AZ374" s="183" t="e">
        <f t="shared" si="561"/>
        <v>#DIV/0!</v>
      </c>
      <c r="BA374" s="183" t="e">
        <f t="shared" si="561"/>
        <v>#DIV/0!</v>
      </c>
      <c r="BB374" s="183" t="e">
        <f t="shared" si="561"/>
        <v>#DIV/0!</v>
      </c>
      <c r="BC374" s="183" t="e">
        <f t="shared" si="561"/>
        <v>#DIV/0!</v>
      </c>
      <c r="BD374" s="183" t="e">
        <f t="shared" si="561"/>
        <v>#DIV/0!</v>
      </c>
      <c r="BE374" s="183" t="e">
        <f t="shared" si="561"/>
        <v>#DIV/0!</v>
      </c>
      <c r="BF374" s="183" t="e">
        <f t="shared" si="561"/>
        <v>#DIV/0!</v>
      </c>
      <c r="BG374" s="183" t="e">
        <f t="shared" si="561"/>
        <v>#DIV/0!</v>
      </c>
      <c r="BH374" s="1"/>
    </row>
    <row r="375" spans="1:60">
      <c r="A375" s="1040"/>
      <c r="B375" s="1109" t="s">
        <v>1224</v>
      </c>
      <c r="C375" s="1106" t="s">
        <v>96</v>
      </c>
      <c r="D375" s="638"/>
      <c r="E375" s="79"/>
      <c r="F375" s="79"/>
      <c r="G375" s="79"/>
      <c r="H375" s="85"/>
      <c r="I375" s="79"/>
      <c r="J375" s="82"/>
      <c r="K375" s="79"/>
      <c r="L375" s="79"/>
      <c r="M375" s="108"/>
      <c r="N375" s="79"/>
      <c r="O375" s="108"/>
      <c r="P375" s="356"/>
      <c r="Q375" s="108"/>
      <c r="R375" s="108"/>
      <c r="S375" s="108"/>
      <c r="T375" s="108"/>
      <c r="U375" s="108"/>
      <c r="V375" s="108"/>
      <c r="W375" s="108"/>
      <c r="X375" s="82"/>
      <c r="Y375" s="82"/>
      <c r="Z375" s="79"/>
      <c r="AA375" s="82"/>
      <c r="AB375" s="82"/>
      <c r="AC375" s="82"/>
      <c r="AD375" s="82"/>
      <c r="AE375" s="82"/>
      <c r="AF375" s="82"/>
      <c r="AG375" s="82"/>
      <c r="AH375" s="82"/>
      <c r="AI375" s="82"/>
      <c r="AJ375" s="82"/>
      <c r="AK375" s="82"/>
      <c r="AL375" s="79"/>
      <c r="AM375" s="82"/>
      <c r="AN375" s="82"/>
      <c r="AO375" s="82"/>
      <c r="AP375" s="82"/>
      <c r="AQ375" s="82"/>
      <c r="AR375" s="82"/>
      <c r="AS375" s="82"/>
      <c r="AT375" s="82"/>
      <c r="AU375" s="82"/>
      <c r="AV375" s="82"/>
      <c r="AW375" s="82"/>
      <c r="AX375" s="79"/>
      <c r="AY375" s="82"/>
      <c r="AZ375" s="82"/>
      <c r="BA375" s="82"/>
      <c r="BB375" s="82"/>
      <c r="BC375" s="82"/>
      <c r="BD375" s="82"/>
      <c r="BE375" s="82"/>
      <c r="BF375" s="82"/>
      <c r="BG375" s="82"/>
      <c r="BH375" s="1"/>
    </row>
    <row r="376" spans="1:60" ht="21">
      <c r="A376" s="1040"/>
      <c r="B376" s="1109" t="s">
        <v>294</v>
      </c>
      <c r="C376" s="1107" t="s">
        <v>96</v>
      </c>
      <c r="D376" s="643" t="s">
        <v>84</v>
      </c>
      <c r="E376" s="1219" t="s">
        <v>82</v>
      </c>
      <c r="F376" s="480"/>
      <c r="G376" s="480"/>
      <c r="H376" s="481"/>
      <c r="I376" s="481"/>
      <c r="J376" s="482"/>
      <c r="K376" s="691"/>
      <c r="L376" s="691"/>
      <c r="M376" s="482"/>
      <c r="N376" s="482"/>
      <c r="O376" s="1167"/>
      <c r="P376" s="482"/>
      <c r="Q376" s="482"/>
      <c r="R376" s="482"/>
      <c r="S376" s="482"/>
      <c r="T376" s="482"/>
      <c r="U376" s="482"/>
      <c r="V376" s="482"/>
      <c r="W376" s="482"/>
      <c r="X376" s="482"/>
      <c r="Y376" s="482"/>
      <c r="Z376" s="482"/>
      <c r="AA376" s="482"/>
      <c r="AB376" s="482"/>
      <c r="AC376" s="482"/>
      <c r="AD376" s="482"/>
      <c r="AE376" s="482"/>
      <c r="AF376" s="482"/>
      <c r="AG376" s="482"/>
      <c r="AH376" s="482"/>
      <c r="AI376" s="482"/>
      <c r="AJ376" s="482"/>
      <c r="AK376" s="482"/>
      <c r="AL376" s="482"/>
      <c r="AM376" s="482"/>
      <c r="AN376" s="482"/>
      <c r="AO376" s="482"/>
      <c r="AP376" s="482"/>
      <c r="AQ376" s="482"/>
      <c r="AR376" s="482"/>
      <c r="AS376" s="482"/>
      <c r="AT376" s="482"/>
      <c r="AU376" s="482"/>
      <c r="AV376" s="482"/>
      <c r="AW376" s="482"/>
      <c r="AX376" s="482"/>
      <c r="AY376" s="483"/>
      <c r="AZ376" s="483"/>
      <c r="BA376" s="483"/>
      <c r="BB376" s="483"/>
      <c r="BC376" s="483"/>
      <c r="BD376" s="483"/>
      <c r="BE376" s="483"/>
      <c r="BF376" s="483"/>
      <c r="BG376" s="483"/>
      <c r="BH376" s="225"/>
    </row>
  </sheetData>
  <sheetProtection algorithmName="SHA-512" hashValue="ynRim3odrs1FNKygDstBkmL0l6YOHs6gxRLzrPFbIUYH0Q9a5zBj6r7tIFvl5E7TxI44O2S1ixFwGxeGjvLxdg==" saltValue="q9wBYJdevQOmXoaydGm+lg==" spinCount="100000" sheet="1" objects="1" scenarios="1" formatColumns="0" autoFilter="0"/>
  <autoFilter ref="B8:C376" xr:uid="{41D3E58C-B86B-4AE1-8380-FDD6F14E9537}">
    <filterColumn colId="1">
      <filters>
        <filter val="00. kop"/>
        <filter val="01. invoer"/>
        <filter val="04. resultaat"/>
      </filters>
    </filterColumn>
  </autoFilter>
  <dataConsolidate/>
  <mergeCells count="5">
    <mergeCell ref="E3:F3"/>
    <mergeCell ref="F4:H4"/>
    <mergeCell ref="B5:B7"/>
    <mergeCell ref="C5:C7"/>
    <mergeCell ref="E40:G40"/>
  </mergeCells>
  <conditionalFormatting sqref="C10:C24 B15:B24 B25:C42 B44:C360 B363:C376">
    <cfRule type="expression" dxfId="248" priority="167">
      <formula>B10=""</formula>
    </cfRule>
  </conditionalFormatting>
  <conditionalFormatting sqref="E56">
    <cfRule type="expression" dxfId="247" priority="121">
      <formula>$G$6=FALSE</formula>
    </cfRule>
  </conditionalFormatting>
  <conditionalFormatting sqref="F4:F6 H3">
    <cfRule type="expression" dxfId="246" priority="213">
      <formula>F3=""</formula>
    </cfRule>
  </conditionalFormatting>
  <conditionalFormatting sqref="F5">
    <cfRule type="expression" dxfId="245" priority="211">
      <formula>OR($F$5="",ISERROR(MATCH(F5,opwekking_elektriciteit,0))=TRUE)</formula>
    </cfRule>
  </conditionalFormatting>
  <conditionalFormatting sqref="F6">
    <cfRule type="expression" dxfId="244" priority="103">
      <formula>OR($F$5="",ISERROR(MATCH(F6,rekenmethode_EP_MWA,0))=TRUE)</formula>
    </cfRule>
  </conditionalFormatting>
  <conditionalFormatting sqref="F2:H2">
    <cfRule type="expression" dxfId="243" priority="219">
      <formula>$F$2&lt;&gt;""</formula>
    </cfRule>
  </conditionalFormatting>
  <conditionalFormatting sqref="F44:H44">
    <cfRule type="expression" dxfId="242" priority="85">
      <formula>$F$6=EP</formula>
    </cfRule>
  </conditionalFormatting>
  <conditionalFormatting sqref="G61">
    <cfRule type="expression" dxfId="241" priority="116">
      <formula>OR(G61="",ISERROR(MATCH(G61,beschikbare_fitformules_NTA8800,0))=TRUE)</formula>
    </cfRule>
  </conditionalFormatting>
  <conditionalFormatting sqref="G63">
    <cfRule type="expression" dxfId="240" priority="113">
      <formula>OR(G63="",ISERROR(MATCH(G63,beschikbare_fitformules_NTA8800,0))=TRUE)</formula>
    </cfRule>
  </conditionalFormatting>
  <conditionalFormatting sqref="G328">
    <cfRule type="expression" dxfId="239" priority="110">
      <formula>OR(G328="",ISERROR(MATCH(G328,beschikbare_fitformules_NTA8800,0))=TRUE)</formula>
    </cfRule>
  </conditionalFormatting>
  <conditionalFormatting sqref="H320:J320">
    <cfRule type="expression" dxfId="238" priority="109">
      <formula>OR($F$5&lt;&gt;"NTA8800:2026",$F$6=MWA)</formula>
    </cfRule>
  </conditionalFormatting>
  <conditionalFormatting sqref="H363:J363">
    <cfRule type="expression" dxfId="237" priority="1">
      <formula>OR($F$5&lt;&gt;"NTA8800:2026",$F$6=MWA)</formula>
    </cfRule>
  </conditionalFormatting>
  <conditionalFormatting sqref="J30:J31">
    <cfRule type="cellIs" dxfId="236" priority="198" operator="greaterThan">
      <formula>0</formula>
    </cfRule>
  </conditionalFormatting>
  <conditionalFormatting sqref="J38:J40">
    <cfRule type="expression" dxfId="235" priority="166">
      <formula>J38="OK"</formula>
    </cfRule>
  </conditionalFormatting>
  <conditionalFormatting sqref="J46:J47">
    <cfRule type="expression" dxfId="234" priority="165">
      <formula>J46="OK"</formula>
    </cfRule>
  </conditionalFormatting>
  <conditionalFormatting sqref="J50">
    <cfRule type="expression" dxfId="233" priority="20">
      <formula>J50="OK"</formula>
    </cfRule>
  </conditionalFormatting>
  <conditionalFormatting sqref="J52">
    <cfRule type="cellIs" dxfId="232" priority="163" operator="equal">
      <formula>"nee"</formula>
    </cfRule>
  </conditionalFormatting>
  <conditionalFormatting sqref="J83">
    <cfRule type="cellIs" dxfId="231" priority="199" operator="equal">
      <formula>"nee"</formula>
    </cfRule>
  </conditionalFormatting>
  <conditionalFormatting sqref="J144">
    <cfRule type="cellIs" dxfId="230" priority="154" operator="equal">
      <formula>0</formula>
    </cfRule>
  </conditionalFormatting>
  <conditionalFormatting sqref="M30:M31">
    <cfRule type="cellIs" dxfId="229" priority="197" operator="greaterThan">
      <formula>0</formula>
    </cfRule>
  </conditionalFormatting>
  <conditionalFormatting sqref="M50">
    <cfRule type="expression" dxfId="228" priority="19">
      <formula>AND(M$22&gt;0,M50&lt;&gt;"ja",M50&lt;&gt;"nee")</formula>
    </cfRule>
    <cfRule type="expression" dxfId="227" priority="18">
      <formula>M$22=0</formula>
    </cfRule>
  </conditionalFormatting>
  <conditionalFormatting sqref="M52">
    <cfRule type="cellIs" dxfId="226" priority="84" operator="equal">
      <formula>"nee"</formula>
    </cfRule>
  </conditionalFormatting>
  <conditionalFormatting sqref="M83">
    <cfRule type="cellIs" dxfId="225" priority="80" operator="equal">
      <formula>"nee"</formula>
    </cfRule>
  </conditionalFormatting>
  <conditionalFormatting sqref="M140:M147 Y140:Y147 AK140:AK147 AW140:AW147 M149:M157 Y149:Y157 AK149:AK157 AW149:AW157 M159:M161 Y159:Y161 AK159:AK161 AW159:AW161">
    <cfRule type="expression" dxfId="224" priority="216">
      <formula>SUM(M$140:M$161)=0</formula>
    </cfRule>
  </conditionalFormatting>
  <conditionalFormatting sqref="M144 Y144 AK144 AW144 J147 M147 Y147 AK147 AW147 J151:J153 M151:M153 Y151:Y153 AK151:AK153 AW151:AW153 J155 M155 Y155 AK155 AW155 J157 M157 Y157 AK157 AW157 J161 M161 Y161 AK161 AW161">
    <cfRule type="cellIs" dxfId="223" priority="158" operator="equal">
      <formula>0</formula>
    </cfRule>
  </conditionalFormatting>
  <conditionalFormatting sqref="M317 O317:X317 AJ317 AV317 BH317">
    <cfRule type="expression" dxfId="222" priority="221">
      <formula>#REF!&gt;M317</formula>
    </cfRule>
  </conditionalFormatting>
  <conditionalFormatting sqref="O83 AA83 AM83 AY83">
    <cfRule type="expression" dxfId="221" priority="162">
      <formula>OR(AND(O83="",O$22&gt;0),ISERROR(MATCH(O83,toestellen_RV_invoer,0)))</formula>
    </cfRule>
  </conditionalFormatting>
  <conditionalFormatting sqref="O90 Q90 AA90 AC90 AM90 AO90 AY90 BA90">
    <cfRule type="expression" dxfId="220" priority="212">
      <formula>OR(AND(O$78&gt;0,O90=""),AND(O90&lt;&gt;"ja",O90&lt;&gt;"nee",O90&lt;&gt;""))</formula>
    </cfRule>
  </conditionalFormatting>
  <conditionalFormatting sqref="O135 Q135 AA135 AC135 AM135 AO135 AY135 BA135">
    <cfRule type="expression" dxfId="219" priority="226">
      <formula>O$134=0</formula>
    </cfRule>
  </conditionalFormatting>
  <conditionalFormatting sqref="O90:Q91 AA90:AC91 AM90:AO91 AY90:BA91 O86:Q88 AA86:AC88 AM86:AO88 AY86:BA88 O93:Q95 AA93:AC95 AM93:AO95 AY93:BA95 O83:Q84 AA83:AC84 AM83:AO84 AY83:BA84 O97:Q99 AA97:AC99 AM97:AO99 AY97:BA99">
    <cfRule type="expression" dxfId="218" priority="241">
      <formula>O$27=0</formula>
    </cfRule>
    <cfRule type="expression" dxfId="217" priority="242">
      <formula>O$78=0</formula>
    </cfRule>
  </conditionalFormatting>
  <conditionalFormatting sqref="O104:Q104 AA104:AC104 AM104:AO104 AY104:BA104 AA140:AC140 AM140:AO140 AY140:BA140">
    <cfRule type="expression" dxfId="216" priority="208">
      <formula>O$78=0</formula>
    </cfRule>
  </conditionalFormatting>
  <conditionalFormatting sqref="O109:Q109 AA109:AC109 AM109:AO109 O112:Q112 AA112:AC112 AM112:AO112 AY112:BA112 O119:Q119 AA119:AC119 AM119:AO119 AY119:BA119 O129:Q129 AA129:AC129 AM129:AO129 AY129:BA129 O135:Q135 AA135:AC135 AM135:AO135 AY135:BA135 O87 Q87 AA87 AC87 AM87 AO87 AY87 BA87 O94 Q94 AA94 AC94 AM94 AO94 AY94 BA94">
    <cfRule type="expression" dxfId="215" priority="202">
      <formula>AND(O$78&gt;0,O87="")</formula>
    </cfRule>
  </conditionalFormatting>
  <conditionalFormatting sqref="O122:Q125 AA122:AC125 AM122:AO125 AY122:BA125 AA104:AC106 AM104:AO106 AY104:BA106 O105:Q106 O108:Q116 AA108:AC116 AM108:AO116 AY108:BA116 O118:Q119 AA118:AC120 AM118:AO120 AY118:BA120 P120:Q120 O128:Q130 AA128:AC130 AM128:AO130 AY128:BA130 O132:Q135 AA132:AC135 AM132:AO135 AY132:BA135">
    <cfRule type="expression" dxfId="214" priority="155">
      <formula>OR(O$78=0,O$104="geen")</formula>
    </cfRule>
  </conditionalFormatting>
  <conditionalFormatting sqref="O123:Q123">
    <cfRule type="expression" dxfId="213" priority="73">
      <formula>AND(O$78&gt;0,O123="")</formula>
    </cfRule>
  </conditionalFormatting>
  <conditionalFormatting sqref="O125:Q125">
    <cfRule type="expression" dxfId="212" priority="76">
      <formula>AND(O$78&gt;0,O125="")</formula>
    </cfRule>
  </conditionalFormatting>
  <conditionalFormatting sqref="O140:Q140">
    <cfRule type="expression" dxfId="211" priority="205">
      <formula>O$78=0</formula>
    </cfRule>
  </conditionalFormatting>
  <conditionalFormatting sqref="O146:Q146 AA146:AC146 AM146:AO146 AY146:BA146 O150:Q150 AA150:AC150 AM150:AO150 AY150:BA150 O160:Q160 AA160:AC160 AM160:AO160 AY160:BA160">
    <cfRule type="expression" dxfId="210" priority="237">
      <formula>AND(O$78&gt;0,O$140&lt;&gt;"geen",O146="")</formula>
    </cfRule>
  </conditionalFormatting>
  <conditionalFormatting sqref="O153:Q157 AA153:AC157 AM153:AO157 AY153:BA157 O141:Q147 AA141:AC147 AM141:AO147 AY141:BA147 O149:Q151 AA149:AC151 AM149:AO151 AY149:BA151 O159:Q161 AA159:AC161 AM159:AO161 AY159:BA161">
    <cfRule type="expression" dxfId="209" priority="153">
      <formula>OR(O$78=0,O$140="geen")</formula>
    </cfRule>
  </conditionalFormatting>
  <conditionalFormatting sqref="O154:Q154">
    <cfRule type="expression" dxfId="208" priority="75">
      <formula>AND(O$78&gt;0,O$140&lt;&gt;"geen",O154="")</formula>
    </cfRule>
  </conditionalFormatting>
  <conditionalFormatting sqref="O156:Q156">
    <cfRule type="expression" dxfId="207" priority="74">
      <formula>AND(O$78&gt;0,O$140&lt;&gt;"geen",O156="")</formula>
    </cfRule>
  </conditionalFormatting>
  <conditionalFormatting sqref="O166:Q168 AA166:AC168 AM166:AO168 AY166:BA168">
    <cfRule type="expression" dxfId="206" priority="243">
      <formula>OR(O$27=0,O$132=0)</formula>
    </cfRule>
  </conditionalFormatting>
  <conditionalFormatting sqref="O167:Q167 AA167:AC167 AM167:AO167 AY167:BA167">
    <cfRule type="expression" dxfId="205" priority="207">
      <formula>AND(O$132&gt;0,O167="")</formula>
    </cfRule>
  </conditionalFormatting>
  <conditionalFormatting sqref="O186:T188 T229:W231 AF229:AF231 AR229:AR231 BD229:BD231 AA230 AM230 AY230 O251:T258">
    <cfRule type="expression" dxfId="204" priority="188">
      <formula>O$27=0</formula>
    </cfRule>
  </conditionalFormatting>
  <conditionalFormatting sqref="O17:W17">
    <cfRule type="expression" dxfId="203" priority="101">
      <formula>AND(O17&lt;&gt;"",ISERROR(MATCH(O17,woningen_gebouwen_namen,0))=TRUE)</formula>
    </cfRule>
  </conditionalFormatting>
  <conditionalFormatting sqref="O20:W20">
    <cfRule type="expression" dxfId="202" priority="196">
      <formula>OR(O$17="",AND(O$19&lt;&gt;woning,O$19&lt;&gt;woongebouw))</formula>
    </cfRule>
  </conditionalFormatting>
  <conditionalFormatting sqref="O21:W21">
    <cfRule type="expression" dxfId="201" priority="102">
      <formula>AND(O21&lt;&gt;"",ISERROR(MATCH(O21,woningen_gebouwen_namen,0))=TRUE)</formula>
    </cfRule>
  </conditionalFormatting>
  <conditionalFormatting sqref="O22:W23 AA22:BG23">
    <cfRule type="expression" dxfId="200" priority="184">
      <formula>O$17=""</formula>
    </cfRule>
  </conditionalFormatting>
  <conditionalFormatting sqref="O23:W23 AM23:AU23 AY23:BG23">
    <cfRule type="expression" dxfId="199" priority="222">
      <formula>AND(O$17="",O23&gt;0)</formula>
    </cfRule>
    <cfRule type="expression" dxfId="198" priority="223">
      <formula>AND(O$17&lt;&gt;"",O23="")</formula>
    </cfRule>
  </conditionalFormatting>
  <conditionalFormatting sqref="O28:W28">
    <cfRule type="expression" dxfId="197" priority="100">
      <formula>AND(O28&lt;&gt;"",ISERROR(MATCH(O28,woningen_gebouwen_namen,0))=TRUE)</formula>
    </cfRule>
  </conditionalFormatting>
  <conditionalFormatting sqref="O37:W37">
    <cfRule type="expression" dxfId="196" priority="91">
      <formula>AND(O37&lt;&gt;"",ISERROR(MATCH(O37,woningen_gebouwen_namen,0))=TRUE)</formula>
    </cfRule>
  </conditionalFormatting>
  <conditionalFormatting sqref="O38:W43">
    <cfRule type="expression" dxfId="195" priority="11">
      <formula>OR(O$17="",O$22=0)</formula>
    </cfRule>
  </conditionalFormatting>
  <conditionalFormatting sqref="O40:W40 AA40:AI40 AM40:AU40 AY40:BG40">
    <cfRule type="expression" dxfId="194" priority="224">
      <formula>OR(AND(O$17&lt;&gt;"",O$22&gt;0,O40=""),ISERROR(MATCH(O40,ventilatiesystemen_namen,0))=TRUE)</formula>
    </cfRule>
  </conditionalFormatting>
  <conditionalFormatting sqref="O41:W41 AA41:AI41 AM41:AU41 AY41:BG41">
    <cfRule type="expression" dxfId="193" priority="240">
      <formula>OR(O$17="",O$22=0,LEFT(INDEX(ventilatiesystemen_code,MATCH(O$40,ventilatiesystemen_namen,0)),1)="A")</formula>
    </cfRule>
    <cfRule type="expression" dxfId="192" priority="225">
      <formula>OR(AND(O$17&lt;&gt;"",O$22&gt;0,O41=""),ISERROR(MATCH(O41,ventilatoren_typen,0))=TRUE)</formula>
    </cfRule>
  </conditionalFormatting>
  <conditionalFormatting sqref="O42:W42 AA42:AI42 AM42:AU42 AY42:BG42">
    <cfRule type="expression" dxfId="191" priority="156">
      <formula>OR(AND(O$17&lt;&gt;"",O$22&gt;0,O42=""),ISERROR(MATCH(O42,DWTW_namen,0))=TRUE)</formula>
    </cfRule>
  </conditionalFormatting>
  <conditionalFormatting sqref="O44:W44 AA44:AI44 AM44:AU44 AY44:BG44">
    <cfRule type="expression" dxfId="190" priority="86">
      <formula>$F$6=EP</formula>
    </cfRule>
  </conditionalFormatting>
  <conditionalFormatting sqref="O44:W49 AY44:BG49 O24:W27 AM24:AU27 AY24:BG27 O29:W33 AA29:AI33 AM29:AU33 AY29:BG33 O52:W52 O54:W56 AM61:AU69 AY61:BG69 O71:W71 AM71:AU71 AY71:BG71 O73:W73 AM328:AU328 AY328:BG328">
    <cfRule type="expression" dxfId="189" priority="104">
      <formula>OR(O$17="",O$22=0)</formula>
    </cfRule>
  </conditionalFormatting>
  <conditionalFormatting sqref="O45:W46 AA45:AI46 AM45:AU46 AY45:BG46">
    <cfRule type="expression" dxfId="188" priority="164">
      <formula>OR(O$17="",O$26=0)</formula>
    </cfRule>
    <cfRule type="expression" dxfId="187" priority="229">
      <formula>AND(O$17&lt;&gt;"",O$26&gt;0,O45="")</formula>
    </cfRule>
  </conditionalFormatting>
  <conditionalFormatting sqref="O46:W46 AA46:AI46 AM46:AU46 AY46:BG46">
    <cfRule type="expression" dxfId="186" priority="231">
      <formula>AND(O46&lt;&gt;"",ISERROR(MATCH(O46,verlichtingsregeling_namen,0))=TRUE)</formula>
    </cfRule>
  </conditionalFormatting>
  <conditionalFormatting sqref="O47:W47 AA47:AI47 AM47:AU47 AY47:BG47">
    <cfRule type="expression" dxfId="185" priority="174">
      <formula>OR(O$17="",O$24+O$25=0,AND(O$19&lt;&gt;woning,O$19&lt;&gt;woongebouw))</formula>
    </cfRule>
    <cfRule type="expression" dxfId="184" priority="232">
      <formula>OR(AND(O$17&lt;&gt;"",O$22&gt;0,O47=""),AND(O47&lt;&gt;elektriciteit,O47&lt;&gt;aardgas))</formula>
    </cfRule>
  </conditionalFormatting>
  <conditionalFormatting sqref="O49:W49">
    <cfRule type="expression" dxfId="183" priority="118">
      <formula>IF(AND($O$36&lt;&gt;"",$O$49=""),TRUE,FALSE)</formula>
    </cfRule>
  </conditionalFormatting>
  <conditionalFormatting sqref="O51:W51 O53:W53">
    <cfRule type="expression" dxfId="182" priority="99">
      <formula>AND(O51&lt;&gt;"",ISERROR(MATCH(O51,woningen_gebouwen_namen,0))=TRUE)</formula>
    </cfRule>
  </conditionalFormatting>
  <conditionalFormatting sqref="O52:W52 AA52:AI52 AM52:AU52 AY52:BG52">
    <cfRule type="expression" dxfId="181" priority="173">
      <formula>$O17=""</formula>
    </cfRule>
    <cfRule type="cellIs" dxfId="180" priority="236" operator="equal">
      <formula>"nee"</formula>
    </cfRule>
  </conditionalFormatting>
  <conditionalFormatting sqref="O55:W55 AA55:AI55 AM55:AU55 AY55:BG55">
    <cfRule type="cellIs" dxfId="179" priority="127" operator="equal">
      <formula>0</formula>
    </cfRule>
  </conditionalFormatting>
  <conditionalFormatting sqref="O56:W56 AA56:AI56 AM56:AU56 AY56:BG56">
    <cfRule type="expression" dxfId="178" priority="246">
      <formula>AND(O$22&gt;0,O56="",$F$6=MWA)</formula>
    </cfRule>
    <cfRule type="expression" dxfId="177" priority="247">
      <formula>AND(O$22&gt;0,O$56&gt;0,$F$6=MWA)</formula>
    </cfRule>
    <cfRule type="expression" dxfId="176" priority="245">
      <formula>O$22=0</formula>
    </cfRule>
  </conditionalFormatting>
  <conditionalFormatting sqref="O60:W60">
    <cfRule type="expression" dxfId="175" priority="98">
      <formula>AND(O60&lt;&gt;"",ISERROR(MATCH(O60,woningen_gebouwen_namen,0))=TRUE)</formula>
    </cfRule>
  </conditionalFormatting>
  <conditionalFormatting sqref="O61:W69">
    <cfRule type="expression" dxfId="174" priority="114">
      <formula>OR(O$17="",O$22=0)</formula>
    </cfRule>
  </conditionalFormatting>
  <conditionalFormatting sqref="O70:W70">
    <cfRule type="expression" dxfId="173" priority="97">
      <formula>AND(O70&lt;&gt;"",ISERROR(MATCH(O70,woningen_gebouwen_namen,0))=TRUE)</formula>
    </cfRule>
  </conditionalFormatting>
  <conditionalFormatting sqref="O71:W71 AM71:AU71 AY71:BG71 O73:W73">
    <cfRule type="expression" dxfId="172" priority="157">
      <formula>AND(O$17&lt;&gt;"",O71="")</formula>
    </cfRule>
  </conditionalFormatting>
  <conditionalFormatting sqref="O72:W72">
    <cfRule type="expression" dxfId="171" priority="96">
      <formula>AND(O72&lt;&gt;"",ISERROR(MATCH(O72,woningen_gebouwen_namen,0))=TRUE)</formula>
    </cfRule>
  </conditionalFormatting>
  <conditionalFormatting sqref="O78:W78">
    <cfRule type="expression" dxfId="170" priority="206">
      <formula>O$27=0</formula>
    </cfRule>
  </conditionalFormatting>
  <conditionalFormatting sqref="O268:W268">
    <cfRule type="expression" dxfId="169" priority="90">
      <formula>AND(O268&lt;&gt;"",ISERROR(MATCH(O268,woningen_gebouwen_namen,0))=TRUE)</formula>
    </cfRule>
  </conditionalFormatting>
  <conditionalFormatting sqref="O274:W274 O281:W281">
    <cfRule type="expression" dxfId="168" priority="89">
      <formula>AND(O274&lt;&gt;"",ISERROR(MATCH(O274,woningen_gebouwen_namen,0))=TRUE)</formula>
    </cfRule>
  </conditionalFormatting>
  <conditionalFormatting sqref="O291:W291">
    <cfRule type="expression" dxfId="167" priority="7">
      <formula>AND(O291&lt;&gt;"",ISERROR(MATCH(O291,woningen_gebouwen_namen,0))=TRUE)</formula>
    </cfRule>
  </conditionalFormatting>
  <conditionalFormatting sqref="O292:W292 AA292:AI292 AM292:AU292 AY292:BG292 AM364:AU372 O364:W374 AA364:AI374">
    <cfRule type="expression" dxfId="166" priority="6">
      <formula>O$22=0</formula>
    </cfRule>
  </conditionalFormatting>
  <conditionalFormatting sqref="O293:W293 O297:W297">
    <cfRule type="expression" dxfId="165" priority="95">
      <formula>AND(O293&lt;&gt;"",ISERROR(MATCH(O293,woningen_gebouwen_namen,0))=TRUE)</formula>
    </cfRule>
  </conditionalFormatting>
  <conditionalFormatting sqref="O305:W305 O312:W312 O314:W314 O316:W316">
    <cfRule type="expression" dxfId="164" priority="94">
      <formula>AND(O305&lt;&gt;"",ISERROR(MATCH(O305,woningen_gebouwen_namen,0))=TRUE)</formula>
    </cfRule>
  </conditionalFormatting>
  <conditionalFormatting sqref="O321:W321">
    <cfRule type="expression" dxfId="163" priority="88">
      <formula>AND(O321&lt;&gt;"",ISERROR(MATCH(O321,woningen_gebouwen_namen,0))=TRUE)</formula>
    </cfRule>
  </conditionalFormatting>
  <conditionalFormatting sqref="O323:W323 O327:W327 O332:W332 O335:W335 O338:W338">
    <cfRule type="expression" dxfId="162" priority="93">
      <formula>AND(O323&lt;&gt;"",ISERROR(MATCH(O323,woningen_gebouwen_namen,0))=TRUE)</formula>
    </cfRule>
  </conditionalFormatting>
  <conditionalFormatting sqref="O328:W328">
    <cfRule type="expression" dxfId="161" priority="111">
      <formula>OR(O$17="",O$22=0)</formula>
    </cfRule>
  </conditionalFormatting>
  <conditionalFormatting sqref="O329:W330">
    <cfRule type="expression" dxfId="160" priority="217">
      <formula>O329&gt;O324</formula>
    </cfRule>
  </conditionalFormatting>
  <conditionalFormatting sqref="O331:W331 AA331:AI331 AM331:AU331 AY331:BG331">
    <cfRule type="expression" dxfId="159" priority="119">
      <formula>$O$331&lt;$O$326</formula>
    </cfRule>
  </conditionalFormatting>
  <conditionalFormatting sqref="O333:W334 AA333:AI334 O317:W317 O329:W331 O339:W340 AY339:BG340 O269:W270 AA269:AI270 AA275:AI277 AM275:AU277 AY275:BG277 O282:W290 AA282:AI290 AK282:AK290 AM282:AU290 AW282:AW290 AY282:BG290 O298:W299 AA298:AI299 AM298:AU299 AY298:BG299 O304:W304 AA304:AI304 AY304:BG304 O306:W311 AA306:AI311 AY306:BG311 O313:W313 AA313:AI313 AY313:BG313 O315:W315 AA315:AI315 AY315:BG315 AA317:AI317 AY317:BG317 AA322:AI322 AY322:BG322 O324:W326 AA324:AI326 AY324:BG326 O345:W353 AY345:BG353 O355:W357 AA355:AI357 AM355:AU357">
    <cfRule type="expression" dxfId="158" priority="239">
      <formula>O$22=0</formula>
    </cfRule>
  </conditionalFormatting>
  <conditionalFormatting sqref="O336:W337">
    <cfRule type="expression" dxfId="157" priority="176">
      <formula>O$22=0</formula>
    </cfRule>
  </conditionalFormatting>
  <conditionalFormatting sqref="O337:W337">
    <cfRule type="expression" dxfId="156" priority="143">
      <formula>AND(O337&lt;&gt;"nvt",O337&gt;O336)</formula>
    </cfRule>
    <cfRule type="expression" dxfId="155" priority="144">
      <formula>AND(O337&lt;&gt;"nvt",O337&lt;=O336)</formula>
    </cfRule>
  </conditionalFormatting>
  <conditionalFormatting sqref="O340:W340">
    <cfRule type="expression" dxfId="154" priority="141">
      <formula>AND(O340&lt;&gt;"nvt",O340&gt;O339)</formula>
    </cfRule>
    <cfRule type="expression" dxfId="153" priority="142">
      <formula>AND(O340&lt;&gt;"nvt",O340&lt;=O339)</formula>
    </cfRule>
  </conditionalFormatting>
  <conditionalFormatting sqref="O344:W344">
    <cfRule type="expression" dxfId="152" priority="87">
      <formula>AND(O344&lt;&gt;"",ISERROR(MATCH(O344,woningen_gebouwen_namen,0))=TRUE)</formula>
    </cfRule>
  </conditionalFormatting>
  <conditionalFormatting sqref="O354:W354 O358:W358">
    <cfRule type="expression" dxfId="151" priority="92">
      <formula>AND(O354&lt;&gt;"",ISERROR(MATCH(O354,woningen_gebouwen_namen,0))=TRUE)</formula>
    </cfRule>
  </conditionalFormatting>
  <conditionalFormatting sqref="O364:W364">
    <cfRule type="expression" dxfId="150" priority="70">
      <formula>AND(O364&lt;&gt;"",ISERROR(MATCH(O364,woningen_gebouwen_namen,0))=TRUE)</formula>
    </cfRule>
  </conditionalFormatting>
  <conditionalFormatting sqref="O371:W371 O373:W373">
    <cfRule type="expression" dxfId="149" priority="71">
      <formula>AND(O371&lt;&gt;"",ISERROR(MATCH(O371,woningen_gebouwen_namen,0))=TRUE)</formula>
    </cfRule>
  </conditionalFormatting>
  <conditionalFormatting sqref="P83 AB83 AN83 AZ83">
    <cfRule type="expression" dxfId="148" priority="200">
      <formula>OR(AND(P83="",P$22&gt;0),ISERROR(MATCH(P83,toestellen_KOEL_invoer,0)))</formula>
    </cfRule>
  </conditionalFormatting>
  <conditionalFormatting sqref="P84 AB84 AN84 AZ84 P86:P88 AB86:AB88 AN86:AN88 AZ86:AZ88 P90:P91 AB90:AB91 AN90:AN91 AZ90:AZ91 P93:P95 AB93:AB95 AN93:AN95 AZ93:AZ95 P97:P99 AB97:AB99 AN97:AN99 AZ97:AZ99">
    <cfRule type="expression" dxfId="147" priority="148">
      <formula>P$83="geen"</formula>
    </cfRule>
  </conditionalFormatting>
  <conditionalFormatting sqref="Q83 AC83 AO83 BA83">
    <cfRule type="expression" dxfId="146" priority="201">
      <formula>OR(AND(Q83="",Q$22&gt;0),ISERROR(MATCH(Q83,toestellen_TAP_invoer,0)))</formula>
    </cfRule>
  </conditionalFormatting>
  <conditionalFormatting sqref="Q90 AC90 AO90 BA90">
    <cfRule type="expression" dxfId="145" priority="244">
      <formula>OR(AND(Q$22&gt;0,Q$78&gt;0,Q90=""),AND(Q90&lt;&gt;"ja",Q90&lt;&gt;"nee",Q90&lt;&gt;""))</formula>
    </cfRule>
  </conditionalFormatting>
  <conditionalFormatting sqref="T170:T171">
    <cfRule type="expression" dxfId="144" priority="170">
      <formula>T$27=0</formula>
    </cfRule>
  </conditionalFormatting>
  <conditionalFormatting sqref="T173:T174">
    <cfRule type="expression" dxfId="143" priority="169">
      <formula>T$27=0</formula>
    </cfRule>
  </conditionalFormatting>
  <conditionalFormatting sqref="T180">
    <cfRule type="expression" dxfId="142" priority="168">
      <formula>T$27=0</formula>
    </cfRule>
  </conditionalFormatting>
  <conditionalFormatting sqref="T233">
    <cfRule type="expression" dxfId="141" priority="171">
      <formula>T$27=0</formula>
    </cfRule>
  </conditionalFormatting>
  <conditionalFormatting sqref="T246">
    <cfRule type="expression" dxfId="140" priority="192">
      <formula>T$27=0</formula>
    </cfRule>
  </conditionalFormatting>
  <conditionalFormatting sqref="T263:T264">
    <cfRule type="expression" dxfId="139" priority="189">
      <formula>T$27=0</formula>
    </cfRule>
  </conditionalFormatting>
  <conditionalFormatting sqref="U169:W171">
    <cfRule type="expression" dxfId="138" priority="204">
      <formula>U$27=0</formula>
    </cfRule>
  </conditionalFormatting>
  <conditionalFormatting sqref="Y50">
    <cfRule type="expression" dxfId="137" priority="16">
      <formula>Y$22=0</formula>
    </cfRule>
    <cfRule type="expression" dxfId="136" priority="17">
      <formula>AND(Y$22&gt;0,Y50&lt;&gt;"ja",Y50&lt;&gt;"nee")</formula>
    </cfRule>
  </conditionalFormatting>
  <conditionalFormatting sqref="Y52">
    <cfRule type="cellIs" dxfId="135" priority="83" operator="equal">
      <formula>"nee"</formula>
    </cfRule>
  </conditionalFormatting>
  <conditionalFormatting sqref="Y83">
    <cfRule type="cellIs" dxfId="134" priority="79" operator="equal">
      <formula>"nee"</formula>
    </cfRule>
  </conditionalFormatting>
  <conditionalFormatting sqref="Z38:AI39">
    <cfRule type="expression" dxfId="133" priority="120">
      <formula>OR(Z$17="",Z$22=0)</formula>
    </cfRule>
  </conditionalFormatting>
  <conditionalFormatting sqref="AA49:AB49">
    <cfRule type="expression" dxfId="132" priority="105">
      <formula>IF(AND($O$36&lt;&gt;"",$O$49=""),TRUE,FALSE)</formula>
    </cfRule>
  </conditionalFormatting>
  <conditionalFormatting sqref="AA123:AC123">
    <cfRule type="expression" dxfId="131" priority="64">
      <formula>AND(AA$78&gt;0,AA123="")</formula>
    </cfRule>
  </conditionalFormatting>
  <conditionalFormatting sqref="AA125:AC125">
    <cfRule type="expression" dxfId="130" priority="65">
      <formula>AND(AA$78&gt;0,AA125="")</formula>
    </cfRule>
  </conditionalFormatting>
  <conditionalFormatting sqref="AA154:AC154">
    <cfRule type="expression" dxfId="129" priority="27">
      <formula>AND(AA$78&gt;0,AA$140&lt;&gt;"geen",AA154="")</formula>
    </cfRule>
  </conditionalFormatting>
  <conditionalFormatting sqref="AA156:AC156">
    <cfRule type="expression" dxfId="128" priority="26">
      <formula>AND(AA$78&gt;0,AA$140&lt;&gt;"geen",AA156="")</formula>
    </cfRule>
  </conditionalFormatting>
  <conditionalFormatting sqref="AA251:AC251">
    <cfRule type="expression" dxfId="127" priority="147">
      <formula>AA$27=0</formula>
    </cfRule>
  </conditionalFormatting>
  <conditionalFormatting sqref="AA229:AE229">
    <cfRule type="expression" dxfId="126" priority="195">
      <formula>AA$27=0</formula>
    </cfRule>
  </conditionalFormatting>
  <conditionalFormatting sqref="AA258:AE258">
    <cfRule type="expression" dxfId="125" priority="193">
      <formula>AA$27=0</formula>
    </cfRule>
  </conditionalFormatting>
  <conditionalFormatting sqref="AA17:AI17">
    <cfRule type="expression" dxfId="124" priority="59">
      <formula>AND(AA17&lt;&gt;"",ISERROR(MATCH(AA17,woningen_gebouwen_namen,0))=TRUE)</formula>
    </cfRule>
  </conditionalFormatting>
  <conditionalFormatting sqref="AA20:AI20">
    <cfRule type="expression" dxfId="123" priority="161">
      <formula>OR(AA$17="",AND(AA$19&lt;&gt;woning,AA$19&lt;&gt;woongebouw))</formula>
    </cfRule>
  </conditionalFormatting>
  <conditionalFormatting sqref="AA21:AI21">
    <cfRule type="expression" dxfId="122" priority="56">
      <formula>AND(AA21&lt;&gt;"",ISERROR(MATCH(AA21,woningen_gebouwen_namen,0))=TRUE)</formula>
    </cfRule>
  </conditionalFormatting>
  <conditionalFormatting sqref="AA23:AI23">
    <cfRule type="expression" dxfId="121" priority="235">
      <formula>AND(AA$17&lt;&gt;"",AA23="")</formula>
    </cfRule>
    <cfRule type="expression" dxfId="120" priority="234">
      <formula>AND(AA$17="",AA23&gt;0)</formula>
    </cfRule>
  </conditionalFormatting>
  <conditionalFormatting sqref="AA24:AI27">
    <cfRule type="expression" dxfId="119" priority="220">
      <formula>OR(AA$17="",AA$22=0)</formula>
    </cfRule>
  </conditionalFormatting>
  <conditionalFormatting sqref="AA28:AI28">
    <cfRule type="expression" dxfId="118" priority="55">
      <formula>AND(AA28&lt;&gt;"",ISERROR(MATCH(AA28,woningen_gebouwen_namen,0))=TRUE)</formula>
    </cfRule>
  </conditionalFormatting>
  <conditionalFormatting sqref="AA37:AI37">
    <cfRule type="expression" dxfId="117" priority="50">
      <formula>AND(AA37&lt;&gt;"",ISERROR(MATCH(AA37,woningen_gebouwen_namen,0))=TRUE)</formula>
    </cfRule>
  </conditionalFormatting>
  <conditionalFormatting sqref="AA39:AI39 O39:W39 AM39:AU39 AY39:BG39">
    <cfRule type="expression" dxfId="116" priority="123">
      <formula>AND(O$17&lt;&gt;"",O$22&gt;0,O39&lt;&gt;"",ISERROR(MATCH(O39,isolatiepakketten_gebouwschil_namen,0))=TRUE)</formula>
    </cfRule>
  </conditionalFormatting>
  <conditionalFormatting sqref="AA40:AI43">
    <cfRule type="expression" dxfId="115" priority="10">
      <formula>OR(AA$17="",AA$22=0)</formula>
    </cfRule>
  </conditionalFormatting>
  <conditionalFormatting sqref="AA44:AI49">
    <cfRule type="expression" dxfId="114" priority="106">
      <formula>OR(AA$17="",AA$22=0)</formula>
    </cfRule>
  </conditionalFormatting>
  <conditionalFormatting sqref="AA49:AI49">
    <cfRule type="expression" dxfId="113" priority="108">
      <formula>IF(AND($AA$36&lt;&gt;"",$AA$49=""),TRUE,FALSE)</formula>
    </cfRule>
  </conditionalFormatting>
  <conditionalFormatting sqref="AA51:AI51">
    <cfRule type="expression" dxfId="112" priority="49">
      <formula>AND(AA51&lt;&gt;"",ISERROR(MATCH(AA51,woningen_gebouwen_namen,0))=TRUE)</formula>
    </cfRule>
  </conditionalFormatting>
  <conditionalFormatting sqref="AA53:AI53">
    <cfRule type="expression" dxfId="111" priority="48">
      <formula>AND(AA53&lt;&gt;"",ISERROR(MATCH(AA53,woningen_gebouwen_namen,0))=TRUE)</formula>
    </cfRule>
  </conditionalFormatting>
  <conditionalFormatting sqref="AA60:AI60">
    <cfRule type="expression" dxfId="110" priority="41">
      <formula>AND(AA60&lt;&gt;"",ISERROR(MATCH(AA60,woningen_gebouwen_namen,0))=TRUE)</formula>
    </cfRule>
  </conditionalFormatting>
  <conditionalFormatting sqref="AA61:AI69">
    <cfRule type="expression" dxfId="109" priority="115">
      <formula>OR(AA$17="",AA$22=0)</formula>
    </cfRule>
  </conditionalFormatting>
  <conditionalFormatting sqref="AA70:AI70 AM70:AU70 AY70:BG70 AA72:AI72 AM72:AU72 AY72:BG72">
    <cfRule type="expression" dxfId="108" priority="38">
      <formula>AND(AA70&lt;&gt;"",ISERROR(MATCH(AA70,woningen_gebouwen_namen,0))=TRUE)</formula>
    </cfRule>
  </conditionalFormatting>
  <conditionalFormatting sqref="AA71:AI71">
    <cfRule type="expression" dxfId="107" priority="209">
      <formula>OR(AA$17="",AA$22=0)</formula>
    </cfRule>
    <cfRule type="expression" dxfId="106" priority="210">
      <formula>AND(AA$17&lt;&gt;"",AA71="")</formula>
    </cfRule>
  </conditionalFormatting>
  <conditionalFormatting sqref="AA73:AI73">
    <cfRule type="expression" dxfId="105" priority="2">
      <formula>OR(AA$17="",AA$22=0)</formula>
    </cfRule>
    <cfRule type="expression" dxfId="104" priority="3">
      <formula>AND(AA$17&lt;&gt;"",AA73="")</formula>
    </cfRule>
  </conditionalFormatting>
  <conditionalFormatting sqref="AA78:AI78">
    <cfRule type="expression" dxfId="103" priority="191">
      <formula>AA$27=0</formula>
    </cfRule>
  </conditionalFormatting>
  <conditionalFormatting sqref="AA268:AI268 AM268:AU268 AY268:BG268">
    <cfRule type="expression" dxfId="102" priority="29">
      <formula>AND(AA268&lt;&gt;"",ISERROR(MATCH(AA268,woningen_gebouwen_namen,0))=TRUE)</formula>
    </cfRule>
  </conditionalFormatting>
  <conditionalFormatting sqref="AA274:AI274 AM274:AU274 AY274:BG274">
    <cfRule type="expression" dxfId="101" priority="28">
      <formula>AND(AA274&lt;&gt;"",ISERROR(MATCH(AA274,woningen_gebouwen_namen,0))=TRUE)</formula>
    </cfRule>
  </conditionalFormatting>
  <conditionalFormatting sqref="AA281:AI281 AM281:AU281 AY281:BG281">
    <cfRule type="expression" dxfId="100" priority="37">
      <formula>AND(AA281&lt;&gt;"",ISERROR(MATCH(AA281,woningen_gebouwen_namen,0))=TRUE)</formula>
    </cfRule>
  </conditionalFormatting>
  <conditionalFormatting sqref="AA291:AI291 AM291:AU291 AY291:BG291">
    <cfRule type="expression" dxfId="99" priority="5">
      <formula>AND(AA291&lt;&gt;"",ISERROR(MATCH(AA291,woningen_gebouwen_namen,0))=TRUE)</formula>
    </cfRule>
  </conditionalFormatting>
  <conditionalFormatting sqref="AA293:AI293 AM293:AU293 AY293:BG293 AA297:AI297 AM297:AU297 AY297:BG297">
    <cfRule type="expression" dxfId="98" priority="30">
      <formula>AND(AA293&lt;&gt;"",ISERROR(MATCH(AA293,woningen_gebouwen_namen,0))=TRUE)</formula>
    </cfRule>
  </conditionalFormatting>
  <conditionalFormatting sqref="AA305:AI305 AM305:AU305 AY305:BG305 AA312:AI312 AM312:AU312 AY312:BG312 AA314:AI314 AM314:AU314 AY314:BG314 AA316:AI316 AM316:AU316 AY316:BG316">
    <cfRule type="expression" dxfId="97" priority="35">
      <formula>AND(AA305&lt;&gt;"",ISERROR(MATCH(AA305,woningen_gebouwen_namen,0))=TRUE)</formula>
    </cfRule>
  </conditionalFormatting>
  <conditionalFormatting sqref="AA321:AI321 AM321:AU321 AY321:BG321">
    <cfRule type="expression" dxfId="96" priority="34">
      <formula>AND(AA321&lt;&gt;"",ISERROR(MATCH(AA321,woningen_gebouwen_namen,0))=TRUE)</formula>
    </cfRule>
  </conditionalFormatting>
  <conditionalFormatting sqref="AA323:AI323 AM323:AU323 AY323:BG323 AA327:AI327 AM327:AU327 AY327:BG327 AA332:AI332 AM332:AU332 AY332:BG332 AA335:AI335 AM335:AU335 AY335:BG335 AA338:AI338 AM338:AU338 AY338:BG338">
    <cfRule type="expression" dxfId="95" priority="33">
      <formula>AND(AA323&lt;&gt;"",ISERROR(MATCH(AA323,woningen_gebouwen_namen,0))=TRUE)</formula>
    </cfRule>
  </conditionalFormatting>
  <conditionalFormatting sqref="AA328:AI328">
    <cfRule type="expression" dxfId="94" priority="112">
      <formula>OR(AA$17="",AA$22=0)</formula>
    </cfRule>
  </conditionalFormatting>
  <conditionalFormatting sqref="AA329:AI331 AM329:AU331">
    <cfRule type="expression" dxfId="93" priority="126">
      <formula>AA$22=0</formula>
    </cfRule>
  </conditionalFormatting>
  <conditionalFormatting sqref="AA337:AI337">
    <cfRule type="expression" dxfId="92" priority="140">
      <formula>AND(AA337&lt;&gt;"nvt",AA337&lt;=AA336)</formula>
    </cfRule>
    <cfRule type="expression" dxfId="91" priority="139">
      <formula>AND(AA337&lt;&gt;"nvt",AA337&gt;AA336)</formula>
    </cfRule>
  </conditionalFormatting>
  <conditionalFormatting sqref="AA340:AI340">
    <cfRule type="expression" dxfId="90" priority="138">
      <formula>AND(AA340&lt;&gt;"nvt",AA340&lt;=AA339)</formula>
    </cfRule>
    <cfRule type="expression" dxfId="89" priority="137">
      <formula>AND(AA340&lt;&gt;"nvt",AA340&gt;AA339)</formula>
    </cfRule>
  </conditionalFormatting>
  <conditionalFormatting sqref="AA344:AI344 AM344:AU344 AY344:BG344">
    <cfRule type="expression" dxfId="88" priority="32">
      <formula>AND(AA344&lt;&gt;"",ISERROR(MATCH(AA344,woningen_gebouwen_namen,0))=TRUE)</formula>
    </cfRule>
  </conditionalFormatting>
  <conditionalFormatting sqref="AA345:AI353">
    <cfRule type="expression" dxfId="87" priority="178">
      <formula>AA$22=0</formula>
    </cfRule>
  </conditionalFormatting>
  <conditionalFormatting sqref="AA354:AI354 AM354:AU354 AY354:BG354 AA358:AI358 AM358:AU358 AY358:BG358">
    <cfRule type="expression" dxfId="86" priority="31">
      <formula>AND(AA354&lt;&gt;"",ISERROR(MATCH(AA354,woningen_gebouwen_namen,0))=TRUE)</formula>
    </cfRule>
  </conditionalFormatting>
  <conditionalFormatting sqref="AA359:AI360">
    <cfRule type="expression" dxfId="85" priority="69">
      <formula>AA$22=0</formula>
    </cfRule>
  </conditionalFormatting>
  <conditionalFormatting sqref="AA364:AI364 AM364:AU364 AY364:BG364 O303:W303 AA303:AI303 AM303:AU303 AY303:BG303">
    <cfRule type="expression" dxfId="84" priority="36">
      <formula>AND(O303&lt;&gt;"",ISERROR(MATCH(O303,woningen_gebouwen_namen,0))=TRUE)</formula>
    </cfRule>
  </conditionalFormatting>
  <conditionalFormatting sqref="AA371:AI371 AA373:AI373">
    <cfRule type="expression" dxfId="83" priority="68">
      <formula>AND(AA371&lt;&gt;"",ISERROR(MATCH(AA371,woningen_gebouwen_namen,0))=TRUE)</formula>
    </cfRule>
  </conditionalFormatting>
  <conditionalFormatting sqref="AA329:AU330">
    <cfRule type="expression" dxfId="82" priority="215">
      <formula>AA329&gt;AA324</formula>
    </cfRule>
  </conditionalFormatting>
  <conditionalFormatting sqref="AF263:AF264">
    <cfRule type="expression" dxfId="81" priority="187">
      <formula>AF$27=0</formula>
    </cfRule>
  </conditionalFormatting>
  <conditionalFormatting sqref="AF251:AK258">
    <cfRule type="expression" dxfId="80" priority="180">
      <formula>AF$27=0</formula>
    </cfRule>
  </conditionalFormatting>
  <conditionalFormatting sqref="AJ338 AV338">
    <cfRule type="expression" dxfId="79" priority="132">
      <formula>AJ338&lt;AJ333</formula>
    </cfRule>
  </conditionalFormatting>
  <conditionalFormatting sqref="AK50">
    <cfRule type="expression" dxfId="78" priority="14">
      <formula>AK$22=0</formula>
    </cfRule>
    <cfRule type="expression" dxfId="77" priority="15">
      <formula>AND(AK$22&gt;0,AK50&lt;&gt;"ja",AK50&lt;&gt;"nee")</formula>
    </cfRule>
  </conditionalFormatting>
  <conditionalFormatting sqref="AK52">
    <cfRule type="cellIs" dxfId="76" priority="82" operator="equal">
      <formula>"nee"</formula>
    </cfRule>
  </conditionalFormatting>
  <conditionalFormatting sqref="AK83">
    <cfRule type="cellIs" dxfId="75" priority="78" operator="equal">
      <formula>"nee"</formula>
    </cfRule>
  </conditionalFormatting>
  <conditionalFormatting sqref="AM123:AO123">
    <cfRule type="expression" dxfId="74" priority="62">
      <formula>AND(AM$78&gt;0,AM123="")</formula>
    </cfRule>
  </conditionalFormatting>
  <conditionalFormatting sqref="AM125:AO125">
    <cfRule type="expression" dxfId="73" priority="63">
      <formula>AND(AM$78&gt;0,AM125="")</formula>
    </cfRule>
  </conditionalFormatting>
  <conditionalFormatting sqref="AM154:AO154">
    <cfRule type="expression" dxfId="72" priority="25">
      <formula>AND(AM$78&gt;0,AM$140&lt;&gt;"geen",AM154="")</formula>
    </cfRule>
  </conditionalFormatting>
  <conditionalFormatting sqref="AM156:AO156">
    <cfRule type="expression" dxfId="71" priority="24">
      <formula>AND(AM$78&gt;0,AM$140&lt;&gt;"geen",AM156="")</formula>
    </cfRule>
  </conditionalFormatting>
  <conditionalFormatting sqref="AM251:AO251">
    <cfRule type="expression" dxfId="70" priority="146">
      <formula>AM$27=0</formula>
    </cfRule>
  </conditionalFormatting>
  <conditionalFormatting sqref="AM17:AU17">
    <cfRule type="expression" dxfId="69" priority="58">
      <formula>AND(AM17&lt;&gt;"",ISERROR(MATCH(AM17,woningen_gebouwen_namen,0))=TRUE)</formula>
    </cfRule>
  </conditionalFormatting>
  <conditionalFormatting sqref="AM20:AU20">
    <cfRule type="expression" dxfId="68" priority="160">
      <formula>OR(AM$17="",AND(AM$19&lt;&gt;woning,AM$19&lt;&gt;woongebouw))</formula>
    </cfRule>
  </conditionalFormatting>
  <conditionalFormatting sqref="AM21:AU21">
    <cfRule type="expression" dxfId="67" priority="53">
      <formula>AND(AM21&lt;&gt;"",ISERROR(MATCH(AM21,woningen_gebouwen_namen,0))=TRUE)</formula>
    </cfRule>
  </conditionalFormatting>
  <conditionalFormatting sqref="AM28:AU28">
    <cfRule type="expression" dxfId="66" priority="54">
      <formula>AND(AM28&lt;&gt;"",ISERROR(MATCH(AM28,woningen_gebouwen_namen,0))=TRUE)</formula>
    </cfRule>
  </conditionalFormatting>
  <conditionalFormatting sqref="AM37:AU37">
    <cfRule type="expression" dxfId="65" priority="45">
      <formula>AND(AM37&lt;&gt;"",ISERROR(MATCH(AM37,woningen_gebouwen_namen,0))=TRUE)</formula>
    </cfRule>
  </conditionalFormatting>
  <conditionalFormatting sqref="AM38:AU43">
    <cfRule type="expression" dxfId="64" priority="9">
      <formula>OR(AM$17="",AM$22=0)</formula>
    </cfRule>
  </conditionalFormatting>
  <conditionalFormatting sqref="AM44:AU44 AA44:AI44 O44:W44 AY44:BG44">
    <cfRule type="expression" dxfId="63" priority="227">
      <formula>OR(O44&lt;0.5,O44&gt;2,AND(O$17&lt;&gt;"",O44=""))</formula>
    </cfRule>
  </conditionalFormatting>
  <conditionalFormatting sqref="AM44:AU49">
    <cfRule type="expression" dxfId="62" priority="122">
      <formula>OR(AM$17="",AM$22=0)</formula>
    </cfRule>
  </conditionalFormatting>
  <conditionalFormatting sqref="AM48:AU48 AA48:AI48 O48:W48 AY48:BG48">
    <cfRule type="expression" dxfId="61" priority="233">
      <formula>OR(O48&lt;0,O48&gt;1,AND(O$17&lt;&gt;"",O48=""))</formula>
    </cfRule>
  </conditionalFormatting>
  <conditionalFormatting sqref="AM49:AU49">
    <cfRule type="expression" dxfId="60" priority="117">
      <formula>IF(AND($AM$36&lt;&gt;"",$AM$49=""),TRUE,FALSE)</formula>
    </cfRule>
  </conditionalFormatting>
  <conditionalFormatting sqref="AM51:AU51">
    <cfRule type="expression" dxfId="59" priority="47">
      <formula>AND(AM51&lt;&gt;"",ISERROR(MATCH(AM51,woningen_gebouwen_namen,0))=TRUE)</formula>
    </cfRule>
  </conditionalFormatting>
  <conditionalFormatting sqref="AM53:AU53">
    <cfRule type="expression" dxfId="58" priority="46">
      <formula>AND(AM53&lt;&gt;"",ISERROR(MATCH(AM53,woningen_gebouwen_namen,0))=TRUE)</formula>
    </cfRule>
  </conditionalFormatting>
  <conditionalFormatting sqref="AM60:AU60">
    <cfRule type="expression" dxfId="57" priority="40">
      <formula>AND(AM60&lt;&gt;"",ISERROR(MATCH(AM60,woningen_gebouwen_namen,0))=TRUE)</formula>
    </cfRule>
  </conditionalFormatting>
  <conditionalFormatting sqref="AM73:AU73">
    <cfRule type="expression" dxfId="56" priority="151">
      <formula>OR(AM$17="",AM$22=0)</formula>
    </cfRule>
    <cfRule type="expression" dxfId="55" priority="152">
      <formula>AND(AM$17&lt;&gt;"",AM73="")</formula>
    </cfRule>
  </conditionalFormatting>
  <conditionalFormatting sqref="AM78:AU78 AY78:BG78 O240:T245 AM251:AU258 AW251:AW258 AY251:BD258">
    <cfRule type="expression" dxfId="54" priority="190">
      <formula>O$27=0</formula>
    </cfRule>
  </conditionalFormatting>
  <conditionalFormatting sqref="AM269:AU270">
    <cfRule type="expression" dxfId="53" priority="185">
      <formula>AM$22=0</formula>
    </cfRule>
  </conditionalFormatting>
  <conditionalFormatting sqref="AM333:AU334">
    <cfRule type="expression" dxfId="52" priority="125">
      <formula>AM$22=0</formula>
    </cfRule>
  </conditionalFormatting>
  <conditionalFormatting sqref="AM334:AU334 AY334:BG334 O334:W334 AA334:AI334">
    <cfRule type="expression" dxfId="51" priority="238">
      <formula>#REF!&lt;O$330</formula>
    </cfRule>
  </conditionalFormatting>
  <conditionalFormatting sqref="AM337:AU337">
    <cfRule type="expression" dxfId="50" priority="136">
      <formula>AND(AM337&lt;&gt;"nvt",AM337&lt;=AM336)</formula>
    </cfRule>
    <cfRule type="expression" dxfId="49" priority="135">
      <formula>AND(AM337&lt;&gt;"nvt",AM337&gt;AM336)</formula>
    </cfRule>
  </conditionalFormatting>
  <conditionalFormatting sqref="AM340:AU340">
    <cfRule type="expression" dxfId="48" priority="134">
      <formula>AND(AM340&lt;&gt;"nvt",AM340&lt;=AM339)</formula>
    </cfRule>
    <cfRule type="expression" dxfId="47" priority="133">
      <formula>AND(AM340&lt;&gt;"nvt",AM340&gt;AM339)</formula>
    </cfRule>
  </conditionalFormatting>
  <conditionalFormatting sqref="AM345:AU353">
    <cfRule type="expression" dxfId="46" priority="177">
      <formula>AM$22=0</formula>
    </cfRule>
  </conditionalFormatting>
  <conditionalFormatting sqref="AM371:AU371 AM373:AU373">
    <cfRule type="expression" dxfId="45" priority="67">
      <formula>AND(AM371&lt;&gt;"",ISERROR(MATCH(AM371,woningen_gebouwen_namen,0))=TRUE)</formula>
    </cfRule>
  </conditionalFormatting>
  <conditionalFormatting sqref="AM373:AU374 O294:W296 AA294:AI296 AM294:AU296 AY294:BG296 O359:W360 AM359:AU360 AY359:BG360">
    <cfRule type="expression" dxfId="44" priority="72">
      <formula>O$22=0</formula>
    </cfRule>
  </conditionalFormatting>
  <conditionalFormatting sqref="AM374:AU374">
    <cfRule type="expression" dxfId="43" priority="21">
      <formula>AM$22=0</formula>
    </cfRule>
  </conditionalFormatting>
  <conditionalFormatting sqref="AR263:AR264">
    <cfRule type="expression" dxfId="42" priority="186">
      <formula>AR$27=0</formula>
    </cfRule>
  </conditionalFormatting>
  <conditionalFormatting sqref="AW50">
    <cfRule type="expression" dxfId="41" priority="12">
      <formula>AW$22=0</formula>
    </cfRule>
    <cfRule type="expression" dxfId="40" priority="13">
      <formula>AND(AW$22&gt;0,AW50&lt;&gt;"ja",AW50&lt;&gt;"nee")</formula>
    </cfRule>
  </conditionalFormatting>
  <conditionalFormatting sqref="AW52">
    <cfRule type="cellIs" dxfId="39" priority="81" operator="equal">
      <formula>"nee"</formula>
    </cfRule>
  </conditionalFormatting>
  <conditionalFormatting sqref="AW83">
    <cfRule type="cellIs" dxfId="38" priority="77" operator="equal">
      <formula>"nee"</formula>
    </cfRule>
  </conditionalFormatting>
  <conditionalFormatting sqref="AY109:BA109">
    <cfRule type="expression" dxfId="37" priority="230">
      <formula>AND(AY$78&gt;0,AY109="")</formula>
    </cfRule>
  </conditionalFormatting>
  <conditionalFormatting sqref="AY123:BA123">
    <cfRule type="expression" dxfId="36" priority="60">
      <formula>AND(AY$78&gt;0,AY123="")</formula>
    </cfRule>
  </conditionalFormatting>
  <conditionalFormatting sqref="AY125:BA125">
    <cfRule type="expression" dxfId="35" priority="61">
      <formula>AND(AY$78&gt;0,AY125="")</formula>
    </cfRule>
  </conditionalFormatting>
  <conditionalFormatting sqref="AY154:BA154">
    <cfRule type="expression" dxfId="34" priority="23">
      <formula>AND(AY$78&gt;0,AY$140&lt;&gt;"geen",AY154="")</formula>
    </cfRule>
  </conditionalFormatting>
  <conditionalFormatting sqref="AY156:BA156">
    <cfRule type="expression" dxfId="33" priority="22">
      <formula>AND(AY$78&gt;0,AY$140&lt;&gt;"geen",AY156="")</formula>
    </cfRule>
  </conditionalFormatting>
  <conditionalFormatting sqref="AY251:BA251">
    <cfRule type="expression" dxfId="32" priority="145">
      <formula>AY$27=0</formula>
    </cfRule>
  </conditionalFormatting>
  <conditionalFormatting sqref="AY229:BC229">
    <cfRule type="expression" dxfId="31" priority="194">
      <formula>AY$27=0</formula>
    </cfRule>
  </conditionalFormatting>
  <conditionalFormatting sqref="AY17:BG17">
    <cfRule type="expression" dxfId="30" priority="57">
      <formula>AND(AY17&lt;&gt;"",ISERROR(MATCH(AY17,woningen_gebouwen_namen,0))=TRUE)</formula>
    </cfRule>
  </conditionalFormatting>
  <conditionalFormatting sqref="AY20:BG20">
    <cfRule type="expression" dxfId="29" priority="159">
      <formula>OR(AY$17="",AND(AY$19&lt;&gt;woning,AY$19&lt;&gt;woongebouw))</formula>
    </cfRule>
  </conditionalFormatting>
  <conditionalFormatting sqref="AY21:BG21">
    <cfRule type="expression" dxfId="28" priority="52">
      <formula>AND(AY21&lt;&gt;"",ISERROR(MATCH(AY21,woningen_gebouwen_namen,0))=TRUE)</formula>
    </cfRule>
  </conditionalFormatting>
  <conditionalFormatting sqref="AY28:BG28">
    <cfRule type="expression" dxfId="27" priority="51">
      <formula>AND(AY28&lt;&gt;"",ISERROR(MATCH(AY28,woningen_gebouwen_namen,0))=TRUE)</formula>
    </cfRule>
  </conditionalFormatting>
  <conditionalFormatting sqref="AY37:BG37">
    <cfRule type="expression" dxfId="26" priority="44">
      <formula>AND(AY37&lt;&gt;"",ISERROR(MATCH(AY37,woningen_gebouwen_namen,0))=TRUE)</formula>
    </cfRule>
  </conditionalFormatting>
  <conditionalFormatting sqref="AY38:BG43">
    <cfRule type="expression" dxfId="25" priority="8">
      <formula>OR(AY$17="",AY$22=0)</formula>
    </cfRule>
  </conditionalFormatting>
  <conditionalFormatting sqref="AY49:BG49">
    <cfRule type="expression" dxfId="24" priority="107">
      <formula>IF(AND($AY$36&lt;&gt;"",$AY$49=""),TRUE,FALSE)</formula>
    </cfRule>
  </conditionalFormatting>
  <conditionalFormatting sqref="AY51:BG51">
    <cfRule type="expression" dxfId="23" priority="43">
      <formula>AND(AY51&lt;&gt;"",ISERROR(MATCH(AY51,woningen_gebouwen_namen,0))=TRUE)</formula>
    </cfRule>
  </conditionalFormatting>
  <conditionalFormatting sqref="AY53:BG53">
    <cfRule type="expression" dxfId="22" priority="42">
      <formula>AND(AY53&lt;&gt;"",ISERROR(MATCH(AY53,woningen_gebouwen_namen,0))=TRUE)</formula>
    </cfRule>
  </conditionalFormatting>
  <conditionalFormatting sqref="AY60:BG60">
    <cfRule type="expression" dxfId="21" priority="39">
      <formula>AND(AY60&lt;&gt;"",ISERROR(MATCH(AY60,woningen_gebouwen_namen,0))=TRUE)</formula>
    </cfRule>
  </conditionalFormatting>
  <conditionalFormatting sqref="AY73:BG73">
    <cfRule type="expression" dxfId="20" priority="149">
      <formula>OR(AY$17="",AY$22=0)</formula>
    </cfRule>
    <cfRule type="expression" dxfId="19" priority="150">
      <formula>AND(AY$17&lt;&gt;"",AY73="")</formula>
    </cfRule>
  </conditionalFormatting>
  <conditionalFormatting sqref="AY269:BG270">
    <cfRule type="expression" dxfId="18" priority="179">
      <formula>AY$22=0</formula>
    </cfRule>
  </conditionalFormatting>
  <conditionalFormatting sqref="AY329:BG330">
    <cfRule type="expression" dxfId="17" priority="214">
      <formula>AY329&gt;AY324</formula>
    </cfRule>
  </conditionalFormatting>
  <conditionalFormatting sqref="AY329:BG331">
    <cfRule type="expression" dxfId="16" priority="203">
      <formula>AY$22=0</formula>
    </cfRule>
  </conditionalFormatting>
  <conditionalFormatting sqref="AY333:BG334">
    <cfRule type="expression" dxfId="15" priority="124">
      <formula>AY$22=0</formula>
    </cfRule>
  </conditionalFormatting>
  <conditionalFormatting sqref="AY336:BG337">
    <cfRule type="expression" dxfId="14" priority="175">
      <formula>AY$22=0</formula>
    </cfRule>
  </conditionalFormatting>
  <conditionalFormatting sqref="AY337:BG337">
    <cfRule type="expression" dxfId="13" priority="130">
      <formula>AND(AY337&lt;&gt;"nvt",AY337&gt;AY336)</formula>
    </cfRule>
    <cfRule type="expression" dxfId="12" priority="131">
      <formula>AND(AY337&lt;&gt;"nvt",AY337&lt;=AY336)</formula>
    </cfRule>
  </conditionalFormatting>
  <conditionalFormatting sqref="AY340:BG340">
    <cfRule type="expression" dxfId="11" priority="128">
      <formula>AND(AY340&lt;&gt;"nvt",AY340&gt;AY339)</formula>
    </cfRule>
    <cfRule type="expression" dxfId="10" priority="129">
      <formula>AND(AY340&lt;&gt;"nvt",AY340&lt;=AY339)</formula>
    </cfRule>
  </conditionalFormatting>
  <conditionalFormatting sqref="AY355:BG357">
    <cfRule type="expression" dxfId="9" priority="181">
      <formula>AY$22=0</formula>
    </cfRule>
  </conditionalFormatting>
  <conditionalFormatting sqref="AY364:BG374">
    <cfRule type="expression" dxfId="8" priority="4">
      <formula>AY$22=0</formula>
    </cfRule>
  </conditionalFormatting>
  <conditionalFormatting sqref="AY371:BG371 AY373:BG373">
    <cfRule type="expression" dxfId="7" priority="66">
      <formula>AND(AY371&lt;&gt;"",ISERROR(MATCH(AY371,woningen_gebouwen_namen,0))=TRUE)</formula>
    </cfRule>
  </conditionalFormatting>
  <conditionalFormatting sqref="BD180:BD181">
    <cfRule type="expression" dxfId="6" priority="172">
      <formula>BD$27=0</formula>
    </cfRule>
  </conditionalFormatting>
  <conditionalFormatting sqref="BD263:BD264">
    <cfRule type="expression" dxfId="5" priority="182">
      <formula>BD$27=0</formula>
    </cfRule>
  </conditionalFormatting>
  <conditionalFormatting sqref="BD331">
    <cfRule type="expression" dxfId="4" priority="183">
      <formula>BD331&lt;BD326</formula>
    </cfRule>
  </conditionalFormatting>
  <conditionalFormatting sqref="BH229 BH233">
    <cfRule type="expression" dxfId="3" priority="249">
      <formula>AND(BH229&lt;&gt;"-",BH229&gt;#REF!)</formula>
    </cfRule>
  </conditionalFormatting>
  <conditionalFormatting sqref="BH230 BH234">
    <cfRule type="expression" dxfId="2" priority="248">
      <formula>AND(BH230&lt;&gt;"-",BH230&gt;BH232)</formula>
    </cfRule>
  </conditionalFormatting>
  <conditionalFormatting sqref="BH231 BH235">
    <cfRule type="expression" dxfId="1" priority="218">
      <formula>AND(BH231&lt;&gt;"-",BH231&gt;BH232)</formula>
    </cfRule>
  </conditionalFormatting>
  <conditionalFormatting sqref="BH269">
    <cfRule type="expression" dxfId="0" priority="228">
      <formula>AND(BH269&lt;&gt;"-",BH269&gt;#REF!)</formula>
    </cfRule>
  </conditionalFormatting>
  <dataValidations count="111">
    <dataValidation showInputMessage="1" showErrorMessage="1" sqref="G328" xr:uid="{0BB04DC4-82DD-43EF-8A71-C2CD44C8739E}"/>
    <dataValidation allowBlank="1" showInputMessage="1" showErrorMessage="1" promptTitle="Batterij aanwezig?" prompt="Per locatie moet worden aangegeven of er een batterij aanwezig is voor de opslag van door PV opgewekte zonnestroom. Let op: voor de batterijcapaciteit is een ondergrens van minimaal 5kWh van toepassing om meegerekend te kunnen worden in de UMGO." sqref="D50" xr:uid="{7756C0EA-1F49-4153-8EA4-B90B579A5AFD}"/>
    <dataValidation allowBlank="1" showInputMessage="1" showErrorMessage="1" promptTitle="vermeden fossiel zonder batterij" prompt="De bijdrage van de batterij wordt verrekend bij het primaire fossiele energiegebruik." sqref="D214" xr:uid="{A69059EC-EF11-4953-9699-4D04047C0131}"/>
    <dataValidation type="decimal" allowBlank="1" showInputMessage="1" showErrorMessage="1" errorTitle="Bereik 50%-200%" error="De ingevoerde waarde valt buiten het bereik." sqref="O44:W44 AA44:AI44 AM44:AU44 AY44:BG44" xr:uid="{CFE935FA-D1D6-4B0F-911B-85E201CEEFD8}">
      <formula1>0.5</formula1>
      <formula2>2</formula2>
    </dataValidation>
    <dataValidation allowBlank="1" showInputMessage="1" showErrorMessage="1" promptTitle="Primair fossiel energiegebruik" prompt="Het primair fossiel energiegebruik in kWh_prim/m2.jaar per woningtype/gebouw, per energiepost en voor het totaal._x000a__x000a_Alleen het gebouwgebonden deel van de primaire fossiele energiegebruiken wordt meegenomen voor BENG 2." sqref="D280" xr:uid="{F4E23CE9-1C52-40DA-9253-925D99131B07}"/>
    <dataValidation allowBlank="1" showInputMessage="1" showErrorMessage="1" promptTitle="geëxporteerde elektriciteit" prompt="geproducreede elektriciteit MIN geproduceerde elektriciteit die gebruikt wordt ter dekking van het gebruik op eigen perceel_x000a__x000a_Volgens formule 5.26 in paragraaf 5.5.4 uit NTA 8800 2026." sqref="D202" xr:uid="{D8AD8BD9-F256-4267-927A-3C9B8A0467C8}"/>
    <dataValidation allowBlank="1" showInputMessage="1" showErrorMessage="1" promptTitle="correctiepost waardering opslag" prompt="Correctiepost voor de (beleidsmatige) waardering van opslagsystemen voor hernieuwbare elektriciteit in kWh._x000a__x000a_Deze wordt zonder primaire energiefactor meegenomen in het primair energiegbruik._x000a__x000a_Volgens formule 5.14a in paragraaf 5.5.2 uit NTA 8800 2026." sqref="D201" xr:uid="{97A2FD98-9167-4516-BD81-BDFC722112E9}"/>
    <dataValidation type="list" allowBlank="1" showInputMessage="1" showErrorMessage="1" promptTitle="Energiepakket / energiebehoefte" sqref="M50 Y50 AK50 AW50" xr:uid="{C23B2479-9FEB-4CC6-9DEE-8BB1DC4688A8}">
      <formula1>"ja,nee"</formula1>
    </dataValidation>
    <dataValidation allowBlank="1" showInputMessage="1" showErrorMessage="1" promptTitle="direct gebruik elektriciteit PV" prompt="Volgens formule AB.65 in paragraaf AB.2.3.2. uit NTA 8800 2026." sqref="D205" xr:uid="{5E0B5ED3-6B89-4672-8A94-C254EFCD50A6}"/>
    <dataValidation allowBlank="1" showInputMessage="1" showErrorMessage="1" promptTitle="direct gebruik elektriciteit wkk" prompt="Volgens formule AB.66 in paragraaf AB.2.3.2. uit NTA 8800 2026." sqref="D208" xr:uid="{0169C215-D22E-47FA-AD10-917175828E59}"/>
    <dataValidation allowBlank="1" showInputMessage="1" showErrorMessage="1" promptTitle="Primair energiegebruik" prompt="De Uniforme Maatlat rekent op onderwaarde. De EPG rekent echter op bovenwaarde. De berekende primaire energiebruiken in de EPG zijn daarom hoger." sqref="D174" xr:uid="{E759A97E-EF2B-4353-8517-5A40442253EA}"/>
    <dataValidation type="decimal" allowBlank="1" showInputMessage="1" showErrorMessage="1" sqref="O153:P153 AA153:AB153 AM153:AN153 AY153:AZ153" xr:uid="{D06C0E30-78B2-4BA3-B37B-623FB2928AB5}">
      <formula1>0</formula1>
      <formula2>2</formula2>
    </dataValidation>
    <dataValidation type="list" allowBlank="1" showInputMessage="1" showErrorMessage="1" sqref="F6" xr:uid="{5D71B031-4C5E-4567-AC5B-BA7372BDF837}">
      <formula1>rekenmethode_EP_MWA</formula1>
    </dataValidation>
    <dataValidation type="list" allowBlank="1" showInputMessage="1" showErrorMessage="1" sqref="AA42:AI42 AM42:AU42 AY42:BG42 O42:W42" xr:uid="{7043C503-377D-476D-95BF-B7A9F38EA2D1}">
      <formula1>DWTW_namen</formula1>
    </dataValidation>
    <dataValidation type="list" showInputMessage="1" showErrorMessage="1" sqref="G61 G63" xr:uid="{6DC5E043-B4CE-403A-85EC-9D8DC64FF167}">
      <formula1>beschikbare_fitformules_NTA8800</formula1>
    </dataValidation>
    <dataValidation allowBlank="1" showInputMessage="1" showErrorMessage="1" promptTitle="Specifieke interne warmtecapacit" prompt="450 kJ/m2K is een waarde die hoort bij zware gebouwen (steen, beton)_x000a__x000a_055 kJ/m2K hoort bij lichte gebouwen (hout-, staalskeletbouw) met gesloten plafonds." sqref="D49" xr:uid="{DDD78D4F-F142-4C91-979F-B9986DEE8B0F}"/>
    <dataValidation type="list" allowBlank="1" showInputMessage="1" showErrorMessage="1" sqref="AA49:AI49 AY49:BG49 O49:W49 AM49:AU49" xr:uid="{774E353E-F3B0-4CF0-B65A-1F5E791AA388}">
      <formula1>specifieke_interne_warmtecapaciteit</formula1>
    </dataValidation>
    <dataValidation allowBlank="1" showInputMessage="1" showErrorMessage="1" promptTitle="Renocatiestandaard utiliteit" prompt="De renovatiestandaard is een vrijwillige richtlijn voor de energieprestatie van utiliteitsgebouwen. Na 2030 wordt er een verplichte eindnorm bepaald waaraan de energieprestaties van alle gebouwen moeten voldoen in 2050." sqref="D334" xr:uid="{A4132082-71D0-4D91-A4C6-ACD0E7563D67}"/>
    <dataValidation allowBlank="1" showInputMessage="1" showErrorMessage="1" promptTitle="Energiepakket / energiebehoefte" sqref="O38:W38 Y38:AI38 AY38:BG38 AW38 AK38 AM38:AU38" xr:uid="{A82B1088-CDEF-469D-B13A-277A7FDEE7E4}"/>
    <dataValidation type="list" allowBlank="1" showInputMessage="1" showErrorMessage="1" promptTitle="Energiepakket / energiebehoefte" sqref="AY39:BG39 AA39:AI39 AM39:AU39 O39:W39" xr:uid="{F58247FF-4B0A-43D4-BFE6-32CBC30F83C5}">
      <formula1>isolatiepakketten_gebouwschil_namen</formula1>
    </dataValidation>
    <dataValidation allowBlank="1" showInputMessage="1" showErrorMessage="1" promptTitle="Correctie warmtebehoefte RV" prompt="In slecht geïsoleerde gebouwen berekent NTA8800 gemiddeld té hoge energiegebruiken voor ruimteverwarming._x000a_De correctie corrigeert de NTA berekening op basis van de gemiddelde U-waarde._x000a__x000a_&gt;&gt; energieprestatie-indicatoren zijn alleen geldig ZONDER correctie." sqref="D6" xr:uid="{3DF3BFBC-C9C1-4005-BF1C-1C3533C83867}"/>
    <dataValidation type="whole" allowBlank="1" showInputMessage="1" showErrorMessage="1" errorTitle="Invoer valt buiten bereik" error="De ingevoerde waarde valt buiten het bereik." sqref="AY56:BG56 O56:W56 AA56:AI56 AM56:AU56" xr:uid="{04BAE618-E0FF-4186-877C-C45968896776}">
      <formula1>0</formula1>
      <formula2>1000</formula2>
    </dataValidation>
    <dataValidation allowBlank="1" showInputMessage="1" showErrorMessage="1" promptTitle="Indicatie warmtebehoefte RV" prompt="Indicatie warmtebehoefte ruimteverwarming (RV) NTA8800 cf. energieprestatie (EP) of cf. maatwerkadvies (MWA). Berekend met benaderingsformules op basis van bouwmassa, ventilatiesysteem, gebruiksfunctie, Ugemiddeld en de vormfactor." sqref="D55" xr:uid="{3EAE1204-976E-453B-B2D8-CB2B9C23C1B2}"/>
    <dataValidation allowBlank="1" showInputMessage="1" showErrorMessage="1" promptTitle="Standaardwaarde" prompt="Deze standaard geeft aan wanneer een woning goed genoeg is geïsoleerd om aardgasvrij te worden. Hij is ontstaan uit het Klimaatakkoord._x000a_" sqref="D335" xr:uid="{6C35B358-83EB-4C4F-906C-A47536CE0DBF}"/>
    <dataValidation allowBlank="1" showInputMessage="1" showErrorMessage="1" promptTitle="CO2 emissiecoëfficiënt" prompt="CO2 emissiecoëfficiënt energiedrager._x000a__x000a_Bij collectieve WKK met/zonder derving, geothermie, etc wordt de CO2 emissiecoëfficiënt uitgerekend cf. NEN7125_2017 paragraaf 7.3.4.5/6/9._x000a__x000a_Bij een EMG-verklaring wordt de waarde voor K_CO2 del overgenomen." sqref="D128" xr:uid="{CDB30A9A-DA91-47C7-A879-42A8D70A5D96}"/>
    <dataValidation allowBlank="1" showInputMessage="1" showErrorMessage="1" promptTitle="Elektriciteitsderving bij WKK" prompt="Bij WKK's waarbij de elektriciteitsproductie afneemt bij onttrekking van warmte, wordt de primaire energiefactor uitgerekend met de verhouding tussen elektriciteitsderving en thermische omzettingsgetal (Δε;chp;el / ε;chp;th)._x000a__x000a_NEN7125_2017 par 7.3.4.6" sqref="D113" xr:uid="{C7080711-5151-43D1-A25F-70E230DDADEA}"/>
    <dataValidation allowBlank="1" showInputMessage="1" showErrorMessage="1" promptTitle="Primaire energiefactor" prompt="Primaire energiefactor energiedrager._x000a__x000a_Bij collectieve WKK met/zonder derving, geothermie, etc wordt de primaire energiefactor uitgerekend cf. NEN7125_2017 paragraaf 7.3.4.5/6/9._x000a__x000a_Bij een EMG-verklaring wordt de waarde voor fPdel overgenomen." sqref="D118" xr:uid="{6053C92A-57E5-49EC-85BF-15454627C4F4}"/>
    <dataValidation type="textLength" allowBlank="1" showInputMessage="1" showErrorMessage="1" errorTitle="Maximaal 65 karakters" error="Maximaal 65 karakters." sqref="F4" xr:uid="{1B956F5D-70B1-46F7-AB01-C3CA9B589C7D}">
      <formula1>0</formula1>
      <formula2>65</formula2>
    </dataValidation>
    <dataValidation type="textLength" errorStyle="warning" allowBlank="1" showInputMessage="1" showErrorMessage="1" errorTitle="Maximaal 30 karakters" error="Maximaal 30 karakters" sqref="H3" xr:uid="{875C5050-1321-48EE-A3A0-FFFD2BA7DDA7}">
      <formula1>0</formula1>
      <formula2>40</formula2>
    </dataValidation>
    <dataValidation type="textLength" errorStyle="warning" allowBlank="1" showInputMessage="1" showErrorMessage="1" errorTitle="Maximaal 30 karakters" error="Maximaal 30 karakters" sqref="E3 F4" xr:uid="{3AACAA2A-A0C6-4D83-A2A1-E23DCED0D26E}">
      <formula1>0</formula1>
      <formula2>30</formula2>
    </dataValidation>
    <dataValidation allowBlank="1" showInputMessage="1" showErrorMessage="1" promptTitle="Elektriciteit 'overig'" prompt="Elektriciteit 'overig' is het elektriciteitsgebruik voor hulpenergie installaties, verlichting, ventilatoren, apparatuur, mobiliteit, elektrisch koken, etcetera." sqref="D169" xr:uid="{C8403B01-8098-43C1-BAA6-E4EA7644F2E5}"/>
    <dataValidation allowBlank="1" showInputMessage="1" showErrorMessage="1" promptTitle="Indicatie geïnstalleerd vermogen" prompt="Forfaitaire, conservatieve, waarden in NTA8800, par. 14.3, in W/m2:_x000a_- winkels: 30_x000a_- gezondheid met bed, logies, cellen: 17_x000a_- overige functies: 16_x000a__x000a_Gebruikelijk is 30% lager._x000a_Energiezuinig 50%-60% lager." sqref="D45" xr:uid="{D3EC857E-81E5-4B63-8829-B794B8F12020}"/>
    <dataValidation allowBlank="1" showInputMessage="1" showErrorMessage="1" promptTitle="Bijdrage zonthermisch MWh" prompt="Bijdrage zonthermisch = %bijdrage zonthermisch * (energiebehoefte + intern distributieverlies)_x000a__x000a_Het % bijdrage zonthermisch is verschillend voor RV en TAP en staat in de bibliotheek." sqref="D91" xr:uid="{7C33F19B-2E23-426C-A954-F152B415F559}"/>
    <dataValidation allowBlank="1" showInputMessage="1" showErrorMessage="1" promptTitle="Aandeel hernieuwbare energie" prompt="Let op: Groen = voldoet aan eis BENG3_x000a__x000a_Aandeel hernieuwbare energie._x000a__x000a_RERPrenTOT = EPrenTot / (EPTot + EPrenTot) * 100%_x000a__x000a_Cf. NTA8800 par. 5.3.1.3, formule 5.3" sqref="D331" xr:uid="{8FBAD6B2-0CD6-49CF-A066-D81AF797F934}"/>
    <dataValidation type="list" allowBlank="1" showInputMessage="1" showErrorMessage="1" sqref="O47:W47 AA47:AI47 AY47:BG47 AM47:AU47" xr:uid="{12FF145F-0C90-45CF-9BF9-FF5FFBFA1F1B}">
      <formula1>"elektriciteit,aardgas"</formula1>
    </dataValidation>
    <dataValidation allowBlank="1" showInputMessage="1" showErrorMessage="1" promptTitle="Kookgas" prompt="Gasverbruik voor kookgas." sqref="D68" xr:uid="{1C73EAF5-C72D-40B2-B3CD-E8F332578F08}"/>
    <dataValidation allowBlank="1" showInputMessage="1" showErrorMessage="1" promptTitle="Hernieuwbare 'primaire' energie" prompt="De totale hernieuwbare 'primaire' energie voor GEBOUWGEBONDEN energiegebruik is berekend cf. NTA8800._x000a__x000a_NTA8800 par. 5.6." sqref="D302" xr:uid="{95C90781-14E9-45FF-94EC-A6334648721F}"/>
    <dataValidation allowBlank="1" showInputMessage="1" showErrorMessage="1" promptTitle="Energieprestatie indicatoren" prompt="De energieprestatie indicatoren gaan alleen over GEBOUWGEBONDEN energiegebruik en zijn bepaald cf. paragraaf 5.3.1 van NTA 8800._x000a__x000a_" sqref="D320" xr:uid="{B20AA12B-7EF2-4AFC-B53F-6B8A2E281693}"/>
    <dataValidation allowBlank="1" showInputMessage="1" showErrorMessage="1" promptTitle="Energielabel" prompt="Het energielabel wordt bepaald op basis van het gebouwgebonden primair energiegebruik in kWh/m2._x000a__x000a_Zie 'Regeling energieprestatie gebouwen', https://wetten.overheid.nl/BWBR0020921/2021-07-01" sqref="D333" xr:uid="{B15D7558-81CF-4171-8B9B-E98D7133CB2C}"/>
    <dataValidation allowBlank="1" showInputMessage="1" showErrorMessage="1" promptTitle="Besparing warmtevraag TAP (MWA)" prompt="Reductie (of toename) van de warmtevraag voor warmtapwater t.o.v. van de berekende warmtevraag cf. NTA 8800._x000a__x000a_Te denken valt aan waterbesparende kranen, lagere bezetting, bewust energiezuinig gedrag, et cetera." sqref="D44" xr:uid="{DF33F7DB-F56A-4FBA-9B38-6E7010786A33}"/>
    <dataValidation allowBlank="1" showInputMessage="1" showErrorMessage="1" promptTitle="Woningen|utiliteitsgebouwen" prompt="De tabel geeft een terugkoppeling van de ingevoerde woningen en utileitsgebouwen in" sqref="D16" xr:uid="{CB5F8885-467F-4548-87C8-F355B38BA957}"/>
    <dataValidation allowBlank="1" showInputMessage="1" showErrorMessage="1" promptTitle="Resultaten" prompt="De tabel geeft een samenvatting van het primair energiegebruik, de CO2 emissie en het gasverbruik van de locatie(s) als gevolg van energetische keuzes in deze variant." sqref="D10" xr:uid="{6CD98B4E-1C9B-4FA7-A607-A0C67A25DA79}"/>
    <dataValidation allowBlank="1" showInputMessage="1" showErrorMessage="1" promptTitle="Niet preferent toestel" prompt="Kenmerken wijzigen van het niet preferente toestel (niet preferent toestel bepaald door type installatie)._x000a_De kenmerken bepalen de te leveren warmte|koude door het niet preferente toestel, het finaal/primair energiegebruik en de CO2 emissie." sqref="D138" xr:uid="{29DBA7DC-B661-40DF-94CE-B8543F7A5A8B}"/>
    <dataValidation allowBlank="1" showInputMessage="1" showErrorMessage="1" promptTitle="Preferent toestel" prompt="Hier kunnen de kenmerken van het al eerder gekozen preferente toestel worden gewijzigd._x000a_De kenmerken bepalen welk deel van de te leveren warmte|koude door het preferente toestel geleverd wordt en hoeveel primair energiegebruik en CO2 emissie dat kost." sqref="D102" xr:uid="{8232B01E-5936-40AB-B820-B0DE28E671F8}"/>
    <dataValidation allowBlank="1" showInputMessage="1" showErrorMessage="1" promptTitle="Te leveren warmte en koude" prompt="Aan het distributiesysteem te leveren warmte|koude wordt berekend op basis van de warmte- en koudevraag van woningen en utiliteitsgebouwen (energiebehoefte per energiepost), de verliezen door warmte-/koudedistributie en gebruik van thermische zonnewarmte." sqref="D96" xr:uid="{511A31DF-FF0B-49A6-911C-086344553FBE}"/>
    <dataValidation allowBlank="1" showInputMessage="1" showErrorMessage="1" promptTitle="Keuze preferent toestel" prompt="De keuze van het preferente toestel bepaalt welke forfaitaire waarden voor warmtedistributie, energiedragers en rendementen uit de bibliotheek worden opgehaald." sqref="D82" xr:uid="{D1B40364-A92C-4150-BFDA-3D8A765D5F12}"/>
    <dataValidation allowBlank="1" showInputMessage="1" showErrorMessage="1" promptTitle="Installatie" prompt="De installatie voor verwarming, koeling en warmtapwater wordt vastgelegd door keuze voor het type preferent toestel, de warmteverliezen door interen en externe warmtedistributie en gebruik van thermische zonne-energie." sqref="D81" xr:uid="{57643A4D-F3DF-4E9C-BEA6-5A03D98721C1}"/>
    <dataValidation allowBlank="1" showInputMessage="1" showErrorMessage="1" promptTitle="Thermische zonne-energie" prompt="Het thermisch zonne-energiesysteem levert een % van de warmtevraag inclusief intern distributieverlies._x000a__x000a_In de UMGO worden de volgende forfaitaire waarden aangehouden:_x000a_- ruimteverwarming: 15%;_x000a_- warmtapwater: 50%." sqref="D89" xr:uid="{5355B9F3-3D79-493F-BAFA-562E4AFBE288}"/>
    <dataValidation allowBlank="1" showInputMessage="1" showErrorMessage="1" promptTitle="Energie niet voor verwarmen/koel" prompt="Elektra en gas NIET voor verwarmen/koelen._x000a_- gebouwgebonden (hulpenergie_x000a_   toestellen, verlichting,_x000a_   ventilatoren);_x000a_- niet gebouwgebonden (apparatuur_x000a_   (tv, computer, elektrisch koken,_x000a_   klusapparatuur, etc), mobiliteit);_x000a_-  kookgas" sqref="D164" xr:uid="{56EFCF65-1025-4EF4-91CD-A1FFFA230C40}"/>
    <dataValidation type="decimal" allowBlank="1" showInputMessage="1" showErrorMessage="1" errorTitle="Bereik 0,0-0,5" error="De ingevoerde waarde valt buiten het bereik." sqref="O135:Q135 AA135:AC135 AY135:BA135 AM135:AO135" xr:uid="{0F148814-0D11-4F7A-AEB0-B03DE8AF6DE1}">
      <formula1>0</formula1>
      <formula2>0.5</formula2>
    </dataValidation>
    <dataValidation type="decimal" allowBlank="1" showInputMessage="1" showErrorMessage="1" errorTitle="Bereik 0,0-1,0" error="De ingevoerde waarde valt buiten het bereik." sqref="AY167:BA167 AA129:AC129 AY129:BA129 O160:Q160 AA160:AC160 AY160:BA160 O167:Q167 AA167:AC167 P129:Q129 AM167:AO167 AM160:AO160 AM129:AO129" xr:uid="{AAEDEB4D-8472-419E-BFE8-2D87E2FD5872}">
      <formula1>0</formula1>
      <formula2>1</formula2>
    </dataValidation>
    <dataValidation type="decimal" allowBlank="1" showInputMessage="1" showErrorMessage="1" errorTitle="Bereik 0,0-2,0" error="De ingevoerde waarde valt buiten het bereik." sqref="O119:Q119 AA119:AC119 AY119:BA119 O150:Q150 AA150:AC150 AY150:BA150 O129 AM150:AO150 AM119:AO119 O125:Q125 O123:Q123 O156:Q156 O154:Q154 AA125:AC125 AA123:AC123 AM125:AO125 AM123:AO123 AY125:BA125 AY123:BA123 AA156:AC156 AA154:AC154 AM156:AO156 AM154:AO154 AY156:BA156 AY154:BA154" xr:uid="{1AF2D0C9-12EF-4B5B-9A0A-60DEEC060211}">
      <formula1>0</formula1>
      <formula2>2</formula2>
    </dataValidation>
    <dataValidation type="decimal" allowBlank="1" showInputMessage="1" showErrorMessage="1" errorTitle="Bereik 0,10-1,00" error="De ingevoerde waarde valt buiten het bereik." sqref="O87 Q87 AA87 AC87 AY87 BA87 AM87 AO87" xr:uid="{4F47E78E-144E-4223-8C47-D7C7F760A637}">
      <formula1>0.1</formula1>
      <formula2>1</formula2>
    </dataValidation>
    <dataValidation type="decimal" operator="greaterThanOrEqual" allowBlank="1" showInputMessage="1" showErrorMessage="1" errorTitle="Bereik ≥0" error="De ingevoerde waarde valt buiten het bereik." promptTitle="Energiepakket / energiebehoefte" sqref="O73:W73 AM73:AU73 AY73:BG73 AA73:AI73" xr:uid="{47CFC71D-9C09-424F-AF30-551FE4B0AC88}">
      <formula1>0</formula1>
    </dataValidation>
    <dataValidation type="decimal" operator="greaterThanOrEqual" allowBlank="1" showInputMessage="1" showErrorMessage="1" errorTitle="Bereik ≥0" error="De ingevoerde waarde valt buiten het bereik." sqref="BA94 O71:W71 AA71:AI71 O94 Q94 AA94 AC94 AM94 AO94 AY94 AY71:BG71 AM71:AU71" xr:uid="{4816E12B-C0D4-43E6-99AD-4CC2C1CC29BC}">
      <formula1>0</formula1>
    </dataValidation>
    <dataValidation type="decimal" allowBlank="1" showInputMessage="1" showErrorMessage="1" errorTitle="Bereik 0-30" error="De ingevoerde waarde valt buiten het bereik." sqref="O45:W45 AA45:AI45 AY45:BG45 AM45:AU45 O50:W50 AA50:AI50 AM50:AU50 AY50:BG50" xr:uid="{F996DC15-0BC3-49F9-80B7-ECA0C3A0F485}">
      <formula1>0</formula1>
      <formula2>30</formula2>
    </dataValidation>
    <dataValidation type="decimal" operator="greaterThanOrEqual" allowBlank="1" showInputMessage="1" showErrorMessage="1" errorTitle="Bereik ≥0" error="De ingevulde waarde valt buiten het bereik." sqref="O23:W23 AA23:AI23 AY23:BG23 AM23:AU23" xr:uid="{F75150F6-F6E9-43B5-8B12-A779FEE74A4A}">
      <formula1>0</formula1>
    </dataValidation>
    <dataValidation type="decimal" allowBlank="1" showInputMessage="1" showErrorMessage="1" errorTitle="Bereik 0%-100%" error="De ingevoerde waarde valt buiten het bereik." sqref="AA48:AI48 O48:W48 AM48:AU48 AY48:BG48" xr:uid="{712049A3-F99C-40DD-826A-84064B1C7D27}">
      <formula1>0</formula1>
      <formula2>1</formula2>
    </dataValidation>
    <dataValidation type="decimal" allowBlank="1" showInputMessage="1" showErrorMessage="1" errorTitle="Bereik 0,1-15,0" error="De ingevoerde waarde valt buiten het bereik." sqref="AA112:AC112 AY112:BA112 AY146:BA146 O146:Q146 AA146:AC146 O112:Q112 AM146:AO146 AM112:AO112" xr:uid="{FF320699-3138-45D8-B5BD-B36FB498D459}">
      <formula1>0.1</formula1>
      <formula2>15</formula2>
    </dataValidation>
    <dataValidation type="decimal" allowBlank="1" showInputMessage="1" showErrorMessage="1" errorTitle="Bereik 0%-100%" error="De ingevoerde waarde is buiten het bereik." sqref="AY109:BA109 AA109:AC109 O109:Q109 AM109:AO109" xr:uid="{F0D30B78-348F-45B3-8EB7-8E40FAA1DBC2}">
      <formula1>0</formula1>
      <formula2>1</formula2>
    </dataValidation>
    <dataValidation allowBlank="1" showInputMessage="1" showErrorMessage="1" promptTitle="Hernieuwbaar ext. warmte/koude" prompt="Ingezette hernieuwbare energie door externe warmte-/koudelevering._x000a__x000a_EPren;gen;out = Q[HCW];gen;out * fPren;d[hcw]X_x000a__x000a_X staat voor 'kwal' (kwalteitsverklaring) of 'forf' (forfaitair)._x000a__x000a_Cf. NTA8800 par. 5.6.2." sqref="D254" xr:uid="{8DEAC65A-47DB-4FF5-9F4F-7845D9317CBF}"/>
    <dataValidation allowBlank="1" showInputMessage="1" showErrorMessage="1" promptTitle="primaire energie indicator" prompt="Let op: groen = voldoet aan eis BENG 2._x000a__x000a_Het totale gebouwgebonden primaire (vermeden) energiegebruik (voor woningen ZONDER verlichting) in kWh/m2._x000a__x000a_NTA8800, par. 5.3.1.2_x000a__x000a_" sqref="D330" xr:uid="{1ECE6958-683D-4CE3-9DD5-04BE38D7457F}"/>
    <dataValidation allowBlank="1" showInputMessage="1" showErrorMessage="1" promptTitle="energiebehoefte-indicator" prompt="Let op: groen = voldoet aan eis BENG 1_x000a__x000a_Warmtebehoefte ruimteverwarming + koudebehoefte voor koeling, berekend met ventilatiesysteem C1, in kWh/m2._x000a__x000a_NTA8800, par. 5.3.1.1_x000a__x000a_" sqref="D329" xr:uid="{BF588A44-46B9-4E32-8301-B88E24B56DE6}"/>
    <dataValidation allowBlank="1" showInputMessage="1" showErrorMessage="1" promptTitle="Energieprestaties" prompt="De berekende energieprestatie (bestaande bouw EN nieuwbouw) is afgezet tegen de BENG eisen voor NIEUWBOUW._x000a__x000a_GROEN: berekende waarde voldoet WEL aan de eis_x000a_ROOD: berekende waarde voldoet NIET aan de eis_x000a__x000a_" sqref="D327" xr:uid="{461624BD-DA90-42C2-9326-1DF5D804ECF9}"/>
    <dataValidation allowBlank="1" showInputMessage="1" showErrorMessage="1" promptTitle="BENG eisen 2021" prompt="De BENG eisen zijn overgenomen van:_x000a__x000a_https://zoek.officielebekendmakingen.nl/stb-2019-501.html_x000a__x000a_" sqref="D323" xr:uid="{AE534992-69D0-4587-801B-4C96F74A0133}"/>
    <dataValidation allowBlank="1" showInputMessage="1" showErrorMessage="1" promptTitle="Energiegebruik per energiepost" prompt="Per deellocatie is de energiebehoefte van alle woningen en gebouwen per energiepost gesommeerd." sqref="D78" xr:uid="{E09B084E-36AB-4981-AD8D-580F03842121}"/>
    <dataValidation allowBlank="1" showInputMessage="1" showErrorMessage="1" promptTitle="Besparing elektr. apparatuur" prompt="Reductie van het niet gebouwgebonden elektriciteitsgebruik zoals dat in de onderstaande tabel is berekend._x000a__x000a_Een reductie van 100% betekent dat in de UMGO het niet gebouwgebonden elektriciteitsgebruik niet in de berekening wordt meegenomen." sqref="D48" xr:uid="{B8FEB019-3AC1-4AC8-A3CA-66D1AE729D4F}"/>
    <dataValidation allowBlank="1" showInputMessage="1" showErrorMessage="1" promptTitle="Elektriciteitsgebruik overig" prompt="Het elektriciteitsgebruik binnen het gebouw, niet gerelateerd aan gebouwinstallaties (computers, printers, elektrisch koken, klusapparatuur et cetera)._x000a__x000a_Voor woningen zijn CBS cijfers gebruikt. Voor utiliteitsgebouwen tabel 7.3 uit NTA8800." sqref="D69" xr:uid="{A010FA26-02A1-453C-B958-A78E39B44E55}"/>
    <dataValidation allowBlank="1" showInputMessage="1" showErrorMessage="1" promptTitle="Elektriciteitsvraag ventilatoren" prompt="De elektriciteitsvraag voor ventilatoren is afgeleid met gebouwen uit de energielabeldatabase (UT) en Voorbeeldgebouwen 2020. Na (her)berekenen met NTA8800 wordt de elektricitetsvraag berekend obv:_x000a_- ventilatiesysteem_x000a_- wissel-gelijkstroom/installatiejaar" sqref="D67" xr:uid="{6E3A701E-7996-482B-9483-DDC0108D533F}"/>
    <dataValidation allowBlank="1" showInputMessage="1" showErrorMessage="1" promptTitle="Elektriciteitsvraag verlichting" prompt="De elektriciteitsvraag voor verlichting is afgeleid met gebouwen uit de energielabeldatabase (UT) en Voorbeeldgebouwen 2020. Na (her)berekenen met NTA8800 wordt de elektricitetsvraag berekend obv:_x000a_- geïnstalleerd vermogen in W/m2_x000a_- verlichtingsregeling" sqref="D66" xr:uid="{1B4A6B85-97DF-4F2B-9BF9-428706448EC6}"/>
    <dataValidation allowBlank="1" showInputMessage="1" showErrorMessage="1" promptTitle="Koudebehoefte koeling" prompt="De koudebehoefte voor koeling is afgeleid met data van gebouwen uit de energielabeldatabase (UT) en Voorbeeldgebouwen 2020. Na (her)berekenen met NTA8800 is een verband afgeleid tussen koudebehoefte en:_x000a_- Als/Ag_x000a_- U gem_x000a_- vent.sys." sqref="D64" xr:uid="{3737BA0E-4A5E-47FB-95A4-E0D9AEBEAE7A}"/>
    <dataValidation allowBlank="1" showInputMessage="1" showErrorMessage="1" promptTitle="Warmtebehoefte ruimteverwarming" prompt="De warmtebehoefte voor verwarming is afgeleid met data van gebouwen uit de energielabeldatabase (UT) en Voorbeeldgebouwen 2020. Na (her)berekenen met NTA8800 is een verband afgeleid tussen warmtebehoefte en:_x000a_- Als/Ag_x000a_- U gem_x000a_- vent.sys." sqref="D62" xr:uid="{1ED2CDFF-ECC2-4D02-9DC6-F21AAA70B003}"/>
    <dataValidation allowBlank="1" showInputMessage="1" showErrorMessage="1" promptTitle="Hernieuwbaar door vrije koeling" prompt="Geleverde energie door vrije koeling. Mits EER &gt;= 8 (anders EPren;gen;out = 0)_x000a__x000a_EPren;gen;out = QC;gen;out * fPren;rencold_x000a__x000a_Cf. NTA8800 par. 5.6.2.2_x000a_" sqref="D307 D252" xr:uid="{0D17F49D-C5E3-413A-9CB4-3B4BFB07EF46}"/>
    <dataValidation allowBlank="1" showInputMessage="1" showErrorMessage="1" promptTitle="Aandeel hernieuwb. prim energie" prompt="Aandeel hernieuwbare energie._x000a__x000a_RERPrenTOT = EPrenTot / (EPTot + EPrenTot) * 100%_x000a__x000a_Cf. NTA8800 par. 5.3.1.3, formule 5.3" sqref="D317" xr:uid="{4AF67D17-DE8A-41B5-964C-865499368E8F}"/>
    <dataValidation allowBlank="1" showInputMessage="1" showErrorMessage="1" promptTitle="Hernieuwb. abs. koel ext. warmte" prompt="Geleverde energie door absorptiekoeling op externe warmtelevering._x000a__x000a_EPren;gen;out = QC;gen;out * fPren;dhX_x000a__x000a_Waarbij de X in fPren;dhX staat voor 'kwal' (met) of 'forf' (zonder kwalteitsverklaring)._x000a__x000a_Cf. NTA8800 par. 5.6.2." sqref="D310 D255" xr:uid="{4DB3BA99-20FE-4D15-B08D-07367E56C558}"/>
    <dataValidation allowBlank="1" showInputMessage="1" showErrorMessage="1" promptTitle="Totaal hernieuwbare prim energie" prompt="Hernieuwbare 'primaire' energie van de woning of het gebouw." sqref="D315" xr:uid="{42F56370-38E1-48D1-8B95-8877E22693F8}"/>
    <dataValidation allowBlank="1" showInputMessage="1" showErrorMessage="1" promptTitle="Hernieuwbaar opgewekte elek." prompt="Op het eigen perceel opgewekte primaire hernieuwbare elektriciteit._x000a__x000a_EPren;el = Eel;PV/PVT/wind * fPren;renelect_x000a__x000a_Cf. NTA8800 par. 5.6.2.4." sqref="D313 D257" xr:uid="{7110DC7A-3D33-43DF-A54A-C0764BB01620}"/>
    <dataValidation allowBlank="1" showInputMessage="1" showErrorMessage="1" promptTitle="Hernieuwbaar zonne-energie therm" prompt="Onder praktijkomstandigheden aangeleverde hoeveelheid hernieuwbare energie, door thermische zonne-energiesystemen (zonneboiler(combi)s op eigen perceel._x000a__x000a_EPren;sol;prac = QHW;sol;prac * fPren;renheat_x000a__x000a_Cf. NTA8800 par. 5.6.2._x000a_" sqref="D311 D256" xr:uid="{F3AC840F-AEC1-428F-8E3D-D629F0F27E93}"/>
    <dataValidation allowBlank="1" showInputMessage="1" showErrorMessage="1" promptTitle="Hernieuwbaar ext. warmte/koude" prompt="Ingezette hernieuwbare energie door externe warmte-/koudelevering. Waarbij de X in fPren;d[hcw]X staat voor 'kwal' (met) of 'forf' (zonder kwalteitsverklaring)._x000a__x000a_EPren;gen;out = Q[HCW];gen;out * fPren;d[hcw]X_x000a__x000a_Cf. NTA8800 par. 5.6.2._x000a_" sqref="D309" xr:uid="{D98CD703-2BF9-4006-888E-68BE76850E2F}"/>
    <dataValidation allowBlank="1" showInputMessage="1" showErrorMessage="1" promptTitle="Hernieuwbare energie biomassa" prompt="Ingezette hernieuwbare energie door biomassatoestel._x000a__x000a_EPren;gen;out = QHW;gen;out * fPren;bmX_x000a__x000a_Waarbij de X in fPren;bmX staat voor A, B of C afhankelijk van het type biomassa._x000a__x000a_Cf. NTA8800 par. 5.6.2._x000a_" sqref="D308 D253" xr:uid="{68DB216E-0FAB-4CF9-80CD-4944F6467A39}"/>
    <dataValidation allowBlank="1" showInputMessage="1" showErrorMessage="1" promptTitle="Hernieuwbare energie warmtepomp" prompt="Ingezette hernieuwbare energie door warmtepompen. Mits EN:_x000a_- COP (of eta) &gt;=1,0;_x000a_- bron is GEEN ventilatieretourlucht_x000a_- warmtepomp GEEN booster-wp._x000a__x000a_EPren;hp = QHW;gen;hp;out * (1-1/COP) * fPren;renheat_x000a__x000a_Cf. NTA8800 par. 5.6.2." sqref="D306 D251" xr:uid="{409CACD6-7FFE-4FF9-8BEF-78D926E9D01A}"/>
    <dataValidation allowBlank="1" showInputMessage="1" showErrorMessage="1" promptTitle="Aantal toestellen" prompt="Voor toestellen met geografisch niveau:_x000a_- 'gebouw': aantal woningen en gebouwen in deellocatie._x000a_- 'gebied': totale gebruiksoppervlakte in deelgebied delen door gemiddeld maximaal te verwarmen/koelen oppervlak._x000a_- 'centraal': 1." sqref="D98" xr:uid="{BFEAA013-8871-42EF-B2A7-01925A3539A5}"/>
    <dataValidation allowBlank="1" showInputMessage="1" showErrorMessage="1" promptTitle="Vermogen verwarming &amp; koeling" prompt="Een indicatie van het verwarmings- en koelvermogen op basis van formules NTA8800. Zie 'bibliotheek' voor meer details." sqref="D99" xr:uid="{99D15231-6D18-4403-8D60-E309A9B6F174}"/>
    <dataValidation type="list" allowBlank="1" showInputMessage="1" showErrorMessage="1" sqref="AM46:AU46 AA46:AI46 AY46:BG46 O46:W46" xr:uid="{6F323F6E-E200-4D94-8C4B-F591B9C38C02}">
      <formula1>verlichtingsregeling_namen</formula1>
    </dataValidation>
    <dataValidation type="list" allowBlank="1" showInputMessage="1" showErrorMessage="1" sqref="AM41:AU41 AA41:AI41 AY41:BG41 O41:W41" xr:uid="{55EC4CCD-63A6-461A-AAE2-46923C75FBA9}">
      <formula1>ventilatoren_typen</formula1>
    </dataValidation>
    <dataValidation type="list" allowBlank="1" showInputMessage="1" showErrorMessage="1" sqref="O40:W40 AY40:BG40 AA40:AI40 AM40:AU40" xr:uid="{68E33BC4-09FB-4FCE-A1C3-E47C12234F03}">
      <formula1>ventilatiesystemen_namen</formula1>
    </dataValidation>
    <dataValidation allowBlank="1" showErrorMessage="1" promptTitle="Correctiefactor ruimteverwarming" prompt="Werkelijk energiegebruik voor ruimteverwarming wijkt vaak af van energiegebruik cf. EPG._x000a__x000a_Slecht geïsoleerde woningen verbruiken gemiddeld minder en goed geïsoleerde woningen verbruiken gemiddeld meer dan berekend._x000a__x000a_Deze correctiefactor verrekent dat." sqref="D56" xr:uid="{51E1B805-673C-4551-92C1-8FF0E3D04F0D}"/>
    <dataValidation type="list" allowBlank="1" showInputMessage="1" showErrorMessage="1" errorTitle="Toestel RV" error="Kies een beschikbaar toestel." sqref="Q90 AA90 AC90 AM90 AO90 AY90 BA90 O90" xr:uid="{196F822E-C816-4D9C-AE3D-95933FCE39DE}">
      <formula1>"ja,nee"</formula1>
    </dataValidation>
    <dataValidation allowBlank="1" showInputMessage="1" showErrorMessage="1" promptTitle="Isolatiepakket gebouwschil" prompt="De aangeboden isolatiepakketten voor de gebouwschil bepalen de gemiddelde warmtedoorgangscoëfficiënt van de gebouwschil. In de bibliotheek zijn de Rc- en U-waarden per pakket en per bouwdeel aangegeven._x000a__x000a_Eigen pakketten zijn daaraan toe te voegen." sqref="D38" xr:uid="{EE6AA7D6-1E96-4B9E-B8C4-16D2D480C5C8}"/>
    <dataValidation allowBlank="1" showInputMessage="1" showErrorMessage="1" promptTitle="Warmtebehoefte warmtapwater" prompt="De energiebehoefte voor warmtapwatergebruik wordt berekend op basis van rekenregels in NTA8800 (paragraaf 13.2)." sqref="D65" xr:uid="{48C9F8FD-9B08-42FD-9CE9-B67337ECF30B}"/>
    <dataValidation allowBlank="1" showInputMessage="1" showErrorMessage="1" promptTitle="Gegevensfilter en navigatie" prompt="&lt;-_x000a_Het gegevensfilter biedt de mogelijkheid om (delen van) tabellen in de UMGO te filteren._x000a__x000a_-&gt;_x000a_Navigatieknoppen naar andere tabbladen." sqref="D8" xr:uid="{DAA81032-146C-4079-B796-0D3408065F01}"/>
    <dataValidation allowBlank="1" showInputMessage="1" showErrorMessage="1" promptTitle="Distributieverlies binnen gebouw" prompt="Warmtedistributieverlies binnen woning|gebouw voor ruimteverwarming en warmtapwater, en afgifteverlies (radiator, vloerverwarming) voor ruimteverwarming._x000a_(Afgifteverlies voor warmtapwater zit verwerkt in het kengetal voor energiebehoefte warmtapwater.)" sqref="D85" xr:uid="{B2375FBD-5551-4271-9996-20A479851F3B}"/>
    <dataValidation type="list" allowBlank="1" showInputMessage="1" showErrorMessage="1" sqref="Q83 AC83 AO83 BA83" xr:uid="{9D179F37-DAAD-4E4C-9338-C1EABE984C7B}">
      <formula1>toestellen_TAP_invoer</formula1>
    </dataValidation>
    <dataValidation type="list" allowBlank="1" showInputMessage="1" showErrorMessage="1" sqref="P83 AN83 AB83 AZ83" xr:uid="{347FFB38-2D9D-4648-8D13-07CCF89E575E}">
      <formula1>toestellen_KOEL_invoer</formula1>
    </dataValidation>
    <dataValidation type="list" allowBlank="1" showInputMessage="1" showErrorMessage="1" sqref="F5" xr:uid="{43607ED5-C3CB-4BCB-AFC0-13A7AA2BF74B}">
      <formula1>opwekking_elektriciteit</formula1>
    </dataValidation>
    <dataValidation allowBlank="1" showInputMessage="1" showErrorMessage="1" promptTitle="BENG-eisen" prompt="Als er meer dan één gebruiksfunctie is, dan is de eis gelijk aan het naar gebruiksoppervlakte gewogen gemiddelde over de verschillende functies." sqref="A315" xr:uid="{9D2F0E95-0B85-480A-8309-D85BA126F2BA}"/>
    <dataValidation allowBlank="1" showInputMessage="1" showErrorMessage="1" promptTitle="Regerenatie WKO" prompt="Indien regeneratie van de WKO wordt voorzien wordt het elektriciteitsverbruik voor regeneratie bepaald als volgt:_x000a_Elektriciteitsverbruik regeneratie = abs (hoeveelheid warmte uit aquifer – hoeveelheid koude uit aquifer) * specifiek vermogen regeneratie_x000a_" sqref="D132" xr:uid="{F997648A-29A5-4FC8-AD52-84AD5DF055AF}"/>
    <dataValidation type="whole" allowBlank="1" showInputMessage="1" showErrorMessage="1" sqref="AB151:AC151 AZ151:BA151 P151:Q151 AN151:AO151" xr:uid="{41C5948E-E5DB-4FCB-AAB5-EA7CF16EE844}">
      <formula1>0</formula1>
      <formula2>1</formula2>
    </dataValidation>
    <dataValidation type="decimal" allowBlank="1" showInputMessage="1" showErrorMessage="1" sqref="AA151 O151 O155:Q155 AA155:AC155 AM155:AO155 AM151 AY151 AY155:BA155" xr:uid="{197AEDB0-42B2-43CB-B7D5-1930F0E23EC5}">
      <formula1>0</formula1>
      <formula2>1</formula2>
    </dataValidation>
    <dataValidation allowBlank="1" showInputMessage="1" showErrorMessage="1" promptTitle="Primaire energiefactor" prompt="Het is mogelijk een eigen primaire energiefactor in te voeren. _x000a_Let op: Het verrekenen van aftapwarmte gaat via 'gederfde elektriciteit'." sqref="D149" xr:uid="{11210C76-07C5-4715-8131-425103ED4EB3}"/>
    <dataValidation allowBlank="1" showInputMessage="1" showErrorMessage="1" promptTitle="Opwekkingsrendement" prompt="Binnen de Uniforme Maatlat wordt het opwekkingsrendement op bovenwaarde gebruikt." sqref="D111" xr:uid="{8319CA34-71CC-44C7-8F48-D92C904D92EE}"/>
    <dataValidation allowBlank="1" showInputMessage="1" showErrorMessage="1" promptTitle="Forfaitaire waarden PV" prompt="Forfaitaire waarde voor opbrengst van PV: 875 kWh/kWp._x000a_" sqref="D186" xr:uid="{D97562E3-A9C2-4A99-B5F5-CC43E46837B3}"/>
    <dataValidation allowBlank="1" showInputMessage="1" showErrorMessage="1" promptTitle="Distributieverlies extern" prompt="Het warmteverlies bij warmtedistributie buiten het gebouw in MWh per woning en/of utiliteitsgebouw._x000a__x000a_Als hiervoor waarden beschikbaar zijn, kunnen de forfaitaire waarden uit het model worden overschreven." sqref="D92" xr:uid="{018C1DFE-79F8-439E-A433-35D6CEAEFF4D}"/>
    <dataValidation allowBlank="1" showInputMessage="1" showErrorMessage="1" promptTitle="Relatieve bijdrage per type" prompt="De relatieve bijdrage per energiepost (verwarming, warmtapwater, ..) wordt per type woning, woongebouw, utiliteitsgebouw bepaald op basis van de primaire energiegebruiken conform EPG/BENG." sqref="D275" xr:uid="{CA88D9F2-3A54-4088-9B39-FFB984571054}"/>
    <dataValidation allowBlank="1" showInputMessage="1" showErrorMessage="1" promptTitle="Karakteristiek energiegebruik" prompt="Totaal naar primaire energie omgerekend fossiele brandstoffen voor gebouwgebonden energiegebruik (voor woningen ZONDER verlichting), verminderd met primair energiegebruik op eigen perceel geproduceerde energie._x000a__x000a_Cf. NTA8800 par. 5.5." sqref="D304" xr:uid="{63A5C5EA-EA3F-4F89-8BD6-D6CD45939413}"/>
    <dataValidation allowBlank="1" showInputMessage="1" showErrorMessage="1" promptTitle="PV" prompt="Opbrengst PV op gevel en dak in kWh per woning | utiliteitsgebouw." sqref="D73" xr:uid="{46E75509-3BE0-4EB8-B31F-BE8078048C21}"/>
    <dataValidation allowBlank="1" showInputMessage="1" showErrorMessage="1" promptTitle="Mobiliteit" prompt="Het geschatte elektriciteitsgebruik voor mobiliteit, bijvoorbeeld door elektrische auto's, kan worden ingevuld in kWh per woning of per utiliteitsgebouw." sqref="D71" xr:uid="{583D991C-3DF8-4568-8D93-E59230E20729}"/>
    <dataValidation allowBlank="1" showInputMessage="1" showErrorMessage="1" promptTitle="Warmte-/koudebehoefte" prompt="De warmte- en koudebehoefte van de woning of het utiliteitsgebouw is gegeven in kWh/m2._x000a__x000a_Het is geen maat voor BENG 1, omdat het ventilatiesysteem voor BENG 1 per definitie C1 moet zijn. En dat is hier niet het geval." sqref="D267" xr:uid="{F5589927-8154-44B2-BD1A-BA16A9132D23}"/>
    <dataValidation allowBlank="1" showInputMessage="1" showErrorMessage="1" promptTitle="Primair totaal energiegebruik" prompt="Het primair totaal energiegebruik in kWh_prim/m2.jaar per woningtype, per energiepost en voor het totaal." sqref="D363" xr:uid="{228BC316-6241-4F71-A494-349ADB023C01}"/>
    <dataValidation type="list" allowBlank="1" showInputMessage="1" showErrorMessage="1" errorTitle="Toestel RV" error="Kies een beschikbaar toestel." sqref="AA83 O83 AM83 AY83" xr:uid="{48187BED-CD11-465A-940B-1AA13CC66682}">
      <formula1>toestellen_RV_invoer</formula1>
    </dataValidation>
    <dataValidation allowBlank="1" showInputMessage="1" showErrorMessage="1" promptTitle="CO2 emisse" prompt="De CO2 emissie in kg/m2.jaar per woningtype, per energiepost en voor het totaal._x000a__x000a_De CO2 emissie in ton/jaar per (deel)locatie, per energiepost en voor het totaal._x000a__x000a_" sqref="D343" xr:uid="{1284A64F-EEC2-4941-B260-49A3616570DF}"/>
  </dataValidations>
  <hyperlinks>
    <hyperlink ref="D323" r:id="rId1" tooltip="verwijzing naar Staatsblad 2019, 501 met BENG-eisen" xr:uid="{44547F83-C0FA-4B22-A51B-726E0E629740}"/>
  </hyperlinks>
  <pageMargins left="0.23622047244094491" right="0.23622047244094491" top="0.74803149606299213" bottom="0.74803149606299213" header="0.31496062992125984" footer="0.31496062992125984"/>
  <pageSetup paperSize="9" scale="25" fitToHeight="0" orientation="landscape" r:id="rId2"/>
  <headerFooter alignWithMargins="0">
    <oddFooter>&amp;L_x000D_&amp;1#&amp;"Aptos"&amp;10&amp;K000000 Intern gebruik</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A0701-3D2F-4F75-BEB9-9687C9FC0F97}">
  <sheetPr codeName="Blad14" filterMode="1">
    <tabColor theme="6" tint="0.39997558519241921"/>
    <outlinePr showOutlineSymbols="0"/>
    <pageSetUpPr fitToPage="1"/>
  </sheetPr>
  <dimension ref="A1:BH376"/>
  <sheetViews>
    <sheetView showGridLines="0" showRowColHeaders="0" zoomScaleNormal="100" workbookViewId="0">
      <pane xSplit="11" ySplit="14" topLeftCell="AU52" activePane="bottomRight" state="frozen"/>
      <selection pane="topRight" activeCell="L1" sqref="L1"/>
      <selection pane="bottomLeft" activeCell="A15" sqref="A15"/>
      <selection pane="bottomRight" activeCell="E1" sqref="E1"/>
    </sheetView>
  </sheetViews>
  <sheetFormatPr defaultRowHeight="17.25"/>
  <cols>
    <col min="1" max="1" width="0.5703125" style="1047" customWidth="1"/>
    <col min="2" max="3" width="2.7109375" style="1113" customWidth="1"/>
    <col min="4" max="4" width="2.7109375" style="192" customWidth="1"/>
    <col min="5" max="5" width="26.7109375" customWidth="1"/>
    <col min="6" max="7" width="17.7109375" customWidth="1"/>
    <col min="8" max="8" width="24.140625" bestFit="1" customWidth="1"/>
    <col min="9" max="9" width="0.28515625" customWidth="1"/>
    <col min="10" max="10" width="16.7109375" customWidth="1"/>
    <col min="11" max="12" width="1.42578125" customWidth="1"/>
    <col min="13" max="13" width="15.7109375" customWidth="1"/>
    <col min="14" max="14" width="0.28515625" customWidth="1"/>
    <col min="15" max="15" width="12.5703125" customWidth="1"/>
    <col min="16" max="23" width="12.7109375" customWidth="1"/>
    <col min="24" max="24" width="2.7109375" customWidth="1"/>
    <col min="25" max="25" width="15.7109375" customWidth="1"/>
    <col min="26" max="26" width="0.28515625" customWidth="1"/>
    <col min="27" max="35" width="12.7109375" customWidth="1"/>
    <col min="36" max="36" width="2.7109375" customWidth="1"/>
    <col min="37" max="37" width="15.7109375" customWidth="1"/>
    <col min="38" max="38" width="0.28515625" customWidth="1"/>
    <col min="39" max="47" width="12.7109375" customWidth="1"/>
    <col min="48" max="48" width="2.7109375" customWidth="1"/>
    <col min="49" max="49" width="15.7109375" customWidth="1"/>
    <col min="50" max="50" width="0.28515625" customWidth="1"/>
    <col min="51" max="59" width="12.7109375" customWidth="1"/>
    <col min="60" max="60" width="1.140625" customWidth="1"/>
    <col min="61" max="65" width="9.140625" customWidth="1"/>
  </cols>
  <sheetData>
    <row r="1" spans="1:60" s="699" customFormat="1" ht="21">
      <c r="A1" s="1036"/>
      <c r="B1" s="989"/>
      <c r="C1" s="989"/>
      <c r="D1" s="694"/>
      <c r="E1" s="1216" t="str">
        <f>disclaimer!$E$7&amp;" - "&amp;"versie "&amp;TEXT(disclaimer!$E$8,"d mmm jjjj")</f>
        <v>Uniforme Maatlat Gebouwde Omgeving 5.3.0 - versie 7 aug 2026</v>
      </c>
      <c r="F1" s="697"/>
      <c r="G1" s="697"/>
      <c r="H1" s="696"/>
      <c r="I1" s="697"/>
      <c r="J1" s="695"/>
      <c r="K1" s="1049"/>
      <c r="L1" s="1049"/>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1:60" s="764" customFormat="1" ht="26.25">
      <c r="A2" s="1037"/>
      <c r="B2" s="1101"/>
      <c r="C2" s="1101"/>
      <c r="D2" s="762"/>
      <c r="E2" s="1048" t="str">
        <f ca="1">IFERROR(MID(CELL("bestandsnaam",A1),SEARCH("]",CELL("bestandsnaam",A1),1)+1,99),"bestand nog niet opgeslagen")</f>
        <v>variant 5</v>
      </c>
      <c r="F2" s="763" t="str">
        <f>IF('woningen|utiliteit'!$G$2&lt;&gt;"","Controleer invoer gebouwen",IF(J52&lt;&gt;"ja","NB  Energiemaatregelen niet correct/volledig ingevuld",IF(J83&lt;&gt;"ja","NB  Vul alle installaties in","")))</f>
        <v/>
      </c>
      <c r="G2" s="763"/>
      <c r="H2" s="763"/>
      <c r="I2" s="710"/>
      <c r="J2" s="710"/>
      <c r="K2" s="1050"/>
      <c r="L2" s="1050"/>
      <c r="M2" s="767" t="s">
        <v>85</v>
      </c>
      <c r="N2" s="766"/>
      <c r="O2" s="771" t="s">
        <v>86</v>
      </c>
      <c r="P2" s="765"/>
      <c r="Q2" s="765"/>
      <c r="R2" s="765"/>
      <c r="S2" s="765"/>
      <c r="T2" s="765"/>
      <c r="U2" s="765"/>
      <c r="V2" s="765"/>
      <c r="W2" s="765"/>
      <c r="X2" s="765"/>
      <c r="Y2" s="767" t="s">
        <v>85</v>
      </c>
      <c r="Z2" s="766"/>
      <c r="AA2" s="771" t="s">
        <v>86</v>
      </c>
      <c r="AB2" s="765"/>
      <c r="AC2" s="765"/>
      <c r="AD2" s="765"/>
      <c r="AE2" s="765"/>
      <c r="AF2" s="765"/>
      <c r="AG2" s="765"/>
      <c r="AH2" s="765"/>
      <c r="AI2" s="765"/>
      <c r="AJ2" s="765"/>
      <c r="AK2" s="767" t="s">
        <v>85</v>
      </c>
      <c r="AL2" s="766"/>
      <c r="AM2" s="771" t="s">
        <v>86</v>
      </c>
      <c r="AN2" s="765"/>
      <c r="AO2" s="765"/>
      <c r="AP2" s="765"/>
      <c r="AQ2" s="765"/>
      <c r="AR2" s="765"/>
      <c r="AS2" s="765"/>
      <c r="AT2" s="765"/>
      <c r="AU2" s="765"/>
      <c r="AV2" s="765"/>
      <c r="AW2" s="767" t="s">
        <v>85</v>
      </c>
      <c r="AX2" s="766"/>
      <c r="AY2" s="771" t="s">
        <v>86</v>
      </c>
      <c r="AZ2" s="765"/>
      <c r="BA2" s="765"/>
      <c r="BB2" s="765"/>
      <c r="BC2" s="765"/>
      <c r="BD2" s="765"/>
      <c r="BE2" s="765"/>
      <c r="BF2" s="765"/>
      <c r="BG2" s="765"/>
      <c r="BH2" s="211"/>
    </row>
    <row r="3" spans="1:60">
      <c r="A3" s="1038"/>
      <c r="B3" s="990" t="s">
        <v>1118</v>
      </c>
      <c r="C3" s="990" t="s">
        <v>1118</v>
      </c>
      <c r="D3" s="638"/>
      <c r="E3" s="1261" t="str">
        <f>"project: "&amp;IF('woningen|utiliteit'!$F$3="","",'woningen|utiliteit'!$F$3)</f>
        <v xml:space="preserve">project: </v>
      </c>
      <c r="F3" s="1262"/>
      <c r="G3" s="713" t="s">
        <v>87</v>
      </c>
      <c r="H3" s="714"/>
      <c r="I3" s="79"/>
      <c r="K3" s="1050"/>
      <c r="L3" s="1050"/>
      <c r="M3" s="751" t="s">
        <v>88</v>
      </c>
      <c r="N3" s="752"/>
      <c r="O3" s="772" t="str">
        <f>IF(M22=0,"-",O104&amp;IF(O108=1,"","   |  "&amp;O140))</f>
        <v>-</v>
      </c>
      <c r="P3" s="753"/>
      <c r="Q3" s="754"/>
      <c r="R3" s="754"/>
      <c r="S3" s="754"/>
      <c r="T3" s="754"/>
      <c r="U3" s="754"/>
      <c r="V3" s="754"/>
      <c r="W3" s="754"/>
      <c r="X3" s="80"/>
      <c r="Y3" s="751" t="s">
        <v>88</v>
      </c>
      <c r="Z3" s="752"/>
      <c r="AA3" s="772" t="str">
        <f>IF(Y22=0,"-",AA104&amp;IF(AA108=1,"","   |  "&amp;AA140))</f>
        <v>-</v>
      </c>
      <c r="AB3" s="753"/>
      <c r="AC3" s="754"/>
      <c r="AD3" s="754"/>
      <c r="AE3" s="754"/>
      <c r="AF3" s="754"/>
      <c r="AG3" s="754"/>
      <c r="AH3" s="754"/>
      <c r="AI3" s="754"/>
      <c r="AJ3" s="80"/>
      <c r="AK3" s="751" t="s">
        <v>88</v>
      </c>
      <c r="AL3" s="752"/>
      <c r="AM3" s="772" t="str">
        <f>IF(AK22=0,"-",AM104&amp;IF(AM108=1,"","   |  "&amp;AM140))</f>
        <v>-</v>
      </c>
      <c r="AN3" s="753"/>
      <c r="AO3" s="754"/>
      <c r="AP3" s="754"/>
      <c r="AQ3" s="754"/>
      <c r="AR3" s="754"/>
      <c r="AS3" s="754"/>
      <c r="AT3" s="754"/>
      <c r="AU3" s="754"/>
      <c r="AV3" s="80"/>
      <c r="AW3" s="751" t="s">
        <v>88</v>
      </c>
      <c r="AX3" s="752"/>
      <c r="AY3" s="772" t="str">
        <f>IF(AW22=0,"-",AY104&amp;IF(AY108=1,"","   |  "&amp;AY140))</f>
        <v>-</v>
      </c>
      <c r="AZ3" s="753"/>
      <c r="BA3" s="754"/>
      <c r="BB3" s="754"/>
      <c r="BC3" s="754"/>
      <c r="BD3" s="754"/>
      <c r="BE3" s="754"/>
      <c r="BF3" s="754"/>
      <c r="BG3" s="754"/>
      <c r="BH3" s="211"/>
    </row>
    <row r="4" spans="1:60">
      <c r="A4" s="1038"/>
      <c r="B4" s="1102"/>
      <c r="C4" s="1102"/>
      <c r="D4" s="638"/>
      <c r="E4" s="715" t="s">
        <v>89</v>
      </c>
      <c r="F4" s="1263"/>
      <c r="G4" s="1263"/>
      <c r="H4" s="1264"/>
      <c r="I4" s="79"/>
      <c r="K4" s="1050"/>
      <c r="L4" s="1050"/>
      <c r="M4" s="755" t="s">
        <v>90</v>
      </c>
      <c r="N4" s="752"/>
      <c r="O4" s="773" t="str">
        <f>IF(M22=0,"-",P104&amp;IF(P108=1,"","   |  "&amp;P140))</f>
        <v>-</v>
      </c>
      <c r="P4" s="756"/>
      <c r="Q4" s="757"/>
      <c r="R4" s="754"/>
      <c r="S4" s="754"/>
      <c r="T4" s="754"/>
      <c r="U4" s="754"/>
      <c r="V4" s="754"/>
      <c r="W4" s="754"/>
      <c r="X4" s="80"/>
      <c r="Y4" s="755" t="s">
        <v>90</v>
      </c>
      <c r="Z4" s="752"/>
      <c r="AA4" s="773" t="str">
        <f>IF(Y22=0,"-",AB104&amp;IF(AB108=1,"","   |  "&amp;AB140))</f>
        <v>-</v>
      </c>
      <c r="AB4" s="756"/>
      <c r="AC4" s="757"/>
      <c r="AD4" s="754"/>
      <c r="AE4" s="754"/>
      <c r="AF4" s="754"/>
      <c r="AG4" s="754"/>
      <c r="AH4" s="754"/>
      <c r="AI4" s="754"/>
      <c r="AJ4" s="80"/>
      <c r="AK4" s="755" t="s">
        <v>90</v>
      </c>
      <c r="AL4" s="752"/>
      <c r="AM4" s="773" t="str">
        <f>IF(AK22=0,"-",AN104&amp;IF(AN108=1,"","   |  "&amp;AN140))</f>
        <v>-</v>
      </c>
      <c r="AN4" s="756"/>
      <c r="AO4" s="757"/>
      <c r="AP4" s="754"/>
      <c r="AQ4" s="754"/>
      <c r="AR4" s="754"/>
      <c r="AS4" s="754"/>
      <c r="AT4" s="754"/>
      <c r="AU4" s="754"/>
      <c r="AV4" s="80"/>
      <c r="AW4" s="755" t="s">
        <v>90</v>
      </c>
      <c r="AX4" s="752"/>
      <c r="AY4" s="773" t="str">
        <f>IF(AW22=0,"-",AZ104&amp;IF(AZ108=1,"","   |  "&amp;AZ140))</f>
        <v>-</v>
      </c>
      <c r="AZ4" s="756"/>
      <c r="BA4" s="757"/>
      <c r="BB4" s="754"/>
      <c r="BC4" s="754"/>
      <c r="BD4" s="754"/>
      <c r="BE4" s="754"/>
      <c r="BF4" s="754"/>
      <c r="BG4" s="754"/>
      <c r="BH4" s="211"/>
    </row>
    <row r="5" spans="1:60">
      <c r="A5" s="1038"/>
      <c r="B5" s="1265" t="s">
        <v>91</v>
      </c>
      <c r="C5" s="1265" t="s">
        <v>92</v>
      </c>
      <c r="D5" s="638"/>
      <c r="E5" s="1187" t="s">
        <v>1370</v>
      </c>
      <c r="F5" s="806" t="s">
        <v>1384</v>
      </c>
      <c r="G5" s="807">
        <f>HLOOKUP($F$5,bibliotheek!$E$304:$R$311,ROWS(bibliotheek!$E$304:$E$305),FALSE)</f>
        <v>1.45</v>
      </c>
      <c r="H5" s="808">
        <f>HLOOKUP($F$5,bibliotheek!$E$304:$R$311,ROWS(bibliotheek!$E$304:$E$311),FALSE)</f>
        <v>0.26800000000000002</v>
      </c>
      <c r="I5" s="79"/>
      <c r="J5" s="701"/>
      <c r="K5" s="80"/>
      <c r="L5" s="80"/>
      <c r="M5" s="751" t="s">
        <v>94</v>
      </c>
      <c r="N5" s="752"/>
      <c r="O5" s="772" t="str">
        <f>IF(M22=0,"-",Q104&amp;IF(Q108=1,"","   |  "&amp;Q140))</f>
        <v>-</v>
      </c>
      <c r="P5" s="754"/>
      <c r="Q5" s="754"/>
      <c r="R5" s="754"/>
      <c r="S5" s="754"/>
      <c r="T5" s="754"/>
      <c r="U5" s="754"/>
      <c r="V5" s="754"/>
      <c r="W5" s="754"/>
      <c r="X5" s="80"/>
      <c r="Y5" s="751" t="s">
        <v>94</v>
      </c>
      <c r="Z5" s="752"/>
      <c r="AA5" s="772" t="str">
        <f>IF(Y22=0,"-",AC104&amp;IF(AC108=1,"","   |  "&amp;AC140))</f>
        <v>-</v>
      </c>
      <c r="AB5" s="754"/>
      <c r="AC5" s="754"/>
      <c r="AD5" s="754"/>
      <c r="AE5" s="754"/>
      <c r="AF5" s="754"/>
      <c r="AG5" s="754"/>
      <c r="AH5" s="754"/>
      <c r="AI5" s="754"/>
      <c r="AJ5" s="80"/>
      <c r="AK5" s="751" t="s">
        <v>94</v>
      </c>
      <c r="AL5" s="752"/>
      <c r="AM5" s="772" t="str">
        <f>IF(AK22=0,"-",AO104&amp;IF(AO108=1,"","   |  "&amp;AO140))</f>
        <v>-</v>
      </c>
      <c r="AN5" s="754"/>
      <c r="AO5" s="754"/>
      <c r="AP5" s="754"/>
      <c r="AQ5" s="754"/>
      <c r="AR5" s="754"/>
      <c r="AS5" s="754"/>
      <c r="AT5" s="754"/>
      <c r="AU5" s="754"/>
      <c r="AV5" s="80"/>
      <c r="AW5" s="751" t="s">
        <v>94</v>
      </c>
      <c r="AX5" s="752"/>
      <c r="AY5" s="772" t="str">
        <f>IF(AW22=0,"-",BA104&amp;IF(BA108=1,"","   |  "&amp;BA140))</f>
        <v>-</v>
      </c>
      <c r="AZ5" s="754"/>
      <c r="BA5" s="754"/>
      <c r="BB5" s="754"/>
      <c r="BC5" s="754"/>
      <c r="BD5" s="754"/>
      <c r="BE5" s="754"/>
      <c r="BF5" s="754"/>
      <c r="BG5" s="754"/>
      <c r="BH5" s="211"/>
    </row>
    <row r="6" spans="1:60">
      <c r="A6" s="1038"/>
      <c r="B6" s="1265"/>
      <c r="C6" s="1265"/>
      <c r="D6" s="639" t="s">
        <v>45</v>
      </c>
      <c r="E6" s="716" t="s">
        <v>1162</v>
      </c>
      <c r="F6" s="806" t="s">
        <v>1119</v>
      </c>
      <c r="G6" s="957" t="str">
        <f>IF(F6=EP,"energieprestatieberekening","maatwerkadvies (geen resultaten EP)")</f>
        <v>energieprestatieberekening</v>
      </c>
      <c r="H6" s="935"/>
      <c r="I6" s="79"/>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1"/>
      <c r="AZ6" s="701"/>
      <c r="BA6" s="701"/>
      <c r="BB6" s="701"/>
      <c r="BC6" s="701"/>
      <c r="BD6" s="701"/>
      <c r="BE6" s="701"/>
      <c r="BF6" s="701"/>
      <c r="BG6" s="701"/>
      <c r="BH6" s="211"/>
    </row>
    <row r="7" spans="1:60" s="761" customFormat="1">
      <c r="A7" s="1039"/>
      <c r="B7" s="1265"/>
      <c r="C7" s="1265"/>
      <c r="D7" s="758"/>
      <c r="E7" s="759"/>
      <c r="F7" s="759"/>
      <c r="G7" s="759"/>
      <c r="H7" s="759"/>
      <c r="I7" s="759"/>
      <c r="J7" s="760"/>
      <c r="K7" s="760"/>
      <c r="L7" s="760"/>
      <c r="M7" s="759"/>
      <c r="N7" s="759"/>
      <c r="O7" s="858"/>
      <c r="P7" s="1168"/>
      <c r="Q7" s="759"/>
      <c r="R7" s="1168"/>
      <c r="S7" s="759"/>
      <c r="T7" s="758"/>
      <c r="U7" s="758"/>
      <c r="V7" s="758"/>
    </row>
    <row r="8" spans="1:60" ht="21">
      <c r="A8" s="1038"/>
      <c r="B8" s="1103"/>
      <c r="C8" s="1103"/>
      <c r="D8" s="639" t="s">
        <v>45</v>
      </c>
      <c r="E8" s="708"/>
      <c r="F8" s="1"/>
      <c r="G8" s="1"/>
      <c r="H8" s="1"/>
      <c r="I8" s="2"/>
      <c r="J8" s="709" t="s">
        <v>1167</v>
      </c>
      <c r="K8" s="710"/>
      <c r="L8" s="710"/>
      <c r="M8" s="709" t="s">
        <v>62</v>
      </c>
      <c r="N8" s="711"/>
      <c r="O8" s="711" t="str">
        <f>IF(M22=0,"[geen gebouwgegevens ingevoerd]",IF('woningen|utiliteit'!$L$17="","[geen naam locatie ingevoerd]",'woningen|utiliteit'!$L$17))</f>
        <v>[geen gebouwgegevens ingevoerd]</v>
      </c>
      <c r="P8" s="711"/>
      <c r="Q8" s="711"/>
      <c r="R8" s="711"/>
      <c r="S8" s="711"/>
      <c r="T8" s="712"/>
      <c r="U8" s="712"/>
      <c r="V8" s="711"/>
      <c r="W8" s="711"/>
      <c r="X8" s="710"/>
      <c r="Y8" s="709" t="s">
        <v>79</v>
      </c>
      <c r="Z8" s="711"/>
      <c r="AA8" s="711" t="str">
        <f>IF(Y22=0,"[geen gebouwgegevens ingevoerd]",IF('woningen|utiliteit'!$L$33="","[geen naam locatie ingevoerd]",'woningen|utiliteit'!$L$33))</f>
        <v>[geen gebouwgegevens ingevoerd]</v>
      </c>
      <c r="AB8" s="711"/>
      <c r="AC8" s="711"/>
      <c r="AD8" s="711"/>
      <c r="AE8" s="711"/>
      <c r="AF8" s="712"/>
      <c r="AG8" s="712"/>
      <c r="AH8" s="711"/>
      <c r="AI8" s="711"/>
      <c r="AJ8" s="710"/>
      <c r="AK8" s="709" t="s">
        <v>80</v>
      </c>
      <c r="AL8" s="711"/>
      <c r="AM8" s="711" t="str">
        <f>IF(AK22=0,"[geen gebouwgegevens ingevoerd]",IF('woningen|utiliteit'!$L$49="","[geen naam locatie ingevoerd]",'woningen|utiliteit'!$L$49))</f>
        <v>[geen gebouwgegevens ingevoerd]</v>
      </c>
      <c r="AN8" s="711"/>
      <c r="AO8" s="711"/>
      <c r="AP8" s="711"/>
      <c r="AQ8" s="711"/>
      <c r="AR8" s="712"/>
      <c r="AS8" s="712"/>
      <c r="AT8" s="711"/>
      <c r="AU8" s="711"/>
      <c r="AV8" s="710"/>
      <c r="AW8" s="709" t="s">
        <v>81</v>
      </c>
      <c r="AX8" s="711"/>
      <c r="AY8" s="711" t="str">
        <f>IF(AW22=0,"[geen gebouwgegevens ingevoerd]",IF('woningen|utiliteit'!$L$65="","[geen naam locatie ingevoerd]",'woningen|utiliteit'!$L$65))</f>
        <v>[geen gebouwgegevens ingevoerd]</v>
      </c>
      <c r="AZ8" s="178"/>
      <c r="BA8" s="178"/>
      <c r="BB8" s="178"/>
      <c r="BC8" s="178"/>
      <c r="BD8" s="179"/>
      <c r="BE8" s="179"/>
      <c r="BF8" s="178"/>
      <c r="BG8" s="178"/>
      <c r="BH8" s="1"/>
    </row>
    <row r="9" spans="1:60" s="591" customFormat="1" ht="5.25">
      <c r="A9" s="1104" t="s">
        <v>95</v>
      </c>
      <c r="B9" s="1104" t="s">
        <v>95</v>
      </c>
      <c r="C9" s="1105" t="s">
        <v>96</v>
      </c>
      <c r="D9" s="588"/>
      <c r="E9" s="589"/>
      <c r="F9" s="589"/>
      <c r="G9" s="589"/>
      <c r="H9" s="589"/>
      <c r="I9" s="589"/>
      <c r="J9" s="590"/>
      <c r="K9" s="590"/>
      <c r="L9" s="590"/>
      <c r="M9" s="589"/>
      <c r="N9" s="589"/>
      <c r="O9" s="589"/>
      <c r="P9" s="589"/>
      <c r="Q9" s="589"/>
      <c r="R9" s="589"/>
      <c r="S9" s="589"/>
      <c r="T9" s="588"/>
      <c r="U9" s="588"/>
      <c r="V9" s="588"/>
    </row>
    <row r="10" spans="1:60" ht="21">
      <c r="A10" s="1040"/>
      <c r="B10" s="1106" t="s">
        <v>95</v>
      </c>
      <c r="C10" s="1107" t="s">
        <v>96</v>
      </c>
      <c r="D10" s="639" t="s">
        <v>45</v>
      </c>
      <c r="E10" s="580" t="s">
        <v>1158</v>
      </c>
      <c r="F10" s="580"/>
      <c r="G10" s="580"/>
      <c r="H10" s="971" t="s">
        <v>1157</v>
      </c>
      <c r="I10" s="77"/>
      <c r="J10" s="176" t="str">
        <f>J$8</f>
        <v>alle locaties</v>
      </c>
      <c r="K10" s="126"/>
      <c r="L10" s="126"/>
      <c r="M10" s="176" t="str">
        <f>M$8</f>
        <v>locatie 1</v>
      </c>
      <c r="N10" s="182"/>
      <c r="O10" s="177" t="s">
        <v>88</v>
      </c>
      <c r="P10" s="177" t="s">
        <v>90</v>
      </c>
      <c r="Q10" s="177" t="s">
        <v>97</v>
      </c>
      <c r="R10" s="177" t="s">
        <v>98</v>
      </c>
      <c r="S10" s="177" t="s">
        <v>99</v>
      </c>
      <c r="T10" s="177" t="s">
        <v>100</v>
      </c>
      <c r="U10" s="177" t="s">
        <v>101</v>
      </c>
      <c r="V10" s="177" t="s">
        <v>102</v>
      </c>
      <c r="W10" s="177" t="s">
        <v>103</v>
      </c>
      <c r="X10" s="174"/>
      <c r="Y10" s="176" t="str">
        <f>Y8</f>
        <v>locatie 2</v>
      </c>
      <c r="Z10" s="182"/>
      <c r="AA10" s="177" t="str">
        <f>$O$10</f>
        <v>verwarming</v>
      </c>
      <c r="AB10" s="177" t="str">
        <f>$P$10</f>
        <v>koeling</v>
      </c>
      <c r="AC10" s="177" t="str">
        <f>$Q$10</f>
        <v>tapwater</v>
      </c>
      <c r="AD10" s="177" t="str">
        <f>$R$10</f>
        <v>verlichting</v>
      </c>
      <c r="AE10" s="177" t="str">
        <f>$S$10</f>
        <v>ventilatoren</v>
      </c>
      <c r="AF10" s="177" t="str">
        <f>$T$10</f>
        <v>kookgas</v>
      </c>
      <c r="AG10" s="177" t="str">
        <f>$U$10</f>
        <v>overig elektra</v>
      </c>
      <c r="AH10" s="177" t="str">
        <f>$V$10</f>
        <v>mobiliteit</v>
      </c>
      <c r="AI10" s="177" t="str">
        <f>$W$10</f>
        <v>zonnepanelen</v>
      </c>
      <c r="AJ10" s="174"/>
      <c r="AK10" s="176" t="str">
        <f>AK8</f>
        <v>locatie 3</v>
      </c>
      <c r="AL10" s="182"/>
      <c r="AM10" s="177" t="str">
        <f>$O$10</f>
        <v>verwarming</v>
      </c>
      <c r="AN10" s="177" t="str">
        <f>$P$10</f>
        <v>koeling</v>
      </c>
      <c r="AO10" s="177" t="str">
        <f>$Q$10</f>
        <v>tapwater</v>
      </c>
      <c r="AP10" s="177" t="str">
        <f>$R$10</f>
        <v>verlichting</v>
      </c>
      <c r="AQ10" s="177" t="str">
        <f>$S$10</f>
        <v>ventilatoren</v>
      </c>
      <c r="AR10" s="177" t="str">
        <f>$T$10</f>
        <v>kookgas</v>
      </c>
      <c r="AS10" s="177" t="str">
        <f>$U$10</f>
        <v>overig elektra</v>
      </c>
      <c r="AT10" s="177" t="str">
        <f>$V$10</f>
        <v>mobiliteit</v>
      </c>
      <c r="AU10" s="177" t="str">
        <f>$W$10</f>
        <v>zonnepanelen</v>
      </c>
      <c r="AV10" s="174"/>
      <c r="AW10" s="176" t="str">
        <f>AW8</f>
        <v>locatie 4</v>
      </c>
      <c r="AX10" s="182"/>
      <c r="AY10" s="177" t="str">
        <f>$O$10</f>
        <v>verwarming</v>
      </c>
      <c r="AZ10" s="177" t="str">
        <f>$P$10</f>
        <v>koeling</v>
      </c>
      <c r="BA10" s="177" t="str">
        <f>$Q$10</f>
        <v>tapwater</v>
      </c>
      <c r="BB10" s="177" t="str">
        <f>$R$10</f>
        <v>verlichting</v>
      </c>
      <c r="BC10" s="177" t="str">
        <f>$S$10</f>
        <v>ventilatoren</v>
      </c>
      <c r="BD10" s="177" t="str">
        <f>$T$10</f>
        <v>kookgas</v>
      </c>
      <c r="BE10" s="177" t="str">
        <f>$U$10</f>
        <v>overig elektra</v>
      </c>
      <c r="BF10" s="177" t="str">
        <f>$V$10</f>
        <v>mobiliteit</v>
      </c>
      <c r="BG10" s="177" t="str">
        <f>$W$10</f>
        <v>zonnepanelen</v>
      </c>
      <c r="BH10" s="1"/>
    </row>
    <row r="11" spans="1:60">
      <c r="A11" s="1040"/>
      <c r="B11" s="1106" t="s">
        <v>95</v>
      </c>
      <c r="C11" s="1107" t="s">
        <v>104</v>
      </c>
      <c r="D11" s="638"/>
      <c r="E11" s="180" t="s">
        <v>1220</v>
      </c>
      <c r="F11" s="180"/>
      <c r="G11" s="180"/>
      <c r="H11" s="181" t="s">
        <v>106</v>
      </c>
      <c r="I11" s="83"/>
      <c r="J11" s="202">
        <f>M11+Y11+AK11+AW11</f>
        <v>0</v>
      </c>
      <c r="K11" s="243"/>
      <c r="L11" s="243"/>
      <c r="M11" s="202">
        <f>SUM(N11:X11)</f>
        <v>0</v>
      </c>
      <c r="N11" s="84"/>
      <c r="O11" s="168">
        <f t="shared" ref="O11:W11" si="0">O120+O151+O174-O214</f>
        <v>0</v>
      </c>
      <c r="P11" s="168">
        <f t="shared" si="0"/>
        <v>0</v>
      </c>
      <c r="Q11" s="168">
        <f t="shared" si="0"/>
        <v>0</v>
      </c>
      <c r="R11" s="168">
        <f t="shared" si="0"/>
        <v>0</v>
      </c>
      <c r="S11" s="168">
        <f t="shared" si="0"/>
        <v>0</v>
      </c>
      <c r="T11" s="168">
        <f t="shared" si="0"/>
        <v>0</v>
      </c>
      <c r="U11" s="168">
        <f t="shared" si="0"/>
        <v>0</v>
      </c>
      <c r="V11" s="168">
        <f t="shared" si="0"/>
        <v>0</v>
      </c>
      <c r="W11" s="168">
        <f t="shared" si="0"/>
        <v>0</v>
      </c>
      <c r="X11" s="262"/>
      <c r="Y11" s="202">
        <f>SUM(Z11:AJ11)</f>
        <v>0</v>
      </c>
      <c r="Z11" s="84"/>
      <c r="AA11" s="168">
        <f t="shared" ref="AA11:AI11" si="1">AA120+AA151+AA174-AA214</f>
        <v>0</v>
      </c>
      <c r="AB11" s="168">
        <f t="shared" si="1"/>
        <v>0</v>
      </c>
      <c r="AC11" s="168">
        <f t="shared" si="1"/>
        <v>0</v>
      </c>
      <c r="AD11" s="168">
        <f t="shared" si="1"/>
        <v>0</v>
      </c>
      <c r="AE11" s="168">
        <f t="shared" si="1"/>
        <v>0</v>
      </c>
      <c r="AF11" s="168">
        <f t="shared" si="1"/>
        <v>0</v>
      </c>
      <c r="AG11" s="168">
        <f t="shared" si="1"/>
        <v>0</v>
      </c>
      <c r="AH11" s="168">
        <f t="shared" si="1"/>
        <v>0</v>
      </c>
      <c r="AI11" s="168">
        <f t="shared" si="1"/>
        <v>0</v>
      </c>
      <c r="AJ11" s="262"/>
      <c r="AK11" s="202">
        <f>SUM(AL11:AV11)</f>
        <v>0</v>
      </c>
      <c r="AL11" s="84"/>
      <c r="AM11" s="168">
        <f t="shared" ref="AM11:AU11" si="2">AM120+AM151+AM174-AM214</f>
        <v>0</v>
      </c>
      <c r="AN11" s="168">
        <f t="shared" si="2"/>
        <v>0</v>
      </c>
      <c r="AO11" s="168">
        <f t="shared" si="2"/>
        <v>0</v>
      </c>
      <c r="AP11" s="168">
        <f t="shared" si="2"/>
        <v>0</v>
      </c>
      <c r="AQ11" s="168">
        <f t="shared" si="2"/>
        <v>0</v>
      </c>
      <c r="AR11" s="168">
        <f t="shared" si="2"/>
        <v>0</v>
      </c>
      <c r="AS11" s="168">
        <f t="shared" si="2"/>
        <v>0</v>
      </c>
      <c r="AT11" s="168">
        <f t="shared" si="2"/>
        <v>0</v>
      </c>
      <c r="AU11" s="168">
        <f t="shared" si="2"/>
        <v>0</v>
      </c>
      <c r="AV11" s="262"/>
      <c r="AW11" s="202">
        <f>SUM(AX11:BH11)</f>
        <v>0</v>
      </c>
      <c r="AX11" s="84"/>
      <c r="AY11" s="168">
        <f t="shared" ref="AY11:BG11" si="3">AY120+AY151+AY174-AY214</f>
        <v>0</v>
      </c>
      <c r="AZ11" s="168">
        <f t="shared" si="3"/>
        <v>0</v>
      </c>
      <c r="BA11" s="168">
        <f t="shared" si="3"/>
        <v>0</v>
      </c>
      <c r="BB11" s="168">
        <f t="shared" si="3"/>
        <v>0</v>
      </c>
      <c r="BC11" s="168">
        <f t="shared" si="3"/>
        <v>0</v>
      </c>
      <c r="BD11" s="168">
        <f t="shared" si="3"/>
        <v>0</v>
      </c>
      <c r="BE11" s="168">
        <f t="shared" si="3"/>
        <v>0</v>
      </c>
      <c r="BF11" s="168">
        <f t="shared" si="3"/>
        <v>0</v>
      </c>
      <c r="BG11" s="168">
        <f t="shared" si="3"/>
        <v>0</v>
      </c>
      <c r="BH11" s="210"/>
    </row>
    <row r="12" spans="1:60">
      <c r="A12" s="1040"/>
      <c r="B12" s="1106" t="s">
        <v>95</v>
      </c>
      <c r="C12" s="1107" t="s">
        <v>104</v>
      </c>
      <c r="D12" s="638"/>
      <c r="E12" s="180" t="s">
        <v>107</v>
      </c>
      <c r="F12" s="180"/>
      <c r="G12" s="180"/>
      <c r="H12" s="181" t="s">
        <v>108</v>
      </c>
      <c r="I12" s="83"/>
      <c r="J12" s="202">
        <f>M12+Y12+AK12+AW12</f>
        <v>0</v>
      </c>
      <c r="K12" s="243"/>
      <c r="L12" s="243"/>
      <c r="M12" s="202">
        <f>SUM(N12:X12)</f>
        <v>0</v>
      </c>
      <c r="N12" s="84"/>
      <c r="O12" s="168">
        <f t="shared" ref="O12:V12" si="4">O130+O161+O181</f>
        <v>0</v>
      </c>
      <c r="P12" s="168">
        <f t="shared" si="4"/>
        <v>0</v>
      </c>
      <c r="Q12" s="168">
        <f t="shared" si="4"/>
        <v>0</v>
      </c>
      <c r="R12" s="168">
        <f t="shared" si="4"/>
        <v>0</v>
      </c>
      <c r="S12" s="168">
        <f t="shared" si="4"/>
        <v>0</v>
      </c>
      <c r="T12" s="168">
        <f t="shared" si="4"/>
        <v>0</v>
      </c>
      <c r="U12" s="168">
        <f t="shared" si="4"/>
        <v>0</v>
      </c>
      <c r="V12" s="168">
        <f t="shared" si="4"/>
        <v>0</v>
      </c>
      <c r="W12" s="168">
        <f>W130+W161+W181-W224</f>
        <v>0</v>
      </c>
      <c r="X12" s="262"/>
      <c r="Y12" s="202">
        <f>SUM(Z12:AJ12)</f>
        <v>0</v>
      </c>
      <c r="Z12" s="84"/>
      <c r="AA12" s="168">
        <f t="shared" ref="AA12:AH12" si="5">AA130+AA161+AA181</f>
        <v>0</v>
      </c>
      <c r="AB12" s="168">
        <f t="shared" si="5"/>
        <v>0</v>
      </c>
      <c r="AC12" s="168">
        <f t="shared" si="5"/>
        <v>0</v>
      </c>
      <c r="AD12" s="168">
        <f t="shared" si="5"/>
        <v>0</v>
      </c>
      <c r="AE12" s="168">
        <f t="shared" si="5"/>
        <v>0</v>
      </c>
      <c r="AF12" s="168">
        <f t="shared" si="5"/>
        <v>0</v>
      </c>
      <c r="AG12" s="168">
        <f t="shared" si="5"/>
        <v>0</v>
      </c>
      <c r="AH12" s="168">
        <f t="shared" si="5"/>
        <v>0</v>
      </c>
      <c r="AI12" s="168">
        <f>AI130+AI161+AI181-AI224</f>
        <v>0</v>
      </c>
      <c r="AJ12" s="262"/>
      <c r="AK12" s="202">
        <f>SUM(AL12:AV12)</f>
        <v>0</v>
      </c>
      <c r="AL12" s="84"/>
      <c r="AM12" s="168">
        <f t="shared" ref="AM12:AT12" si="6">AM130+AM161+AM181</f>
        <v>0</v>
      </c>
      <c r="AN12" s="168">
        <f t="shared" si="6"/>
        <v>0</v>
      </c>
      <c r="AO12" s="168">
        <f t="shared" si="6"/>
        <v>0</v>
      </c>
      <c r="AP12" s="168">
        <f t="shared" si="6"/>
        <v>0</v>
      </c>
      <c r="AQ12" s="168">
        <f t="shared" si="6"/>
        <v>0</v>
      </c>
      <c r="AR12" s="168">
        <f t="shared" si="6"/>
        <v>0</v>
      </c>
      <c r="AS12" s="168">
        <f t="shared" si="6"/>
        <v>0</v>
      </c>
      <c r="AT12" s="168">
        <f t="shared" si="6"/>
        <v>0</v>
      </c>
      <c r="AU12" s="168">
        <f>AU130+AU161+AU181-AU224</f>
        <v>0</v>
      </c>
      <c r="AV12" s="262"/>
      <c r="AW12" s="202">
        <f>SUM(AX12:BH12)</f>
        <v>0</v>
      </c>
      <c r="AX12" s="84"/>
      <c r="AY12" s="168">
        <f t="shared" ref="AY12:BF12" si="7">AY130+AY161+AY181</f>
        <v>0</v>
      </c>
      <c r="AZ12" s="168">
        <f t="shared" si="7"/>
        <v>0</v>
      </c>
      <c r="BA12" s="168">
        <f t="shared" si="7"/>
        <v>0</v>
      </c>
      <c r="BB12" s="168">
        <f t="shared" si="7"/>
        <v>0</v>
      </c>
      <c r="BC12" s="168">
        <f t="shared" si="7"/>
        <v>0</v>
      </c>
      <c r="BD12" s="168">
        <f t="shared" si="7"/>
        <v>0</v>
      </c>
      <c r="BE12" s="168">
        <f t="shared" si="7"/>
        <v>0</v>
      </c>
      <c r="BF12" s="168">
        <f t="shared" si="7"/>
        <v>0</v>
      </c>
      <c r="BG12" s="168">
        <f>BG130+BG161+BG181-BG224</f>
        <v>0</v>
      </c>
      <c r="BH12" s="210"/>
    </row>
    <row r="13" spans="1:60">
      <c r="A13" s="1040"/>
      <c r="B13" s="1106" t="s">
        <v>95</v>
      </c>
      <c r="C13" s="1107" t="s">
        <v>104</v>
      </c>
      <c r="D13" s="638"/>
      <c r="E13" s="180" t="s">
        <v>109</v>
      </c>
      <c r="F13" s="180"/>
      <c r="G13" s="180"/>
      <c r="H13" s="181" t="s">
        <v>110</v>
      </c>
      <c r="I13" s="83"/>
      <c r="J13" s="202">
        <f>M13+Y13+AK13+AW13</f>
        <v>0</v>
      </c>
      <c r="K13" s="243"/>
      <c r="L13" s="243"/>
      <c r="M13" s="202">
        <f>SUM(N13:X13)</f>
        <v>0</v>
      </c>
      <c r="N13" s="84"/>
      <c r="O13" s="168">
        <f t="shared" ref="O13:W13" si="8">O229*O27/1000</f>
        <v>0</v>
      </c>
      <c r="P13" s="168">
        <f t="shared" si="8"/>
        <v>0</v>
      </c>
      <c r="Q13" s="168">
        <f t="shared" si="8"/>
        <v>0</v>
      </c>
      <c r="R13" s="168">
        <f t="shared" si="8"/>
        <v>0</v>
      </c>
      <c r="S13" s="168">
        <f t="shared" si="8"/>
        <v>0</v>
      </c>
      <c r="T13" s="168">
        <f t="shared" si="8"/>
        <v>0</v>
      </c>
      <c r="U13" s="168">
        <f t="shared" si="8"/>
        <v>0</v>
      </c>
      <c r="V13" s="168">
        <f t="shared" si="8"/>
        <v>0</v>
      </c>
      <c r="W13" s="168">
        <f t="shared" si="8"/>
        <v>0</v>
      </c>
      <c r="X13" s="262"/>
      <c r="Y13" s="202">
        <f>SUM(Z13:AJ13)</f>
        <v>0</v>
      </c>
      <c r="Z13" s="84"/>
      <c r="AA13" s="168">
        <f t="shared" ref="AA13:AI13" si="9">AA229*AA27/1000</f>
        <v>0</v>
      </c>
      <c r="AB13" s="168">
        <f t="shared" si="9"/>
        <v>0</v>
      </c>
      <c r="AC13" s="168">
        <f t="shared" si="9"/>
        <v>0</v>
      </c>
      <c r="AD13" s="168">
        <f t="shared" si="9"/>
        <v>0</v>
      </c>
      <c r="AE13" s="168">
        <f t="shared" si="9"/>
        <v>0</v>
      </c>
      <c r="AF13" s="168">
        <f t="shared" si="9"/>
        <v>0</v>
      </c>
      <c r="AG13" s="168">
        <f t="shared" si="9"/>
        <v>0</v>
      </c>
      <c r="AH13" s="168">
        <f t="shared" si="9"/>
        <v>0</v>
      </c>
      <c r="AI13" s="168">
        <f t="shared" si="9"/>
        <v>0</v>
      </c>
      <c r="AJ13" s="262"/>
      <c r="AK13" s="202">
        <f>SUM(AL13:AV13)</f>
        <v>0</v>
      </c>
      <c r="AL13" s="84"/>
      <c r="AM13" s="168">
        <f t="shared" ref="AM13:AU13" si="10">AM229*AM27/1000</f>
        <v>0</v>
      </c>
      <c r="AN13" s="168">
        <f t="shared" si="10"/>
        <v>0</v>
      </c>
      <c r="AO13" s="168">
        <f t="shared" si="10"/>
        <v>0</v>
      </c>
      <c r="AP13" s="168">
        <f t="shared" si="10"/>
        <v>0</v>
      </c>
      <c r="AQ13" s="168">
        <f t="shared" si="10"/>
        <v>0</v>
      </c>
      <c r="AR13" s="168">
        <f t="shared" si="10"/>
        <v>0</v>
      </c>
      <c r="AS13" s="168">
        <f t="shared" si="10"/>
        <v>0</v>
      </c>
      <c r="AT13" s="168">
        <f t="shared" si="10"/>
        <v>0</v>
      </c>
      <c r="AU13" s="168">
        <f t="shared" si="10"/>
        <v>0</v>
      </c>
      <c r="AV13" s="262"/>
      <c r="AW13" s="202">
        <f>SUM(AX13:BH13)</f>
        <v>0</v>
      </c>
      <c r="AX13" s="84"/>
      <c r="AY13" s="168">
        <f t="shared" ref="AY13:BG13" si="11">AY229*AY27/1000</f>
        <v>0</v>
      </c>
      <c r="AZ13" s="168">
        <f t="shared" si="11"/>
        <v>0</v>
      </c>
      <c r="BA13" s="168">
        <f t="shared" si="11"/>
        <v>0</v>
      </c>
      <c r="BB13" s="168">
        <f t="shared" si="11"/>
        <v>0</v>
      </c>
      <c r="BC13" s="168">
        <f t="shared" si="11"/>
        <v>0</v>
      </c>
      <c r="BD13" s="168">
        <f t="shared" si="11"/>
        <v>0</v>
      </c>
      <c r="BE13" s="168">
        <f t="shared" si="11"/>
        <v>0</v>
      </c>
      <c r="BF13" s="168">
        <f t="shared" si="11"/>
        <v>0</v>
      </c>
      <c r="BG13" s="168">
        <f t="shared" si="11"/>
        <v>0</v>
      </c>
      <c r="BH13" s="212"/>
    </row>
    <row r="14" spans="1:60" s="707" customFormat="1" ht="5.25">
      <c r="A14" s="1012" t="s">
        <v>95</v>
      </c>
      <c r="B14" s="1108" t="s">
        <v>95</v>
      </c>
      <c r="C14" s="1104" t="s">
        <v>104</v>
      </c>
      <c r="D14" s="647"/>
      <c r="E14" s="704"/>
      <c r="F14" s="704"/>
      <c r="G14" s="704"/>
      <c r="H14" s="705"/>
      <c r="I14" s="704"/>
      <c r="J14" s="706"/>
      <c r="K14" s="704"/>
      <c r="L14" s="704"/>
      <c r="M14" s="706"/>
      <c r="N14" s="704"/>
      <c r="O14" s="706"/>
      <c r="P14" s="706"/>
      <c r="Q14" s="706"/>
      <c r="R14" s="706"/>
      <c r="S14" s="706"/>
      <c r="T14" s="706"/>
      <c r="U14" s="706"/>
      <c r="V14" s="706"/>
      <c r="W14" s="706"/>
      <c r="X14" s="706"/>
      <c r="Y14" s="706"/>
      <c r="Z14" s="704"/>
      <c r="AA14" s="706"/>
      <c r="AB14" s="706"/>
      <c r="AC14" s="706"/>
      <c r="AD14" s="706"/>
      <c r="AE14" s="706"/>
      <c r="AF14" s="706"/>
      <c r="AG14" s="706"/>
      <c r="AH14" s="706"/>
      <c r="AI14" s="706"/>
      <c r="AJ14" s="706"/>
      <c r="AK14" s="706"/>
      <c r="AL14" s="704"/>
      <c r="AM14" s="706"/>
      <c r="AN14" s="706"/>
      <c r="AO14" s="706"/>
      <c r="AP14" s="706"/>
      <c r="AQ14" s="706"/>
      <c r="AR14" s="706"/>
      <c r="AS14" s="706"/>
      <c r="AT14" s="706"/>
      <c r="AU14" s="706"/>
      <c r="AV14" s="706"/>
      <c r="AW14" s="706"/>
      <c r="AX14" s="704"/>
      <c r="AY14" s="706"/>
      <c r="AZ14" s="706"/>
      <c r="BA14" s="706"/>
      <c r="BB14" s="706"/>
      <c r="BC14" s="706"/>
      <c r="BD14" s="706"/>
      <c r="BE14" s="706"/>
      <c r="BF14" s="706"/>
      <c r="BG14" s="706"/>
      <c r="BH14" s="706"/>
    </row>
    <row r="15" spans="1:60" s="707" customFormat="1" ht="5.25">
      <c r="A15" s="1130"/>
      <c r="B15" s="1108" t="s">
        <v>111</v>
      </c>
      <c r="C15" s="1108" t="s">
        <v>96</v>
      </c>
      <c r="D15" s="647"/>
      <c r="E15" s="1131"/>
      <c r="F15" s="1131"/>
      <c r="G15" s="1131"/>
      <c r="H15" s="1132"/>
      <c r="I15" s="1131"/>
      <c r="J15" s="1133"/>
      <c r="K15" s="1131"/>
      <c r="L15" s="1131"/>
      <c r="M15" s="1133"/>
      <c r="N15" s="1131"/>
      <c r="O15" s="1133"/>
      <c r="P15" s="1133"/>
      <c r="Q15" s="1133"/>
      <c r="R15" s="1133"/>
      <c r="S15" s="1133"/>
      <c r="T15" s="1133"/>
      <c r="U15" s="1133"/>
      <c r="V15" s="1133"/>
      <c r="W15" s="1133"/>
      <c r="X15" s="1133"/>
      <c r="Y15" s="1133"/>
      <c r="Z15" s="1131"/>
      <c r="AA15" s="1133"/>
      <c r="AB15" s="1133"/>
      <c r="AC15" s="1133"/>
      <c r="AD15" s="1133"/>
      <c r="AE15" s="1133"/>
      <c r="AF15" s="1133"/>
      <c r="AG15" s="1133"/>
      <c r="AH15" s="1133"/>
      <c r="AI15" s="1133"/>
      <c r="AJ15" s="1133"/>
      <c r="AK15" s="1133"/>
      <c r="AL15" s="1131"/>
      <c r="AM15" s="1133"/>
      <c r="AN15" s="1133"/>
      <c r="AO15" s="1133"/>
      <c r="AP15" s="1133"/>
      <c r="AQ15" s="1133"/>
      <c r="AR15" s="1133"/>
      <c r="AS15" s="1133"/>
      <c r="AT15" s="1133"/>
      <c r="AU15" s="1133"/>
      <c r="AV15" s="1133"/>
      <c r="AW15" s="1133"/>
      <c r="AX15" s="1131"/>
      <c r="AY15" s="1133"/>
      <c r="AZ15" s="1133"/>
      <c r="BA15" s="1133"/>
      <c r="BB15" s="1133"/>
      <c r="BC15" s="1133"/>
      <c r="BD15" s="1133"/>
      <c r="BE15" s="1133"/>
      <c r="BF15" s="1133"/>
      <c r="BG15" s="1133"/>
      <c r="BH15" s="706"/>
    </row>
    <row r="16" spans="1:60" s="2" customFormat="1" ht="21">
      <c r="A16" s="1038"/>
      <c r="B16" s="1106" t="s">
        <v>111</v>
      </c>
      <c r="C16" s="1106" t="s">
        <v>96</v>
      </c>
      <c r="D16" s="639" t="s">
        <v>45</v>
      </c>
      <c r="E16" s="209" t="s">
        <v>112</v>
      </c>
      <c r="F16" s="209"/>
      <c r="G16" s="209"/>
      <c r="H16" s="209"/>
      <c r="I16" s="129"/>
      <c r="J16" s="256" t="str">
        <f>J$10</f>
        <v>alle locaties</v>
      </c>
      <c r="K16" s="126"/>
      <c r="L16" s="126"/>
      <c r="M16" s="257" t="str">
        <f>M$8</f>
        <v>locatie 1</v>
      </c>
      <c r="N16" s="193"/>
      <c r="O16" s="955" t="str">
        <f>$E16&amp;" per woning-/gebouwtype"</f>
        <v>woningen|utiliteitsgebouwen terugkoppeling invoer per woning-/gebouwtype</v>
      </c>
      <c r="P16" s="945"/>
      <c r="Q16" s="945"/>
      <c r="R16" s="945"/>
      <c r="S16" s="945"/>
      <c r="T16" s="945"/>
      <c r="U16" s="945"/>
      <c r="V16" s="945"/>
      <c r="W16" s="257"/>
      <c r="X16" s="174"/>
      <c r="Y16" s="257" t="str">
        <f>Y$10</f>
        <v>locatie 2</v>
      </c>
      <c r="Z16" s="193"/>
      <c r="AA16" s="955" t="str">
        <f>$E16&amp;" per woning-/gebouwtype"</f>
        <v>woningen|utiliteitsgebouwen terugkoppeling invoer per woning-/gebouwtype</v>
      </c>
      <c r="AB16" s="945"/>
      <c r="AC16" s="945"/>
      <c r="AD16" s="945"/>
      <c r="AE16" s="945"/>
      <c r="AF16" s="945"/>
      <c r="AG16" s="945"/>
      <c r="AH16" s="945"/>
      <c r="AI16" s="257"/>
      <c r="AJ16" s="174"/>
      <c r="AK16" s="257" t="str">
        <f>AK$10</f>
        <v>locatie 3</v>
      </c>
      <c r="AL16" s="193"/>
      <c r="AM16" s="955" t="str">
        <f>$E16&amp;" per woning-/gebouwtype"</f>
        <v>woningen|utiliteitsgebouwen terugkoppeling invoer per woning-/gebouwtype</v>
      </c>
      <c r="AN16" s="945"/>
      <c r="AO16" s="945"/>
      <c r="AP16" s="945"/>
      <c r="AQ16" s="945"/>
      <c r="AR16" s="945"/>
      <c r="AS16" s="945"/>
      <c r="AT16" s="945"/>
      <c r="AU16" s="257"/>
      <c r="AV16" s="174"/>
      <c r="AW16" s="257" t="str">
        <f>AW$10</f>
        <v>locatie 4</v>
      </c>
      <c r="AX16" s="193"/>
      <c r="AY16" s="955" t="str">
        <f>$E16&amp;" per woning-/gebouwtype"</f>
        <v>woningen|utiliteitsgebouwen terugkoppeling invoer per woning-/gebouwtype</v>
      </c>
      <c r="AZ16" s="945"/>
      <c r="BA16" s="945"/>
      <c r="BB16" s="945"/>
      <c r="BC16" s="945"/>
      <c r="BD16" s="945"/>
      <c r="BE16" s="945"/>
      <c r="BF16" s="945"/>
      <c r="BG16" s="257"/>
      <c r="BH16" s="1"/>
    </row>
    <row r="17" spans="1:60">
      <c r="A17" s="1040"/>
      <c r="B17" s="1106" t="s">
        <v>111</v>
      </c>
      <c r="C17" s="1106" t="s">
        <v>96</v>
      </c>
      <c r="D17" s="638"/>
      <c r="E17" s="942" t="s">
        <v>113</v>
      </c>
      <c r="F17" s="942"/>
      <c r="G17" s="942"/>
      <c r="H17" s="942" t="s">
        <v>65</v>
      </c>
      <c r="I17" s="129"/>
      <c r="J17" s="943"/>
      <c r="K17" s="126"/>
      <c r="L17" s="126"/>
      <c r="M17" s="944"/>
      <c r="N17" s="195"/>
      <c r="O17" s="258" t="str">
        <f>IF('woningen|utiliteit'!L18="","",'woningen|utiliteit'!L18)</f>
        <v/>
      </c>
      <c r="P17" s="258" t="str">
        <f>IF('woningen|utiliteit'!M18="","",'woningen|utiliteit'!M18)</f>
        <v/>
      </c>
      <c r="Q17" s="258" t="str">
        <f>IF('woningen|utiliteit'!N18="","",'woningen|utiliteit'!N18)</f>
        <v/>
      </c>
      <c r="R17" s="258" t="str">
        <f>IF('woningen|utiliteit'!O18="","",'woningen|utiliteit'!O18)</f>
        <v/>
      </c>
      <c r="S17" s="258" t="str">
        <f>IF('woningen|utiliteit'!P18="","",'woningen|utiliteit'!P18)</f>
        <v/>
      </c>
      <c r="T17" s="258" t="str">
        <f>IF('woningen|utiliteit'!Q18="","",'woningen|utiliteit'!Q18)</f>
        <v/>
      </c>
      <c r="U17" s="258" t="str">
        <f>IF('woningen|utiliteit'!R18="","",'woningen|utiliteit'!R18)</f>
        <v/>
      </c>
      <c r="V17" s="258" t="str">
        <f>IF('woningen|utiliteit'!S18="","",'woningen|utiliteit'!S18)</f>
        <v/>
      </c>
      <c r="W17" s="258" t="str">
        <f>IF('woningen|utiliteit'!T18="","",'woningen|utiliteit'!T18)</f>
        <v/>
      </c>
      <c r="X17" s="195"/>
      <c r="Y17" s="944"/>
      <c r="Z17" s="195"/>
      <c r="AA17" s="258" t="str">
        <f>IF('woningen|utiliteit'!L34="","",'woningen|utiliteit'!L34)</f>
        <v/>
      </c>
      <c r="AB17" s="258" t="str">
        <f>IF('woningen|utiliteit'!M34="","",'woningen|utiliteit'!M34)</f>
        <v/>
      </c>
      <c r="AC17" s="258" t="str">
        <f>IF('woningen|utiliteit'!N34="","",'woningen|utiliteit'!N34)</f>
        <v/>
      </c>
      <c r="AD17" s="258" t="str">
        <f>IF('woningen|utiliteit'!O34="","",'woningen|utiliteit'!O34)</f>
        <v/>
      </c>
      <c r="AE17" s="258" t="str">
        <f>IF('woningen|utiliteit'!P34="","",'woningen|utiliteit'!P34)</f>
        <v/>
      </c>
      <c r="AF17" s="258" t="str">
        <f>IF('woningen|utiliteit'!Q34="","",'woningen|utiliteit'!Q34)</f>
        <v/>
      </c>
      <c r="AG17" s="258" t="str">
        <f>IF('woningen|utiliteit'!R34="","",'woningen|utiliteit'!R34)</f>
        <v/>
      </c>
      <c r="AH17" s="258" t="str">
        <f>IF('woningen|utiliteit'!S34="","",'woningen|utiliteit'!S34)</f>
        <v/>
      </c>
      <c r="AI17" s="258" t="str">
        <f>IF('woningen|utiliteit'!T34="","",'woningen|utiliteit'!T34)</f>
        <v/>
      </c>
      <c r="AJ17" s="195"/>
      <c r="AK17" s="944"/>
      <c r="AL17" s="195"/>
      <c r="AM17" s="258" t="str">
        <f>IF('woningen|utiliteit'!L50="","",'woningen|utiliteit'!L50)</f>
        <v/>
      </c>
      <c r="AN17" s="258" t="str">
        <f>IF('woningen|utiliteit'!M50="","",'woningen|utiliteit'!M50)</f>
        <v/>
      </c>
      <c r="AO17" s="258" t="str">
        <f>IF('woningen|utiliteit'!N50="","",'woningen|utiliteit'!N50)</f>
        <v/>
      </c>
      <c r="AP17" s="258" t="str">
        <f>IF('woningen|utiliteit'!O50="","",'woningen|utiliteit'!O50)</f>
        <v/>
      </c>
      <c r="AQ17" s="258" t="str">
        <f>IF('woningen|utiliteit'!P50="","",'woningen|utiliteit'!P50)</f>
        <v/>
      </c>
      <c r="AR17" s="258" t="str">
        <f>IF('woningen|utiliteit'!Q50="","",'woningen|utiliteit'!Q50)</f>
        <v/>
      </c>
      <c r="AS17" s="258" t="str">
        <f>IF('woningen|utiliteit'!R50="","",'woningen|utiliteit'!R50)</f>
        <v/>
      </c>
      <c r="AT17" s="258" t="str">
        <f>IF('woningen|utiliteit'!S50="","",'woningen|utiliteit'!S50)</f>
        <v/>
      </c>
      <c r="AU17" s="258" t="str">
        <f>IF('woningen|utiliteit'!T50="","",'woningen|utiliteit'!T50)</f>
        <v/>
      </c>
      <c r="AV17" s="195"/>
      <c r="AW17" s="944"/>
      <c r="AX17" s="195"/>
      <c r="AY17" s="258" t="str">
        <f>IF('woningen|utiliteit'!L66="","",'woningen|utiliteit'!L66)</f>
        <v/>
      </c>
      <c r="AZ17" s="258" t="str">
        <f>IF('woningen|utiliteit'!M66="","",'woningen|utiliteit'!M66)</f>
        <v/>
      </c>
      <c r="BA17" s="258" t="str">
        <f>IF('woningen|utiliteit'!N66="","",'woningen|utiliteit'!N66)</f>
        <v/>
      </c>
      <c r="BB17" s="258" t="str">
        <f>IF('woningen|utiliteit'!O66="","",'woningen|utiliteit'!O66)</f>
        <v/>
      </c>
      <c r="BC17" s="258" t="str">
        <f>IF('woningen|utiliteit'!P66="","",'woningen|utiliteit'!P66)</f>
        <v/>
      </c>
      <c r="BD17" s="258" t="str">
        <f>IF('woningen|utiliteit'!Q66="","",'woningen|utiliteit'!Q66)</f>
        <v/>
      </c>
      <c r="BE17" s="258" t="str">
        <f>IF('woningen|utiliteit'!R66="","",'woningen|utiliteit'!R66)</f>
        <v/>
      </c>
      <c r="BF17" s="258" t="str">
        <f>IF('woningen|utiliteit'!S66="","",'woningen|utiliteit'!S66)</f>
        <v/>
      </c>
      <c r="BG17" s="258" t="str">
        <f>IF('woningen|utiliteit'!T66="","",'woningen|utiliteit'!T66)</f>
        <v/>
      </c>
      <c r="BH17" s="36"/>
    </row>
    <row r="18" spans="1:60" s="36" customFormat="1">
      <c r="A18" s="1040"/>
      <c r="B18" s="1107" t="s">
        <v>111</v>
      </c>
      <c r="C18" s="1107" t="s">
        <v>104</v>
      </c>
      <c r="D18" s="638"/>
      <c r="E18" s="236" t="s">
        <v>114</v>
      </c>
      <c r="F18" s="236"/>
      <c r="G18" s="236"/>
      <c r="H18" s="297" t="s">
        <v>65</v>
      </c>
      <c r="I18" s="621"/>
      <c r="J18" s="186"/>
      <c r="K18" s="1128"/>
      <c r="L18" s="1128"/>
      <c r="M18" s="186"/>
      <c r="N18" s="94"/>
      <c r="O18" s="1129" t="str">
        <f>IF('woningen|utiliteit'!L20="","",'woningen|utiliteit'!L20)</f>
        <v/>
      </c>
      <c r="P18" s="1129" t="str">
        <f>IF('woningen|utiliteit'!M20="","",'woningen|utiliteit'!M20)</f>
        <v/>
      </c>
      <c r="Q18" s="1129" t="str">
        <f>IF('woningen|utiliteit'!N20="","",'woningen|utiliteit'!N20)</f>
        <v/>
      </c>
      <c r="R18" s="1129" t="str">
        <f>IF('woningen|utiliteit'!O20="","",'woningen|utiliteit'!O20)</f>
        <v/>
      </c>
      <c r="S18" s="1129" t="str">
        <f>IF('woningen|utiliteit'!P20="","",'woningen|utiliteit'!P20)</f>
        <v/>
      </c>
      <c r="T18" s="1129" t="str">
        <f>IF('woningen|utiliteit'!Q20="","",'woningen|utiliteit'!Q20)</f>
        <v/>
      </c>
      <c r="U18" s="1129" t="str">
        <f>IF('woningen|utiliteit'!R20="","",'woningen|utiliteit'!R20)</f>
        <v/>
      </c>
      <c r="V18" s="1129" t="str">
        <f>IF('woningen|utiliteit'!S20="","",'woningen|utiliteit'!S20)</f>
        <v/>
      </c>
      <c r="W18" s="1129" t="str">
        <f>IF('woningen|utiliteit'!T20="","",'woningen|utiliteit'!T20)</f>
        <v/>
      </c>
      <c r="X18" s="87"/>
      <c r="Y18" s="186"/>
      <c r="Z18" s="94"/>
      <c r="AA18" s="1129" t="str">
        <f>IF('woningen|utiliteit'!L36="","",'woningen|utiliteit'!L36)</f>
        <v/>
      </c>
      <c r="AB18" s="1129" t="str">
        <f>IF('woningen|utiliteit'!M36="","",'woningen|utiliteit'!M36)</f>
        <v/>
      </c>
      <c r="AC18" s="1129" t="str">
        <f>IF('woningen|utiliteit'!N36="","",'woningen|utiliteit'!N36)</f>
        <v/>
      </c>
      <c r="AD18" s="1129" t="str">
        <f>IF('woningen|utiliteit'!O36="","",'woningen|utiliteit'!O36)</f>
        <v/>
      </c>
      <c r="AE18" s="1129" t="str">
        <f>IF('woningen|utiliteit'!P36="","",'woningen|utiliteit'!P36)</f>
        <v/>
      </c>
      <c r="AF18" s="1129" t="str">
        <f>IF('woningen|utiliteit'!Q36="","",'woningen|utiliteit'!Q36)</f>
        <v/>
      </c>
      <c r="AG18" s="1129" t="str">
        <f>IF('woningen|utiliteit'!R36="","",'woningen|utiliteit'!R36)</f>
        <v/>
      </c>
      <c r="AH18" s="1129" t="str">
        <f>IF('woningen|utiliteit'!S36="","",'woningen|utiliteit'!S36)</f>
        <v/>
      </c>
      <c r="AI18" s="1129" t="str">
        <f>IF('woningen|utiliteit'!T36="","",'woningen|utiliteit'!T36)</f>
        <v/>
      </c>
      <c r="AJ18" s="87"/>
      <c r="AK18" s="186"/>
      <c r="AL18" s="94"/>
      <c r="AM18" s="1129" t="str">
        <f>IF('woningen|utiliteit'!L52="","",'woningen|utiliteit'!L52)</f>
        <v/>
      </c>
      <c r="AN18" s="1129" t="str">
        <f>IF('woningen|utiliteit'!M52="","",'woningen|utiliteit'!M52)</f>
        <v/>
      </c>
      <c r="AO18" s="1129" t="str">
        <f>IF('woningen|utiliteit'!N52="","",'woningen|utiliteit'!N52)</f>
        <v/>
      </c>
      <c r="AP18" s="1129" t="str">
        <f>IF('woningen|utiliteit'!O52="","",'woningen|utiliteit'!O52)</f>
        <v/>
      </c>
      <c r="AQ18" s="1129" t="str">
        <f>IF('woningen|utiliteit'!P52="","",'woningen|utiliteit'!P52)</f>
        <v/>
      </c>
      <c r="AR18" s="1129" t="str">
        <f>IF('woningen|utiliteit'!Q52="","",'woningen|utiliteit'!Q52)</f>
        <v/>
      </c>
      <c r="AS18" s="1129" t="str">
        <f>IF('woningen|utiliteit'!R52="","",'woningen|utiliteit'!R52)</f>
        <v/>
      </c>
      <c r="AT18" s="1129" t="str">
        <f>IF('woningen|utiliteit'!S52="","",'woningen|utiliteit'!S52)</f>
        <v/>
      </c>
      <c r="AU18" s="1129" t="str">
        <f>IF('woningen|utiliteit'!T52="","",'woningen|utiliteit'!T52)</f>
        <v/>
      </c>
      <c r="AV18" s="87"/>
      <c r="AW18" s="186"/>
      <c r="AX18" s="94"/>
      <c r="AY18" s="1129" t="str">
        <f>IF('woningen|utiliteit'!L68="","",'woningen|utiliteit'!L68)</f>
        <v/>
      </c>
      <c r="AZ18" s="1129" t="str">
        <f>IF('woningen|utiliteit'!M68="","",'woningen|utiliteit'!M68)</f>
        <v/>
      </c>
      <c r="BA18" s="1129" t="str">
        <f>IF('woningen|utiliteit'!N68="","",'woningen|utiliteit'!N68)</f>
        <v/>
      </c>
      <c r="BB18" s="1129" t="str">
        <f>IF('woningen|utiliteit'!O68="","",'woningen|utiliteit'!O68)</f>
        <v/>
      </c>
      <c r="BC18" s="1129" t="str">
        <f>IF('woningen|utiliteit'!P68="","",'woningen|utiliteit'!P68)</f>
        <v/>
      </c>
      <c r="BD18" s="1129" t="str">
        <f>IF('woningen|utiliteit'!Q68="","",'woningen|utiliteit'!Q68)</f>
        <v/>
      </c>
      <c r="BE18" s="1129" t="str">
        <f>IF('woningen|utiliteit'!R68="","",'woningen|utiliteit'!R68)</f>
        <v/>
      </c>
      <c r="BF18" s="1129" t="str">
        <f>IF('woningen|utiliteit'!S68="","",'woningen|utiliteit'!S68)</f>
        <v/>
      </c>
      <c r="BG18" s="1129" t="str">
        <f>IF('woningen|utiliteit'!T68="","",'woningen|utiliteit'!T68)</f>
        <v/>
      </c>
      <c r="BH18" s="213"/>
    </row>
    <row r="19" spans="1:60" s="36" customFormat="1">
      <c r="A19" s="1040"/>
      <c r="B19" s="1106" t="s">
        <v>111</v>
      </c>
      <c r="C19" s="1107" t="s">
        <v>104</v>
      </c>
      <c r="D19" s="638"/>
      <c r="E19" s="254" t="s">
        <v>115</v>
      </c>
      <c r="F19" s="618"/>
      <c r="G19" s="618"/>
      <c r="H19" s="298" t="s">
        <v>65</v>
      </c>
      <c r="I19" s="86"/>
      <c r="J19" s="619"/>
      <c r="K19" s="93"/>
      <c r="L19" s="93"/>
      <c r="M19" s="619"/>
      <c r="N19" s="620"/>
      <c r="O19" s="539" t="str">
        <f>IF(O$17="","",HLOOKUP(O$17,woningen_gebouwen_gegevens,ROWS(bibliotheek!$E$20:$E$21),FALSE))</f>
        <v/>
      </c>
      <c r="P19" s="539" t="str">
        <f>IF(P$17="","",HLOOKUP(P$17,woningen_gebouwen_gegevens,ROWS(bibliotheek!$E$20:$E$21),FALSE))</f>
        <v/>
      </c>
      <c r="Q19" s="539" t="str">
        <f>IF(Q$17="","",HLOOKUP(Q$17,woningen_gebouwen_gegevens,ROWS(bibliotheek!$E$20:$E$21),FALSE))</f>
        <v/>
      </c>
      <c r="R19" s="539" t="str">
        <f>IF(R$17="","",HLOOKUP(R$17,woningen_gebouwen_gegevens,ROWS(bibliotheek!$E$20:$E$21),FALSE))</f>
        <v/>
      </c>
      <c r="S19" s="539" t="str">
        <f>IF(S$17="","",HLOOKUP(S$17,woningen_gebouwen_gegevens,ROWS(bibliotheek!$E$20:$E$21),FALSE))</f>
        <v/>
      </c>
      <c r="T19" s="539" t="str">
        <f>IF(T$17="","",HLOOKUP(T$17,woningen_gebouwen_gegevens,ROWS(bibliotheek!$E$20:$E$21),FALSE))</f>
        <v/>
      </c>
      <c r="U19" s="539" t="str">
        <f>IF(U$17="","",HLOOKUP(U$17,woningen_gebouwen_gegevens,ROWS(bibliotheek!$E$20:$E$21),FALSE))</f>
        <v/>
      </c>
      <c r="V19" s="539" t="str">
        <f>IF(V$17="","",HLOOKUP(V$17,woningen_gebouwen_gegevens,ROWS(bibliotheek!$E$20:$E$21),FALSE))</f>
        <v/>
      </c>
      <c r="W19" s="539" t="str">
        <f>IF(W$17="","",HLOOKUP(W$17,woningen_gebouwen_gegevens,ROWS(bibliotheek!$E$20:$E$21),FALSE))</f>
        <v/>
      </c>
      <c r="X19" s="322"/>
      <c r="Y19" s="148"/>
      <c r="Z19" s="323"/>
      <c r="AA19" s="385" t="str">
        <f>IF(AA$17="","",HLOOKUP(AA$17,woningen_gebouwen_gegevens,ROWS(bibliotheek!$E$20:$E$21),FALSE))</f>
        <v/>
      </c>
      <c r="AB19" s="385" t="str">
        <f>IF(AB$17="","",HLOOKUP(AB$17,woningen_gebouwen_gegevens,ROWS(bibliotheek!$E$20:$E$21),FALSE))</f>
        <v/>
      </c>
      <c r="AC19" s="385" t="str">
        <f>IF(AC$17="","",HLOOKUP(AC$17,woningen_gebouwen_gegevens,ROWS(bibliotheek!$E$20:$E$21),FALSE))</f>
        <v/>
      </c>
      <c r="AD19" s="385" t="str">
        <f>IF(AD$17="","",HLOOKUP(AD$17,woningen_gebouwen_gegevens,ROWS(bibliotheek!$E$20:$E$21),FALSE))</f>
        <v/>
      </c>
      <c r="AE19" s="385" t="str">
        <f>IF(AE$17="","",HLOOKUP(AE$17,woningen_gebouwen_gegevens,ROWS(bibliotheek!$E$20:$E$21),FALSE))</f>
        <v/>
      </c>
      <c r="AF19" s="385" t="str">
        <f>IF(AF$17="","",HLOOKUP(AF$17,woningen_gebouwen_gegevens,ROWS(bibliotheek!$E$20:$E$21),FALSE))</f>
        <v/>
      </c>
      <c r="AG19" s="385" t="str">
        <f>IF(AG$17="","",HLOOKUP(AG$17,woningen_gebouwen_gegevens,ROWS(bibliotheek!$E$20:$E$21),FALSE))</f>
        <v/>
      </c>
      <c r="AH19" s="385" t="str">
        <f>IF(AH$17="","",HLOOKUP(AH$17,woningen_gebouwen_gegevens,ROWS(bibliotheek!$E$20:$E$21),FALSE))</f>
        <v/>
      </c>
      <c r="AI19" s="385" t="str">
        <f>IF(AI$17="","",HLOOKUP(AI$17,woningen_gebouwen_gegevens,ROWS(bibliotheek!$E$20:$E$21),FALSE))</f>
        <v/>
      </c>
      <c r="AJ19" s="322"/>
      <c r="AK19" s="148"/>
      <c r="AL19" s="323"/>
      <c r="AM19" s="385" t="str">
        <f>IF(AM$17="","",HLOOKUP(AM$17,woningen_gebouwen_gegevens,ROWS(bibliotheek!$E$20:$E$21),FALSE))</f>
        <v/>
      </c>
      <c r="AN19" s="385" t="str">
        <f>IF(AN$17="","",HLOOKUP(AN$17,woningen_gebouwen_gegevens,ROWS(bibliotheek!$E$20:$E$21),FALSE))</f>
        <v/>
      </c>
      <c r="AO19" s="385" t="str">
        <f>IF(AO$17="","",HLOOKUP(AO$17,woningen_gebouwen_gegevens,ROWS(bibliotheek!$E$20:$E$21),FALSE))</f>
        <v/>
      </c>
      <c r="AP19" s="385" t="str">
        <f>IF(AP$17="","",HLOOKUP(AP$17,woningen_gebouwen_gegevens,ROWS(bibliotheek!$E$20:$E$21),FALSE))</f>
        <v/>
      </c>
      <c r="AQ19" s="385" t="str">
        <f>IF(AQ$17="","",HLOOKUP(AQ$17,woningen_gebouwen_gegevens,ROWS(bibliotheek!$E$20:$E$21),FALSE))</f>
        <v/>
      </c>
      <c r="AR19" s="385" t="str">
        <f>IF(AR$17="","",HLOOKUP(AR$17,woningen_gebouwen_gegevens,ROWS(bibliotheek!$E$20:$E$21),FALSE))</f>
        <v/>
      </c>
      <c r="AS19" s="385" t="str">
        <f>IF(AS$17="","",HLOOKUP(AS$17,woningen_gebouwen_gegevens,ROWS(bibliotheek!$E$20:$E$21),FALSE))</f>
        <v/>
      </c>
      <c r="AT19" s="385" t="str">
        <f>IF(AT$17="","",HLOOKUP(AT$17,woningen_gebouwen_gegevens,ROWS(bibliotheek!$E$20:$E$21),FALSE))</f>
        <v/>
      </c>
      <c r="AU19" s="385" t="str">
        <f>IF(AU$17="","",HLOOKUP(AU$17,woningen_gebouwen_gegevens,ROWS(bibliotheek!$E$20:$E$21),FALSE))</f>
        <v/>
      </c>
      <c r="AV19" s="322"/>
      <c r="AW19" s="148"/>
      <c r="AX19" s="323"/>
      <c r="AY19" s="385" t="str">
        <f>IF(AY$17="","",HLOOKUP(AY$17,woningen_gebouwen_gegevens,ROWS(bibliotheek!$E$20:$E$21),FALSE))</f>
        <v/>
      </c>
      <c r="AZ19" s="385" t="str">
        <f>IF(AZ$17="","",HLOOKUP(AZ$17,woningen_gebouwen_gegevens,ROWS(bibliotheek!$E$20:$E$21),FALSE))</f>
        <v/>
      </c>
      <c r="BA19" s="385" t="str">
        <f>IF(BA$17="","",HLOOKUP(BA$17,woningen_gebouwen_gegevens,ROWS(bibliotheek!$E$20:$E$21),FALSE))</f>
        <v/>
      </c>
      <c r="BB19" s="385" t="str">
        <f>IF(BB$17="","",HLOOKUP(BB$17,woningen_gebouwen_gegevens,ROWS(bibliotheek!$E$20:$E$21),FALSE))</f>
        <v/>
      </c>
      <c r="BC19" s="385" t="str">
        <f>IF(BC$17="","",HLOOKUP(BC$17,woningen_gebouwen_gegevens,ROWS(bibliotheek!$E$20:$E$21),FALSE))</f>
        <v/>
      </c>
      <c r="BD19" s="385" t="str">
        <f>IF(BD$17="","",HLOOKUP(BD$17,woningen_gebouwen_gegevens,ROWS(bibliotheek!$E$20:$E$21),FALSE))</f>
        <v/>
      </c>
      <c r="BE19" s="385" t="str">
        <f>IF(BE$17="","",HLOOKUP(BE$17,woningen_gebouwen_gegevens,ROWS(bibliotheek!$E$20:$E$21),FALSE))</f>
        <v/>
      </c>
      <c r="BF19" s="385" t="str">
        <f>IF(BF$17="","",HLOOKUP(BF$17,woningen_gebouwen_gegevens,ROWS(bibliotheek!$E$20:$E$21),FALSE))</f>
        <v/>
      </c>
      <c r="BG19" s="385" t="str">
        <f>IF(BG$17="","",HLOOKUP(BG$17,woningen_gebouwen_gegevens,ROWS(bibliotheek!$E$20:$E$21),FALSE))</f>
        <v/>
      </c>
      <c r="BH19" s="213"/>
    </row>
    <row r="20" spans="1:60">
      <c r="A20" s="1040"/>
      <c r="B20" s="1106" t="s">
        <v>111</v>
      </c>
      <c r="C20" s="1107" t="s">
        <v>104</v>
      </c>
      <c r="D20" s="638"/>
      <c r="E20" s="180" t="s">
        <v>116</v>
      </c>
      <c r="F20" s="180"/>
      <c r="G20" s="180"/>
      <c r="H20" s="181" t="s">
        <v>65</v>
      </c>
      <c r="I20" s="114"/>
      <c r="J20" s="624"/>
      <c r="K20" s="243"/>
      <c r="L20" s="243"/>
      <c r="M20" s="188"/>
      <c r="N20" s="89"/>
      <c r="O20" s="385" t="str">
        <f>IF(O$17="","",HLOOKUP(O$17,woningen_gebouwen_gegevens,ROWS(bibliotheek!$E$20:$E$22),FALSE))</f>
        <v/>
      </c>
      <c r="P20" s="385" t="str">
        <f>IF(P$17="","",HLOOKUP(P$17,woningen_gebouwen_gegevens,ROWS(bibliotheek!$E$20:$E$22),FALSE))</f>
        <v/>
      </c>
      <c r="Q20" s="385" t="str">
        <f>IF(Q$17="","",HLOOKUP(Q$17,woningen_gebouwen_gegevens,ROWS(bibliotheek!$E$20:$E$22),FALSE))</f>
        <v/>
      </c>
      <c r="R20" s="385" t="str">
        <f>IF(R$17="","",HLOOKUP(R$17,woningen_gebouwen_gegevens,ROWS(bibliotheek!$E$20:$E$22),FALSE))</f>
        <v/>
      </c>
      <c r="S20" s="385" t="str">
        <f>IF(S$17="","",HLOOKUP(S$17,woningen_gebouwen_gegevens,ROWS(bibliotheek!$E$20:$E$22),FALSE))</f>
        <v/>
      </c>
      <c r="T20" s="385" t="str">
        <f>IF(T$17="","",HLOOKUP(T$17,woningen_gebouwen_gegevens,ROWS(bibliotheek!$E$20:$E$22),FALSE))</f>
        <v/>
      </c>
      <c r="U20" s="385" t="str">
        <f>IF(U$17="","",HLOOKUP(U$17,woningen_gebouwen_gegevens,ROWS(bibliotheek!$E$20:$E$22),FALSE))</f>
        <v/>
      </c>
      <c r="V20" s="385" t="str">
        <f>IF(V$17="","",HLOOKUP(V$17,woningen_gebouwen_gegevens,ROWS(bibliotheek!$E$20:$E$22),FALSE))</f>
        <v/>
      </c>
      <c r="W20" s="385" t="str">
        <f>IF(W$17="","",HLOOKUP(W$17,woningen_gebouwen_gegevens,ROWS(bibliotheek!$E$20:$E$22),FALSE))</f>
        <v/>
      </c>
      <c r="X20" s="90"/>
      <c r="Y20" s="188"/>
      <c r="Z20" s="89"/>
      <c r="AA20" s="385" t="str">
        <f>IF(AA$17="","",HLOOKUP(AA$17,woningen_gebouwen_gegevens,ROWS(bibliotheek!$E$20:$E$22),FALSE))</f>
        <v/>
      </c>
      <c r="AB20" s="385" t="str">
        <f>IF(AB$17="","",HLOOKUP(AB$17,woningen_gebouwen_gegevens,ROWS(bibliotheek!$E$20:$E$22),FALSE))</f>
        <v/>
      </c>
      <c r="AC20" s="385" t="str">
        <f>IF(AC$17="","",HLOOKUP(AC$17,woningen_gebouwen_gegevens,ROWS(bibliotheek!$E$20:$E$22),FALSE))</f>
        <v/>
      </c>
      <c r="AD20" s="385" t="str">
        <f>IF(AD$17="","",HLOOKUP(AD$17,woningen_gebouwen_gegevens,ROWS(bibliotheek!$E$20:$E$22),FALSE))</f>
        <v/>
      </c>
      <c r="AE20" s="385" t="str">
        <f>IF(AE$17="","",HLOOKUP(AE$17,woningen_gebouwen_gegevens,ROWS(bibliotheek!$E$20:$E$22),FALSE))</f>
        <v/>
      </c>
      <c r="AF20" s="385" t="str">
        <f>IF(AF$17="","",HLOOKUP(AF$17,woningen_gebouwen_gegevens,ROWS(bibliotheek!$E$20:$E$22),FALSE))</f>
        <v/>
      </c>
      <c r="AG20" s="385" t="str">
        <f>IF(AG$17="","",HLOOKUP(AG$17,woningen_gebouwen_gegevens,ROWS(bibliotheek!$E$20:$E$22),FALSE))</f>
        <v/>
      </c>
      <c r="AH20" s="385" t="str">
        <f>IF(AH$17="","",HLOOKUP(AH$17,woningen_gebouwen_gegevens,ROWS(bibliotheek!$E$20:$E$22),FALSE))</f>
        <v/>
      </c>
      <c r="AI20" s="385" t="str">
        <f>IF(AI$17="","",HLOOKUP(AI$17,woningen_gebouwen_gegevens,ROWS(bibliotheek!$E$20:$E$22),FALSE))</f>
        <v/>
      </c>
      <c r="AJ20" s="90"/>
      <c r="AK20" s="188"/>
      <c r="AL20" s="89"/>
      <c r="AM20" s="385" t="str">
        <f>IF(AM$17="","",HLOOKUP(AM$17,woningen_gebouwen_gegevens,ROWS(bibliotheek!$E$20:$E$22),FALSE))</f>
        <v/>
      </c>
      <c r="AN20" s="385" t="str">
        <f>IF(AN$17="","",HLOOKUP(AN$17,woningen_gebouwen_gegevens,ROWS(bibliotheek!$E$20:$E$22),FALSE))</f>
        <v/>
      </c>
      <c r="AO20" s="385" t="str">
        <f>IF(AO$17="","",HLOOKUP(AO$17,woningen_gebouwen_gegevens,ROWS(bibliotheek!$E$20:$E$22),FALSE))</f>
        <v/>
      </c>
      <c r="AP20" s="385" t="str">
        <f>IF(AP$17="","",HLOOKUP(AP$17,woningen_gebouwen_gegevens,ROWS(bibliotheek!$E$20:$E$22),FALSE))</f>
        <v/>
      </c>
      <c r="AQ20" s="385" t="str">
        <f>IF(AQ$17="","",HLOOKUP(AQ$17,woningen_gebouwen_gegevens,ROWS(bibliotheek!$E$20:$E$22),FALSE))</f>
        <v/>
      </c>
      <c r="AR20" s="385" t="str">
        <f>IF(AR$17="","",HLOOKUP(AR$17,woningen_gebouwen_gegevens,ROWS(bibliotheek!$E$20:$E$22),FALSE))</f>
        <v/>
      </c>
      <c r="AS20" s="385" t="str">
        <f>IF(AS$17="","",HLOOKUP(AS$17,woningen_gebouwen_gegevens,ROWS(bibliotheek!$E$20:$E$22),FALSE))</f>
        <v/>
      </c>
      <c r="AT20" s="385" t="str">
        <f>IF(AT$17="","",HLOOKUP(AT$17,woningen_gebouwen_gegevens,ROWS(bibliotheek!$E$20:$E$22),FALSE))</f>
        <v/>
      </c>
      <c r="AU20" s="385" t="str">
        <f>IF(AU$17="","",HLOOKUP(AU$17,woningen_gebouwen_gegevens,ROWS(bibliotheek!$E$20:$E$22),FALSE))</f>
        <v/>
      </c>
      <c r="AV20" s="90"/>
      <c r="AW20" s="188"/>
      <c r="AX20" s="89"/>
      <c r="AY20" s="385" t="str">
        <f>IF(AY$17="","",HLOOKUP(AY$17,woningen_gebouwen_gegevens,ROWS(bibliotheek!$E$20:$E$22),FALSE))</f>
        <v/>
      </c>
      <c r="AZ20" s="385" t="str">
        <f>IF(AZ$17="","",HLOOKUP(AZ$17,woningen_gebouwen_gegevens,ROWS(bibliotheek!$E$20:$E$22),FALSE))</f>
        <v/>
      </c>
      <c r="BA20" s="385" t="str">
        <f>IF(BA$17="","",HLOOKUP(BA$17,woningen_gebouwen_gegevens,ROWS(bibliotheek!$E$20:$E$22),FALSE))</f>
        <v/>
      </c>
      <c r="BB20" s="385" t="str">
        <f>IF(BB$17="","",HLOOKUP(BB$17,woningen_gebouwen_gegevens,ROWS(bibliotheek!$E$20:$E$22),FALSE))</f>
        <v/>
      </c>
      <c r="BC20" s="385" t="str">
        <f>IF(BC$17="","",HLOOKUP(BC$17,woningen_gebouwen_gegevens,ROWS(bibliotheek!$E$20:$E$22),FALSE))</f>
        <v/>
      </c>
      <c r="BD20" s="385" t="str">
        <f>IF(BD$17="","",HLOOKUP(BD$17,woningen_gebouwen_gegevens,ROWS(bibliotheek!$E$20:$E$22),FALSE))</f>
        <v/>
      </c>
      <c r="BE20" s="385" t="str">
        <f>IF(BE$17="","",HLOOKUP(BE$17,woningen_gebouwen_gegevens,ROWS(bibliotheek!$E$20:$E$22),FALSE))</f>
        <v/>
      </c>
      <c r="BF20" s="385" t="str">
        <f>IF(BF$17="","",HLOOKUP(BF$17,woningen_gebouwen_gegevens,ROWS(bibliotheek!$E$20:$E$22),FALSE))</f>
        <v/>
      </c>
      <c r="BG20" s="385" t="str">
        <f>IF(BG$17="","",HLOOKUP(BG$17,woningen_gebouwen_gegevens,ROWS(bibliotheek!$E$20:$E$22),FALSE))</f>
        <v/>
      </c>
      <c r="BH20" s="214"/>
    </row>
    <row r="21" spans="1:60">
      <c r="A21" s="1040"/>
      <c r="B21" s="1106" t="s">
        <v>111</v>
      </c>
      <c r="C21" s="1106" t="s">
        <v>96</v>
      </c>
      <c r="D21" s="638"/>
      <c r="E21" s="942" t="s">
        <v>117</v>
      </c>
      <c r="F21" s="942"/>
      <c r="G21" s="942"/>
      <c r="H21" s="942"/>
      <c r="I21" s="129"/>
      <c r="J21" s="943"/>
      <c r="K21" s="126"/>
      <c r="L21" s="126"/>
      <c r="M21" s="944"/>
      <c r="N21" s="193"/>
      <c r="O21" s="258" t="str">
        <f>O$17</f>
        <v/>
      </c>
      <c r="P21" s="258" t="str">
        <f t="shared" ref="P21:W21" si="12">P$17</f>
        <v/>
      </c>
      <c r="Q21" s="258" t="str">
        <f t="shared" si="12"/>
        <v/>
      </c>
      <c r="R21" s="258" t="str">
        <f t="shared" si="12"/>
        <v/>
      </c>
      <c r="S21" s="258" t="str">
        <f t="shared" si="12"/>
        <v/>
      </c>
      <c r="T21" s="258" t="str">
        <f t="shared" si="12"/>
        <v/>
      </c>
      <c r="U21" s="258" t="str">
        <f t="shared" si="12"/>
        <v/>
      </c>
      <c r="V21" s="258" t="str">
        <f t="shared" si="12"/>
        <v/>
      </c>
      <c r="W21" s="258" t="str">
        <f t="shared" si="12"/>
        <v/>
      </c>
      <c r="X21" s="195"/>
      <c r="Y21" s="944"/>
      <c r="Z21" s="195"/>
      <c r="AA21" s="258" t="str">
        <f>IF('woningen|utiliteit'!X22="","",'woningen|utiliteit'!X22)</f>
        <v/>
      </c>
      <c r="AB21" s="258" t="str">
        <f>IF('woningen|utiliteit'!Y22="","",'woningen|utiliteit'!Y22)</f>
        <v/>
      </c>
      <c r="AC21" s="258" t="str">
        <f>IF('woningen|utiliteit'!Z22="","",'woningen|utiliteit'!Z22)</f>
        <v/>
      </c>
      <c r="AD21" s="258" t="str">
        <f>IF('woningen|utiliteit'!AA22="","",'woningen|utiliteit'!AA22)</f>
        <v/>
      </c>
      <c r="AE21" s="258" t="str">
        <f>IF('woningen|utiliteit'!AB22="","",'woningen|utiliteit'!AB22)</f>
        <v/>
      </c>
      <c r="AF21" s="258" t="str">
        <f>IF('woningen|utiliteit'!AC22="","",'woningen|utiliteit'!AC22)</f>
        <v/>
      </c>
      <c r="AG21" s="258" t="str">
        <f>IF('woningen|utiliteit'!AD22="","",'woningen|utiliteit'!AD22)</f>
        <v/>
      </c>
      <c r="AH21" s="258" t="str">
        <f>IF('woningen|utiliteit'!AE22="","",'woningen|utiliteit'!AE22)</f>
        <v/>
      </c>
      <c r="AI21" s="258" t="str">
        <f>IF('woningen|utiliteit'!AF22="","",'woningen|utiliteit'!AF22)</f>
        <v/>
      </c>
      <c r="AJ21" s="195"/>
      <c r="AK21" s="944"/>
      <c r="AL21" s="195"/>
      <c r="AM21" s="258" t="str">
        <f>IF('woningen|utiliteit'!AJ22="","",'woningen|utiliteit'!AJ22)</f>
        <v/>
      </c>
      <c r="AN21" s="258" t="str">
        <f>IF('woningen|utiliteit'!AK22="","",'woningen|utiliteit'!AK22)</f>
        <v/>
      </c>
      <c r="AO21" s="258" t="str">
        <f>IF('woningen|utiliteit'!AL22="","",'woningen|utiliteit'!AL22)</f>
        <v/>
      </c>
      <c r="AP21" s="258" t="str">
        <f>IF('woningen|utiliteit'!AM22="","",'woningen|utiliteit'!AM22)</f>
        <v/>
      </c>
      <c r="AQ21" s="258" t="str">
        <f>IF('woningen|utiliteit'!AN22="","",'woningen|utiliteit'!AN22)</f>
        <v/>
      </c>
      <c r="AR21" s="258" t="str">
        <f>IF('woningen|utiliteit'!AO22="","",'woningen|utiliteit'!AO22)</f>
        <v/>
      </c>
      <c r="AS21" s="258" t="str">
        <f>IF('woningen|utiliteit'!AP22="","",'woningen|utiliteit'!AP22)</f>
        <v/>
      </c>
      <c r="AT21" s="258" t="str">
        <f>IF('woningen|utiliteit'!AQ22="","",'woningen|utiliteit'!AQ22)</f>
        <v/>
      </c>
      <c r="AU21" s="258" t="str">
        <f>IF('woningen|utiliteit'!AR22="","",'woningen|utiliteit'!AR22)</f>
        <v/>
      </c>
      <c r="AV21" s="195"/>
      <c r="AW21" s="944"/>
      <c r="AX21" s="195"/>
      <c r="AY21" s="258" t="str">
        <f>IF('woningen|utiliteit'!AV22="","",'woningen|utiliteit'!AV22)</f>
        <v/>
      </c>
      <c r="AZ21" s="258" t="str">
        <f>IF('woningen|utiliteit'!AW22="","",'woningen|utiliteit'!AW22)</f>
        <v/>
      </c>
      <c r="BA21" s="258" t="str">
        <f>IF('woningen|utiliteit'!AX22="","",'woningen|utiliteit'!AX22)</f>
        <v/>
      </c>
      <c r="BB21" s="258" t="str">
        <f>IF('woningen|utiliteit'!AY22="","",'woningen|utiliteit'!AY22)</f>
        <v/>
      </c>
      <c r="BC21" s="258" t="str">
        <f>IF('woningen|utiliteit'!AZ22="","",'woningen|utiliteit'!AZ22)</f>
        <v/>
      </c>
      <c r="BD21" s="258" t="str">
        <f>IF('woningen|utiliteit'!BA22="","",'woningen|utiliteit'!BA22)</f>
        <v/>
      </c>
      <c r="BE21" s="258" t="str">
        <f>IF('woningen|utiliteit'!BB22="","",'woningen|utiliteit'!BB22)</f>
        <v/>
      </c>
      <c r="BF21" s="258" t="str">
        <f>IF('woningen|utiliteit'!BC22="","",'woningen|utiliteit'!BC22)</f>
        <v/>
      </c>
      <c r="BG21" s="258" t="str">
        <f>IF('woningen|utiliteit'!BD22="","",'woningen|utiliteit'!BD22)</f>
        <v/>
      </c>
      <c r="BH21" s="36"/>
    </row>
    <row r="22" spans="1:60">
      <c r="A22" s="1040"/>
      <c r="B22" s="1106" t="s">
        <v>111</v>
      </c>
      <c r="C22" s="1107" t="s">
        <v>118</v>
      </c>
      <c r="D22" s="638"/>
      <c r="E22" s="254" t="s">
        <v>119</v>
      </c>
      <c r="F22" s="254"/>
      <c r="G22" s="254"/>
      <c r="H22" s="298" t="s">
        <v>120</v>
      </c>
      <c r="I22" s="116"/>
      <c r="J22" s="185">
        <f>M22+Y22+AK22+AW22</f>
        <v>0</v>
      </c>
      <c r="K22" s="1051"/>
      <c r="L22" s="1051"/>
      <c r="M22" s="400">
        <f>SUM(N22:X22)</f>
        <v>0</v>
      </c>
      <c r="N22" s="91"/>
      <c r="O22" s="538">
        <f>IF('woningen|utiliteit'!L18="",0,IF(O23&lt;&gt;"",O23,'woningen|utiliteit'!L21))</f>
        <v>0</v>
      </c>
      <c r="P22" s="538">
        <f>IF('woningen|utiliteit'!M18="",0,IF(P23&lt;&gt;"",P23,'woningen|utiliteit'!M21))</f>
        <v>0</v>
      </c>
      <c r="Q22" s="539">
        <f>IF('woningen|utiliteit'!N18="",0,IF(Q23&lt;&gt;"",Q23,'woningen|utiliteit'!N21))</f>
        <v>0</v>
      </c>
      <c r="R22" s="539">
        <f>IF('woningen|utiliteit'!O18="",0,IF(R23&lt;&gt;"",R23,'woningen|utiliteit'!O21))</f>
        <v>0</v>
      </c>
      <c r="S22" s="539">
        <f>IF('woningen|utiliteit'!P18="",0,IF(S23&lt;&gt;"",S23,'woningen|utiliteit'!P21))</f>
        <v>0</v>
      </c>
      <c r="T22" s="539">
        <f>IF('woningen|utiliteit'!Q18="",0,IF(T23&lt;&gt;"",T23,'woningen|utiliteit'!Q21))</f>
        <v>0</v>
      </c>
      <c r="U22" s="539">
        <f>IF('woningen|utiliteit'!R18="",0,IF(U23&lt;&gt;"",U23,'woningen|utiliteit'!R21))</f>
        <v>0</v>
      </c>
      <c r="V22" s="539">
        <f>IF('woningen|utiliteit'!S18="",0,IF(V23&lt;&gt;"",V23,'woningen|utiliteit'!S21))</f>
        <v>0</v>
      </c>
      <c r="W22" s="538">
        <f>IF('woningen|utiliteit'!T18="",0,IF(W23&lt;&gt;"",W23,'woningen|utiliteit'!T21))</f>
        <v>0</v>
      </c>
      <c r="X22" s="92"/>
      <c r="Y22" s="189">
        <f>SUM(Z22:AJ22)</f>
        <v>0</v>
      </c>
      <c r="Z22" s="91"/>
      <c r="AA22" s="538">
        <f>IF('woningen|utiliteit'!L34="",0,IF(AA23&lt;&gt;"",AA23,'woningen|utiliteit'!L37))</f>
        <v>0</v>
      </c>
      <c r="AB22" s="538">
        <f>IF('woningen|utiliteit'!M34="",0,IF(AB23&lt;&gt;"",AB23,'woningen|utiliteit'!M37))</f>
        <v>0</v>
      </c>
      <c r="AC22" s="539">
        <f>IF('woningen|utiliteit'!N34="",0,IF(AC23&lt;&gt;"",AC23,'woningen|utiliteit'!N37))</f>
        <v>0</v>
      </c>
      <c r="AD22" s="539">
        <f>IF('woningen|utiliteit'!O34="",0,IF(AD23&lt;&gt;"",AD23,'woningen|utiliteit'!O37))</f>
        <v>0</v>
      </c>
      <c r="AE22" s="539">
        <f>IF('woningen|utiliteit'!P34="",0,IF(AE23&lt;&gt;"",AE23,'woningen|utiliteit'!P37))</f>
        <v>0</v>
      </c>
      <c r="AF22" s="539">
        <f>IF('woningen|utiliteit'!Q34="",0,IF(AF23&lt;&gt;"",AF23,'woningen|utiliteit'!Q37))</f>
        <v>0</v>
      </c>
      <c r="AG22" s="539">
        <f>IF('woningen|utiliteit'!R34="",0,IF(AG23&lt;&gt;"",AG23,'woningen|utiliteit'!R37))</f>
        <v>0</v>
      </c>
      <c r="AH22" s="539">
        <f>IF('woningen|utiliteit'!S34="",0,IF(AH23&lt;&gt;"",AH23,'woningen|utiliteit'!S37))</f>
        <v>0</v>
      </c>
      <c r="AI22" s="538">
        <f>IF('woningen|utiliteit'!T34="",0,IF(AI23&lt;&gt;"",AI23,'woningen|utiliteit'!T37))</f>
        <v>0</v>
      </c>
      <c r="AJ22" s="92"/>
      <c r="AK22" s="189">
        <f>SUM(AL22:AV22)</f>
        <v>0</v>
      </c>
      <c r="AL22" s="91"/>
      <c r="AM22" s="538">
        <f>IF('woningen|utiliteit'!L50="",0,IF(AM23&lt;&gt;"",AM23,'woningen|utiliteit'!L53))</f>
        <v>0</v>
      </c>
      <c r="AN22" s="538">
        <f>IF('woningen|utiliteit'!M50="",0,IF(AN23&lt;&gt;"",AN23,'woningen|utiliteit'!M53))</f>
        <v>0</v>
      </c>
      <c r="AO22" s="539">
        <f>IF('woningen|utiliteit'!N50="",0,IF(AO23&lt;&gt;"",AO23,'woningen|utiliteit'!N53))</f>
        <v>0</v>
      </c>
      <c r="AP22" s="539">
        <f>IF('woningen|utiliteit'!O50="",0,IF(AP23&lt;&gt;"",AP23,'woningen|utiliteit'!O53))</f>
        <v>0</v>
      </c>
      <c r="AQ22" s="539">
        <f>IF('woningen|utiliteit'!P50="",0,IF(AQ23&lt;&gt;"",AQ23,'woningen|utiliteit'!P53))</f>
        <v>0</v>
      </c>
      <c r="AR22" s="539">
        <f>IF('woningen|utiliteit'!Q50="",0,IF(AR23&lt;&gt;"",AR23,'woningen|utiliteit'!Q53))</f>
        <v>0</v>
      </c>
      <c r="AS22" s="539">
        <f>IF('woningen|utiliteit'!R50="",0,IF(AS23&lt;&gt;"",AS23,'woningen|utiliteit'!R53))</f>
        <v>0</v>
      </c>
      <c r="AT22" s="539">
        <f>IF('woningen|utiliteit'!S50="",0,IF(AT23&lt;&gt;"",AT23,'woningen|utiliteit'!S53))</f>
        <v>0</v>
      </c>
      <c r="AU22" s="538">
        <f>IF('woningen|utiliteit'!T50="",0,IF(AU23&lt;&gt;"",AU23,'woningen|utiliteit'!T53))</f>
        <v>0</v>
      </c>
      <c r="AV22" s="92"/>
      <c r="AW22" s="189">
        <f>SUM(AX22:BH22)</f>
        <v>0</v>
      </c>
      <c r="AX22" s="91"/>
      <c r="AY22" s="538">
        <f>IF('woningen|utiliteit'!L66="",0,IF(AY23&lt;&gt;"",AY23,'woningen|utiliteit'!L69))</f>
        <v>0</v>
      </c>
      <c r="AZ22" s="538">
        <f>IF('woningen|utiliteit'!M66="",0,IF(AZ23&lt;&gt;"",AZ23,'woningen|utiliteit'!M69))</f>
        <v>0</v>
      </c>
      <c r="BA22" s="539">
        <f>IF('woningen|utiliteit'!N66="",0,IF(BA23&lt;&gt;"",BA23,'woningen|utiliteit'!N69))</f>
        <v>0</v>
      </c>
      <c r="BB22" s="539">
        <f>IF('woningen|utiliteit'!O66="",0,IF(BB23&lt;&gt;"",BB23,'woningen|utiliteit'!O69))</f>
        <v>0</v>
      </c>
      <c r="BC22" s="539">
        <f>IF('woningen|utiliteit'!P66="",0,IF(BC23&lt;&gt;"",BC23,'woningen|utiliteit'!P69))</f>
        <v>0</v>
      </c>
      <c r="BD22" s="539">
        <f>IF('woningen|utiliteit'!Q66="",0,IF(BD23&lt;&gt;"",BD23,'woningen|utiliteit'!Q69))</f>
        <v>0</v>
      </c>
      <c r="BE22" s="539">
        <f>IF('woningen|utiliteit'!R66="",0,IF(BE23&lt;&gt;"",BE23,'woningen|utiliteit'!R69))</f>
        <v>0</v>
      </c>
      <c r="BF22" s="539">
        <f>IF('woningen|utiliteit'!S66="",0,IF(BF23&lt;&gt;"",BF23,'woningen|utiliteit'!S69))</f>
        <v>0</v>
      </c>
      <c r="BG22" s="538">
        <f>IF('woningen|utiliteit'!T66="",0,IF(BG23&lt;&gt;"",BG23,'woningen|utiliteit'!T69))</f>
        <v>0</v>
      </c>
      <c r="BH22" s="213"/>
    </row>
    <row r="23" spans="1:60">
      <c r="A23" s="1040"/>
      <c r="B23" s="1106" t="s">
        <v>111</v>
      </c>
      <c r="C23" s="1107" t="s">
        <v>118</v>
      </c>
      <c r="D23" s="638"/>
      <c r="E23" s="1218" t="s">
        <v>77</v>
      </c>
      <c r="F23" s="255"/>
      <c r="G23" s="255"/>
      <c r="H23" s="297"/>
      <c r="I23" s="86"/>
      <c r="J23" s="299"/>
      <c r="K23" s="93"/>
      <c r="L23" s="93"/>
      <c r="M23" s="398"/>
      <c r="N23" s="94"/>
      <c r="O23" s="263"/>
      <c r="P23" s="263"/>
      <c r="Q23" s="263"/>
      <c r="R23" s="263"/>
      <c r="S23" s="263"/>
      <c r="T23" s="263"/>
      <c r="U23" s="263"/>
      <c r="V23" s="263"/>
      <c r="W23" s="263"/>
      <c r="X23" s="87"/>
      <c r="Y23" s="197"/>
      <c r="Z23" s="94"/>
      <c r="AA23" s="263"/>
      <c r="AB23" s="263"/>
      <c r="AC23" s="263"/>
      <c r="AD23" s="263"/>
      <c r="AE23" s="263"/>
      <c r="AF23" s="263"/>
      <c r="AG23" s="263"/>
      <c r="AH23" s="263"/>
      <c r="AI23" s="263"/>
      <c r="AJ23" s="87"/>
      <c r="AK23" s="197"/>
      <c r="AL23" s="94"/>
      <c r="AM23" s="263"/>
      <c r="AN23" s="263"/>
      <c r="AO23" s="263"/>
      <c r="AP23" s="263"/>
      <c r="AQ23" s="263"/>
      <c r="AR23" s="263"/>
      <c r="AS23" s="263"/>
      <c r="AT23" s="263"/>
      <c r="AU23" s="263"/>
      <c r="AV23" s="87"/>
      <c r="AW23" s="197"/>
      <c r="AX23" s="94"/>
      <c r="AY23" s="263"/>
      <c r="AZ23" s="263"/>
      <c r="BA23" s="263"/>
      <c r="BB23" s="263"/>
      <c r="BC23" s="263"/>
      <c r="BD23" s="263"/>
      <c r="BE23" s="263"/>
      <c r="BF23" s="263"/>
      <c r="BG23" s="263"/>
      <c r="BH23" s="174"/>
    </row>
    <row r="24" spans="1:60">
      <c r="A24" s="1040"/>
      <c r="B24" s="1106" t="s">
        <v>111</v>
      </c>
      <c r="C24" s="1107" t="s">
        <v>104</v>
      </c>
      <c r="D24" s="638"/>
      <c r="E24" s="254" t="s">
        <v>121</v>
      </c>
      <c r="F24" s="180"/>
      <c r="G24" s="180"/>
      <c r="H24" s="150" t="s">
        <v>72</v>
      </c>
      <c r="I24" s="95"/>
      <c r="J24" s="185">
        <f>M24+Y24+AK24+AW24</f>
        <v>0</v>
      </c>
      <c r="K24" s="1051"/>
      <c r="L24" s="1051"/>
      <c r="M24" s="206">
        <f>SUM(N24:X24)</f>
        <v>0</v>
      </c>
      <c r="N24" s="96"/>
      <c r="O24" s="540">
        <f t="shared" ref="O24:W24" si="13">IF(O$19=woning,O$22,0)</f>
        <v>0</v>
      </c>
      <c r="P24" s="540">
        <f t="shared" si="13"/>
        <v>0</v>
      </c>
      <c r="Q24" s="540">
        <f t="shared" si="13"/>
        <v>0</v>
      </c>
      <c r="R24" s="540">
        <f t="shared" si="13"/>
        <v>0</v>
      </c>
      <c r="S24" s="540">
        <f t="shared" si="13"/>
        <v>0</v>
      </c>
      <c r="T24" s="540">
        <f t="shared" si="13"/>
        <v>0</v>
      </c>
      <c r="U24" s="540">
        <f t="shared" si="13"/>
        <v>0</v>
      </c>
      <c r="V24" s="540">
        <f t="shared" si="13"/>
        <v>0</v>
      </c>
      <c r="W24" s="540">
        <f t="shared" si="13"/>
        <v>0</v>
      </c>
      <c r="X24" s="97"/>
      <c r="Y24" s="400">
        <f>SUM(Z24:AJ24)</f>
        <v>0</v>
      </c>
      <c r="Z24" s="96"/>
      <c r="AA24" s="540">
        <f t="shared" ref="AA24:AI24" si="14">IF(AA$19=woning,AA$22,0)</f>
        <v>0</v>
      </c>
      <c r="AB24" s="540">
        <f t="shared" si="14"/>
        <v>0</v>
      </c>
      <c r="AC24" s="540">
        <f t="shared" si="14"/>
        <v>0</v>
      </c>
      <c r="AD24" s="540">
        <f t="shared" si="14"/>
        <v>0</v>
      </c>
      <c r="AE24" s="540">
        <f t="shared" si="14"/>
        <v>0</v>
      </c>
      <c r="AF24" s="540">
        <f t="shared" si="14"/>
        <v>0</v>
      </c>
      <c r="AG24" s="540">
        <f t="shared" si="14"/>
        <v>0</v>
      </c>
      <c r="AH24" s="540">
        <f t="shared" si="14"/>
        <v>0</v>
      </c>
      <c r="AI24" s="540">
        <f t="shared" si="14"/>
        <v>0</v>
      </c>
      <c r="AJ24" s="97"/>
      <c r="AK24" s="189">
        <f>SUM(AL24:AV24)</f>
        <v>0</v>
      </c>
      <c r="AL24" s="96"/>
      <c r="AM24" s="540">
        <f>IF(AM$19=woning,AM$22,0)</f>
        <v>0</v>
      </c>
      <c r="AN24" s="540">
        <f t="shared" ref="AN24:AU24" si="15">IF(AN$19=woning,AN$22,0)</f>
        <v>0</v>
      </c>
      <c r="AO24" s="540">
        <f t="shared" si="15"/>
        <v>0</v>
      </c>
      <c r="AP24" s="540">
        <f t="shared" si="15"/>
        <v>0</v>
      </c>
      <c r="AQ24" s="540">
        <f t="shared" si="15"/>
        <v>0</v>
      </c>
      <c r="AR24" s="540">
        <f t="shared" si="15"/>
        <v>0</v>
      </c>
      <c r="AS24" s="540">
        <f t="shared" si="15"/>
        <v>0</v>
      </c>
      <c r="AT24" s="540">
        <f t="shared" si="15"/>
        <v>0</v>
      </c>
      <c r="AU24" s="540">
        <f t="shared" si="15"/>
        <v>0</v>
      </c>
      <c r="AV24" s="97"/>
      <c r="AW24" s="400">
        <f>SUM(AX24:BH24)</f>
        <v>0</v>
      </c>
      <c r="AX24" s="96"/>
      <c r="AY24" s="540">
        <f t="shared" ref="AY24:BG24" si="16">IF(AY$19=woning,AY$22,0)</f>
        <v>0</v>
      </c>
      <c r="AZ24" s="540">
        <f t="shared" si="16"/>
        <v>0</v>
      </c>
      <c r="BA24" s="540">
        <f t="shared" si="16"/>
        <v>0</v>
      </c>
      <c r="BB24" s="540">
        <f t="shared" si="16"/>
        <v>0</v>
      </c>
      <c r="BC24" s="540">
        <f t="shared" si="16"/>
        <v>0</v>
      </c>
      <c r="BD24" s="540">
        <f t="shared" si="16"/>
        <v>0</v>
      </c>
      <c r="BE24" s="540">
        <f t="shared" si="16"/>
        <v>0</v>
      </c>
      <c r="BF24" s="540">
        <f t="shared" si="16"/>
        <v>0</v>
      </c>
      <c r="BG24" s="540">
        <f t="shared" si="16"/>
        <v>0</v>
      </c>
      <c r="BH24" s="174"/>
    </row>
    <row r="25" spans="1:60">
      <c r="A25" s="1040"/>
      <c r="B25" s="1106" t="s">
        <v>111</v>
      </c>
      <c r="C25" s="1107" t="s">
        <v>104</v>
      </c>
      <c r="D25" s="638"/>
      <c r="E25" s="254" t="s">
        <v>122</v>
      </c>
      <c r="F25" s="180"/>
      <c r="G25" s="180"/>
      <c r="H25" s="150" t="s">
        <v>72</v>
      </c>
      <c r="I25" s="95"/>
      <c r="J25" s="185">
        <f>M25+Y25+AK25+AW25</f>
        <v>0</v>
      </c>
      <c r="K25" s="1051"/>
      <c r="L25" s="1051"/>
      <c r="M25" s="206">
        <f>SUM(N25:X25)</f>
        <v>0</v>
      </c>
      <c r="N25" s="96"/>
      <c r="O25" s="540">
        <f t="shared" ref="O25:W25" si="17">IF(O$19=woongebouw,O$22,0)</f>
        <v>0</v>
      </c>
      <c r="P25" s="540">
        <f t="shared" si="17"/>
        <v>0</v>
      </c>
      <c r="Q25" s="540">
        <f t="shared" si="17"/>
        <v>0</v>
      </c>
      <c r="R25" s="540">
        <f t="shared" si="17"/>
        <v>0</v>
      </c>
      <c r="S25" s="540">
        <f t="shared" si="17"/>
        <v>0</v>
      </c>
      <c r="T25" s="540">
        <f t="shared" si="17"/>
        <v>0</v>
      </c>
      <c r="U25" s="540">
        <f t="shared" si="17"/>
        <v>0</v>
      </c>
      <c r="V25" s="540">
        <f t="shared" si="17"/>
        <v>0</v>
      </c>
      <c r="W25" s="540">
        <f t="shared" si="17"/>
        <v>0</v>
      </c>
      <c r="X25" s="97"/>
      <c r="Y25" s="400">
        <f>SUM(Z25:AJ25)</f>
        <v>0</v>
      </c>
      <c r="Z25" s="96"/>
      <c r="AA25" s="540">
        <f t="shared" ref="AA25:AI25" si="18">IF(AA$19=woongebouw,AA$22,0)</f>
        <v>0</v>
      </c>
      <c r="AB25" s="540">
        <f t="shared" si="18"/>
        <v>0</v>
      </c>
      <c r="AC25" s="540">
        <f t="shared" si="18"/>
        <v>0</v>
      </c>
      <c r="AD25" s="540">
        <f t="shared" si="18"/>
        <v>0</v>
      </c>
      <c r="AE25" s="540">
        <f t="shared" si="18"/>
        <v>0</v>
      </c>
      <c r="AF25" s="540">
        <f t="shared" si="18"/>
        <v>0</v>
      </c>
      <c r="AG25" s="540">
        <f t="shared" si="18"/>
        <v>0</v>
      </c>
      <c r="AH25" s="540">
        <f t="shared" si="18"/>
        <v>0</v>
      </c>
      <c r="AI25" s="540">
        <f t="shared" si="18"/>
        <v>0</v>
      </c>
      <c r="AJ25" s="97"/>
      <c r="AK25" s="189">
        <f>SUM(AL25:AV25)</f>
        <v>0</v>
      </c>
      <c r="AL25" s="96"/>
      <c r="AM25" s="540">
        <f>IF(AM$19=woongebouw,AM$22,0)</f>
        <v>0</v>
      </c>
      <c r="AN25" s="540">
        <f t="shared" ref="AN25:AU25" si="19">IF(AN$19=woongebouw,AN$22,0)</f>
        <v>0</v>
      </c>
      <c r="AO25" s="540">
        <f t="shared" si="19"/>
        <v>0</v>
      </c>
      <c r="AP25" s="540">
        <f t="shared" si="19"/>
        <v>0</v>
      </c>
      <c r="AQ25" s="540">
        <f t="shared" si="19"/>
        <v>0</v>
      </c>
      <c r="AR25" s="540">
        <f t="shared" si="19"/>
        <v>0</v>
      </c>
      <c r="AS25" s="540">
        <f t="shared" si="19"/>
        <v>0</v>
      </c>
      <c r="AT25" s="540">
        <f t="shared" si="19"/>
        <v>0</v>
      </c>
      <c r="AU25" s="540">
        <f t="shared" si="19"/>
        <v>0</v>
      </c>
      <c r="AV25" s="97"/>
      <c r="AW25" s="400">
        <f>SUM(AX25:BH25)</f>
        <v>0</v>
      </c>
      <c r="AX25" s="96"/>
      <c r="AY25" s="540">
        <f t="shared" ref="AY25:BG25" si="20">IF(AY$19=woongebouw,AY$22,0)</f>
        <v>0</v>
      </c>
      <c r="AZ25" s="540">
        <f t="shared" si="20"/>
        <v>0</v>
      </c>
      <c r="BA25" s="540">
        <f t="shared" si="20"/>
        <v>0</v>
      </c>
      <c r="BB25" s="540">
        <f t="shared" si="20"/>
        <v>0</v>
      </c>
      <c r="BC25" s="540">
        <f t="shared" si="20"/>
        <v>0</v>
      </c>
      <c r="BD25" s="540">
        <f t="shared" si="20"/>
        <v>0</v>
      </c>
      <c r="BE25" s="540">
        <f t="shared" si="20"/>
        <v>0</v>
      </c>
      <c r="BF25" s="540">
        <f t="shared" si="20"/>
        <v>0</v>
      </c>
      <c r="BG25" s="540">
        <f t="shared" si="20"/>
        <v>0</v>
      </c>
      <c r="BH25" s="174"/>
    </row>
    <row r="26" spans="1:60">
      <c r="A26" s="1040"/>
      <c r="B26" s="1106" t="s">
        <v>111</v>
      </c>
      <c r="C26" s="1107" t="s">
        <v>104</v>
      </c>
      <c r="D26" s="638"/>
      <c r="E26" s="254" t="s">
        <v>73</v>
      </c>
      <c r="F26" s="180"/>
      <c r="G26" s="180"/>
      <c r="H26" s="150" t="s">
        <v>74</v>
      </c>
      <c r="I26" s="95"/>
      <c r="J26" s="185">
        <f>M26+Y26+AK26+AW26</f>
        <v>0</v>
      </c>
      <c r="K26" s="1051"/>
      <c r="L26" s="1051"/>
      <c r="M26" s="399">
        <f>SUM(N26:X26)</f>
        <v>0</v>
      </c>
      <c r="N26" s="96"/>
      <c r="O26" s="540">
        <f>O22-O25-O24</f>
        <v>0</v>
      </c>
      <c r="P26" s="540">
        <f t="shared" ref="P26:W26" si="21">P22-P25-P24</f>
        <v>0</v>
      </c>
      <c r="Q26" s="540">
        <f t="shared" si="21"/>
        <v>0</v>
      </c>
      <c r="R26" s="540">
        <f t="shared" si="21"/>
        <v>0</v>
      </c>
      <c r="S26" s="540">
        <f t="shared" si="21"/>
        <v>0</v>
      </c>
      <c r="T26" s="540">
        <f t="shared" si="21"/>
        <v>0</v>
      </c>
      <c r="U26" s="540">
        <f t="shared" si="21"/>
        <v>0</v>
      </c>
      <c r="V26" s="540">
        <f t="shared" si="21"/>
        <v>0</v>
      </c>
      <c r="W26" s="540">
        <f t="shared" si="21"/>
        <v>0</v>
      </c>
      <c r="X26" s="97"/>
      <c r="Y26" s="206">
        <f>SUM(Z26:AJ26)</f>
        <v>0</v>
      </c>
      <c r="Z26" s="96"/>
      <c r="AA26" s="540">
        <f t="shared" ref="AA26:AI26" si="22">AA22-AA25-AA24</f>
        <v>0</v>
      </c>
      <c r="AB26" s="540">
        <f t="shared" si="22"/>
        <v>0</v>
      </c>
      <c r="AC26" s="540">
        <f t="shared" si="22"/>
        <v>0</v>
      </c>
      <c r="AD26" s="540">
        <f t="shared" si="22"/>
        <v>0</v>
      </c>
      <c r="AE26" s="540">
        <f t="shared" si="22"/>
        <v>0</v>
      </c>
      <c r="AF26" s="540">
        <f t="shared" si="22"/>
        <v>0</v>
      </c>
      <c r="AG26" s="540">
        <f t="shared" si="22"/>
        <v>0</v>
      </c>
      <c r="AH26" s="540">
        <f t="shared" si="22"/>
        <v>0</v>
      </c>
      <c r="AI26" s="540">
        <f t="shared" si="22"/>
        <v>0</v>
      </c>
      <c r="AJ26" s="97"/>
      <c r="AK26" s="400">
        <f>SUM(AL26:AV26)</f>
        <v>0</v>
      </c>
      <c r="AL26" s="96"/>
      <c r="AM26" s="540">
        <f t="shared" ref="AM26:AU26" si="23">AM22-AM25-AM24</f>
        <v>0</v>
      </c>
      <c r="AN26" s="540">
        <f t="shared" si="23"/>
        <v>0</v>
      </c>
      <c r="AO26" s="540">
        <f t="shared" si="23"/>
        <v>0</v>
      </c>
      <c r="AP26" s="540">
        <f t="shared" si="23"/>
        <v>0</v>
      </c>
      <c r="AQ26" s="540">
        <f t="shared" si="23"/>
        <v>0</v>
      </c>
      <c r="AR26" s="540">
        <f t="shared" si="23"/>
        <v>0</v>
      </c>
      <c r="AS26" s="540">
        <f t="shared" si="23"/>
        <v>0</v>
      </c>
      <c r="AT26" s="540">
        <f t="shared" si="23"/>
        <v>0</v>
      </c>
      <c r="AU26" s="540">
        <f t="shared" si="23"/>
        <v>0</v>
      </c>
      <c r="AV26" s="97"/>
      <c r="AW26" s="206">
        <f>SUM(AX26:BH26)</f>
        <v>0</v>
      </c>
      <c r="AX26" s="96"/>
      <c r="AY26" s="540">
        <f t="shared" ref="AY26:BG26" si="24">AY22-AY25-AY24</f>
        <v>0</v>
      </c>
      <c r="AZ26" s="540">
        <f t="shared" si="24"/>
        <v>0</v>
      </c>
      <c r="BA26" s="540">
        <f t="shared" si="24"/>
        <v>0</v>
      </c>
      <c r="BB26" s="540">
        <f t="shared" si="24"/>
        <v>0</v>
      </c>
      <c r="BC26" s="540">
        <f t="shared" si="24"/>
        <v>0</v>
      </c>
      <c r="BD26" s="540">
        <f t="shared" si="24"/>
        <v>0</v>
      </c>
      <c r="BE26" s="540">
        <f t="shared" si="24"/>
        <v>0</v>
      </c>
      <c r="BF26" s="540">
        <f t="shared" si="24"/>
        <v>0</v>
      </c>
      <c r="BG26" s="540">
        <f t="shared" si="24"/>
        <v>0</v>
      </c>
      <c r="BH26" s="174"/>
    </row>
    <row r="27" spans="1:60">
      <c r="A27" s="1040"/>
      <c r="B27" s="1106" t="s">
        <v>111</v>
      </c>
      <c r="C27" s="1107" t="s">
        <v>104</v>
      </c>
      <c r="D27" s="638"/>
      <c r="E27" s="180" t="s">
        <v>123</v>
      </c>
      <c r="F27" s="180"/>
      <c r="G27" s="180"/>
      <c r="H27" s="150" t="s">
        <v>59</v>
      </c>
      <c r="I27" s="95"/>
      <c r="J27" s="559"/>
      <c r="K27" s="1052"/>
      <c r="L27" s="1052"/>
      <c r="M27" s="559">
        <f>SUM(M24:M26)</f>
        <v>0</v>
      </c>
      <c r="N27" s="96"/>
      <c r="O27" s="540">
        <f>$M22</f>
        <v>0</v>
      </c>
      <c r="P27" s="540">
        <f t="shared" ref="P27:W27" si="25">$M22</f>
        <v>0</v>
      </c>
      <c r="Q27" s="540">
        <f t="shared" si="25"/>
        <v>0</v>
      </c>
      <c r="R27" s="540">
        <f t="shared" si="25"/>
        <v>0</v>
      </c>
      <c r="S27" s="540">
        <f t="shared" si="25"/>
        <v>0</v>
      </c>
      <c r="T27" s="540">
        <f t="shared" si="25"/>
        <v>0</v>
      </c>
      <c r="U27" s="540">
        <f t="shared" si="25"/>
        <v>0</v>
      </c>
      <c r="V27" s="540">
        <f t="shared" si="25"/>
        <v>0</v>
      </c>
      <c r="W27" s="540">
        <f t="shared" si="25"/>
        <v>0</v>
      </c>
      <c r="X27" s="97"/>
      <c r="Y27" s="559">
        <f>SUM(Y24:Y26)</f>
        <v>0</v>
      </c>
      <c r="Z27" s="96"/>
      <c r="AA27" s="540">
        <f>$Y22</f>
        <v>0</v>
      </c>
      <c r="AB27" s="540">
        <f t="shared" ref="AB27:AI27" si="26">$Y22</f>
        <v>0</v>
      </c>
      <c r="AC27" s="540">
        <f t="shared" si="26"/>
        <v>0</v>
      </c>
      <c r="AD27" s="540">
        <f t="shared" si="26"/>
        <v>0</v>
      </c>
      <c r="AE27" s="540">
        <f t="shared" si="26"/>
        <v>0</v>
      </c>
      <c r="AF27" s="540">
        <f t="shared" si="26"/>
        <v>0</v>
      </c>
      <c r="AG27" s="540">
        <f t="shared" si="26"/>
        <v>0</v>
      </c>
      <c r="AH27" s="540">
        <f t="shared" si="26"/>
        <v>0</v>
      </c>
      <c r="AI27" s="540">
        <f t="shared" si="26"/>
        <v>0</v>
      </c>
      <c r="AJ27" s="97"/>
      <c r="AK27" s="559">
        <f>SUM(AK24:AK26)</f>
        <v>0</v>
      </c>
      <c r="AL27" s="96"/>
      <c r="AM27" s="540">
        <f t="shared" ref="AM27:AU27" si="27">$AK22</f>
        <v>0</v>
      </c>
      <c r="AN27" s="540">
        <f t="shared" si="27"/>
        <v>0</v>
      </c>
      <c r="AO27" s="540">
        <f t="shared" si="27"/>
        <v>0</v>
      </c>
      <c r="AP27" s="540">
        <f t="shared" si="27"/>
        <v>0</v>
      </c>
      <c r="AQ27" s="540">
        <f t="shared" si="27"/>
        <v>0</v>
      </c>
      <c r="AR27" s="540">
        <f t="shared" si="27"/>
        <v>0</v>
      </c>
      <c r="AS27" s="540">
        <f t="shared" si="27"/>
        <v>0</v>
      </c>
      <c r="AT27" s="540">
        <f t="shared" si="27"/>
        <v>0</v>
      </c>
      <c r="AU27" s="540">
        <f t="shared" si="27"/>
        <v>0</v>
      </c>
      <c r="AV27" s="97"/>
      <c r="AW27" s="559"/>
      <c r="AX27" s="559">
        <f>SUM(AX24:AX26)</f>
        <v>0</v>
      </c>
      <c r="AY27" s="540">
        <f>$AW22</f>
        <v>0</v>
      </c>
      <c r="AZ27" s="540">
        <f t="shared" ref="AZ27:BG27" si="28">$AW22</f>
        <v>0</v>
      </c>
      <c r="BA27" s="540">
        <f t="shared" si="28"/>
        <v>0</v>
      </c>
      <c r="BB27" s="540">
        <f t="shared" si="28"/>
        <v>0</v>
      </c>
      <c r="BC27" s="540">
        <f t="shared" si="28"/>
        <v>0</v>
      </c>
      <c r="BD27" s="540">
        <f t="shared" si="28"/>
        <v>0</v>
      </c>
      <c r="BE27" s="540">
        <f t="shared" si="28"/>
        <v>0</v>
      </c>
      <c r="BF27" s="540">
        <f t="shared" si="28"/>
        <v>0</v>
      </c>
      <c r="BG27" s="540">
        <f t="shared" si="28"/>
        <v>0</v>
      </c>
      <c r="BH27" s="174"/>
    </row>
    <row r="28" spans="1:60">
      <c r="A28" s="1040"/>
      <c r="B28" s="1106" t="s">
        <v>111</v>
      </c>
      <c r="C28" s="1106" t="s">
        <v>96</v>
      </c>
      <c r="D28" s="638"/>
      <c r="E28" s="942" t="s">
        <v>124</v>
      </c>
      <c r="F28" s="942"/>
      <c r="G28" s="942"/>
      <c r="H28" s="942"/>
      <c r="I28" s="129"/>
      <c r="J28" s="943"/>
      <c r="K28" s="126"/>
      <c r="L28" s="126"/>
      <c r="M28" s="944"/>
      <c r="N28" s="195"/>
      <c r="O28" s="258" t="str">
        <f>O$17</f>
        <v/>
      </c>
      <c r="P28" s="258" t="str">
        <f t="shared" ref="P28:W28" si="29">P$17</f>
        <v/>
      </c>
      <c r="Q28" s="258" t="str">
        <f t="shared" si="29"/>
        <v/>
      </c>
      <c r="R28" s="258" t="str">
        <f t="shared" si="29"/>
        <v/>
      </c>
      <c r="S28" s="258" t="str">
        <f t="shared" si="29"/>
        <v/>
      </c>
      <c r="T28" s="258" t="str">
        <f t="shared" si="29"/>
        <v/>
      </c>
      <c r="U28" s="258" t="str">
        <f t="shared" si="29"/>
        <v/>
      </c>
      <c r="V28" s="258" t="str">
        <f t="shared" si="29"/>
        <v/>
      </c>
      <c r="W28" s="258" t="str">
        <f t="shared" si="29"/>
        <v/>
      </c>
      <c r="X28" s="195"/>
      <c r="Y28" s="944"/>
      <c r="Z28" s="195"/>
      <c r="AA28" s="258" t="str">
        <f>IF('woningen|utiliteit'!X31="","",'woningen|utiliteit'!X31)</f>
        <v/>
      </c>
      <c r="AB28" s="258" t="str">
        <f>IF('woningen|utiliteit'!Y31="","",'woningen|utiliteit'!Y31)</f>
        <v/>
      </c>
      <c r="AC28" s="258" t="str">
        <f>IF('woningen|utiliteit'!Z31="","",'woningen|utiliteit'!Z31)</f>
        <v/>
      </c>
      <c r="AD28" s="258" t="str">
        <f>IF('woningen|utiliteit'!AA31="","",'woningen|utiliteit'!AA31)</f>
        <v/>
      </c>
      <c r="AE28" s="258" t="str">
        <f>IF('woningen|utiliteit'!AB31="","",'woningen|utiliteit'!AB31)</f>
        <v/>
      </c>
      <c r="AF28" s="258" t="str">
        <f>IF('woningen|utiliteit'!AC31="","",'woningen|utiliteit'!AC31)</f>
        <v/>
      </c>
      <c r="AG28" s="258" t="str">
        <f>IF('woningen|utiliteit'!AD31="","",'woningen|utiliteit'!AD31)</f>
        <v/>
      </c>
      <c r="AH28" s="258" t="str">
        <f>IF('woningen|utiliteit'!AE31="","",'woningen|utiliteit'!AE31)</f>
        <v/>
      </c>
      <c r="AI28" s="258" t="str">
        <f>IF('woningen|utiliteit'!AF31="","",'woningen|utiliteit'!AF31)</f>
        <v/>
      </c>
      <c r="AJ28" s="195"/>
      <c r="AK28" s="944"/>
      <c r="AL28" s="195"/>
      <c r="AM28" s="258" t="str">
        <f>IF('woningen|utiliteit'!AJ31="","",'woningen|utiliteit'!AJ31)</f>
        <v/>
      </c>
      <c r="AN28" s="258" t="str">
        <f>IF('woningen|utiliteit'!AK31="","",'woningen|utiliteit'!AK31)</f>
        <v/>
      </c>
      <c r="AO28" s="258" t="str">
        <f>IF('woningen|utiliteit'!AL31="","",'woningen|utiliteit'!AL31)</f>
        <v/>
      </c>
      <c r="AP28" s="258" t="str">
        <f>IF('woningen|utiliteit'!AM31="","",'woningen|utiliteit'!AM31)</f>
        <v/>
      </c>
      <c r="AQ28" s="258" t="str">
        <f>IF('woningen|utiliteit'!AN31="","",'woningen|utiliteit'!AN31)</f>
        <v/>
      </c>
      <c r="AR28" s="258" t="str">
        <f>IF('woningen|utiliteit'!AO31="","",'woningen|utiliteit'!AO31)</f>
        <v/>
      </c>
      <c r="AS28" s="258" t="str">
        <f>IF('woningen|utiliteit'!AP31="","",'woningen|utiliteit'!AP31)</f>
        <v/>
      </c>
      <c r="AT28" s="258" t="str">
        <f>IF('woningen|utiliteit'!AQ31="","",'woningen|utiliteit'!AQ31)</f>
        <v/>
      </c>
      <c r="AU28" s="258" t="str">
        <f>IF('woningen|utiliteit'!AR31="","",'woningen|utiliteit'!AR31)</f>
        <v/>
      </c>
      <c r="AV28" s="195"/>
      <c r="AW28" s="944"/>
      <c r="AX28" s="195"/>
      <c r="AY28" s="258" t="str">
        <f>IF('woningen|utiliteit'!AV31="","",'woningen|utiliteit'!AV31)</f>
        <v/>
      </c>
      <c r="AZ28" s="258" t="str">
        <f>IF('woningen|utiliteit'!AW31="","",'woningen|utiliteit'!AW31)</f>
        <v/>
      </c>
      <c r="BA28" s="258" t="str">
        <f>IF('woningen|utiliteit'!AX31="","",'woningen|utiliteit'!AX31)</f>
        <v/>
      </c>
      <c r="BB28" s="258" t="str">
        <f>IF('woningen|utiliteit'!AY31="","",'woningen|utiliteit'!AY31)</f>
        <v/>
      </c>
      <c r="BC28" s="258" t="str">
        <f>IF('woningen|utiliteit'!AZ31="","",'woningen|utiliteit'!AZ31)</f>
        <v/>
      </c>
      <c r="BD28" s="258" t="str">
        <f>IF('woningen|utiliteit'!BA31="","",'woningen|utiliteit'!BA31)</f>
        <v/>
      </c>
      <c r="BE28" s="258" t="str">
        <f>IF('woningen|utiliteit'!BB31="","",'woningen|utiliteit'!BB31)</f>
        <v/>
      </c>
      <c r="BF28" s="258" t="str">
        <f>IF('woningen|utiliteit'!BC31="","",'woningen|utiliteit'!BC31)</f>
        <v/>
      </c>
      <c r="BG28" s="258" t="str">
        <f>IF('woningen|utiliteit'!BD31="","",'woningen|utiliteit'!BD31)</f>
        <v/>
      </c>
      <c r="BH28" s="36"/>
    </row>
    <row r="29" spans="1:60">
      <c r="A29" s="1040"/>
      <c r="B29" s="1106" t="s">
        <v>111</v>
      </c>
      <c r="C29" s="1107" t="s">
        <v>104</v>
      </c>
      <c r="D29" s="638"/>
      <c r="E29" s="254" t="s">
        <v>75</v>
      </c>
      <c r="F29" s="180" t="s">
        <v>125</v>
      </c>
      <c r="G29" s="180"/>
      <c r="H29" s="181" t="s">
        <v>76</v>
      </c>
      <c r="I29" s="79"/>
      <c r="J29" s="187">
        <f>M29+Y29+AK29+AW29</f>
        <v>0</v>
      </c>
      <c r="K29" s="243"/>
      <c r="L29" s="243"/>
      <c r="M29" s="187">
        <f>SUMPRODUCT(N$22:X$22,N29:X29)</f>
        <v>0</v>
      </c>
      <c r="N29" s="89"/>
      <c r="O29" s="385">
        <f>IF(O$17="",0,'woningen|utiliteit'!L24)</f>
        <v>0</v>
      </c>
      <c r="P29" s="385">
        <f>IF(P$17="",0,'woningen|utiliteit'!M24)</f>
        <v>0</v>
      </c>
      <c r="Q29" s="385">
        <f>IF(Q$17="",0,'woningen|utiliteit'!N24)</f>
        <v>0</v>
      </c>
      <c r="R29" s="385">
        <f>IF(R$17="",0,'woningen|utiliteit'!O24)</f>
        <v>0</v>
      </c>
      <c r="S29" s="385">
        <f>IF(S$17="",0,'woningen|utiliteit'!P24)</f>
        <v>0</v>
      </c>
      <c r="T29" s="385">
        <f>IF(T$17="",0,'woningen|utiliteit'!Q24)</f>
        <v>0</v>
      </c>
      <c r="U29" s="385">
        <f>IF(U$17="",0,'woningen|utiliteit'!R24)</f>
        <v>0</v>
      </c>
      <c r="V29" s="385">
        <f>IF(V$17="",0,'woningen|utiliteit'!S24)</f>
        <v>0</v>
      </c>
      <c r="W29" s="385">
        <f>IF(W$17="",0,'woningen|utiliteit'!T24)</f>
        <v>0</v>
      </c>
      <c r="X29" s="98"/>
      <c r="Y29" s="187">
        <f>SUMPRODUCT(Z$22:AJ$22,Z29:AJ29)</f>
        <v>0</v>
      </c>
      <c r="Z29" s="119"/>
      <c r="AA29" s="385">
        <f>IF(AA$17="",0,'woningen|utiliteit'!L40)</f>
        <v>0</v>
      </c>
      <c r="AB29" s="385">
        <f>IF(AB$17="",0,'woningen|utiliteit'!M40)</f>
        <v>0</v>
      </c>
      <c r="AC29" s="385">
        <f>IF(AC$17="",0,'woningen|utiliteit'!N40)</f>
        <v>0</v>
      </c>
      <c r="AD29" s="385">
        <f>IF(AD$17="",0,'woningen|utiliteit'!O40)</f>
        <v>0</v>
      </c>
      <c r="AE29" s="385">
        <f>IF(AE$17="",0,'woningen|utiliteit'!P40)</f>
        <v>0</v>
      </c>
      <c r="AF29" s="385">
        <f>IF(AF$17="",0,'woningen|utiliteit'!Q40)</f>
        <v>0</v>
      </c>
      <c r="AG29" s="385">
        <f>IF(AG$17="",0,'woningen|utiliteit'!R40)</f>
        <v>0</v>
      </c>
      <c r="AH29" s="385">
        <f>IF(AH$17="",0,'woningen|utiliteit'!S40)</f>
        <v>0</v>
      </c>
      <c r="AI29" s="385">
        <f>IF(AI$17="",0,'woningen|utiliteit'!T40)</f>
        <v>0</v>
      </c>
      <c r="AJ29" s="98"/>
      <c r="AK29" s="187">
        <f>SUMPRODUCT(AL$22:AV$22,AL29:AV29)</f>
        <v>0</v>
      </c>
      <c r="AL29" s="119"/>
      <c r="AM29" s="385">
        <f>IF(AM$17="",0,'woningen|utiliteit'!L56)</f>
        <v>0</v>
      </c>
      <c r="AN29" s="385">
        <f>IF(AN$17="",0,'woningen|utiliteit'!M56)</f>
        <v>0</v>
      </c>
      <c r="AO29" s="385">
        <f>IF(AO$17="",0,'woningen|utiliteit'!N56)</f>
        <v>0</v>
      </c>
      <c r="AP29" s="385">
        <f>IF(AP$17="",0,'woningen|utiliteit'!O56)</f>
        <v>0</v>
      </c>
      <c r="AQ29" s="385">
        <f>IF(AQ$17="",0,'woningen|utiliteit'!P56)</f>
        <v>0</v>
      </c>
      <c r="AR29" s="385">
        <f>IF(AR$17="",0,'woningen|utiliteit'!Q56)</f>
        <v>0</v>
      </c>
      <c r="AS29" s="385">
        <f>IF(AS$17="",0,'woningen|utiliteit'!R56)</f>
        <v>0</v>
      </c>
      <c r="AT29" s="385">
        <f>IF(AT$17="",0,'woningen|utiliteit'!S56)</f>
        <v>0</v>
      </c>
      <c r="AU29" s="385">
        <f>IF(AU$17="",0,'woningen|utiliteit'!T56)</f>
        <v>0</v>
      </c>
      <c r="AV29" s="98"/>
      <c r="AW29" s="187">
        <f>SUMPRODUCT(AX$22:BH$22,AX29:BH29)</f>
        <v>0</v>
      </c>
      <c r="AX29" s="119"/>
      <c r="AY29" s="385">
        <f>IF(AY$17="",0,'woningen|utiliteit'!L72)</f>
        <v>0</v>
      </c>
      <c r="AZ29" s="385">
        <f>IF(AZ$17="",0,'woningen|utiliteit'!M72)</f>
        <v>0</v>
      </c>
      <c r="BA29" s="385">
        <f>IF(BA$17="",0,'woningen|utiliteit'!N72)</f>
        <v>0</v>
      </c>
      <c r="BB29" s="385">
        <f>IF(BB$17="",0,'woningen|utiliteit'!O72)</f>
        <v>0</v>
      </c>
      <c r="BC29" s="385">
        <f>IF(BC$17="",0,'woningen|utiliteit'!P72)</f>
        <v>0</v>
      </c>
      <c r="BD29" s="385">
        <f>IF(BD$17="",0,'woningen|utiliteit'!Q72)</f>
        <v>0</v>
      </c>
      <c r="BE29" s="385">
        <f>IF(BE$17="",0,'woningen|utiliteit'!R72)</f>
        <v>0</v>
      </c>
      <c r="BF29" s="385">
        <f>IF(BF$17="",0,'woningen|utiliteit'!S72)</f>
        <v>0</v>
      </c>
      <c r="BG29" s="385">
        <f>IF(BG$17="",0,'woningen|utiliteit'!T72)</f>
        <v>0</v>
      </c>
      <c r="BH29" s="174"/>
    </row>
    <row r="30" spans="1:60">
      <c r="A30" s="1041"/>
      <c r="B30" s="1106" t="s">
        <v>111</v>
      </c>
      <c r="C30" s="1107" t="s">
        <v>104</v>
      </c>
      <c r="D30" s="638"/>
      <c r="E30" s="595"/>
      <c r="F30" s="180" t="s">
        <v>126</v>
      </c>
      <c r="G30" s="180"/>
      <c r="H30" s="181" t="s">
        <v>127</v>
      </c>
      <c r="I30" s="99"/>
      <c r="J30" s="187"/>
      <c r="K30" s="1053"/>
      <c r="L30" s="1053"/>
      <c r="M30" s="622"/>
      <c r="N30" s="623"/>
      <c r="O30" s="557">
        <f>O22*O29</f>
        <v>0</v>
      </c>
      <c r="P30" s="557">
        <f t="shared" ref="P30:W30" si="30">P22*P29</f>
        <v>0</v>
      </c>
      <c r="Q30" s="557">
        <f t="shared" si="30"/>
        <v>0</v>
      </c>
      <c r="R30" s="557">
        <f t="shared" si="30"/>
        <v>0</v>
      </c>
      <c r="S30" s="557">
        <f t="shared" si="30"/>
        <v>0</v>
      </c>
      <c r="T30" s="557">
        <f>T22*T29</f>
        <v>0</v>
      </c>
      <c r="U30" s="557">
        <f t="shared" si="30"/>
        <v>0</v>
      </c>
      <c r="V30" s="557">
        <f t="shared" si="30"/>
        <v>0</v>
      </c>
      <c r="W30" s="557">
        <f t="shared" si="30"/>
        <v>0</v>
      </c>
      <c r="X30" s="101"/>
      <c r="Y30" s="622"/>
      <c r="Z30" s="937"/>
      <c r="AA30" s="557">
        <f t="shared" ref="AA30:AI30" si="31">AA22*AA29</f>
        <v>0</v>
      </c>
      <c r="AB30" s="557">
        <f t="shared" si="31"/>
        <v>0</v>
      </c>
      <c r="AC30" s="557">
        <f t="shared" si="31"/>
        <v>0</v>
      </c>
      <c r="AD30" s="557">
        <f t="shared" si="31"/>
        <v>0</v>
      </c>
      <c r="AE30" s="557">
        <f t="shared" si="31"/>
        <v>0</v>
      </c>
      <c r="AF30" s="557">
        <f t="shared" si="31"/>
        <v>0</v>
      </c>
      <c r="AG30" s="557">
        <f t="shared" si="31"/>
        <v>0</v>
      </c>
      <c r="AH30" s="557">
        <f t="shared" si="31"/>
        <v>0</v>
      </c>
      <c r="AI30" s="557">
        <f t="shared" si="31"/>
        <v>0</v>
      </c>
      <c r="AJ30" s="101"/>
      <c r="AK30" s="622"/>
      <c r="AL30" s="937"/>
      <c r="AM30" s="557">
        <f t="shared" ref="AM30:AU30" si="32">AM22*AM29</f>
        <v>0</v>
      </c>
      <c r="AN30" s="557">
        <f t="shared" si="32"/>
        <v>0</v>
      </c>
      <c r="AO30" s="557">
        <f t="shared" si="32"/>
        <v>0</v>
      </c>
      <c r="AP30" s="557">
        <f t="shared" si="32"/>
        <v>0</v>
      </c>
      <c r="AQ30" s="557">
        <f t="shared" si="32"/>
        <v>0</v>
      </c>
      <c r="AR30" s="557">
        <f t="shared" si="32"/>
        <v>0</v>
      </c>
      <c r="AS30" s="557">
        <f t="shared" si="32"/>
        <v>0</v>
      </c>
      <c r="AT30" s="557">
        <f t="shared" si="32"/>
        <v>0</v>
      </c>
      <c r="AU30" s="557">
        <f t="shared" si="32"/>
        <v>0</v>
      </c>
      <c r="AV30" s="101"/>
      <c r="AW30" s="622"/>
      <c r="AX30" s="937"/>
      <c r="AY30" s="557">
        <f t="shared" ref="AY30:BG30" si="33">AY22*AY29</f>
        <v>0</v>
      </c>
      <c r="AZ30" s="557">
        <f t="shared" si="33"/>
        <v>0</v>
      </c>
      <c r="BA30" s="557">
        <f t="shared" si="33"/>
        <v>0</v>
      </c>
      <c r="BB30" s="557">
        <f t="shared" si="33"/>
        <v>0</v>
      </c>
      <c r="BC30" s="557">
        <f t="shared" si="33"/>
        <v>0</v>
      </c>
      <c r="BD30" s="557">
        <f t="shared" si="33"/>
        <v>0</v>
      </c>
      <c r="BE30" s="557">
        <f t="shared" si="33"/>
        <v>0</v>
      </c>
      <c r="BF30" s="557">
        <f t="shared" si="33"/>
        <v>0</v>
      </c>
      <c r="BG30" s="557">
        <f t="shared" si="33"/>
        <v>0</v>
      </c>
      <c r="BH30" s="174"/>
    </row>
    <row r="31" spans="1:60">
      <c r="A31" s="1041"/>
      <c r="B31" s="1106" t="s">
        <v>111</v>
      </c>
      <c r="C31" s="1107" t="s">
        <v>104</v>
      </c>
      <c r="D31" s="638"/>
      <c r="E31" s="255"/>
      <c r="F31" s="180" t="s">
        <v>128</v>
      </c>
      <c r="G31" s="180"/>
      <c r="H31" s="181" t="s">
        <v>127</v>
      </c>
      <c r="I31" s="99"/>
      <c r="J31" s="187"/>
      <c r="K31" s="1053"/>
      <c r="L31" s="1053"/>
      <c r="M31" s="187"/>
      <c r="N31" s="100"/>
      <c r="O31" s="385">
        <f>SUMPRODUCT($N22:$X22,$N29:$X29)</f>
        <v>0</v>
      </c>
      <c r="P31" s="385">
        <f t="shared" ref="P31:W31" si="34">SUMPRODUCT($N22:$X22,$N29:$X29)</f>
        <v>0</v>
      </c>
      <c r="Q31" s="385">
        <f t="shared" si="34"/>
        <v>0</v>
      </c>
      <c r="R31" s="385">
        <f t="shared" si="34"/>
        <v>0</v>
      </c>
      <c r="S31" s="385">
        <f t="shared" si="34"/>
        <v>0</v>
      </c>
      <c r="T31" s="385">
        <f t="shared" si="34"/>
        <v>0</v>
      </c>
      <c r="U31" s="385">
        <f t="shared" si="34"/>
        <v>0</v>
      </c>
      <c r="V31" s="385">
        <f t="shared" si="34"/>
        <v>0</v>
      </c>
      <c r="W31" s="385">
        <f t="shared" si="34"/>
        <v>0</v>
      </c>
      <c r="X31" s="101"/>
      <c r="Y31" s="187"/>
      <c r="Z31" s="100"/>
      <c r="AA31" s="385">
        <f t="shared" ref="AA31:AI31" si="35">SUMPRODUCT($Z$22:$AJ$22,$Z$29:$AJ$29)</f>
        <v>0</v>
      </c>
      <c r="AB31" s="385">
        <f t="shared" si="35"/>
        <v>0</v>
      </c>
      <c r="AC31" s="385">
        <f t="shared" si="35"/>
        <v>0</v>
      </c>
      <c r="AD31" s="385">
        <f t="shared" si="35"/>
        <v>0</v>
      </c>
      <c r="AE31" s="385">
        <f t="shared" si="35"/>
        <v>0</v>
      </c>
      <c r="AF31" s="385">
        <f t="shared" si="35"/>
        <v>0</v>
      </c>
      <c r="AG31" s="385">
        <f t="shared" si="35"/>
        <v>0</v>
      </c>
      <c r="AH31" s="385">
        <f t="shared" si="35"/>
        <v>0</v>
      </c>
      <c r="AI31" s="385">
        <f t="shared" si="35"/>
        <v>0</v>
      </c>
      <c r="AJ31" s="101"/>
      <c r="AK31" s="187"/>
      <c r="AL31" s="100"/>
      <c r="AM31" s="385">
        <f>SUMPRODUCT($AL$22:$AV$22,$AL$29:$AV$29)</f>
        <v>0</v>
      </c>
      <c r="AN31" s="385">
        <f t="shared" ref="AN31:AU31" si="36">SUMPRODUCT($AL$22:$AV$22,$AL$29:$AV$29)</f>
        <v>0</v>
      </c>
      <c r="AO31" s="385">
        <f t="shared" si="36"/>
        <v>0</v>
      </c>
      <c r="AP31" s="385">
        <f t="shared" si="36"/>
        <v>0</v>
      </c>
      <c r="AQ31" s="385">
        <f t="shared" si="36"/>
        <v>0</v>
      </c>
      <c r="AR31" s="385">
        <f t="shared" si="36"/>
        <v>0</v>
      </c>
      <c r="AS31" s="385">
        <f t="shared" si="36"/>
        <v>0</v>
      </c>
      <c r="AT31" s="385">
        <f t="shared" si="36"/>
        <v>0</v>
      </c>
      <c r="AU31" s="385">
        <f t="shared" si="36"/>
        <v>0</v>
      </c>
      <c r="AV31" s="101"/>
      <c r="AW31" s="187"/>
      <c r="AX31" s="100"/>
      <c r="AY31" s="385">
        <f>SUMPRODUCT($AX$22:$BH$22,$AX$29:$BH$29)</f>
        <v>0</v>
      </c>
      <c r="AZ31" s="385">
        <f t="shared" ref="AZ31:BG31" si="37">SUMPRODUCT($AX$22:$BH$22,$AX$29:$BH$29)</f>
        <v>0</v>
      </c>
      <c r="BA31" s="385">
        <f t="shared" si="37"/>
        <v>0</v>
      </c>
      <c r="BB31" s="385">
        <f t="shared" si="37"/>
        <v>0</v>
      </c>
      <c r="BC31" s="385">
        <f t="shared" si="37"/>
        <v>0</v>
      </c>
      <c r="BD31" s="385">
        <f t="shared" si="37"/>
        <v>0</v>
      </c>
      <c r="BE31" s="385">
        <f t="shared" si="37"/>
        <v>0</v>
      </c>
      <c r="BF31" s="385">
        <f t="shared" si="37"/>
        <v>0</v>
      </c>
      <c r="BG31" s="385">
        <f t="shared" si="37"/>
        <v>0</v>
      </c>
      <c r="BH31" s="174"/>
    </row>
    <row r="32" spans="1:60">
      <c r="A32" s="1041"/>
      <c r="B32" s="1106" t="s">
        <v>111</v>
      </c>
      <c r="C32" s="1107" t="s">
        <v>104</v>
      </c>
      <c r="D32" s="638"/>
      <c r="E32" s="180" t="s">
        <v>129</v>
      </c>
      <c r="F32" s="180"/>
      <c r="G32" s="180"/>
      <c r="H32" s="181" t="s">
        <v>130</v>
      </c>
      <c r="I32" s="79"/>
      <c r="J32" s="187"/>
      <c r="K32" s="243"/>
      <c r="L32" s="243"/>
      <c r="M32" s="187"/>
      <c r="N32" s="89"/>
      <c r="O32" s="151" t="str">
        <f>IF('woningen|utiliteit'!L28="","",'woningen|utiliteit'!L28)</f>
        <v/>
      </c>
      <c r="P32" s="151" t="str">
        <f>IF('woningen|utiliteit'!M28="","",'woningen|utiliteit'!M28)</f>
        <v/>
      </c>
      <c r="Q32" s="151" t="str">
        <f>IF('woningen|utiliteit'!N28="","",'woningen|utiliteit'!N28)</f>
        <v/>
      </c>
      <c r="R32" s="151" t="str">
        <f>IF('woningen|utiliteit'!O28="","",'woningen|utiliteit'!O28)</f>
        <v/>
      </c>
      <c r="S32" s="151" t="str">
        <f>IF('woningen|utiliteit'!P28="","",'woningen|utiliteit'!P28)</f>
        <v/>
      </c>
      <c r="T32" s="151" t="str">
        <f>IF('woningen|utiliteit'!Q28="","",'woningen|utiliteit'!Q28)</f>
        <v/>
      </c>
      <c r="U32" s="151" t="str">
        <f>IF('woningen|utiliteit'!R28="","",'woningen|utiliteit'!R28)</f>
        <v/>
      </c>
      <c r="V32" s="151" t="str">
        <f>IF('woningen|utiliteit'!S28="","",'woningen|utiliteit'!S28)</f>
        <v/>
      </c>
      <c r="W32" s="151" t="str">
        <f>IF('woningen|utiliteit'!T28="","",'woningen|utiliteit'!T28)</f>
        <v/>
      </c>
      <c r="X32" s="98"/>
      <c r="Y32" s="187"/>
      <c r="Z32" s="89"/>
      <c r="AA32" s="151" t="str">
        <f>IF('woningen|utiliteit'!L44="","",'woningen|utiliteit'!L44)</f>
        <v/>
      </c>
      <c r="AB32" s="151" t="str">
        <f>IF('woningen|utiliteit'!M44="","",'woningen|utiliteit'!M44)</f>
        <v/>
      </c>
      <c r="AC32" s="151" t="str">
        <f>IF('woningen|utiliteit'!N44="","",'woningen|utiliteit'!N44)</f>
        <v/>
      </c>
      <c r="AD32" s="151" t="str">
        <f>IF('woningen|utiliteit'!O44="","",'woningen|utiliteit'!O44)</f>
        <v/>
      </c>
      <c r="AE32" s="151" t="str">
        <f>IF('woningen|utiliteit'!P44="","",'woningen|utiliteit'!P44)</f>
        <v/>
      </c>
      <c r="AF32" s="151" t="str">
        <f>IF('woningen|utiliteit'!Q44="","",'woningen|utiliteit'!Q44)</f>
        <v/>
      </c>
      <c r="AG32" s="151" t="str">
        <f>IF('woningen|utiliteit'!R44="","",'woningen|utiliteit'!R44)</f>
        <v/>
      </c>
      <c r="AH32" s="151" t="str">
        <f>IF('woningen|utiliteit'!S44="","",'woningen|utiliteit'!S44)</f>
        <v/>
      </c>
      <c r="AI32" s="151" t="str">
        <f>IF('woningen|utiliteit'!T44="","",'woningen|utiliteit'!T44)</f>
        <v/>
      </c>
      <c r="AJ32" s="98"/>
      <c r="AK32" s="187"/>
      <c r="AL32" s="89"/>
      <c r="AM32" s="151" t="str">
        <f>IF('woningen|utiliteit'!L60="","",'woningen|utiliteit'!L60)</f>
        <v/>
      </c>
      <c r="AN32" s="151" t="str">
        <f>IF('woningen|utiliteit'!M60="","",'woningen|utiliteit'!M60)</f>
        <v/>
      </c>
      <c r="AO32" s="151" t="str">
        <f>IF('woningen|utiliteit'!N60="","",'woningen|utiliteit'!N60)</f>
        <v/>
      </c>
      <c r="AP32" s="151" t="str">
        <f>IF('woningen|utiliteit'!O60="","",'woningen|utiliteit'!O60)</f>
        <v/>
      </c>
      <c r="AQ32" s="151" t="str">
        <f>IF('woningen|utiliteit'!P60="","",'woningen|utiliteit'!P60)</f>
        <v/>
      </c>
      <c r="AR32" s="151" t="str">
        <f>IF('woningen|utiliteit'!Q60="","",'woningen|utiliteit'!Q60)</f>
        <v/>
      </c>
      <c r="AS32" s="151" t="str">
        <f>IF('woningen|utiliteit'!R60="","",'woningen|utiliteit'!R60)</f>
        <v/>
      </c>
      <c r="AT32" s="151" t="str">
        <f>IF('woningen|utiliteit'!S60="","",'woningen|utiliteit'!S60)</f>
        <v/>
      </c>
      <c r="AU32" s="151" t="str">
        <f>IF('woningen|utiliteit'!T60="","",'woningen|utiliteit'!T60)</f>
        <v/>
      </c>
      <c r="AV32" s="98"/>
      <c r="AW32" s="187"/>
      <c r="AX32" s="89"/>
      <c r="AY32" s="151" t="str">
        <f>IF('woningen|utiliteit'!L76="","",'woningen|utiliteit'!L76)</f>
        <v/>
      </c>
      <c r="AZ32" s="151" t="str">
        <f>IF('woningen|utiliteit'!M76="","",'woningen|utiliteit'!M76)</f>
        <v/>
      </c>
      <c r="BA32" s="151" t="str">
        <f>IF('woningen|utiliteit'!N76="","",'woningen|utiliteit'!N76)</f>
        <v/>
      </c>
      <c r="BB32" s="151" t="str">
        <f>IF('woningen|utiliteit'!O76="","",'woningen|utiliteit'!O76)</f>
        <v/>
      </c>
      <c r="BC32" s="151" t="str">
        <f>IF('woningen|utiliteit'!P76="","",'woningen|utiliteit'!P76)</f>
        <v/>
      </c>
      <c r="BD32" s="151" t="str">
        <f>IF('woningen|utiliteit'!Q76="","",'woningen|utiliteit'!Q76)</f>
        <v/>
      </c>
      <c r="BE32" s="151" t="str">
        <f>IF('woningen|utiliteit'!R76="","",'woningen|utiliteit'!R76)</f>
        <v/>
      </c>
      <c r="BF32" s="151" t="str">
        <f>IF('woningen|utiliteit'!S76="","",'woningen|utiliteit'!S76)</f>
        <v/>
      </c>
      <c r="BG32" s="151" t="str">
        <f>IF('woningen|utiliteit'!T76="","",'woningen|utiliteit'!T76)</f>
        <v/>
      </c>
      <c r="BH32" s="174"/>
    </row>
    <row r="33" spans="1:60">
      <c r="A33" s="1041"/>
      <c r="B33" s="1106" t="s">
        <v>111</v>
      </c>
      <c r="C33" s="1107" t="s">
        <v>104</v>
      </c>
      <c r="D33" s="638"/>
      <c r="E33" s="180" t="s">
        <v>131</v>
      </c>
      <c r="F33" s="180"/>
      <c r="G33" s="180"/>
      <c r="H33" s="181" t="s">
        <v>130</v>
      </c>
      <c r="I33" s="79"/>
      <c r="J33" s="187"/>
      <c r="K33" s="243"/>
      <c r="L33" s="243"/>
      <c r="M33" s="187"/>
      <c r="N33" s="89"/>
      <c r="O33" s="151" t="str">
        <f>IF(O$17="","",HLOOKUP(O$17,woningen_gebouwen_gegevens,ROWS(bibliotheek!$E$20:$E$34),FALSE))</f>
        <v/>
      </c>
      <c r="P33" s="151" t="str">
        <f>IF(P$17="","",HLOOKUP(P$17,woningen_gebouwen_gegevens,ROWS(bibliotheek!$E$20:$E$34),FALSE))</f>
        <v/>
      </c>
      <c r="Q33" s="151" t="str">
        <f>IF(Q$17="","",HLOOKUP(Q$17,woningen_gebouwen_gegevens,ROWS(bibliotheek!$E$20:$E$34),FALSE))</f>
        <v/>
      </c>
      <c r="R33" s="151" t="str">
        <f>IF(R$17="","",HLOOKUP(R$17,woningen_gebouwen_gegevens,ROWS(bibliotheek!$E$20:$E$34),FALSE))</f>
        <v/>
      </c>
      <c r="S33" s="151" t="str">
        <f>IF(S$17="","",HLOOKUP(S$17,woningen_gebouwen_gegevens,ROWS(bibliotheek!$E$20:$E$34),FALSE))</f>
        <v/>
      </c>
      <c r="T33" s="151" t="str">
        <f>IF(T$17="","",HLOOKUP(T$17,woningen_gebouwen_gegevens,ROWS(bibliotheek!$E$20:$E$34),FALSE))</f>
        <v/>
      </c>
      <c r="U33" s="151" t="str">
        <f>IF(U$17="","",HLOOKUP(U$17,woningen_gebouwen_gegevens,ROWS(bibliotheek!$E$20:$E$34),FALSE))</f>
        <v/>
      </c>
      <c r="V33" s="151" t="str">
        <f>IF(V$17="","",HLOOKUP(V$17,woningen_gebouwen_gegevens,ROWS(bibliotheek!$E$20:$E$34),FALSE))</f>
        <v/>
      </c>
      <c r="W33" s="151" t="str">
        <f>IF(W$17="","",HLOOKUP(W$17,woningen_gebouwen_gegevens,ROWS(bibliotheek!$E$20:$E$34),FALSE))</f>
        <v/>
      </c>
      <c r="X33" s="98"/>
      <c r="Y33" s="187"/>
      <c r="Z33" s="89"/>
      <c r="AA33" s="151" t="str">
        <f>IF(AA$17="","",HLOOKUP(AA$17,woningen_gebouwen_gegevens,ROWS(bibliotheek!$E$20:$E$34),FALSE))</f>
        <v/>
      </c>
      <c r="AB33" s="151" t="str">
        <f>IF(AB$17="","",HLOOKUP(AB$17,woningen_gebouwen_gegevens,ROWS(bibliotheek!$E$20:$E$34),FALSE))</f>
        <v/>
      </c>
      <c r="AC33" s="151" t="str">
        <f>IF(AC$17="","",HLOOKUP(AC$17,woningen_gebouwen_gegevens,ROWS(bibliotheek!$E$20:$E$34),FALSE))</f>
        <v/>
      </c>
      <c r="AD33" s="151" t="str">
        <f>IF(AD$17="","",HLOOKUP(AD$17,woningen_gebouwen_gegevens,ROWS(bibliotheek!$E$20:$E$34),FALSE))</f>
        <v/>
      </c>
      <c r="AE33" s="151" t="str">
        <f>IF(AE$17="","",HLOOKUP(AE$17,woningen_gebouwen_gegevens,ROWS(bibliotheek!$E$20:$E$34),FALSE))</f>
        <v/>
      </c>
      <c r="AF33" s="151" t="str">
        <f>IF(AF$17="","",HLOOKUP(AF$17,woningen_gebouwen_gegevens,ROWS(bibliotheek!$E$20:$E$34),FALSE))</f>
        <v/>
      </c>
      <c r="AG33" s="151" t="str">
        <f>IF(AG$17="","",HLOOKUP(AG$17,woningen_gebouwen_gegevens,ROWS(bibliotheek!$E$20:$E$34),FALSE))</f>
        <v/>
      </c>
      <c r="AH33" s="151" t="str">
        <f>IF(AH$17="","",HLOOKUP(AH$17,woningen_gebouwen_gegevens,ROWS(bibliotheek!$E$20:$E$34),FALSE))</f>
        <v/>
      </c>
      <c r="AI33" s="151" t="str">
        <f>IF(AI$17="","",HLOOKUP(AI$17,woningen_gebouwen_gegevens,ROWS(bibliotheek!$E$20:$E$34),FALSE))</f>
        <v/>
      </c>
      <c r="AJ33" s="98"/>
      <c r="AK33" s="187"/>
      <c r="AL33" s="89"/>
      <c r="AM33" s="151" t="str">
        <f>IF(AM$17="","",HLOOKUP(AM$17,woningen_gebouwen_gegevens,ROWS(bibliotheek!$E$20:$E$34),FALSE))</f>
        <v/>
      </c>
      <c r="AN33" s="151" t="str">
        <f>IF(AN$17="","",HLOOKUP(AN$17,woningen_gebouwen_gegevens,ROWS(bibliotheek!$E$20:$E$34),FALSE))</f>
        <v/>
      </c>
      <c r="AO33" s="151" t="str">
        <f>IF(AO$17="","",HLOOKUP(AO$17,woningen_gebouwen_gegevens,ROWS(bibliotheek!$E$20:$E$34),FALSE))</f>
        <v/>
      </c>
      <c r="AP33" s="151" t="str">
        <f>IF(AP$17="","",HLOOKUP(AP$17,woningen_gebouwen_gegevens,ROWS(bibliotheek!$E$20:$E$34),FALSE))</f>
        <v/>
      </c>
      <c r="AQ33" s="151" t="str">
        <f>IF(AQ$17="","",HLOOKUP(AQ$17,woningen_gebouwen_gegevens,ROWS(bibliotheek!$E$20:$E$34),FALSE))</f>
        <v/>
      </c>
      <c r="AR33" s="151" t="str">
        <f>IF(AR$17="","",HLOOKUP(AR$17,woningen_gebouwen_gegevens,ROWS(bibliotheek!$E$20:$E$34),FALSE))</f>
        <v/>
      </c>
      <c r="AS33" s="151" t="str">
        <f>IF(AS$17="","",HLOOKUP(AS$17,woningen_gebouwen_gegevens,ROWS(bibliotheek!$E$20:$E$34),FALSE))</f>
        <v/>
      </c>
      <c r="AT33" s="151" t="str">
        <f>IF(AT$17="","",HLOOKUP(AT$17,woningen_gebouwen_gegevens,ROWS(bibliotheek!$E$20:$E$34),FALSE))</f>
        <v/>
      </c>
      <c r="AU33" s="151" t="str">
        <f>IF(AU$17="","",HLOOKUP(AU$17,woningen_gebouwen_gegevens,ROWS(bibliotheek!$E$20:$E$34),FALSE))</f>
        <v/>
      </c>
      <c r="AV33" s="98"/>
      <c r="AW33" s="187"/>
      <c r="AX33" s="89"/>
      <c r="AY33" s="151" t="str">
        <f>IF(AY$17="","",HLOOKUP(AY$17,woningen_gebouwen_gegevens,ROWS(bibliotheek!$E$20:$E$34),FALSE))</f>
        <v/>
      </c>
      <c r="AZ33" s="151" t="str">
        <f>IF(AZ$17="","",HLOOKUP(AZ$17,woningen_gebouwen_gegevens,ROWS(bibliotheek!$E$20:$E$34),FALSE))</f>
        <v/>
      </c>
      <c r="BA33" s="151" t="str">
        <f>IF(BA$17="","",HLOOKUP(BA$17,woningen_gebouwen_gegevens,ROWS(bibliotheek!$E$20:$E$34),FALSE))</f>
        <v/>
      </c>
      <c r="BB33" s="151" t="str">
        <f>IF(BB$17="","",HLOOKUP(BB$17,woningen_gebouwen_gegevens,ROWS(bibliotheek!$E$20:$E$34),FALSE))</f>
        <v/>
      </c>
      <c r="BC33" s="151" t="str">
        <f>IF(BC$17="","",HLOOKUP(BC$17,woningen_gebouwen_gegevens,ROWS(bibliotheek!$E$20:$E$34),FALSE))</f>
        <v/>
      </c>
      <c r="BD33" s="151" t="str">
        <f>IF(BD$17="","",HLOOKUP(BD$17,woningen_gebouwen_gegevens,ROWS(bibliotheek!$E$20:$E$34),FALSE))</f>
        <v/>
      </c>
      <c r="BE33" s="151" t="str">
        <f>IF(BE$17="","",HLOOKUP(BE$17,woningen_gebouwen_gegevens,ROWS(bibliotheek!$E$20:$E$34),FALSE))</f>
        <v/>
      </c>
      <c r="BF33" s="151" t="str">
        <f>IF(BF$17="","",HLOOKUP(BF$17,woningen_gebouwen_gegevens,ROWS(bibliotheek!$E$20:$E$34),FALSE))</f>
        <v/>
      </c>
      <c r="BG33" s="151" t="str">
        <f>IF(BG$17="","",HLOOKUP(BG$17,woningen_gebouwen_gegevens,ROWS(bibliotheek!$E$20:$E$34),FALSE))</f>
        <v/>
      </c>
      <c r="BH33" s="174"/>
    </row>
    <row r="34" spans="1:60">
      <c r="A34" s="1041"/>
      <c r="B34" s="1106" t="s">
        <v>111</v>
      </c>
      <c r="C34" s="1107" t="s">
        <v>104</v>
      </c>
      <c r="D34" s="638"/>
      <c r="E34" s="79"/>
      <c r="F34" s="79"/>
      <c r="G34" s="79"/>
      <c r="H34" s="85"/>
      <c r="I34" s="79"/>
      <c r="J34" s="82"/>
      <c r="K34" s="79"/>
      <c r="L34" s="79"/>
      <c r="M34" s="82"/>
      <c r="N34" s="82"/>
      <c r="O34" s="82"/>
      <c r="P34" s="82"/>
      <c r="Q34" s="82"/>
      <c r="R34" s="82"/>
      <c r="S34" s="82"/>
      <c r="T34" s="82"/>
      <c r="U34" s="82"/>
      <c r="V34" s="82"/>
      <c r="W34" s="82"/>
      <c r="X34" s="82"/>
      <c r="Y34" s="82"/>
      <c r="Z34" s="79"/>
      <c r="AA34" s="82"/>
      <c r="AB34" s="82"/>
      <c r="AC34" s="82"/>
      <c r="AD34" s="82"/>
      <c r="AE34" s="82"/>
      <c r="AF34" s="82"/>
      <c r="AG34" s="82"/>
      <c r="AH34" s="82"/>
      <c r="AI34" s="82"/>
      <c r="AJ34" s="82"/>
      <c r="AK34" s="82"/>
      <c r="AL34" s="79"/>
      <c r="AM34" s="82"/>
      <c r="AN34" s="82"/>
      <c r="AO34" s="82"/>
      <c r="AP34" s="82"/>
      <c r="AQ34" s="82"/>
      <c r="AR34" s="82"/>
      <c r="AS34" s="82"/>
      <c r="AT34" s="82"/>
      <c r="AU34" s="82"/>
      <c r="AV34" s="82"/>
      <c r="AW34" s="82"/>
      <c r="AX34" s="79"/>
      <c r="AY34" s="82"/>
      <c r="AZ34" s="82"/>
      <c r="BA34" s="82"/>
      <c r="BB34" s="82"/>
      <c r="BC34" s="82"/>
      <c r="BD34" s="82"/>
      <c r="BE34" s="82"/>
      <c r="BF34" s="82"/>
      <c r="BG34" s="82"/>
      <c r="BH34" s="1"/>
    </row>
    <row r="35" spans="1:60">
      <c r="A35" s="1041"/>
      <c r="B35" s="1109" t="s">
        <v>132</v>
      </c>
      <c r="C35" s="1107" t="s">
        <v>96</v>
      </c>
      <c r="D35" s="638"/>
      <c r="E35" s="79"/>
      <c r="F35" s="79"/>
      <c r="G35" s="79"/>
      <c r="H35" s="85"/>
      <c r="I35" s="79"/>
      <c r="J35" s="82"/>
      <c r="K35" s="79"/>
      <c r="L35" s="79"/>
      <c r="M35" s="82"/>
      <c r="N35" s="82"/>
      <c r="O35" s="82"/>
      <c r="P35" s="82"/>
      <c r="Q35" s="82"/>
      <c r="R35" s="82"/>
      <c r="S35" s="82"/>
      <c r="T35" s="82"/>
      <c r="U35" s="82"/>
      <c r="V35" s="82"/>
      <c r="W35" s="82"/>
      <c r="X35" s="82"/>
      <c r="Y35" s="82"/>
      <c r="Z35" s="79"/>
      <c r="AA35" s="82"/>
      <c r="AB35" s="82"/>
      <c r="AC35" s="82"/>
      <c r="AD35" s="82"/>
      <c r="AE35" s="82"/>
      <c r="AF35" s="82"/>
      <c r="AG35" s="82"/>
      <c r="AH35" s="82"/>
      <c r="AI35" s="82"/>
      <c r="AJ35" s="82"/>
      <c r="AK35" s="82"/>
      <c r="AL35" s="79"/>
      <c r="AM35" s="82"/>
      <c r="AN35" s="82"/>
      <c r="AO35" s="82"/>
      <c r="AP35" s="82"/>
      <c r="AQ35" s="82"/>
      <c r="AR35" s="82"/>
      <c r="AS35" s="82"/>
      <c r="AT35" s="82"/>
      <c r="AU35" s="82"/>
      <c r="AV35" s="82"/>
      <c r="AW35" s="82"/>
      <c r="AX35" s="79"/>
      <c r="AY35" s="82"/>
      <c r="AZ35" s="82"/>
      <c r="BA35" s="82"/>
      <c r="BB35" s="82"/>
      <c r="BC35" s="82"/>
      <c r="BD35" s="82"/>
      <c r="BE35" s="82"/>
      <c r="BF35" s="82"/>
      <c r="BG35" s="82"/>
      <c r="BH35" s="1"/>
    </row>
    <row r="36" spans="1:60" s="2" customFormat="1" ht="21">
      <c r="A36" s="1042"/>
      <c r="B36" s="1109" t="s">
        <v>132</v>
      </c>
      <c r="C36" s="1106" t="s">
        <v>96</v>
      </c>
      <c r="D36" s="640"/>
      <c r="E36" s="209" t="s">
        <v>133</v>
      </c>
      <c r="F36" s="209"/>
      <c r="G36" s="209"/>
      <c r="H36" s="209"/>
      <c r="I36" s="129"/>
      <c r="J36" s="257" t="str">
        <f>J$8</f>
        <v>alle locaties</v>
      </c>
      <c r="K36" s="126"/>
      <c r="L36" s="126"/>
      <c r="M36" s="257" t="str">
        <f>M$8</f>
        <v>locatie 1</v>
      </c>
      <c r="N36" s="193"/>
      <c r="O36" s="955" t="str">
        <f>$E36&amp;" per woning-/gebouwtype"</f>
        <v>energiemaatregelen met effect op energiebehoefte per woning-/gebouwtype</v>
      </c>
      <c r="P36" s="945"/>
      <c r="Q36" s="945"/>
      <c r="R36" s="945"/>
      <c r="S36" s="945"/>
      <c r="T36" s="945"/>
      <c r="U36" s="945"/>
      <c r="V36" s="945"/>
      <c r="W36" s="257"/>
      <c r="X36" s="174"/>
      <c r="Y36" s="257" t="str">
        <f>Y$10</f>
        <v>locatie 2</v>
      </c>
      <c r="Z36" s="193"/>
      <c r="AA36" s="955" t="str">
        <f>$E36&amp;" per woning-/gebouwtype"</f>
        <v>energiemaatregelen met effect op energiebehoefte per woning-/gebouwtype</v>
      </c>
      <c r="AB36" s="945"/>
      <c r="AC36" s="945"/>
      <c r="AD36" s="945"/>
      <c r="AE36" s="945"/>
      <c r="AF36" s="945"/>
      <c r="AG36" s="945"/>
      <c r="AH36" s="945"/>
      <c r="AI36" s="257"/>
      <c r="AJ36" s="174"/>
      <c r="AK36" s="257" t="str">
        <f>AK$10</f>
        <v>locatie 3</v>
      </c>
      <c r="AL36" s="193"/>
      <c r="AM36" s="955" t="str">
        <f>$E36&amp;" per woning-/gebouwtype"</f>
        <v>energiemaatregelen met effect op energiebehoefte per woning-/gebouwtype</v>
      </c>
      <c r="AN36" s="945"/>
      <c r="AO36" s="945"/>
      <c r="AP36" s="945"/>
      <c r="AQ36" s="945"/>
      <c r="AR36" s="945"/>
      <c r="AS36" s="945"/>
      <c r="AT36" s="945"/>
      <c r="AU36" s="257"/>
      <c r="AV36" s="174"/>
      <c r="AW36" s="257" t="str">
        <f>AW$10</f>
        <v>locatie 4</v>
      </c>
      <c r="AX36" s="193"/>
      <c r="AY36" s="955" t="str">
        <f>$E36&amp;" per woning-/gebouwtype"</f>
        <v>energiemaatregelen met effect op energiebehoefte per woning-/gebouwtype</v>
      </c>
      <c r="AZ36" s="945"/>
      <c r="BA36" s="945"/>
      <c r="BB36" s="945"/>
      <c r="BC36" s="945"/>
      <c r="BD36" s="945"/>
      <c r="BE36" s="945"/>
      <c r="BF36" s="945"/>
      <c r="BG36" s="257"/>
      <c r="BH36" s="1"/>
    </row>
    <row r="37" spans="1:60">
      <c r="A37" s="1041"/>
      <c r="B37" s="1109" t="s">
        <v>132</v>
      </c>
      <c r="C37" s="1107" t="s">
        <v>118</v>
      </c>
      <c r="D37" s="638"/>
      <c r="E37" s="942" t="s">
        <v>134</v>
      </c>
      <c r="F37" s="942"/>
      <c r="G37" s="942"/>
      <c r="H37" s="942"/>
      <c r="I37" s="129"/>
      <c r="J37" s="943"/>
      <c r="K37" s="126"/>
      <c r="L37" s="126"/>
      <c r="M37" s="944"/>
      <c r="N37" s="195"/>
      <c r="O37" s="258" t="str">
        <f>O$17</f>
        <v/>
      </c>
      <c r="P37" s="258" t="str">
        <f t="shared" ref="P37:W37" si="38">P$17</f>
        <v/>
      </c>
      <c r="Q37" s="258" t="str">
        <f t="shared" si="38"/>
        <v/>
      </c>
      <c r="R37" s="258" t="str">
        <f t="shared" si="38"/>
        <v/>
      </c>
      <c r="S37" s="258" t="str">
        <f t="shared" si="38"/>
        <v/>
      </c>
      <c r="T37" s="258" t="str">
        <f t="shared" si="38"/>
        <v/>
      </c>
      <c r="U37" s="258" t="str">
        <f t="shared" si="38"/>
        <v/>
      </c>
      <c r="V37" s="258" t="str">
        <f t="shared" si="38"/>
        <v/>
      </c>
      <c r="W37" s="258" t="str">
        <f t="shared" si="38"/>
        <v/>
      </c>
      <c r="X37" s="195"/>
      <c r="Y37" s="944"/>
      <c r="Z37" s="195"/>
      <c r="AA37" s="258" t="str">
        <f>AA$17</f>
        <v/>
      </c>
      <c r="AB37" s="258" t="str">
        <f t="shared" ref="AB37:AI37" si="39">AB$17</f>
        <v/>
      </c>
      <c r="AC37" s="258" t="str">
        <f t="shared" si="39"/>
        <v/>
      </c>
      <c r="AD37" s="258" t="str">
        <f t="shared" si="39"/>
        <v/>
      </c>
      <c r="AE37" s="258" t="str">
        <f t="shared" si="39"/>
        <v/>
      </c>
      <c r="AF37" s="258" t="str">
        <f t="shared" si="39"/>
        <v/>
      </c>
      <c r="AG37" s="258" t="str">
        <f t="shared" si="39"/>
        <v/>
      </c>
      <c r="AH37" s="258" t="str">
        <f t="shared" si="39"/>
        <v/>
      </c>
      <c r="AI37" s="258" t="str">
        <f t="shared" si="39"/>
        <v/>
      </c>
      <c r="AJ37" s="195"/>
      <c r="AK37" s="944"/>
      <c r="AL37" s="195"/>
      <c r="AM37" s="258" t="str">
        <f>AM$17</f>
        <v/>
      </c>
      <c r="AN37" s="258" t="str">
        <f t="shared" ref="AN37:AU37" si="40">AN$17</f>
        <v/>
      </c>
      <c r="AO37" s="258" t="str">
        <f t="shared" si="40"/>
        <v/>
      </c>
      <c r="AP37" s="258" t="str">
        <f t="shared" si="40"/>
        <v/>
      </c>
      <c r="AQ37" s="258" t="str">
        <f t="shared" si="40"/>
        <v/>
      </c>
      <c r="AR37" s="258" t="str">
        <f t="shared" si="40"/>
        <v/>
      </c>
      <c r="AS37" s="258" t="str">
        <f t="shared" si="40"/>
        <v/>
      </c>
      <c r="AT37" s="258" t="str">
        <f t="shared" si="40"/>
        <v/>
      </c>
      <c r="AU37" s="258" t="str">
        <f t="shared" si="40"/>
        <v/>
      </c>
      <c r="AV37" s="195"/>
      <c r="AW37" s="944"/>
      <c r="AX37" s="195"/>
      <c r="AY37" s="258" t="str">
        <f>AY$17</f>
        <v/>
      </c>
      <c r="AZ37" s="258" t="str">
        <f t="shared" ref="AZ37:BG37" si="41">AZ$17</f>
        <v/>
      </c>
      <c r="BA37" s="258" t="str">
        <f t="shared" si="41"/>
        <v/>
      </c>
      <c r="BB37" s="258" t="str">
        <f t="shared" si="41"/>
        <v/>
      </c>
      <c r="BC37" s="258" t="str">
        <f t="shared" si="41"/>
        <v/>
      </c>
      <c r="BD37" s="258" t="str">
        <f t="shared" si="41"/>
        <v/>
      </c>
      <c r="BE37" s="258" t="str">
        <f t="shared" si="41"/>
        <v/>
      </c>
      <c r="BF37" s="258" t="str">
        <f t="shared" si="41"/>
        <v/>
      </c>
      <c r="BG37" s="258" t="str">
        <f t="shared" si="41"/>
        <v/>
      </c>
      <c r="BH37" s="36"/>
    </row>
    <row r="38" spans="1:60" s="2" customFormat="1">
      <c r="A38" s="1042"/>
      <c r="B38" s="1110" t="s">
        <v>132</v>
      </c>
      <c r="C38" s="1106" t="s">
        <v>118</v>
      </c>
      <c r="D38" s="645" t="s">
        <v>45</v>
      </c>
      <c r="E38" s="254" t="s">
        <v>135</v>
      </c>
      <c r="F38" s="254"/>
      <c r="G38" s="254"/>
      <c r="H38" s="181" t="s">
        <v>65</v>
      </c>
      <c r="I38" s="171"/>
      <c r="J38" s="1124"/>
      <c r="K38" s="79"/>
      <c r="L38" s="79"/>
      <c r="M38" s="554"/>
      <c r="N38" s="1120"/>
      <c r="O38" s="151" t="str">
        <f t="shared" ref="O38:W38" si="42">IF(O$17="","",IF(AND(O39&lt;&gt;"",
ISERROR(MATCH(O39,isolatiepakketten_gebouwschil_namen,0))=FALSE),O39,
INDEX(referentiepakketten_bij_gebouwen,MATCH(O$17,woningen_gebouwen_namen,0))))</f>
        <v/>
      </c>
      <c r="P38" s="151" t="str">
        <f t="shared" si="42"/>
        <v/>
      </c>
      <c r="Q38" s="151" t="str">
        <f t="shared" si="42"/>
        <v/>
      </c>
      <c r="R38" s="151" t="str">
        <f t="shared" si="42"/>
        <v/>
      </c>
      <c r="S38" s="151" t="str">
        <f t="shared" si="42"/>
        <v/>
      </c>
      <c r="T38" s="151" t="str">
        <f t="shared" si="42"/>
        <v/>
      </c>
      <c r="U38" s="151" t="str">
        <f t="shared" si="42"/>
        <v/>
      </c>
      <c r="V38" s="151" t="str">
        <f t="shared" si="42"/>
        <v/>
      </c>
      <c r="W38" s="151" t="str">
        <f t="shared" si="42"/>
        <v/>
      </c>
      <c r="X38" s="1120"/>
      <c r="Y38" s="554"/>
      <c r="Z38" s="1120"/>
      <c r="AA38" s="151" t="str">
        <f t="shared" ref="AA38:AI38" si="43">IF(AA$17="","",IF(AND(AA39&lt;&gt;"",
ISERROR(MATCH(AA39,isolatiepakketten_gebouwschil_namen,0))=FALSE),AA39,
INDEX(referentiepakketten_bij_gebouwen,MATCH(AA$17,woningen_gebouwen_namen,0))))</f>
        <v/>
      </c>
      <c r="AB38" s="151" t="str">
        <f t="shared" si="43"/>
        <v/>
      </c>
      <c r="AC38" s="151" t="str">
        <f t="shared" si="43"/>
        <v/>
      </c>
      <c r="AD38" s="151" t="str">
        <f t="shared" si="43"/>
        <v/>
      </c>
      <c r="AE38" s="151" t="str">
        <f t="shared" si="43"/>
        <v/>
      </c>
      <c r="AF38" s="151" t="str">
        <f t="shared" si="43"/>
        <v/>
      </c>
      <c r="AG38" s="151" t="str">
        <f t="shared" si="43"/>
        <v/>
      </c>
      <c r="AH38" s="151" t="str">
        <f t="shared" si="43"/>
        <v/>
      </c>
      <c r="AI38" s="151" t="str">
        <f t="shared" si="43"/>
        <v/>
      </c>
      <c r="AJ38" s="1120"/>
      <c r="AK38" s="554"/>
      <c r="AL38" s="195"/>
      <c r="AM38" s="151" t="str">
        <f t="shared" ref="AM38:AU38" si="44">IF(AM$17="","",IF(AND(AM39&lt;&gt;"",
ISERROR(MATCH(AM39,isolatiepakketten_gebouwschil_namen,0))=FALSE),AM39,
INDEX(referentiepakketten_bij_gebouwen,MATCH(AM$17,woningen_gebouwen_namen,0))))</f>
        <v/>
      </c>
      <c r="AN38" s="151" t="str">
        <f t="shared" si="44"/>
        <v/>
      </c>
      <c r="AO38" s="151" t="str">
        <f t="shared" si="44"/>
        <v/>
      </c>
      <c r="AP38" s="151" t="str">
        <f t="shared" si="44"/>
        <v/>
      </c>
      <c r="AQ38" s="151" t="str">
        <f t="shared" si="44"/>
        <v/>
      </c>
      <c r="AR38" s="151" t="str">
        <f t="shared" si="44"/>
        <v/>
      </c>
      <c r="AS38" s="151" t="str">
        <f t="shared" si="44"/>
        <v/>
      </c>
      <c r="AT38" s="151" t="str">
        <f t="shared" si="44"/>
        <v/>
      </c>
      <c r="AU38" s="151" t="str">
        <f t="shared" si="44"/>
        <v/>
      </c>
      <c r="AV38" s="195"/>
      <c r="AW38" s="554"/>
      <c r="AX38" s="195"/>
      <c r="AY38" s="151" t="str">
        <f t="shared" ref="AY38:BG38" si="45">IF(AY$17="","",IF(AND(AY39&lt;&gt;"",
ISERROR(MATCH(AY39,isolatiepakketten_gebouwschil_namen,0))=FALSE),AY39,
INDEX(referentiepakketten_bij_gebouwen,MATCH(AY$17,woningen_gebouwen_namen,0))))</f>
        <v/>
      </c>
      <c r="AZ38" s="151" t="str">
        <f t="shared" si="45"/>
        <v/>
      </c>
      <c r="BA38" s="151" t="str">
        <f t="shared" si="45"/>
        <v/>
      </c>
      <c r="BB38" s="151" t="str">
        <f t="shared" si="45"/>
        <v/>
      </c>
      <c r="BC38" s="151" t="str">
        <f t="shared" si="45"/>
        <v/>
      </c>
      <c r="BD38" s="151" t="str">
        <f t="shared" si="45"/>
        <v/>
      </c>
      <c r="BE38" s="151" t="str">
        <f t="shared" si="45"/>
        <v/>
      </c>
      <c r="BF38" s="151" t="str">
        <f t="shared" si="45"/>
        <v/>
      </c>
      <c r="BG38" s="151" t="str">
        <f t="shared" si="45"/>
        <v/>
      </c>
      <c r="BH38" s="215"/>
    </row>
    <row r="39" spans="1:60">
      <c r="A39" s="1041"/>
      <c r="B39" s="1109" t="s">
        <v>132</v>
      </c>
      <c r="C39" s="1106" t="s">
        <v>118</v>
      </c>
      <c r="D39" s="638"/>
      <c r="E39" s="1218" t="s">
        <v>951</v>
      </c>
      <c r="F39" s="236"/>
      <c r="G39" s="236"/>
      <c r="H39" s="150" t="s">
        <v>65</v>
      </c>
      <c r="I39" s="171"/>
      <c r="J39" s="616"/>
      <c r="K39" s="79"/>
      <c r="L39" s="79"/>
      <c r="M39" s="184"/>
      <c r="N39" s="195"/>
      <c r="O39" s="871"/>
      <c r="P39" s="871"/>
      <c r="Q39" s="871"/>
      <c r="R39" s="871"/>
      <c r="S39" s="871"/>
      <c r="T39" s="871"/>
      <c r="U39" s="871"/>
      <c r="V39" s="871"/>
      <c r="W39" s="871"/>
      <c r="X39" s="195"/>
      <c r="Y39" s="184"/>
      <c r="Z39" s="195"/>
      <c r="AA39" s="871"/>
      <c r="AB39" s="871"/>
      <c r="AC39" s="871"/>
      <c r="AD39" s="871"/>
      <c r="AE39" s="871"/>
      <c r="AF39" s="871"/>
      <c r="AG39" s="871"/>
      <c r="AH39" s="871"/>
      <c r="AI39" s="871"/>
      <c r="AJ39" s="195"/>
      <c r="AK39" s="184"/>
      <c r="AL39" s="195"/>
      <c r="AM39" s="871"/>
      <c r="AN39" s="871"/>
      <c r="AO39" s="871"/>
      <c r="AP39" s="871"/>
      <c r="AQ39" s="871"/>
      <c r="AR39" s="871"/>
      <c r="AS39" s="871"/>
      <c r="AT39" s="871"/>
      <c r="AU39" s="871"/>
      <c r="AV39" s="195"/>
      <c r="AW39" s="184"/>
      <c r="AX39" s="195"/>
      <c r="AY39" s="871"/>
      <c r="AZ39" s="871"/>
      <c r="BA39" s="871"/>
      <c r="BB39" s="871"/>
      <c r="BC39" s="871"/>
      <c r="BD39" s="871"/>
      <c r="BE39" s="871"/>
      <c r="BF39" s="871"/>
      <c r="BG39" s="871"/>
      <c r="BH39" s="215"/>
    </row>
    <row r="40" spans="1:60" s="36" customFormat="1" ht="17.25" customHeight="1">
      <c r="A40" s="1043"/>
      <c r="B40" s="1109" t="s">
        <v>132</v>
      </c>
      <c r="C40" s="1107" t="s">
        <v>118</v>
      </c>
      <c r="D40" s="642"/>
      <c r="E40" s="1266" t="s">
        <v>1291</v>
      </c>
      <c r="F40" s="1266"/>
      <c r="G40" s="1266"/>
      <c r="H40" s="150" t="s">
        <v>65</v>
      </c>
      <c r="I40" s="102"/>
      <c r="J40" s="616"/>
      <c r="K40" s="86"/>
      <c r="L40" s="86"/>
      <c r="M40" s="184"/>
      <c r="N40" s="88"/>
      <c r="O40" s="738" t="s">
        <v>1294</v>
      </c>
      <c r="P40" s="738" t="s">
        <v>1294</v>
      </c>
      <c r="Q40" s="738" t="s">
        <v>1294</v>
      </c>
      <c r="R40" s="738" t="s">
        <v>1294</v>
      </c>
      <c r="S40" s="738" t="s">
        <v>1294</v>
      </c>
      <c r="T40" s="738" t="s">
        <v>1294</v>
      </c>
      <c r="U40" s="738" t="s">
        <v>1294</v>
      </c>
      <c r="V40" s="738" t="s">
        <v>1294</v>
      </c>
      <c r="W40" s="738" t="s">
        <v>1294</v>
      </c>
      <c r="X40" s="659"/>
      <c r="Y40" s="184"/>
      <c r="Z40" s="660"/>
      <c r="AA40" s="738" t="s">
        <v>1294</v>
      </c>
      <c r="AB40" s="738" t="s">
        <v>1294</v>
      </c>
      <c r="AC40" s="738" t="s">
        <v>1294</v>
      </c>
      <c r="AD40" s="738" t="s">
        <v>1294</v>
      </c>
      <c r="AE40" s="738" t="s">
        <v>1294</v>
      </c>
      <c r="AF40" s="738" t="s">
        <v>1294</v>
      </c>
      <c r="AG40" s="738" t="s">
        <v>1294</v>
      </c>
      <c r="AH40" s="738" t="s">
        <v>1294</v>
      </c>
      <c r="AI40" s="738" t="s">
        <v>1294</v>
      </c>
      <c r="AJ40" s="659"/>
      <c r="AK40" s="184"/>
      <c r="AL40" s="661"/>
      <c r="AM40" s="738" t="s">
        <v>1294</v>
      </c>
      <c r="AN40" s="738" t="s">
        <v>1294</v>
      </c>
      <c r="AO40" s="738" t="s">
        <v>1294</v>
      </c>
      <c r="AP40" s="738" t="s">
        <v>1294</v>
      </c>
      <c r="AQ40" s="738" t="s">
        <v>1294</v>
      </c>
      <c r="AR40" s="738" t="s">
        <v>1294</v>
      </c>
      <c r="AS40" s="738" t="s">
        <v>1294</v>
      </c>
      <c r="AT40" s="738" t="s">
        <v>1294</v>
      </c>
      <c r="AU40" s="738" t="s">
        <v>1294</v>
      </c>
      <c r="AV40" s="659"/>
      <c r="AW40" s="184"/>
      <c r="AX40" s="661"/>
      <c r="AY40" s="738" t="s">
        <v>1294</v>
      </c>
      <c r="AZ40" s="738" t="s">
        <v>1294</v>
      </c>
      <c r="BA40" s="738" t="s">
        <v>1294</v>
      </c>
      <c r="BB40" s="738" t="s">
        <v>1294</v>
      </c>
      <c r="BC40" s="738" t="s">
        <v>1294</v>
      </c>
      <c r="BD40" s="738" t="s">
        <v>1294</v>
      </c>
      <c r="BE40" s="738" t="s">
        <v>1294</v>
      </c>
      <c r="BF40" s="738" t="s">
        <v>1294</v>
      </c>
      <c r="BG40" s="738" t="s">
        <v>1294</v>
      </c>
      <c r="BH40" s="217"/>
    </row>
    <row r="41" spans="1:60" ht="25.5">
      <c r="A41" s="1043"/>
      <c r="B41" s="1109" t="s">
        <v>132</v>
      </c>
      <c r="C41" s="1106" t="s">
        <v>118</v>
      </c>
      <c r="D41" s="642"/>
      <c r="E41" s="149" t="s">
        <v>137</v>
      </c>
      <c r="F41" s="149"/>
      <c r="G41" s="149"/>
      <c r="H41" s="150" t="s">
        <v>65</v>
      </c>
      <c r="I41" s="102"/>
      <c r="J41" s="184"/>
      <c r="K41" s="86"/>
      <c r="L41" s="86"/>
      <c r="M41" s="184"/>
      <c r="N41" s="88"/>
      <c r="O41" s="738" t="s">
        <v>138</v>
      </c>
      <c r="P41" s="738" t="s">
        <v>138</v>
      </c>
      <c r="Q41" s="738" t="s">
        <v>138</v>
      </c>
      <c r="R41" s="738" t="s">
        <v>138</v>
      </c>
      <c r="S41" s="738" t="s">
        <v>138</v>
      </c>
      <c r="T41" s="738" t="s">
        <v>138</v>
      </c>
      <c r="U41" s="738" t="s">
        <v>138</v>
      </c>
      <c r="V41" s="738" t="s">
        <v>138</v>
      </c>
      <c r="W41" s="738" t="s">
        <v>138</v>
      </c>
      <c r="X41" s="659"/>
      <c r="Y41" s="184"/>
      <c r="Z41" s="195"/>
      <c r="AA41" s="738" t="s">
        <v>138</v>
      </c>
      <c r="AB41" s="738" t="s">
        <v>138</v>
      </c>
      <c r="AC41" s="738" t="s">
        <v>138</v>
      </c>
      <c r="AD41" s="738" t="s">
        <v>138</v>
      </c>
      <c r="AE41" s="738" t="s">
        <v>138</v>
      </c>
      <c r="AF41" s="738" t="s">
        <v>138</v>
      </c>
      <c r="AG41" s="738" t="s">
        <v>138</v>
      </c>
      <c r="AH41" s="738" t="s">
        <v>138</v>
      </c>
      <c r="AI41" s="738" t="s">
        <v>138</v>
      </c>
      <c r="AJ41" s="659"/>
      <c r="AK41" s="184"/>
      <c r="AL41" s="661"/>
      <c r="AM41" s="738" t="s">
        <v>138</v>
      </c>
      <c r="AN41" s="738" t="s">
        <v>138</v>
      </c>
      <c r="AO41" s="738" t="s">
        <v>138</v>
      </c>
      <c r="AP41" s="738" t="s">
        <v>138</v>
      </c>
      <c r="AQ41" s="738" t="s">
        <v>138</v>
      </c>
      <c r="AR41" s="738" t="s">
        <v>138</v>
      </c>
      <c r="AS41" s="738" t="s">
        <v>138</v>
      </c>
      <c r="AT41" s="738" t="s">
        <v>138</v>
      </c>
      <c r="AU41" s="738" t="s">
        <v>138</v>
      </c>
      <c r="AV41" s="659"/>
      <c r="AW41" s="184"/>
      <c r="AX41" s="661"/>
      <c r="AY41" s="738" t="s">
        <v>138</v>
      </c>
      <c r="AZ41" s="738" t="s">
        <v>138</v>
      </c>
      <c r="BA41" s="738" t="s">
        <v>138</v>
      </c>
      <c r="BB41" s="738" t="s">
        <v>138</v>
      </c>
      <c r="BC41" s="738" t="s">
        <v>138</v>
      </c>
      <c r="BD41" s="738" t="s">
        <v>138</v>
      </c>
      <c r="BE41" s="738" t="s">
        <v>138</v>
      </c>
      <c r="BF41" s="738" t="s">
        <v>138</v>
      </c>
      <c r="BG41" s="738" t="s">
        <v>138</v>
      </c>
      <c r="BH41" s="217"/>
    </row>
    <row r="42" spans="1:60">
      <c r="A42" s="1043"/>
      <c r="B42" s="1109" t="s">
        <v>132</v>
      </c>
      <c r="C42" s="1106" t="s">
        <v>118</v>
      </c>
      <c r="D42" s="642"/>
      <c r="E42" s="149" t="s">
        <v>1126</v>
      </c>
      <c r="F42" s="149"/>
      <c r="G42" s="149"/>
      <c r="H42" s="150" t="s">
        <v>65</v>
      </c>
      <c r="I42" s="102"/>
      <c r="J42" s="184"/>
      <c r="K42" s="86"/>
      <c r="L42" s="86"/>
      <c r="M42" s="184"/>
      <c r="N42" s="88"/>
      <c r="O42" s="738" t="s">
        <v>166</v>
      </c>
      <c r="P42" s="738" t="s">
        <v>166</v>
      </c>
      <c r="Q42" s="738" t="s">
        <v>166</v>
      </c>
      <c r="R42" s="738" t="s">
        <v>166</v>
      </c>
      <c r="S42" s="738" t="s">
        <v>166</v>
      </c>
      <c r="T42" s="738" t="s">
        <v>166</v>
      </c>
      <c r="U42" s="738" t="s">
        <v>166</v>
      </c>
      <c r="V42" s="738" t="s">
        <v>166</v>
      </c>
      <c r="W42" s="738" t="s">
        <v>166</v>
      </c>
      <c r="X42" s="659"/>
      <c r="Y42" s="184"/>
      <c r="Z42" s="195"/>
      <c r="AA42" s="738" t="s">
        <v>166</v>
      </c>
      <c r="AB42" s="738" t="s">
        <v>166</v>
      </c>
      <c r="AC42" s="738" t="s">
        <v>166</v>
      </c>
      <c r="AD42" s="738" t="s">
        <v>166</v>
      </c>
      <c r="AE42" s="738" t="s">
        <v>166</v>
      </c>
      <c r="AF42" s="738" t="s">
        <v>166</v>
      </c>
      <c r="AG42" s="738" t="s">
        <v>166</v>
      </c>
      <c r="AH42" s="738" t="s">
        <v>166</v>
      </c>
      <c r="AI42" s="738" t="s">
        <v>166</v>
      </c>
      <c r="AJ42" s="659"/>
      <c r="AK42" s="184"/>
      <c r="AL42" s="661"/>
      <c r="AM42" s="738" t="s">
        <v>166</v>
      </c>
      <c r="AN42" s="738" t="s">
        <v>166</v>
      </c>
      <c r="AO42" s="738" t="s">
        <v>166</v>
      </c>
      <c r="AP42" s="738" t="s">
        <v>166</v>
      </c>
      <c r="AQ42" s="738" t="s">
        <v>166</v>
      </c>
      <c r="AR42" s="738" t="s">
        <v>166</v>
      </c>
      <c r="AS42" s="738" t="s">
        <v>166</v>
      </c>
      <c r="AT42" s="738" t="s">
        <v>166</v>
      </c>
      <c r="AU42" s="738" t="s">
        <v>166</v>
      </c>
      <c r="AV42" s="659"/>
      <c r="AW42" s="184"/>
      <c r="AX42" s="661"/>
      <c r="AY42" s="738" t="s">
        <v>166</v>
      </c>
      <c r="AZ42" s="738" t="s">
        <v>166</v>
      </c>
      <c r="BA42" s="738" t="s">
        <v>166</v>
      </c>
      <c r="BB42" s="738" t="s">
        <v>166</v>
      </c>
      <c r="BC42" s="738" t="s">
        <v>166</v>
      </c>
      <c r="BD42" s="738" t="s">
        <v>166</v>
      </c>
      <c r="BE42" s="738" t="s">
        <v>166</v>
      </c>
      <c r="BF42" s="738" t="s">
        <v>166</v>
      </c>
      <c r="BG42" s="738" t="s">
        <v>166</v>
      </c>
      <c r="BH42" s="217"/>
    </row>
    <row r="43" spans="1:60" s="2" customFormat="1" hidden="1">
      <c r="A43" s="1044"/>
      <c r="B43" s="1110" t="s">
        <v>132</v>
      </c>
      <c r="C43" s="1106" t="s">
        <v>181</v>
      </c>
      <c r="D43" s="639"/>
      <c r="E43" s="255" t="s">
        <v>1304</v>
      </c>
      <c r="F43" s="180"/>
      <c r="G43" s="180"/>
      <c r="H43" s="181" t="s">
        <v>65</v>
      </c>
      <c r="I43" s="171"/>
      <c r="J43" s="554"/>
      <c r="K43" s="79"/>
      <c r="L43" s="79"/>
      <c r="M43" s="554"/>
      <c r="N43" s="89"/>
      <c r="O43" s="1182"/>
      <c r="P43" s="1182"/>
      <c r="Q43" s="1182"/>
      <c r="R43" s="1182"/>
      <c r="S43" s="1182"/>
      <c r="T43" s="1182"/>
      <c r="U43" s="1182"/>
      <c r="V43" s="1182"/>
      <c r="W43" s="1182"/>
      <c r="X43" s="658"/>
      <c r="Y43" s="554"/>
      <c r="Z43" s="1120"/>
      <c r="AA43" s="1182"/>
      <c r="AB43" s="1182"/>
      <c r="AC43" s="1182"/>
      <c r="AD43" s="1182"/>
      <c r="AE43" s="1182"/>
      <c r="AF43" s="1182"/>
      <c r="AG43" s="1182"/>
      <c r="AH43" s="1182"/>
      <c r="AI43" s="1182"/>
      <c r="AJ43" s="658"/>
      <c r="AK43" s="554"/>
      <c r="AL43" s="662"/>
      <c r="AM43" s="1182"/>
      <c r="AN43" s="1182"/>
      <c r="AO43" s="1182"/>
      <c r="AP43" s="1182"/>
      <c r="AQ43" s="1182"/>
      <c r="AR43" s="1182"/>
      <c r="AS43" s="1182"/>
      <c r="AT43" s="1182"/>
      <c r="AU43" s="1182"/>
      <c r="AV43" s="658"/>
      <c r="AW43" s="554"/>
      <c r="AX43" s="662"/>
      <c r="AY43" s="1182"/>
      <c r="AZ43" s="1182"/>
      <c r="BA43" s="1182"/>
      <c r="BB43" s="1182"/>
      <c r="BC43" s="1182"/>
      <c r="BD43" s="1182"/>
      <c r="BE43" s="1182"/>
      <c r="BF43" s="1182"/>
      <c r="BG43" s="1182"/>
      <c r="BH43" s="216"/>
    </row>
    <row r="44" spans="1:60" s="2" customFormat="1">
      <c r="A44" s="1044"/>
      <c r="B44" s="1110" t="s">
        <v>132</v>
      </c>
      <c r="C44" s="1106" t="s">
        <v>118</v>
      </c>
      <c r="D44" s="645" t="s">
        <v>45</v>
      </c>
      <c r="E44" s="1220" t="s">
        <v>1378</v>
      </c>
      <c r="F44" s="180"/>
      <c r="G44" s="180"/>
      <c r="H44" s="181" t="s">
        <v>1165</v>
      </c>
      <c r="I44" s="171"/>
      <c r="J44" s="554"/>
      <c r="K44" s="79"/>
      <c r="L44" s="79"/>
      <c r="M44" s="554"/>
      <c r="N44" s="89"/>
      <c r="O44" s="739">
        <v>1</v>
      </c>
      <c r="P44" s="739">
        <v>1</v>
      </c>
      <c r="Q44" s="739">
        <v>1</v>
      </c>
      <c r="R44" s="739">
        <v>1</v>
      </c>
      <c r="S44" s="739">
        <v>1</v>
      </c>
      <c r="T44" s="739">
        <v>1</v>
      </c>
      <c r="U44" s="739">
        <v>1</v>
      </c>
      <c r="V44" s="739">
        <v>1</v>
      </c>
      <c r="W44" s="739">
        <v>1</v>
      </c>
      <c r="X44" s="658"/>
      <c r="Y44" s="554"/>
      <c r="Z44" s="1120"/>
      <c r="AA44" s="739">
        <v>1</v>
      </c>
      <c r="AB44" s="739">
        <v>1</v>
      </c>
      <c r="AC44" s="739">
        <v>1</v>
      </c>
      <c r="AD44" s="739">
        <v>1</v>
      </c>
      <c r="AE44" s="739">
        <v>1</v>
      </c>
      <c r="AF44" s="739">
        <v>1</v>
      </c>
      <c r="AG44" s="739">
        <v>1</v>
      </c>
      <c r="AH44" s="739">
        <v>1</v>
      </c>
      <c r="AI44" s="739">
        <v>1</v>
      </c>
      <c r="AJ44" s="658"/>
      <c r="AK44" s="554"/>
      <c r="AL44" s="662"/>
      <c r="AM44" s="739">
        <v>1</v>
      </c>
      <c r="AN44" s="739">
        <v>1</v>
      </c>
      <c r="AO44" s="739">
        <v>1</v>
      </c>
      <c r="AP44" s="739">
        <v>1</v>
      </c>
      <c r="AQ44" s="739">
        <v>1</v>
      </c>
      <c r="AR44" s="739">
        <v>1</v>
      </c>
      <c r="AS44" s="739">
        <v>1</v>
      </c>
      <c r="AT44" s="739">
        <v>1</v>
      </c>
      <c r="AU44" s="739">
        <v>1</v>
      </c>
      <c r="AV44" s="658"/>
      <c r="AW44" s="554"/>
      <c r="AX44" s="662"/>
      <c r="AY44" s="739">
        <v>1</v>
      </c>
      <c r="AZ44" s="739">
        <v>1</v>
      </c>
      <c r="BA44" s="739">
        <v>1</v>
      </c>
      <c r="BB44" s="739">
        <v>1</v>
      </c>
      <c r="BC44" s="739">
        <v>1</v>
      </c>
      <c r="BD44" s="739">
        <v>1</v>
      </c>
      <c r="BE44" s="739">
        <v>1</v>
      </c>
      <c r="BF44" s="739">
        <v>1</v>
      </c>
      <c r="BG44" s="739">
        <v>1</v>
      </c>
      <c r="BH44" s="216"/>
    </row>
    <row r="45" spans="1:60" s="2" customFormat="1">
      <c r="A45" s="1044"/>
      <c r="B45" s="1110" t="s">
        <v>132</v>
      </c>
      <c r="C45" s="1106" t="s">
        <v>118</v>
      </c>
      <c r="D45" s="645" t="s">
        <v>45</v>
      </c>
      <c r="E45" s="180" t="s">
        <v>140</v>
      </c>
      <c r="F45" s="180"/>
      <c r="G45" s="180"/>
      <c r="H45" s="181" t="s">
        <v>141</v>
      </c>
      <c r="I45" s="171"/>
      <c r="J45" s="202"/>
      <c r="K45" s="243"/>
      <c r="L45" s="243"/>
      <c r="M45" s="202"/>
      <c r="N45" s="89"/>
      <c r="O45" s="740"/>
      <c r="P45" s="740"/>
      <c r="Q45" s="740"/>
      <c r="R45" s="740"/>
      <c r="S45" s="740"/>
      <c r="T45" s="740"/>
      <c r="U45" s="740"/>
      <c r="V45" s="740"/>
      <c r="W45" s="740"/>
      <c r="X45" s="663"/>
      <c r="Y45" s="202"/>
      <c r="Z45" s="362"/>
      <c r="AA45" s="740"/>
      <c r="AB45" s="740"/>
      <c r="AC45" s="740"/>
      <c r="AD45" s="740"/>
      <c r="AE45" s="740"/>
      <c r="AF45" s="740"/>
      <c r="AG45" s="740"/>
      <c r="AH45" s="740"/>
      <c r="AI45" s="740"/>
      <c r="AJ45" s="663"/>
      <c r="AK45" s="202"/>
      <c r="AL45" s="664"/>
      <c r="AM45" s="740"/>
      <c r="AN45" s="740"/>
      <c r="AO45" s="740"/>
      <c r="AP45" s="740"/>
      <c r="AQ45" s="740"/>
      <c r="AR45" s="740"/>
      <c r="AS45" s="740"/>
      <c r="AT45" s="740"/>
      <c r="AU45" s="740"/>
      <c r="AV45" s="663"/>
      <c r="AW45" s="202"/>
      <c r="AX45" s="664"/>
      <c r="AY45" s="740"/>
      <c r="AZ45" s="740"/>
      <c r="BA45" s="740"/>
      <c r="BB45" s="740"/>
      <c r="BC45" s="740"/>
      <c r="BD45" s="740"/>
      <c r="BE45" s="740"/>
      <c r="BF45" s="740"/>
      <c r="BG45" s="740"/>
      <c r="BH45" s="216"/>
    </row>
    <row r="46" spans="1:60">
      <c r="A46" s="1043"/>
      <c r="B46" s="1109" t="s">
        <v>132</v>
      </c>
      <c r="C46" s="1106" t="s">
        <v>118</v>
      </c>
      <c r="D46" s="642"/>
      <c r="E46" s="149" t="s">
        <v>142</v>
      </c>
      <c r="F46" s="149"/>
      <c r="G46" s="149"/>
      <c r="H46" s="150" t="s">
        <v>65</v>
      </c>
      <c r="I46" s="102"/>
      <c r="J46" s="616"/>
      <c r="K46" s="86"/>
      <c r="L46" s="86"/>
      <c r="M46" s="184"/>
      <c r="N46" s="88"/>
      <c r="O46" s="738"/>
      <c r="P46" s="738"/>
      <c r="Q46" s="738"/>
      <c r="R46" s="738"/>
      <c r="S46" s="738"/>
      <c r="T46" s="738"/>
      <c r="U46" s="738"/>
      <c r="V46" s="738"/>
      <c r="W46" s="738"/>
      <c r="X46" s="659"/>
      <c r="Y46" s="184"/>
      <c r="Z46" s="195"/>
      <c r="AA46" s="738"/>
      <c r="AB46" s="738"/>
      <c r="AC46" s="738"/>
      <c r="AD46" s="738"/>
      <c r="AE46" s="738"/>
      <c r="AF46" s="738"/>
      <c r="AG46" s="738"/>
      <c r="AH46" s="738"/>
      <c r="AI46" s="738"/>
      <c r="AJ46" s="659"/>
      <c r="AK46" s="184"/>
      <c r="AL46" s="661"/>
      <c r="AM46" s="738"/>
      <c r="AN46" s="738"/>
      <c r="AO46" s="738"/>
      <c r="AP46" s="738"/>
      <c r="AQ46" s="738"/>
      <c r="AR46" s="738"/>
      <c r="AS46" s="738"/>
      <c r="AT46" s="738"/>
      <c r="AU46" s="738"/>
      <c r="AV46" s="659"/>
      <c r="AW46" s="184"/>
      <c r="AX46" s="661"/>
      <c r="AY46" s="738"/>
      <c r="AZ46" s="738"/>
      <c r="BA46" s="738"/>
      <c r="BB46" s="738"/>
      <c r="BC46" s="738"/>
      <c r="BD46" s="738"/>
      <c r="BE46" s="738"/>
      <c r="BF46" s="738"/>
      <c r="BG46" s="738"/>
      <c r="BH46" s="217"/>
    </row>
    <row r="47" spans="1:60" s="2" customFormat="1">
      <c r="A47" s="1044"/>
      <c r="B47" s="1110" t="s">
        <v>132</v>
      </c>
      <c r="C47" s="1106" t="s">
        <v>118</v>
      </c>
      <c r="D47" s="639"/>
      <c r="E47" s="180" t="s">
        <v>144</v>
      </c>
      <c r="F47" s="180"/>
      <c r="G47" s="180"/>
      <c r="H47" s="181" t="s">
        <v>65</v>
      </c>
      <c r="I47" s="171"/>
      <c r="J47" s="1124"/>
      <c r="K47" s="79"/>
      <c r="L47" s="79"/>
      <c r="M47" s="554"/>
      <c r="N47" s="89"/>
      <c r="O47" s="1084" t="s">
        <v>145</v>
      </c>
      <c r="P47" s="1084" t="s">
        <v>145</v>
      </c>
      <c r="Q47" s="1084" t="s">
        <v>145</v>
      </c>
      <c r="R47" s="1084" t="s">
        <v>145</v>
      </c>
      <c r="S47" s="1084" t="s">
        <v>145</v>
      </c>
      <c r="T47" s="1084" t="s">
        <v>145</v>
      </c>
      <c r="U47" s="1084" t="s">
        <v>145</v>
      </c>
      <c r="V47" s="1084" t="s">
        <v>145</v>
      </c>
      <c r="W47" s="1084" t="s">
        <v>145</v>
      </c>
      <c r="X47" s="658"/>
      <c r="Y47" s="554"/>
      <c r="Z47" s="1120"/>
      <c r="AA47" s="1084" t="s">
        <v>145</v>
      </c>
      <c r="AB47" s="1084" t="s">
        <v>145</v>
      </c>
      <c r="AC47" s="1084" t="s">
        <v>145</v>
      </c>
      <c r="AD47" s="1084" t="s">
        <v>145</v>
      </c>
      <c r="AE47" s="1084" t="s">
        <v>145</v>
      </c>
      <c r="AF47" s="1084" t="s">
        <v>145</v>
      </c>
      <c r="AG47" s="1084" t="s">
        <v>145</v>
      </c>
      <c r="AH47" s="1084" t="s">
        <v>145</v>
      </c>
      <c r="AI47" s="1084" t="s">
        <v>145</v>
      </c>
      <c r="AJ47" s="658"/>
      <c r="AK47" s="554"/>
      <c r="AL47" s="662"/>
      <c r="AM47" s="1084" t="s">
        <v>145</v>
      </c>
      <c r="AN47" s="1084" t="s">
        <v>145</v>
      </c>
      <c r="AO47" s="1084" t="s">
        <v>145</v>
      </c>
      <c r="AP47" s="1084" t="s">
        <v>145</v>
      </c>
      <c r="AQ47" s="1084" t="s">
        <v>145</v>
      </c>
      <c r="AR47" s="1084" t="s">
        <v>145</v>
      </c>
      <c r="AS47" s="1084" t="s">
        <v>145</v>
      </c>
      <c r="AT47" s="1084" t="s">
        <v>145</v>
      </c>
      <c r="AU47" s="1084" t="s">
        <v>145</v>
      </c>
      <c r="AV47" s="658"/>
      <c r="AW47" s="554"/>
      <c r="AX47" s="662"/>
      <c r="AY47" s="1084" t="s">
        <v>145</v>
      </c>
      <c r="AZ47" s="1084" t="s">
        <v>145</v>
      </c>
      <c r="BA47" s="1084" t="s">
        <v>145</v>
      </c>
      <c r="BB47" s="1084" t="s">
        <v>145</v>
      </c>
      <c r="BC47" s="1084" t="s">
        <v>145</v>
      </c>
      <c r="BD47" s="1084" t="s">
        <v>145</v>
      </c>
      <c r="BE47" s="1084" t="s">
        <v>145</v>
      </c>
      <c r="BF47" s="1084" t="s">
        <v>145</v>
      </c>
      <c r="BG47" s="1084" t="s">
        <v>145</v>
      </c>
      <c r="BH47" s="216"/>
    </row>
    <row r="48" spans="1:60" s="2" customFormat="1">
      <c r="A48" s="1044"/>
      <c r="B48" s="1110" t="s">
        <v>132</v>
      </c>
      <c r="C48" s="1106" t="s">
        <v>118</v>
      </c>
      <c r="D48" s="645" t="s">
        <v>45</v>
      </c>
      <c r="E48" s="180" t="s">
        <v>146</v>
      </c>
      <c r="F48" s="180"/>
      <c r="G48" s="180"/>
      <c r="H48" s="181" t="s">
        <v>139</v>
      </c>
      <c r="I48" s="171"/>
      <c r="J48" s="554"/>
      <c r="K48" s="79"/>
      <c r="L48" s="79"/>
      <c r="M48" s="554"/>
      <c r="N48" s="89"/>
      <c r="O48" s="739">
        <v>0</v>
      </c>
      <c r="P48" s="739">
        <v>0</v>
      </c>
      <c r="Q48" s="739">
        <v>0</v>
      </c>
      <c r="R48" s="739">
        <v>0</v>
      </c>
      <c r="S48" s="739">
        <v>0</v>
      </c>
      <c r="T48" s="739">
        <v>0</v>
      </c>
      <c r="U48" s="739">
        <v>0</v>
      </c>
      <c r="V48" s="739">
        <v>0</v>
      </c>
      <c r="W48" s="739">
        <v>0</v>
      </c>
      <c r="X48" s="658"/>
      <c r="Y48" s="554"/>
      <c r="Z48" s="1120"/>
      <c r="AA48" s="739">
        <v>0</v>
      </c>
      <c r="AB48" s="739">
        <v>0</v>
      </c>
      <c r="AC48" s="739">
        <v>0</v>
      </c>
      <c r="AD48" s="739">
        <v>0</v>
      </c>
      <c r="AE48" s="739">
        <v>0</v>
      </c>
      <c r="AF48" s="739">
        <v>0</v>
      </c>
      <c r="AG48" s="739">
        <v>0</v>
      </c>
      <c r="AH48" s="739">
        <v>0</v>
      </c>
      <c r="AI48" s="739">
        <v>0</v>
      </c>
      <c r="AJ48" s="658"/>
      <c r="AK48" s="554"/>
      <c r="AL48" s="662"/>
      <c r="AM48" s="739">
        <v>0</v>
      </c>
      <c r="AN48" s="739">
        <v>0</v>
      </c>
      <c r="AO48" s="739">
        <v>0</v>
      </c>
      <c r="AP48" s="739">
        <v>0</v>
      </c>
      <c r="AQ48" s="739">
        <v>0</v>
      </c>
      <c r="AR48" s="739">
        <v>0</v>
      </c>
      <c r="AS48" s="739">
        <v>0</v>
      </c>
      <c r="AT48" s="739">
        <v>0</v>
      </c>
      <c r="AU48" s="739">
        <v>0</v>
      </c>
      <c r="AV48" s="658"/>
      <c r="AW48" s="554"/>
      <c r="AX48" s="662"/>
      <c r="AY48" s="739">
        <v>0</v>
      </c>
      <c r="AZ48" s="739">
        <v>0</v>
      </c>
      <c r="BA48" s="739">
        <v>0</v>
      </c>
      <c r="BB48" s="739">
        <v>0</v>
      </c>
      <c r="BC48" s="739">
        <v>0</v>
      </c>
      <c r="BD48" s="739">
        <v>0</v>
      </c>
      <c r="BE48" s="739">
        <v>0</v>
      </c>
      <c r="BF48" s="739">
        <v>0</v>
      </c>
      <c r="BG48" s="739">
        <v>0</v>
      </c>
      <c r="BH48" s="216"/>
    </row>
    <row r="49" spans="1:60" s="2" customFormat="1">
      <c r="A49" s="1044"/>
      <c r="B49" s="1110" t="s">
        <v>132</v>
      </c>
      <c r="C49" s="1106" t="s">
        <v>118</v>
      </c>
      <c r="D49" s="645" t="s">
        <v>45</v>
      </c>
      <c r="E49" s="595" t="s">
        <v>1055</v>
      </c>
      <c r="F49" s="595"/>
      <c r="G49" s="595"/>
      <c r="H49" s="1013" t="s">
        <v>1056</v>
      </c>
      <c r="I49" s="171"/>
      <c r="J49" s="769"/>
      <c r="K49" s="79"/>
      <c r="L49" s="79"/>
      <c r="M49" s="769"/>
      <c r="N49" s="243"/>
      <c r="O49" s="1125">
        <v>450</v>
      </c>
      <c r="P49" s="1125">
        <v>450</v>
      </c>
      <c r="Q49" s="1125">
        <v>450</v>
      </c>
      <c r="R49" s="1125">
        <v>450</v>
      </c>
      <c r="S49" s="1125">
        <v>450</v>
      </c>
      <c r="T49" s="1125">
        <v>450</v>
      </c>
      <c r="U49" s="1125">
        <v>450</v>
      </c>
      <c r="V49" s="1125">
        <v>450</v>
      </c>
      <c r="W49" s="1125">
        <v>450</v>
      </c>
      <c r="X49" s="658"/>
      <c r="Y49" s="769"/>
      <c r="Z49" s="1120"/>
      <c r="AA49" s="1125">
        <v>450</v>
      </c>
      <c r="AB49" s="1125">
        <v>450</v>
      </c>
      <c r="AC49" s="1125">
        <v>450</v>
      </c>
      <c r="AD49" s="1125">
        <v>450</v>
      </c>
      <c r="AE49" s="1125">
        <v>450</v>
      </c>
      <c r="AF49" s="1125">
        <v>450</v>
      </c>
      <c r="AG49" s="1125">
        <v>450</v>
      </c>
      <c r="AH49" s="1125">
        <v>450</v>
      </c>
      <c r="AI49" s="1125">
        <v>450</v>
      </c>
      <c r="AJ49" s="658"/>
      <c r="AK49" s="769"/>
      <c r="AL49" s="658"/>
      <c r="AM49" s="1125">
        <v>450</v>
      </c>
      <c r="AN49" s="1125">
        <v>450</v>
      </c>
      <c r="AO49" s="1125">
        <v>450</v>
      </c>
      <c r="AP49" s="1125">
        <v>450</v>
      </c>
      <c r="AQ49" s="1125">
        <v>450</v>
      </c>
      <c r="AR49" s="1125">
        <v>450</v>
      </c>
      <c r="AS49" s="1125">
        <v>450</v>
      </c>
      <c r="AT49" s="1125">
        <v>450</v>
      </c>
      <c r="AU49" s="1125">
        <v>450</v>
      </c>
      <c r="AV49" s="658"/>
      <c r="AW49" s="769"/>
      <c r="AX49" s="658"/>
      <c r="AY49" s="1125">
        <v>450</v>
      </c>
      <c r="AZ49" s="1125">
        <v>450</v>
      </c>
      <c r="BA49" s="1125">
        <v>450</v>
      </c>
      <c r="BB49" s="1125">
        <v>450</v>
      </c>
      <c r="BC49" s="1125">
        <v>450</v>
      </c>
      <c r="BD49" s="1125"/>
      <c r="BE49" s="1125"/>
      <c r="BF49" s="1125"/>
      <c r="BG49" s="1125"/>
      <c r="BH49" s="216"/>
    </row>
    <row r="50" spans="1:60" s="2" customFormat="1">
      <c r="A50" s="1044"/>
      <c r="B50" s="1110" t="s">
        <v>132</v>
      </c>
      <c r="C50" s="1106" t="s">
        <v>118</v>
      </c>
      <c r="D50" s="645" t="s">
        <v>45</v>
      </c>
      <c r="E50" s="1162" t="s">
        <v>1280</v>
      </c>
      <c r="F50" s="180"/>
      <c r="G50" s="180"/>
      <c r="H50" s="181" t="s">
        <v>65</v>
      </c>
      <c r="I50" s="171"/>
      <c r="J50" s="1124"/>
      <c r="K50" s="79"/>
      <c r="L50" s="79"/>
      <c r="M50" s="1084" t="s">
        <v>174</v>
      </c>
      <c r="N50" s="89"/>
      <c r="O50" s="1085"/>
      <c r="P50" s="1085"/>
      <c r="Q50" s="1085"/>
      <c r="R50" s="1085"/>
      <c r="S50" s="1085"/>
      <c r="T50" s="1085"/>
      <c r="U50" s="1085"/>
      <c r="V50" s="1085"/>
      <c r="W50" s="1085"/>
      <c r="X50" s="658"/>
      <c r="Y50" s="1084" t="s">
        <v>174</v>
      </c>
      <c r="Z50" s="89"/>
      <c r="AA50" s="1085"/>
      <c r="AB50" s="1085"/>
      <c r="AC50" s="1085"/>
      <c r="AD50" s="1085"/>
      <c r="AE50" s="1085"/>
      <c r="AF50" s="1085"/>
      <c r="AG50" s="1085"/>
      <c r="AH50" s="1085"/>
      <c r="AI50" s="1085"/>
      <c r="AJ50" s="658"/>
      <c r="AK50" s="1084" t="s">
        <v>174</v>
      </c>
      <c r="AL50" s="89"/>
      <c r="AM50" s="1085"/>
      <c r="AN50" s="1085"/>
      <c r="AO50" s="1085"/>
      <c r="AP50" s="1085"/>
      <c r="AQ50" s="1085"/>
      <c r="AR50" s="1085"/>
      <c r="AS50" s="1085"/>
      <c r="AT50" s="1085"/>
      <c r="AU50" s="1085"/>
      <c r="AV50" s="658"/>
      <c r="AW50" s="1084" t="s">
        <v>174</v>
      </c>
      <c r="AX50" s="89"/>
      <c r="AY50" s="1085"/>
      <c r="AZ50" s="1085"/>
      <c r="BA50" s="1085"/>
      <c r="BB50" s="1085"/>
      <c r="BC50" s="1085"/>
      <c r="BD50" s="1085"/>
      <c r="BE50" s="1085"/>
      <c r="BF50" s="1085"/>
      <c r="BG50" s="1085"/>
      <c r="BH50" s="216"/>
    </row>
    <row r="51" spans="1:60" s="2" customFormat="1">
      <c r="A51" s="1042"/>
      <c r="B51" s="1110" t="s">
        <v>147</v>
      </c>
      <c r="C51" s="1106" t="s">
        <v>96</v>
      </c>
      <c r="D51" s="640"/>
      <c r="E51" s="942" t="s">
        <v>148</v>
      </c>
      <c r="F51" s="942"/>
      <c r="G51" s="942"/>
      <c r="H51" s="942"/>
      <c r="I51" s="129"/>
      <c r="J51" s="943"/>
      <c r="K51" s="126"/>
      <c r="L51" s="126"/>
      <c r="M51" s="944"/>
      <c r="N51" s="153"/>
      <c r="O51" s="258" t="str">
        <f>O$17</f>
        <v/>
      </c>
      <c r="P51" s="258" t="str">
        <f t="shared" ref="P51:W51" si="46">P$17</f>
        <v/>
      </c>
      <c r="Q51" s="258" t="str">
        <f t="shared" si="46"/>
        <v/>
      </c>
      <c r="R51" s="258" t="str">
        <f t="shared" si="46"/>
        <v/>
      </c>
      <c r="S51" s="258" t="str">
        <f t="shared" si="46"/>
        <v/>
      </c>
      <c r="T51" s="258" t="str">
        <f t="shared" si="46"/>
        <v/>
      </c>
      <c r="U51" s="258" t="str">
        <f t="shared" si="46"/>
        <v/>
      </c>
      <c r="V51" s="258" t="str">
        <f t="shared" si="46"/>
        <v/>
      </c>
      <c r="W51" s="258" t="str">
        <f t="shared" si="46"/>
        <v/>
      </c>
      <c r="X51" s="1126"/>
      <c r="Y51" s="944"/>
      <c r="Z51" s="1120"/>
      <c r="AA51" s="258" t="str">
        <f>AA$17</f>
        <v/>
      </c>
      <c r="AB51" s="258" t="str">
        <f t="shared" ref="AB51:AI51" si="47">AB$17</f>
        <v/>
      </c>
      <c r="AC51" s="258" t="str">
        <f t="shared" si="47"/>
        <v/>
      </c>
      <c r="AD51" s="258" t="str">
        <f t="shared" si="47"/>
        <v/>
      </c>
      <c r="AE51" s="258" t="str">
        <f t="shared" si="47"/>
        <v/>
      </c>
      <c r="AF51" s="258" t="str">
        <f t="shared" si="47"/>
        <v/>
      </c>
      <c r="AG51" s="258" t="str">
        <f t="shared" si="47"/>
        <v/>
      </c>
      <c r="AH51" s="258" t="str">
        <f t="shared" si="47"/>
        <v/>
      </c>
      <c r="AI51" s="258" t="str">
        <f t="shared" si="47"/>
        <v/>
      </c>
      <c r="AJ51" s="1126"/>
      <c r="AK51" s="944"/>
      <c r="AL51" s="1120"/>
      <c r="AM51" s="258" t="str">
        <f>AM$17</f>
        <v/>
      </c>
      <c r="AN51" s="258" t="str">
        <f t="shared" ref="AN51:AU51" si="48">AN$17</f>
        <v/>
      </c>
      <c r="AO51" s="258" t="str">
        <f t="shared" si="48"/>
        <v/>
      </c>
      <c r="AP51" s="258" t="str">
        <f t="shared" si="48"/>
        <v/>
      </c>
      <c r="AQ51" s="258" t="str">
        <f t="shared" si="48"/>
        <v/>
      </c>
      <c r="AR51" s="258" t="str">
        <f t="shared" si="48"/>
        <v/>
      </c>
      <c r="AS51" s="258" t="str">
        <f t="shared" si="48"/>
        <v/>
      </c>
      <c r="AT51" s="258" t="str">
        <f t="shared" si="48"/>
        <v/>
      </c>
      <c r="AU51" s="258" t="str">
        <f t="shared" si="48"/>
        <v/>
      </c>
      <c r="AV51" s="1126"/>
      <c r="AW51" s="944"/>
      <c r="AX51" s="1120"/>
      <c r="AY51" s="258" t="str">
        <f>AY$17</f>
        <v/>
      </c>
      <c r="AZ51" s="258" t="str">
        <f t="shared" ref="AZ51:BG51" si="49">AZ$17</f>
        <v/>
      </c>
      <c r="BA51" s="258" t="str">
        <f t="shared" si="49"/>
        <v/>
      </c>
      <c r="BB51" s="258" t="str">
        <f t="shared" si="49"/>
        <v/>
      </c>
      <c r="BC51" s="258" t="str">
        <f t="shared" si="49"/>
        <v/>
      </c>
      <c r="BD51" s="258" t="str">
        <f t="shared" si="49"/>
        <v/>
      </c>
      <c r="BE51" s="258" t="str">
        <f t="shared" si="49"/>
        <v/>
      </c>
      <c r="BF51" s="258" t="str">
        <f t="shared" si="49"/>
        <v/>
      </c>
      <c r="BG51" s="258" t="str">
        <f t="shared" si="49"/>
        <v/>
      </c>
      <c r="BH51" s="174"/>
    </row>
    <row r="52" spans="1:60" s="2" customFormat="1">
      <c r="A52" s="1044"/>
      <c r="B52" s="1110" t="s">
        <v>132</v>
      </c>
      <c r="C52" s="1106" t="s">
        <v>118</v>
      </c>
      <c r="D52" s="639"/>
      <c r="E52" s="180" t="s">
        <v>149</v>
      </c>
      <c r="F52" s="180"/>
      <c r="G52" s="180"/>
      <c r="H52" s="181" t="s">
        <v>65</v>
      </c>
      <c r="I52" s="104"/>
      <c r="J52" s="1222" t="str">
        <f>IF(COUNTIF(N52:X52,"nee")&gt;0,"nee: locatie 1",
IF(COUNTIF(Z52:AJ52,"nee")&gt;0,"nee: locatie 2",
IF(COUNTIF(AL52:AV52,"nee")&gt;0,"nee: locatie 3",
IF(COUNTIF(AX52:BH52,"nee")&gt;0,"nee: locatie 4",
"ja"))))</f>
        <v>ja</v>
      </c>
      <c r="K52" s="1054"/>
      <c r="L52" s="1054"/>
      <c r="M52" s="1222" t="str">
        <f>IF(COUNTIF(N52:X52,"nee")&gt;0,"nee","ja")</f>
        <v>ja</v>
      </c>
      <c r="N52" s="1127"/>
      <c r="O52" s="665" t="str">
        <f t="shared" ref="O52:W52" si="50">IF(OR(O$17="",O$22=0),"",IF(OR(O$38="",O$40="",AND(O$40&lt;&gt;ventilatie_A,O$41=""),AND(O49=""),O$44="",AND(O$19&lt;&gt;woning,O$19&lt;&gt;woongebouw,O$45=""),AND(O$19&lt;&gt;woning,O$19&lt;&gt;woongebouw,O$46=""),AND(OR(O$19=woning,O$19=woongebouw),O$47=""),O$48=""),"nee","ja"))</f>
        <v/>
      </c>
      <c r="P52" s="665" t="str">
        <f t="shared" si="50"/>
        <v/>
      </c>
      <c r="Q52" s="665" t="str">
        <f t="shared" si="50"/>
        <v/>
      </c>
      <c r="R52" s="665" t="str">
        <f t="shared" si="50"/>
        <v/>
      </c>
      <c r="S52" s="665" t="str">
        <f t="shared" si="50"/>
        <v/>
      </c>
      <c r="T52" s="665" t="str">
        <f t="shared" si="50"/>
        <v/>
      </c>
      <c r="U52" s="665" t="str">
        <f t="shared" si="50"/>
        <v/>
      </c>
      <c r="V52" s="665" t="str">
        <f t="shared" si="50"/>
        <v/>
      </c>
      <c r="W52" s="665" t="str">
        <f t="shared" si="50"/>
        <v/>
      </c>
      <c r="X52" s="666"/>
      <c r="Y52" s="1222" t="str">
        <f>IF(COUNTIF(Z52:AJ52,"nee")&gt;0,"nee","ja")</f>
        <v>ja</v>
      </c>
      <c r="Z52" s="1120"/>
      <c r="AA52" s="665" t="str">
        <f t="shared" ref="AA52:AI52" si="51">IF(OR(AA$17="",AA$22=0),"",IF(OR(AA$38="",AA$40="",AND(AA$40&lt;&gt;ventilatie_A,AA$41=""),AND(AA$49=""),AA$44="",AND(AA$19&lt;&gt;woning,AA$19&lt;&gt;woongebouw,AA$45=""),AND(AA$19&lt;&gt;woning,AA$19&lt;&gt;woongebouw,AA$46=""),AND(OR(AA$19=woning,AA$19=woongebouw),AA$47=""),AA$48=""),"nee","ja"))</f>
        <v/>
      </c>
      <c r="AB52" s="665" t="str">
        <f t="shared" si="51"/>
        <v/>
      </c>
      <c r="AC52" s="665" t="str">
        <f t="shared" si="51"/>
        <v/>
      </c>
      <c r="AD52" s="665" t="str">
        <f t="shared" si="51"/>
        <v/>
      </c>
      <c r="AE52" s="665" t="str">
        <f t="shared" si="51"/>
        <v/>
      </c>
      <c r="AF52" s="665" t="str">
        <f t="shared" si="51"/>
        <v/>
      </c>
      <c r="AG52" s="665" t="str">
        <f t="shared" si="51"/>
        <v/>
      </c>
      <c r="AH52" s="665" t="str">
        <f t="shared" si="51"/>
        <v/>
      </c>
      <c r="AI52" s="665" t="str">
        <f t="shared" si="51"/>
        <v/>
      </c>
      <c r="AJ52" s="666"/>
      <c r="AK52" s="1222" t="str">
        <f>IF(COUNTIF(AL52:AV52,"nee")&gt;0,"nee","ja")</f>
        <v>ja</v>
      </c>
      <c r="AL52" s="667"/>
      <c r="AM52" s="665" t="str">
        <f t="shared" ref="AM52:AU52" si="52">IF(OR(AM$17="",AM$22=0),"",IF(OR(AM$38="",AM$40="",AND(AM$40&lt;&gt;ventilatie_A,AM$41=""),AND(AM$49=""),AM$44="",AND(AM$19&lt;&gt;woning,AM$19&lt;&gt;woongebouw,AM$45=""),AND(AM$19&lt;&gt;woning,AM$19&lt;&gt;woongebouw,AM$46=""),AND(OR(AM$19=woning,AM$19=woongebouw),AM$47=""),AM$48=""),"nee","ja"))</f>
        <v/>
      </c>
      <c r="AN52" s="665" t="str">
        <f t="shared" si="52"/>
        <v/>
      </c>
      <c r="AO52" s="665" t="str">
        <f t="shared" si="52"/>
        <v/>
      </c>
      <c r="AP52" s="665" t="str">
        <f t="shared" si="52"/>
        <v/>
      </c>
      <c r="AQ52" s="665" t="str">
        <f t="shared" si="52"/>
        <v/>
      </c>
      <c r="AR52" s="665" t="str">
        <f t="shared" si="52"/>
        <v/>
      </c>
      <c r="AS52" s="665" t="str">
        <f t="shared" si="52"/>
        <v/>
      </c>
      <c r="AT52" s="665" t="str">
        <f t="shared" si="52"/>
        <v/>
      </c>
      <c r="AU52" s="665" t="str">
        <f t="shared" si="52"/>
        <v/>
      </c>
      <c r="AV52" s="666"/>
      <c r="AW52" s="1222" t="str">
        <f>IF(COUNTIF(AX52:BH52,"nee")&gt;0,"nee","ja")</f>
        <v>ja</v>
      </c>
      <c r="AX52" s="667"/>
      <c r="AY52" s="665" t="str">
        <f t="shared" ref="AY52:BG52" si="53">IF(OR(AY$17="",AY$22=0),"",IF(OR(AY$38="",AY$40="",AND(AY$40&lt;&gt;ventilatie_A,AY$41=""),AND(AY$49=""),AY$44="",AND(AY$19&lt;&gt;woning,AY$19&lt;&gt;woongebouw,AY$45=""),AND(AY$19&lt;&gt;woning,AY$19&lt;&gt;woongebouw,AY$46=""),AND(OR(AY$19=woning,AY$19=woongebouw),AY$47=""),AY$48=""),"nee","ja"))</f>
        <v/>
      </c>
      <c r="AZ52" s="665" t="str">
        <f t="shared" si="53"/>
        <v/>
      </c>
      <c r="BA52" s="665" t="str">
        <f t="shared" si="53"/>
        <v/>
      </c>
      <c r="BB52" s="665" t="str">
        <f t="shared" si="53"/>
        <v/>
      </c>
      <c r="BC52" s="665" t="str">
        <f t="shared" si="53"/>
        <v/>
      </c>
      <c r="BD52" s="665" t="str">
        <f t="shared" si="53"/>
        <v/>
      </c>
      <c r="BE52" s="665" t="str">
        <f t="shared" si="53"/>
        <v/>
      </c>
      <c r="BF52" s="665" t="str">
        <f t="shared" si="53"/>
        <v/>
      </c>
      <c r="BG52" s="665" t="str">
        <f t="shared" si="53"/>
        <v/>
      </c>
      <c r="BH52" s="216"/>
    </row>
    <row r="53" spans="1:60" s="2" customFormat="1">
      <c r="A53" s="1042"/>
      <c r="B53" s="1110" t="s">
        <v>147</v>
      </c>
      <c r="C53" s="1106" t="s">
        <v>96</v>
      </c>
      <c r="D53" s="640"/>
      <c r="E53" s="942" t="s">
        <v>150</v>
      </c>
      <c r="F53" s="942"/>
      <c r="G53" s="942"/>
      <c r="H53" s="942"/>
      <c r="I53" s="129"/>
      <c r="J53" s="943"/>
      <c r="K53" s="126"/>
      <c r="L53" s="126"/>
      <c r="M53" s="944"/>
      <c r="N53" s="153"/>
      <c r="O53" s="258" t="str">
        <f>O$17</f>
        <v/>
      </c>
      <c r="P53" s="258" t="str">
        <f t="shared" ref="P53:W53" si="54">P$17</f>
        <v/>
      </c>
      <c r="Q53" s="258" t="str">
        <f t="shared" si="54"/>
        <v/>
      </c>
      <c r="R53" s="258" t="str">
        <f t="shared" si="54"/>
        <v/>
      </c>
      <c r="S53" s="258" t="str">
        <f t="shared" si="54"/>
        <v/>
      </c>
      <c r="T53" s="258" t="str">
        <f t="shared" si="54"/>
        <v/>
      </c>
      <c r="U53" s="258" t="str">
        <f t="shared" si="54"/>
        <v/>
      </c>
      <c r="V53" s="258" t="str">
        <f t="shared" si="54"/>
        <v/>
      </c>
      <c r="W53" s="258" t="str">
        <f t="shared" si="54"/>
        <v/>
      </c>
      <c r="X53" s="153"/>
      <c r="Y53" s="944"/>
      <c r="Z53" s="1120"/>
      <c r="AA53" s="258" t="str">
        <f>AA$17</f>
        <v/>
      </c>
      <c r="AB53" s="258" t="str">
        <f t="shared" ref="AB53:AI53" si="55">AB$17</f>
        <v/>
      </c>
      <c r="AC53" s="258" t="str">
        <f t="shared" si="55"/>
        <v/>
      </c>
      <c r="AD53" s="258" t="str">
        <f t="shared" si="55"/>
        <v/>
      </c>
      <c r="AE53" s="258" t="str">
        <f t="shared" si="55"/>
        <v/>
      </c>
      <c r="AF53" s="258" t="str">
        <f t="shared" si="55"/>
        <v/>
      </c>
      <c r="AG53" s="258" t="str">
        <f t="shared" si="55"/>
        <v/>
      </c>
      <c r="AH53" s="258" t="str">
        <f t="shared" si="55"/>
        <v/>
      </c>
      <c r="AI53" s="258" t="str">
        <f t="shared" si="55"/>
        <v/>
      </c>
      <c r="AJ53" s="1126"/>
      <c r="AK53" s="944"/>
      <c r="AL53" s="1120"/>
      <c r="AM53" s="258" t="str">
        <f>AM$17</f>
        <v/>
      </c>
      <c r="AN53" s="258" t="str">
        <f t="shared" ref="AN53:AU53" si="56">AN$17</f>
        <v/>
      </c>
      <c r="AO53" s="258" t="str">
        <f t="shared" si="56"/>
        <v/>
      </c>
      <c r="AP53" s="258" t="str">
        <f t="shared" si="56"/>
        <v/>
      </c>
      <c r="AQ53" s="258" t="str">
        <f t="shared" si="56"/>
        <v/>
      </c>
      <c r="AR53" s="258" t="str">
        <f t="shared" si="56"/>
        <v/>
      </c>
      <c r="AS53" s="258" t="str">
        <f t="shared" si="56"/>
        <v/>
      </c>
      <c r="AT53" s="258" t="str">
        <f t="shared" si="56"/>
        <v/>
      </c>
      <c r="AU53" s="258" t="str">
        <f t="shared" si="56"/>
        <v/>
      </c>
      <c r="AV53" s="1126"/>
      <c r="AW53" s="944"/>
      <c r="AX53" s="1120"/>
      <c r="AY53" s="258" t="str">
        <f>AY$17</f>
        <v/>
      </c>
      <c r="AZ53" s="258" t="str">
        <f t="shared" ref="AZ53:BG53" si="57">AZ$17</f>
        <v/>
      </c>
      <c r="BA53" s="258" t="str">
        <f t="shared" si="57"/>
        <v/>
      </c>
      <c r="BB53" s="258" t="str">
        <f t="shared" si="57"/>
        <v/>
      </c>
      <c r="BC53" s="258" t="str">
        <f t="shared" si="57"/>
        <v/>
      </c>
      <c r="BD53" s="258" t="str">
        <f t="shared" si="57"/>
        <v/>
      </c>
      <c r="BE53" s="258" t="str">
        <f t="shared" si="57"/>
        <v/>
      </c>
      <c r="BF53" s="258" t="str">
        <f t="shared" si="57"/>
        <v/>
      </c>
      <c r="BG53" s="258" t="str">
        <f t="shared" si="57"/>
        <v/>
      </c>
      <c r="BH53" s="174"/>
    </row>
    <row r="54" spans="1:60" s="2" customFormat="1">
      <c r="A54" s="1044"/>
      <c r="B54" s="1110" t="s">
        <v>132</v>
      </c>
      <c r="C54" s="1106" t="s">
        <v>118</v>
      </c>
      <c r="D54" s="639"/>
      <c r="E54" s="180" t="s">
        <v>151</v>
      </c>
      <c r="F54" s="180"/>
      <c r="G54" s="180"/>
      <c r="H54" s="181" t="s">
        <v>152</v>
      </c>
      <c r="I54" s="104"/>
      <c r="J54" s="554"/>
      <c r="K54" s="1055"/>
      <c r="L54" s="1055"/>
      <c r="M54" s="554"/>
      <c r="N54" s="89"/>
      <c r="O54" s="872" t="str">
        <f ca="1">IF(OR(O$17="",O$38=""),"",
SUMPRODUCT(
OFFSET(bibliotheek!$H$26,0,MATCH(O$17,woningen_gebouwen_namen,0)-1,ROWS(bibliotheek!$I$26:$I$31),1),
OFFSET(bibliotheek!$H$47,0,MATCH(O$38,isolatiepakketten_gebouwschil_namen,0)-1,ROWS(bibliotheek!$I$26:$I$31),1)) /
HLOOKUP(O$17,woningen_gebouwen_gegevens,ROWS(bibliotheek!$E$20:$E$32),FALSE))</f>
        <v/>
      </c>
      <c r="P54" s="872" t="str">
        <f ca="1">IF(OR(P$17="",P$38=""),"",
SUMPRODUCT(
OFFSET(bibliotheek!$H$26,0,MATCH(P$17,woningen_gebouwen_namen,0)-1,ROWS(bibliotheek!$I$26:$I$31),1),
OFFSET(bibliotheek!$H$47,0,MATCH(P$38,isolatiepakketten_gebouwschil_namen,0)-1,ROWS(bibliotheek!$I$26:$I$31),1)) /
HLOOKUP(P$17,woningen_gebouwen_gegevens,ROWS(bibliotheek!$E$20:$E$32),FALSE))</f>
        <v/>
      </c>
      <c r="Q54" s="872" t="str">
        <f ca="1">IF(OR(Q$17="",Q$38=""),"",
SUMPRODUCT(
OFFSET(bibliotheek!$H$26,0,MATCH(Q$17,woningen_gebouwen_namen,0)-1,ROWS(bibliotheek!$I$26:$I$31),1),
OFFSET(bibliotheek!$H$47,0,MATCH(Q$38,isolatiepakketten_gebouwschil_namen,0)-1,ROWS(bibliotheek!$I$26:$I$31),1)) /
HLOOKUP(Q$17,woningen_gebouwen_gegevens,ROWS(bibliotheek!$E$20:$E$32),FALSE))</f>
        <v/>
      </c>
      <c r="R54" s="872" t="str">
        <f ca="1">IF(OR(R$17="",R$38=""),"",
SUMPRODUCT(
OFFSET(bibliotheek!$H$26,0,MATCH(R$17,woningen_gebouwen_namen,0)-1,ROWS(bibliotheek!$I$26:$I$31),1),
OFFSET(bibliotheek!$H$47,0,MATCH(R$38,isolatiepakketten_gebouwschil_namen,0)-1,ROWS(bibliotheek!$I$26:$I$31),1)) /
HLOOKUP(R$17,woningen_gebouwen_gegevens,ROWS(bibliotheek!$E$20:$E$32),FALSE))</f>
        <v/>
      </c>
      <c r="S54" s="872" t="str">
        <f ca="1">IF(OR(S$17="",S$38=""),"",
SUMPRODUCT(
OFFSET(bibliotheek!$H$26,0,MATCH(S$17,woningen_gebouwen_namen,0)-1,ROWS(bibliotheek!$I$26:$I$31),1),
OFFSET(bibliotheek!$H$47,0,MATCH(S$38,isolatiepakketten_gebouwschil_namen,0)-1,ROWS(bibliotheek!$I$26:$I$31),1)) /
HLOOKUP(S$17,woningen_gebouwen_gegevens,ROWS(bibliotheek!$E$20:$E$32),FALSE))</f>
        <v/>
      </c>
      <c r="T54" s="872" t="str">
        <f ca="1">IF(OR(T$17="",T$38=""),"",
SUMPRODUCT(
OFFSET(bibliotheek!$H$26,0,MATCH(T$17,woningen_gebouwen_namen,0)-1,ROWS(bibliotheek!$I$26:$I$31),1),
OFFSET(bibliotheek!$H$47,0,MATCH(T$38,isolatiepakketten_gebouwschil_namen,0)-1,ROWS(bibliotheek!$I$26:$I$31),1)) /
HLOOKUP(T$17,woningen_gebouwen_gegevens,ROWS(bibliotheek!$E$20:$E$32),FALSE))</f>
        <v/>
      </c>
      <c r="U54" s="872" t="str">
        <f ca="1">IF(OR(U$17="",U$38=""),"",
SUMPRODUCT(
OFFSET(bibliotheek!$H$26,0,MATCH(U$17,woningen_gebouwen_namen,0)-1,ROWS(bibliotheek!$I$26:$I$31),1),
OFFSET(bibliotheek!$H$47,0,MATCH(U$38,isolatiepakketten_gebouwschil_namen,0)-1,ROWS(bibliotheek!$I$26:$I$31),1)) /
HLOOKUP(U$17,woningen_gebouwen_gegevens,ROWS(bibliotheek!$E$20:$E$32),FALSE))</f>
        <v/>
      </c>
      <c r="V54" s="872" t="str">
        <f ca="1">IF(OR(V$17="",V$38=""),"",
SUMPRODUCT(
OFFSET(bibliotheek!$H$26,0,MATCH(V$17,woningen_gebouwen_namen,0)-1,ROWS(bibliotheek!$I$26:$I$31),1),
OFFSET(bibliotheek!$H$47,0,MATCH(V$38,isolatiepakketten_gebouwschil_namen,0)-1,ROWS(bibliotheek!$I$26:$I$31),1)) /
HLOOKUP(V$17,woningen_gebouwen_gegevens,ROWS(bibliotheek!$E$20:$E$32),FALSE))</f>
        <v/>
      </c>
      <c r="W54" s="872" t="str">
        <f ca="1">IF(OR(W$17="",W$38=""),"",
SUMPRODUCT(
OFFSET(bibliotheek!$H$26,0,MATCH(W$17,woningen_gebouwen_namen,0)-1,ROWS(bibliotheek!$I$26:$I$31),1),
OFFSET(bibliotheek!$H$47,0,MATCH(W$38,isolatiepakketten_gebouwschil_namen,0)-1,ROWS(bibliotheek!$I$26:$I$31),1)) /
HLOOKUP(W$17,woningen_gebouwen_gegevens,ROWS(bibliotheek!$E$20:$E$32),FALSE))</f>
        <v/>
      </c>
      <c r="X54" s="172"/>
      <c r="Y54" s="554"/>
      <c r="Z54" s="1120"/>
      <c r="AA54" s="196" t="str">
        <f ca="1">IF(OR(AA$17="",AA$38=""),"",
SUMPRODUCT(
OFFSET(bibliotheek!$H$26,0,MATCH(AA$17,woningen_gebouwen_namen,0)-1,ROWS(bibliotheek!$I$26:$I$31),1),
OFFSET(bibliotheek!$H$47,0,MATCH(AA$38,isolatiepakketten_gebouwschil_namen,0)-1,ROWS(bibliotheek!$I$26:$I$31),1)) /
HLOOKUP(AA$17,woningen_gebouwen_gegevens,ROWS(bibliotheek!$E$20:$E$32),FALSE))</f>
        <v/>
      </c>
      <c r="AB54" s="196" t="str">
        <f ca="1">IF(OR(AB$17="",AB$38=""),"",
SUMPRODUCT(
OFFSET(bibliotheek!$H$26,0,MATCH(AB$17,woningen_gebouwen_namen,0)-1,ROWS(bibliotheek!$I$26:$I$31),1),
OFFSET(bibliotheek!$H$47,0,MATCH(AB$38,isolatiepakketten_gebouwschil_namen,0)-1,ROWS(bibliotheek!$I$26:$I$31),1)) /
HLOOKUP(AB$17,woningen_gebouwen_gegevens,ROWS(bibliotheek!$E$20:$E$32),FALSE))</f>
        <v/>
      </c>
      <c r="AC54" s="196" t="str">
        <f ca="1">IF(OR(AC$17="",AC$38=""),"",
SUMPRODUCT(
OFFSET(bibliotheek!$H$26,0,MATCH(AC$17,woningen_gebouwen_namen,0)-1,ROWS(bibliotheek!$I$26:$I$31),1),
OFFSET(bibliotheek!$H$47,0,MATCH(AC$38,isolatiepakketten_gebouwschil_namen,0)-1,ROWS(bibliotheek!$I$26:$I$31),1)) /
HLOOKUP(AC$17,woningen_gebouwen_gegevens,ROWS(bibliotheek!$E$20:$E$32),FALSE))</f>
        <v/>
      </c>
      <c r="AD54" s="196" t="str">
        <f ca="1">IF(OR(AD$17="",AD$38=""),"",
SUMPRODUCT(
OFFSET(bibliotheek!$H$26,0,MATCH(AD$17,woningen_gebouwen_namen,0)-1,ROWS(bibliotheek!$I$26:$I$31),1),
OFFSET(bibliotheek!$H$47,0,MATCH(AD$38,isolatiepakketten_gebouwschil_namen,0)-1,ROWS(bibliotheek!$I$26:$I$31),1)) /
HLOOKUP(AD$17,woningen_gebouwen_gegevens,ROWS(bibliotheek!$E$20:$E$32),FALSE))</f>
        <v/>
      </c>
      <c r="AE54" s="196" t="str">
        <f ca="1">IF(OR(AE$17="",AE$38=""),"",
SUMPRODUCT(
OFFSET(bibliotheek!$H$26,0,MATCH(AE$17,woningen_gebouwen_namen,0)-1,ROWS(bibliotheek!$I$26:$I$31),1),
OFFSET(bibliotheek!$H$47,0,MATCH(AE$38,isolatiepakketten_gebouwschil_namen,0)-1,ROWS(bibliotheek!$I$26:$I$31),1)) /
HLOOKUP(AE$17,woningen_gebouwen_gegevens,ROWS(bibliotheek!$E$20:$E$32),FALSE))</f>
        <v/>
      </c>
      <c r="AF54" s="196" t="str">
        <f ca="1">IF(OR(AF$17="",AF$38=""),"",
SUMPRODUCT(
OFFSET(bibliotheek!$H$26,0,MATCH(AF$17,woningen_gebouwen_namen,0)-1,ROWS(bibliotheek!$I$26:$I$31),1),
OFFSET(bibliotheek!$H$47,0,MATCH(AF$38,isolatiepakketten_gebouwschil_namen,0)-1,ROWS(bibliotheek!$I$26:$I$31),1)) /
HLOOKUP(AF$17,woningen_gebouwen_gegevens,ROWS(bibliotheek!$E$20:$E$32),FALSE))</f>
        <v/>
      </c>
      <c r="AG54" s="196" t="str">
        <f ca="1">IF(OR(AG$17="",AG$38=""),"",
SUMPRODUCT(
OFFSET(bibliotheek!$H$26,0,MATCH(AG$17,woningen_gebouwen_namen,0)-1,ROWS(bibliotheek!$I$26:$I$31),1),
OFFSET(bibliotheek!$H$47,0,MATCH(AG$38,isolatiepakketten_gebouwschil_namen,0)-1,ROWS(bibliotheek!$I$26:$I$31),1)) /
HLOOKUP(AG$17,woningen_gebouwen_gegevens,ROWS(bibliotheek!$E$20:$E$32),FALSE))</f>
        <v/>
      </c>
      <c r="AH54" s="196" t="str">
        <f ca="1">IF(OR(AH$17="",AH$38=""),"",
SUMPRODUCT(
OFFSET(bibliotheek!$H$26,0,MATCH(AH$17,woningen_gebouwen_namen,0)-1,ROWS(bibliotheek!$I$26:$I$31),1),
OFFSET(bibliotheek!$H$47,0,MATCH(AH$38,isolatiepakketten_gebouwschil_namen,0)-1,ROWS(bibliotheek!$I$26:$I$31),1)) /
HLOOKUP(AH$17,woningen_gebouwen_gegevens,ROWS(bibliotheek!$E$20:$E$32),FALSE))</f>
        <v/>
      </c>
      <c r="AI54" s="196" t="str">
        <f ca="1">IF(OR(AI$17="",AI$38=""),"",
SUMPRODUCT(
OFFSET(bibliotheek!$H$26,0,MATCH(AI$17,woningen_gebouwen_namen,0)-1,ROWS(bibliotheek!$I$26:$I$31),1),
OFFSET(bibliotheek!$H$47,0,MATCH(AI$38,isolatiepakketten_gebouwschil_namen,0)-1,ROWS(bibliotheek!$I$26:$I$31),1)) /
HLOOKUP(AI$17,woningen_gebouwen_gegevens,ROWS(bibliotheek!$E$20:$E$32),FALSE))</f>
        <v/>
      </c>
      <c r="AJ54" s="172"/>
      <c r="AK54" s="554"/>
      <c r="AL54" s="173"/>
      <c r="AM54" s="196" t="str">
        <f ca="1">IF(OR(AM$17="",AM$38=""),"",
SUMPRODUCT(
OFFSET(bibliotheek!$H$26,0,MATCH(AM$17,woningen_gebouwen_namen,0)-1,ROWS(bibliotheek!$I$26:$I$31),1),
OFFSET(bibliotheek!$H$47,0,MATCH(AM$38,isolatiepakketten_gebouwschil_namen,0)-1,ROWS(bibliotheek!$I$26:$I$31),1)) /
HLOOKUP(AM$17,woningen_gebouwen_gegevens,ROWS(bibliotheek!$E$20:$E$32),FALSE))</f>
        <v/>
      </c>
      <c r="AN54" s="196" t="str">
        <f ca="1">IF(OR(AN$17="",AN$38=""),"",
SUMPRODUCT(
OFFSET(bibliotheek!$H$26,0,MATCH(AN$17,woningen_gebouwen_namen,0)-1,ROWS(bibliotheek!$I$26:$I$31),1),
OFFSET(bibliotheek!$H$47,0,MATCH(AN$38,isolatiepakketten_gebouwschil_namen,0)-1,ROWS(bibliotheek!$I$26:$I$31),1)) /
HLOOKUP(AN$17,woningen_gebouwen_gegevens,ROWS(bibliotheek!$E$20:$E$32),FALSE))</f>
        <v/>
      </c>
      <c r="AO54" s="196" t="str">
        <f ca="1">IF(OR(AO$17="",AO$38=""),"",
SUMPRODUCT(
OFFSET(bibliotheek!$H$26,0,MATCH(AO$17,woningen_gebouwen_namen,0)-1,ROWS(bibliotheek!$I$26:$I$31),1),
OFFSET(bibliotheek!$H$47,0,MATCH(AO$38,isolatiepakketten_gebouwschil_namen,0)-1,ROWS(bibliotheek!$I$26:$I$31),1)) /
HLOOKUP(AO$17,woningen_gebouwen_gegevens,ROWS(bibliotheek!$E$20:$E$32),FALSE))</f>
        <v/>
      </c>
      <c r="AP54" s="196" t="str">
        <f ca="1">IF(OR(AP$17="",AP$38=""),"",
SUMPRODUCT(
OFFSET(bibliotheek!$H$26,0,MATCH(AP$17,woningen_gebouwen_namen,0)-1,ROWS(bibliotheek!$I$26:$I$31),1),
OFFSET(bibliotheek!$H$47,0,MATCH(AP$38,isolatiepakketten_gebouwschil_namen,0)-1,ROWS(bibliotheek!$I$26:$I$31),1)) /
HLOOKUP(AP$17,woningen_gebouwen_gegevens,ROWS(bibliotheek!$E$20:$E$32),FALSE))</f>
        <v/>
      </c>
      <c r="AQ54" s="196" t="str">
        <f ca="1">IF(OR(AQ$17="",AQ$38=""),"",
SUMPRODUCT(
OFFSET(bibliotheek!$H$26,0,MATCH(AQ$17,woningen_gebouwen_namen,0)-1,ROWS(bibliotheek!$I$26:$I$31),1),
OFFSET(bibliotheek!$H$47,0,MATCH(AQ$38,isolatiepakketten_gebouwschil_namen,0)-1,ROWS(bibliotheek!$I$26:$I$31),1)) /
HLOOKUP(AQ$17,woningen_gebouwen_gegevens,ROWS(bibliotheek!$E$20:$E$32),FALSE))</f>
        <v/>
      </c>
      <c r="AR54" s="196" t="str">
        <f ca="1">IF(OR(AR$17="",AR$38=""),"",
SUMPRODUCT(
OFFSET(bibliotheek!$H$26,0,MATCH(AR$17,woningen_gebouwen_namen,0)-1,ROWS(bibliotheek!$I$26:$I$31),1),
OFFSET(bibliotheek!$H$47,0,MATCH(AR$38,isolatiepakketten_gebouwschil_namen,0)-1,ROWS(bibliotheek!$I$26:$I$31),1)) /
HLOOKUP(AR$17,woningen_gebouwen_gegevens,ROWS(bibliotheek!$E$20:$E$32),FALSE))</f>
        <v/>
      </c>
      <c r="AS54" s="196" t="str">
        <f ca="1">IF(OR(AS$17="",AS$38=""),"",
SUMPRODUCT(
OFFSET(bibliotheek!$H$26,0,MATCH(AS$17,woningen_gebouwen_namen,0)-1,ROWS(bibliotheek!$I$26:$I$31),1),
OFFSET(bibliotheek!$H$47,0,MATCH(AS$38,isolatiepakketten_gebouwschil_namen,0)-1,ROWS(bibliotheek!$I$26:$I$31),1)) /
HLOOKUP(AS$17,woningen_gebouwen_gegevens,ROWS(bibliotheek!$E$20:$E$32),FALSE))</f>
        <v/>
      </c>
      <c r="AT54" s="196" t="str">
        <f ca="1">IF(OR(AT$17="",AT$38=""),"",
SUMPRODUCT(
OFFSET(bibliotheek!$H$26,0,MATCH(AT$17,woningen_gebouwen_namen,0)-1,ROWS(bibliotheek!$I$26:$I$31),1),
OFFSET(bibliotheek!$H$47,0,MATCH(AT$38,isolatiepakketten_gebouwschil_namen,0)-1,ROWS(bibliotheek!$I$26:$I$31),1)) /
HLOOKUP(AT$17,woningen_gebouwen_gegevens,ROWS(bibliotheek!$E$20:$E$32),FALSE))</f>
        <v/>
      </c>
      <c r="AU54" s="196" t="str">
        <f ca="1">IF(OR(AU$17="",AU$38=""),"",
SUMPRODUCT(
OFFSET(bibliotheek!$H$26,0,MATCH(AU$17,woningen_gebouwen_namen,0)-1,ROWS(bibliotheek!$I$26:$I$31),1),
OFFSET(bibliotheek!$H$47,0,MATCH(AU$38,isolatiepakketten_gebouwschil_namen,0)-1,ROWS(bibliotheek!$I$26:$I$31),1)) /
HLOOKUP(AU$17,woningen_gebouwen_gegevens,ROWS(bibliotheek!$E$20:$E$32),FALSE))</f>
        <v/>
      </c>
      <c r="AV54" s="172"/>
      <c r="AW54" s="554"/>
      <c r="AX54" s="173"/>
      <c r="AY54" s="196" t="str">
        <f ca="1">IF(OR(AY$17="",AY$38=""),"",
SUMPRODUCT(
OFFSET(bibliotheek!$H$26,0,MATCH(AY$17,woningen_gebouwen_namen,0)-1,ROWS(bibliotheek!$I$26:$I$31),1),
OFFSET(bibliotheek!$H$47,0,MATCH(AY$38,isolatiepakketten_gebouwschil_namen,0)-1,ROWS(bibliotheek!$I$26:$I$31),1)) /
HLOOKUP(AY$17,woningen_gebouwen_gegevens,ROWS(bibliotheek!$E$20:$E$32),FALSE))</f>
        <v/>
      </c>
      <c r="AZ54" s="196" t="str">
        <f ca="1">IF(OR(AZ$17="",AZ$38=""),"",
SUMPRODUCT(
OFFSET(bibliotheek!$H$26,0,MATCH(AZ$17,woningen_gebouwen_namen,0)-1,ROWS(bibliotheek!$I$26:$I$31),1),
OFFSET(bibliotheek!$H$47,0,MATCH(AZ$38,isolatiepakketten_gebouwschil_namen,0)-1,ROWS(bibliotheek!$I$26:$I$31),1)) /
HLOOKUP(AZ$17,woningen_gebouwen_gegevens,ROWS(bibliotheek!$E$20:$E$32),FALSE))</f>
        <v/>
      </c>
      <c r="BA54" s="196" t="str">
        <f ca="1">IF(OR(BA$17="",BA$38=""),"",
SUMPRODUCT(
OFFSET(bibliotheek!$H$26,0,MATCH(BA$17,woningen_gebouwen_namen,0)-1,ROWS(bibliotheek!$I$26:$I$31),1),
OFFSET(bibliotheek!$H$47,0,MATCH(BA$38,isolatiepakketten_gebouwschil_namen,0)-1,ROWS(bibliotheek!$I$26:$I$31),1)) /
HLOOKUP(BA$17,woningen_gebouwen_gegevens,ROWS(bibliotheek!$E$20:$E$32),FALSE))</f>
        <v/>
      </c>
      <c r="BB54" s="196" t="str">
        <f ca="1">IF(OR(BB$17="",BB$38=""),"",
SUMPRODUCT(
OFFSET(bibliotheek!$H$26,0,MATCH(BB$17,woningen_gebouwen_namen,0)-1,ROWS(bibliotheek!$I$26:$I$31),1),
OFFSET(bibliotheek!$H$47,0,MATCH(BB$38,isolatiepakketten_gebouwschil_namen,0)-1,ROWS(bibliotheek!$I$26:$I$31),1)) /
HLOOKUP(BB$17,woningen_gebouwen_gegevens,ROWS(bibliotheek!$E$20:$E$32),FALSE))</f>
        <v/>
      </c>
      <c r="BC54" s="196" t="str">
        <f ca="1">IF(OR(BC$17="",BC$38=""),"",
SUMPRODUCT(
OFFSET(bibliotheek!$H$26,0,MATCH(BC$17,woningen_gebouwen_namen,0)-1,ROWS(bibliotheek!$I$26:$I$31),1),
OFFSET(bibliotheek!$H$47,0,MATCH(BC$38,isolatiepakketten_gebouwschil_namen,0)-1,ROWS(bibliotheek!$I$26:$I$31),1)) /
HLOOKUP(BC$17,woningen_gebouwen_gegevens,ROWS(bibliotheek!$E$20:$E$32),FALSE))</f>
        <v/>
      </c>
      <c r="BD54" s="196" t="str">
        <f ca="1">IF(OR(BD$17="",BD$38=""),"",
SUMPRODUCT(
OFFSET(bibliotheek!$H$26,0,MATCH(BD$17,woningen_gebouwen_namen,0)-1,ROWS(bibliotheek!$I$26:$I$31),1),
OFFSET(bibliotheek!$H$47,0,MATCH(BD$38,isolatiepakketten_gebouwschil_namen,0)-1,ROWS(bibliotheek!$I$26:$I$31),1)) /
HLOOKUP(BD$17,woningen_gebouwen_gegevens,ROWS(bibliotheek!$E$20:$E$32),FALSE))</f>
        <v/>
      </c>
      <c r="BE54" s="196" t="str">
        <f ca="1">IF(OR(BE$17="",BE$38=""),"",
SUMPRODUCT(
OFFSET(bibliotheek!$H$26,0,MATCH(BE$17,woningen_gebouwen_namen,0)-1,ROWS(bibliotheek!$I$26:$I$31),1),
OFFSET(bibliotheek!$H$47,0,MATCH(BE$38,isolatiepakketten_gebouwschil_namen,0)-1,ROWS(bibliotheek!$I$26:$I$31),1)) /
HLOOKUP(BE$17,woningen_gebouwen_gegevens,ROWS(bibliotheek!$E$20:$E$32),FALSE))</f>
        <v/>
      </c>
      <c r="BF54" s="196" t="str">
        <f ca="1">IF(OR(BF$17="",BF$38=""),"",
SUMPRODUCT(
OFFSET(bibliotheek!$H$26,0,MATCH(BF$17,woningen_gebouwen_namen,0)-1,ROWS(bibliotheek!$I$26:$I$31),1),
OFFSET(bibliotheek!$H$47,0,MATCH(BF$38,isolatiepakketten_gebouwschil_namen,0)-1,ROWS(bibliotheek!$I$26:$I$31),1)) /
HLOOKUP(BF$17,woningen_gebouwen_gegevens,ROWS(bibliotheek!$E$20:$E$32),FALSE))</f>
        <v/>
      </c>
      <c r="BG54" s="196" t="str">
        <f ca="1">IF(OR(BG$17="",BG$38=""),"",
SUMPRODUCT(
OFFSET(bibliotheek!$H$26,0,MATCH(BG$17,woningen_gebouwen_namen,0)-1,ROWS(bibliotheek!$I$26:$I$31),1),
OFFSET(bibliotheek!$H$47,0,MATCH(BG$38,isolatiepakketten_gebouwschil_namen,0)-1,ROWS(bibliotheek!$I$26:$I$31),1)) /
HLOOKUP(BG$17,woningen_gebouwen_gegevens,ROWS(bibliotheek!$E$20:$E$32),FALSE))</f>
        <v/>
      </c>
      <c r="BH54" s="216"/>
    </row>
    <row r="55" spans="1:60" s="2" customFormat="1">
      <c r="A55" s="1044"/>
      <c r="B55" s="1110" t="s">
        <v>132</v>
      </c>
      <c r="C55" s="1106" t="s">
        <v>118</v>
      </c>
      <c r="D55" s="639" t="s">
        <v>45</v>
      </c>
      <c r="E55" s="254" t="s">
        <v>1149</v>
      </c>
      <c r="F55" s="254"/>
      <c r="G55" s="180"/>
      <c r="H55" s="291" t="s">
        <v>154</v>
      </c>
      <c r="I55" s="104"/>
      <c r="J55" s="768"/>
      <c r="K55" s="1055"/>
      <c r="L55" s="1055"/>
      <c r="M55" s="873"/>
      <c r="N55" s="91"/>
      <c r="O55" s="929">
        <f t="shared" ref="O55:W55" si="58">IFERROR(IF(AND($F$6=MWA,O56&lt;&gt;""),O56,
IF(OR(O$17="",O$38="",O$40=""),0,MAX(warmtebehoefte_verwarming_ondergrens,
HLOOKUP(O$61,fitcurves_NTA8800,MATCH(fit_a0,parameters_fitformule,0),FALSE)
+HLOOKUP(O$61,fitcurves_NTA8800,MATCH(fit_a1,parameters_fitformule,0),FALSE)
*O$54*O$32^HLOOKUP(O$61,fitcurves_NTA8800,MATCH(fit_n1,parameters_fitformule,0),FALSE)
))),0)</f>
        <v>0</v>
      </c>
      <c r="P55" s="929">
        <f t="shared" si="58"/>
        <v>0</v>
      </c>
      <c r="Q55" s="929">
        <f t="shared" si="58"/>
        <v>0</v>
      </c>
      <c r="R55" s="929">
        <f t="shared" si="58"/>
        <v>0</v>
      </c>
      <c r="S55" s="929">
        <f t="shared" si="58"/>
        <v>0</v>
      </c>
      <c r="T55" s="929">
        <f t="shared" si="58"/>
        <v>0</v>
      </c>
      <c r="U55" s="929">
        <f t="shared" si="58"/>
        <v>0</v>
      </c>
      <c r="V55" s="929">
        <f t="shared" si="58"/>
        <v>0</v>
      </c>
      <c r="W55" s="929">
        <f t="shared" si="58"/>
        <v>0</v>
      </c>
      <c r="X55" s="930"/>
      <c r="Y55" s="931"/>
      <c r="Z55" s="932"/>
      <c r="AA55" s="933">
        <f t="shared" ref="AA55:AI55" si="59">IFERROR(IF(AND($F$6=MWA,AA56&lt;&gt;""),AA56,
IF(OR(AA$17="",AA$38="",AA$40=""),0,MAX(warmtebehoefte_verwarming_ondergrens,
HLOOKUP(AA$61,fitcurves_NTA8800,MATCH(fit_a0,parameters_fitformule,0),FALSE)
+HLOOKUP(AA$61,fitcurves_NTA8800,MATCH(fit_a1,parameters_fitformule,0),FALSE)
*AA$54*AA$32^HLOOKUP(AA$61,fitcurves_NTA8800,MATCH(fit_n1,parameters_fitformule,0),FALSE)
))),0)</f>
        <v>0</v>
      </c>
      <c r="AB55" s="933">
        <f t="shared" si="59"/>
        <v>0</v>
      </c>
      <c r="AC55" s="933">
        <f t="shared" si="59"/>
        <v>0</v>
      </c>
      <c r="AD55" s="933">
        <f t="shared" si="59"/>
        <v>0</v>
      </c>
      <c r="AE55" s="933">
        <f t="shared" si="59"/>
        <v>0</v>
      </c>
      <c r="AF55" s="933">
        <f t="shared" si="59"/>
        <v>0</v>
      </c>
      <c r="AG55" s="933">
        <f t="shared" si="59"/>
        <v>0</v>
      </c>
      <c r="AH55" s="933">
        <f t="shared" si="59"/>
        <v>0</v>
      </c>
      <c r="AI55" s="933">
        <f t="shared" si="59"/>
        <v>0</v>
      </c>
      <c r="AJ55" s="930"/>
      <c r="AK55" s="931"/>
      <c r="AL55" s="932"/>
      <c r="AM55" s="933">
        <f t="shared" ref="AM55:AU55" si="60">IFERROR(IF(AND($F$6=MWA,AM56&lt;&gt;""),AM56,
IF(OR(AM$17="",AM$38="",AM$40=""),0,MAX(warmtebehoefte_verwarming_ondergrens,
HLOOKUP(AM$61,fitcurves_NTA8800,MATCH(fit_a0,parameters_fitformule,0),FALSE)
+HLOOKUP(AM$61,fitcurves_NTA8800,MATCH(fit_a1,parameters_fitformule,0),FALSE)
*AM$54*AM$32^HLOOKUP(AM$61,fitcurves_NTA8800,MATCH(fit_n1,parameters_fitformule,0),FALSE)
))),0)</f>
        <v>0</v>
      </c>
      <c r="AN55" s="933">
        <f t="shared" si="60"/>
        <v>0</v>
      </c>
      <c r="AO55" s="933">
        <f t="shared" si="60"/>
        <v>0</v>
      </c>
      <c r="AP55" s="933">
        <f t="shared" si="60"/>
        <v>0</v>
      </c>
      <c r="AQ55" s="933">
        <f t="shared" si="60"/>
        <v>0</v>
      </c>
      <c r="AR55" s="933">
        <f t="shared" si="60"/>
        <v>0</v>
      </c>
      <c r="AS55" s="933">
        <f t="shared" si="60"/>
        <v>0</v>
      </c>
      <c r="AT55" s="933">
        <f t="shared" si="60"/>
        <v>0</v>
      </c>
      <c r="AU55" s="933">
        <f t="shared" si="60"/>
        <v>0</v>
      </c>
      <c r="AV55" s="930"/>
      <c r="AW55" s="931"/>
      <c r="AX55" s="932"/>
      <c r="AY55" s="933">
        <f t="shared" ref="AY55:BG55" si="61">IFERROR(IF(AND($F$6=MWA,AY56&lt;&gt;""),AY56,
IF(OR(AY$17="",AY$38="",AY$40=""),0,MAX(warmtebehoefte_verwarming_ondergrens,
HLOOKUP(AY$61,fitcurves_NTA8800,MATCH(fit_a0,parameters_fitformule,0),FALSE)
+HLOOKUP(AY$61,fitcurves_NTA8800,MATCH(fit_a1,parameters_fitformule,0),FALSE)
*AY$54*AY$32^HLOOKUP(AY$61,fitcurves_NTA8800,MATCH(fit_n1,parameters_fitformule,0),FALSE)
))),0)</f>
        <v>0</v>
      </c>
      <c r="AZ55" s="933">
        <f t="shared" si="61"/>
        <v>0</v>
      </c>
      <c r="BA55" s="933">
        <f t="shared" si="61"/>
        <v>0</v>
      </c>
      <c r="BB55" s="933">
        <f t="shared" si="61"/>
        <v>0</v>
      </c>
      <c r="BC55" s="933">
        <f t="shared" si="61"/>
        <v>0</v>
      </c>
      <c r="BD55" s="933">
        <f t="shared" si="61"/>
        <v>0</v>
      </c>
      <c r="BE55" s="933">
        <f t="shared" si="61"/>
        <v>0</v>
      </c>
      <c r="BF55" s="933">
        <f t="shared" si="61"/>
        <v>0</v>
      </c>
      <c r="BG55" s="933">
        <f t="shared" si="61"/>
        <v>0</v>
      </c>
      <c r="BH55" s="216"/>
    </row>
    <row r="56" spans="1:60" s="2" customFormat="1">
      <c r="A56" s="1044"/>
      <c r="B56" s="1110" t="s">
        <v>132</v>
      </c>
      <c r="C56" s="1106" t="s">
        <v>118</v>
      </c>
      <c r="D56" s="639"/>
      <c r="E56" s="1221" t="s">
        <v>1185</v>
      </c>
      <c r="F56" s="595"/>
      <c r="G56" s="595"/>
      <c r="H56" s="291" t="s">
        <v>154</v>
      </c>
      <c r="I56" s="104"/>
      <c r="J56" s="769"/>
      <c r="K56" s="1055"/>
      <c r="L56" s="1055"/>
      <c r="M56" s="770"/>
      <c r="N56" s="243"/>
      <c r="O56" s="958"/>
      <c r="P56" s="958"/>
      <c r="Q56" s="958"/>
      <c r="R56" s="958"/>
      <c r="S56" s="958"/>
      <c r="T56" s="958"/>
      <c r="U56" s="958"/>
      <c r="V56" s="958"/>
      <c r="W56" s="958"/>
      <c r="X56" s="172"/>
      <c r="Y56" s="770"/>
      <c r="Z56" s="243"/>
      <c r="AA56" s="958"/>
      <c r="AB56" s="958"/>
      <c r="AC56" s="958"/>
      <c r="AD56" s="958"/>
      <c r="AE56" s="958"/>
      <c r="AF56" s="958"/>
      <c r="AG56" s="958"/>
      <c r="AH56" s="958"/>
      <c r="AI56" s="958"/>
      <c r="AJ56" s="172"/>
      <c r="AK56" s="770"/>
      <c r="AL56" s="243"/>
      <c r="AM56" s="958"/>
      <c r="AN56" s="958"/>
      <c r="AO56" s="958"/>
      <c r="AP56" s="958"/>
      <c r="AQ56" s="958"/>
      <c r="AR56" s="958"/>
      <c r="AS56" s="958"/>
      <c r="AT56" s="958"/>
      <c r="AU56" s="958"/>
      <c r="AV56" s="172"/>
      <c r="AW56" s="770"/>
      <c r="AX56" s="243"/>
      <c r="AY56" s="958"/>
      <c r="AZ56" s="958"/>
      <c r="BA56" s="958"/>
      <c r="BB56" s="958"/>
      <c r="BC56" s="958"/>
      <c r="BD56" s="958"/>
      <c r="BE56" s="958"/>
      <c r="BF56" s="958"/>
      <c r="BG56" s="958"/>
      <c r="BH56" s="216"/>
    </row>
    <row r="57" spans="1:60">
      <c r="A57" s="1041"/>
      <c r="B57" s="1109" t="s">
        <v>147</v>
      </c>
      <c r="C57" s="1107" t="s">
        <v>96</v>
      </c>
      <c r="D57" s="638"/>
      <c r="E57" s="79"/>
      <c r="F57" s="79"/>
      <c r="G57" s="79"/>
      <c r="H57" s="85"/>
      <c r="I57" s="104"/>
      <c r="J57" s="82"/>
      <c r="K57" s="1055"/>
      <c r="L57" s="1055"/>
      <c r="M57" s="82"/>
      <c r="N57" s="82"/>
      <c r="O57" s="82"/>
      <c r="P57" s="82"/>
      <c r="Q57" s="82"/>
      <c r="R57" s="82"/>
      <c r="S57" s="82"/>
      <c r="T57" s="82"/>
      <c r="U57" s="82"/>
      <c r="V57" s="82"/>
      <c r="W57" s="82"/>
      <c r="X57" s="82"/>
      <c r="Y57" s="82"/>
      <c r="Z57" s="79"/>
      <c r="AA57" s="82"/>
      <c r="AB57" s="82"/>
      <c r="AC57" s="82"/>
      <c r="AD57" s="82"/>
      <c r="AE57" s="82"/>
      <c r="AF57" s="82"/>
      <c r="AG57" s="82"/>
      <c r="AH57" s="82"/>
      <c r="AI57" s="82"/>
      <c r="AJ57" s="82"/>
      <c r="AK57" s="82"/>
      <c r="AL57" s="79"/>
      <c r="AM57" s="82"/>
      <c r="AN57" s="82"/>
      <c r="AO57" s="82"/>
      <c r="AP57" s="82"/>
      <c r="AQ57" s="82"/>
      <c r="AR57" s="82"/>
      <c r="AS57" s="82"/>
      <c r="AT57" s="82"/>
      <c r="AU57" s="82"/>
      <c r="AV57" s="82"/>
      <c r="AW57" s="82"/>
      <c r="AX57" s="79"/>
      <c r="AY57" s="82"/>
      <c r="AZ57" s="82"/>
      <c r="BA57" s="82"/>
      <c r="BB57" s="82"/>
      <c r="BC57" s="82"/>
      <c r="BD57" s="82"/>
      <c r="BE57" s="82"/>
      <c r="BF57" s="82"/>
      <c r="BG57" s="82"/>
      <c r="BH57" s="1"/>
    </row>
    <row r="58" spans="1:60">
      <c r="A58" s="1041"/>
      <c r="B58" s="1109" t="s">
        <v>147</v>
      </c>
      <c r="C58" s="1106" t="s">
        <v>96</v>
      </c>
      <c r="D58" s="638"/>
      <c r="E58" s="230"/>
      <c r="F58" s="79"/>
      <c r="G58" s="79"/>
      <c r="H58" s="85"/>
      <c r="I58" s="79"/>
      <c r="J58" s="82"/>
      <c r="K58" s="79"/>
      <c r="L58" s="79"/>
      <c r="M58" s="82"/>
      <c r="N58" s="82"/>
      <c r="O58" s="82"/>
      <c r="P58" s="82"/>
      <c r="Q58" s="82"/>
      <c r="R58" s="82"/>
      <c r="S58" s="82"/>
      <c r="T58" s="82"/>
      <c r="U58" s="82"/>
      <c r="V58" s="82"/>
      <c r="W58" s="82"/>
      <c r="X58" s="82"/>
      <c r="Y58" s="82"/>
      <c r="Z58" s="79"/>
      <c r="AA58" s="82"/>
      <c r="AB58" s="82"/>
      <c r="AC58" s="82"/>
      <c r="AD58" s="82"/>
      <c r="AE58" s="82"/>
      <c r="AF58" s="82"/>
      <c r="AG58" s="82"/>
      <c r="AH58" s="82"/>
      <c r="AI58" s="82"/>
      <c r="AJ58" s="82"/>
      <c r="AK58" s="82"/>
      <c r="AL58" s="79"/>
      <c r="AM58" s="82"/>
      <c r="AN58" s="82"/>
      <c r="AO58" s="82"/>
      <c r="AP58" s="82"/>
      <c r="AQ58" s="82"/>
      <c r="AR58" s="82"/>
      <c r="AS58" s="82"/>
      <c r="AT58" s="82"/>
      <c r="AU58" s="82"/>
      <c r="AV58" s="82"/>
      <c r="AW58" s="82"/>
      <c r="AX58" s="79"/>
      <c r="AY58" s="82"/>
      <c r="AZ58" s="82"/>
      <c r="BA58" s="82"/>
      <c r="BB58" s="82"/>
      <c r="BC58" s="82"/>
      <c r="BD58" s="82"/>
      <c r="BE58" s="82"/>
      <c r="BF58" s="82"/>
      <c r="BG58" s="82"/>
      <c r="BH58" s="1"/>
    </row>
    <row r="59" spans="1:60" s="2" customFormat="1" ht="21">
      <c r="A59" s="1042"/>
      <c r="B59" s="1109" t="s">
        <v>147</v>
      </c>
      <c r="C59" s="1106" t="s">
        <v>96</v>
      </c>
      <c r="D59" s="640"/>
      <c r="E59" s="209" t="s">
        <v>1150</v>
      </c>
      <c r="F59" s="209"/>
      <c r="G59" s="209"/>
      <c r="H59" s="209"/>
      <c r="I59" s="129"/>
      <c r="J59" s="256" t="str">
        <f>"MWh "&amp;J$8</f>
        <v>MWh alle locaties</v>
      </c>
      <c r="K59" s="126"/>
      <c r="L59" s="126"/>
      <c r="M59" s="256" t="str">
        <f>"MWh "&amp;M$8</f>
        <v>MWh locatie 1</v>
      </c>
      <c r="N59" s="193"/>
      <c r="O59" s="955" t="str">
        <f>$E59&amp;" per woning-/gebouwtype"</f>
        <v>indicatie energiebehoefte per woning | utiliteitsgebouw per woning-/gebouwtype</v>
      </c>
      <c r="P59" s="945"/>
      <c r="Q59" s="945"/>
      <c r="R59" s="945"/>
      <c r="S59" s="945"/>
      <c r="T59" s="945"/>
      <c r="U59" s="945"/>
      <c r="V59" s="945"/>
      <c r="W59" s="257"/>
      <c r="X59" s="174"/>
      <c r="Y59" s="257" t="str">
        <f>Y$10&amp;" MWh"</f>
        <v>locatie 2 MWh</v>
      </c>
      <c r="Z59" s="193"/>
      <c r="AA59" s="955" t="str">
        <f>$E59&amp;" per woning-/gebouwtype"</f>
        <v>indicatie energiebehoefte per woning | utiliteitsgebouw per woning-/gebouwtype</v>
      </c>
      <c r="AB59" s="945"/>
      <c r="AC59" s="945"/>
      <c r="AD59" s="945"/>
      <c r="AE59" s="945"/>
      <c r="AF59" s="945"/>
      <c r="AG59" s="945"/>
      <c r="AH59" s="945"/>
      <c r="AI59" s="257"/>
      <c r="AJ59" s="174"/>
      <c r="AK59" s="257" t="str">
        <f>AK$10&amp;" MWh"</f>
        <v>locatie 3 MWh</v>
      </c>
      <c r="AL59" s="193"/>
      <c r="AM59" s="955" t="str">
        <f>$E59&amp;" per woning-/gebouwtype"</f>
        <v>indicatie energiebehoefte per woning | utiliteitsgebouw per woning-/gebouwtype</v>
      </c>
      <c r="AN59" s="945"/>
      <c r="AO59" s="945"/>
      <c r="AP59" s="945"/>
      <c r="AQ59" s="945"/>
      <c r="AR59" s="945"/>
      <c r="AS59" s="945"/>
      <c r="AT59" s="945"/>
      <c r="AU59" s="257"/>
      <c r="AV59" s="174"/>
      <c r="AW59" s="257" t="str">
        <f>AW$10&amp;" MWh"</f>
        <v>locatie 4 MWh</v>
      </c>
      <c r="AX59" s="193"/>
      <c r="AY59" s="955" t="str">
        <f>$E59&amp;" per woning-/gebouwtype"</f>
        <v>indicatie energiebehoefte per woning | utiliteitsgebouw per woning-/gebouwtype</v>
      </c>
      <c r="AZ59" s="945"/>
      <c r="BA59" s="945"/>
      <c r="BB59" s="945"/>
      <c r="BC59" s="945"/>
      <c r="BD59" s="945"/>
      <c r="BE59" s="945"/>
      <c r="BF59" s="945"/>
      <c r="BG59" s="257"/>
      <c r="BH59" s="1"/>
    </row>
    <row r="60" spans="1:60">
      <c r="A60" s="1041"/>
      <c r="B60" s="1109" t="s">
        <v>147</v>
      </c>
      <c r="C60" s="1106" t="s">
        <v>96</v>
      </c>
      <c r="D60" s="640"/>
      <c r="E60" s="942" t="s">
        <v>153</v>
      </c>
      <c r="F60" s="942"/>
      <c r="G60" s="942"/>
      <c r="H60" s="942"/>
      <c r="I60" s="129"/>
      <c r="J60" s="943"/>
      <c r="K60" s="126"/>
      <c r="L60" s="126"/>
      <c r="M60" s="944"/>
      <c r="N60" s="153"/>
      <c r="O60" s="258" t="str">
        <f>O$17</f>
        <v/>
      </c>
      <c r="P60" s="258" t="str">
        <f t="shared" ref="P60:W60" si="62">P$17</f>
        <v/>
      </c>
      <c r="Q60" s="258" t="str">
        <f t="shared" si="62"/>
        <v/>
      </c>
      <c r="R60" s="258" t="str">
        <f t="shared" si="62"/>
        <v/>
      </c>
      <c r="S60" s="258" t="str">
        <f t="shared" si="62"/>
        <v/>
      </c>
      <c r="T60" s="258" t="str">
        <f t="shared" si="62"/>
        <v/>
      </c>
      <c r="U60" s="258" t="str">
        <f t="shared" si="62"/>
        <v/>
      </c>
      <c r="V60" s="258" t="str">
        <f t="shared" si="62"/>
        <v/>
      </c>
      <c r="W60" s="258" t="str">
        <f t="shared" si="62"/>
        <v/>
      </c>
      <c r="X60" s="146"/>
      <c r="Y60" s="944"/>
      <c r="Z60" s="145"/>
      <c r="AA60" s="258" t="str">
        <f>AA$17</f>
        <v/>
      </c>
      <c r="AB60" s="258" t="str">
        <f t="shared" ref="AB60:AI60" si="63">AB$17</f>
        <v/>
      </c>
      <c r="AC60" s="258" t="str">
        <f t="shared" si="63"/>
        <v/>
      </c>
      <c r="AD60" s="258" t="str">
        <f t="shared" si="63"/>
        <v/>
      </c>
      <c r="AE60" s="258" t="str">
        <f t="shared" si="63"/>
        <v/>
      </c>
      <c r="AF60" s="258" t="str">
        <f t="shared" si="63"/>
        <v/>
      </c>
      <c r="AG60" s="258" t="str">
        <f t="shared" si="63"/>
        <v/>
      </c>
      <c r="AH60" s="258" t="str">
        <f t="shared" si="63"/>
        <v/>
      </c>
      <c r="AI60" s="258" t="str">
        <f t="shared" si="63"/>
        <v/>
      </c>
      <c r="AJ60" s="146"/>
      <c r="AK60" s="944"/>
      <c r="AL60" s="145"/>
      <c r="AM60" s="258" t="str">
        <f>AM$17</f>
        <v/>
      </c>
      <c r="AN60" s="258" t="str">
        <f t="shared" ref="AN60:AU60" si="64">AN$17</f>
        <v/>
      </c>
      <c r="AO60" s="258" t="str">
        <f t="shared" si="64"/>
        <v/>
      </c>
      <c r="AP60" s="258" t="str">
        <f t="shared" si="64"/>
        <v/>
      </c>
      <c r="AQ60" s="258" t="str">
        <f t="shared" si="64"/>
        <v/>
      </c>
      <c r="AR60" s="258" t="str">
        <f t="shared" si="64"/>
        <v/>
      </c>
      <c r="AS60" s="258" t="str">
        <f t="shared" si="64"/>
        <v/>
      </c>
      <c r="AT60" s="258" t="str">
        <f t="shared" si="64"/>
        <v/>
      </c>
      <c r="AU60" s="258" t="str">
        <f t="shared" si="64"/>
        <v/>
      </c>
      <c r="AV60" s="146"/>
      <c r="AW60" s="944"/>
      <c r="AX60" s="145"/>
      <c r="AY60" s="258" t="str">
        <f>AY$17</f>
        <v/>
      </c>
      <c r="AZ60" s="258" t="str">
        <f t="shared" ref="AZ60:BG60" si="65">AZ$17</f>
        <v/>
      </c>
      <c r="BA60" s="258" t="str">
        <f t="shared" si="65"/>
        <v/>
      </c>
      <c r="BB60" s="258" t="str">
        <f t="shared" si="65"/>
        <v/>
      </c>
      <c r="BC60" s="258" t="str">
        <f t="shared" si="65"/>
        <v/>
      </c>
      <c r="BD60" s="258" t="str">
        <f t="shared" si="65"/>
        <v/>
      </c>
      <c r="BE60" s="258" t="str">
        <f t="shared" si="65"/>
        <v/>
      </c>
      <c r="BF60" s="258" t="str">
        <f t="shared" si="65"/>
        <v/>
      </c>
      <c r="BG60" s="258" t="str">
        <f t="shared" si="65"/>
        <v/>
      </c>
      <c r="BH60" s="218"/>
    </row>
    <row r="61" spans="1:60" s="671" customFormat="1" ht="25.5" hidden="1">
      <c r="A61" s="1045"/>
      <c r="B61" s="1109" t="s">
        <v>147</v>
      </c>
      <c r="C61" s="1106" t="s">
        <v>262</v>
      </c>
      <c r="D61" s="946"/>
      <c r="E61" s="947" t="s">
        <v>1151</v>
      </c>
      <c r="F61" s="948"/>
      <c r="G61" s="949" t="s">
        <v>803</v>
      </c>
      <c r="H61" s="950" t="s">
        <v>65</v>
      </c>
      <c r="I61" s="951"/>
      <c r="J61" s="952"/>
      <c r="K61" s="953"/>
      <c r="L61" s="953"/>
      <c r="M61" s="952"/>
      <c r="N61" s="954" t="s">
        <v>84</v>
      </c>
      <c r="O61" s="934" t="e">
        <f t="shared" ref="O61:W61" si="66">$F$6
&amp;INDEX(gebruiksfuncties_fitcurve_NTA8800,MATCH(O$19,gebruiksfuncties_namen,0))
&amp;INDEX(ventilatiesystemen_code,MATCH(O$40,ventilatiesystemen_namen,0))
&amp;O$49
&amp;$G61</f>
        <v>#N/A</v>
      </c>
      <c r="P61" s="934" t="e">
        <f t="shared" si="66"/>
        <v>#N/A</v>
      </c>
      <c r="Q61" s="934" t="e">
        <f t="shared" si="66"/>
        <v>#N/A</v>
      </c>
      <c r="R61" s="934" t="e">
        <f t="shared" si="66"/>
        <v>#N/A</v>
      </c>
      <c r="S61" s="934" t="e">
        <f t="shared" si="66"/>
        <v>#N/A</v>
      </c>
      <c r="T61" s="934" t="e">
        <f t="shared" si="66"/>
        <v>#N/A</v>
      </c>
      <c r="U61" s="934" t="e">
        <f t="shared" si="66"/>
        <v>#N/A</v>
      </c>
      <c r="V61" s="934" t="e">
        <f t="shared" si="66"/>
        <v>#N/A</v>
      </c>
      <c r="W61" s="934" t="e">
        <f t="shared" si="66"/>
        <v>#N/A</v>
      </c>
      <c r="X61" s="953"/>
      <c r="Y61" s="952"/>
      <c r="Z61" s="954" t="s">
        <v>84</v>
      </c>
      <c r="AA61" s="934" t="e">
        <f>$F$6
&amp;INDEX(gebruiksfuncties_fitcurve_NTA8800,MATCH(AA$19,gebruiksfuncties_namen,0))
&amp;INDEX(ventilatiesystemen_code,MATCH(AA$40,ventilatiesystemen_namen,0))
&amp;AA$49
&amp;$G61</f>
        <v>#N/A</v>
      </c>
      <c r="AB61" s="934" t="e">
        <f t="shared" ref="AB61:AI61" si="67">$F$6
&amp;INDEX(gebruiksfuncties_fitcurve_NTA8800,MATCH(AB$19,gebruiksfuncties_namen,0))
&amp;INDEX(ventilatiesystemen_code,MATCH(AB$40,ventilatiesystemen_namen,0))
&amp;AB$49
&amp;$G61</f>
        <v>#N/A</v>
      </c>
      <c r="AC61" s="934" t="e">
        <f t="shared" si="67"/>
        <v>#N/A</v>
      </c>
      <c r="AD61" s="934" t="e">
        <f t="shared" si="67"/>
        <v>#N/A</v>
      </c>
      <c r="AE61" s="934" t="e">
        <f t="shared" si="67"/>
        <v>#N/A</v>
      </c>
      <c r="AF61" s="934" t="e">
        <f t="shared" si="67"/>
        <v>#N/A</v>
      </c>
      <c r="AG61" s="934" t="e">
        <f t="shared" si="67"/>
        <v>#N/A</v>
      </c>
      <c r="AH61" s="934" t="e">
        <f t="shared" si="67"/>
        <v>#N/A</v>
      </c>
      <c r="AI61" s="934" t="e">
        <f t="shared" si="67"/>
        <v>#N/A</v>
      </c>
      <c r="AJ61" s="953"/>
      <c r="AK61" s="952"/>
      <c r="AL61" s="954" t="s">
        <v>84</v>
      </c>
      <c r="AM61" s="934" t="e">
        <f t="shared" ref="AM61:AU61" si="68">$F$6
&amp;INDEX(gebruiksfuncties_fitcurve_NTA8800,MATCH(AM$19,gebruiksfuncties_namen,0))
&amp;INDEX(ventilatiesystemen_code,MATCH(AM$40,ventilatiesystemen_namen,0))
&amp;AM$49
&amp;$G61</f>
        <v>#N/A</v>
      </c>
      <c r="AN61" s="934" t="e">
        <f t="shared" si="68"/>
        <v>#N/A</v>
      </c>
      <c r="AO61" s="934" t="e">
        <f t="shared" si="68"/>
        <v>#N/A</v>
      </c>
      <c r="AP61" s="934" t="e">
        <f t="shared" si="68"/>
        <v>#N/A</v>
      </c>
      <c r="AQ61" s="934" t="e">
        <f t="shared" si="68"/>
        <v>#N/A</v>
      </c>
      <c r="AR61" s="934" t="e">
        <f t="shared" si="68"/>
        <v>#N/A</v>
      </c>
      <c r="AS61" s="934" t="e">
        <f t="shared" si="68"/>
        <v>#N/A</v>
      </c>
      <c r="AT61" s="934" t="e">
        <f t="shared" si="68"/>
        <v>#N/A</v>
      </c>
      <c r="AU61" s="934" t="e">
        <f t="shared" si="68"/>
        <v>#N/A</v>
      </c>
      <c r="AV61" s="953"/>
      <c r="AW61" s="952"/>
      <c r="AX61" s="954" t="s">
        <v>84</v>
      </c>
      <c r="AY61" s="934" t="e">
        <f t="shared" ref="AY61:BG61" si="69">$F$6
&amp;INDEX(gebruiksfuncties_fitcurve_NTA8800,MATCH(AY$19,gebruiksfuncties_namen,0))
&amp;INDEX(ventilatiesystemen_code,MATCH(AY$40,ventilatiesystemen_namen,0))
&amp;AY$49
&amp;$G61</f>
        <v>#N/A</v>
      </c>
      <c r="AZ61" s="934" t="e">
        <f t="shared" si="69"/>
        <v>#N/A</v>
      </c>
      <c r="BA61" s="934" t="e">
        <f t="shared" si="69"/>
        <v>#N/A</v>
      </c>
      <c r="BB61" s="934" t="e">
        <f t="shared" si="69"/>
        <v>#N/A</v>
      </c>
      <c r="BC61" s="934" t="e">
        <f t="shared" si="69"/>
        <v>#N/A</v>
      </c>
      <c r="BD61" s="934" t="e">
        <f t="shared" si="69"/>
        <v>#N/A</v>
      </c>
      <c r="BE61" s="934" t="e">
        <f t="shared" si="69"/>
        <v>#N/A</v>
      </c>
      <c r="BF61" s="934" t="e">
        <f t="shared" si="69"/>
        <v>#N/A</v>
      </c>
      <c r="BG61" s="934" t="e">
        <f t="shared" si="69"/>
        <v>#N/A</v>
      </c>
      <c r="BH61" s="223"/>
    </row>
    <row r="62" spans="1:60">
      <c r="A62" s="1041"/>
      <c r="B62" s="1109" t="s">
        <v>147</v>
      </c>
      <c r="C62" s="1107" t="s">
        <v>104</v>
      </c>
      <c r="D62" s="641" t="s">
        <v>45</v>
      </c>
      <c r="E62" s="413" t="str">
        <f>$O$10</f>
        <v>verwarming</v>
      </c>
      <c r="F62" s="296"/>
      <c r="G62" s="296"/>
      <c r="H62" s="295" t="s">
        <v>154</v>
      </c>
      <c r="I62" s="259"/>
      <c r="J62" s="261">
        <f t="shared" ref="J62:J69" si="70">M62+Y62+AK62+AW62</f>
        <v>0</v>
      </c>
      <c r="K62" s="126"/>
      <c r="L62" s="126"/>
      <c r="M62" s="261">
        <f t="shared" ref="M62:M69" si="71">SUMPRODUCT(N$22:X$22,N$29:X$29,N62:X62)/1000</f>
        <v>0</v>
      </c>
      <c r="N62" s="259"/>
      <c r="O62" s="260">
        <f t="shared" ref="O62:W62" si="72">IFERROR(IF(OR(O$17="",O$38="",O$40=""),0,MAX(warmtebehoefte_verwarming_ondergrens,O55)),0)</f>
        <v>0</v>
      </c>
      <c r="P62" s="260">
        <f t="shared" si="72"/>
        <v>0</v>
      </c>
      <c r="Q62" s="260">
        <f t="shared" si="72"/>
        <v>0</v>
      </c>
      <c r="R62" s="260">
        <f t="shared" si="72"/>
        <v>0</v>
      </c>
      <c r="S62" s="260">
        <f t="shared" si="72"/>
        <v>0</v>
      </c>
      <c r="T62" s="260">
        <f t="shared" si="72"/>
        <v>0</v>
      </c>
      <c r="U62" s="260">
        <f t="shared" si="72"/>
        <v>0</v>
      </c>
      <c r="V62" s="260">
        <f t="shared" si="72"/>
        <v>0</v>
      </c>
      <c r="W62" s="260">
        <f t="shared" si="72"/>
        <v>0</v>
      </c>
      <c r="X62" s="126"/>
      <c r="Y62" s="261">
        <f>SUMPRODUCT(Z$22:AJ$22,Z$29:AJ$29,Z62:AJ62)/1000</f>
        <v>0</v>
      </c>
      <c r="Z62" s="259"/>
      <c r="AA62" s="260">
        <f>IFERROR(IF(OR(AA$17="",AA$38="",AA$40=""),0,MAX(warmtebehoefte_verwarming_ondergrens,AA55)),0)</f>
        <v>0</v>
      </c>
      <c r="AB62" s="260">
        <f t="shared" ref="AB62:AI62" si="73">IFERROR(IF(OR(AB$17="",AB$38="",AB$40=""),0,MAX(warmtebehoefte_verwarming_ondergrens,AB55)),0)</f>
        <v>0</v>
      </c>
      <c r="AC62" s="260">
        <f t="shared" si="73"/>
        <v>0</v>
      </c>
      <c r="AD62" s="260">
        <f t="shared" si="73"/>
        <v>0</v>
      </c>
      <c r="AE62" s="260">
        <f t="shared" si="73"/>
        <v>0</v>
      </c>
      <c r="AF62" s="260">
        <f t="shared" si="73"/>
        <v>0</v>
      </c>
      <c r="AG62" s="260">
        <f t="shared" si="73"/>
        <v>0</v>
      </c>
      <c r="AH62" s="260">
        <f t="shared" si="73"/>
        <v>0</v>
      </c>
      <c r="AI62" s="260">
        <f t="shared" si="73"/>
        <v>0</v>
      </c>
      <c r="AJ62" s="126"/>
      <c r="AK62" s="261">
        <f>SUMPRODUCT(AL$22:AV$22,AL$29:AV$29,AL62:AV62)/1000</f>
        <v>0</v>
      </c>
      <c r="AL62" s="259"/>
      <c r="AM62" s="260">
        <f t="shared" ref="AM62:AU62" si="74">IFERROR(IF(OR(AM$17="",AM$38="",AM$40=""),0,MAX(warmtebehoefte_verwarming_ondergrens,AM55)),0)</f>
        <v>0</v>
      </c>
      <c r="AN62" s="260">
        <f t="shared" si="74"/>
        <v>0</v>
      </c>
      <c r="AO62" s="260">
        <f t="shared" si="74"/>
        <v>0</v>
      </c>
      <c r="AP62" s="260">
        <f t="shared" si="74"/>
        <v>0</v>
      </c>
      <c r="AQ62" s="260">
        <f t="shared" si="74"/>
        <v>0</v>
      </c>
      <c r="AR62" s="260">
        <f t="shared" si="74"/>
        <v>0</v>
      </c>
      <c r="AS62" s="260">
        <f t="shared" si="74"/>
        <v>0</v>
      </c>
      <c r="AT62" s="260">
        <f t="shared" si="74"/>
        <v>0</v>
      </c>
      <c r="AU62" s="260">
        <f t="shared" si="74"/>
        <v>0</v>
      </c>
      <c r="AV62" s="126"/>
      <c r="AW62" s="261">
        <f>SUMPRODUCT(AX$22:BH$22,AX$29:BH$29,AX62:BH62)/1000</f>
        <v>0</v>
      </c>
      <c r="AX62" s="259"/>
      <c r="AY62" s="260">
        <f t="shared" ref="AY62:BG62" si="75">IFERROR(IF(OR(AY$17="",AY$38="",AY$40=""),0,MAX(warmtebehoefte_verwarming_ondergrens,AY55)),0)</f>
        <v>0</v>
      </c>
      <c r="AZ62" s="260">
        <f t="shared" si="75"/>
        <v>0</v>
      </c>
      <c r="BA62" s="260">
        <f t="shared" si="75"/>
        <v>0</v>
      </c>
      <c r="BB62" s="260">
        <f t="shared" si="75"/>
        <v>0</v>
      </c>
      <c r="BC62" s="260">
        <f t="shared" si="75"/>
        <v>0</v>
      </c>
      <c r="BD62" s="260">
        <f t="shared" si="75"/>
        <v>0</v>
      </c>
      <c r="BE62" s="260">
        <f t="shared" si="75"/>
        <v>0</v>
      </c>
      <c r="BF62" s="260">
        <f t="shared" si="75"/>
        <v>0</v>
      </c>
      <c r="BG62" s="260">
        <f t="shared" si="75"/>
        <v>0</v>
      </c>
      <c r="BH62" s="210"/>
    </row>
    <row r="63" spans="1:60" s="671" customFormat="1" ht="25.5" hidden="1">
      <c r="A63" s="1045"/>
      <c r="B63" s="1109" t="s">
        <v>147</v>
      </c>
      <c r="C63" s="1106" t="s">
        <v>262</v>
      </c>
      <c r="D63" s="946"/>
      <c r="E63" s="947" t="s">
        <v>1152</v>
      </c>
      <c r="F63" s="948"/>
      <c r="G63" s="949" t="s">
        <v>804</v>
      </c>
      <c r="H63" s="950" t="s">
        <v>65</v>
      </c>
      <c r="I63" s="951"/>
      <c r="J63" s="952"/>
      <c r="K63" s="953"/>
      <c r="L63" s="953"/>
      <c r="M63" s="952"/>
      <c r="N63" s="954" t="s">
        <v>84</v>
      </c>
      <c r="O63" s="934" t="e">
        <f t="shared" ref="O63:W63" si="76">$F$6
&amp;INDEX(gebruiksfuncties_fitcurve_NTA8800,MATCH(O$19,gebruiksfuncties_namen,0))
&amp;INDEX(ventilatiesystemen_code,MATCH(O$40,ventilatiesystemen_namen,0))
&amp;O$49
&amp;$G63</f>
        <v>#N/A</v>
      </c>
      <c r="P63" s="934" t="e">
        <f t="shared" si="76"/>
        <v>#N/A</v>
      </c>
      <c r="Q63" s="934" t="e">
        <f t="shared" si="76"/>
        <v>#N/A</v>
      </c>
      <c r="R63" s="934" t="e">
        <f t="shared" si="76"/>
        <v>#N/A</v>
      </c>
      <c r="S63" s="934" t="e">
        <f t="shared" si="76"/>
        <v>#N/A</v>
      </c>
      <c r="T63" s="934" t="e">
        <f t="shared" si="76"/>
        <v>#N/A</v>
      </c>
      <c r="U63" s="934" t="e">
        <f t="shared" si="76"/>
        <v>#N/A</v>
      </c>
      <c r="V63" s="934" t="e">
        <f t="shared" si="76"/>
        <v>#N/A</v>
      </c>
      <c r="W63" s="934" t="e">
        <f t="shared" si="76"/>
        <v>#N/A</v>
      </c>
      <c r="X63" s="953"/>
      <c r="Y63" s="952"/>
      <c r="Z63" s="954" t="s">
        <v>84</v>
      </c>
      <c r="AA63" s="934" t="e">
        <f t="shared" ref="AA63:AI63" si="77">$F$6
&amp;INDEX(gebruiksfuncties_fitcurve_NTA8800,MATCH(AA$19,gebruiksfuncties_namen,0))
&amp;INDEX(ventilatiesystemen_code,MATCH(AA$40,ventilatiesystemen_namen,0))
&amp;AA$49
&amp;$G63</f>
        <v>#N/A</v>
      </c>
      <c r="AB63" s="934" t="e">
        <f t="shared" si="77"/>
        <v>#N/A</v>
      </c>
      <c r="AC63" s="934" t="e">
        <f t="shared" si="77"/>
        <v>#N/A</v>
      </c>
      <c r="AD63" s="934" t="e">
        <f t="shared" si="77"/>
        <v>#N/A</v>
      </c>
      <c r="AE63" s="934" t="e">
        <f t="shared" si="77"/>
        <v>#N/A</v>
      </c>
      <c r="AF63" s="934" t="e">
        <f t="shared" si="77"/>
        <v>#N/A</v>
      </c>
      <c r="AG63" s="934" t="e">
        <f t="shared" si="77"/>
        <v>#N/A</v>
      </c>
      <c r="AH63" s="934" t="e">
        <f t="shared" si="77"/>
        <v>#N/A</v>
      </c>
      <c r="AI63" s="934" t="e">
        <f t="shared" si="77"/>
        <v>#N/A</v>
      </c>
      <c r="AJ63" s="953"/>
      <c r="AK63" s="952"/>
      <c r="AL63" s="954" t="s">
        <v>84</v>
      </c>
      <c r="AM63" s="934" t="e">
        <f t="shared" ref="AM63:AU63" si="78">$F$6
&amp;INDEX(gebruiksfuncties_fitcurve_NTA8800,MATCH(AM$19,gebruiksfuncties_namen,0))
&amp;INDEX(ventilatiesystemen_code,MATCH(AM$40,ventilatiesystemen_namen,0))
&amp;AM$49
&amp;$G63</f>
        <v>#N/A</v>
      </c>
      <c r="AN63" s="934" t="e">
        <f t="shared" si="78"/>
        <v>#N/A</v>
      </c>
      <c r="AO63" s="934" t="e">
        <f t="shared" si="78"/>
        <v>#N/A</v>
      </c>
      <c r="AP63" s="934" t="e">
        <f t="shared" si="78"/>
        <v>#N/A</v>
      </c>
      <c r="AQ63" s="934" t="e">
        <f t="shared" si="78"/>
        <v>#N/A</v>
      </c>
      <c r="AR63" s="934" t="e">
        <f t="shared" si="78"/>
        <v>#N/A</v>
      </c>
      <c r="AS63" s="934" t="e">
        <f t="shared" si="78"/>
        <v>#N/A</v>
      </c>
      <c r="AT63" s="934" t="e">
        <f t="shared" si="78"/>
        <v>#N/A</v>
      </c>
      <c r="AU63" s="934" t="e">
        <f t="shared" si="78"/>
        <v>#N/A</v>
      </c>
      <c r="AV63" s="953"/>
      <c r="AW63" s="952"/>
      <c r="AX63" s="954" t="s">
        <v>84</v>
      </c>
      <c r="AY63" s="934" t="e">
        <f t="shared" ref="AY63:BG63" si="79">$F$6
&amp;INDEX(gebruiksfuncties_fitcurve_NTA8800,MATCH(AY$19,gebruiksfuncties_namen,0))
&amp;INDEX(ventilatiesystemen_code,MATCH(AY$40,ventilatiesystemen_namen,0))
&amp;AY$49
&amp;$G63</f>
        <v>#N/A</v>
      </c>
      <c r="AZ63" s="934" t="e">
        <f t="shared" si="79"/>
        <v>#N/A</v>
      </c>
      <c r="BA63" s="934" t="e">
        <f t="shared" si="79"/>
        <v>#N/A</v>
      </c>
      <c r="BB63" s="934" t="e">
        <f t="shared" si="79"/>
        <v>#N/A</v>
      </c>
      <c r="BC63" s="934" t="e">
        <f t="shared" si="79"/>
        <v>#N/A</v>
      </c>
      <c r="BD63" s="934" t="e">
        <f t="shared" si="79"/>
        <v>#N/A</v>
      </c>
      <c r="BE63" s="934" t="e">
        <f t="shared" si="79"/>
        <v>#N/A</v>
      </c>
      <c r="BF63" s="934" t="e">
        <f t="shared" si="79"/>
        <v>#N/A</v>
      </c>
      <c r="BG63" s="934" t="e">
        <f t="shared" si="79"/>
        <v>#N/A</v>
      </c>
      <c r="BH63" s="223"/>
    </row>
    <row r="64" spans="1:60">
      <c r="A64" s="1041"/>
      <c r="B64" s="1109" t="s">
        <v>147</v>
      </c>
      <c r="C64" s="1107" t="s">
        <v>104</v>
      </c>
      <c r="D64" s="641" t="s">
        <v>45</v>
      </c>
      <c r="E64" s="295" t="str">
        <f>$P$10</f>
        <v>koeling</v>
      </c>
      <c r="F64" s="296"/>
      <c r="G64" s="296"/>
      <c r="H64" s="295" t="s">
        <v>154</v>
      </c>
      <c r="I64" s="259"/>
      <c r="J64" s="261">
        <f t="shared" si="70"/>
        <v>0</v>
      </c>
      <c r="K64" s="126"/>
      <c r="L64" s="126"/>
      <c r="M64" s="261">
        <f t="shared" si="71"/>
        <v>0</v>
      </c>
      <c r="N64" s="259"/>
      <c r="O64" s="260">
        <f>IFERROR(IF(OR(O$17="",O$38="",O$40=""),0,MAX(koudebehoefte_koeling_ondergrens,
HLOOKUP(O$63,fitcurves_NTA8800,MATCH(fit_a0,parameters_fitformule,0),FALSE)
+HLOOKUP(O$63,fitcurves_NTA8800,MATCH(fit_a1,parameters_fitformule,0),FALSE)
*(O$33*O$29)^HLOOKUP(O$63,fitcurves_NTA8800,MATCH(fit_n1,parameters_fitformule,0),FALSE)
+HLOOKUP(O$63,fitcurves_NTA8800,MATCH(fit_a2,parameters_fitformule,0),FALSE)
*O$32^HLOOKUP(O$63,fitcurves_NTA8800,MATCH(fit_n2,parameters_fitformule,0),FALSE)
+HLOOKUP(O$63,fitcurves_NTA8800,MATCH(fit_a3,parameters_fitformule,0),FALSE)
*O$54^HLOOKUP(O$63,fitcurves_NTA8800,MATCH(fit_n3,parameters_fitformule,0),FALSE)
+HLOOKUP(O$63,fitcurves_NTA8800,MATCH(fit_a4,parameters_fitformule,0),FALSE)
*O$33^HLOOKUP(O$63,fitcurves_NTA8800,MATCH(fit_n4,parameters_fitformule,0),FALSE)
)),0)</f>
        <v>0</v>
      </c>
      <c r="P64" s="260">
        <f t="shared" ref="P64:W64" si="80">IFERROR(IF(OR(P$17="",P$38="",P$40=""),0,MAX(koudebehoefte_koeling_ondergrens,
HLOOKUP(P$63,fitcurves_NTA8800,MATCH(fit_a0,parameters_fitformule,0),FALSE)
+HLOOKUP(P$63,fitcurves_NTA8800,MATCH(fit_a1,parameters_fitformule,0),FALSE)
*(P$33*P$29)^HLOOKUP(P$63,fitcurves_NTA8800,MATCH(fit_n1,parameters_fitformule,0),FALSE)
+HLOOKUP(P$63,fitcurves_NTA8800,MATCH(fit_a2,parameters_fitformule,0),FALSE)
*P$32^HLOOKUP(P$63,fitcurves_NTA8800,MATCH(fit_n2,parameters_fitformule,0),FALSE)
+HLOOKUP(P$63,fitcurves_NTA8800,MATCH(fit_a3,parameters_fitformule,0),FALSE)
*P$54^HLOOKUP(P$63,fitcurves_NTA8800,MATCH(fit_n3,parameters_fitformule,0),FALSE)
+HLOOKUP(P$63,fitcurves_NTA8800,MATCH(fit_a4,parameters_fitformule,0),FALSE)
*P$33^HLOOKUP(P$63,fitcurves_NTA8800,MATCH(fit_n4,parameters_fitformule,0),FALSE)
)),0)</f>
        <v>0</v>
      </c>
      <c r="Q64" s="260">
        <f t="shared" si="80"/>
        <v>0</v>
      </c>
      <c r="R64" s="260">
        <f t="shared" si="80"/>
        <v>0</v>
      </c>
      <c r="S64" s="260">
        <f t="shared" si="80"/>
        <v>0</v>
      </c>
      <c r="T64" s="260">
        <f t="shared" si="80"/>
        <v>0</v>
      </c>
      <c r="U64" s="260">
        <f t="shared" si="80"/>
        <v>0</v>
      </c>
      <c r="V64" s="260">
        <f t="shared" si="80"/>
        <v>0</v>
      </c>
      <c r="W64" s="260">
        <f t="shared" si="80"/>
        <v>0</v>
      </c>
      <c r="X64" s="126"/>
      <c r="Y64" s="261">
        <f t="shared" ref="Y64:Y69" si="81">SUMPRODUCT(Z$22:AJ$22,Z$29:AJ$29,Z64:AJ64)/1000</f>
        <v>0</v>
      </c>
      <c r="Z64" s="259"/>
      <c r="AA64" s="260">
        <f t="shared" ref="AA64:AI64" si="82">IFERROR(IF(OR(AA$17="",AA$38="",AA$40=""),0,MAX(koudebehoefte_koeling_ondergrens,
HLOOKUP(AA$63,fitcurves_NTA8800,MATCH(fit_a0,parameters_fitformule,0),FALSE)
+HLOOKUP(AA$63,fitcurves_NTA8800,MATCH(fit_a1,parameters_fitformule,0),FALSE)
*(AA$33*AA$29)^HLOOKUP(AA$63,fitcurves_NTA8800,MATCH(fit_n1,parameters_fitformule,0),FALSE)
+HLOOKUP(AA$63,fitcurves_NTA8800,MATCH(fit_a2,parameters_fitformule,0),FALSE)
*AA$32^HLOOKUP(AA$63,fitcurves_NTA8800,MATCH(fit_n2,parameters_fitformule,0),FALSE)
+HLOOKUP(AA$63,fitcurves_NTA8800,MATCH(fit_a3,parameters_fitformule,0),FALSE)
*AA$54^HLOOKUP(AA$63,fitcurves_NTA8800,MATCH(fit_n3,parameters_fitformule,0),FALSE)
+HLOOKUP(AA$63,fitcurves_NTA8800,MATCH(fit_a4,parameters_fitformule,0),FALSE)
*AA$33^HLOOKUP(AA$63,fitcurves_NTA8800,MATCH(fit_n4,parameters_fitformule,0),FALSE)
)),0)</f>
        <v>0</v>
      </c>
      <c r="AB64" s="260">
        <f t="shared" si="82"/>
        <v>0</v>
      </c>
      <c r="AC64" s="260">
        <f t="shared" si="82"/>
        <v>0</v>
      </c>
      <c r="AD64" s="260">
        <f t="shared" si="82"/>
        <v>0</v>
      </c>
      <c r="AE64" s="260">
        <f t="shared" si="82"/>
        <v>0</v>
      </c>
      <c r="AF64" s="260">
        <f t="shared" si="82"/>
        <v>0</v>
      </c>
      <c r="AG64" s="260">
        <f t="shared" si="82"/>
        <v>0</v>
      </c>
      <c r="AH64" s="260">
        <f t="shared" si="82"/>
        <v>0</v>
      </c>
      <c r="AI64" s="260">
        <f t="shared" si="82"/>
        <v>0</v>
      </c>
      <c r="AJ64" s="126"/>
      <c r="AK64" s="261">
        <f t="shared" ref="AK64:AK69" si="83">SUMPRODUCT(AL$22:AV$22,AL$29:AV$29,AL64:AV64)/1000</f>
        <v>0</v>
      </c>
      <c r="AL64" s="259"/>
      <c r="AM64" s="260">
        <f t="shared" ref="AM64:AU64" si="84">IFERROR(IF(OR(AM$17="",AM$38="",AM$40=""),0,MAX(koudebehoefte_koeling_ondergrens,
HLOOKUP(AM$63,fitcurves_NTA8800,MATCH(fit_a0,parameters_fitformule,0),FALSE)
+HLOOKUP(AM$63,fitcurves_NTA8800,MATCH(fit_a1,parameters_fitformule,0),FALSE)
*(AM$33*AM$29)^HLOOKUP(AM$63,fitcurves_NTA8800,MATCH(fit_n1,parameters_fitformule,0),FALSE)
+HLOOKUP(AM$63,fitcurves_NTA8800,MATCH(fit_a2,parameters_fitformule,0),FALSE)
*AM$32^HLOOKUP(AM$63,fitcurves_NTA8800,MATCH(fit_n2,parameters_fitformule,0),FALSE)
+HLOOKUP(AM$63,fitcurves_NTA8800,MATCH(fit_a3,parameters_fitformule,0),FALSE)
*AM$54^HLOOKUP(AM$63,fitcurves_NTA8800,MATCH(fit_n3,parameters_fitformule,0),FALSE)
+HLOOKUP(AM$63,fitcurves_NTA8800,MATCH(fit_a4,parameters_fitformule,0),FALSE)
*AM$33^HLOOKUP(AM$63,fitcurves_NTA8800,MATCH(fit_n4,parameters_fitformule,0),FALSE)
)),0)</f>
        <v>0</v>
      </c>
      <c r="AN64" s="260">
        <f t="shared" si="84"/>
        <v>0</v>
      </c>
      <c r="AO64" s="260">
        <f t="shared" si="84"/>
        <v>0</v>
      </c>
      <c r="AP64" s="260">
        <f t="shared" si="84"/>
        <v>0</v>
      </c>
      <c r="AQ64" s="260">
        <f t="shared" si="84"/>
        <v>0</v>
      </c>
      <c r="AR64" s="260">
        <f t="shared" si="84"/>
        <v>0</v>
      </c>
      <c r="AS64" s="260">
        <f t="shared" si="84"/>
        <v>0</v>
      </c>
      <c r="AT64" s="260">
        <f t="shared" si="84"/>
        <v>0</v>
      </c>
      <c r="AU64" s="260">
        <f t="shared" si="84"/>
        <v>0</v>
      </c>
      <c r="AV64" s="126"/>
      <c r="AW64" s="261">
        <f t="shared" ref="AW64:AW69" si="85">SUMPRODUCT(AX$22:BH$22,AX$29:BH$29,AX64:BH64)/1000</f>
        <v>0</v>
      </c>
      <c r="AX64" s="259"/>
      <c r="AY64" s="260">
        <f t="shared" ref="AY64:BG64" si="86">IFERROR(IF(OR(AY$17="",AY$38="",AY$40=""),0,MAX(koudebehoefte_koeling_ondergrens,
HLOOKUP(AY$63,fitcurves_NTA8800,MATCH(fit_a0,parameters_fitformule,0),FALSE)
+HLOOKUP(AY$63,fitcurves_NTA8800,MATCH(fit_a1,parameters_fitformule,0),FALSE)
*(AY$33*AY$29)^HLOOKUP(AY$63,fitcurves_NTA8800,MATCH(fit_n1,parameters_fitformule,0),FALSE)
+HLOOKUP(AY$63,fitcurves_NTA8800,MATCH(fit_a2,parameters_fitformule,0),FALSE)
*AY$32^HLOOKUP(AY$63,fitcurves_NTA8800,MATCH(fit_n2,parameters_fitformule,0),FALSE)
+HLOOKUP(AY$63,fitcurves_NTA8800,MATCH(fit_a3,parameters_fitformule,0),FALSE)
*AY$54^HLOOKUP(AY$63,fitcurves_NTA8800,MATCH(fit_n3,parameters_fitformule,0),FALSE)
+HLOOKUP(AY$63,fitcurves_NTA8800,MATCH(fit_a4,parameters_fitformule,0),FALSE)
*AY$33^HLOOKUP(AY$63,fitcurves_NTA8800,MATCH(fit_n4,parameters_fitformule,0),FALSE)
)),0)</f>
        <v>0</v>
      </c>
      <c r="AZ64" s="260">
        <f t="shared" si="86"/>
        <v>0</v>
      </c>
      <c r="BA64" s="260">
        <f t="shared" si="86"/>
        <v>0</v>
      </c>
      <c r="BB64" s="260">
        <f t="shared" si="86"/>
        <v>0</v>
      </c>
      <c r="BC64" s="260">
        <f t="shared" si="86"/>
        <v>0</v>
      </c>
      <c r="BD64" s="260">
        <f t="shared" si="86"/>
        <v>0</v>
      </c>
      <c r="BE64" s="260">
        <f t="shared" si="86"/>
        <v>0</v>
      </c>
      <c r="BF64" s="260">
        <f t="shared" si="86"/>
        <v>0</v>
      </c>
      <c r="BG64" s="260">
        <f t="shared" si="86"/>
        <v>0</v>
      </c>
      <c r="BH64" s="210"/>
    </row>
    <row r="65" spans="1:60">
      <c r="A65" s="1041"/>
      <c r="B65" s="1109" t="s">
        <v>147</v>
      </c>
      <c r="C65" s="1107" t="s">
        <v>104</v>
      </c>
      <c r="D65" s="641" t="s">
        <v>45</v>
      </c>
      <c r="E65" s="295" t="str">
        <f>$Q$10</f>
        <v>tapwater</v>
      </c>
      <c r="F65" s="296"/>
      <c r="G65" s="296"/>
      <c r="H65" s="295" t="s">
        <v>154</v>
      </c>
      <c r="I65" s="259"/>
      <c r="J65" s="261">
        <f t="shared" si="70"/>
        <v>0</v>
      </c>
      <c r="K65" s="126"/>
      <c r="L65" s="126"/>
      <c r="M65" s="261">
        <f t="shared" si="71"/>
        <v>0</v>
      </c>
      <c r="N65" s="259"/>
      <c r="O65" s="260">
        <f t="shared" ref="O65:W65" si="87">(1-O$43)*IF(OR(O$17="",O$29=0),0,IF($F$6=EP,1,INDEX(factor_warmtapwaterbehoefte_MWA,MATCH(O$19,gebruiksfuncties_namen_MWA_warmtapwater,0)))*
IF(OR(O$19=woning,O$19=woongebouw),IF(O$29&gt;100,1.28+0.01*O$29,MAX(1,2.28-1.28/70*(100-O$29)))*856/O$29,
INDEX(warmtapwater_specifieke_warmtebehoefte_waarden,MATCH(O$19,warmtapwater_specifieke_warmtebehoefte_gebruiksfuncties,0)))*IF($F$6=EP,1,O$44))</f>
        <v>0</v>
      </c>
      <c r="P65" s="260">
        <f t="shared" si="87"/>
        <v>0</v>
      </c>
      <c r="Q65" s="260">
        <f t="shared" si="87"/>
        <v>0</v>
      </c>
      <c r="R65" s="260">
        <f t="shared" si="87"/>
        <v>0</v>
      </c>
      <c r="S65" s="260">
        <f t="shared" si="87"/>
        <v>0</v>
      </c>
      <c r="T65" s="260">
        <f t="shared" si="87"/>
        <v>0</v>
      </c>
      <c r="U65" s="260">
        <f t="shared" si="87"/>
        <v>0</v>
      </c>
      <c r="V65" s="260">
        <f t="shared" si="87"/>
        <v>0</v>
      </c>
      <c r="W65" s="260">
        <f t="shared" si="87"/>
        <v>0</v>
      </c>
      <c r="X65" s="126"/>
      <c r="Y65" s="261">
        <f t="shared" si="81"/>
        <v>0</v>
      </c>
      <c r="Z65" s="259"/>
      <c r="AA65" s="260">
        <f t="shared" ref="AA65:AI65" si="88">(1-AA$43)*IF(OR(AA$17="",AA$29=0),0,IF($F$6=EP,1,INDEX(factor_warmtapwaterbehoefte_MWA,MATCH(AA$19,gebruiksfuncties_namen_MWA_warmtapwater,0)))*
IF(OR(AA$19=woning,AA$19=woongebouw),IF(AA$29&gt;100,1.28+0.01*AA$29,MAX(1,2.28-1.28/70*(100-AA$29)))*856/AA$29,
INDEX(warmtapwater_specifieke_warmtebehoefte_waarden,MATCH(AA$19,warmtapwater_specifieke_warmtebehoefte_gebruiksfuncties,0)))*IF($F$6=EP,1,AA$44))</f>
        <v>0</v>
      </c>
      <c r="AB65" s="260">
        <f t="shared" si="88"/>
        <v>0</v>
      </c>
      <c r="AC65" s="260">
        <f t="shared" si="88"/>
        <v>0</v>
      </c>
      <c r="AD65" s="260">
        <f t="shared" si="88"/>
        <v>0</v>
      </c>
      <c r="AE65" s="260">
        <f t="shared" si="88"/>
        <v>0</v>
      </c>
      <c r="AF65" s="260">
        <f t="shared" si="88"/>
        <v>0</v>
      </c>
      <c r="AG65" s="260">
        <f t="shared" si="88"/>
        <v>0</v>
      </c>
      <c r="AH65" s="260">
        <f t="shared" si="88"/>
        <v>0</v>
      </c>
      <c r="AI65" s="260">
        <f t="shared" si="88"/>
        <v>0</v>
      </c>
      <c r="AJ65" s="126"/>
      <c r="AK65" s="261">
        <f t="shared" si="83"/>
        <v>0</v>
      </c>
      <c r="AL65" s="259"/>
      <c r="AM65" s="260">
        <f t="shared" ref="AM65:AU65" si="89">(1-AM$43)*IF(OR(AM$17="",AM$29=0),0,IF($F$6=EP,1,INDEX(factor_warmtapwaterbehoefte_MWA,MATCH(AM$19,gebruiksfuncties_namen_MWA_warmtapwater,0)))*
IF(OR(AM$19=woning,AM$19=woongebouw),IF(AM$29&gt;100,1.28+0.01*AM$29,MAX(1,2.28-1.28/70*(100-AM$29)))*856/AM$29,
INDEX(warmtapwater_specifieke_warmtebehoefte_waarden,MATCH(AM$19,warmtapwater_specifieke_warmtebehoefte_gebruiksfuncties,0)))*IF($F$6=EP,1,AM$44))</f>
        <v>0</v>
      </c>
      <c r="AN65" s="260">
        <f t="shared" si="89"/>
        <v>0</v>
      </c>
      <c r="AO65" s="260">
        <f t="shared" si="89"/>
        <v>0</v>
      </c>
      <c r="AP65" s="260">
        <f t="shared" si="89"/>
        <v>0</v>
      </c>
      <c r="AQ65" s="260">
        <f t="shared" si="89"/>
        <v>0</v>
      </c>
      <c r="AR65" s="260">
        <f t="shared" si="89"/>
        <v>0</v>
      </c>
      <c r="AS65" s="260">
        <f t="shared" si="89"/>
        <v>0</v>
      </c>
      <c r="AT65" s="260">
        <f t="shared" si="89"/>
        <v>0</v>
      </c>
      <c r="AU65" s="260">
        <f t="shared" si="89"/>
        <v>0</v>
      </c>
      <c r="AV65" s="126"/>
      <c r="AW65" s="261">
        <f t="shared" si="85"/>
        <v>0</v>
      </c>
      <c r="AX65" s="259"/>
      <c r="AY65" s="260">
        <f t="shared" ref="AY65:BG65" si="90">(1-AY$43)*IF(OR(AY$17="",AY$29=0),0,IF($F$6=EP,1,INDEX(factor_warmtapwaterbehoefte_MWA,MATCH(AY$19,gebruiksfuncties_namen_MWA_warmtapwater,0)))*
IF(OR(AY$19=woning,AY$19=woongebouw),IF(AY$29&gt;100,1.28+0.01*AY$29,MAX(1,2.28-1.28/70*(100-AY$29)))*856/AY$29,
INDEX(warmtapwater_specifieke_warmtebehoefte_waarden,MATCH(AY$19,warmtapwater_specifieke_warmtebehoefte_gebruiksfuncties,0)))*IF($F$6=EP,1,AY$44))</f>
        <v>0</v>
      </c>
      <c r="AZ65" s="260">
        <f t="shared" si="90"/>
        <v>0</v>
      </c>
      <c r="BA65" s="260">
        <f t="shared" si="90"/>
        <v>0</v>
      </c>
      <c r="BB65" s="260">
        <f t="shared" si="90"/>
        <v>0</v>
      </c>
      <c r="BC65" s="260">
        <f t="shared" si="90"/>
        <v>0</v>
      </c>
      <c r="BD65" s="260">
        <f t="shared" si="90"/>
        <v>0</v>
      </c>
      <c r="BE65" s="260">
        <f t="shared" si="90"/>
        <v>0</v>
      </c>
      <c r="BF65" s="260">
        <f t="shared" si="90"/>
        <v>0</v>
      </c>
      <c r="BG65" s="260">
        <f t="shared" si="90"/>
        <v>0</v>
      </c>
      <c r="BH65" s="210"/>
    </row>
    <row r="66" spans="1:60">
      <c r="A66" s="1041"/>
      <c r="B66" s="1109" t="s">
        <v>147</v>
      </c>
      <c r="C66" s="1107" t="s">
        <v>104</v>
      </c>
      <c r="D66" s="641" t="s">
        <v>45</v>
      </c>
      <c r="E66" s="295" t="str">
        <f>$R$10</f>
        <v>verlichting</v>
      </c>
      <c r="F66" s="296"/>
      <c r="G66" s="296"/>
      <c r="H66" s="295" t="s">
        <v>154</v>
      </c>
      <c r="I66" s="259"/>
      <c r="J66" s="261">
        <f t="shared" si="70"/>
        <v>0</v>
      </c>
      <c r="K66" s="126"/>
      <c r="L66" s="126"/>
      <c r="M66" s="261">
        <f t="shared" si="71"/>
        <v>0</v>
      </c>
      <c r="N66" s="259"/>
      <c r="O66" s="260">
        <f t="shared" ref="O66:W66" si="91">IF(OR(O$17="",AND(O$19&lt;&gt;woning,O$19&lt;&gt;woongebouw,O$46="")),0,
(INDEX(verlichting_parameters_a,MATCH(O$19,verlichting_parameters_gebruiksfuncties,0))+
INDEX(verlichting_parameters_b,MATCH(O$19,verlichting_parameters_gebruiksfuncties,0))*IF(O$45="",INDEX(verlichting_vermogen_forfaitair,MATCH(O$19,verlichting_parameters_gebruiksfuncties,0)),O$45))*
IF(OR(O$19=woning,O$19=woongebouw),1,INDEX(verlichtingsregeling_waarden,MATCH(O$46,verlichtingsregeling_kopregel,0))))</f>
        <v>0</v>
      </c>
      <c r="P66" s="260">
        <f t="shared" si="91"/>
        <v>0</v>
      </c>
      <c r="Q66" s="260">
        <f t="shared" si="91"/>
        <v>0</v>
      </c>
      <c r="R66" s="260">
        <f t="shared" si="91"/>
        <v>0</v>
      </c>
      <c r="S66" s="260">
        <f t="shared" si="91"/>
        <v>0</v>
      </c>
      <c r="T66" s="260">
        <f t="shared" si="91"/>
        <v>0</v>
      </c>
      <c r="U66" s="260">
        <f t="shared" si="91"/>
        <v>0</v>
      </c>
      <c r="V66" s="260">
        <f t="shared" si="91"/>
        <v>0</v>
      </c>
      <c r="W66" s="260">
        <f t="shared" si="91"/>
        <v>0</v>
      </c>
      <c r="X66" s="126"/>
      <c r="Y66" s="261">
        <f t="shared" si="81"/>
        <v>0</v>
      </c>
      <c r="Z66" s="259"/>
      <c r="AA66" s="260">
        <f t="shared" ref="AA66:AI66" si="92">IF(OR(AA$17="",AND(AA$19&lt;&gt;woning,AA$19&lt;&gt;woongebouw,AA$46="")),0,
(INDEX(verlichting_parameters_a,MATCH(AA$19,verlichting_parameters_gebruiksfuncties,0))+
INDEX(verlichting_parameters_b,MATCH(AA$19,verlichting_parameters_gebruiksfuncties,0))*IF(AA$45="",INDEX(verlichting_vermogen_forfaitair,MATCH(AA$19,verlichting_parameters_gebruiksfuncties,0)),AA$45))*
IF(OR(AA$19=woning,AA$19=woongebouw),1,INDEX(verlichtingsregeling_waarden,MATCH(AA$46,verlichtingsregeling_kopregel,0))))</f>
        <v>0</v>
      </c>
      <c r="AB66" s="260">
        <f t="shared" si="92"/>
        <v>0</v>
      </c>
      <c r="AC66" s="260">
        <f t="shared" si="92"/>
        <v>0</v>
      </c>
      <c r="AD66" s="260">
        <f t="shared" si="92"/>
        <v>0</v>
      </c>
      <c r="AE66" s="260">
        <f t="shared" si="92"/>
        <v>0</v>
      </c>
      <c r="AF66" s="260">
        <f t="shared" si="92"/>
        <v>0</v>
      </c>
      <c r="AG66" s="260">
        <f t="shared" si="92"/>
        <v>0</v>
      </c>
      <c r="AH66" s="260">
        <f t="shared" si="92"/>
        <v>0</v>
      </c>
      <c r="AI66" s="260">
        <f t="shared" si="92"/>
        <v>0</v>
      </c>
      <c r="AJ66" s="126"/>
      <c r="AK66" s="261">
        <f t="shared" si="83"/>
        <v>0</v>
      </c>
      <c r="AL66" s="259"/>
      <c r="AM66" s="260">
        <f t="shared" ref="AM66:AU66" si="93">IF(OR(AM$17="",AND(AM$19&lt;&gt;woning,AM$19&lt;&gt;woongebouw,AM$46="")),0,
(INDEX(verlichting_parameters_a,MATCH(AM$19,verlichting_parameters_gebruiksfuncties,0))+
INDEX(verlichting_parameters_b,MATCH(AM$19,verlichting_parameters_gebruiksfuncties,0))*IF(AM$45="",INDEX(verlichting_vermogen_forfaitair,MATCH(AM$19,verlichting_parameters_gebruiksfuncties,0)),AM$45))*
IF(OR(AM$19=woning,AM$19=woongebouw),1,INDEX(verlichtingsregeling_waarden,MATCH(AM$46,verlichtingsregeling_kopregel,0))))</f>
        <v>0</v>
      </c>
      <c r="AN66" s="260">
        <f t="shared" si="93"/>
        <v>0</v>
      </c>
      <c r="AO66" s="260">
        <f t="shared" si="93"/>
        <v>0</v>
      </c>
      <c r="AP66" s="260">
        <f t="shared" si="93"/>
        <v>0</v>
      </c>
      <c r="AQ66" s="260">
        <f t="shared" si="93"/>
        <v>0</v>
      </c>
      <c r="AR66" s="260">
        <f t="shared" si="93"/>
        <v>0</v>
      </c>
      <c r="AS66" s="260">
        <f t="shared" si="93"/>
        <v>0</v>
      </c>
      <c r="AT66" s="260">
        <f t="shared" si="93"/>
        <v>0</v>
      </c>
      <c r="AU66" s="260">
        <f t="shared" si="93"/>
        <v>0</v>
      </c>
      <c r="AV66" s="126"/>
      <c r="AW66" s="261">
        <f t="shared" si="85"/>
        <v>0</v>
      </c>
      <c r="AX66" s="259"/>
      <c r="AY66" s="260">
        <f t="shared" ref="AY66:BG66" si="94">IF(OR(AY$17="",AND(AY$19&lt;&gt;woning,AY$19&lt;&gt;woongebouw,AY$46="")),0,
(INDEX(verlichting_parameters_a,MATCH(AY$19,verlichting_parameters_gebruiksfuncties,0))+
INDEX(verlichting_parameters_b,MATCH(AY$19,verlichting_parameters_gebruiksfuncties,0))*IF(AY$45="",INDEX(verlichting_vermogen_forfaitair,MATCH(AY$19,verlichting_parameters_gebruiksfuncties,0)),AY$45))*
IF(OR(AY$19=woning,AY$19=woongebouw),1,INDEX(verlichtingsregeling_waarden,MATCH(AY$46,verlichtingsregeling_kopregel,0))))</f>
        <v>0</v>
      </c>
      <c r="AZ66" s="260">
        <f t="shared" si="94"/>
        <v>0</v>
      </c>
      <c r="BA66" s="260">
        <f t="shared" si="94"/>
        <v>0</v>
      </c>
      <c r="BB66" s="260">
        <f t="shared" si="94"/>
        <v>0</v>
      </c>
      <c r="BC66" s="260">
        <f t="shared" si="94"/>
        <v>0</v>
      </c>
      <c r="BD66" s="260">
        <f t="shared" si="94"/>
        <v>0</v>
      </c>
      <c r="BE66" s="260">
        <f t="shared" si="94"/>
        <v>0</v>
      </c>
      <c r="BF66" s="260">
        <f t="shared" si="94"/>
        <v>0</v>
      </c>
      <c r="BG66" s="260">
        <f t="shared" si="94"/>
        <v>0</v>
      </c>
      <c r="BH66" s="210"/>
    </row>
    <row r="67" spans="1:60">
      <c r="A67" s="1041"/>
      <c r="B67" s="1109" t="s">
        <v>147</v>
      </c>
      <c r="C67" s="1107" t="s">
        <v>104</v>
      </c>
      <c r="D67" s="641" t="s">
        <v>45</v>
      </c>
      <c r="E67" s="295" t="str">
        <f>$S$10</f>
        <v>ventilatoren</v>
      </c>
      <c r="F67" s="296"/>
      <c r="G67" s="296"/>
      <c r="H67" s="295" t="s">
        <v>154</v>
      </c>
      <c r="I67" s="259"/>
      <c r="J67" s="261">
        <f t="shared" si="70"/>
        <v>0</v>
      </c>
      <c r="K67" s="126"/>
      <c r="L67" s="126"/>
      <c r="M67" s="261">
        <f t="shared" si="71"/>
        <v>0</v>
      </c>
      <c r="N67" s="259"/>
      <c r="O67" s="260">
        <f t="shared" ref="O67:W67" si="95">IFERROR(IF(OR(O$17="",O$40=""),0,
IF(LEFT(INDEX(ventilatiesystemen_code,MATCH(O$40,ventilatiesystemen_namen,0)),1)="A",0,
IF(LEFT(INDEX(ventilatiesystemen_code,MATCH(O$40,ventilatiesystemen_namen,0)),1)="C",VLOOKUP(O$41,ventilatorenergie_ventilatiesysteem_B_C,MATCH(O$19,ventilatorenergie_ventilatiesysteem_B_C_kopregel,0),FALSE),
VLOOKUP(O$41,ventilatorenergie_ventilatiesysteem_D,MATCH(O$19,ventilatorenergie_ventilatiesysteem_D_kopregel,0),FALSE)  ))),0)</f>
        <v>0</v>
      </c>
      <c r="P67" s="260">
        <f t="shared" si="95"/>
        <v>0</v>
      </c>
      <c r="Q67" s="260">
        <f t="shared" si="95"/>
        <v>0</v>
      </c>
      <c r="R67" s="260">
        <f t="shared" si="95"/>
        <v>0</v>
      </c>
      <c r="S67" s="260">
        <f t="shared" si="95"/>
        <v>0</v>
      </c>
      <c r="T67" s="260">
        <f t="shared" si="95"/>
        <v>0</v>
      </c>
      <c r="U67" s="260">
        <f t="shared" si="95"/>
        <v>0</v>
      </c>
      <c r="V67" s="260">
        <f t="shared" si="95"/>
        <v>0</v>
      </c>
      <c r="W67" s="260">
        <f t="shared" si="95"/>
        <v>0</v>
      </c>
      <c r="X67" s="126"/>
      <c r="Y67" s="261">
        <f t="shared" si="81"/>
        <v>0</v>
      </c>
      <c r="Z67" s="259"/>
      <c r="AA67" s="260">
        <f t="shared" ref="AA67:AI67" si="96">IFERROR(IF(OR(AA$17="",AA$40=""),0,
IF(LEFT(INDEX(ventilatiesystemen_code,MATCH(AA$40,ventilatiesystemen_namen,0)),1)="A",0,
IF(LEFT(INDEX(ventilatiesystemen_code,MATCH(AA$40,ventilatiesystemen_namen,0)),1)="C",VLOOKUP(AA$41,ventilatorenergie_ventilatiesysteem_B_C,MATCH(AA$19,ventilatorenergie_ventilatiesysteem_B_C_kopregel,0),FALSE),
VLOOKUP(AA$41,ventilatorenergie_ventilatiesysteem_D,MATCH(AA$19,ventilatorenergie_ventilatiesysteem_D_kopregel,0),FALSE)  ))),0)</f>
        <v>0</v>
      </c>
      <c r="AB67" s="260">
        <f t="shared" si="96"/>
        <v>0</v>
      </c>
      <c r="AC67" s="260">
        <f t="shared" si="96"/>
        <v>0</v>
      </c>
      <c r="AD67" s="260">
        <f t="shared" si="96"/>
        <v>0</v>
      </c>
      <c r="AE67" s="260">
        <f t="shared" si="96"/>
        <v>0</v>
      </c>
      <c r="AF67" s="260">
        <f t="shared" si="96"/>
        <v>0</v>
      </c>
      <c r="AG67" s="260">
        <f t="shared" si="96"/>
        <v>0</v>
      </c>
      <c r="AH67" s="260">
        <f t="shared" si="96"/>
        <v>0</v>
      </c>
      <c r="AI67" s="260">
        <f t="shared" si="96"/>
        <v>0</v>
      </c>
      <c r="AJ67" s="126"/>
      <c r="AK67" s="261">
        <f t="shared" si="83"/>
        <v>0</v>
      </c>
      <c r="AL67" s="259"/>
      <c r="AM67" s="260">
        <f t="shared" ref="AM67:AU67" si="97">IFERROR(IF(OR(AM$17="",AM$40=""),0,
IF(LEFT(INDEX(ventilatiesystemen_code,MATCH(AM$40,ventilatiesystemen_namen,0)),1)="A",0,
IF(LEFT(INDEX(ventilatiesystemen_code,MATCH(AM$40,ventilatiesystemen_namen,0)),1)="C",VLOOKUP(AM$41,ventilatorenergie_ventilatiesysteem_B_C,MATCH(AM$19,ventilatorenergie_ventilatiesysteem_B_C_kopregel,0),FALSE),
VLOOKUP(AM$41,ventilatorenergie_ventilatiesysteem_D,MATCH(AM$19,ventilatorenergie_ventilatiesysteem_D_kopregel,0),FALSE)  ))),0)</f>
        <v>0</v>
      </c>
      <c r="AN67" s="260">
        <f t="shared" si="97"/>
        <v>0</v>
      </c>
      <c r="AO67" s="260">
        <f t="shared" si="97"/>
        <v>0</v>
      </c>
      <c r="AP67" s="260">
        <f t="shared" si="97"/>
        <v>0</v>
      </c>
      <c r="AQ67" s="260">
        <f t="shared" si="97"/>
        <v>0</v>
      </c>
      <c r="AR67" s="260">
        <f t="shared" si="97"/>
        <v>0</v>
      </c>
      <c r="AS67" s="260">
        <f t="shared" si="97"/>
        <v>0</v>
      </c>
      <c r="AT67" s="260">
        <f t="shared" si="97"/>
        <v>0</v>
      </c>
      <c r="AU67" s="260">
        <f t="shared" si="97"/>
        <v>0</v>
      </c>
      <c r="AV67" s="126"/>
      <c r="AW67" s="261">
        <f t="shared" si="85"/>
        <v>0</v>
      </c>
      <c r="AX67" s="259"/>
      <c r="AY67" s="260">
        <f t="shared" ref="AY67:BG67" si="98">IFERROR(IF(OR(AY$17="",AY$40=""),0,
IF(LEFT(INDEX(ventilatiesystemen_code,MATCH(AY$40,ventilatiesystemen_namen,0)),1)="A",0,
IF(LEFT(INDEX(ventilatiesystemen_code,MATCH(AY$40,ventilatiesystemen_namen,0)),1)="C",VLOOKUP(AY$41,ventilatorenergie_ventilatiesysteem_B_C,MATCH(AY$19,ventilatorenergie_ventilatiesysteem_B_C_kopregel,0),FALSE),
VLOOKUP(AY$41,ventilatorenergie_ventilatiesysteem_D,MATCH(AY$19,ventilatorenergie_ventilatiesysteem_D_kopregel,0),FALSE)  ))),0)</f>
        <v>0</v>
      </c>
      <c r="AZ67" s="260">
        <f t="shared" si="98"/>
        <v>0</v>
      </c>
      <c r="BA67" s="260">
        <f t="shared" si="98"/>
        <v>0</v>
      </c>
      <c r="BB67" s="260">
        <f t="shared" si="98"/>
        <v>0</v>
      </c>
      <c r="BC67" s="260">
        <f t="shared" si="98"/>
        <v>0</v>
      </c>
      <c r="BD67" s="260">
        <f t="shared" si="98"/>
        <v>0</v>
      </c>
      <c r="BE67" s="260">
        <f t="shared" si="98"/>
        <v>0</v>
      </c>
      <c r="BF67" s="260">
        <f t="shared" si="98"/>
        <v>0</v>
      </c>
      <c r="BG67" s="260">
        <f t="shared" si="98"/>
        <v>0</v>
      </c>
      <c r="BH67" s="210"/>
    </row>
    <row r="68" spans="1:60">
      <c r="A68" s="1041"/>
      <c r="B68" s="1109" t="s">
        <v>147</v>
      </c>
      <c r="C68" s="1107" t="s">
        <v>104</v>
      </c>
      <c r="D68" s="641" t="s">
        <v>45</v>
      </c>
      <c r="E68" s="413" t="str">
        <f>$T$10</f>
        <v>kookgas</v>
      </c>
      <c r="F68" s="296"/>
      <c r="G68" s="296"/>
      <c r="H68" s="295" t="s">
        <v>154</v>
      </c>
      <c r="I68" s="259"/>
      <c r="J68" s="261">
        <f t="shared" si="70"/>
        <v>0</v>
      </c>
      <c r="K68" s="126"/>
      <c r="L68" s="126"/>
      <c r="M68" s="261">
        <f t="shared" si="71"/>
        <v>0</v>
      </c>
      <c r="N68" s="259"/>
      <c r="O68" s="260">
        <f t="shared" ref="O68:W68" si="99">IF(OR(O$17="",O$29=0,O$47=elektriciteit,AND(O$19&lt;&gt;woning,O$19&lt;&gt;woongebouw)),0,koken_gas/O$29)</f>
        <v>0</v>
      </c>
      <c r="P68" s="260">
        <f t="shared" si="99"/>
        <v>0</v>
      </c>
      <c r="Q68" s="260">
        <f t="shared" si="99"/>
        <v>0</v>
      </c>
      <c r="R68" s="260">
        <f t="shared" si="99"/>
        <v>0</v>
      </c>
      <c r="S68" s="260">
        <f t="shared" si="99"/>
        <v>0</v>
      </c>
      <c r="T68" s="260">
        <f t="shared" si="99"/>
        <v>0</v>
      </c>
      <c r="U68" s="260">
        <f t="shared" si="99"/>
        <v>0</v>
      </c>
      <c r="V68" s="260">
        <f t="shared" si="99"/>
        <v>0</v>
      </c>
      <c r="W68" s="260">
        <f t="shared" si="99"/>
        <v>0</v>
      </c>
      <c r="X68" s="126"/>
      <c r="Y68" s="261">
        <f t="shared" si="81"/>
        <v>0</v>
      </c>
      <c r="Z68" s="259"/>
      <c r="AA68" s="260">
        <f t="shared" ref="AA68:AI68" si="100">IF(OR(AA$17="",AA$29=0,AA$47=elektriciteit,AND(AA$19&lt;&gt;woning,AA$19&lt;&gt;woongebouw)),0,koken_gas/AA$29)</f>
        <v>0</v>
      </c>
      <c r="AB68" s="260">
        <f t="shared" si="100"/>
        <v>0</v>
      </c>
      <c r="AC68" s="260">
        <f t="shared" si="100"/>
        <v>0</v>
      </c>
      <c r="AD68" s="260">
        <f t="shared" si="100"/>
        <v>0</v>
      </c>
      <c r="AE68" s="260">
        <f t="shared" si="100"/>
        <v>0</v>
      </c>
      <c r="AF68" s="260">
        <f t="shared" si="100"/>
        <v>0</v>
      </c>
      <c r="AG68" s="260">
        <f t="shared" si="100"/>
        <v>0</v>
      </c>
      <c r="AH68" s="260">
        <f t="shared" si="100"/>
        <v>0</v>
      </c>
      <c r="AI68" s="260">
        <f t="shared" si="100"/>
        <v>0</v>
      </c>
      <c r="AJ68" s="126"/>
      <c r="AK68" s="261">
        <f t="shared" si="83"/>
        <v>0</v>
      </c>
      <c r="AL68" s="259"/>
      <c r="AM68" s="260">
        <f t="shared" ref="AM68:AU68" si="101">IF(OR(AM$17="",AM$29=0,AM$47=elektriciteit,AND(AM$19&lt;&gt;woning,AM$19&lt;&gt;woongebouw)),0,koken_gas/AM$29)</f>
        <v>0</v>
      </c>
      <c r="AN68" s="260">
        <f t="shared" si="101"/>
        <v>0</v>
      </c>
      <c r="AO68" s="260">
        <f t="shared" si="101"/>
        <v>0</v>
      </c>
      <c r="AP68" s="260">
        <f t="shared" si="101"/>
        <v>0</v>
      </c>
      <c r="AQ68" s="260">
        <f t="shared" si="101"/>
        <v>0</v>
      </c>
      <c r="AR68" s="260">
        <f t="shared" si="101"/>
        <v>0</v>
      </c>
      <c r="AS68" s="260">
        <f t="shared" si="101"/>
        <v>0</v>
      </c>
      <c r="AT68" s="260">
        <f t="shared" si="101"/>
        <v>0</v>
      </c>
      <c r="AU68" s="260">
        <f t="shared" si="101"/>
        <v>0</v>
      </c>
      <c r="AV68" s="126"/>
      <c r="AW68" s="261">
        <f t="shared" si="85"/>
        <v>0</v>
      </c>
      <c r="AX68" s="259"/>
      <c r="AY68" s="260">
        <f t="shared" ref="AY68:BG68" si="102">IF(OR(AY$17="",AY$29=0,AY$47=elektriciteit,AND(AY$19&lt;&gt;woning,AY$19&lt;&gt;woongebouw)),0,koken_gas/AY$29)</f>
        <v>0</v>
      </c>
      <c r="AZ68" s="260">
        <f t="shared" si="102"/>
        <v>0</v>
      </c>
      <c r="BA68" s="260">
        <f t="shared" si="102"/>
        <v>0</v>
      </c>
      <c r="BB68" s="260">
        <f t="shared" si="102"/>
        <v>0</v>
      </c>
      <c r="BC68" s="260">
        <f t="shared" si="102"/>
        <v>0</v>
      </c>
      <c r="BD68" s="260">
        <f t="shared" si="102"/>
        <v>0</v>
      </c>
      <c r="BE68" s="260">
        <f t="shared" si="102"/>
        <v>0</v>
      </c>
      <c r="BF68" s="260">
        <f t="shared" si="102"/>
        <v>0</v>
      </c>
      <c r="BG68" s="260">
        <f t="shared" si="102"/>
        <v>0</v>
      </c>
      <c r="BH68" s="210"/>
    </row>
    <row r="69" spans="1:60">
      <c r="A69" s="1041"/>
      <c r="B69" s="1109" t="s">
        <v>147</v>
      </c>
      <c r="C69" s="1107" t="s">
        <v>104</v>
      </c>
      <c r="D69" s="641" t="s">
        <v>45</v>
      </c>
      <c r="E69" s="295" t="str">
        <f>$U$10</f>
        <v>overig elektra</v>
      </c>
      <c r="F69" s="296"/>
      <c r="G69" s="296"/>
      <c r="H69" s="295" t="s">
        <v>154</v>
      </c>
      <c r="I69" s="259"/>
      <c r="J69" s="261">
        <f t="shared" si="70"/>
        <v>0</v>
      </c>
      <c r="K69" s="126"/>
      <c r="L69" s="126"/>
      <c r="M69" s="261">
        <f t="shared" si="71"/>
        <v>0</v>
      </c>
      <c r="N69" s="259"/>
      <c r="O69" s="260">
        <f t="shared" ref="O69:W69" si="103">IF(O$17="",0,
IF(OR(O$19=woning,O$19=woongebouw),(1-O$48)*niet_gebouwgebonden_elektriciteitgebruik_woningen_per_m2+IF(O$47=elektriciteit,koken_elektriciteit/O$29,0),
(1-O$48)*INDEX(specifiek_niet_gebouwgebonden_elektriciteitsgebruik_waarden,MATCH(O$19,specifiek_niet_gebouwgebonden_elektriciteitsgebruik_gebruiksfuncties,0))))</f>
        <v>0</v>
      </c>
      <c r="P69" s="260">
        <f t="shared" si="103"/>
        <v>0</v>
      </c>
      <c r="Q69" s="260">
        <f t="shared" si="103"/>
        <v>0</v>
      </c>
      <c r="R69" s="260">
        <f t="shared" si="103"/>
        <v>0</v>
      </c>
      <c r="S69" s="260">
        <f t="shared" si="103"/>
        <v>0</v>
      </c>
      <c r="T69" s="260">
        <f t="shared" si="103"/>
        <v>0</v>
      </c>
      <c r="U69" s="260">
        <f t="shared" si="103"/>
        <v>0</v>
      </c>
      <c r="V69" s="260">
        <f t="shared" si="103"/>
        <v>0</v>
      </c>
      <c r="W69" s="260">
        <f t="shared" si="103"/>
        <v>0</v>
      </c>
      <c r="X69" s="126"/>
      <c r="Y69" s="261">
        <f t="shared" si="81"/>
        <v>0</v>
      </c>
      <c r="Z69" s="259"/>
      <c r="AA69" s="260">
        <f t="shared" ref="AA69:AI69" si="104">IF(AA$17="",0,
IF(OR(AA$19=woning,AA$19=woongebouw),(1-AA$48)*niet_gebouwgebonden_elektriciteitgebruik_woningen_per_m2+IF(AA$47=elektriciteit,koken_elektriciteit/AA$29,0),
(1-AA$48)*INDEX(specifiek_niet_gebouwgebonden_elektriciteitsgebruik_waarden,MATCH(AA$19,specifiek_niet_gebouwgebonden_elektriciteitsgebruik_gebruiksfuncties,0))))</f>
        <v>0</v>
      </c>
      <c r="AB69" s="260">
        <f t="shared" si="104"/>
        <v>0</v>
      </c>
      <c r="AC69" s="260">
        <f t="shared" si="104"/>
        <v>0</v>
      </c>
      <c r="AD69" s="260">
        <f t="shared" si="104"/>
        <v>0</v>
      </c>
      <c r="AE69" s="260">
        <f t="shared" si="104"/>
        <v>0</v>
      </c>
      <c r="AF69" s="260">
        <f t="shared" si="104"/>
        <v>0</v>
      </c>
      <c r="AG69" s="260">
        <f t="shared" si="104"/>
        <v>0</v>
      </c>
      <c r="AH69" s="260">
        <f t="shared" si="104"/>
        <v>0</v>
      </c>
      <c r="AI69" s="260">
        <f t="shared" si="104"/>
        <v>0</v>
      </c>
      <c r="AJ69" s="126"/>
      <c r="AK69" s="261">
        <f t="shared" si="83"/>
        <v>0</v>
      </c>
      <c r="AL69" s="259"/>
      <c r="AM69" s="260">
        <f t="shared" ref="AM69:AU69" si="105">IF(AM$17="",0,
IF(OR(AM$19=woning,AM$19=woongebouw),(1-AM$48)*niet_gebouwgebonden_elektriciteitgebruik_woningen_per_m2+IF(AM$47=elektriciteit,koken_elektriciteit/AM$29,0),
(1-AM$48)*INDEX(specifiek_niet_gebouwgebonden_elektriciteitsgebruik_waarden,MATCH(AM$19,specifiek_niet_gebouwgebonden_elektriciteitsgebruik_gebruiksfuncties,0))))</f>
        <v>0</v>
      </c>
      <c r="AN69" s="260">
        <f t="shared" si="105"/>
        <v>0</v>
      </c>
      <c r="AO69" s="260">
        <f t="shared" si="105"/>
        <v>0</v>
      </c>
      <c r="AP69" s="260">
        <f t="shared" si="105"/>
        <v>0</v>
      </c>
      <c r="AQ69" s="260">
        <f t="shared" si="105"/>
        <v>0</v>
      </c>
      <c r="AR69" s="260">
        <f t="shared" si="105"/>
        <v>0</v>
      </c>
      <c r="AS69" s="260">
        <f t="shared" si="105"/>
        <v>0</v>
      </c>
      <c r="AT69" s="260">
        <f t="shared" si="105"/>
        <v>0</v>
      </c>
      <c r="AU69" s="260">
        <f t="shared" si="105"/>
        <v>0</v>
      </c>
      <c r="AV69" s="126"/>
      <c r="AW69" s="261">
        <f t="shared" si="85"/>
        <v>0</v>
      </c>
      <c r="AX69" s="259"/>
      <c r="AY69" s="260">
        <f t="shared" ref="AY69:BG69" si="106">IF(AY$17="",0,
IF(OR(AY$19=woning,AY$19=woongebouw),(1-AY$48)*niet_gebouwgebonden_elektriciteitgebruik_woningen_per_m2+IF(AY$47=elektriciteit,koken_elektriciteit/AY$29,0),
(1-AY$48)*INDEX(specifiek_niet_gebouwgebonden_elektriciteitsgebruik_waarden,MATCH(AY$19,specifiek_niet_gebouwgebonden_elektriciteitsgebruik_gebruiksfuncties,0))))</f>
        <v>0</v>
      </c>
      <c r="AZ69" s="260">
        <f t="shared" si="106"/>
        <v>0</v>
      </c>
      <c r="BA69" s="260">
        <f t="shared" si="106"/>
        <v>0</v>
      </c>
      <c r="BB69" s="260">
        <f t="shared" si="106"/>
        <v>0</v>
      </c>
      <c r="BC69" s="260">
        <f t="shared" si="106"/>
        <v>0</v>
      </c>
      <c r="BD69" s="260">
        <f t="shared" si="106"/>
        <v>0</v>
      </c>
      <c r="BE69" s="260">
        <f t="shared" si="106"/>
        <v>0</v>
      </c>
      <c r="BF69" s="260">
        <f t="shared" si="106"/>
        <v>0</v>
      </c>
      <c r="BG69" s="260">
        <f t="shared" si="106"/>
        <v>0</v>
      </c>
      <c r="BH69" s="210"/>
    </row>
    <row r="70" spans="1:60">
      <c r="A70" s="1041"/>
      <c r="B70" s="1109" t="s">
        <v>147</v>
      </c>
      <c r="C70" s="1106" t="s">
        <v>96</v>
      </c>
      <c r="D70" s="641"/>
      <c r="E70" s="942" t="s">
        <v>155</v>
      </c>
      <c r="F70" s="942"/>
      <c r="G70" s="942"/>
      <c r="H70" s="942"/>
      <c r="I70" s="129"/>
      <c r="J70" s="943"/>
      <c r="K70" s="126"/>
      <c r="L70" s="126"/>
      <c r="M70" s="944"/>
      <c r="N70" s="145"/>
      <c r="O70" s="258" t="str">
        <f>O$17</f>
        <v/>
      </c>
      <c r="P70" s="258" t="str">
        <f t="shared" ref="P70:W70" si="107">P$17</f>
        <v/>
      </c>
      <c r="Q70" s="258" t="str">
        <f t="shared" si="107"/>
        <v/>
      </c>
      <c r="R70" s="258" t="str">
        <f t="shared" si="107"/>
        <v/>
      </c>
      <c r="S70" s="258" t="str">
        <f t="shared" si="107"/>
        <v/>
      </c>
      <c r="T70" s="258" t="str">
        <f t="shared" si="107"/>
        <v/>
      </c>
      <c r="U70" s="258" t="str">
        <f t="shared" si="107"/>
        <v/>
      </c>
      <c r="V70" s="258" t="str">
        <f t="shared" si="107"/>
        <v/>
      </c>
      <c r="W70" s="258" t="str">
        <f t="shared" si="107"/>
        <v/>
      </c>
      <c r="X70" s="146"/>
      <c r="Y70" s="944"/>
      <c r="Z70" s="145"/>
      <c r="AA70" s="258" t="str">
        <f>AA$17</f>
        <v/>
      </c>
      <c r="AB70" s="258" t="str">
        <f t="shared" ref="AB70:AI70" si="108">AB$17</f>
        <v/>
      </c>
      <c r="AC70" s="258" t="str">
        <f t="shared" si="108"/>
        <v/>
      </c>
      <c r="AD70" s="258" t="str">
        <f t="shared" si="108"/>
        <v/>
      </c>
      <c r="AE70" s="258" t="str">
        <f t="shared" si="108"/>
        <v/>
      </c>
      <c r="AF70" s="258" t="str">
        <f t="shared" si="108"/>
        <v/>
      </c>
      <c r="AG70" s="258" t="str">
        <f t="shared" si="108"/>
        <v/>
      </c>
      <c r="AH70" s="258" t="str">
        <f t="shared" si="108"/>
        <v/>
      </c>
      <c r="AI70" s="258" t="str">
        <f t="shared" si="108"/>
        <v/>
      </c>
      <c r="AJ70" s="146"/>
      <c r="AK70" s="944"/>
      <c r="AL70" s="145"/>
      <c r="AM70" s="258" t="str">
        <f>AM$17</f>
        <v/>
      </c>
      <c r="AN70" s="258" t="str">
        <f t="shared" ref="AN70:AU70" si="109">AN$17</f>
        <v/>
      </c>
      <c r="AO70" s="258" t="str">
        <f t="shared" si="109"/>
        <v/>
      </c>
      <c r="AP70" s="258" t="str">
        <f t="shared" si="109"/>
        <v/>
      </c>
      <c r="AQ70" s="258" t="str">
        <f t="shared" si="109"/>
        <v/>
      </c>
      <c r="AR70" s="258" t="str">
        <f t="shared" si="109"/>
        <v/>
      </c>
      <c r="AS70" s="258" t="str">
        <f t="shared" si="109"/>
        <v/>
      </c>
      <c r="AT70" s="258" t="str">
        <f t="shared" si="109"/>
        <v/>
      </c>
      <c r="AU70" s="258" t="str">
        <f t="shared" si="109"/>
        <v/>
      </c>
      <c r="AV70" s="146"/>
      <c r="AW70" s="944"/>
      <c r="AX70" s="145"/>
      <c r="AY70" s="258" t="str">
        <f>AY$17</f>
        <v/>
      </c>
      <c r="AZ70" s="258" t="str">
        <f t="shared" ref="AZ70:BG70" si="110">AZ$17</f>
        <v/>
      </c>
      <c r="BA70" s="258" t="str">
        <f t="shared" si="110"/>
        <v/>
      </c>
      <c r="BB70" s="258" t="str">
        <f t="shared" si="110"/>
        <v/>
      </c>
      <c r="BC70" s="258" t="str">
        <f t="shared" si="110"/>
        <v/>
      </c>
      <c r="BD70" s="258" t="str">
        <f t="shared" si="110"/>
        <v/>
      </c>
      <c r="BE70" s="258" t="str">
        <f t="shared" si="110"/>
        <v/>
      </c>
      <c r="BF70" s="258" t="str">
        <f t="shared" si="110"/>
        <v/>
      </c>
      <c r="BG70" s="258" t="str">
        <f t="shared" si="110"/>
        <v/>
      </c>
      <c r="BH70" s="218"/>
    </row>
    <row r="71" spans="1:60">
      <c r="A71" s="1041"/>
      <c r="B71" s="1109" t="s">
        <v>147</v>
      </c>
      <c r="C71" s="1107" t="s">
        <v>118</v>
      </c>
      <c r="D71" s="641" t="s">
        <v>45</v>
      </c>
      <c r="E71" s="295" t="str">
        <f>$V$10</f>
        <v>mobiliteit</v>
      </c>
      <c r="F71" s="296"/>
      <c r="G71" s="296"/>
      <c r="H71" s="295" t="s">
        <v>156</v>
      </c>
      <c r="I71" s="259"/>
      <c r="J71" s="261">
        <f>M71+Y71+AK71+AW71</f>
        <v>0</v>
      </c>
      <c r="K71" s="126"/>
      <c r="L71" s="126"/>
      <c r="M71" s="261">
        <f>SUMPRODUCT(N$22:X$22,N71:X71)/1000</f>
        <v>0</v>
      </c>
      <c r="N71" s="259"/>
      <c r="O71" s="381"/>
      <c r="P71" s="381"/>
      <c r="Q71" s="381"/>
      <c r="R71" s="381"/>
      <c r="S71" s="381"/>
      <c r="T71" s="381"/>
      <c r="U71" s="381"/>
      <c r="V71" s="381"/>
      <c r="W71" s="381"/>
      <c r="X71" s="126"/>
      <c r="Y71" s="261">
        <f>SUMPRODUCT(Z$22:AJ$22,Z71:AJ71)/1000</f>
        <v>0</v>
      </c>
      <c r="Z71" s="259"/>
      <c r="AA71" s="381"/>
      <c r="AB71" s="381"/>
      <c r="AC71" s="381"/>
      <c r="AD71" s="381"/>
      <c r="AE71" s="381"/>
      <c r="AF71" s="381"/>
      <c r="AG71" s="381"/>
      <c r="AH71" s="381"/>
      <c r="AI71" s="381"/>
      <c r="AJ71" s="126"/>
      <c r="AK71" s="261">
        <f>SUMPRODUCT(AL$22:AV$22,AL71:AV71)/1000</f>
        <v>0</v>
      </c>
      <c r="AL71" s="259"/>
      <c r="AM71" s="381"/>
      <c r="AN71" s="381"/>
      <c r="AO71" s="381"/>
      <c r="AP71" s="381"/>
      <c r="AQ71" s="381"/>
      <c r="AR71" s="381"/>
      <c r="AS71" s="381"/>
      <c r="AT71" s="381"/>
      <c r="AU71" s="381"/>
      <c r="AV71" s="126"/>
      <c r="AW71" s="261">
        <f>SUMPRODUCT(AX$22:BH$22,AX71:BH71)/1000</f>
        <v>0</v>
      </c>
      <c r="AX71" s="259"/>
      <c r="AY71" s="381"/>
      <c r="AZ71" s="381"/>
      <c r="BA71" s="381"/>
      <c r="BB71" s="381"/>
      <c r="BC71" s="381"/>
      <c r="BD71" s="381"/>
      <c r="BE71" s="381"/>
      <c r="BF71" s="381"/>
      <c r="BG71" s="381"/>
      <c r="BH71" s="210"/>
    </row>
    <row r="72" spans="1:60">
      <c r="A72" s="1040"/>
      <c r="B72" s="1109" t="s">
        <v>147</v>
      </c>
      <c r="C72" s="1106" t="s">
        <v>96</v>
      </c>
      <c r="D72" s="641"/>
      <c r="E72" s="942" t="s">
        <v>157</v>
      </c>
      <c r="F72" s="942"/>
      <c r="G72" s="942"/>
      <c r="H72" s="942"/>
      <c r="I72" s="129"/>
      <c r="J72" s="943"/>
      <c r="K72" s="126"/>
      <c r="L72" s="126"/>
      <c r="M72" s="944"/>
      <c r="N72" s="145"/>
      <c r="O72" s="258" t="str">
        <f>O$17</f>
        <v/>
      </c>
      <c r="P72" s="258" t="str">
        <f t="shared" ref="P72:W72" si="111">P$17</f>
        <v/>
      </c>
      <c r="Q72" s="258" t="str">
        <f t="shared" si="111"/>
        <v/>
      </c>
      <c r="R72" s="258" t="str">
        <f t="shared" si="111"/>
        <v/>
      </c>
      <c r="S72" s="258" t="str">
        <f t="shared" si="111"/>
        <v/>
      </c>
      <c r="T72" s="258" t="str">
        <f t="shared" si="111"/>
        <v/>
      </c>
      <c r="U72" s="258" t="str">
        <f t="shared" si="111"/>
        <v/>
      </c>
      <c r="V72" s="258" t="str">
        <f t="shared" si="111"/>
        <v/>
      </c>
      <c r="W72" s="258" t="str">
        <f t="shared" si="111"/>
        <v/>
      </c>
      <c r="X72" s="146"/>
      <c r="Y72" s="944"/>
      <c r="Z72" s="145"/>
      <c r="AA72" s="258" t="str">
        <f>AA$17</f>
        <v/>
      </c>
      <c r="AB72" s="258" t="str">
        <f t="shared" ref="AB72:AI72" si="112">AB$17</f>
        <v/>
      </c>
      <c r="AC72" s="258" t="str">
        <f t="shared" si="112"/>
        <v/>
      </c>
      <c r="AD72" s="258" t="str">
        <f t="shared" si="112"/>
        <v/>
      </c>
      <c r="AE72" s="258" t="str">
        <f t="shared" si="112"/>
        <v/>
      </c>
      <c r="AF72" s="258" t="str">
        <f t="shared" si="112"/>
        <v/>
      </c>
      <c r="AG72" s="258" t="str">
        <f t="shared" si="112"/>
        <v/>
      </c>
      <c r="AH72" s="258" t="str">
        <f t="shared" si="112"/>
        <v/>
      </c>
      <c r="AI72" s="258" t="str">
        <f t="shared" si="112"/>
        <v/>
      </c>
      <c r="AJ72" s="146"/>
      <c r="AK72" s="944"/>
      <c r="AL72" s="145"/>
      <c r="AM72" s="258" t="str">
        <f>AM$17</f>
        <v/>
      </c>
      <c r="AN72" s="258" t="str">
        <f t="shared" ref="AN72:AU72" si="113">AN$17</f>
        <v/>
      </c>
      <c r="AO72" s="258" t="str">
        <f t="shared" si="113"/>
        <v/>
      </c>
      <c r="AP72" s="258" t="str">
        <f t="shared" si="113"/>
        <v/>
      </c>
      <c r="AQ72" s="258" t="str">
        <f t="shared" si="113"/>
        <v/>
      </c>
      <c r="AR72" s="258" t="str">
        <f t="shared" si="113"/>
        <v/>
      </c>
      <c r="AS72" s="258" t="str">
        <f t="shared" si="113"/>
        <v/>
      </c>
      <c r="AT72" s="258" t="str">
        <f t="shared" si="113"/>
        <v/>
      </c>
      <c r="AU72" s="258" t="str">
        <f t="shared" si="113"/>
        <v/>
      </c>
      <c r="AV72" s="146"/>
      <c r="AW72" s="944"/>
      <c r="AX72" s="145"/>
      <c r="AY72" s="258" t="str">
        <f>AY$17</f>
        <v/>
      </c>
      <c r="AZ72" s="258" t="str">
        <f t="shared" ref="AZ72:BG72" si="114">AZ$17</f>
        <v/>
      </c>
      <c r="BA72" s="258" t="str">
        <f t="shared" si="114"/>
        <v/>
      </c>
      <c r="BB72" s="258" t="str">
        <f t="shared" si="114"/>
        <v/>
      </c>
      <c r="BC72" s="258" t="str">
        <f t="shared" si="114"/>
        <v/>
      </c>
      <c r="BD72" s="258" t="str">
        <f t="shared" si="114"/>
        <v/>
      </c>
      <c r="BE72" s="258" t="str">
        <f t="shared" si="114"/>
        <v/>
      </c>
      <c r="BF72" s="258" t="str">
        <f t="shared" si="114"/>
        <v/>
      </c>
      <c r="BG72" s="258" t="str">
        <f t="shared" si="114"/>
        <v/>
      </c>
      <c r="BH72" s="218"/>
    </row>
    <row r="73" spans="1:60">
      <c r="A73" s="1040"/>
      <c r="B73" s="1109" t="s">
        <v>147</v>
      </c>
      <c r="C73" s="1107" t="s">
        <v>118</v>
      </c>
      <c r="D73" s="641" t="s">
        <v>45</v>
      </c>
      <c r="E73" s="295" t="s">
        <v>1367</v>
      </c>
      <c r="F73" s="296"/>
      <c r="G73" s="296"/>
      <c r="H73" s="295" t="s">
        <v>156</v>
      </c>
      <c r="I73" s="259"/>
      <c r="J73" s="261">
        <f>M73+Y73+AK73+AW73</f>
        <v>0</v>
      </c>
      <c r="K73" s="126"/>
      <c r="L73" s="126"/>
      <c r="M73" s="261">
        <f>SUMPRODUCT(N$22:X$22,N73:X73)/1000</f>
        <v>0</v>
      </c>
      <c r="N73" s="259"/>
      <c r="O73" s="381"/>
      <c r="P73" s="381"/>
      <c r="Q73" s="381"/>
      <c r="R73" s="381"/>
      <c r="S73" s="381"/>
      <c r="T73" s="381"/>
      <c r="U73" s="381"/>
      <c r="V73" s="381"/>
      <c r="W73" s="381"/>
      <c r="X73" s="126"/>
      <c r="Y73" s="261">
        <f>SUMPRODUCT(Z$22:AJ$22,Z73:AJ73)/1000</f>
        <v>0</v>
      </c>
      <c r="Z73" s="259"/>
      <c r="AA73" s="381"/>
      <c r="AB73" s="381"/>
      <c r="AC73" s="381"/>
      <c r="AD73" s="381"/>
      <c r="AE73" s="381"/>
      <c r="AF73" s="381"/>
      <c r="AG73" s="381"/>
      <c r="AH73" s="381"/>
      <c r="AI73" s="381"/>
      <c r="AJ73" s="126"/>
      <c r="AK73" s="261">
        <f>SUMPRODUCT(AL$22:AV$22,AL73:AV73)/1000</f>
        <v>0</v>
      </c>
      <c r="AL73" s="259"/>
      <c r="AM73" s="381"/>
      <c r="AN73" s="381"/>
      <c r="AO73" s="381"/>
      <c r="AP73" s="381"/>
      <c r="AQ73" s="381"/>
      <c r="AR73" s="381"/>
      <c r="AS73" s="381"/>
      <c r="AT73" s="381"/>
      <c r="AU73" s="381"/>
      <c r="AV73" s="126"/>
      <c r="AW73" s="261">
        <f>SUMPRODUCT(AX$22:BH$22,AX73:BH73)/1000</f>
        <v>0</v>
      </c>
      <c r="AX73" s="259"/>
      <c r="AY73" s="381"/>
      <c r="AZ73" s="381"/>
      <c r="BA73" s="381"/>
      <c r="BB73" s="381"/>
      <c r="BC73" s="381"/>
      <c r="BD73" s="381"/>
      <c r="BE73" s="381"/>
      <c r="BF73" s="381"/>
      <c r="BG73" s="381"/>
      <c r="BH73" s="210"/>
    </row>
    <row r="74" spans="1:60">
      <c r="A74" s="1040"/>
      <c r="B74" s="1109" t="s">
        <v>147</v>
      </c>
      <c r="C74" s="1107" t="s">
        <v>118</v>
      </c>
      <c r="D74" s="638"/>
      <c r="E74" s="79"/>
      <c r="F74" s="79"/>
      <c r="G74" s="79"/>
      <c r="H74" s="85"/>
      <c r="I74" s="79"/>
      <c r="J74" s="82"/>
      <c r="K74" s="79"/>
      <c r="L74" s="79"/>
      <c r="M74" s="82"/>
      <c r="N74" s="79"/>
      <c r="O74" s="82"/>
      <c r="P74" s="82"/>
      <c r="Q74" s="105"/>
      <c r="R74" s="105"/>
      <c r="S74" s="105"/>
      <c r="T74" s="105"/>
      <c r="U74" s="105"/>
      <c r="V74" s="105"/>
      <c r="W74" s="105"/>
      <c r="X74" s="82"/>
      <c r="Y74" s="82"/>
      <c r="Z74" s="79"/>
      <c r="AA74" s="105"/>
      <c r="AB74" s="82"/>
      <c r="AC74" s="105"/>
      <c r="AD74" s="105"/>
      <c r="AE74" s="105"/>
      <c r="AF74" s="105"/>
      <c r="AG74" s="105"/>
      <c r="AH74" s="105"/>
      <c r="AI74" s="105"/>
      <c r="AJ74" s="82"/>
      <c r="AK74" s="82"/>
      <c r="AL74" s="79"/>
      <c r="AM74" s="105"/>
      <c r="AN74" s="82"/>
      <c r="AO74" s="105"/>
      <c r="AP74" s="105"/>
      <c r="AQ74" s="105"/>
      <c r="AR74" s="105"/>
      <c r="AS74" s="105"/>
      <c r="AT74" s="105"/>
      <c r="AU74" s="105"/>
      <c r="AV74" s="82"/>
      <c r="AW74" s="82"/>
      <c r="AX74" s="79"/>
      <c r="AY74" s="82"/>
      <c r="AZ74" s="82"/>
      <c r="BA74" s="82"/>
      <c r="BB74" s="82"/>
      <c r="BC74" s="82"/>
      <c r="BD74" s="82"/>
      <c r="BE74" s="82"/>
      <c r="BF74" s="82"/>
      <c r="BG74" s="82"/>
      <c r="BH74" s="1"/>
    </row>
    <row r="75" spans="1:60">
      <c r="A75" s="1040"/>
      <c r="B75" s="1109" t="s">
        <v>147</v>
      </c>
      <c r="C75" s="1107" t="s">
        <v>96</v>
      </c>
      <c r="D75" s="638"/>
      <c r="E75" s="79"/>
      <c r="F75" s="79"/>
      <c r="G75" s="79"/>
      <c r="H75" s="85"/>
      <c r="I75" s="79"/>
      <c r="J75" s="82"/>
      <c r="K75" s="79"/>
      <c r="L75" s="79"/>
      <c r="M75" s="82"/>
      <c r="N75" s="79"/>
      <c r="O75" s="105"/>
      <c r="P75" s="82"/>
      <c r="Q75" s="105"/>
      <c r="R75" s="105"/>
      <c r="S75" s="105"/>
      <c r="T75" s="105"/>
      <c r="U75" s="105"/>
      <c r="V75" s="105"/>
      <c r="W75" s="105"/>
      <c r="X75" s="82"/>
      <c r="Y75" s="82"/>
      <c r="Z75" s="79"/>
      <c r="AA75" s="105"/>
      <c r="AB75" s="82"/>
      <c r="AC75" s="105"/>
      <c r="AD75" s="105"/>
      <c r="AE75" s="105"/>
      <c r="AF75" s="105"/>
      <c r="AG75" s="105"/>
      <c r="AH75" s="105"/>
      <c r="AI75" s="105"/>
      <c r="AJ75" s="82"/>
      <c r="AK75" s="82"/>
      <c r="AL75" s="79"/>
      <c r="AM75" s="105"/>
      <c r="AN75" s="82"/>
      <c r="AO75" s="105"/>
      <c r="AP75" s="105"/>
      <c r="AQ75" s="105"/>
      <c r="AR75" s="105"/>
      <c r="AS75" s="105"/>
      <c r="AT75" s="105"/>
      <c r="AU75" s="105"/>
      <c r="AV75" s="82"/>
      <c r="AW75" s="82"/>
      <c r="AX75" s="79"/>
      <c r="AY75" s="82"/>
      <c r="AZ75" s="82"/>
      <c r="BA75" s="82"/>
      <c r="BB75" s="82"/>
      <c r="BC75" s="82"/>
      <c r="BD75" s="82"/>
      <c r="BE75" s="82"/>
      <c r="BF75" s="82"/>
      <c r="BG75" s="82"/>
      <c r="BH75" s="1"/>
    </row>
    <row r="76" spans="1:60" ht="21">
      <c r="A76" s="1040"/>
      <c r="B76" s="1109" t="s">
        <v>147</v>
      </c>
      <c r="C76" s="1106" t="s">
        <v>96</v>
      </c>
      <c r="D76" s="643"/>
      <c r="E76" s="199" t="s">
        <v>1168</v>
      </c>
      <c r="F76" s="199"/>
      <c r="G76" s="199"/>
      <c r="H76" s="199"/>
      <c r="I76" s="77"/>
      <c r="J76" s="200" t="str">
        <f>J$10</f>
        <v>alle locaties</v>
      </c>
      <c r="K76" s="126"/>
      <c r="L76" s="126"/>
      <c r="M76" s="200" t="str">
        <f>M$10</f>
        <v>locatie 1</v>
      </c>
      <c r="N76" s="182"/>
      <c r="O76" s="966" t="str">
        <f>$E76&amp;" per energiepost"</f>
        <v>energiebehoefte per energiepost</v>
      </c>
      <c r="P76" s="941"/>
      <c r="Q76" s="941"/>
      <c r="R76" s="941"/>
      <c r="S76" s="941"/>
      <c r="T76" s="941"/>
      <c r="U76" s="941"/>
      <c r="V76" s="941"/>
      <c r="W76" s="956"/>
      <c r="X76" s="174"/>
      <c r="Y76" s="176" t="str">
        <f>Y$10&amp;" MWh"</f>
        <v>locatie 2 MWh</v>
      </c>
      <c r="Z76" s="182"/>
      <c r="AA76" s="177" t="str">
        <f t="shared" ref="AA76:AI76" si="115">AA$10</f>
        <v>verwarming</v>
      </c>
      <c r="AB76" s="177" t="str">
        <f t="shared" si="115"/>
        <v>koeling</v>
      </c>
      <c r="AC76" s="177" t="str">
        <f t="shared" si="115"/>
        <v>tapwater</v>
      </c>
      <c r="AD76" s="177" t="str">
        <f t="shared" si="115"/>
        <v>verlichting</v>
      </c>
      <c r="AE76" s="177" t="str">
        <f t="shared" si="115"/>
        <v>ventilatoren</v>
      </c>
      <c r="AF76" s="177" t="str">
        <f t="shared" si="115"/>
        <v>kookgas</v>
      </c>
      <c r="AG76" s="177" t="str">
        <f t="shared" si="115"/>
        <v>overig elektra</v>
      </c>
      <c r="AH76" s="177" t="str">
        <f t="shared" si="115"/>
        <v>mobiliteit</v>
      </c>
      <c r="AI76" s="177" t="str">
        <f t="shared" si="115"/>
        <v>zonnepanelen</v>
      </c>
      <c r="AJ76" s="174"/>
      <c r="AK76" s="176" t="str">
        <f>AK$10&amp;" MWh"</f>
        <v>locatie 3 MWh</v>
      </c>
      <c r="AL76" s="182"/>
      <c r="AM76" s="177" t="str">
        <f>AM$10</f>
        <v>verwarming</v>
      </c>
      <c r="AN76" s="177" t="str">
        <f t="shared" ref="AN76:AU76" si="116">AN$10</f>
        <v>koeling</v>
      </c>
      <c r="AO76" s="177" t="str">
        <f t="shared" si="116"/>
        <v>tapwater</v>
      </c>
      <c r="AP76" s="177" t="str">
        <f t="shared" si="116"/>
        <v>verlichting</v>
      </c>
      <c r="AQ76" s="177" t="str">
        <f t="shared" si="116"/>
        <v>ventilatoren</v>
      </c>
      <c r="AR76" s="177" t="str">
        <f t="shared" si="116"/>
        <v>kookgas</v>
      </c>
      <c r="AS76" s="177" t="str">
        <f t="shared" si="116"/>
        <v>overig elektra</v>
      </c>
      <c r="AT76" s="177" t="str">
        <f t="shared" si="116"/>
        <v>mobiliteit</v>
      </c>
      <c r="AU76" s="177" t="str">
        <f t="shared" si="116"/>
        <v>zonnepanelen</v>
      </c>
      <c r="AV76" s="174"/>
      <c r="AW76" s="176" t="str">
        <f>AW$10&amp;" MWh"</f>
        <v>locatie 4 MWh</v>
      </c>
      <c r="AX76" s="182"/>
      <c r="AY76" s="177" t="str">
        <f>AY$10</f>
        <v>verwarming</v>
      </c>
      <c r="AZ76" s="177" t="str">
        <f t="shared" ref="AZ76:BG76" si="117">AZ$10</f>
        <v>koeling</v>
      </c>
      <c r="BA76" s="177" t="str">
        <f t="shared" si="117"/>
        <v>tapwater</v>
      </c>
      <c r="BB76" s="177" t="str">
        <f t="shared" si="117"/>
        <v>verlichting</v>
      </c>
      <c r="BC76" s="177" t="str">
        <f t="shared" si="117"/>
        <v>ventilatoren</v>
      </c>
      <c r="BD76" s="177" t="str">
        <f t="shared" si="117"/>
        <v>kookgas</v>
      </c>
      <c r="BE76" s="177" t="str">
        <f t="shared" si="117"/>
        <v>overig elektra</v>
      </c>
      <c r="BF76" s="177" t="str">
        <f t="shared" si="117"/>
        <v>mobiliteit</v>
      </c>
      <c r="BG76" s="177" t="str">
        <f t="shared" si="117"/>
        <v>zonnepanelen</v>
      </c>
      <c r="BH76" s="1"/>
    </row>
    <row r="77" spans="1:60">
      <c r="A77" s="1040"/>
      <c r="B77" s="1109" t="s">
        <v>147</v>
      </c>
      <c r="C77" s="1106" t="s">
        <v>96</v>
      </c>
      <c r="D77" s="641"/>
      <c r="E77" s="940" t="s">
        <v>158</v>
      </c>
      <c r="F77" s="940"/>
      <c r="G77" s="940"/>
      <c r="H77" s="940"/>
      <c r="I77" s="77"/>
      <c r="J77" s="939"/>
      <c r="K77" s="126"/>
      <c r="L77" s="126"/>
      <c r="M77" s="938"/>
      <c r="N77" s="182"/>
      <c r="O77" s="177" t="str">
        <f t="shared" ref="O77:W77" si="118">O$10</f>
        <v>verwarming</v>
      </c>
      <c r="P77" s="177" t="str">
        <f t="shared" si="118"/>
        <v>koeling</v>
      </c>
      <c r="Q77" s="177" t="str">
        <f t="shared" si="118"/>
        <v>tapwater</v>
      </c>
      <c r="R77" s="177" t="str">
        <f t="shared" si="118"/>
        <v>verlichting</v>
      </c>
      <c r="S77" s="177" t="str">
        <f t="shared" si="118"/>
        <v>ventilatoren</v>
      </c>
      <c r="T77" s="177" t="str">
        <f t="shared" si="118"/>
        <v>kookgas</v>
      </c>
      <c r="U77" s="177" t="str">
        <f t="shared" si="118"/>
        <v>overig elektra</v>
      </c>
      <c r="V77" s="177" t="str">
        <f t="shared" si="118"/>
        <v>mobiliteit</v>
      </c>
      <c r="W77" s="177" t="str">
        <f t="shared" si="118"/>
        <v>zonnepanelen</v>
      </c>
      <c r="X77" s="147"/>
      <c r="Y77" s="125"/>
      <c r="Z77" s="125"/>
      <c r="AA77" s="125"/>
      <c r="AB77" s="125"/>
      <c r="AC77" s="125"/>
      <c r="AD77" s="125"/>
      <c r="AE77" s="125"/>
      <c r="AF77" s="125"/>
      <c r="AG77" s="125"/>
      <c r="AH77" s="125"/>
      <c r="AI77" s="125"/>
      <c r="AJ77" s="147"/>
      <c r="AK77" s="125"/>
      <c r="AL77" s="125"/>
      <c r="AM77" s="125"/>
      <c r="AN77" s="125"/>
      <c r="AO77" s="125"/>
      <c r="AP77" s="125"/>
      <c r="AQ77" s="125"/>
      <c r="AR77" s="125"/>
      <c r="AS77" s="125"/>
      <c r="AT77" s="125"/>
      <c r="AU77" s="125"/>
      <c r="AV77" s="147"/>
      <c r="AW77" s="125"/>
      <c r="AX77" s="125"/>
      <c r="AY77" s="125"/>
      <c r="AZ77" s="125"/>
      <c r="BA77" s="125"/>
      <c r="BB77" s="125"/>
      <c r="BC77" s="125"/>
      <c r="BD77" s="125"/>
      <c r="BE77" s="125"/>
      <c r="BF77" s="125"/>
      <c r="BG77" s="125"/>
      <c r="BH77" s="218"/>
    </row>
    <row r="78" spans="1:60">
      <c r="A78" s="1040"/>
      <c r="B78" s="1109" t="s">
        <v>147</v>
      </c>
      <c r="C78" s="1107" t="s">
        <v>104</v>
      </c>
      <c r="D78" s="641" t="s">
        <v>45</v>
      </c>
      <c r="E78" s="295" t="s">
        <v>159</v>
      </c>
      <c r="F78" s="296"/>
      <c r="G78" s="296"/>
      <c r="H78" s="295" t="s">
        <v>160</v>
      </c>
      <c r="I78" s="259"/>
      <c r="J78" s="261">
        <f>M78+Y78+AK78+AW78</f>
        <v>0</v>
      </c>
      <c r="K78" s="126"/>
      <c r="L78" s="126"/>
      <c r="M78" s="261">
        <f>SUM(N78:X78)</f>
        <v>0</v>
      </c>
      <c r="N78" s="259"/>
      <c r="O78" s="260">
        <f>SUMPRODUCT(N22:X22,N29:X29,N62:X62)/1000</f>
        <v>0</v>
      </c>
      <c r="P78" s="260">
        <f>SUMPRODUCT(N22:X22,N29:X29,N64:X64)/1000</f>
        <v>0</v>
      </c>
      <c r="Q78" s="260">
        <f>SUMPRODUCT(N22:X22,N29:X29,N65:X65)/1000</f>
        <v>0</v>
      </c>
      <c r="R78" s="260">
        <f>SUMPRODUCT(N22:X22,N29:X29,N66:X66)/1000</f>
        <v>0</v>
      </c>
      <c r="S78" s="260">
        <f>SUMPRODUCT(N22:X22,N29:X29,N67:X67)/1000</f>
        <v>0</v>
      </c>
      <c r="T78" s="260">
        <f>SUMPRODUCT(N22:X22,N29:X29,N68:X68)/1000</f>
        <v>0</v>
      </c>
      <c r="U78" s="260">
        <f>SUMPRODUCT(N22:X22,N29:X29,N69:X69)/1000</f>
        <v>0</v>
      </c>
      <c r="V78" s="260">
        <f>SUMPRODUCT(N22:X22,N71:X71)/1000</f>
        <v>0</v>
      </c>
      <c r="W78" s="260">
        <f>-SUMPRODUCT(N22:X22,N73:X73)/1000</f>
        <v>0</v>
      </c>
      <c r="X78" s="126"/>
      <c r="Y78" s="261">
        <f>SUM(Z78:AJ78)</f>
        <v>0</v>
      </c>
      <c r="Z78" s="259"/>
      <c r="AA78" s="260">
        <f>SUMPRODUCT(Z22:AJ22,Z29:AJ29,Z62:AJ62)/1000</f>
        <v>0</v>
      </c>
      <c r="AB78" s="260">
        <f>SUMPRODUCT(Z22:AJ22,Z29:AJ29,Z64:AJ64)/1000</f>
        <v>0</v>
      </c>
      <c r="AC78" s="260">
        <f>SUMPRODUCT(Z22:AJ22,Z29:AJ29,Z65:AJ65)/1000</f>
        <v>0</v>
      </c>
      <c r="AD78" s="260">
        <f>SUMPRODUCT(Z22:AJ22,Z29:AJ29,Z66:AJ66)/1000</f>
        <v>0</v>
      </c>
      <c r="AE78" s="260">
        <f>SUMPRODUCT(Z22:AJ22,Z29:AJ29,Z67:AJ67)/1000</f>
        <v>0</v>
      </c>
      <c r="AF78" s="260">
        <f>SUMPRODUCT(Z22:AJ22,Z29:AJ29,Z68:AJ68)/1000</f>
        <v>0</v>
      </c>
      <c r="AG78" s="260">
        <f>SUMPRODUCT(Z22:AJ22,Z29:AJ29,Z69:AJ69)/1000</f>
        <v>0</v>
      </c>
      <c r="AH78" s="260">
        <f>SUMPRODUCT(Z22:AJ22,Z71:AJ71)/1000</f>
        <v>0</v>
      </c>
      <c r="AI78" s="260">
        <f>-SUMPRODUCT(Z22:AJ22,Z73:AJ73)/1000</f>
        <v>0</v>
      </c>
      <c r="AJ78" s="126"/>
      <c r="AK78" s="261">
        <f>SUM(AL78:AV78)</f>
        <v>0</v>
      </c>
      <c r="AL78" s="259"/>
      <c r="AM78" s="260">
        <f>SUMPRODUCT(AL22:AV22,AL29:AV29,AL62:AV62)/1000</f>
        <v>0</v>
      </c>
      <c r="AN78" s="260">
        <f>SUMPRODUCT(AL22:AV22,AL29:AV29,AL64:AV64)/1000</f>
        <v>0</v>
      </c>
      <c r="AO78" s="260">
        <f>SUMPRODUCT(AL22:AV22,AL29:AV29,AL65:AV65)/1000</f>
        <v>0</v>
      </c>
      <c r="AP78" s="260">
        <f>SUMPRODUCT(AL22:AV22,AL29:AV29,AL66:AV66)/1000</f>
        <v>0</v>
      </c>
      <c r="AQ78" s="260">
        <f>SUMPRODUCT(AL22:AV22,AL29:AV29,AL67:AV67)/1000</f>
        <v>0</v>
      </c>
      <c r="AR78" s="260">
        <f>SUMPRODUCT(AL22:AV22,AL29:AV29,AL68:AV68)/1000</f>
        <v>0</v>
      </c>
      <c r="AS78" s="260">
        <f>SUMPRODUCT(AL22:AV22,AL29:AV29,AL69:AV69)/1000</f>
        <v>0</v>
      </c>
      <c r="AT78" s="260">
        <f>SUMPRODUCT(AL22:AV22,AL71:AV71)/1000</f>
        <v>0</v>
      </c>
      <c r="AU78" s="260">
        <f>-SUMPRODUCT(AL22:AV22,AL73:AV73)/1000</f>
        <v>0</v>
      </c>
      <c r="AV78" s="126"/>
      <c r="AW78" s="261">
        <f>SUM(AX78:BH78)</f>
        <v>0</v>
      </c>
      <c r="AX78" s="259"/>
      <c r="AY78" s="260">
        <f>SUMPRODUCT(AX22:BH22,AX29:BH29,AX62:BH62)/1000</f>
        <v>0</v>
      </c>
      <c r="AZ78" s="260">
        <f>SUMPRODUCT(AX22:BH22,AX29:BH29,AX64:BH64)/1000</f>
        <v>0</v>
      </c>
      <c r="BA78" s="260">
        <f>SUMPRODUCT(AX22:BH22,AX29:BH29,AX65:BH65)/1000</f>
        <v>0</v>
      </c>
      <c r="BB78" s="260">
        <f>SUMPRODUCT(AX22:BH22,AX29:BH29,AX66:BH66)/1000</f>
        <v>0</v>
      </c>
      <c r="BC78" s="260">
        <f>SUMPRODUCT(AX22:BH22,AX29:BH29,AX67:BH67)/1000</f>
        <v>0</v>
      </c>
      <c r="BD78" s="260">
        <f>SUMPRODUCT(AX22:BH22,AX29:BH29,AX68:BH68)/1000</f>
        <v>0</v>
      </c>
      <c r="BE78" s="260">
        <f>SUMPRODUCT(AX22:BH22,AX29:BH29,AX69:BH69)/1000</f>
        <v>0</v>
      </c>
      <c r="BF78" s="260">
        <f>SUMPRODUCT(AX22:BH22,AX71:BH71)/1000</f>
        <v>0</v>
      </c>
      <c r="BG78" s="260">
        <f>-SUMPRODUCT(AX22:BH22,AX73:BH73)/1000</f>
        <v>0</v>
      </c>
      <c r="BH78" s="210"/>
    </row>
    <row r="79" spans="1:60">
      <c r="A79" s="1040"/>
      <c r="B79" s="1109" t="s">
        <v>147</v>
      </c>
      <c r="C79" s="1106" t="s">
        <v>96</v>
      </c>
      <c r="D79" s="638"/>
      <c r="E79" s="79"/>
      <c r="F79" s="79"/>
      <c r="G79" s="79"/>
      <c r="H79" s="85"/>
      <c r="I79" s="79"/>
      <c r="J79" s="82"/>
      <c r="K79" s="79"/>
      <c r="L79" s="79"/>
      <c r="M79" s="82"/>
      <c r="N79" s="79"/>
      <c r="O79" s="82"/>
      <c r="P79" s="82"/>
      <c r="Q79" s="82"/>
      <c r="R79" s="82"/>
      <c r="S79" s="82"/>
      <c r="T79" s="82"/>
      <c r="U79" s="82"/>
      <c r="V79" s="82"/>
      <c r="W79" s="82"/>
      <c r="X79" s="82"/>
      <c r="Y79" s="82"/>
      <c r="Z79" s="79"/>
      <c r="AA79" s="108"/>
      <c r="AB79" s="82"/>
      <c r="AC79" s="108"/>
      <c r="AD79" s="82"/>
      <c r="AE79" s="82"/>
      <c r="AF79" s="82"/>
      <c r="AG79" s="82"/>
      <c r="AH79" s="82"/>
      <c r="AI79" s="82"/>
      <c r="AJ79" s="82"/>
      <c r="AK79" s="82"/>
      <c r="AL79" s="79"/>
      <c r="AM79" s="82"/>
      <c r="AN79" s="82"/>
      <c r="AO79" s="82"/>
      <c r="AP79" s="82"/>
      <c r="AQ79" s="82"/>
      <c r="AR79" s="82"/>
      <c r="AS79" s="82"/>
      <c r="AT79" s="82"/>
      <c r="AU79" s="82"/>
      <c r="AV79" s="82"/>
      <c r="AW79" s="82"/>
      <c r="AX79" s="79"/>
      <c r="AY79" s="82"/>
      <c r="AZ79" s="82"/>
      <c r="BA79" s="82"/>
      <c r="BB79" s="82"/>
      <c r="BC79" s="82"/>
      <c r="BD79" s="82"/>
      <c r="BE79" s="82"/>
      <c r="BF79" s="82"/>
      <c r="BG79" s="82"/>
      <c r="BH79" s="1"/>
    </row>
    <row r="80" spans="1:60">
      <c r="A80" s="1040"/>
      <c r="B80" s="1109" t="s">
        <v>161</v>
      </c>
      <c r="C80" s="1107" t="s">
        <v>96</v>
      </c>
      <c r="D80" s="638"/>
      <c r="E80" s="79"/>
      <c r="F80" s="79"/>
      <c r="G80" s="79"/>
      <c r="H80" s="85"/>
      <c r="I80" s="79"/>
      <c r="J80" s="82"/>
      <c r="K80" s="79"/>
      <c r="L80" s="79"/>
      <c r="M80" s="82"/>
      <c r="N80" s="79"/>
      <c r="O80" s="82"/>
      <c r="P80" s="82"/>
      <c r="Q80" s="82"/>
      <c r="R80" s="82"/>
      <c r="S80" s="82"/>
      <c r="T80" s="82"/>
      <c r="U80" s="82"/>
      <c r="V80" s="82"/>
      <c r="W80" s="82"/>
      <c r="X80" s="82"/>
      <c r="Y80" s="82"/>
      <c r="Z80" s="79"/>
      <c r="AA80" s="108"/>
      <c r="AB80" s="108"/>
      <c r="AC80" s="82"/>
      <c r="AD80" s="82"/>
      <c r="AE80" s="82"/>
      <c r="AF80" s="82"/>
      <c r="AG80" s="82"/>
      <c r="AH80" s="82"/>
      <c r="AI80" s="82"/>
      <c r="AJ80" s="82"/>
      <c r="AK80" s="82"/>
      <c r="AL80" s="79"/>
      <c r="AM80" s="82"/>
      <c r="AN80" s="82"/>
      <c r="AO80" s="82"/>
      <c r="AP80" s="82"/>
      <c r="AQ80" s="82"/>
      <c r="AR80" s="82"/>
      <c r="AS80" s="82"/>
      <c r="AT80" s="82"/>
      <c r="AU80" s="82"/>
      <c r="AV80" s="82"/>
      <c r="AW80" s="82"/>
      <c r="AX80" s="79"/>
      <c r="AY80" s="82"/>
      <c r="AZ80" s="82"/>
      <c r="BA80" s="82"/>
      <c r="BB80" s="82"/>
      <c r="BC80" s="82"/>
      <c r="BD80" s="82"/>
      <c r="BE80" s="82"/>
      <c r="BF80" s="82"/>
      <c r="BG80" s="82"/>
      <c r="BH80" s="1"/>
    </row>
    <row r="81" spans="1:60" ht="21">
      <c r="A81" s="1040"/>
      <c r="B81" s="1109" t="s">
        <v>161</v>
      </c>
      <c r="C81" s="1106" t="s">
        <v>96</v>
      </c>
      <c r="D81" s="641" t="s">
        <v>45</v>
      </c>
      <c r="E81" s="199" t="s">
        <v>162</v>
      </c>
      <c r="F81" s="199"/>
      <c r="G81" s="199"/>
      <c r="H81" s="199"/>
      <c r="I81" s="77"/>
      <c r="J81" s="200" t="str">
        <f>J$10</f>
        <v>alle locaties</v>
      </c>
      <c r="K81" s="126"/>
      <c r="L81" s="126"/>
      <c r="M81" s="200" t="str">
        <f>M$10</f>
        <v>locatie 1</v>
      </c>
      <c r="N81" s="182"/>
      <c r="O81" s="966" t="str">
        <f>$E81&amp;" per energiepost"</f>
        <v>installatie systeem per energiepost</v>
      </c>
      <c r="P81" s="941"/>
      <c r="Q81" s="941"/>
      <c r="R81" s="941"/>
      <c r="S81" s="941"/>
      <c r="T81" s="941"/>
      <c r="U81" s="941"/>
      <c r="V81" s="941"/>
      <c r="W81" s="956"/>
      <c r="X81" s="174"/>
      <c r="Y81" s="176"/>
      <c r="Z81" s="182"/>
      <c r="AA81" s="966" t="str">
        <f>$E81&amp;" per energiepost"</f>
        <v>installatie systeem per energiepost</v>
      </c>
      <c r="AB81" s="941"/>
      <c r="AC81" s="941"/>
      <c r="AD81" s="941"/>
      <c r="AE81" s="941"/>
      <c r="AF81" s="941"/>
      <c r="AG81" s="941"/>
      <c r="AH81" s="941"/>
      <c r="AI81" s="956"/>
      <c r="AJ81" s="174"/>
      <c r="AK81" s="176"/>
      <c r="AL81" s="182"/>
      <c r="AM81" s="966" t="str">
        <f>$E81&amp;" per energiepost"</f>
        <v>installatie systeem per energiepost</v>
      </c>
      <c r="AN81" s="941"/>
      <c r="AO81" s="941"/>
      <c r="AP81" s="941"/>
      <c r="AQ81" s="941"/>
      <c r="AR81" s="941"/>
      <c r="AS81" s="941"/>
      <c r="AT81" s="941"/>
      <c r="AU81" s="956"/>
      <c r="AV81" s="174"/>
      <c r="AW81" s="176"/>
      <c r="AX81" s="182"/>
      <c r="AY81" s="966" t="str">
        <f>$E81&amp;" per energiepost"</f>
        <v>installatie systeem per energiepost</v>
      </c>
      <c r="AZ81" s="941"/>
      <c r="BA81" s="941"/>
      <c r="BB81" s="941"/>
      <c r="BC81" s="941"/>
      <c r="BD81" s="941"/>
      <c r="BE81" s="941"/>
      <c r="BF81" s="941"/>
      <c r="BG81" s="956"/>
      <c r="BH81" s="1"/>
    </row>
    <row r="82" spans="1:60">
      <c r="A82" s="1040"/>
      <c r="B82" s="1109" t="s">
        <v>161</v>
      </c>
      <c r="C82" s="1106" t="s">
        <v>96</v>
      </c>
      <c r="D82" s="641" t="s">
        <v>45</v>
      </c>
      <c r="E82" s="940" t="s">
        <v>163</v>
      </c>
      <c r="F82" s="940"/>
      <c r="G82" s="940"/>
      <c r="H82" s="940"/>
      <c r="I82" s="77"/>
      <c r="J82" s="939"/>
      <c r="K82" s="126"/>
      <c r="L82" s="126"/>
      <c r="M82" s="938"/>
      <c r="N82" s="125"/>
      <c r="O82" s="177" t="str">
        <f>O$10</f>
        <v>verwarming</v>
      </c>
      <c r="P82" s="177" t="str">
        <f>P$10</f>
        <v>koeling</v>
      </c>
      <c r="Q82" s="177" t="str">
        <f>Q$10</f>
        <v>tapwater</v>
      </c>
      <c r="R82" s="177"/>
      <c r="S82" s="177"/>
      <c r="T82" s="177"/>
      <c r="U82" s="177"/>
      <c r="V82" s="177"/>
      <c r="W82" s="177"/>
      <c r="X82" s="147"/>
      <c r="Y82" s="938"/>
      <c r="Z82" s="125"/>
      <c r="AA82" s="177" t="str">
        <f>AA$10</f>
        <v>verwarming</v>
      </c>
      <c r="AB82" s="177" t="str">
        <f>AB$10</f>
        <v>koeling</v>
      </c>
      <c r="AC82" s="177" t="str">
        <f>AC$10</f>
        <v>tapwater</v>
      </c>
      <c r="AD82" s="177"/>
      <c r="AE82" s="177"/>
      <c r="AF82" s="177"/>
      <c r="AG82" s="177"/>
      <c r="AH82" s="177"/>
      <c r="AI82" s="177"/>
      <c r="AJ82" s="147"/>
      <c r="AK82" s="938"/>
      <c r="AL82" s="125"/>
      <c r="AM82" s="177" t="str">
        <f>AM$10</f>
        <v>verwarming</v>
      </c>
      <c r="AN82" s="177" t="str">
        <f>AN$10</f>
        <v>koeling</v>
      </c>
      <c r="AO82" s="177" t="str">
        <f>AO$10</f>
        <v>tapwater</v>
      </c>
      <c r="AP82" s="177"/>
      <c r="AQ82" s="177"/>
      <c r="AR82" s="177"/>
      <c r="AS82" s="177"/>
      <c r="AT82" s="177"/>
      <c r="AU82" s="177"/>
      <c r="AV82" s="147"/>
      <c r="AW82" s="938"/>
      <c r="AX82" s="125"/>
      <c r="AY82" s="177" t="str">
        <f>AY$10</f>
        <v>verwarming</v>
      </c>
      <c r="AZ82" s="177" t="str">
        <f>AZ$10</f>
        <v>koeling</v>
      </c>
      <c r="BA82" s="177" t="str">
        <f>BA$10</f>
        <v>tapwater</v>
      </c>
      <c r="BB82" s="177"/>
      <c r="BC82" s="177"/>
      <c r="BD82" s="177"/>
      <c r="BE82" s="177"/>
      <c r="BF82" s="177"/>
      <c r="BG82" s="177"/>
      <c r="BH82" s="218"/>
    </row>
    <row r="83" spans="1:60" ht="38.25">
      <c r="A83" s="1040"/>
      <c r="B83" s="1109" t="s">
        <v>161</v>
      </c>
      <c r="C83" s="1107" t="s">
        <v>118</v>
      </c>
      <c r="D83" s="638"/>
      <c r="E83" s="150" t="s">
        <v>164</v>
      </c>
      <c r="F83" s="294"/>
      <c r="G83" s="294"/>
      <c r="H83" s="150" t="s">
        <v>65</v>
      </c>
      <c r="I83" s="155"/>
      <c r="J83" s="268" t="str">
        <f>IF(AND(M$29&gt;0,COUNTBLANK(O83:Q83)&gt;0),"kies installatie locatie 1",
IF(AND(Y$29&gt;0,COUNTBLANK(AA83:AC83)&gt;0),"kies installatie locatie 2",
IF(AND(AK$29&gt;0,COUNTBLANK(AM83:AO83)&gt;0),"kies installatie locatie 3",
IF(AND(AW$29&gt;0,COUNTBLANK(AY83:BA83)&gt;0),"kies installatie locatie 4",
"ja"))))</f>
        <v>ja</v>
      </c>
      <c r="K83" s="1056"/>
      <c r="L83" s="1056"/>
      <c r="M83" s="268" t="str" cm="1">
        <f t="array" ref="M83">IF(M78=0,"",IF(SUMPRODUCT((O78:Q78&gt;0)*1,(O83:Q83="")*1)&gt;0,"nee","ja"))</f>
        <v/>
      </c>
      <c r="N83" s="120"/>
      <c r="O83" s="859" t="s">
        <v>473</v>
      </c>
      <c r="P83" s="859" t="s">
        <v>166</v>
      </c>
      <c r="Q83" s="859" t="s">
        <v>473</v>
      </c>
      <c r="R83" s="156"/>
      <c r="S83" s="156"/>
      <c r="T83" s="156"/>
      <c r="U83" s="156"/>
      <c r="V83" s="156"/>
      <c r="W83" s="156"/>
      <c r="X83" s="147"/>
      <c r="Y83" s="268" t="str" cm="1">
        <f t="array" ref="Y83">IF(Y78=0,"",IF(SUMPRODUCT((AA78:AC78&gt;0)*1,(AA83:AC83="")*1)&gt;0,"nee","ja"))</f>
        <v/>
      </c>
      <c r="Z83" s="120"/>
      <c r="AA83" s="859" t="s">
        <v>473</v>
      </c>
      <c r="AB83" s="859" t="s">
        <v>166</v>
      </c>
      <c r="AC83" s="859" t="s">
        <v>473</v>
      </c>
      <c r="AD83" s="156"/>
      <c r="AE83" s="156"/>
      <c r="AF83" s="156"/>
      <c r="AG83" s="156"/>
      <c r="AH83" s="156"/>
      <c r="AI83" s="156"/>
      <c r="AJ83" s="147"/>
      <c r="AK83" s="268" t="str" cm="1">
        <f t="array" ref="AK83">IF(AK78=0,"",IF(SUMPRODUCT((AM78:AO78&gt;0)*1,(AM83:AO83="")*1)&gt;0,"nee","ja"))</f>
        <v/>
      </c>
      <c r="AL83" s="120"/>
      <c r="AM83" s="859" t="s">
        <v>473</v>
      </c>
      <c r="AN83" s="859" t="s">
        <v>166</v>
      </c>
      <c r="AO83" s="859" t="s">
        <v>473</v>
      </c>
      <c r="AP83" s="156"/>
      <c r="AQ83" s="156"/>
      <c r="AR83" s="156"/>
      <c r="AS83" s="156"/>
      <c r="AT83" s="156"/>
      <c r="AU83" s="156"/>
      <c r="AV83" s="147"/>
      <c r="AW83" s="268" t="str" cm="1">
        <f t="array" ref="AW83">IF(AW78=0,"",IF(SUMPRODUCT((AY78:BA78&gt;0)*1,(AY83:BA83="")*1)&gt;0,"nee","ja"))</f>
        <v/>
      </c>
      <c r="AX83" s="125"/>
      <c r="AY83" s="859" t="s">
        <v>473</v>
      </c>
      <c r="AZ83" s="859" t="s">
        <v>166</v>
      </c>
      <c r="BA83" s="859" t="s">
        <v>473</v>
      </c>
      <c r="BB83" s="156"/>
      <c r="BC83" s="156"/>
      <c r="BD83" s="156"/>
      <c r="BE83" s="156"/>
      <c r="BF83" s="156"/>
      <c r="BG83" s="156"/>
      <c r="BH83" s="218"/>
    </row>
    <row r="84" spans="1:60">
      <c r="A84" s="1040"/>
      <c r="B84" s="1109" t="s">
        <v>161</v>
      </c>
      <c r="C84" s="1107" t="s">
        <v>118</v>
      </c>
      <c r="D84" s="638"/>
      <c r="E84" s="181" t="str">
        <f>bibliotheek!$E$85</f>
        <v>geografisch niveau installatie [keuzelijst]</v>
      </c>
      <c r="F84" s="180"/>
      <c r="G84" s="180"/>
      <c r="H84" s="181" t="s">
        <v>65</v>
      </c>
      <c r="I84" s="129"/>
      <c r="J84" s="190"/>
      <c r="K84" s="107"/>
      <c r="L84" s="107"/>
      <c r="M84" s="190"/>
      <c r="N84" s="114"/>
      <c r="O84" s="285" t="str">
        <f>HLOOKUP(IF(O$83="",referentie_verwarming,O$83),toestellen_RV,ROWS(bibliotheek!$E$83:$E$85),FALSE)</f>
        <v>gebouw</v>
      </c>
      <c r="P84" s="285" t="str">
        <f>HLOOKUP(IF(P$83="",referentie_koeling,P$83),toestellen_KOEL,ROWS(bibliotheek!$E$190:$E$192),FALSE)</f>
        <v>gebouw</v>
      </c>
      <c r="Q84" s="285" t="str">
        <f>HLOOKUP(IF(Q$83="",referentie_warmtapwater,Q$83),toestellen_TAP,ROWS(bibliotheek!$E$139:$E$141),FALSE)</f>
        <v>gebouw</v>
      </c>
      <c r="R84" s="159"/>
      <c r="S84" s="159"/>
      <c r="T84" s="159"/>
      <c r="U84" s="159"/>
      <c r="V84" s="159"/>
      <c r="W84" s="159"/>
      <c r="X84" s="147"/>
      <c r="Y84" s="128"/>
      <c r="Z84" s="114"/>
      <c r="AA84" s="285" t="str">
        <f>HLOOKUP(IF(AA$83="",referentie_verwarming,AA$83),toestellen_RV,ROWS(bibliotheek!$E$83:$E$85),FALSE)</f>
        <v>gebouw</v>
      </c>
      <c r="AB84" s="285" t="str">
        <f>HLOOKUP(IF(AB$83="",referentie_koeling,AB$83),toestellen_KOEL,ROWS(bibliotheek!$E$190:$E$192),FALSE)</f>
        <v>gebouw</v>
      </c>
      <c r="AC84" s="285" t="str">
        <f>HLOOKUP(IF(AC$83="",referentie_warmtapwater,AC$83),toestellen_TAP,ROWS(bibliotheek!$E$139:$E$141),FALSE)</f>
        <v>gebouw</v>
      </c>
      <c r="AD84" s="159"/>
      <c r="AE84" s="159"/>
      <c r="AF84" s="159"/>
      <c r="AG84" s="159"/>
      <c r="AH84" s="159"/>
      <c r="AI84" s="159"/>
      <c r="AJ84" s="147"/>
      <c r="AK84" s="128"/>
      <c r="AL84" s="120"/>
      <c r="AM84" s="285" t="str">
        <f>HLOOKUP(IF(AM$83="",referentie_verwarming,AM$83),toestellen_RV,ROWS(bibliotheek!$E$83:$E$85),FALSE)</f>
        <v>gebouw</v>
      </c>
      <c r="AN84" s="285" t="str">
        <f>HLOOKUP(IF(AN$83="",referentie_koeling,AN$83),toestellen_KOEL,ROWS(bibliotheek!$E$190:$E$192),FALSE)</f>
        <v>gebouw</v>
      </c>
      <c r="AO84" s="285" t="str">
        <f>HLOOKUP(IF(AO$83="",referentie_warmtapwater,AO$83),toestellen_TAP,ROWS(bibliotheek!$E$139:$E$141),FALSE)</f>
        <v>gebouw</v>
      </c>
      <c r="AP84" s="159"/>
      <c r="AQ84" s="159"/>
      <c r="AR84" s="159"/>
      <c r="AS84" s="159"/>
      <c r="AT84" s="159"/>
      <c r="AU84" s="159"/>
      <c r="AV84" s="147"/>
      <c r="AW84" s="128"/>
      <c r="AX84" s="125"/>
      <c r="AY84" s="285" t="str">
        <f>HLOOKUP(IF(AY$83="",referentie_verwarming,AY$83),toestellen_RV,ROWS(bibliotheek!$E$83:$E$85),FALSE)</f>
        <v>gebouw</v>
      </c>
      <c r="AZ84" s="285" t="str">
        <f>HLOOKUP(IF(AZ$83="",referentie_koeling,AZ$83),toestellen_KOEL,ROWS(bibliotheek!$E$190:$E$192),FALSE)</f>
        <v>gebouw</v>
      </c>
      <c r="BA84" s="285" t="str">
        <f>HLOOKUP(IF(BA$83="",referentie_warmtapwater,BA$83),toestellen_TAP,ROWS(bibliotheek!$E$139:$E$141),FALSE)</f>
        <v>gebouw</v>
      </c>
      <c r="BB84" s="159"/>
      <c r="BC84" s="159"/>
      <c r="BD84" s="159"/>
      <c r="BE84" s="159"/>
      <c r="BF84" s="159"/>
      <c r="BG84" s="159"/>
      <c r="BH84" s="174"/>
    </row>
    <row r="85" spans="1:60">
      <c r="A85" s="1040"/>
      <c r="B85" s="1109" t="s">
        <v>161</v>
      </c>
      <c r="C85" s="1106" t="s">
        <v>96</v>
      </c>
      <c r="D85" s="641" t="s">
        <v>45</v>
      </c>
      <c r="E85" s="940" t="s">
        <v>169</v>
      </c>
      <c r="F85" s="940"/>
      <c r="G85" s="940"/>
      <c r="H85" s="940"/>
      <c r="I85" s="77"/>
      <c r="J85" s="939"/>
      <c r="K85" s="126"/>
      <c r="L85" s="126"/>
      <c r="M85" s="938"/>
      <c r="N85" s="125"/>
      <c r="O85" s="177" t="str">
        <f>O$10</f>
        <v>verwarming</v>
      </c>
      <c r="P85" s="177" t="str">
        <f>P$10</f>
        <v>koeling</v>
      </c>
      <c r="Q85" s="177" t="str">
        <f>Q$10</f>
        <v>tapwater</v>
      </c>
      <c r="R85" s="177"/>
      <c r="S85" s="177"/>
      <c r="T85" s="177"/>
      <c r="U85" s="177"/>
      <c r="V85" s="177"/>
      <c r="W85" s="177"/>
      <c r="X85" s="147"/>
      <c r="Y85" s="938"/>
      <c r="Z85" s="125"/>
      <c r="AA85" s="177" t="str">
        <f>AA$10</f>
        <v>verwarming</v>
      </c>
      <c r="AB85" s="177" t="str">
        <f>AB$10</f>
        <v>koeling</v>
      </c>
      <c r="AC85" s="177" t="str">
        <f>AC$10</f>
        <v>tapwater</v>
      </c>
      <c r="AD85" s="177"/>
      <c r="AE85" s="177"/>
      <c r="AF85" s="177"/>
      <c r="AG85" s="177"/>
      <c r="AH85" s="177"/>
      <c r="AI85" s="177"/>
      <c r="AJ85" s="147"/>
      <c r="AK85" s="938"/>
      <c r="AL85" s="125"/>
      <c r="AM85" s="177" t="str">
        <f>AM$10</f>
        <v>verwarming</v>
      </c>
      <c r="AN85" s="177" t="str">
        <f>AN$10</f>
        <v>koeling</v>
      </c>
      <c r="AO85" s="177" t="str">
        <f>AO$10</f>
        <v>tapwater</v>
      </c>
      <c r="AP85" s="177"/>
      <c r="AQ85" s="177"/>
      <c r="AR85" s="177"/>
      <c r="AS85" s="177"/>
      <c r="AT85" s="177"/>
      <c r="AU85" s="177"/>
      <c r="AV85" s="147"/>
      <c r="AW85" s="938"/>
      <c r="AX85" s="125"/>
      <c r="AY85" s="177" t="str">
        <f>AY$10</f>
        <v>verwarming</v>
      </c>
      <c r="AZ85" s="177" t="str">
        <f>AZ$10</f>
        <v>koeling</v>
      </c>
      <c r="BA85" s="177" t="str">
        <f>BA$10</f>
        <v>tapwater</v>
      </c>
      <c r="BB85" s="177"/>
      <c r="BC85" s="177"/>
      <c r="BD85" s="177"/>
      <c r="BE85" s="177"/>
      <c r="BF85" s="177"/>
      <c r="BG85" s="177"/>
      <c r="BH85" s="174"/>
    </row>
    <row r="86" spans="1:60">
      <c r="A86" s="1040"/>
      <c r="B86" s="1109" t="s">
        <v>161</v>
      </c>
      <c r="C86" s="1106" t="s">
        <v>118</v>
      </c>
      <c r="D86" s="638"/>
      <c r="E86" s="291" t="s">
        <v>170</v>
      </c>
      <c r="F86" s="254"/>
      <c r="G86" s="254"/>
      <c r="H86" s="291" t="s">
        <v>65</v>
      </c>
      <c r="I86" s="134"/>
      <c r="J86" s="189"/>
      <c r="K86" s="107"/>
      <c r="L86" s="107"/>
      <c r="M86" s="189"/>
      <c r="N86" s="116"/>
      <c r="O86" s="384">
        <f>IF(O87&lt;&gt;"",O87,HLOOKUP(IF(O$83="",referentie_verwarming,O$83),toestellen_RV,ROWS(bibliotheek!$E$83:$E$90),FALSE))</f>
        <v>1</v>
      </c>
      <c r="P86" s="138">
        <v>1</v>
      </c>
      <c r="Q86" s="384">
        <f>IF(Q87&lt;&gt;"",Q87,HLOOKUP(IF(Q$83="",referentie_warmtapwater,Q$83),toestellen_TAP,ROWS(bibliotheek!$E$139:$E$146),FALSE))</f>
        <v>0.85</v>
      </c>
      <c r="R86" s="139"/>
      <c r="S86" s="139"/>
      <c r="T86" s="139"/>
      <c r="U86" s="139"/>
      <c r="V86" s="139"/>
      <c r="W86" s="139"/>
      <c r="X86" s="76"/>
      <c r="Y86" s="133"/>
      <c r="Z86" s="134"/>
      <c r="AA86" s="384">
        <f>IF(AA87&lt;&gt;"",AA87,HLOOKUP(IF(AA$83="",referentie_verwarming,AA$83),toestellen_RV,ROWS(bibliotheek!$E$83:$E$90),FALSE))</f>
        <v>1</v>
      </c>
      <c r="AB86" s="138">
        <f>1</f>
        <v>1</v>
      </c>
      <c r="AC86" s="384">
        <f>IF(AC87&lt;&gt;"",AC87,HLOOKUP(IF(AC$83="",referentie_warmtapwater,AC$83),toestellen_TAP,ROWS(bibliotheek!$E$139:$E$146),FALSE))</f>
        <v>0.85</v>
      </c>
      <c r="AD86" s="139"/>
      <c r="AE86" s="139"/>
      <c r="AF86" s="139"/>
      <c r="AG86" s="139"/>
      <c r="AH86" s="139"/>
      <c r="AI86" s="139"/>
      <c r="AJ86" s="76"/>
      <c r="AK86" s="133"/>
      <c r="AL86" s="134"/>
      <c r="AM86" s="384">
        <f>IF(AM87&lt;&gt;"",AM87,HLOOKUP(IF(AM$83="",referentie_verwarming,AM$83),toestellen_RV,ROWS(bibliotheek!$E$83:$E$90),FALSE))</f>
        <v>1</v>
      </c>
      <c r="AN86" s="138">
        <f>1</f>
        <v>1</v>
      </c>
      <c r="AO86" s="384">
        <f>IF(AO87&lt;&gt;"",AO87,HLOOKUP(IF(AO$83="",referentie_warmtapwater,AO$83),toestellen_TAP,ROWS(bibliotheek!$E$139:$E$146),FALSE))</f>
        <v>0.85</v>
      </c>
      <c r="AP86" s="139"/>
      <c r="AQ86" s="139"/>
      <c r="AR86" s="139"/>
      <c r="AS86" s="139"/>
      <c r="AT86" s="139"/>
      <c r="AU86" s="139"/>
      <c r="AV86" s="76"/>
      <c r="AW86" s="133"/>
      <c r="AX86" s="134"/>
      <c r="AY86" s="384">
        <f>IF(AY87&lt;&gt;"",AY87,HLOOKUP(IF(AY$83="",referentie_verwarming,AY$83),toestellen_RV,ROWS(bibliotheek!$E$83:$E$90),FALSE))</f>
        <v>1</v>
      </c>
      <c r="AZ86" s="138">
        <f>1</f>
        <v>1</v>
      </c>
      <c r="BA86" s="384">
        <f>IF(BA87&lt;&gt;"",BA87,HLOOKUP(IF(BA$83="",referentie_warmtapwater,BA$83),toestellen_TAP,ROWS(bibliotheek!$E$139:$E$146),FALSE))</f>
        <v>0.85</v>
      </c>
      <c r="BB86" s="160"/>
      <c r="BC86" s="160"/>
      <c r="BD86" s="160"/>
      <c r="BE86" s="160"/>
      <c r="BF86" s="160"/>
      <c r="BG86" s="160"/>
      <c r="BH86" s="210"/>
    </row>
    <row r="87" spans="1:60">
      <c r="A87" s="1040"/>
      <c r="B87" s="1109" t="s">
        <v>161</v>
      </c>
      <c r="C87" s="1106" t="s">
        <v>118</v>
      </c>
      <c r="D87" s="638"/>
      <c r="E87" s="1218" t="s">
        <v>171</v>
      </c>
      <c r="F87" s="255"/>
      <c r="G87" s="255"/>
      <c r="H87" s="292" t="s">
        <v>65</v>
      </c>
      <c r="I87" s="136"/>
      <c r="J87" s="299"/>
      <c r="K87" s="107"/>
      <c r="L87" s="107"/>
      <c r="M87" s="198"/>
      <c r="N87" s="161"/>
      <c r="O87" s="275"/>
      <c r="P87" s="280"/>
      <c r="Q87" s="275"/>
      <c r="R87" s="162"/>
      <c r="S87" s="162"/>
      <c r="T87" s="162"/>
      <c r="U87" s="162"/>
      <c r="V87" s="162"/>
      <c r="W87" s="162"/>
      <c r="X87" s="110"/>
      <c r="Y87" s="286"/>
      <c r="Z87" s="161"/>
      <c r="AA87" s="275"/>
      <c r="AB87" s="280"/>
      <c r="AC87" s="275"/>
      <c r="AD87" s="162"/>
      <c r="AE87" s="162"/>
      <c r="AF87" s="162"/>
      <c r="AG87" s="162"/>
      <c r="AH87" s="162"/>
      <c r="AI87" s="162"/>
      <c r="AJ87" s="110"/>
      <c r="AK87" s="286"/>
      <c r="AL87" s="161"/>
      <c r="AM87" s="275"/>
      <c r="AN87" s="280"/>
      <c r="AO87" s="275"/>
      <c r="AP87" s="162"/>
      <c r="AQ87" s="162"/>
      <c r="AR87" s="162"/>
      <c r="AS87" s="162"/>
      <c r="AT87" s="162"/>
      <c r="AU87" s="162"/>
      <c r="AV87" s="110"/>
      <c r="AW87" s="286"/>
      <c r="AX87" s="161"/>
      <c r="AY87" s="275"/>
      <c r="AZ87" s="280"/>
      <c r="BA87" s="275"/>
      <c r="BB87" s="162"/>
      <c r="BC87" s="162"/>
      <c r="BD87" s="162"/>
      <c r="BE87" s="162"/>
      <c r="BF87" s="162"/>
      <c r="BG87" s="162"/>
      <c r="BH87" s="210"/>
    </row>
    <row r="88" spans="1:60">
      <c r="A88" s="1040"/>
      <c r="B88" s="1109" t="s">
        <v>161</v>
      </c>
      <c r="C88" s="1106" t="s">
        <v>118</v>
      </c>
      <c r="D88" s="641"/>
      <c r="E88" s="181" t="s">
        <v>172</v>
      </c>
      <c r="F88" s="180"/>
      <c r="G88" s="180"/>
      <c r="H88" s="181" t="s">
        <v>160</v>
      </c>
      <c r="I88" s="129"/>
      <c r="J88" s="190"/>
      <c r="K88" s="107"/>
      <c r="L88" s="107"/>
      <c r="M88" s="190"/>
      <c r="N88" s="114"/>
      <c r="O88" s="208">
        <f>IF(O$78=0,0,O$78/O$86-O$78)</f>
        <v>0</v>
      </c>
      <c r="P88" s="208">
        <f>IF(P$78=0,0,P$78/P$86-P$78)</f>
        <v>0</v>
      </c>
      <c r="Q88" s="208">
        <f>IF(Q$78=0,0,Q$78/Q$86-Q$78)</f>
        <v>0</v>
      </c>
      <c r="R88" s="130"/>
      <c r="S88" s="130"/>
      <c r="T88" s="130"/>
      <c r="U88" s="130"/>
      <c r="V88" s="130"/>
      <c r="W88" s="130"/>
      <c r="X88" s="110"/>
      <c r="Y88" s="132"/>
      <c r="Z88" s="114"/>
      <c r="AA88" s="208">
        <f>IF(AA$78=0,0,AA$78/AA$86-AA$78)</f>
        <v>0</v>
      </c>
      <c r="AB88" s="208">
        <f>IF(AB$78=0,0,AB$78/AB$86-AB$78)</f>
        <v>0</v>
      </c>
      <c r="AC88" s="208">
        <f>IF(AC$78=0,0,AC$78/AC$86-AC$78)</f>
        <v>0</v>
      </c>
      <c r="AD88" s="130"/>
      <c r="AE88" s="130"/>
      <c r="AF88" s="130"/>
      <c r="AG88" s="130"/>
      <c r="AH88" s="130"/>
      <c r="AI88" s="130"/>
      <c r="AJ88" s="110"/>
      <c r="AK88" s="132"/>
      <c r="AL88" s="114"/>
      <c r="AM88" s="208">
        <f>IF(AM$78=0,0,AM$78/AM$86-AM$78)</f>
        <v>0</v>
      </c>
      <c r="AN88" s="208">
        <f>IF(AN$78=0,0,AN$78/AN$86-AN$78)</f>
        <v>0</v>
      </c>
      <c r="AO88" s="208">
        <f>IF(AO$78=0,0,AO$78/AO$86-AO$78)</f>
        <v>0</v>
      </c>
      <c r="AP88" s="130"/>
      <c r="AQ88" s="130"/>
      <c r="AR88" s="130"/>
      <c r="AS88" s="130"/>
      <c r="AT88" s="130"/>
      <c r="AU88" s="130"/>
      <c r="AV88" s="110"/>
      <c r="AW88" s="132"/>
      <c r="AX88" s="114"/>
      <c r="AY88" s="208">
        <f>IF(AY$78=0,0,AY$78/AY$86-AY$78)</f>
        <v>0</v>
      </c>
      <c r="AZ88" s="208">
        <f>IF(AZ$78=0,0,AZ$78/AZ$86-AZ$78)</f>
        <v>0</v>
      </c>
      <c r="BA88" s="208">
        <f>IF(BA$78=0,0,BA$78/BA$86-BA$78)</f>
        <v>0</v>
      </c>
      <c r="BB88" s="130"/>
      <c r="BC88" s="130"/>
      <c r="BD88" s="130"/>
      <c r="BE88" s="130"/>
      <c r="BF88" s="130"/>
      <c r="BG88" s="130"/>
      <c r="BH88" s="210"/>
    </row>
    <row r="89" spans="1:60">
      <c r="A89" s="1040"/>
      <c r="B89" s="1109" t="s">
        <v>161</v>
      </c>
      <c r="C89" s="1106" t="s">
        <v>96</v>
      </c>
      <c r="D89" s="641" t="s">
        <v>45</v>
      </c>
      <c r="E89" s="940" t="s">
        <v>173</v>
      </c>
      <c r="F89" s="940"/>
      <c r="G89" s="940"/>
      <c r="H89" s="940"/>
      <c r="I89" s="77"/>
      <c r="J89" s="939"/>
      <c r="K89" s="126"/>
      <c r="L89" s="126"/>
      <c r="M89" s="938"/>
      <c r="N89" s="125"/>
      <c r="O89" s="177" t="str">
        <f>O$10</f>
        <v>verwarming</v>
      </c>
      <c r="P89" s="177" t="str">
        <f>P$10</f>
        <v>koeling</v>
      </c>
      <c r="Q89" s="177" t="str">
        <f>Q$10</f>
        <v>tapwater</v>
      </c>
      <c r="R89" s="177"/>
      <c r="S89" s="177"/>
      <c r="T89" s="177"/>
      <c r="U89" s="177"/>
      <c r="V89" s="177"/>
      <c r="W89" s="177"/>
      <c r="X89" s="143"/>
      <c r="Y89" s="938"/>
      <c r="Z89" s="125"/>
      <c r="AA89" s="177" t="str">
        <f>AA$10</f>
        <v>verwarming</v>
      </c>
      <c r="AB89" s="177" t="str">
        <f>AB$10</f>
        <v>koeling</v>
      </c>
      <c r="AC89" s="177" t="str">
        <f>AC$10</f>
        <v>tapwater</v>
      </c>
      <c r="AD89" s="177"/>
      <c r="AE89" s="177"/>
      <c r="AF89" s="177"/>
      <c r="AG89" s="177"/>
      <c r="AH89" s="177"/>
      <c r="AI89" s="177"/>
      <c r="AJ89" s="143"/>
      <c r="AK89" s="938"/>
      <c r="AL89" s="125"/>
      <c r="AM89" s="177" t="str">
        <f>AM$10</f>
        <v>verwarming</v>
      </c>
      <c r="AN89" s="177" t="str">
        <f>AN$10</f>
        <v>koeling</v>
      </c>
      <c r="AO89" s="177" t="str">
        <f>AO$10</f>
        <v>tapwater</v>
      </c>
      <c r="AP89" s="177"/>
      <c r="AQ89" s="177"/>
      <c r="AR89" s="177"/>
      <c r="AS89" s="177"/>
      <c r="AT89" s="177"/>
      <c r="AU89" s="177"/>
      <c r="AV89" s="143"/>
      <c r="AW89" s="938"/>
      <c r="AX89" s="125"/>
      <c r="AY89" s="177" t="str">
        <f>AY$10</f>
        <v>verwarming</v>
      </c>
      <c r="AZ89" s="177" t="str">
        <f>AZ$10</f>
        <v>koeling</v>
      </c>
      <c r="BA89" s="177" t="str">
        <f>BA$10</f>
        <v>tapwater</v>
      </c>
      <c r="BB89" s="177"/>
      <c r="BC89" s="177"/>
      <c r="BD89" s="177"/>
      <c r="BE89" s="177"/>
      <c r="BF89" s="177"/>
      <c r="BG89" s="177"/>
      <c r="BH89" s="174"/>
    </row>
    <row r="90" spans="1:60">
      <c r="A90" s="1040"/>
      <c r="B90" s="1109" t="s">
        <v>161</v>
      </c>
      <c r="C90" s="1106" t="s">
        <v>118</v>
      </c>
      <c r="D90" s="638"/>
      <c r="E90" s="181" t="s">
        <v>173</v>
      </c>
      <c r="F90" s="180"/>
      <c r="G90" s="180"/>
      <c r="H90" s="181" t="s">
        <v>65</v>
      </c>
      <c r="I90" s="129"/>
      <c r="J90" s="190"/>
      <c r="K90" s="107"/>
      <c r="L90" s="107"/>
      <c r="M90" s="190"/>
      <c r="N90" s="114"/>
      <c r="O90" s="860" t="s">
        <v>174</v>
      </c>
      <c r="P90" s="158"/>
      <c r="Q90" s="860" t="s">
        <v>174</v>
      </c>
      <c r="R90" s="159"/>
      <c r="S90" s="159"/>
      <c r="T90" s="159"/>
      <c r="U90" s="159"/>
      <c r="V90" s="159"/>
      <c r="W90" s="159"/>
      <c r="X90" s="76"/>
      <c r="Y90" s="128"/>
      <c r="Z90" s="114"/>
      <c r="AA90" s="860" t="s">
        <v>174</v>
      </c>
      <c r="AB90" s="158"/>
      <c r="AC90" s="860" t="s">
        <v>174</v>
      </c>
      <c r="AD90" s="159"/>
      <c r="AE90" s="159"/>
      <c r="AF90" s="159"/>
      <c r="AG90" s="159"/>
      <c r="AH90" s="159"/>
      <c r="AI90" s="159"/>
      <c r="AJ90" s="76"/>
      <c r="AK90" s="128"/>
      <c r="AL90" s="114"/>
      <c r="AM90" s="860" t="s">
        <v>174</v>
      </c>
      <c r="AN90" s="158"/>
      <c r="AO90" s="860" t="s">
        <v>174</v>
      </c>
      <c r="AP90" s="159"/>
      <c r="AQ90" s="159"/>
      <c r="AR90" s="159"/>
      <c r="AS90" s="159"/>
      <c r="AT90" s="159"/>
      <c r="AU90" s="159"/>
      <c r="AV90" s="76"/>
      <c r="AW90" s="128"/>
      <c r="AX90" s="114"/>
      <c r="AY90" s="860" t="s">
        <v>174</v>
      </c>
      <c r="AZ90" s="158"/>
      <c r="BA90" s="860" t="s">
        <v>174</v>
      </c>
      <c r="BB90" s="159"/>
      <c r="BC90" s="159"/>
      <c r="BD90" s="159"/>
      <c r="BE90" s="159"/>
      <c r="BF90" s="159"/>
      <c r="BG90" s="159"/>
      <c r="BH90" s="174"/>
    </row>
    <row r="91" spans="1:60">
      <c r="A91" s="1040"/>
      <c r="B91" s="1109" t="s">
        <v>161</v>
      </c>
      <c r="C91" s="1106" t="s">
        <v>118</v>
      </c>
      <c r="D91" s="641" t="s">
        <v>45</v>
      </c>
      <c r="E91" s="181" t="s">
        <v>175</v>
      </c>
      <c r="F91" s="180"/>
      <c r="G91" s="180"/>
      <c r="H91" s="181" t="s">
        <v>160</v>
      </c>
      <c r="I91" s="129"/>
      <c r="J91" s="190"/>
      <c r="K91" s="107"/>
      <c r="L91" s="107"/>
      <c r="M91" s="190"/>
      <c r="N91" s="114"/>
      <c r="O91" s="168">
        <f>IF(O90="nee",0,(O78+O88)*bijdrage_thermische_zonne_energie_RV)</f>
        <v>0</v>
      </c>
      <c r="P91" s="168"/>
      <c r="Q91" s="168">
        <f>IF(Q90="nee",0,(Q78+Q88)*bijdrage_thermische_zonne_energie_TAP)</f>
        <v>0</v>
      </c>
      <c r="R91" s="130"/>
      <c r="S91" s="130"/>
      <c r="T91" s="130"/>
      <c r="U91" s="130"/>
      <c r="V91" s="130"/>
      <c r="W91" s="130"/>
      <c r="X91" s="592"/>
      <c r="Y91" s="130"/>
      <c r="Z91" s="89"/>
      <c r="AA91" s="168">
        <f>IF(AA90="nee",0,(AA78+AA88)*bijdrage_thermische_zonne_energie_RV)</f>
        <v>0</v>
      </c>
      <c r="AB91" s="168"/>
      <c r="AC91" s="168">
        <f>IF(AC90="nee",0,(AC78+AC88)*bijdrage_thermische_zonne_energie_TAP)</f>
        <v>0</v>
      </c>
      <c r="AD91" s="130"/>
      <c r="AE91" s="130"/>
      <c r="AF91" s="130"/>
      <c r="AG91" s="130"/>
      <c r="AH91" s="130"/>
      <c r="AI91" s="130"/>
      <c r="AJ91" s="592"/>
      <c r="AK91" s="130"/>
      <c r="AL91" s="593"/>
      <c r="AM91" s="168">
        <f>IF(AM90="nee",0,(AM78+AM88)*bijdrage_thermische_zonne_energie_RV)</f>
        <v>0</v>
      </c>
      <c r="AN91" s="168"/>
      <c r="AO91" s="168">
        <f>IF(AO90="nee",0,(AO78+AO88)*bijdrage_thermische_zonne_energie_TAP)</f>
        <v>0</v>
      </c>
      <c r="AP91" s="130"/>
      <c r="AQ91" s="130"/>
      <c r="AR91" s="130"/>
      <c r="AS91" s="130"/>
      <c r="AT91" s="130"/>
      <c r="AU91" s="130"/>
      <c r="AV91" s="592"/>
      <c r="AW91" s="130"/>
      <c r="AX91" s="594"/>
      <c r="AY91" s="168">
        <f>IF(AY90="nee",0,(AY78+AY88)*bijdrage_thermische_zonne_energie_RV)</f>
        <v>0</v>
      </c>
      <c r="AZ91" s="168"/>
      <c r="BA91" s="168">
        <f>IF(BA90="nee",0,(BA78+BA88)*bijdrage_thermische_zonne_energie_TAP)</f>
        <v>0</v>
      </c>
      <c r="BB91" s="159"/>
      <c r="BC91" s="159"/>
      <c r="BD91" s="159"/>
      <c r="BE91" s="159"/>
      <c r="BF91" s="159"/>
      <c r="BG91" s="159"/>
      <c r="BH91" s="174"/>
    </row>
    <row r="92" spans="1:60">
      <c r="A92" s="1040"/>
      <c r="B92" s="1109" t="s">
        <v>161</v>
      </c>
      <c r="C92" s="1106" t="s">
        <v>96</v>
      </c>
      <c r="D92" s="641" t="s">
        <v>45</v>
      </c>
      <c r="E92" s="940" t="s">
        <v>176</v>
      </c>
      <c r="F92" s="940"/>
      <c r="G92" s="940"/>
      <c r="H92" s="940"/>
      <c r="I92" s="77"/>
      <c r="J92" s="939"/>
      <c r="K92" s="126"/>
      <c r="L92" s="126"/>
      <c r="M92" s="938"/>
      <c r="N92" s="125"/>
      <c r="O92" s="177" t="str">
        <f>O$10</f>
        <v>verwarming</v>
      </c>
      <c r="P92" s="177" t="str">
        <f>P$10</f>
        <v>koeling</v>
      </c>
      <c r="Q92" s="177" t="str">
        <f>Q$10</f>
        <v>tapwater</v>
      </c>
      <c r="R92" s="177"/>
      <c r="S92" s="177"/>
      <c r="T92" s="177"/>
      <c r="U92" s="177"/>
      <c r="V92" s="177"/>
      <c r="W92" s="177"/>
      <c r="X92" s="167"/>
      <c r="Y92" s="938"/>
      <c r="Z92" s="125"/>
      <c r="AA92" s="177" t="str">
        <f>AA$10</f>
        <v>verwarming</v>
      </c>
      <c r="AB92" s="177" t="str">
        <f>AB$10</f>
        <v>koeling</v>
      </c>
      <c r="AC92" s="177" t="str">
        <f>AC$10</f>
        <v>tapwater</v>
      </c>
      <c r="AD92" s="177"/>
      <c r="AE92" s="177"/>
      <c r="AF92" s="177"/>
      <c r="AG92" s="177"/>
      <c r="AH92" s="177"/>
      <c r="AI92" s="177"/>
      <c r="AJ92" s="167"/>
      <c r="AK92" s="938"/>
      <c r="AL92" s="125"/>
      <c r="AM92" s="177" t="str">
        <f>AM$10</f>
        <v>verwarming</v>
      </c>
      <c r="AN92" s="177" t="str">
        <f>AN$10</f>
        <v>koeling</v>
      </c>
      <c r="AO92" s="177" t="str">
        <f>AO$10</f>
        <v>tapwater</v>
      </c>
      <c r="AP92" s="177"/>
      <c r="AQ92" s="177"/>
      <c r="AR92" s="177"/>
      <c r="AS92" s="177"/>
      <c r="AT92" s="177"/>
      <c r="AU92" s="177"/>
      <c r="AV92" s="167"/>
      <c r="AW92" s="938"/>
      <c r="AX92" s="125"/>
      <c r="AY92" s="177" t="str">
        <f>AY$10</f>
        <v>verwarming</v>
      </c>
      <c r="AZ92" s="177" t="str">
        <f>AZ$10</f>
        <v>koeling</v>
      </c>
      <c r="BA92" s="177" t="str">
        <f>BA$10</f>
        <v>tapwater</v>
      </c>
      <c r="BB92" s="177"/>
      <c r="BC92" s="177"/>
      <c r="BD92" s="177"/>
      <c r="BE92" s="177"/>
      <c r="BF92" s="177"/>
      <c r="BG92" s="177"/>
      <c r="BH92" s="174"/>
    </row>
    <row r="93" spans="1:60">
      <c r="A93" s="1040"/>
      <c r="B93" s="1109" t="s">
        <v>161</v>
      </c>
      <c r="C93" s="1106" t="s">
        <v>118</v>
      </c>
      <c r="D93" s="638"/>
      <c r="E93" s="291" t="s">
        <v>177</v>
      </c>
      <c r="F93" s="254"/>
      <c r="G93" s="254"/>
      <c r="H93" s="291" t="s">
        <v>178</v>
      </c>
      <c r="I93" s="134"/>
      <c r="J93" s="189"/>
      <c r="K93" s="107"/>
      <c r="L93" s="107"/>
      <c r="M93" s="189"/>
      <c r="N93" s="116"/>
      <c r="O93" s="541">
        <f>IF(M22=0,0,IF(O94&lt;&gt;"",O94,
(HLOOKUP(O83,toestellen_RV,ROWS(bibliotheek!$E$83:$E$92),FALSE)*M24+
HLOOKUP(O83,toestellen_RV,ROWS(bibliotheek!$E$83:$E$93),FALSE)*M25+
HLOOKUP(O83,toestellen_RV,ROWS(bibliotheek!$E$83:$E$94),FALSE)*M26)/M22))</f>
        <v>0</v>
      </c>
      <c r="P93" s="415"/>
      <c r="Q93" s="541">
        <f>IF(M22=0,0,IF(Q94&lt;&gt;"",Q94,
(HLOOKUP(Q83,toestellen_TAP,ROWS(bibliotheek!$E$139:$E$148),FALSE)*M24+
HLOOKUP(Q83,toestellen_TAP,ROWS(bibliotheek!$E$139:$E$149),FALSE)*M25+
HLOOKUP(Q83,toestellen_TAP,ROWS(bibliotheek!$E$139:$E$150),FALSE)*M26)/M22))</f>
        <v>0</v>
      </c>
      <c r="R93" s="160"/>
      <c r="S93" s="160"/>
      <c r="T93" s="160"/>
      <c r="U93" s="160"/>
      <c r="V93" s="160"/>
      <c r="W93" s="160"/>
      <c r="X93" s="112"/>
      <c r="Y93" s="160"/>
      <c r="Z93" s="416"/>
      <c r="AA93" s="541">
        <f>IF(Y22=0,0,IF(AA94&lt;&gt;"",AA94,
(HLOOKUP(AA83,toestellen_RV,ROWS(bibliotheek!$E$83:$E$92),FALSE)*Y24+
HLOOKUP(AA83,toestellen_RV,ROWS(bibliotheek!$E$83:$E$93),FALSE)*Y25+
HLOOKUP(AA83,toestellen_RV,ROWS(bibliotheek!$E$83:$E$94),FALSE)*Y26)/Y22))</f>
        <v>0</v>
      </c>
      <c r="AB93" s="415"/>
      <c r="AC93" s="541">
        <f>IF(Y22=0,0,IF(AC94&lt;&gt;"",AC94,
(HLOOKUP(AC83,toestellen_TAP,ROWS(bibliotheek!$E$139:$E$148),FALSE)*Y24+
HLOOKUP(AC83,toestellen_TAP,ROWS(bibliotheek!$E$139:$E$149),FALSE)*Y25+
HLOOKUP(AC83,toestellen_TAP,ROWS(bibliotheek!$E$139:$E$150),FALSE)*Y26)/Y22))</f>
        <v>0</v>
      </c>
      <c r="AD93" s="160"/>
      <c r="AE93" s="160"/>
      <c r="AF93" s="160"/>
      <c r="AG93" s="160"/>
      <c r="AH93" s="160"/>
      <c r="AI93" s="160"/>
      <c r="AJ93" s="112"/>
      <c r="AK93" s="160"/>
      <c r="AL93" s="416"/>
      <c r="AM93" s="541">
        <f>IF(AK22=0,0,IF(AM94&lt;&gt;"",AM94,
(HLOOKUP(AM83,toestellen_RV,ROWS(bibliotheek!$E$83:$E$92),FALSE)*AK24+
HLOOKUP(AM83,toestellen_RV,ROWS(bibliotheek!$E$83:$E$93),FALSE)*AK25+
HLOOKUP(AM83,toestellen_RV,ROWS(bibliotheek!$E$83:$E$94),FALSE)*AK26)/AK22))</f>
        <v>0</v>
      </c>
      <c r="AN93" s="415"/>
      <c r="AO93" s="541">
        <f>IF(AK22=0,0,IF(AO94&lt;&gt;"",AO94,
(HLOOKUP(AO83,toestellen_TAP,ROWS(bibliotheek!$E$139:$E$148),FALSE)*AK24+
HLOOKUP(AO83,toestellen_TAP,ROWS(bibliotheek!$E$139:$E$149),FALSE)*AK25+
HLOOKUP(AO83,toestellen_TAP,ROWS(bibliotheek!$E$139:$E$150),FALSE)*AK26)/AK22))</f>
        <v>0</v>
      </c>
      <c r="AP93" s="160"/>
      <c r="AQ93" s="160"/>
      <c r="AR93" s="160"/>
      <c r="AS93" s="160"/>
      <c r="AT93" s="160"/>
      <c r="AU93" s="160"/>
      <c r="AV93" s="112"/>
      <c r="AW93" s="160"/>
      <c r="AX93" s="416"/>
      <c r="AY93" s="541">
        <f>IF(AW22=0,0,IF(AY94&lt;&gt;"",AY94,
(HLOOKUP(AY83,toestellen_RV,ROWS(bibliotheek!$E$83:$E$92),FALSE)*AW24+
HLOOKUP(AY83,toestellen_RV,ROWS(bibliotheek!$E$83:$E$93),FALSE)*AW25+
HLOOKUP(AY83,toestellen_RV,ROWS(bibliotheek!$E$83:$E$94),FALSE)*AW26)/AW22))</f>
        <v>0</v>
      </c>
      <c r="AZ93" s="415"/>
      <c r="BA93" s="541">
        <f>IF(AW22=0,0,IF(BA94&lt;&gt;"",BA94,
(HLOOKUP(BA83,toestellen_TAP,ROWS(bibliotheek!$E$139:$E$148),FALSE)*AW24+
HLOOKUP(BA83,toestellen_TAP,ROWS(bibliotheek!$E$139:$E$149),FALSE)*AW25+
HLOOKUP(BA83,toestellen_TAP,ROWS(bibliotheek!$E$139:$E$150),FALSE)*AW26)/AW22))</f>
        <v>0</v>
      </c>
      <c r="BB93" s="160"/>
      <c r="BC93" s="160"/>
      <c r="BD93" s="160"/>
      <c r="BE93" s="160"/>
      <c r="BF93" s="160"/>
      <c r="BG93" s="160"/>
      <c r="BH93" s="210"/>
    </row>
    <row r="94" spans="1:60">
      <c r="A94" s="1040"/>
      <c r="B94" s="1109" t="s">
        <v>161</v>
      </c>
      <c r="C94" s="1106" t="s">
        <v>118</v>
      </c>
      <c r="D94" s="638"/>
      <c r="E94" s="1218" t="s">
        <v>1388</v>
      </c>
      <c r="F94" s="255"/>
      <c r="G94" s="255"/>
      <c r="H94" s="292" t="s">
        <v>178</v>
      </c>
      <c r="I94" s="136"/>
      <c r="J94" s="299"/>
      <c r="K94" s="107"/>
      <c r="L94" s="107"/>
      <c r="M94" s="198"/>
      <c r="N94" s="161"/>
      <c r="O94" s="276"/>
      <c r="P94" s="281"/>
      <c r="Q94" s="276"/>
      <c r="R94" s="163"/>
      <c r="S94" s="163"/>
      <c r="T94" s="163"/>
      <c r="U94" s="163"/>
      <c r="V94" s="163"/>
      <c r="W94" s="163"/>
      <c r="X94" s="110"/>
      <c r="Y94" s="386"/>
      <c r="Z94" s="308"/>
      <c r="AA94" s="276"/>
      <c r="AB94" s="281"/>
      <c r="AC94" s="276"/>
      <c r="AD94" s="163"/>
      <c r="AE94" s="163"/>
      <c r="AF94" s="163"/>
      <c r="AG94" s="163"/>
      <c r="AH94" s="163"/>
      <c r="AI94" s="163"/>
      <c r="AJ94" s="110"/>
      <c r="AK94" s="386"/>
      <c r="AL94" s="308"/>
      <c r="AM94" s="276"/>
      <c r="AN94" s="281"/>
      <c r="AO94" s="276"/>
      <c r="AP94" s="163"/>
      <c r="AQ94" s="163"/>
      <c r="AR94" s="163"/>
      <c r="AS94" s="163"/>
      <c r="AT94" s="163"/>
      <c r="AU94" s="163"/>
      <c r="AV94" s="110"/>
      <c r="AW94" s="386"/>
      <c r="AX94" s="308"/>
      <c r="AY94" s="276"/>
      <c r="AZ94" s="281"/>
      <c r="BA94" s="276"/>
      <c r="BB94" s="164"/>
      <c r="BC94" s="164"/>
      <c r="BD94" s="164"/>
      <c r="BE94" s="164"/>
      <c r="BF94" s="164"/>
      <c r="BG94" s="164"/>
      <c r="BH94" s="210"/>
    </row>
    <row r="95" spans="1:60">
      <c r="A95" s="1040"/>
      <c r="B95" s="1109" t="s">
        <v>161</v>
      </c>
      <c r="C95" s="1106" t="s">
        <v>118</v>
      </c>
      <c r="D95" s="638"/>
      <c r="E95" s="181" t="s">
        <v>179</v>
      </c>
      <c r="F95" s="180"/>
      <c r="G95" s="180"/>
      <c r="H95" s="181" t="s">
        <v>160</v>
      </c>
      <c r="I95" s="129"/>
      <c r="J95" s="190"/>
      <c r="K95" s="107"/>
      <c r="L95" s="107"/>
      <c r="M95" s="190"/>
      <c r="N95" s="89"/>
      <c r="O95" s="208">
        <f>O$93*M$22</f>
        <v>0</v>
      </c>
      <c r="P95" s="130"/>
      <c r="Q95" s="208">
        <f>Q$93*M$22</f>
        <v>0</v>
      </c>
      <c r="R95" s="130"/>
      <c r="S95" s="130"/>
      <c r="T95" s="130"/>
      <c r="U95" s="130"/>
      <c r="V95" s="130"/>
      <c r="W95" s="130"/>
      <c r="X95" s="110"/>
      <c r="Y95" s="132"/>
      <c r="Z95" s="114"/>
      <c r="AA95" s="208">
        <f>AA$93*Y$22</f>
        <v>0</v>
      </c>
      <c r="AB95" s="130"/>
      <c r="AC95" s="208">
        <f>AC$93*Y$22</f>
        <v>0</v>
      </c>
      <c r="AD95" s="130"/>
      <c r="AE95" s="130"/>
      <c r="AF95" s="130"/>
      <c r="AG95" s="130"/>
      <c r="AH95" s="130"/>
      <c r="AI95" s="130"/>
      <c r="AJ95" s="110"/>
      <c r="AK95" s="132"/>
      <c r="AL95" s="114"/>
      <c r="AM95" s="208">
        <f>AM$93*AK$22</f>
        <v>0</v>
      </c>
      <c r="AN95" s="130"/>
      <c r="AO95" s="208">
        <f>AO$93*AK$22</f>
        <v>0</v>
      </c>
      <c r="AP95" s="130"/>
      <c r="AQ95" s="130"/>
      <c r="AR95" s="130"/>
      <c r="AS95" s="130"/>
      <c r="AT95" s="130"/>
      <c r="AU95" s="130"/>
      <c r="AV95" s="110"/>
      <c r="AW95" s="132"/>
      <c r="AX95" s="114"/>
      <c r="AY95" s="208">
        <f>AY$93*AW$22</f>
        <v>0</v>
      </c>
      <c r="AZ95" s="130"/>
      <c r="BA95" s="208">
        <f>BA$93*AW$22</f>
        <v>0</v>
      </c>
      <c r="BB95" s="130"/>
      <c r="BC95" s="130"/>
      <c r="BD95" s="130"/>
      <c r="BE95" s="130"/>
      <c r="BF95" s="130"/>
      <c r="BG95" s="130"/>
      <c r="BH95" s="210"/>
    </row>
    <row r="96" spans="1:60">
      <c r="A96" s="1040"/>
      <c r="B96" s="1109" t="s">
        <v>161</v>
      </c>
      <c r="C96" s="1106" t="s">
        <v>96</v>
      </c>
      <c r="D96" s="641" t="s">
        <v>45</v>
      </c>
      <c r="E96" s="940" t="s">
        <v>180</v>
      </c>
      <c r="F96" s="940"/>
      <c r="G96" s="940"/>
      <c r="H96" s="940"/>
      <c r="I96" s="77"/>
      <c r="J96" s="939"/>
      <c r="K96" s="126"/>
      <c r="L96" s="126"/>
      <c r="M96" s="938"/>
      <c r="N96" s="125"/>
      <c r="O96" s="177" t="str">
        <f>O$10</f>
        <v>verwarming</v>
      </c>
      <c r="P96" s="177" t="str">
        <f>P$10</f>
        <v>koeling</v>
      </c>
      <c r="Q96" s="177" t="str">
        <f>Q$10</f>
        <v>tapwater</v>
      </c>
      <c r="R96" s="177"/>
      <c r="S96" s="177"/>
      <c r="T96" s="177"/>
      <c r="U96" s="177"/>
      <c r="V96" s="177"/>
      <c r="W96" s="177"/>
      <c r="X96" s="167"/>
      <c r="Y96" s="938"/>
      <c r="Z96" s="125"/>
      <c r="AA96" s="177" t="str">
        <f>AA$10</f>
        <v>verwarming</v>
      </c>
      <c r="AB96" s="177" t="str">
        <f>AB$10</f>
        <v>koeling</v>
      </c>
      <c r="AC96" s="177" t="str">
        <f>AC$10</f>
        <v>tapwater</v>
      </c>
      <c r="AD96" s="177"/>
      <c r="AE96" s="177"/>
      <c r="AF96" s="177"/>
      <c r="AG96" s="177"/>
      <c r="AH96" s="177"/>
      <c r="AI96" s="177"/>
      <c r="AJ96" s="167"/>
      <c r="AK96" s="938"/>
      <c r="AL96" s="125"/>
      <c r="AM96" s="177" t="str">
        <f>AM$10</f>
        <v>verwarming</v>
      </c>
      <c r="AN96" s="177" t="str">
        <f>AN$10</f>
        <v>koeling</v>
      </c>
      <c r="AO96" s="177" t="str">
        <f>AO$10</f>
        <v>tapwater</v>
      </c>
      <c r="AP96" s="177"/>
      <c r="AQ96" s="177"/>
      <c r="AR96" s="177"/>
      <c r="AS96" s="177"/>
      <c r="AT96" s="177"/>
      <c r="AU96" s="177"/>
      <c r="AV96" s="167"/>
      <c r="AW96" s="938"/>
      <c r="AX96" s="125"/>
      <c r="AY96" s="177" t="str">
        <f>AY$10</f>
        <v>verwarming</v>
      </c>
      <c r="AZ96" s="177" t="str">
        <f>AZ$10</f>
        <v>koeling</v>
      </c>
      <c r="BA96" s="177" t="str">
        <f>BA$10</f>
        <v>tapwater</v>
      </c>
      <c r="BB96" s="177"/>
      <c r="BC96" s="177"/>
      <c r="BD96" s="177"/>
      <c r="BE96" s="177"/>
      <c r="BF96" s="177"/>
      <c r="BG96" s="177"/>
      <c r="BH96" s="174"/>
    </row>
    <row r="97" spans="1:60" hidden="1">
      <c r="A97" s="1040"/>
      <c r="B97" s="1109" t="s">
        <v>161</v>
      </c>
      <c r="C97" s="1106" t="s">
        <v>181</v>
      </c>
      <c r="D97" s="638"/>
      <c r="E97" s="181" t="s">
        <v>182</v>
      </c>
      <c r="F97" s="180"/>
      <c r="G97" s="180"/>
      <c r="H97" s="181" t="s">
        <v>160</v>
      </c>
      <c r="I97" s="129"/>
      <c r="J97" s="190"/>
      <c r="K97" s="107"/>
      <c r="L97" s="107"/>
      <c r="M97" s="190"/>
      <c r="N97" s="114"/>
      <c r="O97" s="208">
        <f>IF(O$83="geen",0,O78+O88-O91+O95)</f>
        <v>0</v>
      </c>
      <c r="P97" s="208">
        <f>IF(P$83="geen",0,P78+P88-P91+P95)</f>
        <v>0</v>
      </c>
      <c r="Q97" s="208">
        <f>IF(Q$83="geen",0,Q78+Q88-Q91+Q95)</f>
        <v>0</v>
      </c>
      <c r="R97" s="130"/>
      <c r="S97" s="130"/>
      <c r="T97" s="130"/>
      <c r="U97" s="130"/>
      <c r="V97" s="130"/>
      <c r="W97" s="130"/>
      <c r="X97" s="110"/>
      <c r="Y97" s="132"/>
      <c r="Z97" s="114"/>
      <c r="AA97" s="208">
        <f>IF(AA$83="geen",0,AA78+AA88-AA91+AA95)</f>
        <v>0</v>
      </c>
      <c r="AB97" s="208">
        <f>IF(AB$83="geen",0,AB78+AB88-AB91+AB95)</f>
        <v>0</v>
      </c>
      <c r="AC97" s="208">
        <f>IF(AC$83="geen",0,AC78+AC88-AC91+AC95)</f>
        <v>0</v>
      </c>
      <c r="AD97" s="130"/>
      <c r="AE97" s="130"/>
      <c r="AF97" s="130"/>
      <c r="AG97" s="130"/>
      <c r="AH97" s="130"/>
      <c r="AI97" s="130"/>
      <c r="AJ97" s="110"/>
      <c r="AK97" s="132"/>
      <c r="AL97" s="114"/>
      <c r="AM97" s="208">
        <f>IF(AM$83="geen",0,AM78+AM88-AM91+AM95)</f>
        <v>0</v>
      </c>
      <c r="AN97" s="208">
        <f>IF(AN$83="geen",0,AN78+AN88-AN91+AN95)</f>
        <v>0</v>
      </c>
      <c r="AO97" s="208">
        <f>IF(AO$83="geen",0,AO78+AO88-AO91+AO95)</f>
        <v>0</v>
      </c>
      <c r="AP97" s="130"/>
      <c r="AQ97" s="130"/>
      <c r="AR97" s="130"/>
      <c r="AS97" s="130"/>
      <c r="AT97" s="130"/>
      <c r="AU97" s="130"/>
      <c r="AV97" s="110"/>
      <c r="AW97" s="132"/>
      <c r="AX97" s="114"/>
      <c r="AY97" s="208">
        <f>IF(AY$83="geen",0,AY78+AY88-AY91+AY95)</f>
        <v>0</v>
      </c>
      <c r="AZ97" s="208">
        <f>IF(AZ$83="geen",0,AZ78+AZ88-AZ91+AZ95)</f>
        <v>0</v>
      </c>
      <c r="BA97" s="208">
        <f>IF(BA$83="geen",0,BA78+BA88-BA91+BA95)</f>
        <v>0</v>
      </c>
      <c r="BB97" s="130"/>
      <c r="BC97" s="130"/>
      <c r="BD97" s="130"/>
      <c r="BE97" s="130"/>
      <c r="BF97" s="130"/>
      <c r="BG97" s="130"/>
      <c r="BH97" s="210"/>
    </row>
    <row r="98" spans="1:60" hidden="1">
      <c r="A98" s="1040"/>
      <c r="B98" s="1109" t="s">
        <v>161</v>
      </c>
      <c r="C98" s="1106" t="s">
        <v>181</v>
      </c>
      <c r="D98" s="641" t="s">
        <v>45</v>
      </c>
      <c r="E98" s="181" t="s">
        <v>183</v>
      </c>
      <c r="F98" s="180"/>
      <c r="G98" s="180"/>
      <c r="H98" s="181" t="s">
        <v>184</v>
      </c>
      <c r="I98" s="129"/>
      <c r="J98" s="190"/>
      <c r="K98" s="107"/>
      <c r="L98" s="107"/>
      <c r="M98" s="190"/>
      <c r="N98" s="114"/>
      <c r="O98" s="542">
        <f>IF(OR(O83="geen",O97=0),0,IF(O84=gebouw,O$27,1))</f>
        <v>0</v>
      </c>
      <c r="P98" s="542">
        <f>IF(OR(P83="geen",P97=0),0,IF(P84=gebouw,P$27,1))</f>
        <v>0</v>
      </c>
      <c r="Q98" s="542" t="s">
        <v>65</v>
      </c>
      <c r="R98" s="128"/>
      <c r="S98" s="128"/>
      <c r="T98" s="128"/>
      <c r="U98" s="128"/>
      <c r="V98" s="128"/>
      <c r="W98" s="128"/>
      <c r="X98" s="417"/>
      <c r="Y98" s="132"/>
      <c r="Z98" s="119"/>
      <c r="AA98" s="542">
        <f>IF(OR(AA83="geen",AA97=0),0,IF(AA84=gebouw,AA$27,1))</f>
        <v>0</v>
      </c>
      <c r="AB98" s="542">
        <f>IF(OR(AB83="geen",AB97=0),0,IF(AB84=gebouw,AB$27,1))</f>
        <v>0</v>
      </c>
      <c r="AC98" s="542" t="s">
        <v>65</v>
      </c>
      <c r="AD98" s="128"/>
      <c r="AE98" s="128"/>
      <c r="AF98" s="128"/>
      <c r="AG98" s="128"/>
      <c r="AH98" s="128"/>
      <c r="AI98" s="128"/>
      <c r="AJ98" s="417"/>
      <c r="AK98" s="132"/>
      <c r="AL98" s="119"/>
      <c r="AM98" s="542">
        <f>IF(OR(AM83="geen",AM97=0),0,IF(AM84=gebouw,AM$27,1))</f>
        <v>0</v>
      </c>
      <c r="AN98" s="542">
        <f>IF(OR(AN83="geen",AN97=0),0,IF(AN84=gebouw,AN$27,1))</f>
        <v>0</v>
      </c>
      <c r="AO98" s="542" t="s">
        <v>65</v>
      </c>
      <c r="AP98" s="128"/>
      <c r="AQ98" s="128"/>
      <c r="AR98" s="128"/>
      <c r="AS98" s="128"/>
      <c r="AT98" s="128"/>
      <c r="AU98" s="128"/>
      <c r="AV98" s="417"/>
      <c r="AW98" s="132"/>
      <c r="AX98" s="119"/>
      <c r="AY98" s="542">
        <f>IF(OR(AY83="geen",AY97=0),0,IF(AY84=gebouw,AY$27,1))</f>
        <v>0</v>
      </c>
      <c r="AZ98" s="542">
        <f>IF(OR(AZ83="geen",AZ97=0),0,IF(AZ84=gebouw,AZ$27,1))</f>
        <v>0</v>
      </c>
      <c r="BA98" s="542" t="s">
        <v>65</v>
      </c>
      <c r="BB98" s="130"/>
      <c r="BC98" s="130"/>
      <c r="BD98" s="130"/>
      <c r="BE98" s="130"/>
      <c r="BF98" s="130"/>
      <c r="BG98" s="130"/>
      <c r="BH98" s="210"/>
    </row>
    <row r="99" spans="1:60" hidden="1">
      <c r="A99" s="1040"/>
      <c r="B99" s="1109" t="s">
        <v>161</v>
      </c>
      <c r="C99" s="1106" t="s">
        <v>181</v>
      </c>
      <c r="D99" s="641" t="s">
        <v>45</v>
      </c>
      <c r="E99" s="181" t="s">
        <v>185</v>
      </c>
      <c r="F99" s="180"/>
      <c r="G99" s="180"/>
      <c r="H99" s="181" t="s">
        <v>186</v>
      </c>
      <c r="I99" s="129"/>
      <c r="J99" s="190"/>
      <c r="K99" s="107"/>
      <c r="L99" s="107"/>
      <c r="M99" s="190"/>
      <c r="N99" s="114"/>
      <c r="O99" s="542">
        <f>MROUND(((bibliotheek!$I$124*(O97*1000))/(0.001*bibliotheek!$I$125)*((bibliotheek!$I$126-bibliotheek!$I$128)/(bibliotheek!$I$126-bibliotheek!$I$127))+(O29^0.5*4*3+O29)*bibliotheek!$I$129)/1000,50)</f>
        <v>0</v>
      </c>
      <c r="P99" s="542">
        <f>IF(P83="geen",0,MROUND((P97*1000)*bibliotheek!$I$216,1))</f>
        <v>0</v>
      </c>
      <c r="Q99" s="542" t="s">
        <v>65</v>
      </c>
      <c r="R99" s="128"/>
      <c r="S99" s="128"/>
      <c r="T99" s="128"/>
      <c r="U99" s="128"/>
      <c r="V99" s="128"/>
      <c r="W99" s="128"/>
      <c r="X99" s="417"/>
      <c r="Y99" s="132"/>
      <c r="Z99" s="119"/>
      <c r="AA99" s="542">
        <f>MROUND(((bibliotheek!$I$124*(AA97*1000))/(0.001*bibliotheek!$I$125)*((bibliotheek!$I$126-bibliotheek!$I$128)/(bibliotheek!$I$126-bibliotheek!$I$127))+(AA29^0.5*4*3+AA29)*bibliotheek!$I$129)/1000,50)</f>
        <v>0</v>
      </c>
      <c r="AB99" s="542">
        <f>IF(AB83="geen",0,MROUND((AB97*1000)*bibliotheek!$I$216,1))</f>
        <v>0</v>
      </c>
      <c r="AC99" s="542" t="s">
        <v>65</v>
      </c>
      <c r="AD99" s="128"/>
      <c r="AE99" s="128"/>
      <c r="AF99" s="128"/>
      <c r="AG99" s="128"/>
      <c r="AH99" s="128"/>
      <c r="AI99" s="128"/>
      <c r="AJ99" s="417"/>
      <c r="AK99" s="132"/>
      <c r="AL99" s="119"/>
      <c r="AM99" s="542">
        <f>MROUND(((bibliotheek!$I$124*(AM97*1000))/(0.001*bibliotheek!$I$125)*((bibliotheek!$I$126-bibliotheek!$I$128)/(bibliotheek!$I$126-bibliotheek!$I$127))+(AM29^0.5*4*3+AM29)*bibliotheek!$I$129)/1000,50)</f>
        <v>0</v>
      </c>
      <c r="AN99" s="542">
        <f>IF(AN83="geen",0,MROUND((AN97*1000)*bibliotheek!$I$216,1))</f>
        <v>0</v>
      </c>
      <c r="AO99" s="542" t="s">
        <v>65</v>
      </c>
      <c r="AP99" s="128"/>
      <c r="AQ99" s="128"/>
      <c r="AR99" s="128"/>
      <c r="AS99" s="128"/>
      <c r="AT99" s="128"/>
      <c r="AU99" s="128"/>
      <c r="AV99" s="417"/>
      <c r="AW99" s="132"/>
      <c r="AX99" s="119"/>
      <c r="AY99" s="542">
        <f>MROUND(((bibliotheek!$I$124*(AY97*1000))/(0.001*bibliotheek!$I$125)*((bibliotheek!$I$126-bibliotheek!$I$128)/(bibliotheek!$I$126-bibliotheek!$I$127))+(AY29^0.5*4*3+AY29)*bibliotheek!$I$129)/1000,50)</f>
        <v>0</v>
      </c>
      <c r="AZ99" s="542">
        <f>IF(AZ83="geen",0,MROUND((AZ97*1000)*bibliotheek!$I$216,1))</f>
        <v>0</v>
      </c>
      <c r="BA99" s="542" t="s">
        <v>65</v>
      </c>
      <c r="BB99" s="130"/>
      <c r="BC99" s="130"/>
      <c r="BD99" s="130"/>
      <c r="BE99" s="130"/>
      <c r="BF99" s="130"/>
      <c r="BG99" s="130"/>
      <c r="BH99" s="210"/>
    </row>
    <row r="100" spans="1:60" hidden="1">
      <c r="A100" s="1040"/>
      <c r="B100" s="1109" t="s">
        <v>161</v>
      </c>
      <c r="C100" s="1107" t="s">
        <v>181</v>
      </c>
      <c r="D100" s="638"/>
      <c r="E100" s="79"/>
      <c r="F100" s="79"/>
      <c r="G100" s="79"/>
      <c r="H100" s="85"/>
      <c r="I100" s="79"/>
      <c r="J100" s="82"/>
      <c r="K100" s="79"/>
      <c r="L100" s="79"/>
      <c r="M100" s="82"/>
      <c r="N100" s="79"/>
      <c r="O100" s="82"/>
      <c r="P100" s="82"/>
      <c r="Q100" s="82"/>
      <c r="R100" s="82"/>
      <c r="S100" s="82"/>
      <c r="T100" s="82"/>
      <c r="U100" s="82"/>
      <c r="V100" s="82"/>
      <c r="W100" s="82"/>
      <c r="X100" s="82"/>
      <c r="Y100" s="82"/>
      <c r="Z100" s="79"/>
      <c r="AA100" s="108"/>
      <c r="AB100" s="105"/>
      <c r="AC100" s="108"/>
      <c r="AD100" s="82"/>
      <c r="AE100" s="82"/>
      <c r="AF100" s="82"/>
      <c r="AG100" s="82"/>
      <c r="AH100" s="82"/>
      <c r="AI100" s="82"/>
      <c r="AJ100" s="82"/>
      <c r="AK100" s="82"/>
      <c r="AL100" s="79"/>
      <c r="AM100" s="82"/>
      <c r="AN100" s="105"/>
      <c r="AO100" s="82"/>
      <c r="AP100" s="82"/>
      <c r="AQ100" s="82"/>
      <c r="AR100" s="82"/>
      <c r="AS100" s="82"/>
      <c r="AT100" s="82"/>
      <c r="AU100" s="82"/>
      <c r="AV100" s="82"/>
      <c r="AW100" s="82"/>
      <c r="AX100" s="79"/>
      <c r="AY100" s="82"/>
      <c r="AZ100" s="105"/>
      <c r="BA100" s="82"/>
      <c r="BB100" s="82"/>
      <c r="BC100" s="82"/>
      <c r="BD100" s="82"/>
      <c r="BE100" s="82"/>
      <c r="BF100" s="82"/>
      <c r="BG100" s="82"/>
      <c r="BH100" s="1"/>
    </row>
    <row r="101" spans="1:60">
      <c r="A101" s="1040"/>
      <c r="B101" s="1109" t="s">
        <v>187</v>
      </c>
      <c r="C101" s="1107" t="s">
        <v>96</v>
      </c>
      <c r="D101" s="638"/>
      <c r="E101" s="79"/>
      <c r="F101" s="79"/>
      <c r="G101" s="79"/>
      <c r="H101" s="85"/>
      <c r="I101" s="79"/>
      <c r="J101" s="82"/>
      <c r="K101" s="79"/>
      <c r="L101" s="79"/>
      <c r="M101" s="82"/>
      <c r="N101" s="79"/>
      <c r="O101" s="1018"/>
      <c r="P101" s="1019"/>
      <c r="Q101" s="1019"/>
      <c r="R101" s="82"/>
      <c r="S101" s="82"/>
      <c r="T101" s="82"/>
      <c r="U101" s="82"/>
      <c r="V101" s="82"/>
      <c r="W101" s="82"/>
      <c r="X101" s="82"/>
      <c r="Y101" s="82"/>
      <c r="Z101" s="79"/>
      <c r="AA101" s="82"/>
      <c r="AB101" s="82"/>
      <c r="AC101" s="82"/>
      <c r="AD101" s="82"/>
      <c r="AE101" s="82"/>
      <c r="AF101" s="82"/>
      <c r="AG101" s="82"/>
      <c r="AH101" s="82"/>
      <c r="AI101" s="82"/>
      <c r="AJ101" s="82"/>
      <c r="AK101" s="82"/>
      <c r="AL101" s="79"/>
      <c r="AM101" s="82"/>
      <c r="AN101" s="82"/>
      <c r="AO101" s="82"/>
      <c r="AP101" s="82"/>
      <c r="AQ101" s="82"/>
      <c r="AR101" s="82"/>
      <c r="AS101" s="82"/>
      <c r="AT101" s="82"/>
      <c r="AU101" s="82"/>
      <c r="AV101" s="82"/>
      <c r="AW101" s="82"/>
      <c r="AX101" s="79"/>
      <c r="AY101" s="82"/>
      <c r="AZ101" s="82"/>
      <c r="BA101" s="82"/>
      <c r="BB101" s="82"/>
      <c r="BC101" s="82"/>
      <c r="BD101" s="82"/>
      <c r="BE101" s="82"/>
      <c r="BF101" s="82"/>
      <c r="BG101" s="82"/>
      <c r="BH101" s="1"/>
    </row>
    <row r="102" spans="1:60" ht="21">
      <c r="A102" s="1040"/>
      <c r="B102" s="1109" t="s">
        <v>187</v>
      </c>
      <c r="C102" s="1106" t="s">
        <v>96</v>
      </c>
      <c r="D102" s="641" t="s">
        <v>45</v>
      </c>
      <c r="E102" s="199" t="s">
        <v>188</v>
      </c>
      <c r="F102" s="199"/>
      <c r="G102" s="199"/>
      <c r="H102" s="199"/>
      <c r="I102" s="77"/>
      <c r="J102" s="200" t="str">
        <f>J$10</f>
        <v>alle locaties</v>
      </c>
      <c r="K102" s="126"/>
      <c r="L102" s="126"/>
      <c r="M102" s="200" t="str">
        <f>M$10</f>
        <v>locatie 1</v>
      </c>
      <c r="N102" s="182"/>
      <c r="O102" s="966" t="str">
        <f>$E102&amp;" per energiepost"</f>
        <v>installatie preferent toestel per energiepost</v>
      </c>
      <c r="P102" s="941"/>
      <c r="Q102" s="941"/>
      <c r="R102" s="941"/>
      <c r="S102" s="941"/>
      <c r="T102" s="941"/>
      <c r="U102" s="941"/>
      <c r="V102" s="941"/>
      <c r="W102" s="956"/>
      <c r="X102" s="174"/>
      <c r="Y102" s="176" t="str">
        <f>Y$10</f>
        <v>locatie 2</v>
      </c>
      <c r="Z102" s="182"/>
      <c r="AA102" s="966" t="str">
        <f>$E102&amp;" per energiepost"</f>
        <v>installatie preferent toestel per energiepost</v>
      </c>
      <c r="AB102" s="941"/>
      <c r="AC102" s="941"/>
      <c r="AD102" s="941"/>
      <c r="AE102" s="941"/>
      <c r="AF102" s="941"/>
      <c r="AG102" s="941"/>
      <c r="AH102" s="941"/>
      <c r="AI102" s="956"/>
      <c r="AJ102" s="174"/>
      <c r="AK102" s="176" t="str">
        <f>AK$10</f>
        <v>locatie 3</v>
      </c>
      <c r="AL102" s="182"/>
      <c r="AM102" s="966" t="str">
        <f>$E102&amp;" per energiepost"</f>
        <v>installatie preferent toestel per energiepost</v>
      </c>
      <c r="AN102" s="941"/>
      <c r="AO102" s="941"/>
      <c r="AP102" s="941"/>
      <c r="AQ102" s="941"/>
      <c r="AR102" s="941"/>
      <c r="AS102" s="941"/>
      <c r="AT102" s="941"/>
      <c r="AU102" s="956"/>
      <c r="AV102" s="174"/>
      <c r="AW102" s="176" t="str">
        <f>AW$10</f>
        <v>locatie 4</v>
      </c>
      <c r="AX102" s="182"/>
      <c r="AY102" s="966" t="str">
        <f>$E102&amp;" per energiepost"</f>
        <v>installatie preferent toestel per energiepost</v>
      </c>
      <c r="AZ102" s="941"/>
      <c r="BA102" s="941"/>
      <c r="BB102" s="941"/>
      <c r="BC102" s="941"/>
      <c r="BD102" s="941"/>
      <c r="BE102" s="941"/>
      <c r="BF102" s="941"/>
      <c r="BG102" s="956"/>
      <c r="BH102" s="1"/>
    </row>
    <row r="103" spans="1:60">
      <c r="A103" s="1040"/>
      <c r="B103" s="1109" t="s">
        <v>187</v>
      </c>
      <c r="C103" s="1106" t="s">
        <v>96</v>
      </c>
      <c r="D103" s="641"/>
      <c r="E103" s="940" t="s">
        <v>189</v>
      </c>
      <c r="F103" s="940"/>
      <c r="G103" s="940"/>
      <c r="H103" s="940"/>
      <c r="I103" s="77"/>
      <c r="J103" s="939"/>
      <c r="K103" s="126"/>
      <c r="L103" s="126"/>
      <c r="M103" s="938"/>
      <c r="N103" s="125"/>
      <c r="O103" s="177" t="str">
        <f>O$10</f>
        <v>verwarming</v>
      </c>
      <c r="P103" s="177" t="str">
        <f>P$10</f>
        <v>koeling</v>
      </c>
      <c r="Q103" s="177" t="str">
        <f>Q$10</f>
        <v>tapwater</v>
      </c>
      <c r="R103" s="177"/>
      <c r="S103" s="177"/>
      <c r="T103" s="177"/>
      <c r="U103" s="177"/>
      <c r="V103" s="177"/>
      <c r="W103" s="177"/>
      <c r="X103" s="147"/>
      <c r="Y103" s="938"/>
      <c r="Z103" s="125"/>
      <c r="AA103" s="177" t="str">
        <f>AA$10</f>
        <v>verwarming</v>
      </c>
      <c r="AB103" s="177" t="str">
        <f>AB$10</f>
        <v>koeling</v>
      </c>
      <c r="AC103" s="177" t="str">
        <f>AC$10</f>
        <v>tapwater</v>
      </c>
      <c r="AD103" s="177"/>
      <c r="AE103" s="177"/>
      <c r="AF103" s="177"/>
      <c r="AG103" s="177"/>
      <c r="AH103" s="177"/>
      <c r="AI103" s="177"/>
      <c r="AJ103" s="147"/>
      <c r="AK103" s="938"/>
      <c r="AL103" s="125"/>
      <c r="AM103" s="177" t="str">
        <f>AM$10</f>
        <v>verwarming</v>
      </c>
      <c r="AN103" s="177" t="str">
        <f>AN$10</f>
        <v>koeling</v>
      </c>
      <c r="AO103" s="177" t="str">
        <f>AO$10</f>
        <v>tapwater</v>
      </c>
      <c r="AP103" s="177"/>
      <c r="AQ103" s="177"/>
      <c r="AR103" s="177"/>
      <c r="AS103" s="177"/>
      <c r="AT103" s="177"/>
      <c r="AU103" s="177"/>
      <c r="AV103" s="147"/>
      <c r="AW103" s="938"/>
      <c r="AX103" s="125"/>
      <c r="AY103" s="177" t="str">
        <f>AY$10</f>
        <v>verwarming</v>
      </c>
      <c r="AZ103" s="177" t="str">
        <f>AZ$10</f>
        <v>koeling</v>
      </c>
      <c r="BA103" s="177" t="str">
        <f>BA$10</f>
        <v>tapwater</v>
      </c>
      <c r="BB103" s="177"/>
      <c r="BC103" s="177"/>
      <c r="BD103" s="177"/>
      <c r="BE103" s="177"/>
      <c r="BF103" s="177"/>
      <c r="BG103" s="177"/>
      <c r="BH103" s="218"/>
    </row>
    <row r="104" spans="1:60" ht="38.25">
      <c r="A104" s="1040"/>
      <c r="B104" s="1109" t="s">
        <v>187</v>
      </c>
      <c r="C104" s="1107" t="s">
        <v>118</v>
      </c>
      <c r="D104" s="638"/>
      <c r="E104" s="150" t="s">
        <v>164</v>
      </c>
      <c r="F104" s="294"/>
      <c r="G104" s="294"/>
      <c r="H104" s="150" t="s">
        <v>65</v>
      </c>
      <c r="I104" s="155"/>
      <c r="J104" s="268"/>
      <c r="K104" s="1056"/>
      <c r="L104" s="1056"/>
      <c r="M104" s="268"/>
      <c r="N104" s="120"/>
      <c r="O104" s="324" t="str">
        <f>O83</f>
        <v>ind WP, ind bodem, elek bijstook</v>
      </c>
      <c r="P104" s="324" t="str">
        <f>P83</f>
        <v>geen</v>
      </c>
      <c r="Q104" s="324" t="str">
        <f>Q83</f>
        <v>ind WP, ind bodem, elek bijstook</v>
      </c>
      <c r="R104" s="156"/>
      <c r="S104" s="156"/>
      <c r="T104" s="156"/>
      <c r="U104" s="156"/>
      <c r="V104" s="156"/>
      <c r="W104" s="156"/>
      <c r="X104" s="157"/>
      <c r="Y104" s="268"/>
      <c r="Z104" s="120"/>
      <c r="AA104" s="324" t="str">
        <f>AA83</f>
        <v>ind WP, ind bodem, elek bijstook</v>
      </c>
      <c r="AB104" s="324" t="str">
        <f>AB83</f>
        <v>geen</v>
      </c>
      <c r="AC104" s="324" t="str">
        <f>AC83</f>
        <v>ind WP, ind bodem, elek bijstook</v>
      </c>
      <c r="AD104" s="156"/>
      <c r="AE104" s="156"/>
      <c r="AF104" s="156"/>
      <c r="AG104" s="156"/>
      <c r="AH104" s="156"/>
      <c r="AI104" s="156"/>
      <c r="AJ104" s="157"/>
      <c r="AK104" s="268"/>
      <c r="AL104" s="120"/>
      <c r="AM104" s="324" t="str">
        <f>AM83</f>
        <v>ind WP, ind bodem, elek bijstook</v>
      </c>
      <c r="AN104" s="324" t="str">
        <f>AN83</f>
        <v>geen</v>
      </c>
      <c r="AO104" s="324" t="str">
        <f>AO83</f>
        <v>ind WP, ind bodem, elek bijstook</v>
      </c>
      <c r="AP104" s="156"/>
      <c r="AQ104" s="156"/>
      <c r="AR104" s="156"/>
      <c r="AS104" s="156"/>
      <c r="AT104" s="156"/>
      <c r="AU104" s="156"/>
      <c r="AV104" s="157"/>
      <c r="AW104" s="268"/>
      <c r="AX104" s="120"/>
      <c r="AY104" s="324" t="str">
        <f>AY83</f>
        <v>ind WP, ind bodem, elek bijstook</v>
      </c>
      <c r="AZ104" s="324" t="str">
        <f>AZ83</f>
        <v>geen</v>
      </c>
      <c r="BA104" s="324" t="str">
        <f>BA83</f>
        <v>ind WP, ind bodem, elek bijstook</v>
      </c>
      <c r="BB104" s="156"/>
      <c r="BC104" s="156"/>
      <c r="BD104" s="156"/>
      <c r="BE104" s="156"/>
      <c r="BF104" s="156"/>
      <c r="BG104" s="156"/>
      <c r="BH104" s="218"/>
    </row>
    <row r="105" spans="1:60" s="36" customFormat="1" ht="80.25" hidden="1" customHeight="1">
      <c r="A105" s="1040"/>
      <c r="B105" s="1109" t="s">
        <v>187</v>
      </c>
      <c r="C105" s="1107" t="s">
        <v>181</v>
      </c>
      <c r="D105" s="638"/>
      <c r="E105" s="150" t="s">
        <v>190</v>
      </c>
      <c r="F105" s="149"/>
      <c r="G105" s="149"/>
      <c r="H105" s="150" t="s">
        <v>65</v>
      </c>
      <c r="I105" s="277"/>
      <c r="J105" s="287"/>
      <c r="K105" s="1057"/>
      <c r="L105" s="1057"/>
      <c r="M105" s="287"/>
      <c r="N105" s="194"/>
      <c r="O105" s="324" t="str">
        <f>HLOOKUP(IF(O$83="",referentie_verwarming,O$83),toestellen_RV,ROWS(bibliotheek!$E$83:$E$96),FALSE)</f>
        <v>elektriciteit</v>
      </c>
      <c r="P105" s="324" t="str">
        <f>HLOOKUP(IF(P$83="",referentie_koeling,P$83),toestellen_KOEL,ROWS(bibliotheek!$E$190:$E$197),FALSE)</f>
        <v>nvt</v>
      </c>
      <c r="Q105" s="324" t="str">
        <f>HLOOKUP(IF(Q$83="",referentie_warmtapwater,Q$83),toestellen_TAP,ROWS(bibliotheek!$E$139:$E$152),FALSE)</f>
        <v>elektriciteit</v>
      </c>
      <c r="R105" s="278"/>
      <c r="S105" s="278"/>
      <c r="T105" s="278"/>
      <c r="U105" s="278"/>
      <c r="V105" s="278"/>
      <c r="W105" s="278"/>
      <c r="X105" s="279"/>
      <c r="Y105" s="287"/>
      <c r="Z105" s="194"/>
      <c r="AA105" s="324" t="str">
        <f>HLOOKUP(IF(AA$83="",referentie_verwarming,AA$83),toestellen_RV,ROWS(bibliotheek!$E$83:$E$96),FALSE)</f>
        <v>elektriciteit</v>
      </c>
      <c r="AB105" s="324" t="str">
        <f>HLOOKUP(IF(AB$83="",referentie_koeling,AB$83),toestellen_KOEL,ROWS(bibliotheek!$E$190:$E$197),FALSE)</f>
        <v>nvt</v>
      </c>
      <c r="AC105" s="324" t="str">
        <f>HLOOKUP(IF(AC$83="",referentie_warmtapwater,AC$83),toestellen_TAP,ROWS(bibliotheek!$E$139:$E$152),FALSE)</f>
        <v>elektriciteit</v>
      </c>
      <c r="AD105" s="278"/>
      <c r="AE105" s="278"/>
      <c r="AF105" s="278"/>
      <c r="AG105" s="278"/>
      <c r="AH105" s="278"/>
      <c r="AI105" s="278"/>
      <c r="AJ105" s="279"/>
      <c r="AK105" s="287"/>
      <c r="AL105" s="194"/>
      <c r="AM105" s="324" t="str">
        <f>HLOOKUP(IF(AM$83="",referentie_verwarming,AM$83),toestellen_RV,ROWS(bibliotheek!$E$83:$E$96),FALSE)</f>
        <v>elektriciteit</v>
      </c>
      <c r="AN105" s="324" t="str">
        <f>HLOOKUP(IF(AN$83="",referentie_koeling,AN$83),toestellen_KOEL,ROWS(bibliotheek!$E$190:$E$197),FALSE)</f>
        <v>nvt</v>
      </c>
      <c r="AO105" s="324" t="str">
        <f>HLOOKUP(IF(AO$83="",referentie_warmtapwater,AO$83),toestellen_TAP,ROWS(bibliotheek!$E$139:$E$152),FALSE)</f>
        <v>elektriciteit</v>
      </c>
      <c r="AP105" s="278"/>
      <c r="AQ105" s="278"/>
      <c r="AR105" s="278"/>
      <c r="AS105" s="278"/>
      <c r="AT105" s="278"/>
      <c r="AU105" s="278"/>
      <c r="AV105" s="279"/>
      <c r="AW105" s="287"/>
      <c r="AX105" s="194"/>
      <c r="AY105" s="324" t="str">
        <f>HLOOKUP(IF(AY$83="",referentie_verwarming,AY$83),toestellen_RV,ROWS(bibliotheek!$E$83:$E$96),FALSE)</f>
        <v>elektriciteit</v>
      </c>
      <c r="AZ105" s="324" t="str">
        <f>HLOOKUP(IF(AZ$83="",referentie_koeling,AZ$83),toestellen_KOEL,ROWS(bibliotheek!$E$190:$E$197),FALSE)</f>
        <v>nvt</v>
      </c>
      <c r="BA105" s="324" t="str">
        <f>HLOOKUP(IF(BA$83="",referentie_warmtapwater,BA$83),toestellen_TAP,ROWS(bibliotheek!$E$139:$E$152),FALSE)</f>
        <v>elektriciteit</v>
      </c>
      <c r="BB105" s="278"/>
      <c r="BC105" s="278"/>
      <c r="BD105" s="278"/>
      <c r="BE105" s="278"/>
      <c r="BF105" s="278"/>
      <c r="BG105" s="278"/>
      <c r="BH105" s="223"/>
    </row>
    <row r="106" spans="1:60" hidden="1">
      <c r="A106" s="1040"/>
      <c r="B106" s="1109" t="s">
        <v>187</v>
      </c>
      <c r="C106" s="1106" t="s">
        <v>181</v>
      </c>
      <c r="D106" s="638"/>
      <c r="E106" s="181" t="s">
        <v>191</v>
      </c>
      <c r="F106" s="180"/>
      <c r="G106" s="180"/>
      <c r="H106" s="181" t="s">
        <v>65</v>
      </c>
      <c r="I106" s="129"/>
      <c r="J106" s="190"/>
      <c r="K106" s="1058"/>
      <c r="L106" s="1058"/>
      <c r="M106" s="190"/>
      <c r="N106" s="114"/>
      <c r="O106" s="543" t="str">
        <f>INDEX(energiedragers_index_fPren,MATCH(O105,energiedragers_namen,0))</f>
        <v>nren</v>
      </c>
      <c r="P106" s="543" t="str">
        <f>INDEX(energiedragers_index_fPren,MATCH(P105,energiedragers_namen,0))</f>
        <v>nren</v>
      </c>
      <c r="Q106" s="543" t="str">
        <f>INDEX(energiedragers_index_fPren,MATCH(Q105,energiedragers_namen,0))</f>
        <v>nren</v>
      </c>
      <c r="R106" s="165"/>
      <c r="S106" s="165"/>
      <c r="T106" s="165"/>
      <c r="U106" s="165"/>
      <c r="V106" s="165"/>
      <c r="W106" s="165"/>
      <c r="X106" s="166"/>
      <c r="Y106" s="190"/>
      <c r="Z106" s="114"/>
      <c r="AA106" s="543" t="str">
        <f>INDEX(energiedragers_index_fPren,MATCH(AA105,energiedragers_namen,0))</f>
        <v>nren</v>
      </c>
      <c r="AB106" s="543" t="str">
        <f>INDEX(energiedragers_index_fPren,MATCH(AB105,energiedragers_namen,0))</f>
        <v>nren</v>
      </c>
      <c r="AC106" s="543" t="str">
        <f>INDEX(energiedragers_index_fPren,MATCH(AC105,energiedragers_namen,0))</f>
        <v>nren</v>
      </c>
      <c r="AD106" s="165"/>
      <c r="AE106" s="165"/>
      <c r="AF106" s="165"/>
      <c r="AG106" s="165"/>
      <c r="AH106" s="165"/>
      <c r="AI106" s="165"/>
      <c r="AJ106" s="166"/>
      <c r="AK106" s="190"/>
      <c r="AL106" s="114"/>
      <c r="AM106" s="543" t="str">
        <f>INDEX(energiedragers_index_fPren,MATCH(AM105,energiedragers_namen,0))</f>
        <v>nren</v>
      </c>
      <c r="AN106" s="543" t="str">
        <f>INDEX(energiedragers_index_fPren,MATCH(AN105,energiedragers_namen,0))</f>
        <v>nren</v>
      </c>
      <c r="AO106" s="543" t="str">
        <f>INDEX(energiedragers_index_fPren,MATCH(AO105,energiedragers_namen,0))</f>
        <v>nren</v>
      </c>
      <c r="AP106" s="165"/>
      <c r="AQ106" s="165"/>
      <c r="AR106" s="165"/>
      <c r="AS106" s="165"/>
      <c r="AT106" s="165"/>
      <c r="AU106" s="165"/>
      <c r="AV106" s="166"/>
      <c r="AW106" s="190"/>
      <c r="AX106" s="114"/>
      <c r="AY106" s="543" t="str">
        <f>INDEX(energiedragers_index_fPren,MATCH(AY105,energiedragers_namen,0))</f>
        <v>nren</v>
      </c>
      <c r="AZ106" s="543" t="str">
        <f>INDEX(energiedragers_index_fPren,MATCH(AZ105,energiedragers_namen,0))</f>
        <v>nren</v>
      </c>
      <c r="BA106" s="543" t="str">
        <f>INDEX(energiedragers_index_fPren,MATCH(BA105,energiedragers_namen,0))</f>
        <v>nren</v>
      </c>
      <c r="BB106" s="165"/>
      <c r="BC106" s="165"/>
      <c r="BD106" s="165"/>
      <c r="BE106" s="165"/>
      <c r="BF106" s="165"/>
      <c r="BG106" s="165"/>
      <c r="BH106" s="219"/>
    </row>
    <row r="107" spans="1:60">
      <c r="A107" s="1040"/>
      <c r="B107" s="1109" t="s">
        <v>187</v>
      </c>
      <c r="C107" s="1106" t="s">
        <v>96</v>
      </c>
      <c r="D107" s="638"/>
      <c r="E107" s="940" t="s">
        <v>192</v>
      </c>
      <c r="F107" s="940"/>
      <c r="G107" s="940"/>
      <c r="H107" s="940"/>
      <c r="I107" s="77"/>
      <c r="J107" s="939"/>
      <c r="K107" s="126"/>
      <c r="L107" s="126"/>
      <c r="M107" s="938"/>
      <c r="N107" s="125"/>
      <c r="O107" s="177" t="str">
        <f>O$10</f>
        <v>verwarming</v>
      </c>
      <c r="P107" s="177" t="str">
        <f>P$10</f>
        <v>koeling</v>
      </c>
      <c r="Q107" s="177" t="str">
        <f>Q$10</f>
        <v>tapwater</v>
      </c>
      <c r="R107" s="177"/>
      <c r="S107" s="177"/>
      <c r="T107" s="177"/>
      <c r="U107" s="177"/>
      <c r="V107" s="177"/>
      <c r="W107" s="177"/>
      <c r="X107" s="127"/>
      <c r="Y107" s="938"/>
      <c r="Z107" s="125"/>
      <c r="AA107" s="177" t="str">
        <f>AA$10</f>
        <v>verwarming</v>
      </c>
      <c r="AB107" s="177" t="str">
        <f>AB$10</f>
        <v>koeling</v>
      </c>
      <c r="AC107" s="177" t="str">
        <f>AC$10</f>
        <v>tapwater</v>
      </c>
      <c r="AD107" s="177"/>
      <c r="AE107" s="177"/>
      <c r="AF107" s="177"/>
      <c r="AG107" s="177"/>
      <c r="AH107" s="177"/>
      <c r="AI107" s="177"/>
      <c r="AJ107" s="127"/>
      <c r="AK107" s="938"/>
      <c r="AL107" s="125"/>
      <c r="AM107" s="177" t="str">
        <f>AM$10</f>
        <v>verwarming</v>
      </c>
      <c r="AN107" s="177" t="str">
        <f>AN$10</f>
        <v>koeling</v>
      </c>
      <c r="AO107" s="177" t="str">
        <f>AO$10</f>
        <v>tapwater</v>
      </c>
      <c r="AP107" s="177"/>
      <c r="AQ107" s="177"/>
      <c r="AR107" s="177"/>
      <c r="AS107" s="177"/>
      <c r="AT107" s="177"/>
      <c r="AU107" s="177"/>
      <c r="AV107" s="127"/>
      <c r="AW107" s="938"/>
      <c r="AX107" s="125"/>
      <c r="AY107" s="177" t="str">
        <f>AY$10</f>
        <v>verwarming</v>
      </c>
      <c r="AZ107" s="177" t="str">
        <f>AZ$10</f>
        <v>koeling</v>
      </c>
      <c r="BA107" s="177" t="str">
        <f>BA$10</f>
        <v>tapwater</v>
      </c>
      <c r="BB107" s="177"/>
      <c r="BC107" s="177"/>
      <c r="BD107" s="177"/>
      <c r="BE107" s="177"/>
      <c r="BF107" s="177"/>
      <c r="BG107" s="177"/>
      <c r="BH107" s="218"/>
    </row>
    <row r="108" spans="1:60">
      <c r="A108" s="1040"/>
      <c r="B108" s="1109" t="s">
        <v>187</v>
      </c>
      <c r="C108" s="1107" t="s">
        <v>118</v>
      </c>
      <c r="D108" s="638"/>
      <c r="E108" s="291" t="s">
        <v>193</v>
      </c>
      <c r="F108" s="254"/>
      <c r="G108" s="254"/>
      <c r="H108" s="291" t="s">
        <v>139</v>
      </c>
      <c r="I108" s="77"/>
      <c r="J108" s="189"/>
      <c r="K108" s="107"/>
      <c r="L108" s="107"/>
      <c r="M108" s="189"/>
      <c r="N108" s="79"/>
      <c r="O108" s="544">
        <f>IF(HLOOKUP(IF(O$83="",referentie_verwarming,O$83),toestellen_RV,ROWS(bibliotheek!$E$83:$E$98),FALSE)=1,1,IF(O109&lt;&gt;"",O109,HLOOKUP(IF(O$83="",referentie_verwarming,O$83),toestellen_RV,ROWS(bibliotheek!$E$83:$E$98),FALSE)))</f>
        <v>0.9</v>
      </c>
      <c r="P108" s="544">
        <f>IF(HLOOKUP(IF(P$83="",referentie_koeling,P$83),toestellen_KOEL,ROWS(bibliotheek!$E$190:$E$199),FALSE)=1,1,IF(P109&lt;&gt;"",P109,HLOOKUP(IF(P$83="",referentie_koeling,P$83),toestellen_KOEL,ROWS(bibliotheek!$E$190:$E$199),FALSE)))</f>
        <v>1</v>
      </c>
      <c r="Q108" s="544">
        <f>IF(HLOOKUP(IF(Q$83="",referentie_warmtapwater,Q$83),toestellen_TAP,ROWS(bibliotheek!$E$139:$E$154),FALSE)=1,1,IF(Q109&lt;&gt;"",Q109,HLOOKUP(IF(Q$83="",referentie_warmtapwater,Q$83),toestellen_TAP,ROWS(bibliotheek!$E$139:$E$154),FALSE)))</f>
        <v>0.9</v>
      </c>
      <c r="R108" s="135"/>
      <c r="S108" s="135"/>
      <c r="T108" s="135"/>
      <c r="U108" s="135"/>
      <c r="V108" s="135"/>
      <c r="W108" s="135"/>
      <c r="X108" s="76"/>
      <c r="Y108" s="189"/>
      <c r="Z108" s="79"/>
      <c r="AA108" s="544">
        <f>IF(HLOOKUP(IF(AA$83="",referentie_verwarming,AA$83),toestellen_RV,ROWS(bibliotheek!$E$83:$E$98),FALSE)=1,1,IF(AA109&lt;&gt;"",AA109,HLOOKUP(IF(AA$83="",referentie_verwarming,AA$83),toestellen_RV,ROWS(bibliotheek!$E$83:$E$98),FALSE)))</f>
        <v>0.9</v>
      </c>
      <c r="AB108" s="544">
        <f>IF(HLOOKUP(IF(AB$83="",referentie_koeling,AB$83),toestellen_KOEL,ROWS(bibliotheek!$E$190:$E$199),FALSE)=1,1,IF(AB109&lt;&gt;"",AB109,HLOOKUP(IF(AB$83="",referentie_koeling,AB$83),toestellen_KOEL,ROWS(bibliotheek!$E$190:$E$199),FALSE)))</f>
        <v>1</v>
      </c>
      <c r="AC108" s="544">
        <f>IF(HLOOKUP(IF(AC$83="",referentie_warmtapwater,AC$83),toestellen_TAP,ROWS(bibliotheek!$E$139:$E$154),FALSE)=1,1,IF(AC109&lt;&gt;"",AC109,HLOOKUP(IF(AC$83="",referentie_warmtapwater,AC$83),toestellen_TAP,ROWS(bibliotheek!$E$139:$E$154),FALSE)))</f>
        <v>0.9</v>
      </c>
      <c r="AD108" s="135"/>
      <c r="AE108" s="135"/>
      <c r="AF108" s="135"/>
      <c r="AG108" s="135"/>
      <c r="AH108" s="135"/>
      <c r="AI108" s="135"/>
      <c r="AJ108" s="76"/>
      <c r="AK108" s="189"/>
      <c r="AL108" s="79"/>
      <c r="AM108" s="544">
        <f>IF(HLOOKUP(IF(AM$83="",referentie_verwarming,AM$83),toestellen_RV,ROWS(bibliotheek!$E$83:$E$98),FALSE)=1,1,IF(AM109&lt;&gt;"",AM109,HLOOKUP(IF(AM$83="",referentie_verwarming,AM$83),toestellen_RV,ROWS(bibliotheek!$E$83:$E$98),FALSE)))</f>
        <v>0.9</v>
      </c>
      <c r="AN108" s="544">
        <f>IF(HLOOKUP(IF(AN$83="",referentie_koeling,AN$83),toestellen_KOEL,ROWS(bibliotheek!$E$190:$E$199),FALSE)=1,1,IF(AN109&lt;&gt;"",AN109,HLOOKUP(IF(AN$83="",referentie_koeling,AN$83),toestellen_KOEL,ROWS(bibliotheek!$E$190:$E$199),FALSE)))</f>
        <v>1</v>
      </c>
      <c r="AO108" s="544">
        <f>IF(HLOOKUP(IF(AO$83="",referentie_warmtapwater,AO$83),toestellen_TAP,ROWS(bibliotheek!$E$139:$E$154),FALSE)=1,1,IF(AO109&lt;&gt;"",AO109,HLOOKUP(IF(AO$83="",referentie_warmtapwater,AO$83),toestellen_TAP,ROWS(bibliotheek!$E$139:$E$154),FALSE)))</f>
        <v>0.9</v>
      </c>
      <c r="AP108" s="135"/>
      <c r="AQ108" s="135"/>
      <c r="AR108" s="135"/>
      <c r="AS108" s="135"/>
      <c r="AT108" s="135"/>
      <c r="AU108" s="135"/>
      <c r="AV108" s="76"/>
      <c r="AW108" s="189"/>
      <c r="AX108" s="79"/>
      <c r="AY108" s="544">
        <f>IF(HLOOKUP(IF(AY$83="",referentie_verwarming,AY$83),toestellen_RV,ROWS(bibliotheek!$E$83:$E$98),FALSE)=1,1,IF(AY109&lt;&gt;"",AY109,HLOOKUP(IF(AY$83="",referentie_verwarming,AY$83),toestellen_RV,ROWS(bibliotheek!$E$83:$E$98),FALSE)))</f>
        <v>0.9</v>
      </c>
      <c r="AZ108" s="544">
        <f>IF(HLOOKUP(IF(AZ$83="",referentie_koeling,AZ$83),toestellen_KOEL,ROWS(bibliotheek!$E$190:$E$199),FALSE)=1,1,IF(AZ109&lt;&gt;"",AZ109,HLOOKUP(IF(AZ$83="",referentie_koeling,AZ$83),toestellen_KOEL,ROWS(bibliotheek!$E$190:$E$199),FALSE)))</f>
        <v>1</v>
      </c>
      <c r="BA108" s="544">
        <f>IF(HLOOKUP(IF(BA$83="",referentie_warmtapwater,BA$83),toestellen_TAP,ROWS(bibliotheek!$E$139:$E$154),FALSE)=1,1,IF(BA109&lt;&gt;"",BA109,HLOOKUP(IF(BA$83="",referentie_warmtapwater,BA$83),toestellen_TAP,ROWS(bibliotheek!$E$139:$E$154),FALSE)))</f>
        <v>0.9</v>
      </c>
      <c r="BB108" s="135"/>
      <c r="BC108" s="135"/>
      <c r="BD108" s="135"/>
      <c r="BE108" s="135"/>
      <c r="BF108" s="135"/>
      <c r="BG108" s="135"/>
      <c r="BH108" s="174"/>
    </row>
    <row r="109" spans="1:60">
      <c r="A109" s="1040"/>
      <c r="B109" s="1109" t="s">
        <v>187</v>
      </c>
      <c r="C109" s="1107" t="s">
        <v>118</v>
      </c>
      <c r="D109" s="638"/>
      <c r="E109" s="1218" t="s">
        <v>194</v>
      </c>
      <c r="F109" s="255"/>
      <c r="G109" s="255"/>
      <c r="H109" s="292"/>
      <c r="I109" s="77"/>
      <c r="J109" s="299"/>
      <c r="K109" s="107"/>
      <c r="L109" s="107"/>
      <c r="M109" s="198"/>
      <c r="N109" s="79"/>
      <c r="O109" s="282"/>
      <c r="P109" s="282"/>
      <c r="Q109" s="282"/>
      <c r="R109" s="137"/>
      <c r="S109" s="137"/>
      <c r="T109" s="137"/>
      <c r="U109" s="137"/>
      <c r="V109" s="137"/>
      <c r="W109" s="137"/>
      <c r="X109" s="76"/>
      <c r="Y109" s="198"/>
      <c r="Z109" s="79"/>
      <c r="AA109" s="282"/>
      <c r="AB109" s="282"/>
      <c r="AC109" s="282"/>
      <c r="AD109" s="137"/>
      <c r="AE109" s="137"/>
      <c r="AF109" s="137"/>
      <c r="AG109" s="137"/>
      <c r="AH109" s="137"/>
      <c r="AI109" s="137"/>
      <c r="AJ109" s="76"/>
      <c r="AK109" s="198"/>
      <c r="AL109" s="79"/>
      <c r="AM109" s="282"/>
      <c r="AN109" s="282"/>
      <c r="AO109" s="282"/>
      <c r="AP109" s="137"/>
      <c r="AQ109" s="137"/>
      <c r="AR109" s="137"/>
      <c r="AS109" s="137"/>
      <c r="AT109" s="137"/>
      <c r="AU109" s="137"/>
      <c r="AV109" s="76"/>
      <c r="AW109" s="198"/>
      <c r="AX109" s="79"/>
      <c r="AY109" s="282"/>
      <c r="AZ109" s="282"/>
      <c r="BA109" s="282"/>
      <c r="BB109" s="137"/>
      <c r="BC109" s="137"/>
      <c r="BD109" s="137"/>
      <c r="BE109" s="137"/>
      <c r="BF109" s="137"/>
      <c r="BG109" s="137"/>
      <c r="BH109" s="220"/>
    </row>
    <row r="110" spans="1:60" hidden="1">
      <c r="A110" s="1046"/>
      <c r="B110" s="1109" t="s">
        <v>187</v>
      </c>
      <c r="C110" s="1111" t="s">
        <v>181</v>
      </c>
      <c r="D110" s="643"/>
      <c r="E110" s="201" t="s">
        <v>195</v>
      </c>
      <c r="F110" s="245"/>
      <c r="G110" s="245"/>
      <c r="H110" s="201" t="s">
        <v>160</v>
      </c>
      <c r="I110" s="107"/>
      <c r="J110" s="202">
        <f>M110+Y110+AK110+AW110</f>
        <v>0</v>
      </c>
      <c r="K110" s="1059"/>
      <c r="L110" s="1059"/>
      <c r="M110" s="202">
        <f>SUM(O110:X110)</f>
        <v>0</v>
      </c>
      <c r="N110" s="243"/>
      <c r="O110" s="168">
        <f>O$97*O108</f>
        <v>0</v>
      </c>
      <c r="P110" s="168">
        <f>P$97*P108</f>
        <v>0</v>
      </c>
      <c r="Q110" s="168">
        <f>Q$97*Q108</f>
        <v>0</v>
      </c>
      <c r="R110" s="130"/>
      <c r="S110" s="130"/>
      <c r="T110" s="130"/>
      <c r="U110" s="130"/>
      <c r="V110" s="130"/>
      <c r="W110" s="130"/>
      <c r="X110" s="110"/>
      <c r="Y110" s="202">
        <f>SUM(AA110:AJ110)</f>
        <v>0</v>
      </c>
      <c r="Z110" s="243"/>
      <c r="AA110" s="168">
        <f>AA$97*AA108</f>
        <v>0</v>
      </c>
      <c r="AB110" s="168">
        <f>AB$97*AB108</f>
        <v>0</v>
      </c>
      <c r="AC110" s="168">
        <f>AC$97*AC108</f>
        <v>0</v>
      </c>
      <c r="AD110" s="130"/>
      <c r="AE110" s="130"/>
      <c r="AF110" s="130"/>
      <c r="AG110" s="130"/>
      <c r="AH110" s="130"/>
      <c r="AI110" s="130"/>
      <c r="AJ110" s="110"/>
      <c r="AK110" s="202">
        <f>SUM(AM110:AV110)</f>
        <v>0</v>
      </c>
      <c r="AL110" s="243"/>
      <c r="AM110" s="168">
        <f>AM$97*AM108</f>
        <v>0</v>
      </c>
      <c r="AN110" s="168">
        <f>AN$97*AN108</f>
        <v>0</v>
      </c>
      <c r="AO110" s="168">
        <f>AO$97*AO108</f>
        <v>0</v>
      </c>
      <c r="AP110" s="130"/>
      <c r="AQ110" s="130"/>
      <c r="AR110" s="130"/>
      <c r="AS110" s="130"/>
      <c r="AT110" s="130"/>
      <c r="AU110" s="130"/>
      <c r="AV110" s="110"/>
      <c r="AW110" s="202">
        <f>SUM(AY110:BH110)</f>
        <v>0</v>
      </c>
      <c r="AX110" s="243"/>
      <c r="AY110" s="168">
        <f>AY$97*AY108</f>
        <v>0</v>
      </c>
      <c r="AZ110" s="168">
        <f>AZ$97*AZ108</f>
        <v>0</v>
      </c>
      <c r="BA110" s="168">
        <f>BA$97*BA108</f>
        <v>0</v>
      </c>
      <c r="BB110" s="130"/>
      <c r="BC110" s="130"/>
      <c r="BD110" s="130"/>
      <c r="BE110" s="130"/>
      <c r="BF110" s="130"/>
      <c r="BG110" s="130"/>
      <c r="BH110" s="174"/>
    </row>
    <row r="111" spans="1:60">
      <c r="A111" s="1040"/>
      <c r="B111" s="1109" t="s">
        <v>187</v>
      </c>
      <c r="C111" s="1107" t="s">
        <v>118</v>
      </c>
      <c r="D111" s="641" t="s">
        <v>45</v>
      </c>
      <c r="E111" s="291" t="s">
        <v>196</v>
      </c>
      <c r="F111" s="254"/>
      <c r="G111" s="254"/>
      <c r="H111" s="291" t="s">
        <v>65</v>
      </c>
      <c r="I111" s="77"/>
      <c r="J111" s="288"/>
      <c r="K111" s="1060"/>
      <c r="L111" s="1060"/>
      <c r="M111" s="288"/>
      <c r="N111" s="244"/>
      <c r="O111" s="377">
        <f>IF(O112&lt;&gt;"",O112,HLOOKUP(IF(O$83="",referentie_verwarming,O$83),toestellen_RV,ROWS(bibliotheek!$E$83:$E$99),FALSE))</f>
        <v>4.55</v>
      </c>
      <c r="P111" s="377">
        <f>IF(P112&lt;&gt;"",P112,HLOOKUP(IF(P$83="",referentie_koeling,P$83),toestellen_KOEL,ROWS(bibliotheek!$E$190:$E$200),FALSE))</f>
        <v>0</v>
      </c>
      <c r="Q111" s="377">
        <f>IF(Q112&lt;&gt;"",Q112,HLOOKUP(IF(Q$83="",referentie_warmtapwater,Q$83),toestellen_TAP,ROWS(bibliotheek!$E$139:$E$155),FALSE))</f>
        <v>2.4</v>
      </c>
      <c r="R111" s="141"/>
      <c r="S111" s="141"/>
      <c r="T111" s="141"/>
      <c r="U111" s="141"/>
      <c r="V111" s="141"/>
      <c r="W111" s="141"/>
      <c r="X111" s="348"/>
      <c r="Y111" s="288"/>
      <c r="Z111" s="244"/>
      <c r="AA111" s="377">
        <f>IF(AA112&lt;&gt;"",AA112,HLOOKUP(IF(AA$83="",referentie_verwarming,AA$83),toestellen_RV,ROWS(bibliotheek!$E$83:$E$99),FALSE))</f>
        <v>4.55</v>
      </c>
      <c r="AB111" s="377">
        <f>IF(AB112&lt;&gt;"",AB112,HLOOKUP(IF(AB$83="",referentie_koeling,AB$83),toestellen_KOEL,ROWS(bibliotheek!$E$190:$E$200),FALSE))</f>
        <v>0</v>
      </c>
      <c r="AC111" s="377">
        <f>IF(AC112&lt;&gt;"",AC112,HLOOKUP(IF(AC$83="",referentie_warmtapwater,AC$83),toestellen_TAP,ROWS(bibliotheek!$E$139:$E$155),FALSE))</f>
        <v>2.4</v>
      </c>
      <c r="AD111" s="141"/>
      <c r="AE111" s="141"/>
      <c r="AF111" s="141"/>
      <c r="AG111" s="141"/>
      <c r="AH111" s="141"/>
      <c r="AI111" s="141"/>
      <c r="AJ111" s="348"/>
      <c r="AK111" s="288"/>
      <c r="AL111" s="244"/>
      <c r="AM111" s="377">
        <f>IF(AM112&lt;&gt;"",AM112,HLOOKUP(IF(AM$83="",referentie_verwarming,AM$83),toestellen_RV,ROWS(bibliotheek!$E$83:$E$99),FALSE))</f>
        <v>4.55</v>
      </c>
      <c r="AN111" s="377">
        <f>IF(AN112&lt;&gt;"",AN112,HLOOKUP(IF(AN$83="",referentie_koeling,AN$83),toestellen_KOEL,ROWS(bibliotheek!$E$190:$E$200),FALSE))</f>
        <v>0</v>
      </c>
      <c r="AO111" s="377">
        <f>IF(AO112&lt;&gt;"",AO112,HLOOKUP(IF(AO$83="",referentie_warmtapwater,AO$83),toestellen_TAP,ROWS(bibliotheek!$E$139:$E$155),FALSE))</f>
        <v>2.4</v>
      </c>
      <c r="AP111" s="141"/>
      <c r="AQ111" s="141"/>
      <c r="AR111" s="141"/>
      <c r="AS111" s="141"/>
      <c r="AT111" s="141"/>
      <c r="AU111" s="141"/>
      <c r="AV111" s="348"/>
      <c r="AW111" s="288"/>
      <c r="AX111" s="244"/>
      <c r="AY111" s="377">
        <f>IF(AY112&lt;&gt;"",AY112,HLOOKUP(IF(AY$83="",referentie_verwarming,AY$83),toestellen_RV,ROWS(bibliotheek!$E$83:$E$99),FALSE))</f>
        <v>4.55</v>
      </c>
      <c r="AZ111" s="377">
        <f>IF(AZ112&lt;&gt;"",AZ112,HLOOKUP(IF(AZ$83="",referentie_koeling,AZ$83),toestellen_KOEL,ROWS(bibliotheek!$E$190:$E$200),FALSE))</f>
        <v>0</v>
      </c>
      <c r="BA111" s="377">
        <f>IF(BA112&lt;&gt;"",BA112,HLOOKUP(IF(BA$83="",referentie_warmtapwater,BA$83),toestellen_TAP,ROWS(bibliotheek!$E$139:$E$155),FALSE))</f>
        <v>2.4</v>
      </c>
      <c r="BB111" s="141"/>
      <c r="BC111" s="141"/>
      <c r="BD111" s="141"/>
      <c r="BE111" s="141"/>
      <c r="BF111" s="141"/>
      <c r="BG111" s="141"/>
      <c r="BH111" s="174"/>
    </row>
    <row r="112" spans="1:60">
      <c r="A112" s="1040"/>
      <c r="B112" s="1109" t="s">
        <v>187</v>
      </c>
      <c r="C112" s="1107" t="s">
        <v>118</v>
      </c>
      <c r="D112" s="638"/>
      <c r="E112" s="1218" t="s">
        <v>197</v>
      </c>
      <c r="F112" s="292"/>
      <c r="G112" s="292"/>
      <c r="H112" s="292"/>
      <c r="I112" s="77"/>
      <c r="J112" s="299"/>
      <c r="K112" s="1060"/>
      <c r="L112" s="1060"/>
      <c r="M112" s="198"/>
      <c r="N112" s="244"/>
      <c r="O112" s="354"/>
      <c r="P112" s="354"/>
      <c r="Q112" s="354"/>
      <c r="R112" s="414"/>
      <c r="S112" s="414"/>
      <c r="T112" s="414"/>
      <c r="U112" s="414"/>
      <c r="V112" s="414"/>
      <c r="W112" s="414"/>
      <c r="X112" s="380"/>
      <c r="Y112" s="198"/>
      <c r="Z112" s="244"/>
      <c r="AA112" s="354"/>
      <c r="AB112" s="354"/>
      <c r="AC112" s="354"/>
      <c r="AD112" s="414"/>
      <c r="AE112" s="414"/>
      <c r="AF112" s="414"/>
      <c r="AG112" s="414"/>
      <c r="AH112" s="414"/>
      <c r="AI112" s="414"/>
      <c r="AJ112" s="380"/>
      <c r="AK112" s="198"/>
      <c r="AL112" s="244"/>
      <c r="AM112" s="354"/>
      <c r="AN112" s="354"/>
      <c r="AO112" s="354"/>
      <c r="AP112" s="414"/>
      <c r="AQ112" s="414"/>
      <c r="AR112" s="414"/>
      <c r="AS112" s="414"/>
      <c r="AT112" s="414"/>
      <c r="AU112" s="414"/>
      <c r="AV112" s="380"/>
      <c r="AW112" s="198"/>
      <c r="AX112" s="244"/>
      <c r="AY112" s="354"/>
      <c r="AZ112" s="354"/>
      <c r="BA112" s="354"/>
      <c r="BB112" s="414"/>
      <c r="BC112" s="414"/>
      <c r="BD112" s="414"/>
      <c r="BE112" s="414"/>
      <c r="BF112" s="414"/>
      <c r="BG112" s="414"/>
      <c r="BH112" s="220"/>
    </row>
    <row r="113" spans="1:60" hidden="1">
      <c r="A113" s="1040"/>
      <c r="B113" s="1109" t="s">
        <v>187</v>
      </c>
      <c r="C113" s="1107" t="s">
        <v>181</v>
      </c>
      <c r="D113" s="641" t="s">
        <v>45</v>
      </c>
      <c r="E113" s="181" t="s">
        <v>198</v>
      </c>
      <c r="F113" s="180"/>
      <c r="G113" s="180"/>
      <c r="H113" s="181" t="s">
        <v>65</v>
      </c>
      <c r="I113" s="77"/>
      <c r="J113" s="190"/>
      <c r="K113" s="107"/>
      <c r="L113" s="107"/>
      <c r="M113" s="190"/>
      <c r="N113" s="79"/>
      <c r="O113" s="228">
        <f>INDEX(installaties_RV_verlies_elek_prod_aftapwarmte,MATCH(IF(O104="",referentie_verwarming,O104),toestellen_RV_kopregel,0))</f>
        <v>0</v>
      </c>
      <c r="P113" s="625"/>
      <c r="Q113" s="228">
        <f>INDEX(installaties_TAP_verlies_elek_prod_aftapwarmte,MATCH(IF(Q104="",referentie_verwarming,Q104),toestellen_TAP_kopregel,0))</f>
        <v>0</v>
      </c>
      <c r="R113" s="625"/>
      <c r="S113" s="625"/>
      <c r="T113" s="625"/>
      <c r="U113" s="625"/>
      <c r="V113" s="625"/>
      <c r="W113" s="625"/>
      <c r="X113" s="626"/>
      <c r="Y113" s="357"/>
      <c r="Z113" s="627"/>
      <c r="AA113" s="228">
        <f>INDEX(installaties_RV_verlies_elek_prod_aftapwarmte,MATCH(IF(AA104="",referentie_verwarming,AA104),toestellen_RV_kopregel,0))</f>
        <v>0</v>
      </c>
      <c r="AB113" s="625"/>
      <c r="AC113" s="228">
        <f>INDEX(installaties_TAP_verlies_elek_prod_aftapwarmte,MATCH(IF(AC104="",referentie_verwarming,AC104),toestellen_TAP_kopregel,0))</f>
        <v>0</v>
      </c>
      <c r="AD113" s="625"/>
      <c r="AE113" s="625"/>
      <c r="AF113" s="625"/>
      <c r="AG113" s="625"/>
      <c r="AH113" s="625"/>
      <c r="AI113" s="625"/>
      <c r="AJ113" s="626"/>
      <c r="AK113" s="357"/>
      <c r="AL113" s="627"/>
      <c r="AM113" s="228">
        <f>INDEX(installaties_RV_verlies_elek_prod_aftapwarmte,MATCH(IF(AM104="",referentie_verwarming,AM104),toestellen_RV_kopregel,0))</f>
        <v>0</v>
      </c>
      <c r="AN113" s="625"/>
      <c r="AO113" s="228">
        <f>INDEX(installaties_TAP_verlies_elek_prod_aftapwarmte,MATCH(IF(AO104="",referentie_verwarming,AO104),toestellen_TAP_kopregel,0))</f>
        <v>0</v>
      </c>
      <c r="AP113" s="625"/>
      <c r="AQ113" s="625"/>
      <c r="AR113" s="625"/>
      <c r="AS113" s="625"/>
      <c r="AT113" s="625"/>
      <c r="AU113" s="625"/>
      <c r="AV113" s="626"/>
      <c r="AW113" s="357"/>
      <c r="AX113" s="627"/>
      <c r="AY113" s="228">
        <f>INDEX(installaties_RV_verlies_elek_prod_aftapwarmte,MATCH(IF(AY104="",referentie_verwarming,AY104),toestellen_RV_kopregel,0))</f>
        <v>0</v>
      </c>
      <c r="AZ113" s="625"/>
      <c r="BA113" s="228">
        <f>INDEX(installaties_TAP_verlies_elek_prod_aftapwarmte,MATCH(IF(BA104="",referentie_verwarming,BA104),toestellen_TAP_kopregel,0))</f>
        <v>0</v>
      </c>
      <c r="BB113" s="131"/>
      <c r="BC113" s="131"/>
      <c r="BD113" s="131"/>
      <c r="BE113" s="131"/>
      <c r="BF113" s="131"/>
      <c r="BG113" s="131"/>
      <c r="BH113" s="210"/>
    </row>
    <row r="114" spans="1:60" hidden="1">
      <c r="A114" s="1040"/>
      <c r="B114" s="1109" t="s">
        <v>187</v>
      </c>
      <c r="C114" s="1107" t="s">
        <v>181</v>
      </c>
      <c r="D114" s="638"/>
      <c r="E114" s="181" t="s">
        <v>199</v>
      </c>
      <c r="F114" s="180"/>
      <c r="G114" s="180"/>
      <c r="H114" s="181" t="s">
        <v>65</v>
      </c>
      <c r="I114" s="77"/>
      <c r="J114" s="190"/>
      <c r="K114" s="107"/>
      <c r="L114" s="107"/>
      <c r="M114" s="190"/>
      <c r="N114" s="79"/>
      <c r="O114" s="228">
        <f>HLOOKUP(IF(O$83="",referentie_verwarming,O$83),toestellen_RV,ROWS(bibliotheek!$E$83:$E$100),FALSE)</f>
        <v>0</v>
      </c>
      <c r="P114" s="625"/>
      <c r="Q114" s="228">
        <f>HLOOKUP(IF(Q$83="",referentie_warmtapwater,Q$83),toestellen_TAP,ROWS(bibliotheek!$E$139:$E$156),FALSE)</f>
        <v>0</v>
      </c>
      <c r="R114" s="625"/>
      <c r="S114" s="625"/>
      <c r="T114" s="625"/>
      <c r="U114" s="625"/>
      <c r="V114" s="625"/>
      <c r="W114" s="625"/>
      <c r="X114" s="626"/>
      <c r="Y114" s="357"/>
      <c r="Z114" s="627"/>
      <c r="AA114" s="228">
        <f>HLOOKUP(IF(AA$83="",referentie_verwarming,AA$83),toestellen_RV,ROWS(bibliotheek!$E$83:$E$100),FALSE)</f>
        <v>0</v>
      </c>
      <c r="AB114" s="625"/>
      <c r="AC114" s="228">
        <f>HLOOKUP(IF(AC$83="",referentie_warmtapwater,AC$83),toestellen_TAP,ROWS(bibliotheek!$E$139:$E$156),FALSE)</f>
        <v>0</v>
      </c>
      <c r="AD114" s="625"/>
      <c r="AE114" s="625"/>
      <c r="AF114" s="625"/>
      <c r="AG114" s="625"/>
      <c r="AH114" s="625"/>
      <c r="AI114" s="625"/>
      <c r="AJ114" s="626"/>
      <c r="AK114" s="357"/>
      <c r="AL114" s="627"/>
      <c r="AM114" s="228">
        <f>HLOOKUP(IF(AM$83="",referentie_verwarming,AM$83),toestellen_RV,ROWS(bibliotheek!$E$83:$E$100),FALSE)</f>
        <v>0</v>
      </c>
      <c r="AN114" s="625"/>
      <c r="AO114" s="228">
        <f>HLOOKUP(IF(AO$83="",referentie_warmtapwater,AO$83),toestellen_TAP,ROWS(bibliotheek!$E$139:$E$156),FALSE)</f>
        <v>0</v>
      </c>
      <c r="AP114" s="625"/>
      <c r="AQ114" s="625"/>
      <c r="AR114" s="625"/>
      <c r="AS114" s="625"/>
      <c r="AT114" s="625"/>
      <c r="AU114" s="625"/>
      <c r="AV114" s="626"/>
      <c r="AW114" s="357"/>
      <c r="AX114" s="627"/>
      <c r="AY114" s="228">
        <f>HLOOKUP(IF(AY$83="",referentie_verwarming,AY$83),toestellen_RV,ROWS(bibliotheek!$E$83:$E$100),FALSE)</f>
        <v>0</v>
      </c>
      <c r="AZ114" s="625"/>
      <c r="BA114" s="228">
        <f>HLOOKUP(IF(BA$83="",referentie_warmtapwater,BA$83),toestellen_TAP,ROWS(bibliotheek!$E$139:$E$156),FALSE)</f>
        <v>0</v>
      </c>
      <c r="BB114" s="131"/>
      <c r="BC114" s="131"/>
      <c r="BD114" s="131"/>
      <c r="BE114" s="131"/>
      <c r="BF114" s="131"/>
      <c r="BG114" s="131"/>
      <c r="BH114" s="210"/>
    </row>
    <row r="115" spans="1:60" hidden="1">
      <c r="A115" s="1040"/>
      <c r="B115" s="1109" t="s">
        <v>187</v>
      </c>
      <c r="C115" s="1107" t="s">
        <v>181</v>
      </c>
      <c r="D115" s="638"/>
      <c r="E115" s="181" t="s">
        <v>200</v>
      </c>
      <c r="F115" s="180"/>
      <c r="G115" s="180"/>
      <c r="H115" s="181" t="s">
        <v>160</v>
      </c>
      <c r="I115" s="77"/>
      <c r="J115" s="202">
        <f>M115+Y115+AK115+AW115</f>
        <v>0</v>
      </c>
      <c r="K115" s="1059"/>
      <c r="L115" s="1059"/>
      <c r="M115" s="202">
        <f>SUM(O115:X115)</f>
        <v>0</v>
      </c>
      <c r="N115" s="243"/>
      <c r="O115" s="168">
        <f>IF(HLOOKUP(IF(O$83="",referentie_verwarming,O$83),toestellen_RV,ROWS(bibliotheek!$E$83:$E$88),FALSE)=1,O$97*O$108*((O$111-1)/O$111),0)</f>
        <v>0</v>
      </c>
      <c r="P115" s="168">
        <f>IF(HLOOKUP(IF(P$83="",referentie_koeling,P$83),toestellen_KOEL,ROWS(bibliotheek!$E$190:$E$194),FALSE)=1,P$97*P$108*((P$111-1)/P$111),0)</f>
        <v>0</v>
      </c>
      <c r="Q115" s="168">
        <f>IF(HLOOKUP(IF(Q$83="",referentie_warmtapwater,Q$83),toestellen_TAP,ROWS(bibliotheek!$E$139:$E$144),FALSE)=1,Q$97*Q$108*((Q$111-1)/Q$111),0)</f>
        <v>0</v>
      </c>
      <c r="R115" s="130"/>
      <c r="S115" s="130"/>
      <c r="T115" s="130"/>
      <c r="U115" s="130"/>
      <c r="V115" s="130"/>
      <c r="W115" s="130"/>
      <c r="X115" s="110"/>
      <c r="Y115" s="202">
        <f>SUM(AA115:AJ115)</f>
        <v>0</v>
      </c>
      <c r="Z115" s="243"/>
      <c r="AA115" s="168">
        <f>IF(HLOOKUP(IF(AA$83="",referentie_verwarming,AA$83),toestellen_RV,ROWS(bibliotheek!$E$83:$E$88),FALSE)=1,AA$97*AA$108*((AA$111-1)/AA$111),0)</f>
        <v>0</v>
      </c>
      <c r="AB115" s="168">
        <f>IF(HLOOKUP(IF(AB$83="",referentie_koeling,AB$83),toestellen_KOEL,ROWS(bibliotheek!$E$190:$E$194),FALSE)=1,AB$97*AB$108*((AB$111-1)/AB$111),0)</f>
        <v>0</v>
      </c>
      <c r="AC115" s="168">
        <f>IF(HLOOKUP(IF(AC$83="",referentie_warmtapwater,AC$83),toestellen_TAP,ROWS(bibliotheek!$E$139:$E$144),FALSE)=1,AC$97*AC$108*((AC$111-1)/AC$111),0)</f>
        <v>0</v>
      </c>
      <c r="AD115" s="130"/>
      <c r="AE115" s="130"/>
      <c r="AF115" s="130"/>
      <c r="AG115" s="130"/>
      <c r="AH115" s="130"/>
      <c r="AI115" s="130"/>
      <c r="AJ115" s="110"/>
      <c r="AK115" s="202">
        <f>SUM(AM115:AV115)</f>
        <v>0</v>
      </c>
      <c r="AL115" s="243"/>
      <c r="AM115" s="168">
        <f>IF(HLOOKUP(IF(AM$83="",referentie_verwarming,AM$83),toestellen_RV,ROWS(bibliotheek!$E$83:$E$88),FALSE)=1,AM$97*AM$108*((AM$111-1)/AM$111),0)</f>
        <v>0</v>
      </c>
      <c r="AN115" s="168">
        <f>IF(HLOOKUP(IF(AN$83="",referentie_koeling,AN$83),toestellen_KOEL,ROWS(bibliotheek!$E$190:$E$194),FALSE)=1,AN$97*AN$108*((AN$111-1)/AN$111),0)</f>
        <v>0</v>
      </c>
      <c r="AO115" s="168">
        <f>IF(HLOOKUP(IF(AO$83="",referentie_warmtapwater,AO$83),toestellen_TAP,ROWS(bibliotheek!$E$139:$E$144),FALSE)=1,AO$97*AO$108*((AO$111-1)/AO$111),0)</f>
        <v>0</v>
      </c>
      <c r="AP115" s="130"/>
      <c r="AQ115" s="130"/>
      <c r="AR115" s="130"/>
      <c r="AS115" s="130"/>
      <c r="AT115" s="130"/>
      <c r="AU115" s="130"/>
      <c r="AV115" s="110"/>
      <c r="AW115" s="202">
        <f>SUM(AY115:BH115)</f>
        <v>0</v>
      </c>
      <c r="AX115" s="243"/>
      <c r="AY115" s="168">
        <f>IF(HLOOKUP(IF(AY$83="",referentie_verwarming,AY$83),toestellen_RV,ROWS(bibliotheek!$E$83:$E$88),FALSE)=1,AY$97*AY$108*((AY$111-1)/AY$111),0)</f>
        <v>0</v>
      </c>
      <c r="AZ115" s="168">
        <f>IF(HLOOKUP(IF(AZ$83="",referentie_koeling,AZ$83),toestellen_KOEL,ROWS(bibliotheek!$E$190:$E$194),FALSE)=1,AZ$97*AZ$108*((AZ$111-1)/AZ$111),0)</f>
        <v>0</v>
      </c>
      <c r="BA115" s="168">
        <f>IF(HLOOKUP(IF(BA$83="",referentie_warmtapwater,BA$83),toestellen_TAP,ROWS(bibliotheek!$E$139:$E$144),FALSE)=1,BA$97*BA$108*((BA$111-1)/BA$111),0)</f>
        <v>0</v>
      </c>
      <c r="BB115" s="130"/>
      <c r="BC115" s="130"/>
      <c r="BD115" s="130"/>
      <c r="BE115" s="130"/>
      <c r="BF115" s="130"/>
      <c r="BG115" s="130"/>
      <c r="BH115" s="210"/>
    </row>
    <row r="116" spans="1:60" hidden="1">
      <c r="A116" s="1040"/>
      <c r="B116" s="1109" t="s">
        <v>187</v>
      </c>
      <c r="C116" s="1107" t="s">
        <v>181</v>
      </c>
      <c r="D116" s="638"/>
      <c r="E116" s="181" t="s">
        <v>201</v>
      </c>
      <c r="F116" s="180"/>
      <c r="G116" s="180"/>
      <c r="H116" s="181" t="s">
        <v>202</v>
      </c>
      <c r="I116" s="77"/>
      <c r="J116" s="202">
        <f>M116+Y116+AK116+AW116</f>
        <v>0</v>
      </c>
      <c r="K116" s="1059"/>
      <c r="L116" s="1059"/>
      <c r="M116" s="202">
        <f>SUM(O116:X116)</f>
        <v>0</v>
      </c>
      <c r="N116" s="243"/>
      <c r="O116" s="168">
        <f>IF(O$111=0,0,O$110/O$111)</f>
        <v>0</v>
      </c>
      <c r="P116" s="168">
        <f>IF(P$111=0,0,P$110/P$111)</f>
        <v>0</v>
      </c>
      <c r="Q116" s="168">
        <f>IF(Q$111=0,0,Q$110/Q$111)</f>
        <v>0</v>
      </c>
      <c r="R116" s="130"/>
      <c r="S116" s="130"/>
      <c r="T116" s="130"/>
      <c r="U116" s="130"/>
      <c r="V116" s="130"/>
      <c r="W116" s="130"/>
      <c r="X116" s="110"/>
      <c r="Y116" s="202">
        <f>SUM(AA116:AJ116)</f>
        <v>0</v>
      </c>
      <c r="Z116" s="243"/>
      <c r="AA116" s="168">
        <f>IF(AA$111=0,0,AA$110/AA$111)</f>
        <v>0</v>
      </c>
      <c r="AB116" s="168">
        <f>IF(AB$111=0,0,AB$110/AB$111)</f>
        <v>0</v>
      </c>
      <c r="AC116" s="168">
        <f>IF(AC$111=0,0,AC$110/AC$111)</f>
        <v>0</v>
      </c>
      <c r="AD116" s="130"/>
      <c r="AE116" s="130"/>
      <c r="AF116" s="130"/>
      <c r="AG116" s="130"/>
      <c r="AH116" s="130"/>
      <c r="AI116" s="130"/>
      <c r="AJ116" s="110"/>
      <c r="AK116" s="202">
        <f>SUM(AM116:AV116)</f>
        <v>0</v>
      </c>
      <c r="AL116" s="243"/>
      <c r="AM116" s="168">
        <f>IF(AM$111=0,0,AM$110/AM$111)</f>
        <v>0</v>
      </c>
      <c r="AN116" s="168">
        <f>IF(AN$111=0,0,AN$110/AN$111)</f>
        <v>0</v>
      </c>
      <c r="AO116" s="168">
        <f>IF(AO$111=0,0,AO$110/AO$111)</f>
        <v>0</v>
      </c>
      <c r="AP116" s="130"/>
      <c r="AQ116" s="130"/>
      <c r="AR116" s="130"/>
      <c r="AS116" s="130"/>
      <c r="AT116" s="130"/>
      <c r="AU116" s="130"/>
      <c r="AV116" s="110"/>
      <c r="AW116" s="202">
        <f>SUM(AY116:BH116)</f>
        <v>0</v>
      </c>
      <c r="AX116" s="243"/>
      <c r="AY116" s="168">
        <f>IF(AY$111=0,0,AY$110/AY$111)</f>
        <v>0</v>
      </c>
      <c r="AZ116" s="168">
        <f>IF(AZ$111=0,0,AZ$110/AZ$111)</f>
        <v>0</v>
      </c>
      <c r="BA116" s="168">
        <f>IF(BA$111=0,0,BA$110/BA$111)</f>
        <v>0</v>
      </c>
      <c r="BB116" s="130"/>
      <c r="BC116" s="130"/>
      <c r="BD116" s="130"/>
      <c r="BE116" s="130"/>
      <c r="BF116" s="130"/>
      <c r="BG116" s="130"/>
      <c r="BH116" s="210"/>
    </row>
    <row r="117" spans="1:60">
      <c r="A117" s="1040"/>
      <c r="B117" s="1109" t="s">
        <v>187</v>
      </c>
      <c r="C117" s="1106" t="s">
        <v>96</v>
      </c>
      <c r="D117" s="641"/>
      <c r="E117" s="940" t="s">
        <v>1220</v>
      </c>
      <c r="F117" s="940"/>
      <c r="G117" s="940"/>
      <c r="H117" s="993"/>
      <c r="I117" s="77"/>
      <c r="J117" s="939"/>
      <c r="K117" s="126"/>
      <c r="L117" s="126"/>
      <c r="M117" s="938"/>
      <c r="N117" s="143"/>
      <c r="O117" s="177" t="str">
        <f>O$10</f>
        <v>verwarming</v>
      </c>
      <c r="P117" s="177" t="str">
        <f>P$10</f>
        <v>koeling</v>
      </c>
      <c r="Q117" s="177" t="str">
        <f>Q$10</f>
        <v>tapwater</v>
      </c>
      <c r="R117" s="177"/>
      <c r="S117" s="177"/>
      <c r="T117" s="177"/>
      <c r="U117" s="177"/>
      <c r="V117" s="177"/>
      <c r="W117" s="177"/>
      <c r="X117" s="144"/>
      <c r="Y117" s="938"/>
      <c r="Z117" s="143"/>
      <c r="AA117" s="177" t="str">
        <f>AA$10</f>
        <v>verwarming</v>
      </c>
      <c r="AB117" s="177" t="str">
        <f>AB$10</f>
        <v>koeling</v>
      </c>
      <c r="AC117" s="177" t="str">
        <f>AC$10</f>
        <v>tapwater</v>
      </c>
      <c r="AD117" s="177"/>
      <c r="AE117" s="177"/>
      <c r="AF117" s="177"/>
      <c r="AG117" s="177"/>
      <c r="AH117" s="177"/>
      <c r="AI117" s="177"/>
      <c r="AJ117" s="144"/>
      <c r="AK117" s="938"/>
      <c r="AL117" s="143"/>
      <c r="AM117" s="177" t="str">
        <f>AM$10</f>
        <v>verwarming</v>
      </c>
      <c r="AN117" s="177" t="str">
        <f>AN$10</f>
        <v>koeling</v>
      </c>
      <c r="AO117" s="177" t="str">
        <f>AO$10</f>
        <v>tapwater</v>
      </c>
      <c r="AP117" s="177"/>
      <c r="AQ117" s="177"/>
      <c r="AR117" s="177"/>
      <c r="AS117" s="177"/>
      <c r="AT117" s="177"/>
      <c r="AU117" s="177"/>
      <c r="AV117" s="144"/>
      <c r="AW117" s="938"/>
      <c r="AX117" s="143"/>
      <c r="AY117" s="177" t="str">
        <f>AY$10</f>
        <v>verwarming</v>
      </c>
      <c r="AZ117" s="177" t="str">
        <f>AZ$10</f>
        <v>koeling</v>
      </c>
      <c r="BA117" s="177" t="str">
        <f>BA$10</f>
        <v>tapwater</v>
      </c>
      <c r="BB117" s="177"/>
      <c r="BC117" s="177"/>
      <c r="BD117" s="177"/>
      <c r="BE117" s="177"/>
      <c r="BF117" s="177"/>
      <c r="BG117" s="177"/>
      <c r="BH117" s="218"/>
    </row>
    <row r="118" spans="1:60" hidden="1">
      <c r="A118" s="1040"/>
      <c r="B118" s="1109" t="s">
        <v>187</v>
      </c>
      <c r="C118" s="1107" t="s">
        <v>203</v>
      </c>
      <c r="D118" s="641" t="s">
        <v>45</v>
      </c>
      <c r="E118" s="1171" t="s">
        <v>1348</v>
      </c>
      <c r="F118" s="254"/>
      <c r="G118" s="254"/>
      <c r="H118" s="291" t="s">
        <v>204</v>
      </c>
      <c r="I118" s="77"/>
      <c r="J118" s="189"/>
      <c r="K118" s="107"/>
      <c r="L118" s="107"/>
      <c r="M118" s="189"/>
      <c r="N118" s="79"/>
      <c r="O118" s="377">
        <f>IF(O119&lt;&gt;"",O119,
IF(O$105=elektriciteit,$G$5,
INDEX(energiedragers_primaire_energiefactor,MATCH(O105,energiedragers_kopregel,0))
*IF(O113=0,1,
$G$5*INDEX(installaties_RV_verlies_elek_prod_aftapwarmte,MATCH(O104,toestellen_RV_kopregel,0)))))</f>
        <v>1.45</v>
      </c>
      <c r="P118" s="377">
        <f>IF(P119&lt;&gt;"",P119,IF(HLOOKUP(P105,ENERGIEDRAGERS,ROWS(bibliotheek!$E$259:$E$260),FALSE)=0,$G$5,HLOOKUP(P105,ENERGIEDRAGERS,ROWS(bibliotheek!$E$259:$E$261),FALSE)))</f>
        <v>1.45</v>
      </c>
      <c r="Q118" s="377">
        <f>IF(Q119&lt;&gt;"",Q119,
IF(Q$105=elektriciteit,$G$5,
INDEX(energiedragers_primaire_energiefactor,MATCH(Q105,energiedragers_kopregel,0))
*IF(Q113=0,1,
$G$5*INDEX(installaties_TAP_verlies_elek_prod_aftapwarmte,MATCH(Q104,toestellen_TAP_kopregel,0)))))</f>
        <v>1.45</v>
      </c>
      <c r="R118" s="141"/>
      <c r="S118" s="141"/>
      <c r="T118" s="141"/>
      <c r="U118" s="141"/>
      <c r="V118" s="141"/>
      <c r="W118" s="141"/>
      <c r="X118" s="348"/>
      <c r="Y118" s="289"/>
      <c r="Z118" s="627"/>
      <c r="AA118" s="377">
        <f>IF(AA119&lt;&gt;"",AA119,
IF(AA$105=elektriciteit,$G$5,
INDEX(energiedragers_primaire_energiefactor,MATCH(AA105,energiedragers_kopregel,0))
*IF(AA113=0,1,
$G$5*INDEX(installaties_RV_verlies_elek_prod_aftapwarmte,MATCH(AA104,toestellen_RV_kopregel,0)))))</f>
        <v>1.45</v>
      </c>
      <c r="AB118" s="377">
        <f>IF(AB119&lt;&gt;"",AB119,IF(HLOOKUP(AB105,ENERGIEDRAGERS,ROWS(bibliotheek!$E$259:$E$260),FALSE)=0,$G$5,HLOOKUP(AB105,ENERGIEDRAGERS,ROWS(bibliotheek!$E$259:$E$261),FALSE)))</f>
        <v>1.45</v>
      </c>
      <c r="AC118" s="377">
        <f>IF(AC119&lt;&gt;"",AC119,
IF(AC$105=elektriciteit,$G$5,
INDEX(energiedragers_primaire_energiefactor,MATCH(AC105,energiedragers_kopregel,0))
*IF(AC113=0,1,
$G$5*INDEX(installaties_TAP_verlies_elek_prod_aftapwarmte,MATCH(AC104,toestellen_TAP_kopregel,0)))))</f>
        <v>1.45</v>
      </c>
      <c r="AD118" s="141"/>
      <c r="AE118" s="141"/>
      <c r="AF118" s="141"/>
      <c r="AG118" s="141"/>
      <c r="AH118" s="141"/>
      <c r="AI118" s="141"/>
      <c r="AJ118" s="348"/>
      <c r="AK118" s="289"/>
      <c r="AL118" s="627"/>
      <c r="AM118" s="377">
        <f>IF(AM119&lt;&gt;"",AM119,
IF(AM$105=elektriciteit,$G$5,
INDEX(energiedragers_primaire_energiefactor,MATCH(AM105,energiedragers_kopregel,0))
*IF(AM113=0,1,
$G$5*INDEX(installaties_RV_verlies_elek_prod_aftapwarmte,MATCH(AM104,toestellen_RV_kopregel,0)))))</f>
        <v>1.45</v>
      </c>
      <c r="AN118" s="377">
        <f>IF(AN119&lt;&gt;"",AN119,IF(HLOOKUP(AN105,ENERGIEDRAGERS,ROWS(bibliotheek!$E$259:$E$260),FALSE)=0,$G$5,HLOOKUP(AN105,ENERGIEDRAGERS,ROWS(bibliotheek!$E$259:$E$261),FALSE)))</f>
        <v>1.45</v>
      </c>
      <c r="AO118" s="377">
        <f>IF(AO119&lt;&gt;"",AO119,
IF(AO$105=elektriciteit,$G$5,
INDEX(energiedragers_primaire_energiefactor,MATCH(AO105,energiedragers_kopregel,0))
*IF(AO113=0,1,
$G$5*INDEX(installaties_TAP_verlies_elek_prod_aftapwarmte,MATCH(AO104,toestellen_TAP_kopregel,0)))))</f>
        <v>1.45</v>
      </c>
      <c r="AP118" s="141"/>
      <c r="AQ118" s="141"/>
      <c r="AR118" s="141"/>
      <c r="AS118" s="141"/>
      <c r="AT118" s="141"/>
      <c r="AU118" s="141"/>
      <c r="AV118" s="348"/>
      <c r="AW118" s="289"/>
      <c r="AX118" s="627"/>
      <c r="AY118" s="377">
        <f>IF(AY119&lt;&gt;"",AY119,
IF(AY$105=elektriciteit,$G$5,
INDEX(energiedragers_primaire_energiefactor,MATCH(AY105,energiedragers_kopregel,0))
*IF(AY113=0,1,
$G$5*INDEX(installaties_RV_verlies_elek_prod_aftapwarmte,MATCH(AY104,toestellen_RV_kopregel,0)))))</f>
        <v>1.45</v>
      </c>
      <c r="AZ118" s="377">
        <f>IF(AZ119&lt;&gt;"",AZ119,IF(HLOOKUP(AZ105,ENERGIEDRAGERS,ROWS(bibliotheek!$E$259:$E$260),FALSE)=0,$G$5,HLOOKUP(AZ105,ENERGIEDRAGERS,ROWS(bibliotheek!$E$259:$E$261),FALSE)))</f>
        <v>1.45</v>
      </c>
      <c r="BA118" s="377">
        <f>IF(BA119&lt;&gt;"",BA119,
IF(BA$105=elektriciteit,$G$5,
INDEX(energiedragers_primaire_energiefactor,MATCH(BA105,energiedragers_kopregel,0))
*IF(BA113=0,1,
$G$5*INDEX(installaties_TAP_verlies_elek_prod_aftapwarmte,MATCH(BA104,toestellen_TAP_kopregel,0)))))</f>
        <v>1.45</v>
      </c>
      <c r="BB118" s="139"/>
      <c r="BC118" s="139"/>
      <c r="BD118" s="139"/>
      <c r="BE118" s="139"/>
      <c r="BF118" s="139"/>
      <c r="BG118" s="139"/>
      <c r="BH118" s="174"/>
    </row>
    <row r="119" spans="1:60" hidden="1">
      <c r="A119" s="1040"/>
      <c r="B119" s="1109" t="s">
        <v>187</v>
      </c>
      <c r="C119" s="1107" t="s">
        <v>203</v>
      </c>
      <c r="D119" s="641"/>
      <c r="E119" s="346" t="s">
        <v>205</v>
      </c>
      <c r="F119" s="255"/>
      <c r="G119" s="255"/>
      <c r="H119" s="292"/>
      <c r="I119" s="77"/>
      <c r="J119" s="299"/>
      <c r="K119" s="107"/>
      <c r="L119" s="107"/>
      <c r="M119" s="198"/>
      <c r="N119" s="79"/>
      <c r="O119" s="275"/>
      <c r="P119" s="617"/>
      <c r="Q119" s="275"/>
      <c r="R119" s="140"/>
      <c r="S119" s="140"/>
      <c r="T119" s="140"/>
      <c r="U119" s="140"/>
      <c r="V119" s="140"/>
      <c r="W119" s="140"/>
      <c r="X119" s="76"/>
      <c r="Y119" s="198"/>
      <c r="Z119" s="79"/>
      <c r="AA119" s="275"/>
      <c r="AB119" s="617"/>
      <c r="AC119" s="275"/>
      <c r="AD119" s="140"/>
      <c r="AE119" s="140"/>
      <c r="AF119" s="140"/>
      <c r="AG119" s="140"/>
      <c r="AH119" s="140"/>
      <c r="AI119" s="140"/>
      <c r="AJ119" s="76"/>
      <c r="AK119" s="198"/>
      <c r="AL119" s="79"/>
      <c r="AM119" s="275"/>
      <c r="AN119" s="617"/>
      <c r="AO119" s="275"/>
      <c r="AP119" s="140"/>
      <c r="AQ119" s="140"/>
      <c r="AR119" s="140"/>
      <c r="AS119" s="140"/>
      <c r="AT119" s="140"/>
      <c r="AU119" s="140"/>
      <c r="AV119" s="76"/>
      <c r="AW119" s="198"/>
      <c r="AX119" s="79"/>
      <c r="AY119" s="275"/>
      <c r="AZ119" s="617"/>
      <c r="BA119" s="275"/>
      <c r="BB119" s="140"/>
      <c r="BC119" s="140"/>
      <c r="BD119" s="140"/>
      <c r="BE119" s="140"/>
      <c r="BF119" s="140"/>
      <c r="BG119" s="140"/>
      <c r="BH119" s="174"/>
    </row>
    <row r="120" spans="1:60">
      <c r="A120" s="1040"/>
      <c r="B120" s="1109" t="s">
        <v>187</v>
      </c>
      <c r="C120" s="1107" t="s">
        <v>104</v>
      </c>
      <c r="D120" s="641"/>
      <c r="E120" s="291" t="s">
        <v>232</v>
      </c>
      <c r="F120" s="181"/>
      <c r="G120" s="181"/>
      <c r="H120" s="181" t="s">
        <v>106</v>
      </c>
      <c r="I120" s="77"/>
      <c r="J120" s="202">
        <f>M120+Y120+AK120+AW120</f>
        <v>0</v>
      </c>
      <c r="K120" s="1061"/>
      <c r="L120" s="1061"/>
      <c r="M120" s="202">
        <f>SUM(O120:X120)</f>
        <v>0</v>
      </c>
      <c r="N120" s="243"/>
      <c r="O120" s="168">
        <f>O$116*O$118</f>
        <v>0</v>
      </c>
      <c r="P120" s="168">
        <f>P$116*P$118</f>
        <v>0</v>
      </c>
      <c r="Q120" s="168">
        <f>Q$116*Q$118</f>
        <v>0</v>
      </c>
      <c r="R120" s="130"/>
      <c r="S120" s="130"/>
      <c r="T120" s="130"/>
      <c r="U120" s="130"/>
      <c r="V120" s="130"/>
      <c r="W120" s="130"/>
      <c r="X120" s="110"/>
      <c r="Y120" s="202">
        <f>SUM(AA120:AJ120)</f>
        <v>0</v>
      </c>
      <c r="Z120" s="243"/>
      <c r="AA120" s="168">
        <f>AA$116*AA$118</f>
        <v>0</v>
      </c>
      <c r="AB120" s="168">
        <f>AB$116*AB$118</f>
        <v>0</v>
      </c>
      <c r="AC120" s="168">
        <f>AC$116*AC$118</f>
        <v>0</v>
      </c>
      <c r="AD120" s="130"/>
      <c r="AE120" s="130"/>
      <c r="AF120" s="130"/>
      <c r="AG120" s="130"/>
      <c r="AH120" s="130"/>
      <c r="AI120" s="130"/>
      <c r="AJ120" s="110"/>
      <c r="AK120" s="202">
        <f>SUM(AM120:AV120)</f>
        <v>0</v>
      </c>
      <c r="AL120" s="243"/>
      <c r="AM120" s="168">
        <f>AM$116*AM$118</f>
        <v>0</v>
      </c>
      <c r="AN120" s="168">
        <f>AN$116*AN$118</f>
        <v>0</v>
      </c>
      <c r="AO120" s="168">
        <f>AO$116*AO$118</f>
        <v>0</v>
      </c>
      <c r="AP120" s="130"/>
      <c r="AQ120" s="130"/>
      <c r="AR120" s="130"/>
      <c r="AS120" s="130"/>
      <c r="AT120" s="130"/>
      <c r="AU120" s="130"/>
      <c r="AV120" s="110"/>
      <c r="AW120" s="202">
        <f>SUM(AY120:BH120)</f>
        <v>0</v>
      </c>
      <c r="AX120" s="243"/>
      <c r="AY120" s="168">
        <f>AY$116*AY$118</f>
        <v>0</v>
      </c>
      <c r="AZ120" s="168">
        <f>AZ$116*AZ$118</f>
        <v>0</v>
      </c>
      <c r="BA120" s="168">
        <f>BA$116*BA$118</f>
        <v>0</v>
      </c>
      <c r="BB120" s="130"/>
      <c r="BC120" s="130"/>
      <c r="BD120" s="130"/>
      <c r="BE120" s="130"/>
      <c r="BF120" s="130"/>
      <c r="BG120" s="130"/>
      <c r="BH120" s="210"/>
    </row>
    <row r="121" spans="1:60">
      <c r="A121" s="1040"/>
      <c r="B121" s="1109" t="s">
        <v>187</v>
      </c>
      <c r="C121" s="1106" t="s">
        <v>96</v>
      </c>
      <c r="D121" s="641"/>
      <c r="E121" s="940" t="s">
        <v>1200</v>
      </c>
      <c r="F121" s="940"/>
      <c r="G121" s="940"/>
      <c r="H121" s="993"/>
      <c r="I121" s="77"/>
      <c r="J121" s="939"/>
      <c r="K121" s="126"/>
      <c r="L121" s="126"/>
      <c r="M121" s="1025"/>
      <c r="N121" s="143"/>
      <c r="O121" s="1026" t="str">
        <f>O$10</f>
        <v>verwarming</v>
      </c>
      <c r="P121" s="1026" t="str">
        <f>P$10</f>
        <v>koeling</v>
      </c>
      <c r="Q121" s="1026" t="str">
        <f>Q$10</f>
        <v>tapwater</v>
      </c>
      <c r="R121" s="1026"/>
      <c r="S121" s="1026"/>
      <c r="T121" s="1026"/>
      <c r="U121" s="1026"/>
      <c r="V121" s="1026"/>
      <c r="W121" s="1026"/>
      <c r="X121" s="110"/>
      <c r="Y121" s="1025"/>
      <c r="Z121" s="143"/>
      <c r="AA121" s="1026" t="str">
        <f>AA$10</f>
        <v>verwarming</v>
      </c>
      <c r="AB121" s="1026" t="str">
        <f>AB$10</f>
        <v>koeling</v>
      </c>
      <c r="AC121" s="1026" t="str">
        <f>AC$10</f>
        <v>tapwater</v>
      </c>
      <c r="AD121" s="1026"/>
      <c r="AE121" s="1026"/>
      <c r="AF121" s="1026"/>
      <c r="AG121" s="1026"/>
      <c r="AH121" s="1026"/>
      <c r="AI121" s="1026"/>
      <c r="AJ121" s="110"/>
      <c r="AK121" s="1025"/>
      <c r="AL121" s="143"/>
      <c r="AM121" s="1026" t="str">
        <f>AM$10</f>
        <v>verwarming</v>
      </c>
      <c r="AN121" s="1026" t="str">
        <f>AN$10</f>
        <v>koeling</v>
      </c>
      <c r="AO121" s="1026" t="str">
        <f>AO$10</f>
        <v>tapwater</v>
      </c>
      <c r="AP121" s="1026"/>
      <c r="AQ121" s="1026"/>
      <c r="AR121" s="1026"/>
      <c r="AS121" s="1026"/>
      <c r="AT121" s="1026"/>
      <c r="AU121" s="1026"/>
      <c r="AV121" s="110"/>
      <c r="AW121" s="1025"/>
      <c r="AX121" s="143"/>
      <c r="AY121" s="1026" t="str">
        <f>AY$10</f>
        <v>verwarming</v>
      </c>
      <c r="AZ121" s="1026" t="str">
        <f>AZ$10</f>
        <v>koeling</v>
      </c>
      <c r="BA121" s="1026" t="str">
        <f>BA$10</f>
        <v>tapwater</v>
      </c>
      <c r="BB121" s="1026"/>
      <c r="BC121" s="1026"/>
      <c r="BD121" s="1026"/>
      <c r="BE121" s="1026"/>
      <c r="BF121" s="1026"/>
      <c r="BG121" s="1026"/>
      <c r="BH121" s="210"/>
    </row>
    <row r="122" spans="1:60" hidden="1">
      <c r="A122" s="1040"/>
      <c r="B122" s="1109" t="s">
        <v>187</v>
      </c>
      <c r="C122" s="1107" t="s">
        <v>203</v>
      </c>
      <c r="D122" s="641"/>
      <c r="E122" s="1171" t="s">
        <v>1349</v>
      </c>
      <c r="F122" s="254"/>
      <c r="G122" s="254"/>
      <c r="H122" s="1034" t="s">
        <v>1206</v>
      </c>
      <c r="I122" s="77"/>
      <c r="J122" s="189"/>
      <c r="K122" s="107"/>
      <c r="L122" s="107"/>
      <c r="M122" s="190"/>
      <c r="N122" s="114"/>
      <c r="O122" s="228">
        <f>IF(O123&lt;&gt;"",O123,
INDEX(primaire_totale_energiefactor,MATCH(O105,energiedragers_kopregel,0))
*IF(O113=0,1,
$G$5*INDEX(installaties_RV_verlies_elek_prod_aftapwarmte,MATCH(O104,toestellen_RV_kopregel,0))))</f>
        <v>1.35</v>
      </c>
      <c r="P122" s="228">
        <f>IF(P123&lt;&gt;"",P123,
IF(HLOOKUP(P105,ENERGIEDRAGERS,ROWS(bibliotheek!$E$259:$E$262),FALSE)=0,$G$5,
HLOOKUP(P105,ENERGIEDRAGERS,ROWS(bibliotheek!$E$259:$E$262),FALSE)))</f>
        <v>1.45</v>
      </c>
      <c r="Q122" s="228">
        <f>IF(Q123&lt;&gt;"",Q123,
INDEX(primaire_totale_energiefactor,MATCH(Q105,energiedragers_kopregel,0))
*IF(Q113=0,1,
$G$5*INDEX(installaties_RV_verlies_elek_prod_aftapwarmte,MATCH(Q104,toestellen_RV_kopregel,0))))</f>
        <v>1.35</v>
      </c>
      <c r="R122" s="625"/>
      <c r="S122" s="625"/>
      <c r="T122" s="625"/>
      <c r="U122" s="625"/>
      <c r="V122" s="625"/>
      <c r="W122" s="625"/>
      <c r="X122" s="110"/>
      <c r="Y122" s="202"/>
      <c r="Z122" s="89"/>
      <c r="AA122" s="228">
        <f>IF(AA123&lt;&gt;"",AA123,
INDEX(primaire_totale_energiefactor,MATCH(AA105,energiedragers_kopregel,0))
*IF(AA113=0,1,
$G$5*INDEX(installaties_RV_verlies_elek_prod_aftapwarmte,MATCH(AA104,toestellen_RV_kopregel,0))))</f>
        <v>1.35</v>
      </c>
      <c r="AB122" s="228">
        <f>IF(AB123&lt;&gt;"",AB123,
IF(HLOOKUP(AB105,ENERGIEDRAGERS,ROWS(bibliotheek!$E$259:$E$262),FALSE)=0,$G$5,
HLOOKUP(AB105,ENERGIEDRAGERS,ROWS(bibliotheek!$E$259:$E$262),FALSE)))</f>
        <v>1.45</v>
      </c>
      <c r="AC122" s="228">
        <f>IF(AC123&lt;&gt;"",AC123,
INDEX(primaire_totale_energiefactor,MATCH(AC105,energiedragers_kopregel,0))
*IF(AC113=0,1,
$G$5*INDEX(installaties_RV_verlies_elek_prod_aftapwarmte,MATCH(AC104,toestellen_RV_kopregel,0))))</f>
        <v>1.35</v>
      </c>
      <c r="AD122" s="130"/>
      <c r="AE122" s="130"/>
      <c r="AF122" s="130"/>
      <c r="AG122" s="130"/>
      <c r="AH122" s="130"/>
      <c r="AI122" s="130"/>
      <c r="AJ122" s="110"/>
      <c r="AK122" s="202"/>
      <c r="AL122" s="89"/>
      <c r="AM122" s="228">
        <f>IF(AM123&lt;&gt;"",AM123,
INDEX(primaire_totale_energiefactor,MATCH(AM105,energiedragers_kopregel,0))
*IF(AM113=0,1,
$G$5*INDEX(installaties_RV_verlies_elek_prod_aftapwarmte,MATCH(AM104,toestellen_RV_kopregel,0))))</f>
        <v>1.35</v>
      </c>
      <c r="AN122" s="228">
        <f>IF(AN123&lt;&gt;"",AN123,
IF(HLOOKUP(AN105,ENERGIEDRAGERS,ROWS(bibliotheek!$E$259:$E$262),FALSE)=0,$G$5,
HLOOKUP(AN105,ENERGIEDRAGERS,ROWS(bibliotheek!$E$259:$E$262),FALSE)))</f>
        <v>1.45</v>
      </c>
      <c r="AO122" s="228">
        <f>IF(AO123&lt;&gt;"",AO123,
INDEX(primaire_totale_energiefactor,MATCH(AO105,energiedragers_kopregel,0))
*IF(AO113=0,1,
$G$5*INDEX(installaties_RV_verlies_elek_prod_aftapwarmte,MATCH(AO104,toestellen_RV_kopregel,0))))</f>
        <v>1.35</v>
      </c>
      <c r="AP122" s="130"/>
      <c r="AQ122" s="130"/>
      <c r="AR122" s="130"/>
      <c r="AS122" s="130"/>
      <c r="AT122" s="130"/>
      <c r="AU122" s="130"/>
      <c r="AV122" s="110"/>
      <c r="AW122" s="202"/>
      <c r="AX122" s="89"/>
      <c r="AY122" s="228">
        <f>IF(AY123&lt;&gt;"",AY123,
INDEX(primaire_totale_energiefactor,MATCH(AY105,energiedragers_kopregel,0))
*IF(AY113=0,1,
$G$5*INDEX(installaties_RV_verlies_elek_prod_aftapwarmte,MATCH(AY104,toestellen_RV_kopregel,0))))</f>
        <v>1.35</v>
      </c>
      <c r="AZ122" s="228">
        <f>IF(AZ123&lt;&gt;"",AZ123,
IF(HLOOKUP(AZ105,ENERGIEDRAGERS,ROWS(bibliotheek!$E$259:$E$262),FALSE)=0,$G$5,
HLOOKUP(AZ105,ENERGIEDRAGERS,ROWS(bibliotheek!$E$259:$E$262),FALSE)))</f>
        <v>1.45</v>
      </c>
      <c r="BA122" s="228">
        <f>IF(BA123&lt;&gt;"",BA123,
INDEX(primaire_totale_energiefactor,MATCH(BA105,energiedragers_kopregel,0))
*IF(BA113=0,1,
$G$5*INDEX(installaties_RV_verlies_elek_prod_aftapwarmte,MATCH(BA104,toestellen_RV_kopregel,0))))</f>
        <v>1.35</v>
      </c>
      <c r="BB122" s="130"/>
      <c r="BC122" s="130"/>
      <c r="BD122" s="130"/>
      <c r="BE122" s="130"/>
      <c r="BF122" s="130"/>
      <c r="BG122" s="130"/>
      <c r="BH122" s="210"/>
    </row>
    <row r="123" spans="1:60" hidden="1">
      <c r="A123" s="1040"/>
      <c r="B123" s="1109" t="s">
        <v>187</v>
      </c>
      <c r="C123" s="1107" t="s">
        <v>203</v>
      </c>
      <c r="D123" s="641"/>
      <c r="E123" s="346" t="s">
        <v>205</v>
      </c>
      <c r="F123" s="255"/>
      <c r="G123" s="255"/>
      <c r="H123" s="292"/>
      <c r="I123" s="77"/>
      <c r="J123" s="299"/>
      <c r="K123" s="107"/>
      <c r="L123" s="107"/>
      <c r="M123" s="190"/>
      <c r="N123" s="114"/>
      <c r="O123" s="1029"/>
      <c r="P123" s="1030"/>
      <c r="Q123" s="1029"/>
      <c r="R123" s="131"/>
      <c r="S123" s="131"/>
      <c r="T123" s="131"/>
      <c r="U123" s="131"/>
      <c r="V123" s="131"/>
      <c r="W123" s="131"/>
      <c r="X123" s="110"/>
      <c r="Y123" s="202"/>
      <c r="Z123" s="89"/>
      <c r="AA123" s="1029"/>
      <c r="AB123" s="1030"/>
      <c r="AC123" s="1029"/>
      <c r="AD123" s="130"/>
      <c r="AE123" s="130"/>
      <c r="AF123" s="130"/>
      <c r="AG123" s="130"/>
      <c r="AH123" s="130"/>
      <c r="AI123" s="130"/>
      <c r="AJ123" s="110"/>
      <c r="AK123" s="202"/>
      <c r="AL123" s="89"/>
      <c r="AM123" s="1029"/>
      <c r="AN123" s="1030"/>
      <c r="AO123" s="1029"/>
      <c r="AP123" s="130"/>
      <c r="AQ123" s="130"/>
      <c r="AR123" s="130"/>
      <c r="AS123" s="130"/>
      <c r="AT123" s="130"/>
      <c r="AU123" s="130"/>
      <c r="AV123" s="110"/>
      <c r="AW123" s="202"/>
      <c r="AX123" s="89"/>
      <c r="AY123" s="1029"/>
      <c r="AZ123" s="1030"/>
      <c r="BA123" s="1029"/>
      <c r="BB123" s="130"/>
      <c r="BC123" s="130"/>
      <c r="BD123" s="130"/>
      <c r="BE123" s="130"/>
      <c r="BF123" s="130"/>
      <c r="BG123" s="130"/>
      <c r="BH123" s="210"/>
    </row>
    <row r="124" spans="1:60" hidden="1">
      <c r="A124" s="1040"/>
      <c r="B124" s="1109" t="s">
        <v>187</v>
      </c>
      <c r="C124" s="1107" t="s">
        <v>203</v>
      </c>
      <c r="D124" s="641"/>
      <c r="E124" s="291" t="s">
        <v>1314</v>
      </c>
      <c r="F124" s="595"/>
      <c r="G124" s="595"/>
      <c r="H124" s="1013" t="s">
        <v>65</v>
      </c>
      <c r="I124" s="77"/>
      <c r="J124" s="1015"/>
      <c r="K124" s="107"/>
      <c r="L124" s="107"/>
      <c r="M124" s="190"/>
      <c r="N124" s="114"/>
      <c r="O124" s="228">
        <f>IF(O125&lt;&gt;"",O125,
INDEX(weegfactor_primaire_totale_energiefactor,MATCH(O105,energiedragers_kopregel,0))
*IF(O113=0,1,
$G$5*INDEX(installaties_RV_verlies_elek_prod_aftapwarmte,MATCH(O104,toestellen_RV_kopregel,0))))</f>
        <v>1</v>
      </c>
      <c r="P124" s="228">
        <f>IF(P125&lt;&gt;"",P125,
IF(HLOOKUP(P105,ENERGIEDRAGERS,ROWS(bibliotheek!$E$259:$E$263),FALSE)=0,$G$5,
HLOOKUP(P105,ENERGIEDRAGERS,ROWS(bibliotheek!$E$259:$E$263),FALSE)))</f>
        <v>1.45</v>
      </c>
      <c r="Q124" s="228">
        <f>IF(Q125&lt;&gt;"",Q125,
INDEX(weegfactor_primaire_totale_energiefactor,MATCH(Q105,energiedragers_kopregel,0))
*IF(Q113=0,1,
$G$5*INDEX(installaties_RV_verlies_elek_prod_aftapwarmte,MATCH(Q104,toestellen_RV_kopregel,0))))</f>
        <v>1</v>
      </c>
      <c r="R124" s="625"/>
      <c r="S124" s="625"/>
      <c r="T124" s="625"/>
      <c r="U124" s="625"/>
      <c r="V124" s="625"/>
      <c r="W124" s="625"/>
      <c r="X124" s="110"/>
      <c r="Y124" s="202"/>
      <c r="Z124" s="89"/>
      <c r="AA124" s="228">
        <f>IF(AA125&lt;&gt;"",AA125,
INDEX(weegfactor_primaire_totale_energiefactor,MATCH(AA105,energiedragers_kopregel,0))
*IF(AA113=0,1,
$G$5*INDEX(installaties_RV_verlies_elek_prod_aftapwarmte,MATCH(AA104,toestellen_RV_kopregel,0))))</f>
        <v>1</v>
      </c>
      <c r="AB124" s="228">
        <f>IF(AB125&lt;&gt;"",AB125,
IF(HLOOKUP(AB105,ENERGIEDRAGERS,ROWS(bibliotheek!$E$259:$E$263),FALSE)=0,$G$5,
HLOOKUP(AB105,ENERGIEDRAGERS,ROWS(bibliotheek!$E$259:$E$263),FALSE)))</f>
        <v>1.45</v>
      </c>
      <c r="AC124" s="228">
        <f>IF(AC125&lt;&gt;"",AC125,
INDEX(weegfactor_primaire_totale_energiefactor,MATCH(AC105,energiedragers_kopregel,0))
*IF(AC113=0,1,
$G$5*INDEX(installaties_RV_verlies_elek_prod_aftapwarmte,MATCH(AC104,toestellen_RV_kopregel,0))))</f>
        <v>1</v>
      </c>
      <c r="AD124" s="130"/>
      <c r="AE124" s="130"/>
      <c r="AF124" s="130"/>
      <c r="AG124" s="130"/>
      <c r="AH124" s="130"/>
      <c r="AI124" s="130"/>
      <c r="AJ124" s="110"/>
      <c r="AK124" s="202"/>
      <c r="AL124" s="89"/>
      <c r="AM124" s="228">
        <f>IF(AM125&lt;&gt;"",AM125,
INDEX(weegfactor_primaire_totale_energiefactor,MATCH(AM105,energiedragers_kopregel,0))
*IF(AM113=0,1,
$G$5*INDEX(installaties_RV_verlies_elek_prod_aftapwarmte,MATCH(AM104,toestellen_RV_kopregel,0))))</f>
        <v>1</v>
      </c>
      <c r="AN124" s="228">
        <f>IF(AN125&lt;&gt;"",AN125,
IF(HLOOKUP(AN105,ENERGIEDRAGERS,ROWS(bibliotheek!$E$259:$E$263),FALSE)=0,$G$5,
HLOOKUP(AN105,ENERGIEDRAGERS,ROWS(bibliotheek!$E$259:$E$263),FALSE)))</f>
        <v>1.45</v>
      </c>
      <c r="AO124" s="228">
        <f>IF(AO125&lt;&gt;"",AO125,
INDEX(weegfactor_primaire_totale_energiefactor,MATCH(AO105,energiedragers_kopregel,0))
*IF(AO113=0,1,
$G$5*INDEX(installaties_RV_verlies_elek_prod_aftapwarmte,MATCH(AO104,toestellen_RV_kopregel,0))))</f>
        <v>1</v>
      </c>
      <c r="AP124" s="130"/>
      <c r="AQ124" s="130"/>
      <c r="AR124" s="130"/>
      <c r="AS124" s="130"/>
      <c r="AT124" s="130"/>
      <c r="AU124" s="130"/>
      <c r="AV124" s="110"/>
      <c r="AW124" s="202"/>
      <c r="AX124" s="89"/>
      <c r="AY124" s="228">
        <f>IF(AY125&lt;&gt;"",AY125,
INDEX(weegfactor_primaire_totale_energiefactor,MATCH(AY105,energiedragers_kopregel,0))
*IF(AY113=0,1,
$G$5*INDEX(installaties_RV_verlies_elek_prod_aftapwarmte,MATCH(AY104,toestellen_RV_kopregel,0))))</f>
        <v>1</v>
      </c>
      <c r="AZ124" s="228">
        <f>IF(AZ125&lt;&gt;"",AZ125,
IF(HLOOKUP(AZ105,ENERGIEDRAGERS,ROWS(bibliotheek!$E$259:$E$263),FALSE)=0,$G$5,
HLOOKUP(AZ105,ENERGIEDRAGERS,ROWS(bibliotheek!$E$259:$E$263),FALSE)))</f>
        <v>1.45</v>
      </c>
      <c r="BA124" s="228">
        <f>IF(BA125&lt;&gt;"",BA125,
INDEX(weegfactor_primaire_totale_energiefactor,MATCH(BA105,energiedragers_kopregel,0))
*IF(BA113=0,1,
$G$5*INDEX(installaties_RV_verlies_elek_prod_aftapwarmte,MATCH(BA104,toestellen_RV_kopregel,0))))</f>
        <v>1</v>
      </c>
      <c r="BB124" s="130"/>
      <c r="BC124" s="130"/>
      <c r="BD124" s="130"/>
      <c r="BE124" s="130"/>
      <c r="BF124" s="130"/>
      <c r="BG124" s="130"/>
      <c r="BH124" s="210"/>
    </row>
    <row r="125" spans="1:60" hidden="1">
      <c r="A125" s="1040"/>
      <c r="B125" s="1109" t="s">
        <v>187</v>
      </c>
      <c r="C125" s="1107" t="s">
        <v>203</v>
      </c>
      <c r="D125" s="641"/>
      <c r="E125" s="346" t="s">
        <v>205</v>
      </c>
      <c r="F125" s="255"/>
      <c r="G125" s="255"/>
      <c r="H125" s="292"/>
      <c r="I125" s="77"/>
      <c r="J125" s="299"/>
      <c r="K125" s="107"/>
      <c r="L125" s="107"/>
      <c r="M125" s="190"/>
      <c r="N125" s="114"/>
      <c r="O125" s="1029"/>
      <c r="P125" s="1030"/>
      <c r="Q125" s="1029"/>
      <c r="R125" s="131"/>
      <c r="S125" s="131"/>
      <c r="T125" s="131"/>
      <c r="U125" s="131"/>
      <c r="V125" s="131"/>
      <c r="W125" s="131"/>
      <c r="X125" s="110"/>
      <c r="Y125" s="202"/>
      <c r="Z125" s="89"/>
      <c r="AA125" s="1029"/>
      <c r="AB125" s="1030"/>
      <c r="AC125" s="1029"/>
      <c r="AD125" s="130"/>
      <c r="AE125" s="130"/>
      <c r="AF125" s="130"/>
      <c r="AG125" s="130"/>
      <c r="AH125" s="130"/>
      <c r="AI125" s="130"/>
      <c r="AJ125" s="110"/>
      <c r="AK125" s="202"/>
      <c r="AL125" s="89"/>
      <c r="AM125" s="1029"/>
      <c r="AN125" s="1030"/>
      <c r="AO125" s="1029"/>
      <c r="AP125" s="130"/>
      <c r="AQ125" s="130"/>
      <c r="AR125" s="130"/>
      <c r="AS125" s="130"/>
      <c r="AT125" s="130"/>
      <c r="AU125" s="130"/>
      <c r="AV125" s="110"/>
      <c r="AW125" s="202"/>
      <c r="AX125" s="89"/>
      <c r="AY125" s="1029"/>
      <c r="AZ125" s="1030"/>
      <c r="BA125" s="1029"/>
      <c r="BB125" s="130"/>
      <c r="BC125" s="130"/>
      <c r="BD125" s="130"/>
      <c r="BE125" s="130"/>
      <c r="BF125" s="130"/>
      <c r="BG125" s="130"/>
      <c r="BH125" s="210"/>
    </row>
    <row r="126" spans="1:60">
      <c r="A126" s="1040"/>
      <c r="B126" s="1109" t="s">
        <v>187</v>
      </c>
      <c r="C126" s="1107" t="s">
        <v>104</v>
      </c>
      <c r="D126" s="641"/>
      <c r="E126" s="291" t="s">
        <v>232</v>
      </c>
      <c r="F126" s="181"/>
      <c r="G126" s="181"/>
      <c r="H126" s="181" t="s">
        <v>106</v>
      </c>
      <c r="I126" s="77"/>
      <c r="J126" s="202">
        <f>M126+Y126+AK126+AW126</f>
        <v>0</v>
      </c>
      <c r="K126" s="1061"/>
      <c r="L126" s="1061"/>
      <c r="M126" s="202">
        <f>SUM(O126:X126)</f>
        <v>0</v>
      </c>
      <c r="N126" s="89"/>
      <c r="O126" s="168">
        <f>O$116*O$122*O124</f>
        <v>0</v>
      </c>
      <c r="P126" s="168">
        <f>P$116*P$122*P124</f>
        <v>0</v>
      </c>
      <c r="Q126" s="168">
        <f>Q$116*Q$122*Q124</f>
        <v>0</v>
      </c>
      <c r="R126" s="130"/>
      <c r="S126" s="130"/>
      <c r="T126" s="130"/>
      <c r="U126" s="130"/>
      <c r="V126" s="130"/>
      <c r="W126" s="130"/>
      <c r="X126" s="110"/>
      <c r="Y126" s="202">
        <f>SUM(AA126:AJ126)</f>
        <v>0</v>
      </c>
      <c r="Z126" s="89"/>
      <c r="AA126" s="168">
        <f>AA$116*AA$122*AA124</f>
        <v>0</v>
      </c>
      <c r="AB126" s="168">
        <f>AB$116*AB$122*AB124</f>
        <v>0</v>
      </c>
      <c r="AC126" s="168">
        <f>AC$116*AC$122*AC124</f>
        <v>0</v>
      </c>
      <c r="AD126" s="130"/>
      <c r="AE126" s="130"/>
      <c r="AF126" s="130"/>
      <c r="AG126" s="130"/>
      <c r="AH126" s="130"/>
      <c r="AI126" s="130"/>
      <c r="AJ126" s="110"/>
      <c r="AK126" s="202">
        <f>SUM(AM126:AV126)</f>
        <v>0</v>
      </c>
      <c r="AL126" s="89"/>
      <c r="AM126" s="168">
        <f>AM$116*AM$122*AM124</f>
        <v>0</v>
      </c>
      <c r="AN126" s="168">
        <f>AN$116*AN$122*AN124</f>
        <v>0</v>
      </c>
      <c r="AO126" s="168">
        <f>AO$116*AO$122*AO124</f>
        <v>0</v>
      </c>
      <c r="AP126" s="130"/>
      <c r="AQ126" s="130"/>
      <c r="AR126" s="130"/>
      <c r="AS126" s="130"/>
      <c r="AT126" s="130"/>
      <c r="AU126" s="130"/>
      <c r="AV126" s="110"/>
      <c r="AW126" s="202">
        <f>SUM(AY126:BH126)</f>
        <v>0</v>
      </c>
      <c r="AX126" s="89"/>
      <c r="AY126" s="168">
        <f>AY$116*AY$122*AY124</f>
        <v>0</v>
      </c>
      <c r="AZ126" s="168">
        <f>AZ$116*AZ$122*AZ124</f>
        <v>0</v>
      </c>
      <c r="BA126" s="168">
        <f>BA$116*BA$122*BA124</f>
        <v>0</v>
      </c>
      <c r="BB126" s="130"/>
      <c r="BC126" s="130"/>
      <c r="BD126" s="130"/>
      <c r="BE126" s="130"/>
      <c r="BF126" s="130"/>
      <c r="BG126" s="130"/>
      <c r="BH126" s="210"/>
    </row>
    <row r="127" spans="1:60">
      <c r="A127" s="1040"/>
      <c r="B127" s="1109" t="s">
        <v>187</v>
      </c>
      <c r="C127" s="1106" t="s">
        <v>96</v>
      </c>
      <c r="D127" s="641"/>
      <c r="E127" s="940" t="s">
        <v>107</v>
      </c>
      <c r="F127" s="940"/>
      <c r="G127" s="940"/>
      <c r="H127" s="940"/>
      <c r="I127" s="77"/>
      <c r="J127" s="939"/>
      <c r="K127" s="126"/>
      <c r="L127" s="126"/>
      <c r="M127" s="1027"/>
      <c r="N127" s="143"/>
      <c r="O127" s="1028" t="str">
        <f>O$10</f>
        <v>verwarming</v>
      </c>
      <c r="P127" s="1028" t="str">
        <f>P$10</f>
        <v>koeling</v>
      </c>
      <c r="Q127" s="1028" t="str">
        <f>Q$10</f>
        <v>tapwater</v>
      </c>
      <c r="R127" s="1028"/>
      <c r="S127" s="1028"/>
      <c r="T127" s="1028"/>
      <c r="U127" s="1028"/>
      <c r="V127" s="1028"/>
      <c r="W127" s="1028"/>
      <c r="X127" s="144"/>
      <c r="Y127" s="1027"/>
      <c r="Z127" s="143"/>
      <c r="AA127" s="1028" t="str">
        <f>AA$10</f>
        <v>verwarming</v>
      </c>
      <c r="AB127" s="1028" t="str">
        <f>AB$10</f>
        <v>koeling</v>
      </c>
      <c r="AC127" s="1028" t="str">
        <f>AC$10</f>
        <v>tapwater</v>
      </c>
      <c r="AD127" s="1028"/>
      <c r="AE127" s="1028"/>
      <c r="AF127" s="1028"/>
      <c r="AG127" s="1028"/>
      <c r="AH127" s="1028"/>
      <c r="AI127" s="1028"/>
      <c r="AJ127" s="144"/>
      <c r="AK127" s="1027"/>
      <c r="AL127" s="143"/>
      <c r="AM127" s="1028" t="str">
        <f>AM$10</f>
        <v>verwarming</v>
      </c>
      <c r="AN127" s="1028" t="str">
        <f>AN$10</f>
        <v>koeling</v>
      </c>
      <c r="AO127" s="1028" t="str">
        <f>AO$10</f>
        <v>tapwater</v>
      </c>
      <c r="AP127" s="1028"/>
      <c r="AQ127" s="1028"/>
      <c r="AR127" s="1028"/>
      <c r="AS127" s="1028"/>
      <c r="AT127" s="1028"/>
      <c r="AU127" s="1028"/>
      <c r="AV127" s="144"/>
      <c r="AW127" s="1027"/>
      <c r="AX127" s="143"/>
      <c r="AY127" s="1028" t="str">
        <f>AY$10</f>
        <v>verwarming</v>
      </c>
      <c r="AZ127" s="1028" t="str">
        <f>AZ$10</f>
        <v>koeling</v>
      </c>
      <c r="BA127" s="1028" t="str">
        <f>BA$10</f>
        <v>tapwater</v>
      </c>
      <c r="BB127" s="1028"/>
      <c r="BC127" s="1028"/>
      <c r="BD127" s="1028"/>
      <c r="BE127" s="1028"/>
      <c r="BF127" s="1028"/>
      <c r="BG127" s="1028"/>
      <c r="BH127" s="218"/>
    </row>
    <row r="128" spans="1:60" hidden="1">
      <c r="A128" s="1040"/>
      <c r="B128" s="1109" t="s">
        <v>187</v>
      </c>
      <c r="C128" s="1107" t="s">
        <v>203</v>
      </c>
      <c r="D128" s="641" t="s">
        <v>45</v>
      </c>
      <c r="E128" s="293" t="s">
        <v>206</v>
      </c>
      <c r="F128" s="254"/>
      <c r="G128" s="254"/>
      <c r="H128" s="291" t="s">
        <v>207</v>
      </c>
      <c r="I128" s="77"/>
      <c r="J128" s="189"/>
      <c r="K128" s="107"/>
      <c r="L128" s="107"/>
      <c r="M128" s="189"/>
      <c r="N128" s="79"/>
      <c r="O128" s="377">
        <f>IF(O129&lt;&gt;"",O129,
IF(O$105=elektriciteit,$H$5,
INDEX(energiedragers_CO2_emissiefactor,MATCH(O105,energiedragers_kopregel,0))
*IF(O113=0,1,
$G$5*INDEX(installaties_RV_verlies_elek_prod_aftapwarmte,MATCH(O104,toestellen_RV_kopregel,0)))))</f>
        <v>0.26800000000000002</v>
      </c>
      <c r="P128" s="377">
        <f>IF(P129&lt;&gt;"",P129,
IF(P105=elektriciteit,$H$5,
HLOOKUP(P105,ENERGIEDRAGERS,ROWS(bibliotheek!$E$259:$E$264),FALSE)))</f>
        <v>0</v>
      </c>
      <c r="Q128" s="377">
        <f>IF(Q119&lt;&gt;"",Q119,
IF(Q$105=elektriciteit,$H$5,
INDEX(energiedragers_CO2_emissiefactor,MATCH(Q105,energiedragers_kopregel,0))
*IF(Q113=0,1,
$G$5*INDEX(installaties_TAP_verlies_elek_prod_aftapwarmte,MATCH(Q104,toestellen_TAP_kopregel,0)))))</f>
        <v>0.26800000000000002</v>
      </c>
      <c r="R128" s="141"/>
      <c r="S128" s="141"/>
      <c r="T128" s="141"/>
      <c r="U128" s="141"/>
      <c r="V128" s="141"/>
      <c r="W128" s="141"/>
      <c r="X128" s="348"/>
      <c r="Y128" s="189"/>
      <c r="Z128" s="79"/>
      <c r="AA128" s="377">
        <f>IF(AA129&lt;&gt;"",AA129,
IF(AA$105=elektriciteit,$H$5,
INDEX(energiedragers_CO2_emissiefactor,MATCH(AA105,energiedragers_kopregel,0))
*IF(AA113=0,1,
$G$5*INDEX(installaties_RV_verlies_elek_prod_aftapwarmte,MATCH(AA104,toestellen_RV_kopregel,0)))))</f>
        <v>0.26800000000000002</v>
      </c>
      <c r="AB128" s="377">
        <f>IF(AB129&lt;&gt;"",AB129,
IF(AB105=elektriciteit,$H$5,
HLOOKUP(AB105,ENERGIEDRAGERS,ROWS(bibliotheek!$E$259:$E$264),FALSE)))</f>
        <v>0</v>
      </c>
      <c r="AC128" s="377">
        <f>IF(AC119&lt;&gt;"",AC119,
IF(AC$105=elektriciteit,$H$5,
INDEX(energiedragers_CO2_emissiefactor,MATCH(AC105,energiedragers_kopregel,0))
*IF(AC113=0,1,
$G$5*INDEX(installaties_TAP_verlies_elek_prod_aftapwarmte,MATCH(AC104,toestellen_TAP_kopregel,0)))))</f>
        <v>0.26800000000000002</v>
      </c>
      <c r="AD128" s="141"/>
      <c r="AE128" s="141"/>
      <c r="AF128" s="141"/>
      <c r="AG128" s="141"/>
      <c r="AH128" s="141"/>
      <c r="AI128" s="141"/>
      <c r="AJ128" s="348"/>
      <c r="AK128" s="189"/>
      <c r="AL128" s="79"/>
      <c r="AM128" s="377">
        <f>IF(AM129&lt;&gt;"",AM129,
IF(AM$105=elektriciteit,$H$5,
INDEX(energiedragers_CO2_emissiefactor,MATCH(AM105,energiedragers_kopregel,0))
*IF(AM113=0,1,
$G$5*INDEX(installaties_RV_verlies_elek_prod_aftapwarmte,MATCH(AM104,toestellen_RV_kopregel,0)))))</f>
        <v>0.26800000000000002</v>
      </c>
      <c r="AN128" s="377">
        <f>IF(AN129&lt;&gt;"",AN129,
IF(AN105=elektriciteit,$H$5,
HLOOKUP(AN105,ENERGIEDRAGERS,ROWS(bibliotheek!$E$259:$E$264),FALSE)))</f>
        <v>0</v>
      </c>
      <c r="AO128" s="377">
        <f>IF(AO119&lt;&gt;"",AO119,
IF(AO$105=elektriciteit,$H$5,
INDEX(energiedragers_CO2_emissiefactor,MATCH(AO105,energiedragers_kopregel,0))
*IF(AO113=0,1,
$G$5*INDEX(installaties_TAP_verlies_elek_prod_aftapwarmte,MATCH(AO104,toestellen_TAP_kopregel,0)))))</f>
        <v>0.26800000000000002</v>
      </c>
      <c r="AP128" s="141"/>
      <c r="AQ128" s="141"/>
      <c r="AR128" s="141"/>
      <c r="AS128" s="141"/>
      <c r="AT128" s="141"/>
      <c r="AU128" s="141"/>
      <c r="AV128" s="348"/>
      <c r="AW128" s="189"/>
      <c r="AX128" s="79"/>
      <c r="AY128" s="377">
        <f>IF(AY129&lt;&gt;"",AY129,
IF(AY$105=elektriciteit,$H$5,
INDEX(energiedragers_CO2_emissiefactor,MATCH(AY105,energiedragers_kopregel,0))
*IF(AY113=0,1,
$G$5*INDEX(installaties_RV_verlies_elek_prod_aftapwarmte,MATCH(AY104,toestellen_RV_kopregel,0)))))</f>
        <v>0.26800000000000002</v>
      </c>
      <c r="AZ128" s="377">
        <f>IF(AZ129&lt;&gt;"",AZ129,
IF(AZ105=elektriciteit,$H$5,
HLOOKUP(AZ105,ENERGIEDRAGERS,ROWS(bibliotheek!$E$259:$E$264),FALSE)))</f>
        <v>0</v>
      </c>
      <c r="BA128" s="377">
        <f>IF(BA119&lt;&gt;"",BA119,
IF(BA$105=elektriciteit,$H$5,
INDEX(energiedragers_CO2_emissiefactor,MATCH(BA105,energiedragers_kopregel,0))
*IF(BA113=0,1,
$G$5*INDEX(installaties_TAP_verlies_elek_prod_aftapwarmte,MATCH(BA104,toestellen_TAP_kopregel,0)))))</f>
        <v>0.26800000000000002</v>
      </c>
      <c r="BB128" s="141"/>
      <c r="BC128" s="141"/>
      <c r="BD128" s="141"/>
      <c r="BE128" s="141"/>
      <c r="BF128" s="141"/>
      <c r="BG128" s="141"/>
      <c r="BH128" s="174"/>
    </row>
    <row r="129" spans="1:60" hidden="1">
      <c r="A129" s="1040"/>
      <c r="B129" s="1109" t="s">
        <v>187</v>
      </c>
      <c r="C129" s="1107" t="s">
        <v>203</v>
      </c>
      <c r="D129" s="638"/>
      <c r="E129" s="346" t="s">
        <v>208</v>
      </c>
      <c r="F129" s="292"/>
      <c r="G129" s="292"/>
      <c r="H129" s="292"/>
      <c r="I129" s="77"/>
      <c r="J129" s="299"/>
      <c r="K129" s="107"/>
      <c r="L129" s="107"/>
      <c r="M129" s="198"/>
      <c r="N129" s="79"/>
      <c r="O129" s="275"/>
      <c r="P129" s="354"/>
      <c r="Q129" s="354"/>
      <c r="R129" s="414"/>
      <c r="S129" s="414"/>
      <c r="T129" s="414"/>
      <c r="U129" s="414"/>
      <c r="V129" s="414"/>
      <c r="W129" s="414"/>
      <c r="X129" s="380"/>
      <c r="Y129" s="198"/>
      <c r="Z129" s="79"/>
      <c r="AA129" s="354"/>
      <c r="AB129" s="354"/>
      <c r="AC129" s="354"/>
      <c r="AD129" s="414"/>
      <c r="AE129" s="414"/>
      <c r="AF129" s="414"/>
      <c r="AG129" s="414"/>
      <c r="AH129" s="414"/>
      <c r="AI129" s="414"/>
      <c r="AJ129" s="380"/>
      <c r="AK129" s="198"/>
      <c r="AL129" s="79"/>
      <c r="AM129" s="354"/>
      <c r="AN129" s="354"/>
      <c r="AO129" s="354"/>
      <c r="AP129" s="414"/>
      <c r="AQ129" s="414"/>
      <c r="AR129" s="414"/>
      <c r="AS129" s="414"/>
      <c r="AT129" s="414"/>
      <c r="AU129" s="414"/>
      <c r="AV129" s="380"/>
      <c r="AW129" s="198"/>
      <c r="AX129" s="79"/>
      <c r="AY129" s="354"/>
      <c r="AZ129" s="354"/>
      <c r="BA129" s="354"/>
      <c r="BB129" s="414"/>
      <c r="BC129" s="414"/>
      <c r="BD129" s="414"/>
      <c r="BE129" s="414"/>
      <c r="BF129" s="414"/>
      <c r="BG129" s="414"/>
      <c r="BH129" s="174"/>
    </row>
    <row r="130" spans="1:60">
      <c r="A130" s="1040"/>
      <c r="B130" s="1109" t="s">
        <v>187</v>
      </c>
      <c r="C130" s="1107" t="s">
        <v>104</v>
      </c>
      <c r="D130" s="638"/>
      <c r="E130" s="181" t="s">
        <v>107</v>
      </c>
      <c r="F130" s="181"/>
      <c r="G130" s="181"/>
      <c r="H130" s="181" t="s">
        <v>209</v>
      </c>
      <c r="I130" s="77"/>
      <c r="J130" s="202">
        <f>M130+Y130+AK130+AW130</f>
        <v>0</v>
      </c>
      <c r="K130" s="1061"/>
      <c r="L130" s="1061"/>
      <c r="M130" s="202">
        <f>SUM(O130:X130)</f>
        <v>0</v>
      </c>
      <c r="N130" s="243"/>
      <c r="O130" s="168">
        <f>O$116*O$128</f>
        <v>0</v>
      </c>
      <c r="P130" s="168">
        <f>P$116*P$128</f>
        <v>0</v>
      </c>
      <c r="Q130" s="168">
        <f>Q$116*Q$128</f>
        <v>0</v>
      </c>
      <c r="R130" s="130"/>
      <c r="S130" s="130"/>
      <c r="T130" s="130"/>
      <c r="U130" s="130"/>
      <c r="V130" s="130"/>
      <c r="W130" s="130"/>
      <c r="X130" s="110"/>
      <c r="Y130" s="202">
        <f>SUM(AA130:AJ130)</f>
        <v>0</v>
      </c>
      <c r="Z130" s="243"/>
      <c r="AA130" s="168">
        <f>AA$116*AA$128</f>
        <v>0</v>
      </c>
      <c r="AB130" s="168">
        <f>AB$116*AB$128</f>
        <v>0</v>
      </c>
      <c r="AC130" s="168">
        <f>AC$116*AC$128</f>
        <v>0</v>
      </c>
      <c r="AD130" s="130"/>
      <c r="AE130" s="130"/>
      <c r="AF130" s="130"/>
      <c r="AG130" s="130"/>
      <c r="AH130" s="130"/>
      <c r="AI130" s="130"/>
      <c r="AJ130" s="110"/>
      <c r="AK130" s="202">
        <f>SUM(AM130:AV130)</f>
        <v>0</v>
      </c>
      <c r="AL130" s="243"/>
      <c r="AM130" s="168">
        <f>AM$116*AM$128</f>
        <v>0</v>
      </c>
      <c r="AN130" s="168">
        <f>AN$116*AN$128</f>
        <v>0</v>
      </c>
      <c r="AO130" s="168">
        <f>AO$116*AO$128</f>
        <v>0</v>
      </c>
      <c r="AP130" s="130"/>
      <c r="AQ130" s="130"/>
      <c r="AR130" s="130"/>
      <c r="AS130" s="130"/>
      <c r="AT130" s="130"/>
      <c r="AU130" s="130"/>
      <c r="AV130" s="110"/>
      <c r="AW130" s="202">
        <f>SUM(AY130:BH130)</f>
        <v>0</v>
      </c>
      <c r="AX130" s="243"/>
      <c r="AY130" s="168">
        <f>AY$116*AY$128</f>
        <v>0</v>
      </c>
      <c r="AZ130" s="168">
        <f>AZ$116*AZ$128</f>
        <v>0</v>
      </c>
      <c r="BA130" s="168">
        <f>BA$116*BA$128</f>
        <v>0</v>
      </c>
      <c r="BB130" s="130"/>
      <c r="BC130" s="130"/>
      <c r="BD130" s="130"/>
      <c r="BE130" s="130"/>
      <c r="BF130" s="130"/>
      <c r="BG130" s="130"/>
      <c r="BH130" s="210"/>
    </row>
    <row r="131" spans="1:60">
      <c r="A131" s="1040"/>
      <c r="B131" s="1109" t="s">
        <v>187</v>
      </c>
      <c r="C131" s="1106" t="s">
        <v>96</v>
      </c>
      <c r="D131" s="638"/>
      <c r="E131" s="940" t="s">
        <v>210</v>
      </c>
      <c r="F131" s="940"/>
      <c r="G131" s="940"/>
      <c r="H131" s="940"/>
      <c r="I131" s="77"/>
      <c r="J131" s="939"/>
      <c r="K131" s="126"/>
      <c r="L131" s="126"/>
      <c r="M131" s="938"/>
      <c r="N131" s="143"/>
      <c r="O131" s="177" t="str">
        <f>O$10</f>
        <v>verwarming</v>
      </c>
      <c r="P131" s="177" t="str">
        <f>P$10</f>
        <v>koeling</v>
      </c>
      <c r="Q131" s="177" t="str">
        <f>Q$10</f>
        <v>tapwater</v>
      </c>
      <c r="R131" s="177"/>
      <c r="S131" s="177"/>
      <c r="T131" s="177"/>
      <c r="U131" s="177"/>
      <c r="V131" s="177"/>
      <c r="W131" s="177"/>
      <c r="X131" s="144"/>
      <c r="Y131" s="938"/>
      <c r="Z131" s="143"/>
      <c r="AA131" s="177" t="str">
        <f>AA$10</f>
        <v>verwarming</v>
      </c>
      <c r="AB131" s="177" t="str">
        <f>AB$10</f>
        <v>koeling</v>
      </c>
      <c r="AC131" s="177" t="str">
        <f>AC$10</f>
        <v>tapwater</v>
      </c>
      <c r="AD131" s="177"/>
      <c r="AE131" s="177"/>
      <c r="AF131" s="177"/>
      <c r="AG131" s="177"/>
      <c r="AH131" s="177"/>
      <c r="AI131" s="177"/>
      <c r="AJ131" s="144"/>
      <c r="AK131" s="938"/>
      <c r="AL131" s="143"/>
      <c r="AM131" s="177" t="str">
        <f>AM$10</f>
        <v>verwarming</v>
      </c>
      <c r="AN131" s="177" t="str">
        <f>AN$10</f>
        <v>koeling</v>
      </c>
      <c r="AO131" s="177" t="str">
        <f>AO$10</f>
        <v>tapwater</v>
      </c>
      <c r="AP131" s="177"/>
      <c r="AQ131" s="177"/>
      <c r="AR131" s="177"/>
      <c r="AS131" s="177"/>
      <c r="AT131" s="177"/>
      <c r="AU131" s="177"/>
      <c r="AV131" s="144"/>
      <c r="AW131" s="938"/>
      <c r="AX131" s="143"/>
      <c r="AY131" s="177" t="str">
        <f>AY$10</f>
        <v>verwarming</v>
      </c>
      <c r="AZ131" s="177" t="str">
        <f>AZ$10</f>
        <v>koeling</v>
      </c>
      <c r="BA131" s="177" t="str">
        <f>BA$10</f>
        <v>tapwater</v>
      </c>
      <c r="BB131" s="177"/>
      <c r="BC131" s="177"/>
      <c r="BD131" s="177"/>
      <c r="BE131" s="177"/>
      <c r="BF131" s="177"/>
      <c r="BG131" s="177"/>
      <c r="BH131" s="218"/>
    </row>
    <row r="132" spans="1:60">
      <c r="A132" s="1040"/>
      <c r="B132" s="1109" t="s">
        <v>187</v>
      </c>
      <c r="C132" s="1107" t="s">
        <v>118</v>
      </c>
      <c r="D132" s="638" t="s">
        <v>45</v>
      </c>
      <c r="E132" s="181" t="s">
        <v>211</v>
      </c>
      <c r="F132" s="181"/>
      <c r="G132" s="181"/>
      <c r="H132" s="181" t="s">
        <v>160</v>
      </c>
      <c r="I132" s="129"/>
      <c r="J132" s="202">
        <f>M132+Y132+AK132+AW132</f>
        <v>0</v>
      </c>
      <c r="K132" s="1059"/>
      <c r="L132" s="1059"/>
      <c r="M132" s="202">
        <f>SUM(O132:X132)</f>
        <v>0</v>
      </c>
      <c r="N132" s="243"/>
      <c r="O132" s="168">
        <f>IF(   AND(   HLOOKUP(IF(O$83="",referentie_verwarming,O$83),toestellen_RV,ROWS(bibliotheek!$E$83:$E$88),FALSE)=1,   O115+Q115&gt;P115   ),
ABS(O115+Q115-P115)*O$115/(O115+Q115),
0)</f>
        <v>0</v>
      </c>
      <c r="P132" s="168">
        <f>IF(AND(HLOOKUP(IF(P$83="",referentie_koeling,P$83),toestellen_KOEL,ROWS(bibliotheek!$E$190:$E$194),FALSE)=1,O115+Q115&lt;P115),ABS(O115+Q115-P115),0)</f>
        <v>0</v>
      </c>
      <c r="Q132" s="168">
        <f>IF(AND(HLOOKUP(IF(Q$83="",referentie_warmtapwater,Q$83),toestellen_TAP,ROWS(bibliotheek!$E$139:$E$144),FALSE)=1,O115+Q115&gt;P115),ABS(O115+Q115-P115)*Q$115/(O115+Q115),0)</f>
        <v>0</v>
      </c>
      <c r="R132" s="130"/>
      <c r="S132" s="130"/>
      <c r="T132" s="130"/>
      <c r="U132" s="130"/>
      <c r="V132" s="130"/>
      <c r="W132" s="130"/>
      <c r="X132" s="110"/>
      <c r="Y132" s="202">
        <f>SUM(AA132:AJ132)</f>
        <v>0</v>
      </c>
      <c r="Z132" s="243"/>
      <c r="AA132" s="168">
        <f>IF(   AND(   HLOOKUP(IF(AA$83="",referentie_verwarming,AA$83),toestellen_RV,ROWS(bibliotheek!$E$83:$E$88),FALSE)=1,   AA115+AC115&gt;AB115   ),
ABS(AA115+AC115-AB115)*AA$115/(AA115+AC115),
0)</f>
        <v>0</v>
      </c>
      <c r="AB132" s="168">
        <f>IF(AND(HLOOKUP(IF(AB$83="",referentie_koeling,AB$83),toestellen_KOEL,ROWS(bibliotheek!$E$190:$E$194),FALSE)=1,AA115+AC115&lt;AB115),ABS(AA115+AC115-AB115),0)</f>
        <v>0</v>
      </c>
      <c r="AC132" s="168">
        <f>IF(AND(HLOOKUP(IF(AC$83="",referentie_warmtapwater,AC$83),toestellen_TAP,ROWS(bibliotheek!$E$139:$E$144),FALSE)=1,AA115+AC115&gt;AB115),ABS(AA115+AC115-AB115)*AC$115/(AA115+AC115),0)</f>
        <v>0</v>
      </c>
      <c r="AD132" s="130"/>
      <c r="AE132" s="130"/>
      <c r="AF132" s="130"/>
      <c r="AG132" s="130"/>
      <c r="AH132" s="130"/>
      <c r="AI132" s="130"/>
      <c r="AJ132" s="110"/>
      <c r="AK132" s="202">
        <f>SUM(AM132:AV132)</f>
        <v>0</v>
      </c>
      <c r="AL132" s="243"/>
      <c r="AM132" s="168">
        <f>IF(   AND(   HLOOKUP(IF(AM$83="",referentie_verwarming,AM$83),toestellen_RV,ROWS(bibliotheek!$E$83:$E$88),FALSE)=1,   AM115+AO115&gt;AN115   ),
ABS(AM115+AO115-AN115)*AM$115/(AM115+AO115),
0)</f>
        <v>0</v>
      </c>
      <c r="AN132" s="168">
        <f>IF(AND(HLOOKUP(IF(AN$83="",referentie_koeling,AN$83),toestellen_KOEL,ROWS(bibliotheek!$E$190:$E$194),FALSE)=1,AM115+AO115&lt;AN115),ABS(AM115+AO115-AN115),0)</f>
        <v>0</v>
      </c>
      <c r="AO132" s="168">
        <f>IF(AND(HLOOKUP(IF(AO$83="",referentie_warmtapwater,AO$83),toestellen_TAP,ROWS(bibliotheek!$E$139:$E$144),FALSE)=1,AM115+AO115&gt;AN115),ABS(AM115+AO115-AN115)*AO$115/(AM115+AO115),0)</f>
        <v>0</v>
      </c>
      <c r="AP132" s="130"/>
      <c r="AQ132" s="130"/>
      <c r="AR132" s="130"/>
      <c r="AS132" s="130"/>
      <c r="AT132" s="130"/>
      <c r="AU132" s="130"/>
      <c r="AV132" s="110"/>
      <c r="AW132" s="202">
        <f>SUM(AY132:BH132)</f>
        <v>0</v>
      </c>
      <c r="AX132" s="243"/>
      <c r="AY132" s="168">
        <f>IF(   AND(   HLOOKUP(IF(AY$83="",referentie_verwarming,AY$83),toestellen_RV,ROWS(bibliotheek!$E$83:$E$88),FALSE)=1,   AY115+BA115&gt;AZ115   ),
ABS(AY115+BA115-AZ115)*AY$115/(AY115+BA115),
0)</f>
        <v>0</v>
      </c>
      <c r="AZ132" s="168">
        <f>IF(AND(HLOOKUP(IF(AZ$83="",referentie_koeling,AZ$83),toestellen_KOEL,ROWS(bibliotheek!$E$190:$E$194),FALSE)=1,AY115+BA115&lt;AZ115),ABS(AY115+BA115-AZ115),0)</f>
        <v>0</v>
      </c>
      <c r="BA132" s="168">
        <f>IF(AND(HLOOKUP(IF(BA$83="",referentie_warmtapwater,BA$83),toestellen_TAP,ROWS(bibliotheek!$E$139:$E$144),FALSE)=1,AY115+BA115&gt;AZ115),ABS(AY115+BA115-AZ115)*BA$115/(AY115+BA115),0)</f>
        <v>0</v>
      </c>
      <c r="BB132" s="130"/>
      <c r="BC132" s="130"/>
      <c r="BD132" s="130"/>
      <c r="BE132" s="130"/>
      <c r="BF132" s="130"/>
      <c r="BG132" s="130"/>
      <c r="BH132" s="210"/>
    </row>
    <row r="133" spans="1:60" hidden="1">
      <c r="A133" s="1040"/>
      <c r="B133" s="1109" t="s">
        <v>187</v>
      </c>
      <c r="C133" s="1107" t="s">
        <v>181</v>
      </c>
      <c r="D133" s="638"/>
      <c r="E133" s="181" t="s">
        <v>212</v>
      </c>
      <c r="F133" s="180"/>
      <c r="G133" s="180"/>
      <c r="H133" s="181" t="s">
        <v>213</v>
      </c>
      <c r="I133" s="129"/>
      <c r="J133" s="190"/>
      <c r="K133" s="107"/>
      <c r="L133" s="107"/>
      <c r="M133" s="190"/>
      <c r="N133" s="79"/>
      <c r="O133" s="545">
        <f>HLOOKUP(IF(O$83="",referentie_verwarming,O$83),toestellen_RV,ROWS(bibliotheek!$E$83:$E$117),FALSE)</f>
        <v>0</v>
      </c>
      <c r="P133" s="545">
        <f>HLOOKUP(IF(P$83="",referentie_koeling,P$83),toestellen_KOEL,ROWS(bibliotheek!$E$190:$E$208),FALSE)</f>
        <v>0</v>
      </c>
      <c r="Q133" s="545">
        <f>HLOOKUP(IF(Q$83="",referentie_warmtapwater,Q$83),toestellen_TAP,ROWS(bibliotheek!$E$139:$E$165),FALSE)</f>
        <v>0</v>
      </c>
      <c r="R133" s="379"/>
      <c r="S133" s="379"/>
      <c r="T133" s="379"/>
      <c r="U133" s="379"/>
      <c r="V133" s="379"/>
      <c r="W133" s="379"/>
      <c r="X133" s="418"/>
      <c r="Y133" s="190"/>
      <c r="Z133" s="79"/>
      <c r="AA133" s="545">
        <f>HLOOKUP(IF(AA$83="",referentie_verwarming,AA$83),toestellen_RV,ROWS(bibliotheek!$E$83:$E$117),FALSE)</f>
        <v>0</v>
      </c>
      <c r="AB133" s="545">
        <f>HLOOKUP(IF(AB$83="",referentie_koeling,AB$83),toestellen_KOEL,ROWS(bibliotheek!$E$190:$E$208),FALSE)</f>
        <v>0</v>
      </c>
      <c r="AC133" s="545">
        <f>HLOOKUP(IF(AC$83="",referentie_warmtapwater,AC$83),toestellen_TAP,ROWS(bibliotheek!$E$139:$E$165),FALSE)</f>
        <v>0</v>
      </c>
      <c r="AD133" s="379"/>
      <c r="AE133" s="379"/>
      <c r="AF133" s="379"/>
      <c r="AG133" s="379"/>
      <c r="AH133" s="379"/>
      <c r="AI133" s="379"/>
      <c r="AJ133" s="418"/>
      <c r="AK133" s="190"/>
      <c r="AL133" s="79"/>
      <c r="AM133" s="545">
        <f>HLOOKUP(IF(AM$83="",referentie_verwarming,AM$83),toestellen_RV,ROWS(bibliotheek!$E$83:$E$117),FALSE)</f>
        <v>0</v>
      </c>
      <c r="AN133" s="545">
        <f>HLOOKUP(IF(AN$83="",referentie_koeling,AN$83),toestellen_KOEL,ROWS(bibliotheek!$E$190:$E$208),FALSE)</f>
        <v>0</v>
      </c>
      <c r="AO133" s="545">
        <f>HLOOKUP(IF(AO$83="",referentie_warmtapwater,AO$83),toestellen_TAP,ROWS(bibliotheek!$E$139:$E$165),FALSE)</f>
        <v>0</v>
      </c>
      <c r="AP133" s="379"/>
      <c r="AQ133" s="379"/>
      <c r="AR133" s="379"/>
      <c r="AS133" s="379"/>
      <c r="AT133" s="379"/>
      <c r="AU133" s="379"/>
      <c r="AV133" s="418"/>
      <c r="AW133" s="190"/>
      <c r="AX133" s="79"/>
      <c r="AY133" s="545">
        <f>HLOOKUP(IF(AY$83="",referentie_verwarming,AY$83),toestellen_RV,ROWS(bibliotheek!$E$83:$E$117),FALSE)</f>
        <v>0</v>
      </c>
      <c r="AZ133" s="545">
        <f>HLOOKUP(IF(AZ$83="",referentie_koeling,AZ$83),toestellen_KOEL,ROWS(bibliotheek!$E$190:$E$208),FALSE)</f>
        <v>0</v>
      </c>
      <c r="BA133" s="545">
        <f>HLOOKUP(IF(BA$83="",referentie_warmtapwater,BA$83),toestellen_TAP,ROWS(bibliotheek!$E$139:$E$165),FALSE)</f>
        <v>0</v>
      </c>
      <c r="BB133" s="379"/>
      <c r="BC133" s="379"/>
      <c r="BD133" s="379"/>
      <c r="BE133" s="379"/>
      <c r="BF133" s="379"/>
      <c r="BG133" s="379"/>
      <c r="BH133" s="210"/>
    </row>
    <row r="134" spans="1:60">
      <c r="A134" s="1040"/>
      <c r="B134" s="1109" t="s">
        <v>187</v>
      </c>
      <c r="C134" s="1107" t="s">
        <v>118</v>
      </c>
      <c r="D134" s="638"/>
      <c r="E134" s="291" t="s">
        <v>214</v>
      </c>
      <c r="F134" s="254"/>
      <c r="G134" s="254"/>
      <c r="H134" s="291" t="s">
        <v>65</v>
      </c>
      <c r="I134" s="77"/>
      <c r="J134" s="289"/>
      <c r="K134" s="77"/>
      <c r="L134" s="77"/>
      <c r="M134" s="289"/>
      <c r="N134" s="79"/>
      <c r="O134" s="384">
        <f>IF(HLOOKUP(IF(O$83="",referentie_verwarming,O$83),toestellen_RV,ROWS(bibliotheek!$E$83:$E$101),FALSE)=0,0,IF(O135&lt;&gt;"",O135,HLOOKUP(IF(O$83="",referentie_verwarming,O$83),toestellen_RV,ROWS(bibliotheek!$E$83:$E$101),FALSE)))</f>
        <v>0</v>
      </c>
      <c r="P134" s="384">
        <f>IF(HLOOKUP(IF(P$83="",referentie_koeling,P$83),toestellen_KOEL,ROWS(bibliotheek!$E$190:$E$201),FALSE)=0,0,IF(P135&lt;&gt;"",P135,HLOOKUP(IF(P$83="",referentie_koeling,P$83),toestellen_KOEL,ROWS(bibliotheek!$E$190:$E$201),FALSE)))</f>
        <v>0</v>
      </c>
      <c r="Q134" s="384">
        <f>IF(HLOOKUP(IF(Q$83="",referentie_warmtapwater,Q$83),toestellen_TAP,ROWS(bibliotheek!$E$139:$E$157),FALSE)=0,0,IF(Q135&lt;&gt;"",Q135,HLOOKUP(IF(Q$83="",referentie_warmtapwater,Q$83),toestellen_TAP,ROWS(bibliotheek!$E$139:$E$157),FALSE)))</f>
        <v>0</v>
      </c>
      <c r="R134" s="139"/>
      <c r="S134" s="139"/>
      <c r="T134" s="139"/>
      <c r="U134" s="139"/>
      <c r="V134" s="139"/>
      <c r="W134" s="139"/>
      <c r="X134" s="111"/>
      <c r="Y134" s="289"/>
      <c r="Z134" s="79"/>
      <c r="AA134" s="384">
        <f>IF(HLOOKUP(IF(AA$83="",referentie_verwarming,AA$83),toestellen_RV,ROWS(bibliotheek!$E$83:$E$101),FALSE)=0,0,IF(AA135&lt;&gt;"",AA135,HLOOKUP(IF(AA$83="",referentie_verwarming,AA$83),toestellen_RV,ROWS(bibliotheek!$E$83:$E$101),FALSE)))</f>
        <v>0</v>
      </c>
      <c r="AB134" s="384">
        <f>IF(HLOOKUP(IF(AB$83="",referentie_koeling,AB$83),toestellen_KOEL,ROWS(bibliotheek!$E$190:$E$201),FALSE)=0,0,IF(AB135&lt;&gt;"",AB135,HLOOKUP(IF(AB$83="",referentie_koeling,AB$83),toestellen_KOEL,ROWS(bibliotheek!$E$190:$E$201),FALSE)))</f>
        <v>0</v>
      </c>
      <c r="AC134" s="384">
        <f>IF(HLOOKUP(IF(AC$83="",referentie_warmtapwater,AC$83),toestellen_TAP,ROWS(bibliotheek!$E$139:$E$157),FALSE)=0,0,IF(AC135&lt;&gt;"",AC135,HLOOKUP(IF(AC$83="",referentie_warmtapwater,AC$83),toestellen_TAP,ROWS(bibliotheek!$E$139:$E$157),FALSE)))</f>
        <v>0</v>
      </c>
      <c r="AD134" s="139"/>
      <c r="AE134" s="139"/>
      <c r="AF134" s="139"/>
      <c r="AG134" s="139"/>
      <c r="AH134" s="139"/>
      <c r="AI134" s="139"/>
      <c r="AJ134" s="111"/>
      <c r="AK134" s="289"/>
      <c r="AL134" s="79"/>
      <c r="AM134" s="384">
        <f>IF(HLOOKUP(IF(AM$83="",referentie_verwarming,AM$83),toestellen_RV,ROWS(bibliotheek!$E$83:$E$101),FALSE)=0,0,IF(AM135&lt;&gt;"",AM135,HLOOKUP(IF(AM$83="",referentie_verwarming,AM$83),toestellen_RV,ROWS(bibliotheek!$E$83:$E$101),FALSE)))</f>
        <v>0</v>
      </c>
      <c r="AN134" s="384">
        <f>IF(HLOOKUP(IF(AN$83="",referentie_koeling,AN$83),toestellen_KOEL,ROWS(bibliotheek!$E$190:$E$201),FALSE)=0,0,IF(AN135&lt;&gt;"",AN135,HLOOKUP(IF(AN$83="",referentie_koeling,AN$83),toestellen_KOEL,ROWS(bibliotheek!$E$190:$E$201),FALSE)))</f>
        <v>0</v>
      </c>
      <c r="AO134" s="384">
        <f>IF(HLOOKUP(IF(AO$83="",referentie_warmtapwater,AO$83),toestellen_TAP,ROWS(bibliotheek!$E$139:$E$157),FALSE)=0,0,IF(AO135&lt;&gt;"",AO135,HLOOKUP(IF(AO$83="",referentie_warmtapwater,AO$83),toestellen_TAP,ROWS(bibliotheek!$E$139:$E$157),FALSE)))</f>
        <v>0</v>
      </c>
      <c r="AP134" s="139"/>
      <c r="AQ134" s="139"/>
      <c r="AR134" s="139"/>
      <c r="AS134" s="139"/>
      <c r="AT134" s="139"/>
      <c r="AU134" s="139"/>
      <c r="AV134" s="111"/>
      <c r="AW134" s="289"/>
      <c r="AX134" s="79"/>
      <c r="AY134" s="384">
        <f>IF(HLOOKUP(IF(AY$83="",referentie_verwarming,AY$83),toestellen_RV,ROWS(bibliotheek!$E$83:$E$101),FALSE)=0,0,IF(AY135&lt;&gt;"",AY135,HLOOKUP(IF(AY$83="",referentie_verwarming,AY$83),toestellen_RV,ROWS(bibliotheek!$E$83:$E$101),FALSE)))</f>
        <v>0</v>
      </c>
      <c r="AZ134" s="384">
        <f>IF(HLOOKUP(IF(AZ$83="",referentie_koeling,AZ$83),toestellen_KOEL,ROWS(bibliotheek!$E$190:$E$201),FALSE)=0,0,IF(AZ135&lt;&gt;"",AZ135,HLOOKUP(IF(AZ$83="",referentie_koeling,AZ$83),toestellen_KOEL,ROWS(bibliotheek!$E$190:$E$201),FALSE)))</f>
        <v>0</v>
      </c>
      <c r="BA134" s="384">
        <f>IF(HLOOKUP(IF(BA$83="",referentie_warmtapwater,BA$83),toestellen_TAP,ROWS(bibliotheek!$E$139:$E$157),FALSE)=0,0,IF(BA135&lt;&gt;"",BA135,HLOOKUP(IF(BA$83="",referentie_warmtapwater,BA$83),toestellen_TAP,ROWS(bibliotheek!$E$139:$E$157),FALSE)))</f>
        <v>0</v>
      </c>
      <c r="BB134" s="139"/>
      <c r="BC134" s="139"/>
      <c r="BD134" s="139"/>
      <c r="BE134" s="139"/>
      <c r="BF134" s="139"/>
      <c r="BG134" s="139"/>
      <c r="BH134" s="174"/>
    </row>
    <row r="135" spans="1:60">
      <c r="A135" s="1040"/>
      <c r="B135" s="1109" t="s">
        <v>187</v>
      </c>
      <c r="C135" s="1107" t="s">
        <v>118</v>
      </c>
      <c r="D135" s="638"/>
      <c r="E135" s="1218" t="s">
        <v>215</v>
      </c>
      <c r="F135" s="255"/>
      <c r="G135" s="255"/>
      <c r="H135" s="292"/>
      <c r="I135" s="77"/>
      <c r="J135" s="299"/>
      <c r="K135" s="77"/>
      <c r="L135" s="77"/>
      <c r="M135" s="198"/>
      <c r="N135" s="79"/>
      <c r="O135" s="275"/>
      <c r="P135" s="617"/>
      <c r="Q135" s="275"/>
      <c r="R135" s="140"/>
      <c r="S135" s="140"/>
      <c r="T135" s="140"/>
      <c r="U135" s="140"/>
      <c r="V135" s="140"/>
      <c r="W135" s="140"/>
      <c r="X135" s="76"/>
      <c r="Y135" s="198"/>
      <c r="Z135" s="79"/>
      <c r="AA135" s="275"/>
      <c r="AB135" s="617"/>
      <c r="AC135" s="275"/>
      <c r="AD135" s="140"/>
      <c r="AE135" s="140"/>
      <c r="AF135" s="140"/>
      <c r="AG135" s="140"/>
      <c r="AH135" s="140"/>
      <c r="AI135" s="140"/>
      <c r="AJ135" s="76"/>
      <c r="AK135" s="198"/>
      <c r="AL135" s="79"/>
      <c r="AM135" s="275"/>
      <c r="AN135" s="617"/>
      <c r="AO135" s="275"/>
      <c r="AP135" s="140"/>
      <c r="AQ135" s="140"/>
      <c r="AR135" s="140"/>
      <c r="AS135" s="140"/>
      <c r="AT135" s="140"/>
      <c r="AU135" s="140"/>
      <c r="AV135" s="76"/>
      <c r="AW135" s="198"/>
      <c r="AX135" s="79"/>
      <c r="AY135" s="275"/>
      <c r="AZ135" s="617"/>
      <c r="BA135" s="275"/>
      <c r="BB135" s="140"/>
      <c r="BC135" s="140"/>
      <c r="BD135" s="140"/>
      <c r="BE135" s="140"/>
      <c r="BF135" s="140"/>
      <c r="BG135" s="140"/>
      <c r="BH135" s="174"/>
    </row>
    <row r="136" spans="1:60">
      <c r="A136" s="1040"/>
      <c r="B136" s="1109" t="s">
        <v>187</v>
      </c>
      <c r="C136" s="1107" t="s">
        <v>96</v>
      </c>
      <c r="D136" s="638"/>
      <c r="E136" s="79"/>
      <c r="F136" s="79"/>
      <c r="G136" s="79"/>
      <c r="H136" s="85"/>
      <c r="I136" s="79"/>
      <c r="J136" s="82"/>
      <c r="K136" s="79"/>
      <c r="L136" s="79"/>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1"/>
    </row>
    <row r="137" spans="1:60">
      <c r="A137" s="1040"/>
      <c r="B137" s="1109" t="s">
        <v>216</v>
      </c>
      <c r="C137" s="1107" t="s">
        <v>96</v>
      </c>
      <c r="D137" s="638"/>
      <c r="E137" s="79"/>
      <c r="F137" s="79"/>
      <c r="G137" s="79"/>
      <c r="H137" s="85"/>
      <c r="I137" s="79"/>
      <c r="J137" s="82"/>
      <c r="K137" s="79"/>
      <c r="L137" s="79"/>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1"/>
    </row>
    <row r="138" spans="1:60" ht="21">
      <c r="A138" s="1040"/>
      <c r="B138" s="1109" t="s">
        <v>216</v>
      </c>
      <c r="C138" s="1106" t="s">
        <v>96</v>
      </c>
      <c r="D138" s="641" t="s">
        <v>45</v>
      </c>
      <c r="E138" s="199" t="s">
        <v>217</v>
      </c>
      <c r="F138" s="199"/>
      <c r="G138" s="199"/>
      <c r="H138" s="199"/>
      <c r="I138" s="77"/>
      <c r="J138" s="200" t="str">
        <f>J$10</f>
        <v>alle locaties</v>
      </c>
      <c r="K138" s="126"/>
      <c r="L138" s="126"/>
      <c r="M138" s="200" t="str">
        <f>M$10</f>
        <v>locatie 1</v>
      </c>
      <c r="N138" s="182"/>
      <c r="O138" s="966" t="str">
        <f>$E138&amp;" per energiepost"</f>
        <v>installatie niet-preferent toestel per energiepost</v>
      </c>
      <c r="P138" s="941"/>
      <c r="Q138" s="941"/>
      <c r="R138" s="941"/>
      <c r="S138" s="941"/>
      <c r="T138" s="941"/>
      <c r="U138" s="941"/>
      <c r="V138" s="941"/>
      <c r="W138" s="956"/>
      <c r="X138" s="174"/>
      <c r="Y138" s="200" t="str">
        <f>Y$10</f>
        <v>locatie 2</v>
      </c>
      <c r="Z138" s="182"/>
      <c r="AA138" s="966" t="str">
        <f>$E138&amp;" per energiepost"</f>
        <v>installatie niet-preferent toestel per energiepost</v>
      </c>
      <c r="AB138" s="941"/>
      <c r="AC138" s="941"/>
      <c r="AD138" s="941"/>
      <c r="AE138" s="941"/>
      <c r="AF138" s="941"/>
      <c r="AG138" s="941"/>
      <c r="AH138" s="941"/>
      <c r="AI138" s="956"/>
      <c r="AJ138" s="174"/>
      <c r="AK138" s="200" t="str">
        <f>AK$10</f>
        <v>locatie 3</v>
      </c>
      <c r="AL138" s="182"/>
      <c r="AM138" s="966" t="str">
        <f>$E138&amp;" per energiepost"</f>
        <v>installatie niet-preferent toestel per energiepost</v>
      </c>
      <c r="AN138" s="941"/>
      <c r="AO138" s="941"/>
      <c r="AP138" s="941"/>
      <c r="AQ138" s="941"/>
      <c r="AR138" s="941"/>
      <c r="AS138" s="941"/>
      <c r="AT138" s="941"/>
      <c r="AU138" s="956"/>
      <c r="AV138" s="174"/>
      <c r="AW138" s="200" t="str">
        <f>AW$10</f>
        <v>locatie 4</v>
      </c>
      <c r="AX138" s="182"/>
      <c r="AY138" s="966" t="str">
        <f>$E138&amp;" per energiepost"</f>
        <v>installatie niet-preferent toestel per energiepost</v>
      </c>
      <c r="AZ138" s="941"/>
      <c r="BA138" s="941"/>
      <c r="BB138" s="941"/>
      <c r="BC138" s="941"/>
      <c r="BD138" s="941"/>
      <c r="BE138" s="941"/>
      <c r="BF138" s="941"/>
      <c r="BG138" s="956"/>
      <c r="BH138" s="1"/>
    </row>
    <row r="139" spans="1:60">
      <c r="A139" s="1040"/>
      <c r="B139" s="1109" t="s">
        <v>216</v>
      </c>
      <c r="C139" s="1106" t="s">
        <v>96</v>
      </c>
      <c r="D139" s="638"/>
      <c r="E139" s="940" t="s">
        <v>192</v>
      </c>
      <c r="F139" s="940"/>
      <c r="G139" s="940"/>
      <c r="H139" s="940"/>
      <c r="I139" s="77"/>
      <c r="J139" s="939"/>
      <c r="K139" s="126"/>
      <c r="L139" s="126"/>
      <c r="M139" s="938"/>
      <c r="N139" s="191"/>
      <c r="O139" s="177" t="str">
        <f>O$10</f>
        <v>verwarming</v>
      </c>
      <c r="P139" s="177" t="str">
        <f>P$10</f>
        <v>koeling</v>
      </c>
      <c r="Q139" s="177" t="str">
        <f>Q$10</f>
        <v>tapwater</v>
      </c>
      <c r="R139" s="177"/>
      <c r="S139" s="177"/>
      <c r="T139" s="177"/>
      <c r="U139" s="177"/>
      <c r="V139" s="177"/>
      <c r="W139" s="177"/>
      <c r="X139" s="191"/>
      <c r="Y139" s="938"/>
      <c r="Z139" s="191"/>
      <c r="AA139" s="177" t="str">
        <f>AA$10</f>
        <v>verwarming</v>
      </c>
      <c r="AB139" s="177" t="str">
        <f>AB$10</f>
        <v>koeling</v>
      </c>
      <c r="AC139" s="177" t="str">
        <f>AC$10</f>
        <v>tapwater</v>
      </c>
      <c r="AD139" s="177"/>
      <c r="AE139" s="177"/>
      <c r="AF139" s="177"/>
      <c r="AG139" s="177"/>
      <c r="AH139" s="177"/>
      <c r="AI139" s="177"/>
      <c r="AJ139" s="191"/>
      <c r="AK139" s="938"/>
      <c r="AL139" s="191"/>
      <c r="AM139" s="177" t="str">
        <f>AM$10</f>
        <v>verwarming</v>
      </c>
      <c r="AN139" s="177" t="str">
        <f>AN$10</f>
        <v>koeling</v>
      </c>
      <c r="AO139" s="177" t="str">
        <f>AO$10</f>
        <v>tapwater</v>
      </c>
      <c r="AP139" s="177"/>
      <c r="AQ139" s="177"/>
      <c r="AR139" s="177"/>
      <c r="AS139" s="177"/>
      <c r="AT139" s="177"/>
      <c r="AU139" s="177"/>
      <c r="AV139" s="191"/>
      <c r="AW139" s="938"/>
      <c r="AX139" s="191"/>
      <c r="AY139" s="177" t="str">
        <f>AY$10</f>
        <v>verwarming</v>
      </c>
      <c r="AZ139" s="177" t="str">
        <f>AZ$10</f>
        <v>koeling</v>
      </c>
      <c r="BA139" s="177" t="str">
        <f>BA$10</f>
        <v>tapwater</v>
      </c>
      <c r="BB139" s="177"/>
      <c r="BC139" s="177"/>
      <c r="BD139" s="177"/>
      <c r="BE139" s="177"/>
      <c r="BF139" s="177"/>
      <c r="BG139" s="177"/>
      <c r="BH139" s="36"/>
    </row>
    <row r="140" spans="1:60" ht="25.5">
      <c r="A140" s="1040"/>
      <c r="B140" s="1109" t="s">
        <v>216</v>
      </c>
      <c r="C140" s="1107" t="s">
        <v>118</v>
      </c>
      <c r="D140" s="638"/>
      <c r="E140" s="264" t="s">
        <v>218</v>
      </c>
      <c r="F140" s="264"/>
      <c r="G140" s="264"/>
      <c r="H140" s="265" t="s">
        <v>65</v>
      </c>
      <c r="I140" s="103"/>
      <c r="J140" s="268"/>
      <c r="K140" s="103"/>
      <c r="L140" s="103"/>
      <c r="M140" s="268" t="str">
        <f>IF(OR(M$11=0,O143=0),"-","RV: "&amp;O140)</f>
        <v>-</v>
      </c>
      <c r="N140" s="120"/>
      <c r="O140" s="283" t="str">
        <f>IF(O$108=1,geen,HLOOKUP(IF(O$83="",referentie_verwarming,O$83),toestellen_RV,ROWS(bibliotheek!$E$83:$E$104),FALSE))</f>
        <v>elektrisch element</v>
      </c>
      <c r="P140" s="283" t="str">
        <f>IF(OR(P$104=geen,P$108=1),geen,HLOOKUP(IF(P$83="",referentie_koeling,P$83),toestellen_KOEL,ROWS(bibliotheek!$E$190:$E$203),FALSE))</f>
        <v>geen</v>
      </c>
      <c r="Q140" s="283" t="str">
        <f>IF(Q108=1,geen,HLOOKUP(IF(Q$83="",referentie_warmtapwater,Q$83),toestellen_TAP,ROWS(bibliotheek!$E$139:$E$160),FALSE))</f>
        <v>elektrisch element</v>
      </c>
      <c r="R140" s="269"/>
      <c r="S140" s="269"/>
      <c r="T140" s="269"/>
      <c r="U140" s="269"/>
      <c r="V140" s="269"/>
      <c r="W140" s="269"/>
      <c r="X140" s="115"/>
      <c r="Y140" s="268" t="str">
        <f>IF(OR(Y$11=0,AA143=0),"-","RV: "&amp;AA140)</f>
        <v>-</v>
      </c>
      <c r="Z140" s="120"/>
      <c r="AA140" s="283" t="str">
        <f>IF(AA$108=1,geen,HLOOKUP(IF(AA$83="",referentie_verwarming,AA$83),toestellen_RV,ROWS(bibliotheek!$E$83:$E$104),FALSE))</f>
        <v>elektrisch element</v>
      </c>
      <c r="AB140" s="283" t="str">
        <f>IF(OR(AB$104=geen,AB$108=1),geen,HLOOKUP(IF(AB$83="",referentie_koeling,AB$83),toestellen_KOEL,ROWS(bibliotheek!$E$190:$E$203),FALSE))</f>
        <v>geen</v>
      </c>
      <c r="AC140" s="283" t="str">
        <f>IF(AC108=1,geen,HLOOKUP(IF(AC$83="",referentie_warmtapwater,AC$83),toestellen_TAP,ROWS(bibliotheek!$E$139:$E$160),FALSE))</f>
        <v>elektrisch element</v>
      </c>
      <c r="AD140" s="269"/>
      <c r="AE140" s="269"/>
      <c r="AF140" s="269"/>
      <c r="AG140" s="269"/>
      <c r="AH140" s="269"/>
      <c r="AI140" s="269"/>
      <c r="AJ140" s="115"/>
      <c r="AK140" s="268" t="str">
        <f>IF(OR(AK$11=0,AM143=0),"-","RV: "&amp;AM140)</f>
        <v>-</v>
      </c>
      <c r="AL140" s="120"/>
      <c r="AM140" s="283" t="str">
        <f>IF(AM$108=1,geen,HLOOKUP(IF(AM$83="",referentie_verwarming,AM$83),toestellen_RV,ROWS(bibliotheek!$E$83:$E$104),FALSE))</f>
        <v>elektrisch element</v>
      </c>
      <c r="AN140" s="283" t="str">
        <f>IF(OR(AN$104=geen,AN$108=1),geen,HLOOKUP(IF(AN$83="",referentie_koeling,AN$83),toestellen_KOEL,ROWS(bibliotheek!$E$190:$E$203),FALSE))</f>
        <v>geen</v>
      </c>
      <c r="AO140" s="283" t="str">
        <f>IF(AO108=1,geen,HLOOKUP(IF(AO$83="",referentie_warmtapwater,AO$83),toestellen_TAP,ROWS(bibliotheek!$E$139:$E$160),FALSE))</f>
        <v>elektrisch element</v>
      </c>
      <c r="AP140" s="269"/>
      <c r="AQ140" s="269"/>
      <c r="AR140" s="269"/>
      <c r="AS140" s="269"/>
      <c r="AT140" s="269"/>
      <c r="AU140" s="269"/>
      <c r="AV140" s="115"/>
      <c r="AW140" s="268" t="str">
        <f>IF(OR(AW$11=0,AY143=0),"-","RV: "&amp;AY140)</f>
        <v>-</v>
      </c>
      <c r="AX140" s="120"/>
      <c r="AY140" s="283" t="str">
        <f>IF(AY$108=1,geen,HLOOKUP(IF(AY$83="",referentie_verwarming,AY$83),toestellen_RV,ROWS(bibliotheek!$E$83:$E$104),FALSE))</f>
        <v>elektrisch element</v>
      </c>
      <c r="AZ140" s="283" t="str">
        <f>IF(OR(AZ$104=geen,AZ$108=1),geen,HLOOKUP(IF(AZ$83="",referentie_koeling,AZ$83),toestellen_KOEL,ROWS(bibliotheek!$E$190:$E$203),FALSE))</f>
        <v>geen</v>
      </c>
      <c r="BA140" s="283" t="str">
        <f>IF(BA108=1,geen,HLOOKUP(IF(BA$83="",referentie_warmtapwater,BA$83),toestellen_TAP,ROWS(bibliotheek!$E$139:$E$160),FALSE))</f>
        <v>elektrisch element</v>
      </c>
      <c r="BB140" s="269"/>
      <c r="BC140" s="269"/>
      <c r="BD140" s="269"/>
      <c r="BE140" s="269"/>
      <c r="BF140" s="269"/>
      <c r="BG140" s="269"/>
      <c r="BH140" s="221"/>
    </row>
    <row r="141" spans="1:60" hidden="1">
      <c r="A141" s="1040"/>
      <c r="B141" s="1109" t="s">
        <v>216</v>
      </c>
      <c r="C141" s="1107" t="s">
        <v>181</v>
      </c>
      <c r="D141" s="638"/>
      <c r="E141" s="180" t="s">
        <v>190</v>
      </c>
      <c r="F141" s="180"/>
      <c r="G141" s="180"/>
      <c r="H141" s="181" t="s">
        <v>65</v>
      </c>
      <c r="I141" s="79"/>
      <c r="J141" s="190"/>
      <c r="K141" s="79"/>
      <c r="L141" s="79"/>
      <c r="M141" s="190"/>
      <c r="N141" s="114"/>
      <c r="O141" s="284" t="str">
        <f>IF(O140=geen,nvt,HLOOKUP(IF(O$83="",referentie_verwarming,O$83),toestellen_RV,ROWS(bibliotheek!$E$83:$E$105),FALSE))</f>
        <v>elektriciteit</v>
      </c>
      <c r="P141" s="169" t="str">
        <f>IF(P140=geen,nvt,HLOOKUP(IF(P$83="",referentie_koeling,P$83),toestellen_KOEL,ROWS(bibliotheek!$E$190:$E$204),FALSE))</f>
        <v>nvt</v>
      </c>
      <c r="Q141" s="227" t="str">
        <f>IF(Q140=geen,nvt,HLOOKUP(IF(Q$83="",referentie_warmtapwater,Q$83),toestellen_TAP,ROWS(bibliotheek!$E$139:$E$161),FALSE))</f>
        <v>elektriciteit</v>
      </c>
      <c r="R141" s="270"/>
      <c r="S141" s="270"/>
      <c r="T141" s="270"/>
      <c r="U141" s="270"/>
      <c r="V141" s="270"/>
      <c r="W141" s="270"/>
      <c r="X141" s="108"/>
      <c r="Y141" s="190"/>
      <c r="Z141" s="114"/>
      <c r="AA141" s="284" t="str">
        <f>IF(AA140=geen,nvt,HLOOKUP(IF(AA$83="",referentie_verwarming,AA$83),toestellen_RV,ROWS(bibliotheek!$E$83:$E$105),FALSE))</f>
        <v>elektriciteit</v>
      </c>
      <c r="AB141" s="169" t="str">
        <f>IF(AB140=geen,nvt,HLOOKUP(IF(AB$83="",referentie_koeling,AB$83),toestellen_KOEL,ROWS(bibliotheek!$E$190:$E$204),FALSE))</f>
        <v>nvt</v>
      </c>
      <c r="AC141" s="227" t="str">
        <f>IF(AC140=geen,nvt,HLOOKUP(IF(AC$83="",referentie_warmtapwater,AC$83),toestellen_TAP,ROWS(bibliotheek!$E$139:$E$161),FALSE))</f>
        <v>elektriciteit</v>
      </c>
      <c r="AD141" s="270"/>
      <c r="AE141" s="270"/>
      <c r="AF141" s="270"/>
      <c r="AG141" s="270"/>
      <c r="AH141" s="270"/>
      <c r="AI141" s="270"/>
      <c r="AJ141" s="108"/>
      <c r="AK141" s="190"/>
      <c r="AL141" s="114"/>
      <c r="AM141" s="284" t="str">
        <f>IF(AM140=geen,nvt,HLOOKUP(IF(AM$83="",referentie_verwarming,AM$83),toestellen_RV,ROWS(bibliotheek!$E$83:$E$105),FALSE))</f>
        <v>elektriciteit</v>
      </c>
      <c r="AN141" s="169" t="str">
        <f>IF(AN140=geen,nvt,HLOOKUP(IF(AN$83="",referentie_koeling,AN$83),toestellen_KOEL,ROWS(bibliotheek!$E$190:$E$204),FALSE))</f>
        <v>nvt</v>
      </c>
      <c r="AO141" s="227" t="str">
        <f>IF(AO140=geen,nvt,HLOOKUP(IF(AO$83="",referentie_warmtapwater,AO$83),toestellen_TAP,ROWS(bibliotheek!$E$139:$E$161),FALSE))</f>
        <v>elektriciteit</v>
      </c>
      <c r="AP141" s="270"/>
      <c r="AQ141" s="270"/>
      <c r="AR141" s="270"/>
      <c r="AS141" s="270"/>
      <c r="AT141" s="270"/>
      <c r="AU141" s="270"/>
      <c r="AV141" s="108"/>
      <c r="AW141" s="190"/>
      <c r="AX141" s="114"/>
      <c r="AY141" s="284" t="str">
        <f>IF(AY140=geen,nvt,HLOOKUP(IF(AY$83="",referentie_verwarming,AY$83),toestellen_RV,ROWS(bibliotheek!$E$83:$E$105),FALSE))</f>
        <v>elektriciteit</v>
      </c>
      <c r="AZ141" s="169" t="str">
        <f>IF(AZ140=geen,nvt,HLOOKUP(IF(AZ$83="",referentie_koeling,AZ$83),toestellen_KOEL,ROWS(bibliotheek!$E$190:$E$204),FALSE))</f>
        <v>nvt</v>
      </c>
      <c r="BA141" s="227" t="str">
        <f>IF(BA140=geen,nvt,HLOOKUP(IF(BA$83="",referentie_warmtapwater,BA$83),toestellen_TAP,ROWS(bibliotheek!$E$139:$E$161),FALSE))</f>
        <v>elektriciteit</v>
      </c>
      <c r="BB141" s="270"/>
      <c r="BC141" s="270"/>
      <c r="BD141" s="270"/>
      <c r="BE141" s="270"/>
      <c r="BF141" s="270"/>
      <c r="BG141" s="270"/>
      <c r="BH141" s="174"/>
    </row>
    <row r="142" spans="1:60" hidden="1">
      <c r="A142" s="1040"/>
      <c r="B142" s="1109" t="s">
        <v>216</v>
      </c>
      <c r="C142" s="1106" t="s">
        <v>181</v>
      </c>
      <c r="D142" s="638"/>
      <c r="E142" s="181" t="s">
        <v>191</v>
      </c>
      <c r="F142" s="180"/>
      <c r="G142" s="180"/>
      <c r="H142" s="181" t="s">
        <v>65</v>
      </c>
      <c r="I142" s="129"/>
      <c r="J142" s="190"/>
      <c r="K142" s="1058"/>
      <c r="L142" s="1058"/>
      <c r="M142" s="190"/>
      <c r="N142" s="114"/>
      <c r="O142" s="284" t="str">
        <f>INDEX(energiedragers_index_fPren,MATCH(O141,energiedragers_namen,0))</f>
        <v>nren</v>
      </c>
      <c r="P142" s="169" t="str">
        <f>INDEX(energiedragers_index_fPren,MATCH(P141,energiedragers_namen,0))</f>
        <v>nren</v>
      </c>
      <c r="Q142" s="227" t="str">
        <f>INDEX(energiedragers_index_fPren,MATCH(Q141,energiedragers_namen,0))</f>
        <v>nren</v>
      </c>
      <c r="R142" s="271"/>
      <c r="S142" s="271"/>
      <c r="T142" s="271"/>
      <c r="U142" s="271"/>
      <c r="V142" s="271"/>
      <c r="W142" s="271"/>
      <c r="X142" s="741"/>
      <c r="Y142" s="190"/>
      <c r="Z142" s="114"/>
      <c r="AA142" s="284" t="str">
        <f>INDEX(energiedragers_index_fPren,MATCH(AA141,energiedragers_namen,0))</f>
        <v>nren</v>
      </c>
      <c r="AB142" s="169" t="str">
        <f>INDEX(energiedragers_index_fPren,MATCH(AB141,energiedragers_namen,0))</f>
        <v>nren</v>
      </c>
      <c r="AC142" s="227" t="str">
        <f>INDEX(energiedragers_index_fPren,MATCH(AC141,energiedragers_namen,0))</f>
        <v>nren</v>
      </c>
      <c r="AD142" s="271"/>
      <c r="AE142" s="271"/>
      <c r="AF142" s="271"/>
      <c r="AG142" s="271"/>
      <c r="AH142" s="271"/>
      <c r="AI142" s="271"/>
      <c r="AJ142" s="741"/>
      <c r="AK142" s="190"/>
      <c r="AL142" s="114"/>
      <c r="AM142" s="284" t="str">
        <f>INDEX(energiedragers_index_fPren,MATCH(AM141,energiedragers_namen,0))</f>
        <v>nren</v>
      </c>
      <c r="AN142" s="169" t="str">
        <f>INDEX(energiedragers_index_fPren,MATCH(AN141,energiedragers_namen,0))</f>
        <v>nren</v>
      </c>
      <c r="AO142" s="227" t="str">
        <f>INDEX(energiedragers_index_fPren,MATCH(AO141,energiedragers_namen,0))</f>
        <v>nren</v>
      </c>
      <c r="AP142" s="271"/>
      <c r="AQ142" s="271"/>
      <c r="AR142" s="271"/>
      <c r="AS142" s="271"/>
      <c r="AT142" s="271"/>
      <c r="AU142" s="271"/>
      <c r="AV142" s="741"/>
      <c r="AW142" s="190"/>
      <c r="AX142" s="114"/>
      <c r="AY142" s="284" t="str">
        <f>INDEX(energiedragers_index_fPren,MATCH(AY141,energiedragers_namen,0))</f>
        <v>nren</v>
      </c>
      <c r="AZ142" s="169" t="str">
        <f>INDEX(energiedragers_index_fPren,MATCH(AZ141,energiedragers_namen,0))</f>
        <v>nren</v>
      </c>
      <c r="BA142" s="227" t="str">
        <f>INDEX(energiedragers_index_fPren,MATCH(BA141,energiedragers_namen,0))</f>
        <v>nren</v>
      </c>
      <c r="BB142" s="271"/>
      <c r="BC142" s="271"/>
      <c r="BD142" s="271"/>
      <c r="BE142" s="271"/>
      <c r="BF142" s="271"/>
      <c r="BG142" s="271"/>
      <c r="BH142" s="219"/>
    </row>
    <row r="143" spans="1:60" hidden="1">
      <c r="A143" s="1040"/>
      <c r="B143" s="1109" t="s">
        <v>216</v>
      </c>
      <c r="C143" s="1107" t="s">
        <v>181</v>
      </c>
      <c r="D143" s="638"/>
      <c r="E143" s="180" t="s">
        <v>193</v>
      </c>
      <c r="F143" s="180"/>
      <c r="G143" s="180"/>
      <c r="H143" s="181" t="s">
        <v>65</v>
      </c>
      <c r="I143" s="79"/>
      <c r="J143" s="190"/>
      <c r="K143" s="103"/>
      <c r="L143" s="103"/>
      <c r="M143" s="190"/>
      <c r="N143" s="114"/>
      <c r="O143" s="285">
        <f>1-O108</f>
        <v>9.9999999999999978E-2</v>
      </c>
      <c r="P143" s="285">
        <f>1-P108</f>
        <v>0</v>
      </c>
      <c r="Q143" s="285">
        <f>1-Q108</f>
        <v>9.9999999999999978E-2</v>
      </c>
      <c r="R143" s="272"/>
      <c r="S143" s="272"/>
      <c r="T143" s="272"/>
      <c r="U143" s="272"/>
      <c r="V143" s="272"/>
      <c r="W143" s="272"/>
      <c r="X143" s="108"/>
      <c r="Y143" s="190"/>
      <c r="Z143" s="114"/>
      <c r="AA143" s="285">
        <f>1-AA108</f>
        <v>9.9999999999999978E-2</v>
      </c>
      <c r="AB143" s="285">
        <f>1-AB108</f>
        <v>0</v>
      </c>
      <c r="AC143" s="285">
        <f>1-AC108</f>
        <v>9.9999999999999978E-2</v>
      </c>
      <c r="AD143" s="272"/>
      <c r="AE143" s="272"/>
      <c r="AF143" s="272"/>
      <c r="AG143" s="272"/>
      <c r="AH143" s="272"/>
      <c r="AI143" s="272"/>
      <c r="AJ143" s="108"/>
      <c r="AK143" s="190"/>
      <c r="AL143" s="114"/>
      <c r="AM143" s="285">
        <f>1-AM108</f>
        <v>9.9999999999999978E-2</v>
      </c>
      <c r="AN143" s="285">
        <f>1-AN108</f>
        <v>0</v>
      </c>
      <c r="AO143" s="285">
        <f>1-AO108</f>
        <v>9.9999999999999978E-2</v>
      </c>
      <c r="AP143" s="272"/>
      <c r="AQ143" s="272"/>
      <c r="AR143" s="272"/>
      <c r="AS143" s="272"/>
      <c r="AT143" s="272"/>
      <c r="AU143" s="272"/>
      <c r="AV143" s="108"/>
      <c r="AW143" s="190"/>
      <c r="AX143" s="114"/>
      <c r="AY143" s="285">
        <f>1-AY108</f>
        <v>9.9999999999999978E-2</v>
      </c>
      <c r="AZ143" s="285">
        <f>1-AZ108</f>
        <v>0</v>
      </c>
      <c r="BA143" s="285">
        <f>1-BA108</f>
        <v>9.9999999999999978E-2</v>
      </c>
      <c r="BB143" s="272"/>
      <c r="BC143" s="272"/>
      <c r="BD143" s="272"/>
      <c r="BE143" s="272"/>
      <c r="BF143" s="272"/>
      <c r="BG143" s="272"/>
      <c r="BH143" s="174"/>
    </row>
    <row r="144" spans="1:60" hidden="1">
      <c r="A144" s="1040"/>
      <c r="B144" s="1109" t="s">
        <v>216</v>
      </c>
      <c r="C144" s="1107" t="s">
        <v>181</v>
      </c>
      <c r="D144" s="638"/>
      <c r="E144" s="180" t="s">
        <v>219</v>
      </c>
      <c r="F144" s="180"/>
      <c r="G144" s="180"/>
      <c r="H144" s="181" t="s">
        <v>160</v>
      </c>
      <c r="I144" s="79"/>
      <c r="J144" s="202">
        <f>M144+Y144+AK144+AW144</f>
        <v>0</v>
      </c>
      <c r="K144" s="243"/>
      <c r="L144" s="243"/>
      <c r="M144" s="202">
        <f>SUM(O144:X144)</f>
        <v>0</v>
      </c>
      <c r="N144" s="114"/>
      <c r="O144" s="168">
        <f>O$97*O143</f>
        <v>0</v>
      </c>
      <c r="P144" s="168">
        <f>P$97*P143</f>
        <v>0</v>
      </c>
      <c r="Q144" s="168">
        <f>Q$97*Q143</f>
        <v>0</v>
      </c>
      <c r="R144" s="273"/>
      <c r="S144" s="273"/>
      <c r="T144" s="273"/>
      <c r="U144" s="273"/>
      <c r="V144" s="273"/>
      <c r="W144" s="273"/>
      <c r="X144" s="106"/>
      <c r="Y144" s="202">
        <f>SUM(AA144:AJ144)</f>
        <v>0</v>
      </c>
      <c r="Z144" s="114"/>
      <c r="AA144" s="168">
        <f>AA$97*AA143</f>
        <v>0</v>
      </c>
      <c r="AB144" s="168">
        <f>AB$97*AB143</f>
        <v>0</v>
      </c>
      <c r="AC144" s="168">
        <f>AC$97*AC143</f>
        <v>0</v>
      </c>
      <c r="AD144" s="273"/>
      <c r="AE144" s="273"/>
      <c r="AF144" s="273"/>
      <c r="AG144" s="273"/>
      <c r="AH144" s="273"/>
      <c r="AI144" s="273"/>
      <c r="AJ144" s="106"/>
      <c r="AK144" s="202">
        <f>SUM(AM144:AV144)</f>
        <v>0</v>
      </c>
      <c r="AL144" s="114"/>
      <c r="AM144" s="168">
        <f>AM$97*AM143</f>
        <v>0</v>
      </c>
      <c r="AN144" s="168">
        <f>AN$97*AN143</f>
        <v>0</v>
      </c>
      <c r="AO144" s="168">
        <f>AO$97*AO143</f>
        <v>0</v>
      </c>
      <c r="AP144" s="273"/>
      <c r="AQ144" s="273"/>
      <c r="AR144" s="273"/>
      <c r="AS144" s="273"/>
      <c r="AT144" s="273"/>
      <c r="AU144" s="273"/>
      <c r="AV144" s="106"/>
      <c r="AW144" s="202">
        <f>SUM(AY144:BH144)</f>
        <v>0</v>
      </c>
      <c r="AX144" s="114"/>
      <c r="AY144" s="168">
        <f>AY$97*AY143</f>
        <v>0</v>
      </c>
      <c r="AZ144" s="168">
        <f>AZ$97*AZ143</f>
        <v>0</v>
      </c>
      <c r="BA144" s="168">
        <f>BA$97*BA143</f>
        <v>0</v>
      </c>
      <c r="BB144" s="273"/>
      <c r="BC144" s="273"/>
      <c r="BD144" s="273"/>
      <c r="BE144" s="273"/>
      <c r="BF144" s="273"/>
      <c r="BG144" s="273"/>
      <c r="BH144" s="210"/>
    </row>
    <row r="145" spans="1:60">
      <c r="A145" s="1040"/>
      <c r="B145" s="1109" t="s">
        <v>216</v>
      </c>
      <c r="C145" s="1106" t="s">
        <v>118</v>
      </c>
      <c r="D145" s="638"/>
      <c r="E145" s="254" t="s">
        <v>220</v>
      </c>
      <c r="F145" s="254"/>
      <c r="G145" s="254"/>
      <c r="H145" s="291" t="s">
        <v>65</v>
      </c>
      <c r="I145" s="79"/>
      <c r="J145" s="189"/>
      <c r="K145" s="79"/>
      <c r="L145" s="79"/>
      <c r="M145" s="189"/>
      <c r="N145" s="116"/>
      <c r="O145" s="349">
        <f>IF(O146&lt;&gt;"",O146,HLOOKUP(IF(O$83="",referentie_verwarming,O$83),toestellen_RV,ROWS(bibliotheek!$E$83:$E$107),FALSE))</f>
        <v>1</v>
      </c>
      <c r="P145" s="349">
        <f>IF(P146&lt;&gt;"",P146,HLOOKUP(IF(P$83="",referentie_koeling,P$83),toestellen_KOEL,ROWS(bibliotheek!$E$190:$E$206),FALSE))</f>
        <v>0</v>
      </c>
      <c r="Q145" s="349">
        <f>IF(Q146&lt;&gt;"",Q146,HLOOKUP(IF(Q$83="",referentie_warmtapwater,Q$83),toestellen_TAP,ROWS(bibliotheek!$E$139:$E$163),FALSE))</f>
        <v>1</v>
      </c>
      <c r="R145" s="350"/>
      <c r="S145" s="350"/>
      <c r="T145" s="350"/>
      <c r="U145" s="350"/>
      <c r="V145" s="350"/>
      <c r="W145" s="350"/>
      <c r="X145" s="351"/>
      <c r="Y145" s="352"/>
      <c r="Z145" s="114"/>
      <c r="AA145" s="349">
        <f>IF(AA146&lt;&gt;"",AA146,HLOOKUP(IF(AA$83="",referentie_verwarming,AA$83),toestellen_RV,ROWS(bibliotheek!$E$83:$E$107),FALSE))</f>
        <v>1</v>
      </c>
      <c r="AB145" s="349">
        <f>IF(AB146&lt;&gt;"",AB146,HLOOKUP(IF(AB$83="",referentie_koeling,AB$83),toestellen_KOEL,ROWS(bibliotheek!$E$190:$E$206),FALSE))</f>
        <v>0</v>
      </c>
      <c r="AC145" s="349">
        <f>IF(AC146&lt;&gt;"",AC146,HLOOKUP(IF(AC$83="",referentie_warmtapwater,AC$83),toestellen_TAP,ROWS(bibliotheek!$E$139:$E$163),FALSE))</f>
        <v>1</v>
      </c>
      <c r="AD145" s="350"/>
      <c r="AE145" s="350"/>
      <c r="AF145" s="350"/>
      <c r="AG145" s="350"/>
      <c r="AH145" s="350"/>
      <c r="AI145" s="350"/>
      <c r="AJ145" s="351"/>
      <c r="AK145" s="352"/>
      <c r="AL145" s="114"/>
      <c r="AM145" s="349">
        <f>IF(AM146&lt;&gt;"",AM146,HLOOKUP(IF(AM$83="",referentie_verwarming,AM$83),toestellen_RV,ROWS(bibliotheek!$E$83:$E$107),FALSE))</f>
        <v>1</v>
      </c>
      <c r="AN145" s="349">
        <f>IF(AN146&lt;&gt;"",AN146,HLOOKUP(IF(AN$83="",referentie_koeling,AN$83),toestellen_KOEL,ROWS(bibliotheek!$E$190:$E$206),FALSE))</f>
        <v>0</v>
      </c>
      <c r="AO145" s="349">
        <f>IF(AO146&lt;&gt;"",AO146,HLOOKUP(IF(AO$83="",referentie_warmtapwater,AO$83),toestellen_TAP,ROWS(bibliotheek!$E$139:$E$163),FALSE))</f>
        <v>1</v>
      </c>
      <c r="AP145" s="350"/>
      <c r="AQ145" s="350"/>
      <c r="AR145" s="350"/>
      <c r="AS145" s="350"/>
      <c r="AT145" s="350"/>
      <c r="AU145" s="350"/>
      <c r="AV145" s="351"/>
      <c r="AW145" s="352"/>
      <c r="AX145" s="114"/>
      <c r="AY145" s="349">
        <f>IF(AY146&lt;&gt;"",AY146,HLOOKUP(IF(AY$83="",referentie_verwarming,AY$83),toestellen_RV,ROWS(bibliotheek!$E$83:$E$107),FALSE))</f>
        <v>1</v>
      </c>
      <c r="AZ145" s="349">
        <f>IF(AZ146&lt;&gt;"",AZ146,HLOOKUP(IF(AZ$83="",referentie_koeling,AZ$83),toestellen_KOEL,ROWS(bibliotheek!$E$190:$E$206),FALSE))</f>
        <v>0</v>
      </c>
      <c r="BA145" s="349">
        <f>IF(BA146&lt;&gt;"",BA146,HLOOKUP(IF(BA$83="",referentie_warmtapwater,BA$83),toestellen_TAP,ROWS(bibliotheek!$E$139:$E$163),FALSE))</f>
        <v>1</v>
      </c>
      <c r="BB145" s="300"/>
      <c r="BC145" s="300"/>
      <c r="BD145" s="300"/>
      <c r="BE145" s="300"/>
      <c r="BF145" s="300"/>
      <c r="BG145" s="300"/>
      <c r="BH145" s="174"/>
    </row>
    <row r="146" spans="1:60">
      <c r="A146" s="1040"/>
      <c r="B146" s="1109" t="s">
        <v>216</v>
      </c>
      <c r="C146" s="1106" t="s">
        <v>118</v>
      </c>
      <c r="D146" s="638"/>
      <c r="E146" s="1218" t="s">
        <v>197</v>
      </c>
      <c r="F146" s="255"/>
      <c r="G146" s="255"/>
      <c r="H146" s="292"/>
      <c r="I146" s="79"/>
      <c r="J146" s="299"/>
      <c r="K146" s="79"/>
      <c r="L146" s="79"/>
      <c r="M146" s="198"/>
      <c r="N146" s="161"/>
      <c r="O146" s="628"/>
      <c r="P146" s="629"/>
      <c r="Q146" s="628"/>
      <c r="R146" s="630"/>
      <c r="S146" s="630"/>
      <c r="T146" s="630"/>
      <c r="U146" s="630"/>
      <c r="V146" s="630"/>
      <c r="W146" s="630"/>
      <c r="X146" s="348"/>
      <c r="Y146" s="631"/>
      <c r="Z146" s="114"/>
      <c r="AA146" s="628"/>
      <c r="AB146" s="629"/>
      <c r="AC146" s="628"/>
      <c r="AD146" s="630"/>
      <c r="AE146" s="630"/>
      <c r="AF146" s="630"/>
      <c r="AG146" s="630"/>
      <c r="AH146" s="630"/>
      <c r="AI146" s="630"/>
      <c r="AJ146" s="348"/>
      <c r="AK146" s="631"/>
      <c r="AL146" s="114"/>
      <c r="AM146" s="628"/>
      <c r="AN146" s="629"/>
      <c r="AO146" s="628"/>
      <c r="AP146" s="630"/>
      <c r="AQ146" s="630"/>
      <c r="AR146" s="630"/>
      <c r="AS146" s="630"/>
      <c r="AT146" s="630"/>
      <c r="AU146" s="630"/>
      <c r="AV146" s="348"/>
      <c r="AW146" s="631"/>
      <c r="AX146" s="114"/>
      <c r="AY146" s="628"/>
      <c r="AZ146" s="629"/>
      <c r="BA146" s="628"/>
      <c r="BB146" s="301"/>
      <c r="BC146" s="301"/>
      <c r="BD146" s="301"/>
      <c r="BE146" s="301"/>
      <c r="BF146" s="301"/>
      <c r="BG146" s="301"/>
      <c r="BH146" s="174"/>
    </row>
    <row r="147" spans="1:60" hidden="1">
      <c r="A147" s="1040"/>
      <c r="B147" s="1109" t="s">
        <v>216</v>
      </c>
      <c r="C147" s="1106" t="s">
        <v>181</v>
      </c>
      <c r="D147" s="638"/>
      <c r="E147" s="180" t="s">
        <v>221</v>
      </c>
      <c r="F147" s="180"/>
      <c r="G147" s="180"/>
      <c r="H147" s="181" t="s">
        <v>202</v>
      </c>
      <c r="I147" s="79"/>
      <c r="J147" s="202">
        <f>M147+Y147+AK147+AW147</f>
        <v>0</v>
      </c>
      <c r="K147" s="243"/>
      <c r="L147" s="243"/>
      <c r="M147" s="202">
        <f>SUM(O147:X147)</f>
        <v>0</v>
      </c>
      <c r="N147" s="114"/>
      <c r="O147" s="168">
        <f>IF(O$145=0,0,O$144/O$145)</f>
        <v>0</v>
      </c>
      <c r="P147" s="168">
        <f>IF(P$145=0,0,P$144/P$145)</f>
        <v>0</v>
      </c>
      <c r="Q147" s="168">
        <f>IF(Q$145=0,0,Q$144/Q$145)</f>
        <v>0</v>
      </c>
      <c r="R147" s="273"/>
      <c r="S147" s="273"/>
      <c r="T147" s="273"/>
      <c r="U147" s="273"/>
      <c r="V147" s="273"/>
      <c r="W147" s="273"/>
      <c r="X147" s="106"/>
      <c r="Y147" s="202">
        <f>SUM(AA147:AJ147)</f>
        <v>0</v>
      </c>
      <c r="Z147" s="114"/>
      <c r="AA147" s="168">
        <f>IF(AA$145=0,0,AA$144/AA$145)</f>
        <v>0</v>
      </c>
      <c r="AB147" s="168">
        <f>IF(AB$145=0,0,AB$144/AB$145)</f>
        <v>0</v>
      </c>
      <c r="AC147" s="168">
        <f>IF(AC$145=0,0,AC$144/AC$145)</f>
        <v>0</v>
      </c>
      <c r="AD147" s="273"/>
      <c r="AE147" s="273"/>
      <c r="AF147" s="273"/>
      <c r="AG147" s="273"/>
      <c r="AH147" s="273"/>
      <c r="AI147" s="273"/>
      <c r="AJ147" s="106"/>
      <c r="AK147" s="202">
        <f>SUM(AM147:AV147)</f>
        <v>0</v>
      </c>
      <c r="AL147" s="114"/>
      <c r="AM147" s="168">
        <f>IF(AM$145=0,0,AM$144/AM$145)</f>
        <v>0</v>
      </c>
      <c r="AN147" s="168">
        <f>IF(AN$145=0,0,AN$144/AN$145)</f>
        <v>0</v>
      </c>
      <c r="AO147" s="168">
        <f>IF(AO$145=0,0,AO$144/AO$145)</f>
        <v>0</v>
      </c>
      <c r="AP147" s="273"/>
      <c r="AQ147" s="273"/>
      <c r="AR147" s="273"/>
      <c r="AS147" s="273"/>
      <c r="AT147" s="273"/>
      <c r="AU147" s="273"/>
      <c r="AV147" s="106"/>
      <c r="AW147" s="202">
        <f>SUM(AY147:BH147)</f>
        <v>0</v>
      </c>
      <c r="AX147" s="114"/>
      <c r="AY147" s="168">
        <f>IF(AY$145=0,0,AY$144/AY$145)</f>
        <v>0</v>
      </c>
      <c r="AZ147" s="168">
        <f>IF(AZ$145=0,0,AZ$144/AZ$145)</f>
        <v>0</v>
      </c>
      <c r="BA147" s="168">
        <f>IF(BA$145=0,0,BA$144/BA$145)</f>
        <v>0</v>
      </c>
      <c r="BB147" s="273"/>
      <c r="BC147" s="273"/>
      <c r="BD147" s="273"/>
      <c r="BE147" s="273"/>
      <c r="BF147" s="273"/>
      <c r="BG147" s="273"/>
      <c r="BH147" s="210"/>
    </row>
    <row r="148" spans="1:60">
      <c r="A148" s="1040"/>
      <c r="B148" s="1109" t="s">
        <v>216</v>
      </c>
      <c r="C148" s="1106" t="s">
        <v>96</v>
      </c>
      <c r="D148" s="638"/>
      <c r="E148" s="940" t="s">
        <v>1220</v>
      </c>
      <c r="F148" s="940"/>
      <c r="G148" s="940"/>
      <c r="H148" s="940"/>
      <c r="I148" s="77"/>
      <c r="J148" s="939"/>
      <c r="K148" s="126"/>
      <c r="L148" s="126"/>
      <c r="M148" s="938"/>
      <c r="N148" s="191"/>
      <c r="O148" s="177" t="str">
        <f>O$10</f>
        <v>verwarming</v>
      </c>
      <c r="P148" s="177" t="str">
        <f>P$10</f>
        <v>koeling</v>
      </c>
      <c r="Q148" s="177" t="str">
        <f>Q$10</f>
        <v>tapwater</v>
      </c>
      <c r="R148" s="938"/>
      <c r="S148" s="938"/>
      <c r="T148" s="938"/>
      <c r="U148" s="938"/>
      <c r="V148" s="938"/>
      <c r="W148" s="938"/>
      <c r="X148" s="191"/>
      <c r="Y148" s="938"/>
      <c r="Z148" s="191"/>
      <c r="AA148" s="177" t="str">
        <f>AA$10</f>
        <v>verwarming</v>
      </c>
      <c r="AB148" s="177" t="str">
        <f>AB$10</f>
        <v>koeling</v>
      </c>
      <c r="AC148" s="177" t="str">
        <f>AC$10</f>
        <v>tapwater</v>
      </c>
      <c r="AD148" s="938"/>
      <c r="AE148" s="938"/>
      <c r="AF148" s="938"/>
      <c r="AG148" s="938"/>
      <c r="AH148" s="938"/>
      <c r="AI148" s="938"/>
      <c r="AJ148" s="191"/>
      <c r="AK148" s="938"/>
      <c r="AL148" s="191"/>
      <c r="AM148" s="177" t="str">
        <f>AM$10</f>
        <v>verwarming</v>
      </c>
      <c r="AN148" s="177" t="str">
        <f>AN$10</f>
        <v>koeling</v>
      </c>
      <c r="AO148" s="177" t="str">
        <f>AO$10</f>
        <v>tapwater</v>
      </c>
      <c r="AP148" s="938"/>
      <c r="AQ148" s="938"/>
      <c r="AR148" s="938"/>
      <c r="AS148" s="938"/>
      <c r="AT148" s="938"/>
      <c r="AU148" s="938"/>
      <c r="AV148" s="191"/>
      <c r="AW148" s="938"/>
      <c r="AX148" s="191"/>
      <c r="AY148" s="177" t="str">
        <f>AY$10</f>
        <v>verwarming</v>
      </c>
      <c r="AZ148" s="177" t="str">
        <f>AZ$10</f>
        <v>koeling</v>
      </c>
      <c r="BA148" s="177" t="str">
        <f>BA$10</f>
        <v>tapwater</v>
      </c>
      <c r="BB148" s="938"/>
      <c r="BC148" s="938"/>
      <c r="BD148" s="938"/>
      <c r="BE148" s="938"/>
      <c r="BF148" s="938"/>
      <c r="BG148" s="938"/>
      <c r="BH148" s="36"/>
    </row>
    <row r="149" spans="1:60">
      <c r="A149" s="1040"/>
      <c r="B149" s="1109" t="s">
        <v>216</v>
      </c>
      <c r="C149" s="1106" t="s">
        <v>118</v>
      </c>
      <c r="D149" s="641" t="s">
        <v>45</v>
      </c>
      <c r="E149" s="1170" t="s">
        <v>1348</v>
      </c>
      <c r="F149" s="181"/>
      <c r="G149" s="254"/>
      <c r="H149" s="291" t="s">
        <v>204</v>
      </c>
      <c r="I149" s="79"/>
      <c r="J149" s="189"/>
      <c r="K149" s="79"/>
      <c r="L149" s="79"/>
      <c r="M149" s="189"/>
      <c r="N149" s="116"/>
      <c r="O149" s="290">
        <f>IF(O144=0,0,IF(O150&lt;&gt;"",O150,IF(O141=elektriciteit,$G$5,HLOOKUP(O141,ENERGIEDRAGERS,ROWS(bibliotheek!$E$259:$E$261),FALSE))))</f>
        <v>0</v>
      </c>
      <c r="P149" s="290">
        <f>IF(P144=0,0,IF(P150&lt;&gt;"",P150,IF(HLOOKUP(P141,ENERGIEDRAGERS,ROWS(bibliotheek!$E$259:$E$260),FALSE)=0,$G$5,HLOOKUP(P141,ENERGIEDRAGERS,ROWS(bibliotheek!$E$259:$E$261),FALSE))))</f>
        <v>0</v>
      </c>
      <c r="Q149" s="290">
        <f>IF(Q144=0,0,IF(Q150&lt;&gt;"",Q150,IF(Q141=elektriciteit,$G$5,HLOOKUP(Q141,ENERGIEDRAGERS,ROWS(bibliotheek!$E$259:$E$261),FALSE))))</f>
        <v>0</v>
      </c>
      <c r="R149" s="302"/>
      <c r="S149" s="302"/>
      <c r="T149" s="302"/>
      <c r="U149" s="302"/>
      <c r="V149" s="302"/>
      <c r="W149" s="302"/>
      <c r="X149" s="108"/>
      <c r="Y149" s="189"/>
      <c r="Z149" s="116"/>
      <c r="AA149" s="290">
        <f>IF(AA144=0,0,IF(AA150&lt;&gt;"",AA150,IF(AA141=elektriciteit,$G$5,HLOOKUP(AA141,ENERGIEDRAGERS,ROWS(bibliotheek!$E$259:$E$261),FALSE))))</f>
        <v>0</v>
      </c>
      <c r="AB149" s="290">
        <f>IF(AB144=0,0,IF(AB150&lt;&gt;"",AB150,IF(HLOOKUP(AB141,ENERGIEDRAGERS,ROWS(bibliotheek!$E$259:$E$260),FALSE)=0,$G$5,HLOOKUP(AB141,ENERGIEDRAGERS,ROWS(bibliotheek!$E$259:$E$261),FALSE))))</f>
        <v>0</v>
      </c>
      <c r="AC149" s="290">
        <f>IF(AC144=0,0,IF(AC150&lt;&gt;"",AC150,IF(AC141=elektriciteit,$G$5,HLOOKUP(AC141,ENERGIEDRAGERS,ROWS(bibliotheek!$E$259:$E$261),FALSE))))</f>
        <v>0</v>
      </c>
      <c r="AD149" s="302"/>
      <c r="AE149" s="302"/>
      <c r="AF149" s="302"/>
      <c r="AG149" s="302"/>
      <c r="AH149" s="302"/>
      <c r="AI149" s="302"/>
      <c r="AJ149" s="108"/>
      <c r="AK149" s="189"/>
      <c r="AL149" s="116"/>
      <c r="AM149" s="290">
        <f>IF(AM144=0,0,IF(AM150&lt;&gt;"",AM150,IF(AM141=elektriciteit,$G$5,HLOOKUP(AM141,ENERGIEDRAGERS,ROWS(bibliotheek!$E$259:$E$261),FALSE))))</f>
        <v>0</v>
      </c>
      <c r="AN149" s="290">
        <f>IF(AN144=0,0,IF(AN150&lt;&gt;"",AN150,IF(HLOOKUP(AN141,ENERGIEDRAGERS,ROWS(bibliotheek!$E$259:$E$260),FALSE)=0,$G$5,HLOOKUP(AN141,ENERGIEDRAGERS,ROWS(bibliotheek!$E$259:$E$261),FALSE))))</f>
        <v>0</v>
      </c>
      <c r="AO149" s="290">
        <f>IF(AO144=0,0,IF(AO150&lt;&gt;"",AO150,IF(AO141=elektriciteit,$G$5,HLOOKUP(AO141,ENERGIEDRAGERS,ROWS(bibliotheek!$E$259:$E$261),FALSE))))</f>
        <v>0</v>
      </c>
      <c r="AP149" s="302"/>
      <c r="AQ149" s="302"/>
      <c r="AR149" s="302"/>
      <c r="AS149" s="302"/>
      <c r="AT149" s="302"/>
      <c r="AU149" s="302"/>
      <c r="AV149" s="108"/>
      <c r="AW149" s="189"/>
      <c r="AX149" s="116"/>
      <c r="AY149" s="290">
        <f>IF(AY144=0,0,IF(AY150&lt;&gt;"",AY150,IF(AY141=elektriciteit,$G$5,HLOOKUP(AY141,ENERGIEDRAGERS,ROWS(bibliotheek!$E$259:$E$261),FALSE))))</f>
        <v>0</v>
      </c>
      <c r="AZ149" s="290">
        <f>IF(AZ144=0,0,IF(AZ150&lt;&gt;"",AZ150,IF(HLOOKUP(AZ141,ENERGIEDRAGERS,ROWS(bibliotheek!$E$259:$E$260),FALSE)=0,$G$5,HLOOKUP(AZ141,ENERGIEDRAGERS,ROWS(bibliotheek!$E$259:$E$261),FALSE))))</f>
        <v>0</v>
      </c>
      <c r="BA149" s="290">
        <f>IF(BA144=0,0,IF(BA150&lt;&gt;"",BA150,IF(BA141=elektriciteit,$G$5,HLOOKUP(BA141,ENERGIEDRAGERS,ROWS(bibliotheek!$E$259:$E$261),FALSE))))</f>
        <v>0</v>
      </c>
      <c r="BB149" s="302"/>
      <c r="BC149" s="302"/>
      <c r="BD149" s="302"/>
      <c r="BE149" s="302"/>
      <c r="BF149" s="302"/>
      <c r="BG149" s="302"/>
      <c r="BH149" s="174"/>
    </row>
    <row r="150" spans="1:60">
      <c r="A150" s="1040"/>
      <c r="B150" s="1109" t="s">
        <v>216</v>
      </c>
      <c r="C150" s="1106" t="s">
        <v>118</v>
      </c>
      <c r="D150" s="638"/>
      <c r="E150" s="1218" t="s">
        <v>205</v>
      </c>
      <c r="F150" s="255"/>
      <c r="G150" s="255"/>
      <c r="H150" s="292"/>
      <c r="I150" s="79"/>
      <c r="J150" s="299"/>
      <c r="K150" s="79"/>
      <c r="L150" s="79"/>
      <c r="M150" s="198"/>
      <c r="N150" s="161"/>
      <c r="O150" s="628"/>
      <c r="P150" s="629"/>
      <c r="Q150" s="628"/>
      <c r="R150" s="630"/>
      <c r="S150" s="630"/>
      <c r="T150" s="630"/>
      <c r="U150" s="630"/>
      <c r="V150" s="630"/>
      <c r="W150" s="630"/>
      <c r="X150" s="348"/>
      <c r="Y150" s="631"/>
      <c r="Z150" s="114"/>
      <c r="AA150" s="628"/>
      <c r="AB150" s="629"/>
      <c r="AC150" s="628"/>
      <c r="AD150" s="630"/>
      <c r="AE150" s="630"/>
      <c r="AF150" s="630"/>
      <c r="AG150" s="630"/>
      <c r="AH150" s="630"/>
      <c r="AI150" s="630"/>
      <c r="AJ150" s="348"/>
      <c r="AK150" s="631"/>
      <c r="AL150" s="114"/>
      <c r="AM150" s="628"/>
      <c r="AN150" s="629"/>
      <c r="AO150" s="628"/>
      <c r="AP150" s="630"/>
      <c r="AQ150" s="630"/>
      <c r="AR150" s="630"/>
      <c r="AS150" s="630"/>
      <c r="AT150" s="630"/>
      <c r="AU150" s="630"/>
      <c r="AV150" s="348"/>
      <c r="AW150" s="631"/>
      <c r="AX150" s="114"/>
      <c r="AY150" s="628"/>
      <c r="AZ150" s="629"/>
      <c r="BA150" s="628"/>
      <c r="BB150" s="301"/>
      <c r="BC150" s="301"/>
      <c r="BD150" s="301"/>
      <c r="BE150" s="301"/>
      <c r="BF150" s="301"/>
      <c r="BG150" s="301"/>
      <c r="BH150" s="174"/>
    </row>
    <row r="151" spans="1:60">
      <c r="A151" s="1040"/>
      <c r="B151" s="1109" t="s">
        <v>216</v>
      </c>
      <c r="C151" s="1106" t="s">
        <v>104</v>
      </c>
      <c r="D151" s="638"/>
      <c r="E151" s="1162" t="s">
        <v>232</v>
      </c>
      <c r="F151" s="181"/>
      <c r="G151" s="181"/>
      <c r="H151" s="181" t="s">
        <v>106</v>
      </c>
      <c r="I151" s="79"/>
      <c r="J151" s="202">
        <f>M151+Y151+AK151+AW151</f>
        <v>0</v>
      </c>
      <c r="K151" s="1062"/>
      <c r="L151" s="1062"/>
      <c r="M151" s="202">
        <f>SUM(O151:X151)</f>
        <v>0</v>
      </c>
      <c r="N151" s="114"/>
      <c r="O151" s="168">
        <f>O$147*O$149</f>
        <v>0</v>
      </c>
      <c r="P151" s="168">
        <f>P$147*P$149</f>
        <v>0</v>
      </c>
      <c r="Q151" s="168">
        <f>Q$147*Q$149</f>
        <v>0</v>
      </c>
      <c r="R151" s="273"/>
      <c r="S151" s="273"/>
      <c r="T151" s="273"/>
      <c r="U151" s="273"/>
      <c r="V151" s="273"/>
      <c r="W151" s="273"/>
      <c r="X151" s="113"/>
      <c r="Y151" s="202">
        <f>SUM(AA151:AJ151)</f>
        <v>0</v>
      </c>
      <c r="Z151" s="114"/>
      <c r="AA151" s="168">
        <f>AA$147*AA$149</f>
        <v>0</v>
      </c>
      <c r="AB151" s="168">
        <f>AB$147*AB$149</f>
        <v>0</v>
      </c>
      <c r="AC151" s="168">
        <f>AC$147*AC$149</f>
        <v>0</v>
      </c>
      <c r="AD151" s="273"/>
      <c r="AE151" s="273"/>
      <c r="AF151" s="273"/>
      <c r="AG151" s="273"/>
      <c r="AH151" s="273"/>
      <c r="AI151" s="273"/>
      <c r="AJ151" s="113"/>
      <c r="AK151" s="202">
        <f>SUM(AM151:AV151)</f>
        <v>0</v>
      </c>
      <c r="AL151" s="114"/>
      <c r="AM151" s="168">
        <f>AM$147*AM$149</f>
        <v>0</v>
      </c>
      <c r="AN151" s="168">
        <f>AN$147*AN$149</f>
        <v>0</v>
      </c>
      <c r="AO151" s="168">
        <f>AO$147*AO$149</f>
        <v>0</v>
      </c>
      <c r="AP151" s="273"/>
      <c r="AQ151" s="273"/>
      <c r="AR151" s="273"/>
      <c r="AS151" s="273"/>
      <c r="AT151" s="273"/>
      <c r="AU151" s="273"/>
      <c r="AV151" s="113"/>
      <c r="AW151" s="202">
        <f>SUM(AY151:BH151)</f>
        <v>0</v>
      </c>
      <c r="AX151" s="114"/>
      <c r="AY151" s="168">
        <f>AY$147*AY$149</f>
        <v>0</v>
      </c>
      <c r="AZ151" s="168">
        <f>AZ$147*AZ$149</f>
        <v>0</v>
      </c>
      <c r="BA151" s="168">
        <f>BA$147*BA$149</f>
        <v>0</v>
      </c>
      <c r="BB151" s="273"/>
      <c r="BC151" s="273"/>
      <c r="BD151" s="273"/>
      <c r="BE151" s="273"/>
      <c r="BF151" s="273"/>
      <c r="BG151" s="273"/>
      <c r="BH151" s="210"/>
    </row>
    <row r="152" spans="1:60">
      <c r="A152" s="1040"/>
      <c r="B152" s="1109" t="s">
        <v>216</v>
      </c>
      <c r="C152" s="1106" t="s">
        <v>96</v>
      </c>
      <c r="D152" s="638"/>
      <c r="E152" s="940" t="s">
        <v>1200</v>
      </c>
      <c r="F152" s="940"/>
      <c r="G152" s="940"/>
      <c r="H152" s="993"/>
      <c r="I152" s="79"/>
      <c r="J152" s="1016"/>
      <c r="K152" s="1062"/>
      <c r="L152" s="1062"/>
      <c r="M152" s="1017"/>
      <c r="N152" s="79"/>
      <c r="O152" s="1026" t="str">
        <f>O$10</f>
        <v>verwarming</v>
      </c>
      <c r="P152" s="1026" t="str">
        <f>P$10</f>
        <v>koeling</v>
      </c>
      <c r="Q152" s="1026" t="str">
        <f>Q$10</f>
        <v>tapwater</v>
      </c>
      <c r="R152" s="1025"/>
      <c r="S152" s="1025"/>
      <c r="T152" s="1025"/>
      <c r="U152" s="1025"/>
      <c r="V152" s="1025"/>
      <c r="W152" s="1025"/>
      <c r="X152" s="113"/>
      <c r="Y152" s="1031"/>
      <c r="Z152" s="79"/>
      <c r="AA152" s="1026" t="str">
        <f>AA$10</f>
        <v>verwarming</v>
      </c>
      <c r="AB152" s="1026" t="str">
        <f>AB$10</f>
        <v>koeling</v>
      </c>
      <c r="AC152" s="1026" t="str">
        <f>AC$10</f>
        <v>tapwater</v>
      </c>
      <c r="AD152" s="1025"/>
      <c r="AE152" s="1025"/>
      <c r="AF152" s="1025"/>
      <c r="AG152" s="1025"/>
      <c r="AH152" s="1025"/>
      <c r="AI152" s="1025"/>
      <c r="AJ152" s="113"/>
      <c r="AK152" s="1031"/>
      <c r="AL152" s="79"/>
      <c r="AM152" s="1026" t="str">
        <f>AM$10</f>
        <v>verwarming</v>
      </c>
      <c r="AN152" s="1026" t="str">
        <f>AN$10</f>
        <v>koeling</v>
      </c>
      <c r="AO152" s="1026" t="str">
        <f>AO$10</f>
        <v>tapwater</v>
      </c>
      <c r="AP152" s="1025"/>
      <c r="AQ152" s="1025"/>
      <c r="AR152" s="1025"/>
      <c r="AS152" s="1025"/>
      <c r="AT152" s="1025"/>
      <c r="AU152" s="1025"/>
      <c r="AV152" s="113"/>
      <c r="AW152" s="1031"/>
      <c r="AX152" s="79"/>
      <c r="AY152" s="1026" t="str">
        <f>AY$10</f>
        <v>verwarming</v>
      </c>
      <c r="AZ152" s="1026" t="str">
        <f>AZ$10</f>
        <v>koeling</v>
      </c>
      <c r="BA152" s="1026" t="str">
        <f>BA$10</f>
        <v>tapwater</v>
      </c>
      <c r="BB152" s="1025"/>
      <c r="BC152" s="1025"/>
      <c r="BD152" s="1025"/>
      <c r="BE152" s="1025"/>
      <c r="BF152" s="1025"/>
      <c r="BG152" s="1025"/>
      <c r="BH152" s="210"/>
    </row>
    <row r="153" spans="1:60">
      <c r="A153" s="1040"/>
      <c r="B153" s="1109" t="s">
        <v>216</v>
      </c>
      <c r="C153" s="1106" t="s">
        <v>118</v>
      </c>
      <c r="D153" s="638"/>
      <c r="E153" s="1170" t="s">
        <v>1349</v>
      </c>
      <c r="F153" s="181"/>
      <c r="G153" s="254"/>
      <c r="H153" s="1034" t="s">
        <v>1208</v>
      </c>
      <c r="I153" s="79"/>
      <c r="J153" s="1014"/>
      <c r="K153" s="1062"/>
      <c r="L153" s="1062"/>
      <c r="M153" s="202"/>
      <c r="N153" s="79"/>
      <c r="O153" s="228">
        <f>IF(O144=0,0,IF(O154&lt;&gt;"",O154,HLOOKUP(O141,ENERGIEDRAGERS,ROWS(bibliotheek!$E$259:$E$262),FALSE)))</f>
        <v>0</v>
      </c>
      <c r="P153" s="228">
        <f>IF(P144=0,0,IF(P154&lt;&gt;"",P154,HLOOKUP(P141,ENERGIEDRAGERS,ROWS(bibliotheek!$E$259:$E$262),FALSE)))</f>
        <v>0</v>
      </c>
      <c r="Q153" s="228">
        <f>IF(Q144=0,0,IF(Q154&lt;&gt;"",Q154,HLOOKUP(Q141,ENERGIEDRAGERS,ROWS(bibliotheek!$E$259:$E$262),FALSE)))</f>
        <v>0</v>
      </c>
      <c r="R153" s="273"/>
      <c r="S153" s="273"/>
      <c r="T153" s="273"/>
      <c r="U153" s="273"/>
      <c r="V153" s="273"/>
      <c r="W153" s="273"/>
      <c r="X153" s="113"/>
      <c r="Y153" s="202"/>
      <c r="Z153" s="114"/>
      <c r="AA153" s="228">
        <f>IF(AA144=0,0,IF(AA154&lt;&gt;"",AA154,HLOOKUP(AA141,ENERGIEDRAGERS,ROWS(bibliotheek!$E$259:$E$262),FALSE)))</f>
        <v>0</v>
      </c>
      <c r="AB153" s="228">
        <f>IF(AB144=0,0,IF(AB154&lt;&gt;"",AB154,HLOOKUP(AB141,ENERGIEDRAGERS,ROWS(bibliotheek!$E$259:$E$262),FALSE)))</f>
        <v>0</v>
      </c>
      <c r="AC153" s="228">
        <f>IF(AC144=0,0,IF(AC154&lt;&gt;"",AC154,HLOOKUP(AC141,ENERGIEDRAGERS,ROWS(bibliotheek!$E$259:$E$262),FALSE)))</f>
        <v>0</v>
      </c>
      <c r="AD153" s="273"/>
      <c r="AE153" s="273"/>
      <c r="AF153" s="273"/>
      <c r="AG153" s="273"/>
      <c r="AH153" s="273"/>
      <c r="AI153" s="273"/>
      <c r="AJ153" s="113"/>
      <c r="AK153" s="202"/>
      <c r="AL153" s="114"/>
      <c r="AM153" s="228">
        <f>IF(AM144=0,0,IF(AM154&lt;&gt;"",AM154,HLOOKUP(AM141,ENERGIEDRAGERS,ROWS(bibliotheek!$E$259:$E$262),FALSE)))</f>
        <v>0</v>
      </c>
      <c r="AN153" s="228">
        <f>IF(AN144=0,0,IF(AN154&lt;&gt;"",AN154,HLOOKUP(AN141,ENERGIEDRAGERS,ROWS(bibliotheek!$E$259:$E$262),FALSE)))</f>
        <v>0</v>
      </c>
      <c r="AO153" s="228">
        <f>IF(AO144=0,0,IF(AO154&lt;&gt;"",AO154,HLOOKUP(AO141,ENERGIEDRAGERS,ROWS(bibliotheek!$E$259:$E$262),FALSE)))</f>
        <v>0</v>
      </c>
      <c r="AP153" s="273"/>
      <c r="AQ153" s="273"/>
      <c r="AR153" s="273"/>
      <c r="AS153" s="273"/>
      <c r="AT153" s="273"/>
      <c r="AU153" s="273"/>
      <c r="AV153" s="113"/>
      <c r="AW153" s="202"/>
      <c r="AX153" s="114"/>
      <c r="AY153" s="228">
        <f>IF(AY144=0,0,IF(AY154&lt;&gt;"",AY154,HLOOKUP(AY141,ENERGIEDRAGERS,ROWS(bibliotheek!$E$259:$E$262),FALSE)))</f>
        <v>0</v>
      </c>
      <c r="AZ153" s="228">
        <f>IF(AZ144=0,0,IF(AZ154&lt;&gt;"",AZ154,HLOOKUP(AZ141,ENERGIEDRAGERS,ROWS(bibliotheek!$E$259:$E$262),FALSE)))</f>
        <v>0</v>
      </c>
      <c r="BA153" s="228">
        <f>IF(BA144=0,0,IF(BA154&lt;&gt;"",BA154,HLOOKUP(BA141,ENERGIEDRAGERS,ROWS(bibliotheek!$E$259:$E$262),FALSE)))</f>
        <v>0</v>
      </c>
      <c r="BB153" s="273"/>
      <c r="BC153" s="273"/>
      <c r="BD153" s="273"/>
      <c r="BE153" s="273"/>
      <c r="BF153" s="273"/>
      <c r="BG153" s="273"/>
      <c r="BH153" s="210"/>
    </row>
    <row r="154" spans="1:60">
      <c r="A154" s="1040"/>
      <c r="B154" s="1109" t="s">
        <v>216</v>
      </c>
      <c r="C154" s="1106" t="s">
        <v>118</v>
      </c>
      <c r="D154" s="638"/>
      <c r="E154" s="1218" t="s">
        <v>205</v>
      </c>
      <c r="F154" s="255"/>
      <c r="G154" s="255"/>
      <c r="H154" s="292"/>
      <c r="I154" s="79"/>
      <c r="J154" s="299"/>
      <c r="K154" s="79"/>
      <c r="L154" s="79"/>
      <c r="M154" s="198"/>
      <c r="N154" s="161"/>
      <c r="O154" s="1032"/>
      <c r="P154" s="1032"/>
      <c r="Q154" s="1032"/>
      <c r="R154" s="625"/>
      <c r="S154" s="625"/>
      <c r="T154" s="625"/>
      <c r="U154" s="625"/>
      <c r="V154" s="625"/>
      <c r="W154" s="625"/>
      <c r="X154" s="113"/>
      <c r="Y154" s="190"/>
      <c r="Z154" s="114"/>
      <c r="AA154" s="1032"/>
      <c r="AB154" s="1032"/>
      <c r="AC154" s="1032"/>
      <c r="AD154" s="625"/>
      <c r="AE154" s="625"/>
      <c r="AF154" s="625"/>
      <c r="AG154" s="625"/>
      <c r="AH154" s="625"/>
      <c r="AI154" s="625"/>
      <c r="AJ154" s="113"/>
      <c r="AK154" s="190"/>
      <c r="AL154" s="114"/>
      <c r="AM154" s="1032"/>
      <c r="AN154" s="1032"/>
      <c r="AO154" s="1032"/>
      <c r="AP154" s="625"/>
      <c r="AQ154" s="625"/>
      <c r="AR154" s="625"/>
      <c r="AS154" s="625"/>
      <c r="AT154" s="625"/>
      <c r="AU154" s="625"/>
      <c r="AV154" s="113"/>
      <c r="AW154" s="190"/>
      <c r="AX154" s="114"/>
      <c r="AY154" s="1032"/>
      <c r="AZ154" s="1032"/>
      <c r="BA154" s="1032"/>
      <c r="BB154" s="625"/>
      <c r="BC154" s="625"/>
      <c r="BD154" s="625"/>
      <c r="BE154" s="625"/>
      <c r="BF154" s="625"/>
      <c r="BG154" s="625"/>
      <c r="BH154" s="210"/>
    </row>
    <row r="155" spans="1:60">
      <c r="A155" s="1040"/>
      <c r="B155" s="1109" t="s">
        <v>216</v>
      </c>
      <c r="C155" s="1106" t="s">
        <v>118</v>
      </c>
      <c r="D155" s="638"/>
      <c r="E155" s="1175" t="s">
        <v>1201</v>
      </c>
      <c r="F155" s="595"/>
      <c r="G155" s="595"/>
      <c r="H155" s="1013" t="s">
        <v>65</v>
      </c>
      <c r="I155" s="79"/>
      <c r="J155" s="1014"/>
      <c r="K155" s="1062"/>
      <c r="L155" s="1062"/>
      <c r="M155" s="202"/>
      <c r="N155" s="79"/>
      <c r="O155" s="228">
        <f>IF(O144=0,0,IF(O156&lt;&gt;"",O150,HLOOKUP(O141,ENERGIEDRAGERS,ROWS(bibliotheek!$E$259:$E$263),FALSE)))</f>
        <v>0</v>
      </c>
      <c r="P155" s="228">
        <f>IF(P144=0,0,IF(P156&lt;&gt;"",P150,HLOOKUP(P141,ENERGIEDRAGERS,ROWS(bibliotheek!$E$259:$E$263),FALSE)))</f>
        <v>0</v>
      </c>
      <c r="Q155" s="228">
        <f>IF(Q144=0,0,IF(Q156&lt;&gt;"",Q150,HLOOKUP(Q141,ENERGIEDRAGERS,ROWS(bibliotheek!$E$259:$E$263),FALSE)))</f>
        <v>0</v>
      </c>
      <c r="R155" s="273"/>
      <c r="S155" s="273"/>
      <c r="T155" s="273"/>
      <c r="U155" s="273"/>
      <c r="V155" s="273"/>
      <c r="W155" s="273"/>
      <c r="X155" s="113"/>
      <c r="Y155" s="202"/>
      <c r="Z155" s="114"/>
      <c r="AA155" s="228">
        <f>IF(AA144=0,0,IF(AA156&lt;&gt;"",AA150,HLOOKUP(AA141,ENERGIEDRAGERS,ROWS(bibliotheek!$E$259:$E$263),FALSE)))</f>
        <v>0</v>
      </c>
      <c r="AB155" s="228">
        <f>IF(AB144=0,0,IF(AB156&lt;&gt;"",AB150,HLOOKUP(AB141,ENERGIEDRAGERS,ROWS(bibliotheek!$E$259:$E$263),FALSE)))</f>
        <v>0</v>
      </c>
      <c r="AC155" s="228">
        <f>IF(AC144=0,0,IF(AC156&lt;&gt;"",AC150,HLOOKUP(AC141,ENERGIEDRAGERS,ROWS(bibliotheek!$E$259:$E$263),FALSE)))</f>
        <v>0</v>
      </c>
      <c r="AD155" s="273"/>
      <c r="AE155" s="273"/>
      <c r="AF155" s="273"/>
      <c r="AG155" s="273"/>
      <c r="AH155" s="273"/>
      <c r="AI155" s="273"/>
      <c r="AJ155" s="113"/>
      <c r="AK155" s="202"/>
      <c r="AL155" s="114"/>
      <c r="AM155" s="228">
        <f>IF(AM144=0,0,IF(AM156&lt;&gt;"",AM150,HLOOKUP(AM141,ENERGIEDRAGERS,ROWS(bibliotheek!$E$259:$E$263),FALSE)))</f>
        <v>0</v>
      </c>
      <c r="AN155" s="228">
        <f>IF(AN144=0,0,IF(AN156&lt;&gt;"",AN150,HLOOKUP(AN141,ENERGIEDRAGERS,ROWS(bibliotheek!$E$259:$E$263),FALSE)))</f>
        <v>0</v>
      </c>
      <c r="AO155" s="228">
        <f>IF(AO144=0,0,IF(AO156&lt;&gt;"",AO150,HLOOKUP(AO141,ENERGIEDRAGERS,ROWS(bibliotheek!$E$259:$E$263),FALSE)))</f>
        <v>0</v>
      </c>
      <c r="AP155" s="273"/>
      <c r="AQ155" s="273"/>
      <c r="AR155" s="273"/>
      <c r="AS155" s="273"/>
      <c r="AT155" s="273"/>
      <c r="AU155" s="273"/>
      <c r="AV155" s="113"/>
      <c r="AW155" s="202"/>
      <c r="AX155" s="114"/>
      <c r="AY155" s="228">
        <f>IF(AY144=0,0,IF(AY156&lt;&gt;"",AY150,HLOOKUP(AY141,ENERGIEDRAGERS,ROWS(bibliotheek!$E$259:$E$263),FALSE)))</f>
        <v>0</v>
      </c>
      <c r="AZ155" s="228">
        <f>IF(AZ144=0,0,IF(AZ156&lt;&gt;"",AZ150,HLOOKUP(AZ141,ENERGIEDRAGERS,ROWS(bibliotheek!$E$259:$E$263),FALSE)))</f>
        <v>0</v>
      </c>
      <c r="BA155" s="228">
        <f>IF(BA144=0,0,IF(BA156&lt;&gt;"",BA150,HLOOKUP(BA141,ENERGIEDRAGERS,ROWS(bibliotheek!$E$259:$E$263),FALSE)))</f>
        <v>0</v>
      </c>
      <c r="BB155" s="273"/>
      <c r="BC155" s="273"/>
      <c r="BD155" s="273"/>
      <c r="BE155" s="273"/>
      <c r="BF155" s="273"/>
      <c r="BG155" s="273"/>
      <c r="BH155" s="210"/>
    </row>
    <row r="156" spans="1:60">
      <c r="A156" s="1040"/>
      <c r="B156" s="1109" t="s">
        <v>216</v>
      </c>
      <c r="C156" s="1106" t="s">
        <v>118</v>
      </c>
      <c r="D156" s="638"/>
      <c r="E156" s="1218" t="s">
        <v>205</v>
      </c>
      <c r="F156" s="255"/>
      <c r="G156" s="255"/>
      <c r="H156" s="292"/>
      <c r="I156" s="79"/>
      <c r="J156" s="299"/>
      <c r="K156" s="79"/>
      <c r="L156" s="79"/>
      <c r="M156" s="198"/>
      <c r="N156" s="161"/>
      <c r="O156" s="1032"/>
      <c r="P156" s="1033"/>
      <c r="Q156" s="1032"/>
      <c r="R156" s="625"/>
      <c r="S156" s="625"/>
      <c r="T156" s="625"/>
      <c r="U156" s="625"/>
      <c r="V156" s="625"/>
      <c r="W156" s="625"/>
      <c r="X156" s="113"/>
      <c r="Y156" s="190"/>
      <c r="Z156" s="114"/>
      <c r="AA156" s="1032"/>
      <c r="AB156" s="1033"/>
      <c r="AC156" s="1032"/>
      <c r="AD156" s="625"/>
      <c r="AE156" s="625"/>
      <c r="AF156" s="625"/>
      <c r="AG156" s="625"/>
      <c r="AH156" s="625"/>
      <c r="AI156" s="625"/>
      <c r="AJ156" s="113"/>
      <c r="AK156" s="190"/>
      <c r="AL156" s="114"/>
      <c r="AM156" s="1032"/>
      <c r="AN156" s="1033"/>
      <c r="AO156" s="1032"/>
      <c r="AP156" s="625"/>
      <c r="AQ156" s="625"/>
      <c r="AR156" s="625"/>
      <c r="AS156" s="625"/>
      <c r="AT156" s="625"/>
      <c r="AU156" s="625"/>
      <c r="AV156" s="113"/>
      <c r="AW156" s="190"/>
      <c r="AX156" s="114"/>
      <c r="AY156" s="1032"/>
      <c r="AZ156" s="1033"/>
      <c r="BA156" s="1032"/>
      <c r="BB156" s="625"/>
      <c r="BC156" s="625"/>
      <c r="BD156" s="625"/>
      <c r="BE156" s="625"/>
      <c r="BF156" s="625"/>
      <c r="BG156" s="625"/>
      <c r="BH156" s="210"/>
    </row>
    <row r="157" spans="1:60" hidden="1">
      <c r="A157" s="1040"/>
      <c r="B157" s="1109" t="s">
        <v>216</v>
      </c>
      <c r="C157" s="1106" t="s">
        <v>181</v>
      </c>
      <c r="D157" s="638"/>
      <c r="E157" s="1170" t="s">
        <v>232</v>
      </c>
      <c r="F157" s="181"/>
      <c r="G157" s="181"/>
      <c r="H157" s="181" t="s">
        <v>1206</v>
      </c>
      <c r="I157" s="79"/>
      <c r="J157" s="202">
        <f>M157+Y157+AK157+AW157</f>
        <v>0</v>
      </c>
      <c r="K157" s="1062"/>
      <c r="L157" s="1062"/>
      <c r="M157" s="202">
        <f>SUM(O157:X157)</f>
        <v>0</v>
      </c>
      <c r="N157" s="79"/>
      <c r="O157" s="168">
        <f>O$147*O$153*O155</f>
        <v>0</v>
      </c>
      <c r="P157" s="168">
        <f>P$147*P$153*P155</f>
        <v>0</v>
      </c>
      <c r="Q157" s="168">
        <f>Q$147*Q$153*Q155</f>
        <v>0</v>
      </c>
      <c r="R157" s="273"/>
      <c r="S157" s="273"/>
      <c r="T157" s="273"/>
      <c r="U157" s="273"/>
      <c r="V157" s="273"/>
      <c r="W157" s="273"/>
      <c r="X157" s="113"/>
      <c r="Y157" s="202">
        <f>SUM(AA157:AJ157)</f>
        <v>0</v>
      </c>
      <c r="Z157" s="114"/>
      <c r="AA157" s="168">
        <f>AA$147*AA$153*AA155</f>
        <v>0</v>
      </c>
      <c r="AB157" s="168">
        <f>AB$147*AB$153*AB155</f>
        <v>0</v>
      </c>
      <c r="AC157" s="168">
        <f>AC$147*AC$153*AC155</f>
        <v>0</v>
      </c>
      <c r="AD157" s="273"/>
      <c r="AE157" s="273"/>
      <c r="AF157" s="273"/>
      <c r="AG157" s="273"/>
      <c r="AH157" s="273"/>
      <c r="AI157" s="273"/>
      <c r="AJ157" s="113"/>
      <c r="AK157" s="202">
        <f>SUM(AM157:AV157)</f>
        <v>0</v>
      </c>
      <c r="AL157" s="114"/>
      <c r="AM157" s="168">
        <f>AM$147*AM$153*AM155</f>
        <v>0</v>
      </c>
      <c r="AN157" s="168">
        <f>AN$147*AN$153*AN155</f>
        <v>0</v>
      </c>
      <c r="AO157" s="168">
        <f>AO$147*AO$153*AO155</f>
        <v>0</v>
      </c>
      <c r="AP157" s="273"/>
      <c r="AQ157" s="273"/>
      <c r="AR157" s="273"/>
      <c r="AS157" s="273"/>
      <c r="AT157" s="273"/>
      <c r="AU157" s="273"/>
      <c r="AV157" s="113"/>
      <c r="AW157" s="202">
        <f>SUM(AY157:BH157)</f>
        <v>0</v>
      </c>
      <c r="AX157" s="114"/>
      <c r="AY157" s="168">
        <f>AY$147*AY$153*AY155</f>
        <v>0</v>
      </c>
      <c r="AZ157" s="168">
        <f>AZ$147*AZ$153*AZ155</f>
        <v>0</v>
      </c>
      <c r="BA157" s="168">
        <f>BA$147*BA$153*BA155</f>
        <v>0</v>
      </c>
      <c r="BB157" s="273"/>
      <c r="BC157" s="273"/>
      <c r="BD157" s="273"/>
      <c r="BE157" s="273"/>
      <c r="BF157" s="273"/>
      <c r="BG157" s="273"/>
      <c r="BH157" s="210"/>
    </row>
    <row r="158" spans="1:60">
      <c r="A158" s="1040"/>
      <c r="B158" s="1109" t="s">
        <v>216</v>
      </c>
      <c r="C158" s="1106" t="s">
        <v>96</v>
      </c>
      <c r="D158" s="638"/>
      <c r="E158" s="940" t="s">
        <v>107</v>
      </c>
      <c r="F158" s="940"/>
      <c r="G158" s="940"/>
      <c r="H158" s="940"/>
      <c r="I158" s="77"/>
      <c r="J158" s="939"/>
      <c r="K158" s="126"/>
      <c r="L158" s="126"/>
      <c r="M158" s="938"/>
      <c r="N158" s="191"/>
      <c r="O158" s="1028" t="str">
        <f>O$10</f>
        <v>verwarming</v>
      </c>
      <c r="P158" s="1028" t="str">
        <f>P$10</f>
        <v>koeling</v>
      </c>
      <c r="Q158" s="1028" t="str">
        <f>Q$10</f>
        <v>tapwater</v>
      </c>
      <c r="R158" s="1027"/>
      <c r="S158" s="1027"/>
      <c r="T158" s="1027"/>
      <c r="U158" s="1027"/>
      <c r="V158" s="1027"/>
      <c r="W158" s="1027"/>
      <c r="X158" s="191"/>
      <c r="Y158" s="1027"/>
      <c r="Z158" s="191"/>
      <c r="AA158" s="1028" t="str">
        <f>AA$10</f>
        <v>verwarming</v>
      </c>
      <c r="AB158" s="1028" t="str">
        <f>AB$10</f>
        <v>koeling</v>
      </c>
      <c r="AC158" s="1028" t="str">
        <f>AC$10</f>
        <v>tapwater</v>
      </c>
      <c r="AD158" s="1027"/>
      <c r="AE158" s="1027"/>
      <c r="AF158" s="1027"/>
      <c r="AG158" s="1027"/>
      <c r="AH158" s="1027"/>
      <c r="AI158" s="1027"/>
      <c r="AJ158" s="191"/>
      <c r="AK158" s="1027"/>
      <c r="AL158" s="191"/>
      <c r="AM158" s="1028" t="str">
        <f>AM$10</f>
        <v>verwarming</v>
      </c>
      <c r="AN158" s="1028" t="str">
        <f>AN$10</f>
        <v>koeling</v>
      </c>
      <c r="AO158" s="1028" t="str">
        <f>AO$10</f>
        <v>tapwater</v>
      </c>
      <c r="AP158" s="1027"/>
      <c r="AQ158" s="1027"/>
      <c r="AR158" s="1027"/>
      <c r="AS158" s="1027"/>
      <c r="AT158" s="1027"/>
      <c r="AU158" s="1027"/>
      <c r="AV158" s="191"/>
      <c r="AW158" s="1027"/>
      <c r="AX158" s="191"/>
      <c r="AY158" s="1028" t="str">
        <f>AY$10</f>
        <v>verwarming</v>
      </c>
      <c r="AZ158" s="1028" t="str">
        <f>AZ$10</f>
        <v>koeling</v>
      </c>
      <c r="BA158" s="1028" t="str">
        <f>BA$10</f>
        <v>tapwater</v>
      </c>
      <c r="BB158" s="1027"/>
      <c r="BC158" s="1027"/>
      <c r="BD158" s="1027"/>
      <c r="BE158" s="1027"/>
      <c r="BF158" s="1027"/>
      <c r="BG158" s="1027"/>
      <c r="BH158" s="36"/>
    </row>
    <row r="159" spans="1:60">
      <c r="A159" s="1040"/>
      <c r="B159" s="1109" t="s">
        <v>216</v>
      </c>
      <c r="C159" s="1107" t="s">
        <v>118</v>
      </c>
      <c r="D159" s="638"/>
      <c r="E159" s="254" t="s">
        <v>206</v>
      </c>
      <c r="F159" s="254"/>
      <c r="G159" s="254"/>
      <c r="H159" s="291" t="s">
        <v>207</v>
      </c>
      <c r="I159" s="79"/>
      <c r="J159" s="189"/>
      <c r="K159" s="79"/>
      <c r="L159" s="79"/>
      <c r="M159" s="189"/>
      <c r="N159" s="116"/>
      <c r="O159" s="349">
        <f>IF(O144=0,0,IF(O160&lt;&gt;"",O160,IF(O141=elektriciteit,$H$5,
HLOOKUP(O141,ENERGIEDRAGERS,ROWS(bibliotheek!$E$259:$E$264),FALSE))))</f>
        <v>0</v>
      </c>
      <c r="P159" s="349">
        <f>IF(P144=0,0,IF(P160&lt;&gt;"",P160,IF(P141=elektriciteit,$H$5,
HLOOKUP(P141,ENERGIEDRAGERS,ROWS(bibliotheek!$E$259:$E$264),FALSE))))</f>
        <v>0</v>
      </c>
      <c r="Q159" s="349">
        <f>IF(Q144=0,0,IF(Q160&lt;&gt;"",Q160,IF(Q141=elektriciteit,$H$5,
HLOOKUP(Q141,ENERGIEDRAGERS,ROWS(bibliotheek!$E$259:$E$264),FALSE))))</f>
        <v>0</v>
      </c>
      <c r="R159" s="350"/>
      <c r="S159" s="350"/>
      <c r="T159" s="350"/>
      <c r="U159" s="350"/>
      <c r="V159" s="350"/>
      <c r="W159" s="350"/>
      <c r="X159" s="351"/>
      <c r="Y159" s="189"/>
      <c r="Z159" s="353"/>
      <c r="AA159" s="349">
        <f>IF(AA144=0,0,IF(AA160&lt;&gt;"",AA160,IF(AA141=elektriciteit,$H$5,
HLOOKUP(AA141,ENERGIEDRAGERS,ROWS(bibliotheek!$E$259:$E$264),FALSE))))</f>
        <v>0</v>
      </c>
      <c r="AB159" s="349">
        <f>IF(AB144=0,0,IF(AB160&lt;&gt;"",AB160,IF(AB141=elektriciteit,$H$5,
HLOOKUP(AB141,ENERGIEDRAGERS,ROWS(bibliotheek!$E$259:$E$264),FALSE))))</f>
        <v>0</v>
      </c>
      <c r="AC159" s="349">
        <f>IF(AC144=0,0,IF(AC160&lt;&gt;"",AC160,IF(AC141=elektriciteit,$H$5,
HLOOKUP(AC141,ENERGIEDRAGERS,ROWS(bibliotheek!$E$259:$E$264),FALSE))))</f>
        <v>0</v>
      </c>
      <c r="AD159" s="350"/>
      <c r="AE159" s="350"/>
      <c r="AF159" s="350"/>
      <c r="AG159" s="350"/>
      <c r="AH159" s="350"/>
      <c r="AI159" s="350"/>
      <c r="AJ159" s="351"/>
      <c r="AK159" s="189"/>
      <c r="AL159" s="353"/>
      <c r="AM159" s="349">
        <f>IF(AM144=0,0,IF(AM160&lt;&gt;"",AM160,IF(AM141=elektriciteit,$H$5,
HLOOKUP(AM141,ENERGIEDRAGERS,ROWS(bibliotheek!$E$259:$E$264),FALSE))))</f>
        <v>0</v>
      </c>
      <c r="AN159" s="349">
        <f>IF(AN144=0,0,IF(AN160&lt;&gt;"",AN160,IF(AN141=elektriciteit,$H$5,
HLOOKUP(AN141,ENERGIEDRAGERS,ROWS(bibliotheek!$E$259:$E$264),FALSE))))</f>
        <v>0</v>
      </c>
      <c r="AO159" s="349">
        <f>IF(AO144=0,0,IF(AO160&lt;&gt;"",AO160,IF(AO141=elektriciteit,$H$5,
HLOOKUP(AO141,ENERGIEDRAGERS,ROWS(bibliotheek!$E$259:$E$264),FALSE))))</f>
        <v>0</v>
      </c>
      <c r="AP159" s="350"/>
      <c r="AQ159" s="350"/>
      <c r="AR159" s="350"/>
      <c r="AS159" s="350"/>
      <c r="AT159" s="350"/>
      <c r="AU159" s="350"/>
      <c r="AV159" s="351"/>
      <c r="AW159" s="189"/>
      <c r="AX159" s="353"/>
      <c r="AY159" s="349">
        <f>IF(AY144=0,0,IF(AY160&lt;&gt;"",AY160,IF(AY141=elektriciteit,$H$5,
HLOOKUP(AY141,ENERGIEDRAGERS,ROWS(bibliotheek!$E$259:$E$264),FALSE))))</f>
        <v>0</v>
      </c>
      <c r="AZ159" s="349">
        <f>IF(AZ144=0,0,IF(AZ160&lt;&gt;"",AZ160,IF(AZ141=elektriciteit,$H$5,
HLOOKUP(AZ141,ENERGIEDRAGERS,ROWS(bibliotheek!$E$259:$E$264),FALSE))))</f>
        <v>0</v>
      </c>
      <c r="BA159" s="349">
        <f>IF(BA144=0,0,IF(BA160&lt;&gt;"",BA160,IF(BA141=elektriciteit,$H$5,
HLOOKUP(BA141,ENERGIEDRAGERS,ROWS(bibliotheek!$E$259:$E$264),FALSE))))</f>
        <v>0</v>
      </c>
      <c r="BB159" s="302"/>
      <c r="BC159" s="302"/>
      <c r="BD159" s="302"/>
      <c r="BE159" s="302"/>
      <c r="BF159" s="302"/>
      <c r="BG159" s="302"/>
      <c r="BH159" s="174"/>
    </row>
    <row r="160" spans="1:60">
      <c r="A160" s="1040"/>
      <c r="B160" s="1109" t="s">
        <v>216</v>
      </c>
      <c r="C160" s="1107" t="s">
        <v>118</v>
      </c>
      <c r="D160" s="638"/>
      <c r="E160" s="1218" t="s">
        <v>208</v>
      </c>
      <c r="F160" s="255"/>
      <c r="G160" s="255"/>
      <c r="H160" s="292"/>
      <c r="I160" s="79"/>
      <c r="J160" s="299"/>
      <c r="K160" s="79"/>
      <c r="L160" s="79"/>
      <c r="M160" s="198"/>
      <c r="N160" s="161"/>
      <c r="O160" s="628"/>
      <c r="P160" s="629"/>
      <c r="Q160" s="628"/>
      <c r="R160" s="630"/>
      <c r="S160" s="630"/>
      <c r="T160" s="630"/>
      <c r="U160" s="630"/>
      <c r="V160" s="630"/>
      <c r="W160" s="630"/>
      <c r="X160" s="348"/>
      <c r="Y160" s="631"/>
      <c r="Z160" s="114"/>
      <c r="AA160" s="628"/>
      <c r="AB160" s="629"/>
      <c r="AC160" s="628"/>
      <c r="AD160" s="630"/>
      <c r="AE160" s="630"/>
      <c r="AF160" s="630"/>
      <c r="AG160" s="630"/>
      <c r="AH160" s="630"/>
      <c r="AI160" s="630"/>
      <c r="AJ160" s="348"/>
      <c r="AK160" s="631"/>
      <c r="AL160" s="114"/>
      <c r="AM160" s="628"/>
      <c r="AN160" s="629"/>
      <c r="AO160" s="628"/>
      <c r="AP160" s="630"/>
      <c r="AQ160" s="630"/>
      <c r="AR160" s="630"/>
      <c r="AS160" s="630"/>
      <c r="AT160" s="630"/>
      <c r="AU160" s="630"/>
      <c r="AV160" s="348"/>
      <c r="AW160" s="631"/>
      <c r="AX160" s="114"/>
      <c r="AY160" s="628"/>
      <c r="AZ160" s="629"/>
      <c r="BA160" s="628"/>
      <c r="BB160" s="301"/>
      <c r="BC160" s="301"/>
      <c r="BD160" s="301"/>
      <c r="BE160" s="301"/>
      <c r="BF160" s="301"/>
      <c r="BG160" s="301"/>
      <c r="BH160" s="174"/>
    </row>
    <row r="161" spans="1:60">
      <c r="A161" s="1040"/>
      <c r="B161" s="1109" t="s">
        <v>216</v>
      </c>
      <c r="C161" s="1107" t="s">
        <v>104</v>
      </c>
      <c r="D161" s="638"/>
      <c r="E161" s="180" t="s">
        <v>232</v>
      </c>
      <c r="F161" s="181"/>
      <c r="G161" s="181"/>
      <c r="H161" s="181" t="s">
        <v>108</v>
      </c>
      <c r="I161" s="79"/>
      <c r="J161" s="202">
        <f>M161+Y161+AK161+AW161</f>
        <v>0</v>
      </c>
      <c r="K161" s="1062"/>
      <c r="L161" s="1062"/>
      <c r="M161" s="202">
        <f>SUM(O161:X161)</f>
        <v>0</v>
      </c>
      <c r="N161" s="114"/>
      <c r="O161" s="168">
        <f>O$147*O$159</f>
        <v>0</v>
      </c>
      <c r="P161" s="168">
        <f>P$147*P$159</f>
        <v>0</v>
      </c>
      <c r="Q161" s="168">
        <f>Q$147*Q$159</f>
        <v>0</v>
      </c>
      <c r="R161" s="273"/>
      <c r="S161" s="273"/>
      <c r="T161" s="273"/>
      <c r="U161" s="273"/>
      <c r="V161" s="273"/>
      <c r="W161" s="273"/>
      <c r="X161" s="113"/>
      <c r="Y161" s="202">
        <f>SUM(AA161:AJ161)</f>
        <v>0</v>
      </c>
      <c r="Z161" s="114"/>
      <c r="AA161" s="168">
        <f>AA$147*AA$159</f>
        <v>0</v>
      </c>
      <c r="AB161" s="168">
        <f>AB$147*AB$159</f>
        <v>0</v>
      </c>
      <c r="AC161" s="168">
        <f>AC$147*AC$159</f>
        <v>0</v>
      </c>
      <c r="AD161" s="273"/>
      <c r="AE161" s="273"/>
      <c r="AF161" s="273"/>
      <c r="AG161" s="273"/>
      <c r="AH161" s="273"/>
      <c r="AI161" s="273"/>
      <c r="AJ161" s="113"/>
      <c r="AK161" s="202">
        <f>SUM(AM161:AV161)</f>
        <v>0</v>
      </c>
      <c r="AL161" s="114"/>
      <c r="AM161" s="168">
        <f>AM$147*AM$159</f>
        <v>0</v>
      </c>
      <c r="AN161" s="168">
        <f>AN$147*AN$159</f>
        <v>0</v>
      </c>
      <c r="AO161" s="168">
        <f>AO$147*AO$159</f>
        <v>0</v>
      </c>
      <c r="AP161" s="273"/>
      <c r="AQ161" s="273"/>
      <c r="AR161" s="273"/>
      <c r="AS161" s="273"/>
      <c r="AT161" s="273"/>
      <c r="AU161" s="273"/>
      <c r="AV161" s="113"/>
      <c r="AW161" s="202">
        <f>SUM(AY161:BH161)</f>
        <v>0</v>
      </c>
      <c r="AX161" s="114"/>
      <c r="AY161" s="168">
        <f>AY$147*AY$159</f>
        <v>0</v>
      </c>
      <c r="AZ161" s="168">
        <f>AZ$147*AZ$159</f>
        <v>0</v>
      </c>
      <c r="BA161" s="168">
        <f>BA$147*BA$159</f>
        <v>0</v>
      </c>
      <c r="BB161" s="273"/>
      <c r="BC161" s="273"/>
      <c r="BD161" s="273"/>
      <c r="BE161" s="273"/>
      <c r="BF161" s="273"/>
      <c r="BG161" s="273"/>
      <c r="BH161" s="210"/>
    </row>
    <row r="162" spans="1:60">
      <c r="A162" s="1040"/>
      <c r="B162" s="1110" t="s">
        <v>222</v>
      </c>
      <c r="C162" s="1107" t="s">
        <v>104</v>
      </c>
      <c r="D162" s="638"/>
      <c r="E162" s="79"/>
      <c r="F162" s="79"/>
      <c r="G162" s="79"/>
      <c r="H162" s="85"/>
      <c r="I162" s="79"/>
      <c r="J162" s="82"/>
      <c r="K162" s="79"/>
      <c r="L162" s="79"/>
      <c r="M162" s="82"/>
      <c r="N162" s="79"/>
      <c r="O162" s="79"/>
      <c r="P162" s="79"/>
      <c r="Q162" s="79"/>
      <c r="R162" s="82"/>
      <c r="S162" s="82"/>
      <c r="T162" s="82"/>
      <c r="U162" s="82"/>
      <c r="V162" s="82"/>
      <c r="W162" s="82"/>
      <c r="X162" s="82"/>
      <c r="Y162" s="82"/>
      <c r="Z162" s="79"/>
      <c r="AA162" s="154"/>
      <c r="AB162" s="154"/>
      <c r="AC162" s="154"/>
      <c r="AD162" s="82"/>
      <c r="AE162" s="82"/>
      <c r="AF162" s="82"/>
      <c r="AG162" s="82"/>
      <c r="AH162" s="82"/>
      <c r="AI162" s="82"/>
      <c r="AJ162" s="82"/>
      <c r="AK162" s="82"/>
      <c r="AL162" s="79"/>
      <c r="AM162" s="154"/>
      <c r="AN162" s="154"/>
      <c r="AO162" s="154"/>
      <c r="AP162" s="82"/>
      <c r="AQ162" s="82"/>
      <c r="AR162" s="82"/>
      <c r="AS162" s="82"/>
      <c r="AT162" s="82"/>
      <c r="AU162" s="82"/>
      <c r="AV162" s="82"/>
      <c r="AW162" s="82"/>
      <c r="AX162" s="79"/>
      <c r="AY162" s="154"/>
      <c r="AZ162" s="154"/>
      <c r="BA162" s="154"/>
      <c r="BB162" s="82"/>
      <c r="BC162" s="82"/>
      <c r="BD162" s="82"/>
      <c r="BE162" s="82"/>
      <c r="BF162" s="82"/>
      <c r="BG162" s="82"/>
      <c r="BH162" s="1"/>
    </row>
    <row r="163" spans="1:60">
      <c r="A163" s="1040"/>
      <c r="B163" s="1109" t="s">
        <v>223</v>
      </c>
      <c r="C163" s="1107" t="s">
        <v>96</v>
      </c>
      <c r="D163" s="638"/>
      <c r="E163" s="79"/>
      <c r="F163" s="79"/>
      <c r="G163" s="79"/>
      <c r="H163" s="85"/>
      <c r="I163" s="79"/>
      <c r="J163" s="82"/>
      <c r="K163" s="79"/>
      <c r="L163" s="79"/>
      <c r="M163" s="82"/>
      <c r="N163" s="79"/>
      <c r="O163" s="113"/>
      <c r="P163" s="82"/>
      <c r="Q163" s="82"/>
      <c r="R163" s="82"/>
      <c r="S163" s="82"/>
      <c r="T163" s="82"/>
      <c r="U163" s="82"/>
      <c r="V163" s="82"/>
      <c r="W163" s="82"/>
      <c r="X163" s="82"/>
      <c r="Y163" s="82"/>
      <c r="Z163" s="79"/>
      <c r="AA163" s="113"/>
      <c r="AB163" s="82"/>
      <c r="AC163" s="82"/>
      <c r="AD163" s="82"/>
      <c r="AE163" s="82"/>
      <c r="AF163" s="82"/>
      <c r="AG163" s="82"/>
      <c r="AH163" s="82"/>
      <c r="AI163" s="82"/>
      <c r="AJ163" s="82"/>
      <c r="AK163" s="82"/>
      <c r="AL163" s="79"/>
      <c r="AM163" s="113"/>
      <c r="AN163" s="82"/>
      <c r="AO163" s="82"/>
      <c r="AP163" s="82"/>
      <c r="AQ163" s="82"/>
      <c r="AR163" s="82"/>
      <c r="AS163" s="82"/>
      <c r="AT163" s="82"/>
      <c r="AU163" s="82"/>
      <c r="AV163" s="82"/>
      <c r="AW163" s="82"/>
      <c r="AX163" s="79"/>
      <c r="AY163" s="113"/>
      <c r="AZ163" s="82"/>
      <c r="BA163" s="82"/>
      <c r="BB163" s="82"/>
      <c r="BC163" s="82"/>
      <c r="BD163" s="82"/>
      <c r="BE163" s="82"/>
      <c r="BF163" s="82"/>
      <c r="BG163" s="82"/>
      <c r="BH163" s="1"/>
    </row>
    <row r="164" spans="1:60" ht="21">
      <c r="A164" s="1040"/>
      <c r="B164" s="1109" t="s">
        <v>223</v>
      </c>
      <c r="C164" s="1106" t="s">
        <v>96</v>
      </c>
      <c r="D164" s="641" t="s">
        <v>45</v>
      </c>
      <c r="E164" s="199" t="s">
        <v>224</v>
      </c>
      <c r="F164" s="199"/>
      <c r="G164" s="692"/>
      <c r="H164" s="176"/>
      <c r="I164" s="77"/>
      <c r="J164" s="200" t="str">
        <f>J$10</f>
        <v>alle locaties</v>
      </c>
      <c r="K164" s="126"/>
      <c r="L164" s="126"/>
      <c r="M164" s="200" t="str">
        <f>M$10</f>
        <v>locatie 1</v>
      </c>
      <c r="N164" s="182"/>
      <c r="O164" s="966" t="str">
        <f>$E164&amp;" per energiepost"</f>
        <v>energiegebruik niet voor verwarmen/koelen per energiepost</v>
      </c>
      <c r="P164" s="941"/>
      <c r="Q164" s="941"/>
      <c r="R164" s="941"/>
      <c r="S164" s="941"/>
      <c r="T164" s="941"/>
      <c r="U164" s="941"/>
      <c r="V164" s="941"/>
      <c r="W164" s="956"/>
      <c r="X164" s="174"/>
      <c r="Y164" s="200" t="str">
        <f>Y$10</f>
        <v>locatie 2</v>
      </c>
      <c r="Z164" s="182"/>
      <c r="AA164" s="966" t="str">
        <f>$E164&amp;" per energiepost"</f>
        <v>energiegebruik niet voor verwarmen/koelen per energiepost</v>
      </c>
      <c r="AB164" s="941"/>
      <c r="AC164" s="941"/>
      <c r="AD164" s="941"/>
      <c r="AE164" s="941"/>
      <c r="AF164" s="941"/>
      <c r="AG164" s="941"/>
      <c r="AH164" s="941"/>
      <c r="AI164" s="956"/>
      <c r="AJ164" s="174"/>
      <c r="AK164" s="200" t="str">
        <f>AK$10</f>
        <v>locatie 3</v>
      </c>
      <c r="AL164" s="182"/>
      <c r="AM164" s="966" t="str">
        <f>$E164&amp;" per energiepost"</f>
        <v>energiegebruik niet voor verwarmen/koelen per energiepost</v>
      </c>
      <c r="AN164" s="941"/>
      <c r="AO164" s="941"/>
      <c r="AP164" s="941"/>
      <c r="AQ164" s="941"/>
      <c r="AR164" s="941"/>
      <c r="AS164" s="941"/>
      <c r="AT164" s="941"/>
      <c r="AU164" s="956"/>
      <c r="AV164" s="174"/>
      <c r="AW164" s="200" t="str">
        <f>AW$10</f>
        <v>locatie 4</v>
      </c>
      <c r="AX164" s="182"/>
      <c r="AY164" s="966" t="str">
        <f>$E164&amp;" per energiepost"</f>
        <v>energiegebruik niet voor verwarmen/koelen per energiepost</v>
      </c>
      <c r="AZ164" s="941"/>
      <c r="BA164" s="941"/>
      <c r="BB164" s="941"/>
      <c r="BC164" s="941"/>
      <c r="BD164" s="941"/>
      <c r="BE164" s="941"/>
      <c r="BF164" s="941"/>
      <c r="BG164" s="956"/>
      <c r="BH164" s="1"/>
    </row>
    <row r="165" spans="1:60">
      <c r="A165" s="1040"/>
      <c r="B165" s="1109" t="s">
        <v>223</v>
      </c>
      <c r="C165" s="1106" t="s">
        <v>96</v>
      </c>
      <c r="D165" s="638"/>
      <c r="E165" s="940" t="s">
        <v>225</v>
      </c>
      <c r="F165" s="940"/>
      <c r="G165" s="940"/>
      <c r="H165" s="940"/>
      <c r="I165" s="77"/>
      <c r="J165" s="939"/>
      <c r="K165" s="126"/>
      <c r="L165" s="126"/>
      <c r="M165" s="938"/>
      <c r="N165" s="191"/>
      <c r="O165" s="177" t="str">
        <f t="shared" ref="O165:V165" si="119">O$10</f>
        <v>verwarming</v>
      </c>
      <c r="P165" s="177" t="str">
        <f t="shared" si="119"/>
        <v>koeling</v>
      </c>
      <c r="Q165" s="177" t="str">
        <f t="shared" si="119"/>
        <v>tapwater</v>
      </c>
      <c r="R165" s="177" t="str">
        <f t="shared" si="119"/>
        <v>verlichting</v>
      </c>
      <c r="S165" s="177" t="str">
        <f t="shared" si="119"/>
        <v>ventilatoren</v>
      </c>
      <c r="T165" s="177" t="str">
        <f t="shared" si="119"/>
        <v>kookgas</v>
      </c>
      <c r="U165" s="177" t="str">
        <f t="shared" si="119"/>
        <v>overig elektra</v>
      </c>
      <c r="V165" s="177" t="str">
        <f t="shared" si="119"/>
        <v>mobiliteit</v>
      </c>
      <c r="W165" s="177"/>
      <c r="X165" s="191"/>
      <c r="Y165" s="938"/>
      <c r="Z165" s="191"/>
      <c r="AA165" s="177" t="str">
        <f t="shared" ref="AA165:AH165" si="120">AA$10</f>
        <v>verwarming</v>
      </c>
      <c r="AB165" s="177" t="str">
        <f t="shared" si="120"/>
        <v>koeling</v>
      </c>
      <c r="AC165" s="177" t="str">
        <f t="shared" si="120"/>
        <v>tapwater</v>
      </c>
      <c r="AD165" s="177" t="str">
        <f t="shared" si="120"/>
        <v>verlichting</v>
      </c>
      <c r="AE165" s="177" t="str">
        <f t="shared" si="120"/>
        <v>ventilatoren</v>
      </c>
      <c r="AF165" s="177" t="str">
        <f t="shared" si="120"/>
        <v>kookgas</v>
      </c>
      <c r="AG165" s="177" t="str">
        <f t="shared" si="120"/>
        <v>overig elektra</v>
      </c>
      <c r="AH165" s="177" t="str">
        <f t="shared" si="120"/>
        <v>mobiliteit</v>
      </c>
      <c r="AI165" s="177"/>
      <c r="AJ165" s="191"/>
      <c r="AK165" s="938"/>
      <c r="AL165" s="191"/>
      <c r="AM165" s="177" t="str">
        <f t="shared" ref="AM165:AT165" si="121">AM$10</f>
        <v>verwarming</v>
      </c>
      <c r="AN165" s="177" t="str">
        <f t="shared" si="121"/>
        <v>koeling</v>
      </c>
      <c r="AO165" s="177" t="str">
        <f t="shared" si="121"/>
        <v>tapwater</v>
      </c>
      <c r="AP165" s="177" t="str">
        <f t="shared" si="121"/>
        <v>verlichting</v>
      </c>
      <c r="AQ165" s="177" t="str">
        <f t="shared" si="121"/>
        <v>ventilatoren</v>
      </c>
      <c r="AR165" s="177" t="str">
        <f t="shared" si="121"/>
        <v>kookgas</v>
      </c>
      <c r="AS165" s="177" t="str">
        <f t="shared" si="121"/>
        <v>overig elektra</v>
      </c>
      <c r="AT165" s="177" t="str">
        <f t="shared" si="121"/>
        <v>mobiliteit</v>
      </c>
      <c r="AU165" s="177"/>
      <c r="AV165" s="191"/>
      <c r="AW165" s="938"/>
      <c r="AX165" s="191"/>
      <c r="AY165" s="177" t="str">
        <f t="shared" ref="AY165:BF165" si="122">AY$10</f>
        <v>verwarming</v>
      </c>
      <c r="AZ165" s="177" t="str">
        <f t="shared" si="122"/>
        <v>koeling</v>
      </c>
      <c r="BA165" s="177" t="str">
        <f t="shared" si="122"/>
        <v>tapwater</v>
      </c>
      <c r="BB165" s="177" t="str">
        <f t="shared" si="122"/>
        <v>verlichting</v>
      </c>
      <c r="BC165" s="177" t="str">
        <f t="shared" si="122"/>
        <v>ventilatoren</v>
      </c>
      <c r="BD165" s="177" t="str">
        <f t="shared" si="122"/>
        <v>kookgas</v>
      </c>
      <c r="BE165" s="177" t="str">
        <f t="shared" si="122"/>
        <v>overig elektra</v>
      </c>
      <c r="BF165" s="177" t="str">
        <f t="shared" si="122"/>
        <v>mobiliteit</v>
      </c>
      <c r="BG165" s="177"/>
      <c r="BH165" s="36"/>
    </row>
    <row r="166" spans="1:60">
      <c r="A166" s="1040"/>
      <c r="B166" s="1109" t="s">
        <v>223</v>
      </c>
      <c r="C166" s="1107" t="s">
        <v>118</v>
      </c>
      <c r="D166" s="638"/>
      <c r="E166" s="254" t="s">
        <v>226</v>
      </c>
      <c r="F166" s="254"/>
      <c r="G166" s="254"/>
      <c r="H166" s="291" t="s">
        <v>213</v>
      </c>
      <c r="I166" s="191"/>
      <c r="J166" s="305"/>
      <c r="K166" s="243"/>
      <c r="L166" s="243"/>
      <c r="M166" s="299"/>
      <c r="N166" s="376"/>
      <c r="O166" s="377">
        <f>IF(O167&lt;&gt;"",O167,HLOOKUP(IF(O$83="",referentie_verwarming,O$83),toestellen_RV,ROWS(bibliotheek!$E$83:$E$118),FALSE))</f>
        <v>0</v>
      </c>
      <c r="P166" s="377">
        <f>IF(P167&lt;&gt;"",P167,HLOOKUP(IF(P$83="",referentie_koeling,P$83),toestellen_KOEL,ROWS(bibliotheek!$E$190:$E$209),FALSE))</f>
        <v>0</v>
      </c>
      <c r="Q166" s="377">
        <f>IF(Q167&lt;&gt;"",Q167,HLOOKUP(IF(Q$83="",referentie_warmtapwater,Q$83),toestellen_TAP,ROWS(bibliotheek!$E$139:$E$166),FALSE))</f>
        <v>4.4999999999999998E-2</v>
      </c>
      <c r="R166" s="378"/>
      <c r="S166" s="378"/>
      <c r="T166" s="378"/>
      <c r="U166" s="378"/>
      <c r="V166" s="378"/>
      <c r="W166" s="378"/>
      <c r="X166" s="356"/>
      <c r="Y166" s="289"/>
      <c r="Z166" s="376"/>
      <c r="AA166" s="377">
        <f>IF(AA167&lt;&gt;"",AA167,HLOOKUP(IF(AA$83="",referentie_verwarming,AA$83),toestellen_RV,ROWS(bibliotheek!$E$83:$E$118),FALSE))</f>
        <v>0</v>
      </c>
      <c r="AB166" s="377">
        <f>IF(AB167&lt;&gt;"",AB167,HLOOKUP(IF(AB$83="",referentie_koeling,AB$83),toestellen_KOEL,ROWS(bibliotheek!$E$190:$E$209),FALSE))</f>
        <v>0</v>
      </c>
      <c r="AC166" s="377">
        <f>IF(AC167&lt;&gt;"",AC167,HLOOKUP(IF(AC$83="",referentie_warmtapwater,AC$83),toestellen_TAP,ROWS(bibliotheek!$E$139:$E$166),FALSE))</f>
        <v>4.4999999999999998E-2</v>
      </c>
      <c r="AD166" s="378"/>
      <c r="AE166" s="378"/>
      <c r="AF166" s="378"/>
      <c r="AG166" s="378"/>
      <c r="AH166" s="378"/>
      <c r="AI166" s="378"/>
      <c r="AJ166" s="356"/>
      <c r="AK166" s="289"/>
      <c r="AL166" s="376"/>
      <c r="AM166" s="377">
        <f>IF(AM167&lt;&gt;"",AM167,HLOOKUP(IF(AM$83="",referentie_verwarming,AM$83),toestellen_RV,ROWS(bibliotheek!$E$83:$E$118),FALSE))</f>
        <v>0</v>
      </c>
      <c r="AN166" s="377">
        <f>IF(AN167&lt;&gt;"",AN167,HLOOKUP(IF(AN$83="",referentie_koeling,AN$83),toestellen_KOEL,ROWS(bibliotheek!$E$190:$E$209),FALSE))</f>
        <v>0</v>
      </c>
      <c r="AO166" s="377">
        <f>IF(AO167&lt;&gt;"",AO167,HLOOKUP(IF(AO$83="",referentie_warmtapwater,AO$83),toestellen_TAP,ROWS(bibliotheek!$E$139:$E$166),FALSE))</f>
        <v>4.4999999999999998E-2</v>
      </c>
      <c r="AP166" s="378"/>
      <c r="AQ166" s="378"/>
      <c r="AR166" s="378"/>
      <c r="AS166" s="378"/>
      <c r="AT166" s="378"/>
      <c r="AU166" s="378"/>
      <c r="AV166" s="356"/>
      <c r="AW166" s="289"/>
      <c r="AX166" s="376"/>
      <c r="AY166" s="377">
        <f>IF(AY167&lt;&gt;"",AY167,HLOOKUP(IF(AY$83="",referentie_verwarming,AY$83),toestellen_RV,ROWS(bibliotheek!$E$83:$E$118),FALSE))</f>
        <v>0</v>
      </c>
      <c r="AZ166" s="377">
        <f>IF(AZ167&lt;&gt;"",AZ167,HLOOKUP(IF(AZ$83="",referentie_koeling,AZ$83),toestellen_KOEL,ROWS(bibliotheek!$E$190:$E$209),FALSE))</f>
        <v>0</v>
      </c>
      <c r="BA166" s="377">
        <f>IF(BA167&lt;&gt;"",BA167,HLOOKUP(IF(BA$83="",referentie_warmtapwater,BA$83),toestellen_TAP,ROWS(bibliotheek!$E$139:$E$166),FALSE))</f>
        <v>4.4999999999999998E-2</v>
      </c>
      <c r="BB166" s="306"/>
      <c r="BC166" s="306"/>
      <c r="BD166" s="306"/>
      <c r="BE166" s="306"/>
      <c r="BF166" s="306"/>
      <c r="BG166" s="306"/>
      <c r="BH166" s="174"/>
    </row>
    <row r="167" spans="1:60">
      <c r="A167" s="1040"/>
      <c r="B167" s="1109" t="s">
        <v>223</v>
      </c>
      <c r="C167" s="1107" t="s">
        <v>118</v>
      </c>
      <c r="D167" s="638"/>
      <c r="E167" s="1218" t="s">
        <v>208</v>
      </c>
      <c r="F167" s="255"/>
      <c r="G167" s="255"/>
      <c r="H167" s="292"/>
      <c r="I167" s="191"/>
      <c r="J167" s="299"/>
      <c r="K167" s="243"/>
      <c r="L167" s="243"/>
      <c r="M167" s="299"/>
      <c r="N167" s="308"/>
      <c r="O167" s="276"/>
      <c r="P167" s="281"/>
      <c r="Q167" s="276"/>
      <c r="R167" s="309"/>
      <c r="S167" s="309"/>
      <c r="T167" s="309"/>
      <c r="U167" s="309"/>
      <c r="V167" s="309"/>
      <c r="W167" s="309"/>
      <c r="X167" s="113"/>
      <c r="Y167" s="307"/>
      <c r="Z167" s="308"/>
      <c r="AA167" s="276"/>
      <c r="AB167" s="281"/>
      <c r="AC167" s="276"/>
      <c r="AD167" s="309"/>
      <c r="AE167" s="309"/>
      <c r="AF167" s="309"/>
      <c r="AG167" s="309"/>
      <c r="AH167" s="309"/>
      <c r="AI167" s="309"/>
      <c r="AJ167" s="113"/>
      <c r="AK167" s="307"/>
      <c r="AL167" s="308"/>
      <c r="AM167" s="276"/>
      <c r="AN167" s="281"/>
      <c r="AO167" s="276"/>
      <c r="AP167" s="309"/>
      <c r="AQ167" s="309"/>
      <c r="AR167" s="309"/>
      <c r="AS167" s="309"/>
      <c r="AT167" s="309"/>
      <c r="AU167" s="309"/>
      <c r="AV167" s="113"/>
      <c r="AW167" s="307"/>
      <c r="AX167" s="308"/>
      <c r="AY167" s="276"/>
      <c r="AZ167" s="281"/>
      <c r="BA167" s="276"/>
      <c r="BB167" s="309"/>
      <c r="BC167" s="309"/>
      <c r="BD167" s="309"/>
      <c r="BE167" s="309"/>
      <c r="BF167" s="309"/>
      <c r="BG167" s="309"/>
      <c r="BH167" s="174"/>
    </row>
    <row r="168" spans="1:60">
      <c r="A168" s="1046"/>
      <c r="B168" s="1109" t="s">
        <v>223</v>
      </c>
      <c r="C168" s="1107" t="s">
        <v>118</v>
      </c>
      <c r="D168" s="643"/>
      <c r="E168" s="245" t="s">
        <v>227</v>
      </c>
      <c r="F168" s="245"/>
      <c r="G168" s="245"/>
      <c r="H168" s="201" t="s">
        <v>202</v>
      </c>
      <c r="I168" s="191"/>
      <c r="J168" s="202">
        <f>M168+Y168+AK168+AW168</f>
        <v>0</v>
      </c>
      <c r="K168" s="243"/>
      <c r="L168" s="243"/>
      <c r="M168" s="202">
        <f>SUM(O168:X168)</f>
        <v>0</v>
      </c>
      <c r="N168" s="89"/>
      <c r="O168" s="168">
        <f>O$132*O$166</f>
        <v>0</v>
      </c>
      <c r="P168" s="168">
        <f>P$132*P$166</f>
        <v>0</v>
      </c>
      <c r="Q168" s="168">
        <f>Q$132*Q$166</f>
        <v>0</v>
      </c>
      <c r="R168" s="273"/>
      <c r="S168" s="273"/>
      <c r="T168" s="273"/>
      <c r="U168" s="273"/>
      <c r="V168" s="273"/>
      <c r="W168" s="273"/>
      <c r="X168" s="106"/>
      <c r="Y168" s="202">
        <f>SUM(AA168:AJ168)</f>
        <v>0</v>
      </c>
      <c r="Z168" s="89"/>
      <c r="AA168" s="168">
        <f>AA$132*AA$166</f>
        <v>0</v>
      </c>
      <c r="AB168" s="168">
        <f>AB$132*AB$166</f>
        <v>0</v>
      </c>
      <c r="AC168" s="168">
        <f>AC$132*AC$166</f>
        <v>0</v>
      </c>
      <c r="AD168" s="273"/>
      <c r="AE168" s="273"/>
      <c r="AF168" s="273"/>
      <c r="AG168" s="273"/>
      <c r="AH168" s="273"/>
      <c r="AI168" s="273"/>
      <c r="AJ168" s="106"/>
      <c r="AK168" s="202">
        <f>SUM(AM168:AV168)</f>
        <v>0</v>
      </c>
      <c r="AL168" s="89"/>
      <c r="AM168" s="168">
        <f>AM$132*AM$166</f>
        <v>0</v>
      </c>
      <c r="AN168" s="168">
        <f>AN$132*AN$166</f>
        <v>0</v>
      </c>
      <c r="AO168" s="168">
        <f>AO$132*AO$166</f>
        <v>0</v>
      </c>
      <c r="AP168" s="273"/>
      <c r="AQ168" s="273"/>
      <c r="AR168" s="273"/>
      <c r="AS168" s="273"/>
      <c r="AT168" s="273"/>
      <c r="AU168" s="273"/>
      <c r="AV168" s="106"/>
      <c r="AW168" s="202">
        <f>SUM(AY168:BH168)</f>
        <v>0</v>
      </c>
      <c r="AX168" s="89"/>
      <c r="AY168" s="168">
        <f>AY$132*AY$166</f>
        <v>0</v>
      </c>
      <c r="AZ168" s="168">
        <f>AZ$132*AZ$166</f>
        <v>0</v>
      </c>
      <c r="BA168" s="168">
        <f>BA$132*BA$166</f>
        <v>0</v>
      </c>
      <c r="BB168" s="273"/>
      <c r="BC168" s="273"/>
      <c r="BD168" s="273"/>
      <c r="BE168" s="273"/>
      <c r="BF168" s="273"/>
      <c r="BG168" s="273"/>
      <c r="BH168" s="174"/>
    </row>
    <row r="169" spans="1:60" hidden="1">
      <c r="A169" s="1046"/>
      <c r="B169" s="1109" t="s">
        <v>223</v>
      </c>
      <c r="C169" s="1111" t="s">
        <v>181</v>
      </c>
      <c r="D169" s="643" t="s">
        <v>45</v>
      </c>
      <c r="E169" s="245" t="s">
        <v>228</v>
      </c>
      <c r="F169" s="245"/>
      <c r="G169" s="245"/>
      <c r="H169" s="201" t="s">
        <v>202</v>
      </c>
      <c r="I169" s="191"/>
      <c r="J169" s="202">
        <f>M169+Y169+AK169+AW169</f>
        <v>0</v>
      </c>
      <c r="K169" s="243"/>
      <c r="L169" s="243"/>
      <c r="M169" s="202">
        <f>SUM(O169:X169)</f>
        <v>0</v>
      </c>
      <c r="N169" s="89"/>
      <c r="O169" s="168">
        <f>IF(O31=0,0,
(O$98*IFERROR((  INDEX(bibliotheek!$E$109:$BE$109,MATCH(O$83,toestellen_RV_kopregel,0)) +
INDEX(bibliotheek!$E$110:$BE$110,MATCH(O$83,toestellen_RV_kopregel,0))  *(O$97*1000/O$98)/
(  INDEX(bibliotheek!$E$111:$BE$111,MATCH(O$83,toestellen_RV_kopregel,0)) *
INDEX(bibliotheek!$E$112:$BE$112,MATCH(O$83,toestellen_RV_kopregel,0)) ) ),0)+
O$98*INDEX(bibliotheek!$E$113:$BE$113,MATCH(O$83,toestellen_RV_kopregel,0))+
O$99*INDEX(bibliotheek!$E$114:$BE$114,MATCH(O$83,toestellen_RV_kopregel,0)))/1000)</f>
        <v>0</v>
      </c>
      <c r="P169" s="273"/>
      <c r="Q169" s="273"/>
      <c r="R169" s="168">
        <f>R$78</f>
        <v>0</v>
      </c>
      <c r="S169" s="168">
        <f>S$78</f>
        <v>0</v>
      </c>
      <c r="T169" s="273"/>
      <c r="U169" s="168">
        <f>U$78</f>
        <v>0</v>
      </c>
      <c r="V169" s="168">
        <f>V$78</f>
        <v>0</v>
      </c>
      <c r="W169" s="273"/>
      <c r="X169" s="106"/>
      <c r="Y169" s="202">
        <f>SUM(AA169:AJ169)</f>
        <v>0</v>
      </c>
      <c r="Z169" s="89"/>
      <c r="AA169" s="168">
        <f>IF(AA31=0,0,
(AA$98*IFERROR((  INDEX(bibliotheek!$E$109:$BE$109,MATCH(AA$83,toestellen_RV_kopregel,0)) +
INDEX(bibliotheek!$E$110:$BE$110,MATCH(AA$83,toestellen_RV_kopregel,0))  *(AA$97*1000/AA$98)/
(  INDEX(bibliotheek!$E$111:$BE$111,MATCH(AA$83,toestellen_RV_kopregel,0)) *
INDEX(bibliotheek!$E$112:$BE$112,MATCH(AA$83,toestellen_RV_kopregel,0)) ) ),0)+
AA$98*INDEX(bibliotheek!$E$113:$BE$113,MATCH(AA$83,toestellen_RV_kopregel,0))+
AA$99*INDEX(bibliotheek!$E$114:$BE$114,MATCH(AA$83,toestellen_RV_kopregel,0)))/1000)</f>
        <v>0</v>
      </c>
      <c r="AB169" s="273"/>
      <c r="AC169" s="273"/>
      <c r="AD169" s="168">
        <f>AD$78</f>
        <v>0</v>
      </c>
      <c r="AE169" s="168">
        <f>AE$78</f>
        <v>0</v>
      </c>
      <c r="AF169" s="273"/>
      <c r="AG169" s="168">
        <f>AG$78</f>
        <v>0</v>
      </c>
      <c r="AH169" s="168">
        <f>AH$78</f>
        <v>0</v>
      </c>
      <c r="AI169" s="273"/>
      <c r="AJ169" s="106"/>
      <c r="AK169" s="202">
        <f>SUM(AM169:AV169)</f>
        <v>0</v>
      </c>
      <c r="AL169" s="89"/>
      <c r="AM169" s="168">
        <f>IF(AM31=0,0,
(AM$98*IFERROR((  INDEX(bibliotheek!$E$109:$BE$109,MATCH(AM$83,toestellen_RV_kopregel,0)) +
INDEX(bibliotheek!$E$110:$BE$110,MATCH(AM$83,toestellen_RV_kopregel,0))  *(AM$97*1000/AM$98)/
(  INDEX(bibliotheek!$E$111:$BE$111,MATCH(AM$83,toestellen_RV_kopregel,0)) *
INDEX(bibliotheek!$E$112:$BE$112,MATCH(AM$83,toestellen_RV_kopregel,0)) ) ),0)+
AM$98*INDEX(bibliotheek!$E$113:$BE$113,MATCH(AM$83,toestellen_RV_kopregel,0))+
AM$99*INDEX(bibliotheek!$E$114:$BE$114,MATCH(AM$83,toestellen_RV_kopregel,0)))/1000)</f>
        <v>0</v>
      </c>
      <c r="AN169" s="273"/>
      <c r="AO169" s="273"/>
      <c r="AP169" s="168">
        <f>AP$78</f>
        <v>0</v>
      </c>
      <c r="AQ169" s="168">
        <f>AQ$78</f>
        <v>0</v>
      </c>
      <c r="AR169" s="273"/>
      <c r="AS169" s="168">
        <f>AS$78</f>
        <v>0</v>
      </c>
      <c r="AT169" s="168">
        <f>AT$78</f>
        <v>0</v>
      </c>
      <c r="AU169" s="273"/>
      <c r="AV169" s="106"/>
      <c r="AW169" s="202">
        <f>SUM(AY169:BH169)</f>
        <v>0</v>
      </c>
      <c r="AX169" s="89"/>
      <c r="AY169" s="168">
        <f>IF(AY31=0,0,
(AY$98*IFERROR((  INDEX(bibliotheek!$E$109:$BE$109,MATCH(AY$83,toestellen_RV_kopregel,0)) +
INDEX(bibliotheek!$E$110:$BE$110,MATCH(AY$83,toestellen_RV_kopregel,0))  *(AY$97*1000/AY$98)/
(  INDEX(bibliotheek!$E$111:$BE$111,MATCH(AY$83,toestellen_RV_kopregel,0)) *
INDEX(bibliotheek!$E$112:$BE$112,MATCH(AY$83,toestellen_RV_kopregel,0)) ) ),0)+
AY$98*INDEX(bibliotheek!$E$113:$BE$113,MATCH(AY$83,toestellen_RV_kopregel,0))+
AY$99*INDEX(bibliotheek!$E$114:$BE$114,MATCH(AY$83,toestellen_RV_kopregel,0)))/1000)</f>
        <v>0</v>
      </c>
      <c r="AZ169" s="273"/>
      <c r="BA169" s="273"/>
      <c r="BB169" s="168">
        <f>BB$78</f>
        <v>0</v>
      </c>
      <c r="BC169" s="168">
        <f>BC$78</f>
        <v>0</v>
      </c>
      <c r="BD169" s="273"/>
      <c r="BE169" s="168">
        <f>BE$78</f>
        <v>0</v>
      </c>
      <c r="BF169" s="168">
        <f>BF$78</f>
        <v>0</v>
      </c>
      <c r="BG169" s="273"/>
      <c r="BH169" s="174"/>
    </row>
    <row r="170" spans="1:60" hidden="1">
      <c r="A170" s="1046"/>
      <c r="B170" s="1109" t="s">
        <v>223</v>
      </c>
      <c r="C170" s="1111" t="s">
        <v>181</v>
      </c>
      <c r="D170" s="643"/>
      <c r="E170" s="245" t="s">
        <v>229</v>
      </c>
      <c r="F170" s="245"/>
      <c r="G170" s="245"/>
      <c r="H170" s="201" t="s">
        <v>202</v>
      </c>
      <c r="I170" s="191"/>
      <c r="J170" s="202">
        <f>M170+Y170+AK170+AW170</f>
        <v>0</v>
      </c>
      <c r="K170" s="243"/>
      <c r="L170" s="243"/>
      <c r="M170" s="202">
        <f>SUM(O170:X170)</f>
        <v>0</v>
      </c>
      <c r="N170" s="89"/>
      <c r="O170" s="168">
        <f>O$97*O$133+IF(O$114=0,0,O115/O$114)</f>
        <v>0</v>
      </c>
      <c r="P170" s="168">
        <f>P$97*P$133+IF(P$114=0,0,P115/P$114)</f>
        <v>0</v>
      </c>
      <c r="Q170" s="168">
        <f>Q$97*Q$133+IF(Q$114=0,0,Q115/Q$114)</f>
        <v>0</v>
      </c>
      <c r="R170" s="273"/>
      <c r="S170" s="273"/>
      <c r="T170" s="273"/>
      <c r="U170" s="273"/>
      <c r="V170" s="273"/>
      <c r="W170" s="273"/>
      <c r="X170" s="106"/>
      <c r="Y170" s="202">
        <f>SUM(AA170:AJ170)</f>
        <v>0</v>
      </c>
      <c r="Z170" s="89"/>
      <c r="AA170" s="168">
        <f>AA$97*AA$133+IF(AA$114=0,0,AA115/AA$114)</f>
        <v>0</v>
      </c>
      <c r="AB170" s="168">
        <f>AB$97*AB$133+IF(AB$114=0,0,AB115/AB$114)</f>
        <v>0</v>
      </c>
      <c r="AC170" s="168">
        <f>AC$97*AC$133+IF(AC$114=0,0,AC115/AC$114)</f>
        <v>0</v>
      </c>
      <c r="AD170" s="273"/>
      <c r="AE170" s="273"/>
      <c r="AF170" s="273"/>
      <c r="AG170" s="273"/>
      <c r="AH170" s="273"/>
      <c r="AI170" s="273"/>
      <c r="AJ170" s="106"/>
      <c r="AK170" s="202">
        <f>SUM(AM170:AV170)</f>
        <v>0</v>
      </c>
      <c r="AL170" s="89"/>
      <c r="AM170" s="168">
        <f>AM$97*AM$133+IF(AM$114=0,0,AM115/AM$114)</f>
        <v>0</v>
      </c>
      <c r="AN170" s="168">
        <f>AN$97*AN$133+IF(AN$114=0,0,AN115/AN$114)</f>
        <v>0</v>
      </c>
      <c r="AO170" s="168">
        <f>AO$97*AO$133+IF(AO$114=0,0,AO115/AO$114)</f>
        <v>0</v>
      </c>
      <c r="AP170" s="273"/>
      <c r="AQ170" s="273"/>
      <c r="AR170" s="273"/>
      <c r="AS170" s="273"/>
      <c r="AT170" s="273"/>
      <c r="AU170" s="273"/>
      <c r="AV170" s="106"/>
      <c r="AW170" s="202">
        <f>SUM(AY170:BH170)</f>
        <v>0</v>
      </c>
      <c r="AX170" s="89"/>
      <c r="AY170" s="168">
        <f>AY$97*AY$133+IF(AY$114=0,0,AY115/AY$114)</f>
        <v>0</v>
      </c>
      <c r="AZ170" s="168">
        <f>AZ$97*AZ$133+IF(AZ$114=0,0,AZ115/AZ$114)</f>
        <v>0</v>
      </c>
      <c r="BA170" s="168">
        <f>BA$97*BA$133+IF(BA$114=0,0,BA115/BA$114)</f>
        <v>0</v>
      </c>
      <c r="BB170" s="273"/>
      <c r="BC170" s="273"/>
      <c r="BD170" s="273"/>
      <c r="BE170" s="273"/>
      <c r="BF170" s="273"/>
      <c r="BG170" s="273"/>
      <c r="BH170" s="174"/>
    </row>
    <row r="171" spans="1:60" hidden="1">
      <c r="A171" s="1046"/>
      <c r="B171" s="1109" t="s">
        <v>223</v>
      </c>
      <c r="C171" s="1111" t="s">
        <v>181</v>
      </c>
      <c r="D171" s="643"/>
      <c r="E171" s="245" t="s">
        <v>100</v>
      </c>
      <c r="F171" s="245"/>
      <c r="G171" s="245"/>
      <c r="H171" s="201" t="s">
        <v>202</v>
      </c>
      <c r="I171" s="191"/>
      <c r="J171" s="202">
        <f>M171+Y171+AK171+AW171</f>
        <v>0</v>
      </c>
      <c r="K171" s="243"/>
      <c r="L171" s="243"/>
      <c r="M171" s="202">
        <f>SUM(O171:X171)</f>
        <v>0</v>
      </c>
      <c r="N171" s="89"/>
      <c r="O171" s="273"/>
      <c r="P171" s="273"/>
      <c r="Q171" s="273"/>
      <c r="R171" s="273"/>
      <c r="S171" s="273"/>
      <c r="T171" s="168">
        <f>T78</f>
        <v>0</v>
      </c>
      <c r="U171" s="273"/>
      <c r="V171" s="273"/>
      <c r="W171" s="273"/>
      <c r="X171" s="106"/>
      <c r="Y171" s="202">
        <f>SUM(AA171:AJ171)</f>
        <v>0</v>
      </c>
      <c r="Z171" s="89"/>
      <c r="AA171" s="168"/>
      <c r="AB171" s="168"/>
      <c r="AC171" s="168"/>
      <c r="AD171" s="273"/>
      <c r="AE171" s="273"/>
      <c r="AF171" s="168">
        <f>AF78</f>
        <v>0</v>
      </c>
      <c r="AG171" s="273"/>
      <c r="AH171" s="273"/>
      <c r="AI171" s="273"/>
      <c r="AJ171" s="106"/>
      <c r="AK171" s="202">
        <f>SUM(AM171:AV171)</f>
        <v>0</v>
      </c>
      <c r="AL171" s="89"/>
      <c r="AM171" s="168"/>
      <c r="AN171" s="168"/>
      <c r="AO171" s="168"/>
      <c r="AP171" s="273"/>
      <c r="AQ171" s="273"/>
      <c r="AR171" s="168">
        <f>AR78</f>
        <v>0</v>
      </c>
      <c r="AS171" s="273"/>
      <c r="AT171" s="273"/>
      <c r="AU171" s="273"/>
      <c r="AV171" s="106"/>
      <c r="AW171" s="202">
        <f>SUM(AY171:BH171)</f>
        <v>0</v>
      </c>
      <c r="AX171" s="89"/>
      <c r="AY171" s="168"/>
      <c r="AZ171" s="168"/>
      <c r="BA171" s="168"/>
      <c r="BB171" s="273"/>
      <c r="BC171" s="273"/>
      <c r="BD171" s="168">
        <f>BD78</f>
        <v>0</v>
      </c>
      <c r="BE171" s="273"/>
      <c r="BF171" s="273"/>
      <c r="BG171" s="273"/>
      <c r="BH171" s="174"/>
    </row>
    <row r="172" spans="1:60">
      <c r="A172" s="1040"/>
      <c r="B172" s="1109" t="s">
        <v>223</v>
      </c>
      <c r="C172" s="1106" t="s">
        <v>96</v>
      </c>
      <c r="D172" s="638"/>
      <c r="E172" s="940" t="s">
        <v>1313</v>
      </c>
      <c r="F172" s="940"/>
      <c r="G172" s="940"/>
      <c r="H172" s="940"/>
      <c r="I172" s="77"/>
      <c r="J172" s="939"/>
      <c r="K172" s="126"/>
      <c r="L172" s="126"/>
      <c r="M172" s="938"/>
      <c r="N172" s="191"/>
      <c r="O172" s="177" t="str">
        <f t="shared" ref="O172:V172" si="123">O$10</f>
        <v>verwarming</v>
      </c>
      <c r="P172" s="177" t="str">
        <f t="shared" si="123"/>
        <v>koeling</v>
      </c>
      <c r="Q172" s="177" t="str">
        <f t="shared" si="123"/>
        <v>tapwater</v>
      </c>
      <c r="R172" s="177" t="str">
        <f t="shared" si="123"/>
        <v>verlichting</v>
      </c>
      <c r="S172" s="177" t="str">
        <f t="shared" si="123"/>
        <v>ventilatoren</v>
      </c>
      <c r="T172" s="177" t="str">
        <f t="shared" si="123"/>
        <v>kookgas</v>
      </c>
      <c r="U172" s="177" t="str">
        <f t="shared" si="123"/>
        <v>overig elektra</v>
      </c>
      <c r="V172" s="177" t="str">
        <f t="shared" si="123"/>
        <v>mobiliteit</v>
      </c>
      <c r="W172" s="177"/>
      <c r="X172" s="191"/>
      <c r="Y172" s="938"/>
      <c r="Z172" s="191"/>
      <c r="AA172" s="177" t="str">
        <f t="shared" ref="AA172:AH172" si="124">AA$10</f>
        <v>verwarming</v>
      </c>
      <c r="AB172" s="177" t="str">
        <f t="shared" si="124"/>
        <v>koeling</v>
      </c>
      <c r="AC172" s="177" t="str">
        <f t="shared" si="124"/>
        <v>tapwater</v>
      </c>
      <c r="AD172" s="177" t="str">
        <f t="shared" si="124"/>
        <v>verlichting</v>
      </c>
      <c r="AE172" s="177" t="str">
        <f t="shared" si="124"/>
        <v>ventilatoren</v>
      </c>
      <c r="AF172" s="177" t="str">
        <f t="shared" si="124"/>
        <v>kookgas</v>
      </c>
      <c r="AG172" s="177" t="str">
        <f t="shared" si="124"/>
        <v>overig elektra</v>
      </c>
      <c r="AH172" s="177" t="str">
        <f t="shared" si="124"/>
        <v>mobiliteit</v>
      </c>
      <c r="AI172" s="177"/>
      <c r="AJ172" s="191"/>
      <c r="AK172" s="938"/>
      <c r="AL172" s="191"/>
      <c r="AM172" s="177" t="str">
        <f t="shared" ref="AM172:AT172" si="125">AM$10</f>
        <v>verwarming</v>
      </c>
      <c r="AN172" s="177" t="str">
        <f t="shared" si="125"/>
        <v>koeling</v>
      </c>
      <c r="AO172" s="177" t="str">
        <f t="shared" si="125"/>
        <v>tapwater</v>
      </c>
      <c r="AP172" s="177" t="str">
        <f t="shared" si="125"/>
        <v>verlichting</v>
      </c>
      <c r="AQ172" s="177" t="str">
        <f t="shared" si="125"/>
        <v>ventilatoren</v>
      </c>
      <c r="AR172" s="177" t="str">
        <f t="shared" si="125"/>
        <v>kookgas</v>
      </c>
      <c r="AS172" s="177" t="str">
        <f t="shared" si="125"/>
        <v>overig elektra</v>
      </c>
      <c r="AT172" s="177" t="str">
        <f t="shared" si="125"/>
        <v>mobiliteit</v>
      </c>
      <c r="AU172" s="177"/>
      <c r="AV172" s="191"/>
      <c r="AW172" s="938"/>
      <c r="AX172" s="191"/>
      <c r="AY172" s="177" t="str">
        <f t="shared" ref="AY172:BF172" si="126">AY$10</f>
        <v>verwarming</v>
      </c>
      <c r="AZ172" s="177" t="str">
        <f t="shared" si="126"/>
        <v>koeling</v>
      </c>
      <c r="BA172" s="177" t="str">
        <f t="shared" si="126"/>
        <v>tapwater</v>
      </c>
      <c r="BB172" s="177" t="str">
        <f t="shared" si="126"/>
        <v>verlichting</v>
      </c>
      <c r="BC172" s="177" t="str">
        <f t="shared" si="126"/>
        <v>ventilatoren</v>
      </c>
      <c r="BD172" s="177" t="str">
        <f t="shared" si="126"/>
        <v>kookgas</v>
      </c>
      <c r="BE172" s="177" t="str">
        <f t="shared" si="126"/>
        <v>overig elektra</v>
      </c>
      <c r="BF172" s="177" t="str">
        <f t="shared" si="126"/>
        <v>mobiliteit</v>
      </c>
      <c r="BG172" s="177"/>
      <c r="BH172" s="36"/>
    </row>
    <row r="173" spans="1:60" hidden="1">
      <c r="A173" s="1040"/>
      <c r="B173" s="1109" t="s">
        <v>223</v>
      </c>
      <c r="C173" s="1107" t="s">
        <v>181</v>
      </c>
      <c r="D173" s="638"/>
      <c r="E173" s="1172" t="s">
        <v>1350</v>
      </c>
      <c r="F173" s="1172"/>
      <c r="G173" s="254"/>
      <c r="H173" s="291" t="s">
        <v>204</v>
      </c>
      <c r="I173" s="191"/>
      <c r="J173" s="189"/>
      <c r="K173" s="79"/>
      <c r="L173" s="79"/>
      <c r="M173" s="189"/>
      <c r="N173" s="116"/>
      <c r="O173" s="151">
        <f>$G$5</f>
        <v>1.45</v>
      </c>
      <c r="P173" s="151">
        <f>$G$5</f>
        <v>1.45</v>
      </c>
      <c r="Q173" s="151">
        <f>$G$5</f>
        <v>1.45</v>
      </c>
      <c r="R173" s="151">
        <f>$G$5</f>
        <v>1.45</v>
      </c>
      <c r="S173" s="151">
        <f>$G$5</f>
        <v>1.45</v>
      </c>
      <c r="T173" s="151">
        <f>bibliotheek!$K$261</f>
        <v>1</v>
      </c>
      <c r="U173" s="151">
        <f>$G$5</f>
        <v>1.45</v>
      </c>
      <c r="V173" s="151">
        <f>$G$5</f>
        <v>1.45</v>
      </c>
      <c r="W173" s="384"/>
      <c r="X173" s="123"/>
      <c r="Y173" s="613"/>
      <c r="Z173" s="614"/>
      <c r="AA173" s="151">
        <f>$G$5</f>
        <v>1.45</v>
      </c>
      <c r="AB173" s="151">
        <f>$G$5</f>
        <v>1.45</v>
      </c>
      <c r="AC173" s="151">
        <f>$G$5</f>
        <v>1.45</v>
      </c>
      <c r="AD173" s="151">
        <f>$G$5</f>
        <v>1.45</v>
      </c>
      <c r="AE173" s="151">
        <f>$G$5</f>
        <v>1.45</v>
      </c>
      <c r="AF173" s="227">
        <f>bibliotheek!$K$261</f>
        <v>1</v>
      </c>
      <c r="AG173" s="151">
        <f>$G$5</f>
        <v>1.45</v>
      </c>
      <c r="AH173" s="151">
        <f>$G$5</f>
        <v>1.45</v>
      </c>
      <c r="AI173" s="384"/>
      <c r="AJ173" s="123"/>
      <c r="AK173" s="613"/>
      <c r="AL173" s="614"/>
      <c r="AM173" s="151">
        <f>$G$5</f>
        <v>1.45</v>
      </c>
      <c r="AN173" s="151">
        <f>$G$5</f>
        <v>1.45</v>
      </c>
      <c r="AO173" s="151">
        <f>$G$5</f>
        <v>1.45</v>
      </c>
      <c r="AP173" s="151">
        <f>$G$5</f>
        <v>1.45</v>
      </c>
      <c r="AQ173" s="151">
        <f>$G$5</f>
        <v>1.45</v>
      </c>
      <c r="AR173" s="227">
        <f>bibliotheek!$K$261</f>
        <v>1</v>
      </c>
      <c r="AS173" s="151">
        <f>$G$5</f>
        <v>1.45</v>
      </c>
      <c r="AT173" s="151">
        <f>$G$5</f>
        <v>1.45</v>
      </c>
      <c r="AU173" s="384"/>
      <c r="AV173" s="123"/>
      <c r="AW173" s="613"/>
      <c r="AX173" s="614"/>
      <c r="AY173" s="151">
        <f>$G$5</f>
        <v>1.45</v>
      </c>
      <c r="AZ173" s="151">
        <f>$G$5</f>
        <v>1.45</v>
      </c>
      <c r="BA173" s="151">
        <f>$G$5</f>
        <v>1.45</v>
      </c>
      <c r="BB173" s="151">
        <f>$G$5</f>
        <v>1.45</v>
      </c>
      <c r="BC173" s="151">
        <f>$G$5</f>
        <v>1.45</v>
      </c>
      <c r="BD173" s="227">
        <f>bibliotheek!$K$261</f>
        <v>1</v>
      </c>
      <c r="BE173" s="151">
        <f>$G$5</f>
        <v>1.45</v>
      </c>
      <c r="BF173" s="151">
        <f>$G$5</f>
        <v>1.45</v>
      </c>
      <c r="BG173" s="384"/>
      <c r="BH173" s="174"/>
    </row>
    <row r="174" spans="1:60">
      <c r="A174" s="1046"/>
      <c r="B174" s="1109" t="s">
        <v>223</v>
      </c>
      <c r="C174" s="1111" t="s">
        <v>104</v>
      </c>
      <c r="D174" s="643" t="s">
        <v>45</v>
      </c>
      <c r="E174" s="1173" t="s">
        <v>232</v>
      </c>
      <c r="F174" s="1174"/>
      <c r="G174" s="201"/>
      <c r="H174" s="201" t="s">
        <v>106</v>
      </c>
      <c r="I174" s="191"/>
      <c r="J174" s="202">
        <f>M174+Y174+AK174+AW174</f>
        <v>0</v>
      </c>
      <c r="K174" s="1062"/>
      <c r="L174" s="1062"/>
      <c r="M174" s="202">
        <f>SUM(O174:X174)</f>
        <v>0</v>
      </c>
      <c r="N174" s="89"/>
      <c r="O174" s="168">
        <f t="shared" ref="O174:V174" si="127">SUM(O$168:O$171)*O$173</f>
        <v>0</v>
      </c>
      <c r="P174" s="168">
        <f t="shared" si="127"/>
        <v>0</v>
      </c>
      <c r="Q174" s="168">
        <f t="shared" si="127"/>
        <v>0</v>
      </c>
      <c r="R174" s="168">
        <f t="shared" si="127"/>
        <v>0</v>
      </c>
      <c r="S174" s="168">
        <f t="shared" si="127"/>
        <v>0</v>
      </c>
      <c r="T174" s="168">
        <f t="shared" si="127"/>
        <v>0</v>
      </c>
      <c r="U174" s="168">
        <f>SUM(U$168:U$171)*U$173</f>
        <v>0</v>
      </c>
      <c r="V174" s="168">
        <f t="shared" si="127"/>
        <v>0</v>
      </c>
      <c r="W174" s="273"/>
      <c r="X174" s="113"/>
      <c r="Y174" s="202">
        <f>SUM(AA174:AJ174)</f>
        <v>0</v>
      </c>
      <c r="Z174" s="89"/>
      <c r="AA174" s="168">
        <f t="shared" ref="AA174:AH174" si="128">SUM(AA$168:AA$171)*AA$173</f>
        <v>0</v>
      </c>
      <c r="AB174" s="168">
        <f t="shared" si="128"/>
        <v>0</v>
      </c>
      <c r="AC174" s="168">
        <f t="shared" si="128"/>
        <v>0</v>
      </c>
      <c r="AD174" s="168">
        <f t="shared" si="128"/>
        <v>0</v>
      </c>
      <c r="AE174" s="168">
        <f t="shared" si="128"/>
        <v>0</v>
      </c>
      <c r="AF174" s="168">
        <f t="shared" si="128"/>
        <v>0</v>
      </c>
      <c r="AG174" s="168">
        <f t="shared" si="128"/>
        <v>0</v>
      </c>
      <c r="AH174" s="168">
        <f t="shared" si="128"/>
        <v>0</v>
      </c>
      <c r="AI174" s="273"/>
      <c r="AJ174" s="113"/>
      <c r="AK174" s="202">
        <f>SUM(AM174:AV174)</f>
        <v>0</v>
      </c>
      <c r="AL174" s="89"/>
      <c r="AM174" s="168">
        <f>SUM(AM$168:AM$171)*AM$173</f>
        <v>0</v>
      </c>
      <c r="AN174" s="168">
        <f t="shared" ref="AN174:AT174" si="129">SUM(AN$168:AN$171)*AN$173</f>
        <v>0</v>
      </c>
      <c r="AO174" s="168">
        <f t="shared" si="129"/>
        <v>0</v>
      </c>
      <c r="AP174" s="168">
        <f t="shared" si="129"/>
        <v>0</v>
      </c>
      <c r="AQ174" s="168">
        <f t="shared" si="129"/>
        <v>0</v>
      </c>
      <c r="AR174" s="168">
        <f t="shared" si="129"/>
        <v>0</v>
      </c>
      <c r="AS174" s="168">
        <f t="shared" si="129"/>
        <v>0</v>
      </c>
      <c r="AT174" s="168">
        <f t="shared" si="129"/>
        <v>0</v>
      </c>
      <c r="AU174" s="273"/>
      <c r="AV174" s="113"/>
      <c r="AW174" s="202">
        <f>SUM(AY174:BH174)</f>
        <v>0</v>
      </c>
      <c r="AX174" s="89"/>
      <c r="AY174" s="168">
        <f>SUM(AY$168:AY$171)*AY$173</f>
        <v>0</v>
      </c>
      <c r="AZ174" s="168">
        <f t="shared" ref="AZ174:BF174" si="130">SUM(AZ$168:AZ$171)*AZ$173</f>
        <v>0</v>
      </c>
      <c r="BA174" s="168">
        <f t="shared" si="130"/>
        <v>0</v>
      </c>
      <c r="BB174" s="168">
        <f t="shared" si="130"/>
        <v>0</v>
      </c>
      <c r="BC174" s="168">
        <f t="shared" si="130"/>
        <v>0</v>
      </c>
      <c r="BD174" s="168">
        <f t="shared" si="130"/>
        <v>0</v>
      </c>
      <c r="BE174" s="168">
        <f t="shared" si="130"/>
        <v>0</v>
      </c>
      <c r="BF174" s="168">
        <f t="shared" si="130"/>
        <v>0</v>
      </c>
      <c r="BG174" s="273"/>
      <c r="BH174" s="174"/>
    </row>
    <row r="175" spans="1:60">
      <c r="A175" s="1046"/>
      <c r="B175" s="1109" t="s">
        <v>223</v>
      </c>
      <c r="C175" s="1106" t="s">
        <v>96</v>
      </c>
      <c r="D175" s="638"/>
      <c r="E175" s="940" t="s">
        <v>1202</v>
      </c>
      <c r="F175" s="940"/>
      <c r="G175" s="940"/>
      <c r="H175" s="940"/>
      <c r="I175" s="77"/>
      <c r="J175" s="939"/>
      <c r="K175" s="126"/>
      <c r="L175" s="126"/>
      <c r="M175" s="938"/>
      <c r="N175" s="191"/>
      <c r="O175" s="177" t="str">
        <f t="shared" ref="O175:V175" si="131">O$10</f>
        <v>verwarming</v>
      </c>
      <c r="P175" s="177" t="str">
        <f t="shared" si="131"/>
        <v>koeling</v>
      </c>
      <c r="Q175" s="177" t="str">
        <f t="shared" si="131"/>
        <v>tapwater</v>
      </c>
      <c r="R175" s="177" t="str">
        <f t="shared" si="131"/>
        <v>verlichting</v>
      </c>
      <c r="S175" s="177" t="str">
        <f t="shared" si="131"/>
        <v>ventilatoren</v>
      </c>
      <c r="T175" s="177" t="str">
        <f t="shared" si="131"/>
        <v>kookgas</v>
      </c>
      <c r="U175" s="177" t="str">
        <f t="shared" si="131"/>
        <v>overig elektra</v>
      </c>
      <c r="V175" s="177" t="str">
        <f t="shared" si="131"/>
        <v>mobiliteit</v>
      </c>
      <c r="W175" s="177"/>
      <c r="X175" s="113"/>
      <c r="Y175" s="938"/>
      <c r="Z175" s="191"/>
      <c r="AA175" s="177" t="str">
        <f t="shared" ref="AA175:AH175" si="132">AA$10</f>
        <v>verwarming</v>
      </c>
      <c r="AB175" s="177" t="str">
        <f t="shared" si="132"/>
        <v>koeling</v>
      </c>
      <c r="AC175" s="177" t="str">
        <f t="shared" si="132"/>
        <v>tapwater</v>
      </c>
      <c r="AD175" s="177" t="str">
        <f t="shared" si="132"/>
        <v>verlichting</v>
      </c>
      <c r="AE175" s="177" t="str">
        <f t="shared" si="132"/>
        <v>ventilatoren</v>
      </c>
      <c r="AF175" s="177" t="str">
        <f t="shared" si="132"/>
        <v>kookgas</v>
      </c>
      <c r="AG175" s="177" t="str">
        <f t="shared" si="132"/>
        <v>overig elektra</v>
      </c>
      <c r="AH175" s="177" t="str">
        <f t="shared" si="132"/>
        <v>mobiliteit</v>
      </c>
      <c r="AI175" s="177"/>
      <c r="AJ175" s="113"/>
      <c r="AK175" s="938"/>
      <c r="AL175" s="191"/>
      <c r="AM175" s="177" t="str">
        <f t="shared" ref="AM175:AT175" si="133">AM$10</f>
        <v>verwarming</v>
      </c>
      <c r="AN175" s="177" t="str">
        <f t="shared" si="133"/>
        <v>koeling</v>
      </c>
      <c r="AO175" s="177" t="str">
        <f t="shared" si="133"/>
        <v>tapwater</v>
      </c>
      <c r="AP175" s="177" t="str">
        <f t="shared" si="133"/>
        <v>verlichting</v>
      </c>
      <c r="AQ175" s="177" t="str">
        <f t="shared" si="133"/>
        <v>ventilatoren</v>
      </c>
      <c r="AR175" s="177" t="str">
        <f t="shared" si="133"/>
        <v>kookgas</v>
      </c>
      <c r="AS175" s="177" t="str">
        <f t="shared" si="133"/>
        <v>overig elektra</v>
      </c>
      <c r="AT175" s="177" t="str">
        <f t="shared" si="133"/>
        <v>mobiliteit</v>
      </c>
      <c r="AU175" s="177"/>
      <c r="AV175" s="113"/>
      <c r="AW175" s="938"/>
      <c r="AX175" s="191"/>
      <c r="AY175" s="177" t="str">
        <f t="shared" ref="AY175:BF175" si="134">AY$10</f>
        <v>verwarming</v>
      </c>
      <c r="AZ175" s="177" t="str">
        <f t="shared" si="134"/>
        <v>koeling</v>
      </c>
      <c r="BA175" s="177" t="str">
        <f t="shared" si="134"/>
        <v>tapwater</v>
      </c>
      <c r="BB175" s="177" t="str">
        <f t="shared" si="134"/>
        <v>verlichting</v>
      </c>
      <c r="BC175" s="177" t="str">
        <f t="shared" si="134"/>
        <v>ventilatoren</v>
      </c>
      <c r="BD175" s="177" t="str">
        <f t="shared" si="134"/>
        <v>kookgas</v>
      </c>
      <c r="BE175" s="177" t="str">
        <f t="shared" si="134"/>
        <v>overig elektra</v>
      </c>
      <c r="BF175" s="177" t="str">
        <f t="shared" si="134"/>
        <v>mobiliteit</v>
      </c>
      <c r="BG175" s="177"/>
      <c r="BH175" s="174"/>
    </row>
    <row r="176" spans="1:60" hidden="1">
      <c r="A176" s="1046"/>
      <c r="B176" s="1109" t="s">
        <v>223</v>
      </c>
      <c r="C176" s="1107" t="s">
        <v>181</v>
      </c>
      <c r="D176" s="638"/>
      <c r="E176" s="1171" t="s">
        <v>1351</v>
      </c>
      <c r="F176" s="1172"/>
      <c r="G176" s="254"/>
      <c r="H176" s="181" t="s">
        <v>1208</v>
      </c>
      <c r="I176" s="191"/>
      <c r="J176" s="1014"/>
      <c r="K176" s="1062"/>
      <c r="L176" s="1062"/>
      <c r="M176" s="202"/>
      <c r="N176" s="89"/>
      <c r="O176" s="227">
        <f>bibliotheek!$I$307</f>
        <v>1.35</v>
      </c>
      <c r="P176" s="227">
        <f>bibliotheek!$I$307</f>
        <v>1.35</v>
      </c>
      <c r="Q176" s="227">
        <f>bibliotheek!$I$307</f>
        <v>1.35</v>
      </c>
      <c r="R176" s="227">
        <f>bibliotheek!$I$307</f>
        <v>1.35</v>
      </c>
      <c r="S176" s="227">
        <f>bibliotheek!$I$307</f>
        <v>1.35</v>
      </c>
      <c r="T176" s="227">
        <f>bibliotheek!$I$307</f>
        <v>1.35</v>
      </c>
      <c r="U176" s="227">
        <f>bibliotheek!$I$307</f>
        <v>1.35</v>
      </c>
      <c r="V176" s="227">
        <f>bibliotheek!$I$307</f>
        <v>1.35</v>
      </c>
      <c r="W176" s="273"/>
      <c r="X176" s="113"/>
      <c r="Y176" s="202"/>
      <c r="Z176" s="89"/>
      <c r="AA176" s="227">
        <f>bibliotheek!$I$307</f>
        <v>1.35</v>
      </c>
      <c r="AB176" s="227">
        <f>bibliotheek!$I$307</f>
        <v>1.35</v>
      </c>
      <c r="AC176" s="227">
        <f>bibliotheek!$I$307</f>
        <v>1.35</v>
      </c>
      <c r="AD176" s="227">
        <f>bibliotheek!$I$307</f>
        <v>1.35</v>
      </c>
      <c r="AE176" s="227">
        <f>bibliotheek!$I$307</f>
        <v>1.35</v>
      </c>
      <c r="AF176" s="227">
        <f>bibliotheek!$I$307</f>
        <v>1.35</v>
      </c>
      <c r="AG176" s="227">
        <f>bibliotheek!$I$307</f>
        <v>1.35</v>
      </c>
      <c r="AH176" s="227">
        <f>bibliotheek!$I$307</f>
        <v>1.35</v>
      </c>
      <c r="AI176" s="273"/>
      <c r="AJ176" s="113"/>
      <c r="AK176" s="202"/>
      <c r="AL176" s="89"/>
      <c r="AM176" s="227">
        <f>bibliotheek!$I$307</f>
        <v>1.35</v>
      </c>
      <c r="AN176" s="227">
        <f>bibliotheek!$I$307</f>
        <v>1.35</v>
      </c>
      <c r="AO176" s="227">
        <f>bibliotheek!$I$307</f>
        <v>1.35</v>
      </c>
      <c r="AP176" s="227">
        <f>bibliotheek!$I$307</f>
        <v>1.35</v>
      </c>
      <c r="AQ176" s="227">
        <f>bibliotheek!$I$307</f>
        <v>1.35</v>
      </c>
      <c r="AR176" s="227">
        <f>bibliotheek!$I$307</f>
        <v>1.35</v>
      </c>
      <c r="AS176" s="227">
        <f>bibliotheek!$I$307</f>
        <v>1.35</v>
      </c>
      <c r="AT176" s="227">
        <f>bibliotheek!$I$307</f>
        <v>1.35</v>
      </c>
      <c r="AU176" s="273"/>
      <c r="AV176" s="113"/>
      <c r="AW176" s="202"/>
      <c r="AX176" s="89"/>
      <c r="AY176" s="227">
        <f>bibliotheek!$I$307</f>
        <v>1.35</v>
      </c>
      <c r="AZ176" s="227">
        <f>bibliotheek!$I$307</f>
        <v>1.35</v>
      </c>
      <c r="BA176" s="227">
        <f>bibliotheek!$I$307</f>
        <v>1.35</v>
      </c>
      <c r="BB176" s="227">
        <f>bibliotheek!$I$307</f>
        <v>1.35</v>
      </c>
      <c r="BC176" s="227">
        <f>bibliotheek!$I$307</f>
        <v>1.35</v>
      </c>
      <c r="BD176" s="227">
        <f>bibliotheek!$I$307</f>
        <v>1.35</v>
      </c>
      <c r="BE176" s="227">
        <f>bibliotheek!$I$307</f>
        <v>1.35</v>
      </c>
      <c r="BF176" s="227">
        <f>bibliotheek!$I$307</f>
        <v>1.35</v>
      </c>
      <c r="BG176" s="273"/>
      <c r="BH176" s="174"/>
    </row>
    <row r="177" spans="1:60" hidden="1">
      <c r="A177" s="1046"/>
      <c r="B177" s="1109" t="s">
        <v>223</v>
      </c>
      <c r="C177" s="1107" t="s">
        <v>181</v>
      </c>
      <c r="D177" s="638"/>
      <c r="E177" s="1175" t="s">
        <v>1201</v>
      </c>
      <c r="F177" s="1176"/>
      <c r="G177" s="595"/>
      <c r="H177" s="1013" t="s">
        <v>65</v>
      </c>
      <c r="I177" s="191"/>
      <c r="J177" s="1014"/>
      <c r="K177" s="1062"/>
      <c r="L177" s="1062"/>
      <c r="M177" s="202"/>
      <c r="N177" s="89"/>
      <c r="O177" s="227">
        <f>bibliotheek!$J$263</f>
        <v>1</v>
      </c>
      <c r="P177" s="227">
        <f>bibliotheek!$J$263</f>
        <v>1</v>
      </c>
      <c r="Q177" s="227">
        <f>bibliotheek!$J$263</f>
        <v>1</v>
      </c>
      <c r="R177" s="227">
        <f>bibliotheek!$J$263</f>
        <v>1</v>
      </c>
      <c r="S177" s="227">
        <f>bibliotheek!$J$263</f>
        <v>1</v>
      </c>
      <c r="T177" s="227">
        <f>bibliotheek!$J$263</f>
        <v>1</v>
      </c>
      <c r="U177" s="227">
        <f>bibliotheek!$J$263</f>
        <v>1</v>
      </c>
      <c r="V177" s="227">
        <f>bibliotheek!$J$263</f>
        <v>1</v>
      </c>
      <c r="W177" s="273"/>
      <c r="X177" s="113"/>
      <c r="Y177" s="202"/>
      <c r="Z177" s="89"/>
      <c r="AA177" s="227">
        <f>bibliotheek!$J$263</f>
        <v>1</v>
      </c>
      <c r="AB177" s="227">
        <f>bibliotheek!$J$263</f>
        <v>1</v>
      </c>
      <c r="AC177" s="227">
        <f>bibliotheek!$J$263</f>
        <v>1</v>
      </c>
      <c r="AD177" s="227">
        <f>bibliotheek!$J$263</f>
        <v>1</v>
      </c>
      <c r="AE177" s="227">
        <f>bibliotheek!$J$263</f>
        <v>1</v>
      </c>
      <c r="AF177" s="227">
        <f>bibliotheek!$J$263</f>
        <v>1</v>
      </c>
      <c r="AG177" s="227">
        <f>bibliotheek!$J$263</f>
        <v>1</v>
      </c>
      <c r="AH177" s="227">
        <f>bibliotheek!$J$263</f>
        <v>1</v>
      </c>
      <c r="AI177" s="273"/>
      <c r="AJ177" s="113"/>
      <c r="AK177" s="202"/>
      <c r="AL177" s="89"/>
      <c r="AM177" s="227">
        <f>bibliotheek!$J$263</f>
        <v>1</v>
      </c>
      <c r="AN177" s="227">
        <f>bibliotheek!$J$263</f>
        <v>1</v>
      </c>
      <c r="AO177" s="227">
        <f>bibliotheek!$J$263</f>
        <v>1</v>
      </c>
      <c r="AP177" s="227">
        <f>bibliotheek!$J$263</f>
        <v>1</v>
      </c>
      <c r="AQ177" s="227">
        <f>bibliotheek!$J$263</f>
        <v>1</v>
      </c>
      <c r="AR177" s="227">
        <f>bibliotheek!$J$263</f>
        <v>1</v>
      </c>
      <c r="AS177" s="227">
        <f>bibliotheek!$J$263</f>
        <v>1</v>
      </c>
      <c r="AT177" s="227">
        <f>bibliotheek!$J$263</f>
        <v>1</v>
      </c>
      <c r="AU177" s="273"/>
      <c r="AV177" s="113"/>
      <c r="AW177" s="202"/>
      <c r="AX177" s="89"/>
      <c r="AY177" s="227">
        <f>bibliotheek!$J$263</f>
        <v>1</v>
      </c>
      <c r="AZ177" s="227">
        <f>bibliotheek!$J$263</f>
        <v>1</v>
      </c>
      <c r="BA177" s="227">
        <f>bibliotheek!$J$263</f>
        <v>1</v>
      </c>
      <c r="BB177" s="227">
        <f>bibliotheek!$J$263</f>
        <v>1</v>
      </c>
      <c r="BC177" s="227">
        <f>bibliotheek!$J$263</f>
        <v>1</v>
      </c>
      <c r="BD177" s="227">
        <f>bibliotheek!$J$263</f>
        <v>1</v>
      </c>
      <c r="BE177" s="227">
        <f>bibliotheek!$J$263</f>
        <v>1</v>
      </c>
      <c r="BF177" s="227">
        <f>bibliotheek!$J$263</f>
        <v>1</v>
      </c>
      <c r="BG177" s="273"/>
      <c r="BH177" s="174"/>
    </row>
    <row r="178" spans="1:60">
      <c r="A178" s="1046"/>
      <c r="B178" s="1109" t="s">
        <v>223</v>
      </c>
      <c r="C178" s="1111" t="s">
        <v>104</v>
      </c>
      <c r="D178" s="638"/>
      <c r="E178" s="1170" t="s">
        <v>232</v>
      </c>
      <c r="F178" s="1170"/>
      <c r="G178" s="181"/>
      <c r="H178" s="181" t="s">
        <v>1206</v>
      </c>
      <c r="I178" s="191"/>
      <c r="J178" s="202">
        <f>M178+Y178+AK178+AW178</f>
        <v>0</v>
      </c>
      <c r="K178" s="1062"/>
      <c r="L178" s="1062"/>
      <c r="M178" s="202">
        <f>SUM(O178:X178)</f>
        <v>0</v>
      </c>
      <c r="N178" s="89"/>
      <c r="O178" s="168">
        <f>SUM(O$168:O$171)*O$176*O177</f>
        <v>0</v>
      </c>
      <c r="P178" s="168">
        <f t="shared" ref="P178:V178" si="135">SUM(P$168:P$171)*P$176*P177</f>
        <v>0</v>
      </c>
      <c r="Q178" s="168">
        <f t="shared" si="135"/>
        <v>0</v>
      </c>
      <c r="R178" s="168">
        <f t="shared" si="135"/>
        <v>0</v>
      </c>
      <c r="S178" s="168">
        <f t="shared" si="135"/>
        <v>0</v>
      </c>
      <c r="T178" s="168">
        <f t="shared" si="135"/>
        <v>0</v>
      </c>
      <c r="U178" s="168">
        <f t="shared" si="135"/>
        <v>0</v>
      </c>
      <c r="V178" s="168">
        <f t="shared" si="135"/>
        <v>0</v>
      </c>
      <c r="W178" s="273"/>
      <c r="X178" s="113"/>
      <c r="Y178" s="202">
        <f>SUM(AA178:AJ178)</f>
        <v>0</v>
      </c>
      <c r="Z178" s="89"/>
      <c r="AA178" s="168">
        <f>SUM(AA$168:AA$171)*AA$176*AA177</f>
        <v>0</v>
      </c>
      <c r="AB178" s="168">
        <f t="shared" ref="AB178:AH178" si="136">SUM(AB$168:AB$171)*AB$176*AB177</f>
        <v>0</v>
      </c>
      <c r="AC178" s="168">
        <f t="shared" si="136"/>
        <v>0</v>
      </c>
      <c r="AD178" s="168">
        <f t="shared" si="136"/>
        <v>0</v>
      </c>
      <c r="AE178" s="168">
        <f t="shared" si="136"/>
        <v>0</v>
      </c>
      <c r="AF178" s="168">
        <f t="shared" si="136"/>
        <v>0</v>
      </c>
      <c r="AG178" s="168">
        <f t="shared" si="136"/>
        <v>0</v>
      </c>
      <c r="AH178" s="168">
        <f t="shared" si="136"/>
        <v>0</v>
      </c>
      <c r="AI178" s="273"/>
      <c r="AJ178" s="113"/>
      <c r="AK178" s="202">
        <f>SUM(AM178:AV178)</f>
        <v>0</v>
      </c>
      <c r="AL178" s="89"/>
      <c r="AM178" s="168">
        <f>SUM(AM$168:AM$171)*AM$176*AM177</f>
        <v>0</v>
      </c>
      <c r="AN178" s="168">
        <f t="shared" ref="AN178:AT178" si="137">SUM(AN$168:AN$171)*AN$176*AN177</f>
        <v>0</v>
      </c>
      <c r="AO178" s="168">
        <f t="shared" si="137"/>
        <v>0</v>
      </c>
      <c r="AP178" s="168">
        <f t="shared" si="137"/>
        <v>0</v>
      </c>
      <c r="AQ178" s="168">
        <f t="shared" si="137"/>
        <v>0</v>
      </c>
      <c r="AR178" s="168">
        <f t="shared" si="137"/>
        <v>0</v>
      </c>
      <c r="AS178" s="168">
        <f t="shared" si="137"/>
        <v>0</v>
      </c>
      <c r="AT178" s="168">
        <f t="shared" si="137"/>
        <v>0</v>
      </c>
      <c r="AU178" s="273"/>
      <c r="AV178" s="113"/>
      <c r="AW178" s="202">
        <f>SUM(AY178:BH178)</f>
        <v>0</v>
      </c>
      <c r="AX178" s="89"/>
      <c r="AY178" s="168">
        <f>SUM(AY$168:AY$171)*AY$176*AY177</f>
        <v>0</v>
      </c>
      <c r="AZ178" s="168">
        <f t="shared" ref="AZ178:BF178" si="138">SUM(AZ$168:AZ$171)*AZ$176*AZ177</f>
        <v>0</v>
      </c>
      <c r="BA178" s="168">
        <f t="shared" si="138"/>
        <v>0</v>
      </c>
      <c r="BB178" s="168">
        <f t="shared" si="138"/>
        <v>0</v>
      </c>
      <c r="BC178" s="168">
        <f t="shared" si="138"/>
        <v>0</v>
      </c>
      <c r="BD178" s="168">
        <f t="shared" si="138"/>
        <v>0</v>
      </c>
      <c r="BE178" s="168">
        <f t="shared" si="138"/>
        <v>0</v>
      </c>
      <c r="BF178" s="168">
        <f t="shared" si="138"/>
        <v>0</v>
      </c>
      <c r="BG178" s="273"/>
      <c r="BH178" s="174"/>
    </row>
    <row r="179" spans="1:60">
      <c r="A179" s="1040"/>
      <c r="B179" s="1109" t="s">
        <v>223</v>
      </c>
      <c r="C179" s="1106" t="s">
        <v>96</v>
      </c>
      <c r="D179" s="638"/>
      <c r="E179" s="940" t="s">
        <v>230</v>
      </c>
      <c r="F179" s="940"/>
      <c r="G179" s="940"/>
      <c r="H179" s="940"/>
      <c r="I179" s="77"/>
      <c r="J179" s="939"/>
      <c r="K179" s="126"/>
      <c r="L179" s="126"/>
      <c r="M179" s="938"/>
      <c r="N179" s="191"/>
      <c r="O179" s="177" t="str">
        <f t="shared" ref="O179:V179" si="139">O$10</f>
        <v>verwarming</v>
      </c>
      <c r="P179" s="177" t="str">
        <f t="shared" si="139"/>
        <v>koeling</v>
      </c>
      <c r="Q179" s="177" t="str">
        <f t="shared" si="139"/>
        <v>tapwater</v>
      </c>
      <c r="R179" s="177" t="str">
        <f t="shared" si="139"/>
        <v>verlichting</v>
      </c>
      <c r="S179" s="177" t="str">
        <f t="shared" si="139"/>
        <v>ventilatoren</v>
      </c>
      <c r="T179" s="177" t="str">
        <f t="shared" si="139"/>
        <v>kookgas</v>
      </c>
      <c r="U179" s="177" t="str">
        <f t="shared" si="139"/>
        <v>overig elektra</v>
      </c>
      <c r="V179" s="177" t="str">
        <f t="shared" si="139"/>
        <v>mobiliteit</v>
      </c>
      <c r="W179" s="177"/>
      <c r="X179" s="191"/>
      <c r="Y179" s="938"/>
      <c r="Z179" s="191"/>
      <c r="AA179" s="177" t="str">
        <f t="shared" ref="AA179:AH179" si="140">AA$10</f>
        <v>verwarming</v>
      </c>
      <c r="AB179" s="177" t="str">
        <f t="shared" si="140"/>
        <v>koeling</v>
      </c>
      <c r="AC179" s="177" t="str">
        <f t="shared" si="140"/>
        <v>tapwater</v>
      </c>
      <c r="AD179" s="177" t="str">
        <f t="shared" si="140"/>
        <v>verlichting</v>
      </c>
      <c r="AE179" s="177" t="str">
        <f t="shared" si="140"/>
        <v>ventilatoren</v>
      </c>
      <c r="AF179" s="177" t="str">
        <f t="shared" si="140"/>
        <v>kookgas</v>
      </c>
      <c r="AG179" s="177" t="str">
        <f t="shared" si="140"/>
        <v>overig elektra</v>
      </c>
      <c r="AH179" s="177" t="str">
        <f t="shared" si="140"/>
        <v>mobiliteit</v>
      </c>
      <c r="AI179" s="177"/>
      <c r="AJ179" s="191"/>
      <c r="AK179" s="938"/>
      <c r="AL179" s="191"/>
      <c r="AM179" s="177" t="str">
        <f t="shared" ref="AM179:AT179" si="141">AM$10</f>
        <v>verwarming</v>
      </c>
      <c r="AN179" s="177" t="str">
        <f t="shared" si="141"/>
        <v>koeling</v>
      </c>
      <c r="AO179" s="177" t="str">
        <f t="shared" si="141"/>
        <v>tapwater</v>
      </c>
      <c r="AP179" s="177" t="str">
        <f t="shared" si="141"/>
        <v>verlichting</v>
      </c>
      <c r="AQ179" s="177" t="str">
        <f t="shared" si="141"/>
        <v>ventilatoren</v>
      </c>
      <c r="AR179" s="177" t="str">
        <f t="shared" si="141"/>
        <v>kookgas</v>
      </c>
      <c r="AS179" s="177" t="str">
        <f t="shared" si="141"/>
        <v>overig elektra</v>
      </c>
      <c r="AT179" s="177" t="str">
        <f t="shared" si="141"/>
        <v>mobiliteit</v>
      </c>
      <c r="AU179" s="177"/>
      <c r="AV179" s="191"/>
      <c r="AW179" s="938"/>
      <c r="AX179" s="191"/>
      <c r="AY179" s="177" t="str">
        <f t="shared" ref="AY179:BF179" si="142">AY$10</f>
        <v>verwarming</v>
      </c>
      <c r="AZ179" s="177" t="str">
        <f t="shared" si="142"/>
        <v>koeling</v>
      </c>
      <c r="BA179" s="177" t="str">
        <f t="shared" si="142"/>
        <v>tapwater</v>
      </c>
      <c r="BB179" s="177" t="str">
        <f t="shared" si="142"/>
        <v>verlichting</v>
      </c>
      <c r="BC179" s="177" t="str">
        <f t="shared" si="142"/>
        <v>ventilatoren</v>
      </c>
      <c r="BD179" s="177" t="str">
        <f t="shared" si="142"/>
        <v>kookgas</v>
      </c>
      <c r="BE179" s="177" t="str">
        <f t="shared" si="142"/>
        <v>overig elektra</v>
      </c>
      <c r="BF179" s="177" t="str">
        <f t="shared" si="142"/>
        <v>mobiliteit</v>
      </c>
      <c r="BG179" s="177"/>
      <c r="BH179" s="36"/>
    </row>
    <row r="180" spans="1:60" hidden="1">
      <c r="A180" s="1040"/>
      <c r="B180" s="1109" t="s">
        <v>223</v>
      </c>
      <c r="C180" s="1107" t="s">
        <v>181</v>
      </c>
      <c r="D180" s="638"/>
      <c r="E180" s="180" t="s">
        <v>206</v>
      </c>
      <c r="F180" s="180"/>
      <c r="G180" s="180"/>
      <c r="H180" s="181" t="s">
        <v>207</v>
      </c>
      <c r="I180" s="191"/>
      <c r="J180" s="190"/>
      <c r="K180" s="79"/>
      <c r="L180" s="79"/>
      <c r="M180" s="190"/>
      <c r="N180" s="114"/>
      <c r="O180" s="228">
        <f>$H$5</f>
        <v>0.26800000000000002</v>
      </c>
      <c r="P180" s="228">
        <f t="shared" ref="P180:V180" si="143">$H$5</f>
        <v>0.26800000000000002</v>
      </c>
      <c r="Q180" s="228">
        <f t="shared" si="143"/>
        <v>0.26800000000000002</v>
      </c>
      <c r="R180" s="228">
        <f t="shared" si="143"/>
        <v>0.26800000000000002</v>
      </c>
      <c r="S180" s="228">
        <f t="shared" si="143"/>
        <v>0.26800000000000002</v>
      </c>
      <c r="T180" s="228">
        <f t="shared" si="143"/>
        <v>0.26800000000000002</v>
      </c>
      <c r="U180" s="228">
        <f t="shared" si="143"/>
        <v>0.26800000000000002</v>
      </c>
      <c r="V180" s="228">
        <f t="shared" si="143"/>
        <v>0.26800000000000002</v>
      </c>
      <c r="W180" s="355"/>
      <c r="X180" s="356"/>
      <c r="Y180" s="190"/>
      <c r="Z180" s="358"/>
      <c r="AA180" s="228">
        <f>$H$5</f>
        <v>0.26800000000000002</v>
      </c>
      <c r="AB180" s="228">
        <f t="shared" ref="AB180:AH180" si="144">$H$5</f>
        <v>0.26800000000000002</v>
      </c>
      <c r="AC180" s="228">
        <f t="shared" si="144"/>
        <v>0.26800000000000002</v>
      </c>
      <c r="AD180" s="228">
        <f t="shared" si="144"/>
        <v>0.26800000000000002</v>
      </c>
      <c r="AE180" s="228">
        <f t="shared" si="144"/>
        <v>0.26800000000000002</v>
      </c>
      <c r="AF180" s="168">
        <f t="shared" si="144"/>
        <v>0.26800000000000002</v>
      </c>
      <c r="AG180" s="228">
        <f t="shared" si="144"/>
        <v>0.26800000000000002</v>
      </c>
      <c r="AH180" s="228">
        <f t="shared" si="144"/>
        <v>0.26800000000000002</v>
      </c>
      <c r="AI180" s="355"/>
      <c r="AJ180" s="356"/>
      <c r="AK180" s="190"/>
      <c r="AL180" s="358"/>
      <c r="AM180" s="228">
        <f>$H$5</f>
        <v>0.26800000000000002</v>
      </c>
      <c r="AN180" s="228">
        <f t="shared" ref="AN180:AT180" si="145">$H$5</f>
        <v>0.26800000000000002</v>
      </c>
      <c r="AO180" s="228">
        <f t="shared" si="145"/>
        <v>0.26800000000000002</v>
      </c>
      <c r="AP180" s="228">
        <f t="shared" si="145"/>
        <v>0.26800000000000002</v>
      </c>
      <c r="AQ180" s="228">
        <f t="shared" si="145"/>
        <v>0.26800000000000002</v>
      </c>
      <c r="AR180" s="168">
        <f t="shared" si="145"/>
        <v>0.26800000000000002</v>
      </c>
      <c r="AS180" s="228">
        <f t="shared" si="145"/>
        <v>0.26800000000000002</v>
      </c>
      <c r="AT180" s="228">
        <f t="shared" si="145"/>
        <v>0.26800000000000002</v>
      </c>
      <c r="AU180" s="355"/>
      <c r="AV180" s="356"/>
      <c r="AW180" s="190"/>
      <c r="AX180" s="358"/>
      <c r="AY180" s="228">
        <f>$H$5</f>
        <v>0.26800000000000002</v>
      </c>
      <c r="AZ180" s="228">
        <f t="shared" ref="AZ180:BF180" si="146">$H$5</f>
        <v>0.26800000000000002</v>
      </c>
      <c r="BA180" s="228">
        <f t="shared" si="146"/>
        <v>0.26800000000000002</v>
      </c>
      <c r="BB180" s="228">
        <f t="shared" si="146"/>
        <v>0.26800000000000002</v>
      </c>
      <c r="BC180" s="228">
        <f t="shared" si="146"/>
        <v>0.26800000000000002</v>
      </c>
      <c r="BD180" s="168">
        <f t="shared" si="146"/>
        <v>0.26800000000000002</v>
      </c>
      <c r="BE180" s="228">
        <f t="shared" si="146"/>
        <v>0.26800000000000002</v>
      </c>
      <c r="BF180" s="228">
        <f t="shared" si="146"/>
        <v>0.26800000000000002</v>
      </c>
      <c r="BG180" s="274"/>
      <c r="BH180" s="174"/>
    </row>
    <row r="181" spans="1:60">
      <c r="A181" s="1046"/>
      <c r="B181" s="1109" t="s">
        <v>223</v>
      </c>
      <c r="C181" s="1111" t="s">
        <v>104</v>
      </c>
      <c r="D181" s="643"/>
      <c r="E181" s="1173" t="s">
        <v>232</v>
      </c>
      <c r="F181" s="201"/>
      <c r="G181" s="201"/>
      <c r="H181" s="201" t="s">
        <v>209</v>
      </c>
      <c r="I181" s="191"/>
      <c r="J181" s="202">
        <f>M181+Y181+AK181+AW181</f>
        <v>0</v>
      </c>
      <c r="K181" s="1062"/>
      <c r="L181" s="1062"/>
      <c r="M181" s="202">
        <f>SUM(O181:X181)</f>
        <v>0</v>
      </c>
      <c r="N181" s="89"/>
      <c r="O181" s="168">
        <f t="shared" ref="O181:V181" si="147">SUM(O$168:O$171)*O$180</f>
        <v>0</v>
      </c>
      <c r="P181" s="168">
        <f t="shared" si="147"/>
        <v>0</v>
      </c>
      <c r="Q181" s="168">
        <f t="shared" si="147"/>
        <v>0</v>
      </c>
      <c r="R181" s="168">
        <f t="shared" si="147"/>
        <v>0</v>
      </c>
      <c r="S181" s="168">
        <f t="shared" si="147"/>
        <v>0</v>
      </c>
      <c r="T181" s="168">
        <f t="shared" si="147"/>
        <v>0</v>
      </c>
      <c r="U181" s="168">
        <f t="shared" si="147"/>
        <v>0</v>
      </c>
      <c r="V181" s="168">
        <f t="shared" si="147"/>
        <v>0</v>
      </c>
      <c r="W181" s="273"/>
      <c r="X181" s="113"/>
      <c r="Y181" s="202">
        <f>SUM(AA181:AJ181)</f>
        <v>0</v>
      </c>
      <c r="Z181" s="89"/>
      <c r="AA181" s="168">
        <f t="shared" ref="AA181:AH181" si="148">SUM(AA$168:AA$171)*AA$180</f>
        <v>0</v>
      </c>
      <c r="AB181" s="168">
        <f t="shared" si="148"/>
        <v>0</v>
      </c>
      <c r="AC181" s="168">
        <f t="shared" si="148"/>
        <v>0</v>
      </c>
      <c r="AD181" s="168">
        <f t="shared" si="148"/>
        <v>0</v>
      </c>
      <c r="AE181" s="168">
        <f t="shared" si="148"/>
        <v>0</v>
      </c>
      <c r="AF181" s="168">
        <f t="shared" si="148"/>
        <v>0</v>
      </c>
      <c r="AG181" s="168">
        <f t="shared" si="148"/>
        <v>0</v>
      </c>
      <c r="AH181" s="168">
        <f t="shared" si="148"/>
        <v>0</v>
      </c>
      <c r="AI181" s="273"/>
      <c r="AJ181" s="113"/>
      <c r="AK181" s="202">
        <f>SUM(AM181:AV181)</f>
        <v>0</v>
      </c>
      <c r="AL181" s="89"/>
      <c r="AM181" s="168">
        <f t="shared" ref="AM181:AT181" si="149">SUM(AM$168:AM$171)*AM$180</f>
        <v>0</v>
      </c>
      <c r="AN181" s="168">
        <f t="shared" si="149"/>
        <v>0</v>
      </c>
      <c r="AO181" s="168">
        <f t="shared" si="149"/>
        <v>0</v>
      </c>
      <c r="AP181" s="168">
        <f t="shared" si="149"/>
        <v>0</v>
      </c>
      <c r="AQ181" s="168">
        <f t="shared" si="149"/>
        <v>0</v>
      </c>
      <c r="AR181" s="168">
        <f t="shared" si="149"/>
        <v>0</v>
      </c>
      <c r="AS181" s="168">
        <f t="shared" si="149"/>
        <v>0</v>
      </c>
      <c r="AT181" s="168">
        <f t="shared" si="149"/>
        <v>0</v>
      </c>
      <c r="AU181" s="273"/>
      <c r="AV181" s="113"/>
      <c r="AW181" s="202">
        <f>SUM(AY181:BH181)</f>
        <v>0</v>
      </c>
      <c r="AX181" s="89"/>
      <c r="AY181" s="168">
        <f t="shared" ref="AY181:BF181" si="150">SUM(AY$168:AY$171)*AY$180</f>
        <v>0</v>
      </c>
      <c r="AZ181" s="168">
        <f t="shared" si="150"/>
        <v>0</v>
      </c>
      <c r="BA181" s="168">
        <f t="shared" si="150"/>
        <v>0</v>
      </c>
      <c r="BB181" s="168">
        <f t="shared" si="150"/>
        <v>0</v>
      </c>
      <c r="BC181" s="168">
        <f t="shared" si="150"/>
        <v>0</v>
      </c>
      <c r="BD181" s="168">
        <f t="shared" si="150"/>
        <v>0</v>
      </c>
      <c r="BE181" s="168">
        <f t="shared" si="150"/>
        <v>0</v>
      </c>
      <c r="BF181" s="168">
        <f t="shared" si="150"/>
        <v>0</v>
      </c>
      <c r="BG181" s="273"/>
      <c r="BH181" s="174"/>
    </row>
    <row r="182" spans="1:60">
      <c r="A182" s="1040"/>
      <c r="B182" s="1109" t="s">
        <v>223</v>
      </c>
      <c r="C182" s="1106" t="s">
        <v>96</v>
      </c>
      <c r="D182" s="638"/>
      <c r="E182" s="79"/>
      <c r="F182" s="79"/>
      <c r="G182" s="79"/>
      <c r="H182" s="85"/>
      <c r="I182" s="191"/>
      <c r="J182" s="82"/>
      <c r="K182" s="79"/>
      <c r="L182" s="79"/>
      <c r="M182" s="82"/>
      <c r="N182" s="79"/>
      <c r="O182" s="117"/>
      <c r="P182" s="82"/>
      <c r="Q182" s="117"/>
      <c r="R182" s="82"/>
      <c r="S182" s="82"/>
      <c r="T182" s="82"/>
      <c r="U182" s="82"/>
      <c r="V182" s="82"/>
      <c r="W182" s="82"/>
      <c r="X182" s="82"/>
      <c r="Y182" s="82"/>
      <c r="Z182" s="79"/>
      <c r="AA182" s="117"/>
      <c r="AB182" s="82"/>
      <c r="AC182" s="117"/>
      <c r="AD182" s="82"/>
      <c r="AE182" s="82"/>
      <c r="AF182" s="82"/>
      <c r="AG182" s="82"/>
      <c r="AH182" s="82"/>
      <c r="AI182" s="82"/>
      <c r="AJ182" s="82"/>
      <c r="AK182" s="82"/>
      <c r="AL182" s="79"/>
      <c r="AM182" s="117"/>
      <c r="AN182" s="82"/>
      <c r="AO182" s="117"/>
      <c r="AP182" s="82"/>
      <c r="AQ182" s="82"/>
      <c r="AR182" s="82"/>
      <c r="AS182" s="82"/>
      <c r="AT182" s="82"/>
      <c r="AU182" s="82"/>
      <c r="AV182" s="82"/>
      <c r="AW182" s="82"/>
      <c r="AX182" s="79"/>
      <c r="AY182" s="117"/>
      <c r="AZ182" s="82"/>
      <c r="BA182" s="117"/>
      <c r="BB182" s="82"/>
      <c r="BC182" s="82"/>
      <c r="BD182" s="82"/>
      <c r="BE182" s="82"/>
      <c r="BF182" s="82"/>
      <c r="BG182" s="82"/>
      <c r="BH182" s="1"/>
    </row>
    <row r="183" spans="1:60">
      <c r="A183" s="1040"/>
      <c r="B183" s="1109" t="s">
        <v>231</v>
      </c>
      <c r="C183" s="1107" t="s">
        <v>96</v>
      </c>
      <c r="D183" s="638"/>
      <c r="E183" s="79"/>
      <c r="F183" s="79"/>
      <c r="G183" s="79"/>
      <c r="H183" s="79"/>
      <c r="I183" s="79"/>
      <c r="J183" s="82"/>
      <c r="K183" s="79"/>
      <c r="L183" s="79"/>
      <c r="M183" s="82"/>
      <c r="N183" s="79"/>
      <c r="O183" s="117"/>
      <c r="P183" s="82"/>
      <c r="Q183" s="117"/>
      <c r="R183" s="82"/>
      <c r="S183" s="82"/>
      <c r="T183" s="82"/>
      <c r="U183" s="82"/>
      <c r="V183" s="82"/>
      <c r="W183" s="82"/>
      <c r="X183" s="82"/>
      <c r="Y183" s="82"/>
      <c r="Z183" s="79"/>
      <c r="AA183" s="117"/>
      <c r="AB183" s="82"/>
      <c r="AC183" s="117"/>
      <c r="AD183" s="82"/>
      <c r="AE183" s="82"/>
      <c r="AF183" s="82"/>
      <c r="AG183" s="82"/>
      <c r="AH183" s="82"/>
      <c r="AI183" s="82"/>
      <c r="AJ183" s="82"/>
      <c r="AK183" s="82"/>
      <c r="AL183" s="79"/>
      <c r="AM183" s="117"/>
      <c r="AN183" s="82"/>
      <c r="AO183" s="117"/>
      <c r="AP183" s="82"/>
      <c r="AQ183" s="82"/>
      <c r="AR183" s="82"/>
      <c r="AS183" s="82"/>
      <c r="AT183" s="82"/>
      <c r="AU183" s="82"/>
      <c r="AV183" s="82"/>
      <c r="AW183" s="82"/>
      <c r="AX183" s="79"/>
      <c r="AY183" s="117"/>
      <c r="AZ183" s="82"/>
      <c r="BA183" s="117"/>
      <c r="BB183" s="82"/>
      <c r="BC183" s="82"/>
      <c r="BD183" s="82"/>
      <c r="BE183" s="82"/>
      <c r="BF183" s="82"/>
      <c r="BG183" s="82"/>
      <c r="BH183" s="1"/>
    </row>
    <row r="184" spans="1:60" ht="21">
      <c r="A184" s="1040"/>
      <c r="B184" s="1109" t="s">
        <v>231</v>
      </c>
      <c r="C184" s="1106" t="s">
        <v>96</v>
      </c>
      <c r="D184" s="643"/>
      <c r="E184" s="199" t="s">
        <v>1275</v>
      </c>
      <c r="F184" s="199"/>
      <c r="G184" s="199"/>
      <c r="H184" s="199"/>
      <c r="I184" s="77"/>
      <c r="J184" s="200" t="str">
        <f>J$10</f>
        <v>alle locaties</v>
      </c>
      <c r="K184" s="126"/>
      <c r="L184" s="126"/>
      <c r="M184" s="200" t="str">
        <f>M$10</f>
        <v>locatie 1</v>
      </c>
      <c r="N184" s="182"/>
      <c r="O184" s="966" t="str">
        <f>$E184&amp;" per energiepost"</f>
        <v>overzicht elektriciteitsgebruik en lokale elektriciteitsproductie per energiepost</v>
      </c>
      <c r="P184" s="941"/>
      <c r="Q184" s="941"/>
      <c r="R184" s="941"/>
      <c r="S184" s="941"/>
      <c r="T184" s="941"/>
      <c r="U184" s="941"/>
      <c r="V184" s="941"/>
      <c r="W184" s="956"/>
      <c r="X184" s="174"/>
      <c r="Y184" s="200" t="str">
        <f>Y$10</f>
        <v>locatie 2</v>
      </c>
      <c r="Z184" s="182"/>
      <c r="AA184" s="966" t="str">
        <f>$E184&amp;" per energiepost"</f>
        <v>overzicht elektriciteitsgebruik en lokale elektriciteitsproductie per energiepost</v>
      </c>
      <c r="AB184" s="941"/>
      <c r="AC184" s="941"/>
      <c r="AD184" s="941"/>
      <c r="AE184" s="941"/>
      <c r="AF184" s="941"/>
      <c r="AG184" s="941"/>
      <c r="AH184" s="941"/>
      <c r="AI184" s="956"/>
      <c r="AJ184" s="174"/>
      <c r="AK184" s="200" t="str">
        <f>AK$10</f>
        <v>locatie 3</v>
      </c>
      <c r="AL184" s="182"/>
      <c r="AM184" s="966" t="str">
        <f>$E184&amp;" per energiepost"</f>
        <v>overzicht elektriciteitsgebruik en lokale elektriciteitsproductie per energiepost</v>
      </c>
      <c r="AN184" s="941"/>
      <c r="AO184" s="941"/>
      <c r="AP184" s="941"/>
      <c r="AQ184" s="941"/>
      <c r="AR184" s="941"/>
      <c r="AS184" s="941"/>
      <c r="AT184" s="941"/>
      <c r="AU184" s="956"/>
      <c r="AV184" s="174"/>
      <c r="AW184" s="200" t="str">
        <f>AW$10</f>
        <v>locatie 4</v>
      </c>
      <c r="AX184" s="182"/>
      <c r="AY184" s="966" t="str">
        <f>$E184&amp;" per energiepost"</f>
        <v>overzicht elektriciteitsgebruik en lokale elektriciteitsproductie per energiepost</v>
      </c>
      <c r="AZ184" s="941"/>
      <c r="BA184" s="941"/>
      <c r="BB184" s="941"/>
      <c r="BC184" s="941"/>
      <c r="BD184" s="941"/>
      <c r="BE184" s="941"/>
      <c r="BF184" s="941"/>
      <c r="BG184" s="956"/>
      <c r="BH184" s="1"/>
    </row>
    <row r="185" spans="1:60">
      <c r="A185" s="1040"/>
      <c r="B185" s="1109" t="s">
        <v>231</v>
      </c>
      <c r="C185" s="1106" t="s">
        <v>96</v>
      </c>
      <c r="D185" s="638"/>
      <c r="E185" s="940" t="s">
        <v>1241</v>
      </c>
      <c r="F185" s="940"/>
      <c r="G185" s="940"/>
      <c r="H185" s="940"/>
      <c r="I185" s="77"/>
      <c r="J185" s="939"/>
      <c r="K185" s="126"/>
      <c r="L185" s="126"/>
      <c r="M185" s="938"/>
      <c r="N185" s="191"/>
      <c r="O185" s="177" t="str">
        <f t="shared" ref="O185:W185" si="151">O$10</f>
        <v>verwarming</v>
      </c>
      <c r="P185" s="177" t="str">
        <f t="shared" si="151"/>
        <v>koeling</v>
      </c>
      <c r="Q185" s="177" t="str">
        <f t="shared" si="151"/>
        <v>tapwater</v>
      </c>
      <c r="R185" s="177" t="str">
        <f t="shared" si="151"/>
        <v>verlichting</v>
      </c>
      <c r="S185" s="177" t="str">
        <f t="shared" si="151"/>
        <v>ventilatoren</v>
      </c>
      <c r="T185" s="177" t="str">
        <f t="shared" si="151"/>
        <v>kookgas</v>
      </c>
      <c r="U185" s="177" t="str">
        <f t="shared" si="151"/>
        <v>overig elektra</v>
      </c>
      <c r="V185" s="177" t="str">
        <f t="shared" si="151"/>
        <v>mobiliteit</v>
      </c>
      <c r="W185" s="177" t="str">
        <f t="shared" si="151"/>
        <v>zonnepanelen</v>
      </c>
      <c r="X185" s="191"/>
      <c r="Y185" s="938"/>
      <c r="Z185" s="191"/>
      <c r="AA185" s="177" t="str">
        <f t="shared" ref="AA185:AI185" si="152">AA$10</f>
        <v>verwarming</v>
      </c>
      <c r="AB185" s="177" t="str">
        <f t="shared" si="152"/>
        <v>koeling</v>
      </c>
      <c r="AC185" s="177" t="str">
        <f t="shared" si="152"/>
        <v>tapwater</v>
      </c>
      <c r="AD185" s="177" t="str">
        <f t="shared" si="152"/>
        <v>verlichting</v>
      </c>
      <c r="AE185" s="177" t="str">
        <f t="shared" si="152"/>
        <v>ventilatoren</v>
      </c>
      <c r="AF185" s="177" t="str">
        <f t="shared" si="152"/>
        <v>kookgas</v>
      </c>
      <c r="AG185" s="177" t="str">
        <f t="shared" si="152"/>
        <v>overig elektra</v>
      </c>
      <c r="AH185" s="177" t="str">
        <f t="shared" si="152"/>
        <v>mobiliteit</v>
      </c>
      <c r="AI185" s="177" t="str">
        <f t="shared" si="152"/>
        <v>zonnepanelen</v>
      </c>
      <c r="AJ185" s="191"/>
      <c r="AK185" s="938"/>
      <c r="AL185" s="191"/>
      <c r="AM185" s="177" t="str">
        <f t="shared" ref="AM185:AU185" si="153">AM$10</f>
        <v>verwarming</v>
      </c>
      <c r="AN185" s="177" t="str">
        <f t="shared" si="153"/>
        <v>koeling</v>
      </c>
      <c r="AO185" s="177" t="str">
        <f t="shared" si="153"/>
        <v>tapwater</v>
      </c>
      <c r="AP185" s="177" t="str">
        <f t="shared" si="153"/>
        <v>verlichting</v>
      </c>
      <c r="AQ185" s="177" t="str">
        <f t="shared" si="153"/>
        <v>ventilatoren</v>
      </c>
      <c r="AR185" s="177" t="str">
        <f t="shared" si="153"/>
        <v>kookgas</v>
      </c>
      <c r="AS185" s="177" t="str">
        <f t="shared" si="153"/>
        <v>overig elektra</v>
      </c>
      <c r="AT185" s="177" t="str">
        <f t="shared" si="153"/>
        <v>mobiliteit</v>
      </c>
      <c r="AU185" s="177" t="str">
        <f t="shared" si="153"/>
        <v>zonnepanelen</v>
      </c>
      <c r="AV185" s="191"/>
      <c r="AW185" s="938"/>
      <c r="AX185" s="191"/>
      <c r="AY185" s="177" t="str">
        <f t="shared" ref="AY185:BG185" si="154">AY$10</f>
        <v>verwarming</v>
      </c>
      <c r="AZ185" s="177" t="str">
        <f t="shared" si="154"/>
        <v>koeling</v>
      </c>
      <c r="BA185" s="177" t="str">
        <f t="shared" si="154"/>
        <v>tapwater</v>
      </c>
      <c r="BB185" s="177" t="str">
        <f t="shared" si="154"/>
        <v>verlichting</v>
      </c>
      <c r="BC185" s="177" t="str">
        <f t="shared" si="154"/>
        <v>ventilatoren</v>
      </c>
      <c r="BD185" s="177" t="str">
        <f t="shared" si="154"/>
        <v>kookgas</v>
      </c>
      <c r="BE185" s="177" t="str">
        <f t="shared" si="154"/>
        <v>overig elektra</v>
      </c>
      <c r="BF185" s="177" t="str">
        <f t="shared" si="154"/>
        <v>mobiliteit</v>
      </c>
      <c r="BG185" s="177" t="str">
        <f t="shared" si="154"/>
        <v>zonnepanelen</v>
      </c>
      <c r="BH185" s="36"/>
    </row>
    <row r="186" spans="1:60" s="2" customFormat="1" hidden="1">
      <c r="A186" s="1038"/>
      <c r="B186" s="1109" t="s">
        <v>231</v>
      </c>
      <c r="C186" s="1106" t="s">
        <v>181</v>
      </c>
      <c r="D186" s="645" t="s">
        <v>45</v>
      </c>
      <c r="E186" s="180" t="s">
        <v>1238</v>
      </c>
      <c r="F186" s="180"/>
      <c r="G186" s="180"/>
      <c r="H186" s="181" t="s">
        <v>160</v>
      </c>
      <c r="I186" s="114"/>
      <c r="J186" s="202">
        <f>M186+Y186+AK186+AW186</f>
        <v>0</v>
      </c>
      <c r="K186" s="243"/>
      <c r="L186" s="243"/>
      <c r="M186" s="202">
        <f>SUM(N186:X186)</f>
        <v>0</v>
      </c>
      <c r="N186" s="89"/>
      <c r="O186" s="273"/>
      <c r="P186" s="273"/>
      <c r="Q186" s="273"/>
      <c r="R186" s="273"/>
      <c r="S186" s="273"/>
      <c r="T186" s="273"/>
      <c r="U186" s="273"/>
      <c r="V186" s="273"/>
      <c r="W186" s="168">
        <f>-W78</f>
        <v>0</v>
      </c>
      <c r="X186" s="113"/>
      <c r="Y186" s="202">
        <f>SUM(Z186:AJ186)</f>
        <v>0</v>
      </c>
      <c r="Z186" s="89"/>
      <c r="AA186" s="273"/>
      <c r="AB186" s="273"/>
      <c r="AC186" s="273"/>
      <c r="AD186" s="273"/>
      <c r="AE186" s="273"/>
      <c r="AF186" s="273"/>
      <c r="AG186" s="273"/>
      <c r="AH186" s="273"/>
      <c r="AI186" s="168">
        <f>-AI78</f>
        <v>0</v>
      </c>
      <c r="AJ186" s="113"/>
      <c r="AK186" s="202">
        <f>SUM(AL186:AV186)</f>
        <v>0</v>
      </c>
      <c r="AL186" s="89"/>
      <c r="AM186" s="273"/>
      <c r="AN186" s="273"/>
      <c r="AO186" s="273"/>
      <c r="AP186" s="273"/>
      <c r="AQ186" s="273"/>
      <c r="AR186" s="273"/>
      <c r="AS186" s="273"/>
      <c r="AT186" s="273"/>
      <c r="AU186" s="168">
        <f>-AU78</f>
        <v>0</v>
      </c>
      <c r="AV186" s="113"/>
      <c r="AW186" s="202">
        <f>SUM(AX186:BH186)</f>
        <v>0</v>
      </c>
      <c r="AX186" s="89"/>
      <c r="AY186" s="273"/>
      <c r="AZ186" s="273"/>
      <c r="BA186" s="273"/>
      <c r="BB186" s="273"/>
      <c r="BC186" s="273"/>
      <c r="BD186" s="273"/>
      <c r="BE186" s="273"/>
      <c r="BF186" s="273"/>
      <c r="BG186" s="168">
        <f>-BG78</f>
        <v>0</v>
      </c>
      <c r="BH186" s="210"/>
    </row>
    <row r="187" spans="1:60" s="2" customFormat="1" hidden="1">
      <c r="A187" s="1038"/>
      <c r="B187" s="1109" t="s">
        <v>231</v>
      </c>
      <c r="C187" s="1106" t="s">
        <v>181</v>
      </c>
      <c r="D187" s="644"/>
      <c r="E187" s="180" t="s">
        <v>1237</v>
      </c>
      <c r="F187" s="180"/>
      <c r="G187" s="180"/>
      <c r="H187" s="181" t="s">
        <v>160</v>
      </c>
      <c r="I187" s="114"/>
      <c r="J187" s="202">
        <f>M187+Y187+AK187+AW187</f>
        <v>0</v>
      </c>
      <c r="K187" s="243"/>
      <c r="L187" s="243"/>
      <c r="M187" s="202">
        <f>SUM(N187:X187)</f>
        <v>0</v>
      </c>
      <c r="N187" s="89"/>
      <c r="O187" s="168">
        <f>O$116*O$134</f>
        <v>0</v>
      </c>
      <c r="P187" s="168">
        <f>P$116*P$134</f>
        <v>0</v>
      </c>
      <c r="Q187" s="168">
        <f>Q$116*Q$134</f>
        <v>0</v>
      </c>
      <c r="R187" s="273"/>
      <c r="S187" s="273"/>
      <c r="T187" s="273"/>
      <c r="U187" s="273"/>
      <c r="V187" s="273"/>
      <c r="W187" s="273"/>
      <c r="X187" s="113"/>
      <c r="Y187" s="202">
        <f>SUM(Z187:AJ187)</f>
        <v>0</v>
      </c>
      <c r="Z187" s="89"/>
      <c r="AA187" s="168">
        <f>AA$116*AA$134</f>
        <v>0</v>
      </c>
      <c r="AB187" s="168">
        <f>AB$116*AB$134</f>
        <v>0</v>
      </c>
      <c r="AC187" s="168">
        <f>AC$116*AC$134</f>
        <v>0</v>
      </c>
      <c r="AD187" s="273"/>
      <c r="AE187" s="273"/>
      <c r="AF187" s="273"/>
      <c r="AG187" s="273"/>
      <c r="AH187" s="273"/>
      <c r="AI187" s="273"/>
      <c r="AJ187" s="113"/>
      <c r="AK187" s="202">
        <f>SUM(AL187:AV187)</f>
        <v>0</v>
      </c>
      <c r="AL187" s="89"/>
      <c r="AM187" s="168">
        <f>AM$116*AM$134</f>
        <v>0</v>
      </c>
      <c r="AN187" s="168">
        <f>AN$116*AN$134</f>
        <v>0</v>
      </c>
      <c r="AO187" s="168">
        <f>AO$116*AO$134</f>
        <v>0</v>
      </c>
      <c r="AP187" s="273"/>
      <c r="AQ187" s="273"/>
      <c r="AR187" s="273"/>
      <c r="AS187" s="273"/>
      <c r="AT187" s="273"/>
      <c r="AU187" s="273"/>
      <c r="AV187" s="113"/>
      <c r="AW187" s="202">
        <f>SUM(AX187:BH187)</f>
        <v>0</v>
      </c>
      <c r="AX187" s="89"/>
      <c r="AY187" s="168">
        <f>AY$116*AY$134</f>
        <v>0</v>
      </c>
      <c r="AZ187" s="168">
        <f>AZ$116*AZ$134</f>
        <v>0</v>
      </c>
      <c r="BA187" s="168">
        <f>BA$116*BA$134</f>
        <v>0</v>
      </c>
      <c r="BB187" s="273"/>
      <c r="BC187" s="273"/>
      <c r="BD187" s="273"/>
      <c r="BE187" s="273"/>
      <c r="BF187" s="273"/>
      <c r="BG187" s="273"/>
      <c r="BH187" s="210"/>
    </row>
    <row r="188" spans="1:60" s="2" customFormat="1" hidden="1">
      <c r="A188" s="1038"/>
      <c r="B188" s="1109" t="s">
        <v>231</v>
      </c>
      <c r="C188" s="1106" t="s">
        <v>181</v>
      </c>
      <c r="D188" s="644"/>
      <c r="E188" s="180" t="s">
        <v>232</v>
      </c>
      <c r="F188" s="180"/>
      <c r="G188" s="180"/>
      <c r="H188" s="181" t="s">
        <v>160</v>
      </c>
      <c r="I188" s="114"/>
      <c r="J188" s="202">
        <f>J187+J186</f>
        <v>0</v>
      </c>
      <c r="K188" s="243"/>
      <c r="L188" s="243"/>
      <c r="M188" s="202">
        <f>M187+M186</f>
        <v>0</v>
      </c>
      <c r="N188" s="89"/>
      <c r="O188" s="168">
        <f>O187+O186</f>
        <v>0</v>
      </c>
      <c r="P188" s="168">
        <f>P187+P186</f>
        <v>0</v>
      </c>
      <c r="Q188" s="168">
        <f>Q187+Q186</f>
        <v>0</v>
      </c>
      <c r="R188" s="273"/>
      <c r="S188" s="273"/>
      <c r="T188" s="273"/>
      <c r="U188" s="273"/>
      <c r="V188" s="273"/>
      <c r="W188" s="168">
        <f>W187+W186</f>
        <v>0</v>
      </c>
      <c r="X188" s="113"/>
      <c r="Y188" s="202">
        <f>Y187+Y186</f>
        <v>0</v>
      </c>
      <c r="Z188" s="89"/>
      <c r="AA188" s="168">
        <f>AA187+AA186</f>
        <v>0</v>
      </c>
      <c r="AB188" s="168">
        <f>AB187+AB186</f>
        <v>0</v>
      </c>
      <c r="AC188" s="168">
        <f>AC187+AC186</f>
        <v>0</v>
      </c>
      <c r="AD188" s="273"/>
      <c r="AE188" s="273"/>
      <c r="AF188" s="273"/>
      <c r="AG188" s="273"/>
      <c r="AH188" s="273"/>
      <c r="AI188" s="168">
        <f>AI187+AI186</f>
        <v>0</v>
      </c>
      <c r="AJ188" s="113"/>
      <c r="AK188" s="202">
        <f>AK187+AK186</f>
        <v>0</v>
      </c>
      <c r="AL188" s="89"/>
      <c r="AM188" s="168">
        <f>AM187+AM186</f>
        <v>0</v>
      </c>
      <c r="AN188" s="168">
        <f>AN187+AN186</f>
        <v>0</v>
      </c>
      <c r="AO188" s="168">
        <f>AO187+AO186</f>
        <v>0</v>
      </c>
      <c r="AP188" s="273"/>
      <c r="AQ188" s="273"/>
      <c r="AR188" s="273"/>
      <c r="AS188" s="273"/>
      <c r="AT188" s="273"/>
      <c r="AU188" s="168">
        <f>AU187+AU186</f>
        <v>0</v>
      </c>
      <c r="AV188" s="113"/>
      <c r="AW188" s="202">
        <f>AW187+AW186</f>
        <v>0</v>
      </c>
      <c r="AX188" s="89"/>
      <c r="AY188" s="168">
        <f>AY187+AY186</f>
        <v>0</v>
      </c>
      <c r="AZ188" s="168">
        <f>AZ187+AZ186</f>
        <v>0</v>
      </c>
      <c r="BA188" s="168">
        <f>BA187+BA186</f>
        <v>0</v>
      </c>
      <c r="BB188" s="273"/>
      <c r="BC188" s="273"/>
      <c r="BD188" s="273"/>
      <c r="BE188" s="273"/>
      <c r="BF188" s="273"/>
      <c r="BG188" s="168">
        <f>BG187+BG186</f>
        <v>0</v>
      </c>
      <c r="BH188" s="210"/>
    </row>
    <row r="189" spans="1:60" s="2" customFormat="1">
      <c r="A189" s="1038"/>
      <c r="B189" s="1109" t="s">
        <v>231</v>
      </c>
      <c r="C189" s="1106" t="s">
        <v>96</v>
      </c>
      <c r="D189" s="644"/>
      <c r="E189" s="940" t="s">
        <v>1242</v>
      </c>
      <c r="F189" s="940"/>
      <c r="G189" s="940"/>
      <c r="H189" s="940"/>
      <c r="I189" s="77"/>
      <c r="J189" s="939"/>
      <c r="K189" s="126"/>
      <c r="L189" s="126"/>
      <c r="M189" s="938"/>
      <c r="N189" s="252"/>
      <c r="O189" s="177" t="str">
        <f t="shared" ref="O189:W189" si="155">O$10</f>
        <v>verwarming</v>
      </c>
      <c r="P189" s="177" t="str">
        <f t="shared" si="155"/>
        <v>koeling</v>
      </c>
      <c r="Q189" s="177" t="str">
        <f t="shared" si="155"/>
        <v>tapwater</v>
      </c>
      <c r="R189" s="177" t="str">
        <f t="shared" si="155"/>
        <v>verlichting</v>
      </c>
      <c r="S189" s="177" t="str">
        <f t="shared" si="155"/>
        <v>ventilatoren</v>
      </c>
      <c r="T189" s="177"/>
      <c r="U189" s="177" t="str">
        <f t="shared" si="155"/>
        <v>overig elektra</v>
      </c>
      <c r="V189" s="177" t="str">
        <f t="shared" si="155"/>
        <v>mobiliteit</v>
      </c>
      <c r="W189" s="177" t="str">
        <f t="shared" si="155"/>
        <v>zonnepanelen</v>
      </c>
      <c r="X189" s="253"/>
      <c r="Y189" s="938"/>
      <c r="Z189" s="252"/>
      <c r="AA189" s="177" t="str">
        <f t="shared" ref="AA189:AI189" si="156">AA$10</f>
        <v>verwarming</v>
      </c>
      <c r="AB189" s="177" t="str">
        <f t="shared" si="156"/>
        <v>koeling</v>
      </c>
      <c r="AC189" s="177" t="str">
        <f t="shared" si="156"/>
        <v>tapwater</v>
      </c>
      <c r="AD189" s="177" t="str">
        <f t="shared" si="156"/>
        <v>verlichting</v>
      </c>
      <c r="AE189" s="177" t="str">
        <f t="shared" si="156"/>
        <v>ventilatoren</v>
      </c>
      <c r="AF189" s="177"/>
      <c r="AG189" s="177" t="str">
        <f t="shared" si="156"/>
        <v>overig elektra</v>
      </c>
      <c r="AH189" s="177" t="str">
        <f t="shared" si="156"/>
        <v>mobiliteit</v>
      </c>
      <c r="AI189" s="177" t="str">
        <f t="shared" si="156"/>
        <v>zonnepanelen</v>
      </c>
      <c r="AJ189" s="253"/>
      <c r="AK189" s="938"/>
      <c r="AL189" s="252"/>
      <c r="AM189" s="177" t="str">
        <f t="shared" ref="AM189:AU189" si="157">AM$10</f>
        <v>verwarming</v>
      </c>
      <c r="AN189" s="177" t="str">
        <f t="shared" si="157"/>
        <v>koeling</v>
      </c>
      <c r="AO189" s="177" t="str">
        <f t="shared" si="157"/>
        <v>tapwater</v>
      </c>
      <c r="AP189" s="177" t="str">
        <f t="shared" si="157"/>
        <v>verlichting</v>
      </c>
      <c r="AQ189" s="177" t="str">
        <f t="shared" si="157"/>
        <v>ventilatoren</v>
      </c>
      <c r="AR189" s="177"/>
      <c r="AS189" s="177" t="str">
        <f t="shared" si="157"/>
        <v>overig elektra</v>
      </c>
      <c r="AT189" s="177" t="str">
        <f t="shared" si="157"/>
        <v>mobiliteit</v>
      </c>
      <c r="AU189" s="177" t="str">
        <f t="shared" si="157"/>
        <v>zonnepanelen</v>
      </c>
      <c r="AV189" s="253"/>
      <c r="AW189" s="938"/>
      <c r="AX189" s="252"/>
      <c r="AY189" s="177" t="str">
        <f t="shared" ref="AY189:BG189" si="158">AY$10</f>
        <v>verwarming</v>
      </c>
      <c r="AZ189" s="177" t="str">
        <f t="shared" si="158"/>
        <v>koeling</v>
      </c>
      <c r="BA189" s="177" t="str">
        <f t="shared" si="158"/>
        <v>tapwater</v>
      </c>
      <c r="BB189" s="177" t="str">
        <f t="shared" si="158"/>
        <v>verlichting</v>
      </c>
      <c r="BC189" s="177" t="str">
        <f t="shared" si="158"/>
        <v>ventilatoren</v>
      </c>
      <c r="BD189" s="177"/>
      <c r="BE189" s="177" t="str">
        <f t="shared" si="158"/>
        <v>overig elektra</v>
      </c>
      <c r="BF189" s="177" t="str">
        <f t="shared" si="158"/>
        <v>mobiliteit</v>
      </c>
      <c r="BG189" s="177" t="str">
        <f t="shared" si="158"/>
        <v>zonnepanelen</v>
      </c>
    </row>
    <row r="190" spans="1:60" s="2" customFormat="1" hidden="1">
      <c r="A190" s="1038"/>
      <c r="B190" s="1109" t="s">
        <v>231</v>
      </c>
      <c r="C190" s="1106" t="s">
        <v>181</v>
      </c>
      <c r="D190" s="644"/>
      <c r="E190" s="180" t="s">
        <v>1243</v>
      </c>
      <c r="F190" s="180"/>
      <c r="G190" s="180"/>
      <c r="H190" s="181" t="s">
        <v>202</v>
      </c>
      <c r="I190" s="114"/>
      <c r="J190" s="202">
        <f>M190+Y190+AK190+AW190</f>
        <v>0</v>
      </c>
      <c r="K190" s="243"/>
      <c r="L190" s="243"/>
      <c r="M190" s="249">
        <f>SUM(N190:X190)</f>
        <v>0</v>
      </c>
      <c r="N190" s="89"/>
      <c r="O190" s="251">
        <f t="shared" ref="O190:Q190" si="159">AND(O$84=gebouw,O$105=elektriciteit)*O$116+AND(O$84=gebouw,O$141=elektriciteit)*O$147+SUM(O$168:O$170)</f>
        <v>0</v>
      </c>
      <c r="P190" s="251">
        <f t="shared" si="159"/>
        <v>0</v>
      </c>
      <c r="Q190" s="251">
        <f t="shared" si="159"/>
        <v>0</v>
      </c>
      <c r="R190" s="251" cm="1">
        <f t="array" ref="R190">SUMPRODUCT((N$22:X$22)*(N$29:X$29)*(N$66:X$66))/1000-R191</f>
        <v>0</v>
      </c>
      <c r="S190" s="251">
        <f>SUM(S$168:S$170)</f>
        <v>0</v>
      </c>
      <c r="T190" s="273"/>
      <c r="U190" s="273"/>
      <c r="V190" s="273"/>
      <c r="W190" s="610"/>
      <c r="X190" s="118"/>
      <c r="Y190" s="249">
        <f>SUM(Z190:AJ190)</f>
        <v>0</v>
      </c>
      <c r="Z190" s="89"/>
      <c r="AA190" s="251">
        <f t="shared" ref="AA190:AC190" si="160">AND(AA$84=gebouw,AA$105=elektriciteit)*AA$116+AND(AA$84=gebouw,AA$141=elektriciteit)*AA$147+SUM(AA$168:AA$170)</f>
        <v>0</v>
      </c>
      <c r="AB190" s="251">
        <f t="shared" si="160"/>
        <v>0</v>
      </c>
      <c r="AC190" s="251">
        <f t="shared" si="160"/>
        <v>0</v>
      </c>
      <c r="AD190" s="251" cm="1">
        <f t="array" ref="AD190">SUMPRODUCT((Z$22:AJ$22)*(Z$29:AJ$29)*(Z$66:AJ$66))/1000-AD191</f>
        <v>0</v>
      </c>
      <c r="AE190" s="251">
        <f>SUM(AE$168:AE$170)</f>
        <v>0</v>
      </c>
      <c r="AF190" s="273"/>
      <c r="AG190" s="273"/>
      <c r="AH190" s="273"/>
      <c r="AI190" s="610"/>
      <c r="AJ190" s="118"/>
      <c r="AK190" s="249">
        <f>SUM(AL190:AV190)</f>
        <v>0</v>
      </c>
      <c r="AL190" s="89"/>
      <c r="AM190" s="251">
        <f t="shared" ref="AM190:AO190" si="161">AND(AM$84=gebouw,AM$105=elektriciteit)*AM$116+AND(AM$84=gebouw,AM$141=elektriciteit)*AM$147+SUM(AM$168:AM$170)</f>
        <v>0</v>
      </c>
      <c r="AN190" s="251">
        <f t="shared" si="161"/>
        <v>0</v>
      </c>
      <c r="AO190" s="251">
        <f t="shared" si="161"/>
        <v>0</v>
      </c>
      <c r="AP190" s="251" cm="1">
        <f t="array" ref="AP190">SUMPRODUCT((AL$22:AV$22)*(AL$29:AV$29)*(AL$66:AV$66))/1000-AP191</f>
        <v>0</v>
      </c>
      <c r="AQ190" s="251">
        <f>SUM(AQ$168:AQ$170)</f>
        <v>0</v>
      </c>
      <c r="AR190" s="273"/>
      <c r="AS190" s="273"/>
      <c r="AT190" s="273"/>
      <c r="AU190" s="610"/>
      <c r="AV190" s="118"/>
      <c r="AW190" s="249">
        <f>SUM(AX190:BH190)</f>
        <v>0</v>
      </c>
      <c r="AX190" s="89"/>
      <c r="AY190" s="251">
        <f t="shared" ref="AY190:BA190" si="162">AND(AY$84=gebouw,AY$105=elektriciteit)*AY$116+AND(AY$84=gebouw,AY$141=elektriciteit)*AY$147+SUM(AY$168:AY$170)</f>
        <v>0</v>
      </c>
      <c r="AZ190" s="251">
        <f t="shared" si="162"/>
        <v>0</v>
      </c>
      <c r="BA190" s="251">
        <f t="shared" si="162"/>
        <v>0</v>
      </c>
      <c r="BB190" s="251" cm="1">
        <f t="array" ref="BB190">SUMPRODUCT((AX$22:BH$22)*(AX$29:BH$29)*(AX$66:BH$66))/1000-BB191</f>
        <v>0</v>
      </c>
      <c r="BC190" s="251">
        <f>SUM(BC$168:BC$170)</f>
        <v>0</v>
      </c>
      <c r="BD190" s="251"/>
      <c r="BE190" s="273"/>
      <c r="BF190" s="273"/>
      <c r="BG190" s="610"/>
      <c r="BH190" s="222"/>
    </row>
    <row r="191" spans="1:60" s="2" customFormat="1" hidden="1">
      <c r="A191" s="1038"/>
      <c r="B191" s="1109" t="s">
        <v>231</v>
      </c>
      <c r="C191" s="1106" t="s">
        <v>181</v>
      </c>
      <c r="D191" s="644"/>
      <c r="E191" s="180" t="s">
        <v>1244</v>
      </c>
      <c r="F191" s="180"/>
      <c r="G191" s="180"/>
      <c r="H191" s="181" t="s">
        <v>202</v>
      </c>
      <c r="I191" s="114"/>
      <c r="J191" s="202">
        <f>M191+Y191+AK191+AW191</f>
        <v>0</v>
      </c>
      <c r="K191" s="243"/>
      <c r="L191" s="243"/>
      <c r="M191" s="249">
        <f>SUM(N191:X191)</f>
        <v>0</v>
      </c>
      <c r="N191" s="89"/>
      <c r="O191" s="273"/>
      <c r="P191" s="273"/>
      <c r="Q191" s="273"/>
      <c r="R191" s="251" cm="1">
        <f t="array" ref="R191">SUMPRODUCT((N$22:X$22)*(N$29:X$29)*(N$66:X$66)*(N$19:X$19=woning))/1000+SUMPRODUCT((N$22:X$22)*(N$29:X$29)*(N$66:X$66)*(N$19:X$19=woongebouw))/1000</f>
        <v>0</v>
      </c>
      <c r="S191" s="273"/>
      <c r="T191" s="273"/>
      <c r="U191" s="251">
        <f t="shared" ref="U191" si="163">SUM(U$168:U$170)</f>
        <v>0</v>
      </c>
      <c r="V191" s="273"/>
      <c r="W191" s="610"/>
      <c r="X191" s="118"/>
      <c r="Y191" s="249">
        <f>SUM(Z191:AJ191)</f>
        <v>0</v>
      </c>
      <c r="Z191" s="89"/>
      <c r="AA191" s="273"/>
      <c r="AB191" s="273"/>
      <c r="AC191" s="273"/>
      <c r="AD191" s="251" cm="1">
        <f t="array" ref="AD191">SUMPRODUCT((Z$22:AJ$22)*(Z$29:AJ$29)*(Z$66:AJ$66)*(Z$19:AJ$19=woning))/1000+SUMPRODUCT((Z$22:AJ$22)*(Z$29:AJ$29)*(Z$66:AJ$66)*(Z$19:AJ$19=woongebouw))/1000</f>
        <v>0</v>
      </c>
      <c r="AE191" s="273"/>
      <c r="AF191" s="273"/>
      <c r="AG191" s="251">
        <f t="shared" ref="AG191" si="164">SUM(AG$168:AG$170)</f>
        <v>0</v>
      </c>
      <c r="AH191" s="273"/>
      <c r="AI191" s="610"/>
      <c r="AJ191" s="118"/>
      <c r="AK191" s="249">
        <f>SUM(AL191:AV191)</f>
        <v>0</v>
      </c>
      <c r="AL191" s="89"/>
      <c r="AM191" s="273"/>
      <c r="AN191" s="273"/>
      <c r="AO191" s="273"/>
      <c r="AP191" s="251" cm="1">
        <f t="array" ref="AP191">SUMPRODUCT((AL$22:AV$22)*(AL$29:AV$29)*(AL$66:AV$66)*(AL$19:AV$19=woning))/1000+SUMPRODUCT((AL$22:AV$22)*(AL$29:AV$29)*(AL$66:AV$66)*(AL$19:AV$19=woongebouw))/1000</f>
        <v>0</v>
      </c>
      <c r="AQ191" s="273"/>
      <c r="AR191" s="273"/>
      <c r="AS191" s="251">
        <f t="shared" ref="AS191" si="165">SUM(AS$168:AS$170)</f>
        <v>0</v>
      </c>
      <c r="AT191" s="273"/>
      <c r="AU191" s="610"/>
      <c r="AV191" s="118"/>
      <c r="AW191" s="249">
        <f>SUM(AX191:BH191)</f>
        <v>0</v>
      </c>
      <c r="AX191" s="89"/>
      <c r="AY191" s="273"/>
      <c r="AZ191" s="273"/>
      <c r="BA191" s="273"/>
      <c r="BB191" s="251" cm="1">
        <f t="array" ref="BB191">SUMPRODUCT((AX$22:BH$22)*(AX$29:BH$29)*(AX$66:BH$66)*(AX$19:BH$19=woning))/1000+SUMPRODUCT((AX$22:BH$22)*(AX$29:BH$29)*(AX$66:BH$66)*(AX$19:BH$19=woongebouw))/1000</f>
        <v>0</v>
      </c>
      <c r="BC191" s="273"/>
      <c r="BD191" s="251"/>
      <c r="BE191" s="251">
        <f t="shared" ref="BE191:BF192" si="166">SUM(BE$168:BE$170)</f>
        <v>0</v>
      </c>
      <c r="BF191" s="273"/>
      <c r="BG191" s="610"/>
      <c r="BH191" s="222"/>
    </row>
    <row r="192" spans="1:60" s="2" customFormat="1" hidden="1">
      <c r="A192" s="1038"/>
      <c r="B192" s="1109" t="s">
        <v>231</v>
      </c>
      <c r="C192" s="1106" t="s">
        <v>181</v>
      </c>
      <c r="D192" s="644"/>
      <c r="E192" s="180" t="s">
        <v>1236</v>
      </c>
      <c r="F192" s="180"/>
      <c r="G192" s="180"/>
      <c r="H192" s="181" t="s">
        <v>202</v>
      </c>
      <c r="I192" s="114"/>
      <c r="J192" s="202">
        <f>M192+Y192+AK192+AW192</f>
        <v>0</v>
      </c>
      <c r="K192" s="243"/>
      <c r="L192" s="243"/>
      <c r="M192" s="249">
        <f>SUM(N192:X192)</f>
        <v>0</v>
      </c>
      <c r="N192" s="89"/>
      <c r="O192" s="273"/>
      <c r="P192" s="273"/>
      <c r="Q192" s="273"/>
      <c r="R192" s="273"/>
      <c r="S192" s="273"/>
      <c r="T192" s="273"/>
      <c r="U192" s="273"/>
      <c r="V192" s="251">
        <f t="shared" ref="V192" si="167">SUM(V$168:V$170)</f>
        <v>0</v>
      </c>
      <c r="W192" s="610"/>
      <c r="X192" s="118"/>
      <c r="Y192" s="249">
        <f>SUM(Z192:AJ192)</f>
        <v>0</v>
      </c>
      <c r="Z192" s="89"/>
      <c r="AA192" s="273"/>
      <c r="AB192" s="273"/>
      <c r="AC192" s="273"/>
      <c r="AD192" s="273"/>
      <c r="AE192" s="273"/>
      <c r="AF192" s="273"/>
      <c r="AG192" s="273"/>
      <c r="AH192" s="251">
        <f t="shared" ref="AH192" si="168">SUM(AH$168:AH$170)</f>
        <v>0</v>
      </c>
      <c r="AI192" s="610"/>
      <c r="AJ192" s="118"/>
      <c r="AK192" s="249">
        <f>SUM(AL192:AV192)</f>
        <v>0</v>
      </c>
      <c r="AL192" s="89"/>
      <c r="AM192" s="273"/>
      <c r="AN192" s="273"/>
      <c r="AO192" s="273"/>
      <c r="AP192" s="273"/>
      <c r="AQ192" s="273"/>
      <c r="AR192" s="273"/>
      <c r="AS192" s="273"/>
      <c r="AT192" s="251">
        <f t="shared" ref="AT192" si="169">SUM(AT$168:AT$170)</f>
        <v>0</v>
      </c>
      <c r="AU192" s="610"/>
      <c r="AV192" s="118"/>
      <c r="AW192" s="249">
        <f>SUM(AX192:BH192)</f>
        <v>0</v>
      </c>
      <c r="AX192" s="89"/>
      <c r="AY192" s="273"/>
      <c r="AZ192" s="273"/>
      <c r="BA192" s="273"/>
      <c r="BB192" s="273"/>
      <c r="BC192" s="273"/>
      <c r="BD192" s="251"/>
      <c r="BE192" s="273"/>
      <c r="BF192" s="251">
        <f t="shared" si="166"/>
        <v>0</v>
      </c>
      <c r="BG192" s="610"/>
      <c r="BH192" s="222"/>
    </row>
    <row r="193" spans="1:60" s="2" customFormat="1">
      <c r="A193" s="1038"/>
      <c r="B193" s="1109" t="s">
        <v>231</v>
      </c>
      <c r="C193" s="1106" t="s">
        <v>96</v>
      </c>
      <c r="D193" s="644"/>
      <c r="E193" s="940" t="s">
        <v>1268</v>
      </c>
      <c r="F193" s="940"/>
      <c r="G193" s="940"/>
      <c r="H193" s="940"/>
      <c r="I193" s="77"/>
      <c r="J193" s="939"/>
      <c r="K193" s="126"/>
      <c r="L193" s="126"/>
      <c r="M193" s="938"/>
      <c r="N193" s="252"/>
      <c r="O193" s="177" t="str">
        <f t="shared" ref="O193:W193" si="170">O$10</f>
        <v>verwarming</v>
      </c>
      <c r="P193" s="177" t="str">
        <f t="shared" si="170"/>
        <v>koeling</v>
      </c>
      <c r="Q193" s="177" t="str">
        <f t="shared" si="170"/>
        <v>tapwater</v>
      </c>
      <c r="R193" s="177" t="str">
        <f t="shared" si="170"/>
        <v>verlichting</v>
      </c>
      <c r="S193" s="177" t="str">
        <f t="shared" si="170"/>
        <v>ventilatoren</v>
      </c>
      <c r="T193" s="177"/>
      <c r="U193" s="177" t="str">
        <f t="shared" si="170"/>
        <v>overig elektra</v>
      </c>
      <c r="V193" s="177" t="str">
        <f t="shared" si="170"/>
        <v>mobiliteit</v>
      </c>
      <c r="W193" s="177" t="str">
        <f t="shared" si="170"/>
        <v>zonnepanelen</v>
      </c>
      <c r="X193" s="253"/>
      <c r="Y193" s="938"/>
      <c r="Z193" s="252"/>
      <c r="AA193" s="177" t="str">
        <f t="shared" ref="AA193:AI193" si="171">AA$10</f>
        <v>verwarming</v>
      </c>
      <c r="AB193" s="177" t="str">
        <f t="shared" si="171"/>
        <v>koeling</v>
      </c>
      <c r="AC193" s="177" t="str">
        <f t="shared" si="171"/>
        <v>tapwater</v>
      </c>
      <c r="AD193" s="177" t="str">
        <f t="shared" si="171"/>
        <v>verlichting</v>
      </c>
      <c r="AE193" s="177" t="str">
        <f t="shared" si="171"/>
        <v>ventilatoren</v>
      </c>
      <c r="AF193" s="177"/>
      <c r="AG193" s="177" t="str">
        <f t="shared" si="171"/>
        <v>overig elektra</v>
      </c>
      <c r="AH193" s="177" t="str">
        <f t="shared" si="171"/>
        <v>mobiliteit</v>
      </c>
      <c r="AI193" s="177" t="str">
        <f t="shared" si="171"/>
        <v>zonnepanelen</v>
      </c>
      <c r="AJ193" s="253"/>
      <c r="AK193" s="938"/>
      <c r="AL193" s="252"/>
      <c r="AM193" s="177" t="str">
        <f t="shared" ref="AM193:AU193" si="172">AM$10</f>
        <v>verwarming</v>
      </c>
      <c r="AN193" s="177" t="str">
        <f t="shared" si="172"/>
        <v>koeling</v>
      </c>
      <c r="AO193" s="177" t="str">
        <f t="shared" si="172"/>
        <v>tapwater</v>
      </c>
      <c r="AP193" s="177" t="str">
        <f t="shared" si="172"/>
        <v>verlichting</v>
      </c>
      <c r="AQ193" s="177" t="str">
        <f t="shared" si="172"/>
        <v>ventilatoren</v>
      </c>
      <c r="AR193" s="177"/>
      <c r="AS193" s="177" t="str">
        <f t="shared" si="172"/>
        <v>overig elektra</v>
      </c>
      <c r="AT193" s="177" t="str">
        <f t="shared" si="172"/>
        <v>mobiliteit</v>
      </c>
      <c r="AU193" s="177" t="str">
        <f t="shared" si="172"/>
        <v>zonnepanelen</v>
      </c>
      <c r="AV193" s="253"/>
      <c r="AW193" s="938"/>
      <c r="AX193" s="252"/>
      <c r="AY193" s="177" t="str">
        <f t="shared" ref="AY193:BG193" si="173">AY$10</f>
        <v>verwarming</v>
      </c>
      <c r="AZ193" s="177" t="str">
        <f t="shared" si="173"/>
        <v>koeling</v>
      </c>
      <c r="BA193" s="177" t="str">
        <f t="shared" si="173"/>
        <v>tapwater</v>
      </c>
      <c r="BB193" s="177" t="str">
        <f t="shared" si="173"/>
        <v>verlichting</v>
      </c>
      <c r="BC193" s="177" t="str">
        <f t="shared" si="173"/>
        <v>ventilatoren</v>
      </c>
      <c r="BD193" s="177"/>
      <c r="BE193" s="177" t="str">
        <f t="shared" si="173"/>
        <v>overig elektra</v>
      </c>
      <c r="BF193" s="177" t="str">
        <f t="shared" si="173"/>
        <v>mobiliteit</v>
      </c>
      <c r="BG193" s="177" t="str">
        <f t="shared" si="173"/>
        <v>zonnepanelen</v>
      </c>
    </row>
    <row r="194" spans="1:60" s="2" customFormat="1" hidden="1">
      <c r="A194" s="1038"/>
      <c r="B194" s="1109" t="s">
        <v>231</v>
      </c>
      <c r="C194" s="1106" t="s">
        <v>181</v>
      </c>
      <c r="D194" s="644"/>
      <c r="E194" s="1123" t="s">
        <v>1269</v>
      </c>
      <c r="F194" s="180"/>
      <c r="G194" s="180"/>
      <c r="H194" s="181" t="s">
        <v>1270</v>
      </c>
      <c r="I194" s="114"/>
      <c r="J194" s="190">
        <f>M194+Y194+AK194+AW194</f>
        <v>0</v>
      </c>
      <c r="K194" s="243"/>
      <c r="L194" s="243"/>
      <c r="M194" s="1164">
        <f>SUMIF(N$19:X$19,woning,N$30:X$30)+SUMIF(N$19:X$19,woongebouw,N$30:X$30)</f>
        <v>0</v>
      </c>
      <c r="N194" s="89"/>
      <c r="O194" s="610"/>
      <c r="P194" s="610"/>
      <c r="Q194" s="610"/>
      <c r="R194" s="610"/>
      <c r="S194" s="610"/>
      <c r="T194" s="610"/>
      <c r="U194" s="610"/>
      <c r="V194" s="610"/>
      <c r="W194" s="610"/>
      <c r="X194" s="118"/>
      <c r="Y194" s="1164">
        <f>SUMIF(Z$19:AJ$19,woning,Z$30:AJ$30)+SUMIF(Z$19:AJ$19,woongebouw,Z$30:AJ$30)</f>
        <v>0</v>
      </c>
      <c r="Z194" s="89"/>
      <c r="AA194" s="610"/>
      <c r="AB194" s="610"/>
      <c r="AC194" s="610"/>
      <c r="AD194" s="610"/>
      <c r="AE194" s="610"/>
      <c r="AF194" s="610"/>
      <c r="AG194" s="610"/>
      <c r="AH194" s="610"/>
      <c r="AI194" s="610"/>
      <c r="AJ194" s="118"/>
      <c r="AK194" s="1164">
        <f>SUMIF(AL$19:AV$19,woning,AL$30:AV$30)+SUMIF(AL$19:AV$19,woongebouw,AL$30:AV$30)</f>
        <v>0</v>
      </c>
      <c r="AL194" s="89"/>
      <c r="AM194" s="610"/>
      <c r="AN194" s="610"/>
      <c r="AO194" s="610"/>
      <c r="AP194" s="610"/>
      <c r="AQ194" s="610"/>
      <c r="AR194" s="610"/>
      <c r="AS194" s="610"/>
      <c r="AT194" s="610"/>
      <c r="AU194" s="610"/>
      <c r="AV194" s="118"/>
      <c r="AW194" s="1164">
        <f>SUMIF(AX$19:BH$19,woning,AX$30:BH$30)+SUMIF(AX$19:BH$19,woongebouw,AX$30:BH$30)</f>
        <v>0</v>
      </c>
      <c r="AX194" s="89"/>
      <c r="AY194" s="610"/>
      <c r="AZ194" s="610"/>
      <c r="BA194" s="610"/>
      <c r="BB194" s="610"/>
      <c r="BC194" s="610"/>
      <c r="BD194" s="610"/>
      <c r="BE194" s="610"/>
      <c r="BF194" s="610"/>
      <c r="BG194" s="610"/>
      <c r="BH194" s="222"/>
    </row>
    <row r="195" spans="1:60" s="2" customFormat="1" hidden="1">
      <c r="A195" s="1038"/>
      <c r="B195" s="1109" t="s">
        <v>231</v>
      </c>
      <c r="C195" s="1106" t="s">
        <v>181</v>
      </c>
      <c r="D195" s="644"/>
      <c r="E195" s="1123" t="s">
        <v>1271</v>
      </c>
      <c r="F195" s="180"/>
      <c r="G195" s="180"/>
      <c r="H195" s="181" t="s">
        <v>1270</v>
      </c>
      <c r="I195" s="114"/>
      <c r="J195" s="190">
        <f>M195+Y195+AK195+AW195</f>
        <v>0</v>
      </c>
      <c r="K195" s="243"/>
      <c r="L195" s="243"/>
      <c r="M195" s="1164" cm="1">
        <f t="array" ref="M195">SUMIF(N$19:X$19,onderwijs,N$30:X$30)</f>
        <v>0</v>
      </c>
      <c r="N195" s="89"/>
      <c r="O195" s="610"/>
      <c r="P195" s="610"/>
      <c r="Q195" s="610"/>
      <c r="R195" s="610"/>
      <c r="S195" s="610"/>
      <c r="T195" s="610"/>
      <c r="U195" s="610"/>
      <c r="V195" s="610"/>
      <c r="W195" s="610"/>
      <c r="X195" s="118"/>
      <c r="Y195" s="1164" cm="1">
        <f t="array" ref="Y195">SUMIF(Z$19:AJ$19,onderwijs,Z$30:AJ$30)</f>
        <v>0</v>
      </c>
      <c r="Z195" s="89"/>
      <c r="AA195" s="610"/>
      <c r="AB195" s="610"/>
      <c r="AC195" s="610"/>
      <c r="AD195" s="610"/>
      <c r="AE195" s="610"/>
      <c r="AF195" s="610"/>
      <c r="AG195" s="610"/>
      <c r="AH195" s="610"/>
      <c r="AI195" s="610"/>
      <c r="AJ195" s="118"/>
      <c r="AK195" s="1164" cm="1">
        <f t="array" ref="AK195">SUMIF(AL$19:AV$19,onderwijs,AL$30:AV$30)</f>
        <v>0</v>
      </c>
      <c r="AL195" s="89"/>
      <c r="AM195" s="610"/>
      <c r="AN195" s="610"/>
      <c r="AO195" s="610"/>
      <c r="AP195" s="610"/>
      <c r="AQ195" s="610"/>
      <c r="AR195" s="610"/>
      <c r="AS195" s="610"/>
      <c r="AT195" s="610"/>
      <c r="AU195" s="610"/>
      <c r="AV195" s="118"/>
      <c r="AW195" s="1164" cm="1">
        <f t="array" ref="AW195">SUMIF(AX$19:BH$19,onderwijs,AX$30:BH$30)</f>
        <v>0</v>
      </c>
      <c r="AX195" s="89"/>
      <c r="AY195" s="610"/>
      <c r="AZ195" s="610"/>
      <c r="BA195" s="610"/>
      <c r="BB195" s="610"/>
      <c r="BC195" s="610"/>
      <c r="BD195" s="610"/>
      <c r="BE195" s="610"/>
      <c r="BF195" s="610"/>
      <c r="BG195" s="610"/>
      <c r="BH195" s="222"/>
    </row>
    <row r="196" spans="1:60" s="2" customFormat="1" hidden="1">
      <c r="A196" s="1038"/>
      <c r="B196" s="1109" t="s">
        <v>231</v>
      </c>
      <c r="C196" s="1106" t="s">
        <v>181</v>
      </c>
      <c r="D196" s="644"/>
      <c r="E196" s="1123" t="s">
        <v>1272</v>
      </c>
      <c r="F196" s="180"/>
      <c r="G196" s="180"/>
      <c r="H196" s="181" t="s">
        <v>1270</v>
      </c>
      <c r="I196" s="114"/>
      <c r="J196" s="190">
        <f>M196+Y196+AK196+AW196</f>
        <v>0</v>
      </c>
      <c r="K196" s="243"/>
      <c r="L196" s="243"/>
      <c r="M196" s="1164">
        <f>M29-M194-M195</f>
        <v>0</v>
      </c>
      <c r="N196" s="89"/>
      <c r="O196" s="610"/>
      <c r="P196" s="610"/>
      <c r="Q196" s="610"/>
      <c r="R196" s="610"/>
      <c r="S196" s="610"/>
      <c r="T196" s="610"/>
      <c r="U196" s="610"/>
      <c r="V196" s="610"/>
      <c r="W196" s="610"/>
      <c r="X196" s="118"/>
      <c r="Y196" s="1164">
        <f>Y29-Y194-Y195</f>
        <v>0</v>
      </c>
      <c r="Z196" s="89"/>
      <c r="AA196" s="610"/>
      <c r="AB196" s="610"/>
      <c r="AC196" s="610"/>
      <c r="AD196" s="610"/>
      <c r="AE196" s="610"/>
      <c r="AF196" s="610"/>
      <c r="AG196" s="610"/>
      <c r="AH196" s="610"/>
      <c r="AI196" s="610"/>
      <c r="AJ196" s="118"/>
      <c r="AK196" s="1164">
        <f>AK29-AK194-AK195</f>
        <v>0</v>
      </c>
      <c r="AL196" s="89"/>
      <c r="AM196" s="610"/>
      <c r="AN196" s="610"/>
      <c r="AO196" s="610"/>
      <c r="AP196" s="610"/>
      <c r="AQ196" s="610"/>
      <c r="AR196" s="610"/>
      <c r="AS196" s="610"/>
      <c r="AT196" s="610"/>
      <c r="AU196" s="610"/>
      <c r="AV196" s="118"/>
      <c r="AW196" s="1164">
        <f>AW29-AW194-AW195</f>
        <v>0</v>
      </c>
      <c r="AX196" s="89"/>
      <c r="AY196" s="610"/>
      <c r="AZ196" s="610"/>
      <c r="BA196" s="610"/>
      <c r="BB196" s="610"/>
      <c r="BC196" s="610"/>
      <c r="BD196" s="610"/>
      <c r="BE196" s="610"/>
      <c r="BF196" s="610"/>
      <c r="BG196" s="610"/>
      <c r="BH196" s="222"/>
    </row>
    <row r="197" spans="1:60" s="2" customFormat="1" hidden="1">
      <c r="A197" s="1079"/>
      <c r="B197" s="1112" t="s">
        <v>231</v>
      </c>
      <c r="C197" s="990" t="s">
        <v>181</v>
      </c>
      <c r="D197" s="644"/>
      <c r="E197" s="1123" t="s">
        <v>1309</v>
      </c>
      <c r="F197" s="180"/>
      <c r="G197" s="180"/>
      <c r="H197" s="181" t="s">
        <v>1270</v>
      </c>
      <c r="I197" s="1080"/>
      <c r="J197" s="190"/>
      <c r="K197" s="1081"/>
      <c r="L197" s="1081"/>
      <c r="M197" s="250" t="e">
        <f>((fdu_el_ren_woning*M$194+fdu_el_ren_onderwijs*M$195+fdu_el_ren_utiliteit_overig*M$196)/SUM(M$194:M$196))</f>
        <v>#DIV/0!</v>
      </c>
      <c r="N197" s="1082"/>
      <c r="O197" s="610"/>
      <c r="P197" s="610"/>
      <c r="Q197" s="610"/>
      <c r="R197" s="610"/>
      <c r="S197" s="610"/>
      <c r="T197" s="610"/>
      <c r="U197" s="610"/>
      <c r="V197" s="610"/>
      <c r="W197" s="610"/>
      <c r="X197" s="1083"/>
      <c r="Y197" s="250" t="e">
        <f>((fdu_el_ren_woning*Y$194+fdu_el_ren_onderwijs*Y$195+fdu_el_ren_utiliteit_overig*Y$196)/SUM(Y$194:Y$196))</f>
        <v>#DIV/0!</v>
      </c>
      <c r="Z197" s="1082"/>
      <c r="AA197" s="610"/>
      <c r="AB197" s="610"/>
      <c r="AC197" s="610"/>
      <c r="AD197" s="610"/>
      <c r="AE197" s="610"/>
      <c r="AF197" s="610"/>
      <c r="AG197" s="610"/>
      <c r="AH197" s="610"/>
      <c r="AI197" s="610"/>
      <c r="AJ197" s="1083"/>
      <c r="AK197" s="250" t="e">
        <f>((fdu_el_ren_woning*AK$194+fdu_el_ren_onderwijs*AK$195+fdu_el_ren_utiliteit_overig*AK$196)/SUM(AK$194:AK$196))</f>
        <v>#DIV/0!</v>
      </c>
      <c r="AL197" s="1082"/>
      <c r="AM197" s="610"/>
      <c r="AN197" s="610"/>
      <c r="AO197" s="610"/>
      <c r="AP197" s="610"/>
      <c r="AQ197" s="610"/>
      <c r="AR197" s="610"/>
      <c r="AS197" s="610"/>
      <c r="AT197" s="610"/>
      <c r="AU197" s="610"/>
      <c r="AV197" s="1083"/>
      <c r="AW197" s="250" t="e">
        <f>((fdu_el_ren_woning*AW$194+fdu_el_ren_onderwijs*AW$195+fdu_el_ren_utiliteit_overig*AW$196)/SUM(AW$194:AW$196))</f>
        <v>#DIV/0!</v>
      </c>
      <c r="AX197" s="1082"/>
      <c r="AY197" s="610"/>
      <c r="AZ197" s="610"/>
      <c r="BA197" s="610"/>
      <c r="BB197" s="610"/>
      <c r="BC197" s="610"/>
      <c r="BD197" s="610"/>
      <c r="BE197" s="610"/>
      <c r="BF197" s="610"/>
      <c r="BG197" s="610"/>
      <c r="BH197" s="222"/>
    </row>
    <row r="198" spans="1:60" s="2" customFormat="1" hidden="1">
      <c r="A198" s="1038"/>
      <c r="B198" s="1109" t="s">
        <v>231</v>
      </c>
      <c r="C198" s="1106" t="s">
        <v>181</v>
      </c>
      <c r="D198" s="644"/>
      <c r="E198" s="1123" t="s">
        <v>1310</v>
      </c>
      <c r="F198" s="180"/>
      <c r="G198" s="180"/>
      <c r="H198" s="181" t="s">
        <v>65</v>
      </c>
      <c r="I198" s="114"/>
      <c r="J198" s="190"/>
      <c r="K198" s="243"/>
      <c r="L198" s="243"/>
      <c r="M198" s="190">
        <f>IF(M$50="ja",1,0)</f>
        <v>0</v>
      </c>
      <c r="N198" s="119"/>
      <c r="O198" s="1078"/>
      <c r="P198" s="1078"/>
      <c r="Q198" s="1078"/>
      <c r="R198" s="1078"/>
      <c r="S198" s="1078"/>
      <c r="T198" s="1078"/>
      <c r="U198" s="1078"/>
      <c r="V198" s="1078"/>
      <c r="W198" s="1078"/>
      <c r="X198" s="109"/>
      <c r="Y198" s="190">
        <f>IF(Y$50="ja",1,0)</f>
        <v>0</v>
      </c>
      <c r="Z198" s="119"/>
      <c r="AA198" s="1078"/>
      <c r="AB198" s="1078"/>
      <c r="AC198" s="1078"/>
      <c r="AD198" s="1078"/>
      <c r="AE198" s="1078"/>
      <c r="AF198" s="1078"/>
      <c r="AG198" s="1078"/>
      <c r="AH198" s="1078"/>
      <c r="AI198" s="1078"/>
      <c r="AJ198" s="109"/>
      <c r="AK198" s="190">
        <f>IF(AK$50="ja",1,0)</f>
        <v>0</v>
      </c>
      <c r="AL198" s="119"/>
      <c r="AM198" s="1078"/>
      <c r="AN198" s="1078"/>
      <c r="AO198" s="1078"/>
      <c r="AP198" s="1078"/>
      <c r="AQ198" s="1078"/>
      <c r="AR198" s="1078"/>
      <c r="AS198" s="1078"/>
      <c r="AT198" s="1078"/>
      <c r="AU198" s="1078"/>
      <c r="AV198" s="109"/>
      <c r="AW198" s="190">
        <f>IF(AW$50="ja",1,0)</f>
        <v>0</v>
      </c>
      <c r="AX198" s="89"/>
      <c r="AY198" s="610"/>
      <c r="AZ198" s="610"/>
      <c r="BA198" s="610"/>
      <c r="BB198" s="610"/>
      <c r="BC198" s="610"/>
      <c r="BD198" s="610"/>
      <c r="BE198" s="610"/>
      <c r="BF198" s="610"/>
      <c r="BG198" s="610"/>
      <c r="BH198" s="222"/>
    </row>
    <row r="199" spans="1:60" s="2" customFormat="1">
      <c r="A199" s="1038"/>
      <c r="B199" s="1109" t="s">
        <v>231</v>
      </c>
      <c r="C199" s="1106" t="s">
        <v>96</v>
      </c>
      <c r="D199" s="644"/>
      <c r="E199" s="940" t="s">
        <v>1343</v>
      </c>
      <c r="F199" s="940"/>
      <c r="G199" s="940"/>
      <c r="H199" s="940"/>
      <c r="I199" s="77"/>
      <c r="J199" s="939"/>
      <c r="K199" s="126"/>
      <c r="L199" s="126"/>
      <c r="M199" s="938"/>
      <c r="N199" s="252"/>
      <c r="O199" s="177" t="str">
        <f t="shared" ref="O199:W199" si="174">O$10</f>
        <v>verwarming</v>
      </c>
      <c r="P199" s="177" t="str">
        <f t="shared" si="174"/>
        <v>koeling</v>
      </c>
      <c r="Q199" s="177" t="str">
        <f t="shared" si="174"/>
        <v>tapwater</v>
      </c>
      <c r="R199" s="177" t="str">
        <f t="shared" si="174"/>
        <v>verlichting</v>
      </c>
      <c r="S199" s="177" t="str">
        <f t="shared" si="174"/>
        <v>ventilatoren</v>
      </c>
      <c r="T199" s="177"/>
      <c r="U199" s="177" t="str">
        <f t="shared" si="174"/>
        <v>overig elektra</v>
      </c>
      <c r="V199" s="177" t="str">
        <f t="shared" si="174"/>
        <v>mobiliteit</v>
      </c>
      <c r="W199" s="177" t="str">
        <f t="shared" si="174"/>
        <v>zonnepanelen</v>
      </c>
      <c r="X199" s="253"/>
      <c r="Y199" s="938"/>
      <c r="Z199" s="252"/>
      <c r="AA199" s="177" t="str">
        <f t="shared" ref="AA199:AI199" si="175">AA$10</f>
        <v>verwarming</v>
      </c>
      <c r="AB199" s="177" t="str">
        <f t="shared" si="175"/>
        <v>koeling</v>
      </c>
      <c r="AC199" s="177" t="str">
        <f t="shared" si="175"/>
        <v>tapwater</v>
      </c>
      <c r="AD199" s="177" t="str">
        <f t="shared" si="175"/>
        <v>verlichting</v>
      </c>
      <c r="AE199" s="177" t="str">
        <f t="shared" si="175"/>
        <v>ventilatoren</v>
      </c>
      <c r="AF199" s="177"/>
      <c r="AG199" s="177" t="str">
        <f t="shared" si="175"/>
        <v>overig elektra</v>
      </c>
      <c r="AH199" s="177" t="str">
        <f t="shared" si="175"/>
        <v>mobiliteit</v>
      </c>
      <c r="AI199" s="177" t="str">
        <f t="shared" si="175"/>
        <v>zonnepanelen</v>
      </c>
      <c r="AJ199" s="253"/>
      <c r="AK199" s="938"/>
      <c r="AL199" s="252"/>
      <c r="AM199" s="177" t="str">
        <f t="shared" ref="AM199:AU199" si="176">AM$10</f>
        <v>verwarming</v>
      </c>
      <c r="AN199" s="177" t="str">
        <f t="shared" si="176"/>
        <v>koeling</v>
      </c>
      <c r="AO199" s="177" t="str">
        <f t="shared" si="176"/>
        <v>tapwater</v>
      </c>
      <c r="AP199" s="177" t="str">
        <f t="shared" si="176"/>
        <v>verlichting</v>
      </c>
      <c r="AQ199" s="177" t="str">
        <f t="shared" si="176"/>
        <v>ventilatoren</v>
      </c>
      <c r="AR199" s="177"/>
      <c r="AS199" s="177" t="str">
        <f t="shared" si="176"/>
        <v>overig elektra</v>
      </c>
      <c r="AT199" s="177" t="str">
        <f t="shared" si="176"/>
        <v>mobiliteit</v>
      </c>
      <c r="AU199" s="177" t="str">
        <f t="shared" si="176"/>
        <v>zonnepanelen</v>
      </c>
      <c r="AV199" s="253"/>
      <c r="AW199" s="938"/>
      <c r="AX199" s="252"/>
      <c r="AY199" s="177" t="str">
        <f t="shared" ref="AY199:BG199" si="177">AY$10</f>
        <v>verwarming</v>
      </c>
      <c r="AZ199" s="177" t="str">
        <f t="shared" si="177"/>
        <v>koeling</v>
      </c>
      <c r="BA199" s="177" t="str">
        <f t="shared" si="177"/>
        <v>tapwater</v>
      </c>
      <c r="BB199" s="177" t="str">
        <f t="shared" si="177"/>
        <v>verlichting</v>
      </c>
      <c r="BC199" s="177" t="str">
        <f t="shared" si="177"/>
        <v>ventilatoren</v>
      </c>
      <c r="BD199" s="177"/>
      <c r="BE199" s="177" t="str">
        <f t="shared" si="177"/>
        <v>overig elektra</v>
      </c>
      <c r="BF199" s="177" t="str">
        <f t="shared" si="177"/>
        <v>mobiliteit</v>
      </c>
      <c r="BG199" s="177" t="str">
        <f t="shared" si="177"/>
        <v>zonnepanelen</v>
      </c>
    </row>
    <row r="200" spans="1:60" s="2" customFormat="1" hidden="1">
      <c r="A200" s="1038"/>
      <c r="B200" s="1109" t="s">
        <v>231</v>
      </c>
      <c r="C200" s="1106" t="s">
        <v>181</v>
      </c>
      <c r="D200" s="644"/>
      <c r="E200" s="1123" t="s">
        <v>1288</v>
      </c>
      <c r="F200" s="180"/>
      <c r="G200" s="180"/>
      <c r="H200" s="181" t="s">
        <v>202</v>
      </c>
      <c r="I200" s="114"/>
      <c r="J200" s="202">
        <f t="shared" ref="J200:J203" si="178">M200+Y200+AK200+AW200</f>
        <v>0</v>
      </c>
      <c r="K200" s="243"/>
      <c r="L200" s="243"/>
      <c r="M200" s="249">
        <f>IF(M$190&lt;&gt;0,MIN(M$188,M$190),0)</f>
        <v>0</v>
      </c>
      <c r="N200" s="89"/>
      <c r="O200" s="610"/>
      <c r="P200" s="610"/>
      <c r="Q200" s="610"/>
      <c r="R200" s="610"/>
      <c r="S200" s="610"/>
      <c r="T200" s="610"/>
      <c r="U200" s="610"/>
      <c r="V200" s="610"/>
      <c r="W200" s="610"/>
      <c r="X200" s="118"/>
      <c r="Y200" s="249">
        <f>IF(Y$190&lt;&gt;0,MIN(Y$188,Y$190),0)</f>
        <v>0</v>
      </c>
      <c r="Z200" s="89"/>
      <c r="AA200" s="610"/>
      <c r="AB200" s="610"/>
      <c r="AC200" s="610"/>
      <c r="AD200" s="610"/>
      <c r="AE200" s="610"/>
      <c r="AF200" s="610"/>
      <c r="AG200" s="610"/>
      <c r="AH200" s="610"/>
      <c r="AI200" s="610"/>
      <c r="AJ200" s="118"/>
      <c r="AK200" s="249">
        <f>IF(AK$190&lt;&gt;0,MIN(AK$188,AK$190),0)</f>
        <v>0</v>
      </c>
      <c r="AL200" s="89"/>
      <c r="AM200" s="610"/>
      <c r="AN200" s="610"/>
      <c r="AO200" s="610"/>
      <c r="AP200" s="610"/>
      <c r="AQ200" s="610"/>
      <c r="AR200" s="610"/>
      <c r="AS200" s="610"/>
      <c r="AT200" s="610"/>
      <c r="AU200" s="610"/>
      <c r="AV200" s="118"/>
      <c r="AW200" s="249">
        <f>IF(AW$190&lt;&gt;0,MIN(AW$188,AW$190),0)</f>
        <v>0</v>
      </c>
      <c r="AX200" s="89"/>
      <c r="AY200" s="610"/>
      <c r="AZ200" s="610"/>
      <c r="BA200" s="610"/>
      <c r="BB200" s="610"/>
      <c r="BC200" s="610"/>
      <c r="BD200" s="610"/>
      <c r="BE200" s="610"/>
      <c r="BF200" s="610"/>
      <c r="BG200" s="610"/>
      <c r="BH200" s="222"/>
    </row>
    <row r="201" spans="1:60" s="2" customFormat="1" hidden="1">
      <c r="A201" s="1038"/>
      <c r="B201" s="1109" t="s">
        <v>231</v>
      </c>
      <c r="C201" s="1106" t="s">
        <v>181</v>
      </c>
      <c r="D201" s="645" t="s">
        <v>45</v>
      </c>
      <c r="E201" s="1123" t="s">
        <v>1287</v>
      </c>
      <c r="F201" s="180"/>
      <c r="G201" s="180"/>
      <c r="H201" s="181" t="s">
        <v>202</v>
      </c>
      <c r="I201" s="114"/>
      <c r="J201" s="202">
        <f t="shared" si="178"/>
        <v>0</v>
      </c>
      <c r="K201" s="243"/>
      <c r="L201" s="243"/>
      <c r="M201" s="249">
        <f>MIN(M$186,M$190)*waardering_opslag_hernieuwbaar*(M$50="ja")</f>
        <v>0</v>
      </c>
      <c r="N201" s="89"/>
      <c r="O201" s="610"/>
      <c r="P201" s="610"/>
      <c r="Q201" s="610"/>
      <c r="R201" s="610"/>
      <c r="S201" s="610"/>
      <c r="T201" s="610"/>
      <c r="U201" s="610"/>
      <c r="V201" s="610"/>
      <c r="W201" s="610"/>
      <c r="X201" s="118"/>
      <c r="Y201" s="249">
        <f>MIN(Y$186,Y$190)*waardering_opslag_hernieuwbaar*(Y$50="ja")</f>
        <v>0</v>
      </c>
      <c r="Z201" s="89"/>
      <c r="AA201" s="610"/>
      <c r="AB201" s="610"/>
      <c r="AC201" s="610"/>
      <c r="AD201" s="610"/>
      <c r="AE201" s="610"/>
      <c r="AF201" s="610"/>
      <c r="AG201" s="610"/>
      <c r="AH201" s="610"/>
      <c r="AI201" s="610"/>
      <c r="AJ201" s="118"/>
      <c r="AK201" s="249">
        <f>MIN(AK$186,AK$190)*waardering_opslag_hernieuwbaar*(AK$50="ja")</f>
        <v>0</v>
      </c>
      <c r="AL201" s="89"/>
      <c r="AM201" s="610"/>
      <c r="AN201" s="610"/>
      <c r="AO201" s="610"/>
      <c r="AP201" s="610"/>
      <c r="AQ201" s="610"/>
      <c r="AR201" s="610"/>
      <c r="AS201" s="610"/>
      <c r="AT201" s="610"/>
      <c r="AU201" s="610"/>
      <c r="AV201" s="118"/>
      <c r="AW201" s="249">
        <f>MIN(AW$186,AW$190)*waardering_opslag_hernieuwbaar*(AW$50="ja")</f>
        <v>0</v>
      </c>
      <c r="AX201" s="89"/>
      <c r="AY201" s="610"/>
      <c r="AZ201" s="610"/>
      <c r="BA201" s="610"/>
      <c r="BB201" s="610"/>
      <c r="BC201" s="610"/>
      <c r="BD201" s="610"/>
      <c r="BE201" s="610"/>
      <c r="BF201" s="610"/>
      <c r="BG201" s="610"/>
      <c r="BH201" s="222"/>
    </row>
    <row r="202" spans="1:60" s="2" customFormat="1" hidden="1">
      <c r="A202" s="1038"/>
      <c r="B202" s="1109" t="s">
        <v>231</v>
      </c>
      <c r="C202" s="1106" t="s">
        <v>181</v>
      </c>
      <c r="D202" s="645" t="s">
        <v>45</v>
      </c>
      <c r="E202" s="1123" t="s">
        <v>1311</v>
      </c>
      <c r="F202" s="180"/>
      <c r="G202" s="180"/>
      <c r="H202" s="181" t="s">
        <v>202</v>
      </c>
      <c r="I202" s="114"/>
      <c r="J202" s="202">
        <f t="shared" si="178"/>
        <v>0</v>
      </c>
      <c r="K202" s="243"/>
      <c r="L202" s="243"/>
      <c r="M202" s="249">
        <f>M$188-M200</f>
        <v>0</v>
      </c>
      <c r="N202" s="89"/>
      <c r="O202" s="610"/>
      <c r="P202" s="610"/>
      <c r="Q202" s="610"/>
      <c r="R202" s="610"/>
      <c r="S202" s="610"/>
      <c r="T202" s="610"/>
      <c r="U202" s="610"/>
      <c r="V202" s="610"/>
      <c r="W202" s="610"/>
      <c r="X202" s="118"/>
      <c r="Y202" s="249">
        <f>Y$188-Y200</f>
        <v>0</v>
      </c>
      <c r="Z202" s="89"/>
      <c r="AA202" s="610"/>
      <c r="AB202" s="610"/>
      <c r="AC202" s="610"/>
      <c r="AD202" s="610"/>
      <c r="AE202" s="610"/>
      <c r="AF202" s="610"/>
      <c r="AG202" s="610"/>
      <c r="AH202" s="610"/>
      <c r="AI202" s="610"/>
      <c r="AJ202" s="118"/>
      <c r="AK202" s="249">
        <f>AK$188-AK200</f>
        <v>0</v>
      </c>
      <c r="AL202" s="89"/>
      <c r="AM202" s="610"/>
      <c r="AN202" s="610"/>
      <c r="AO202" s="610"/>
      <c r="AP202" s="610"/>
      <c r="AQ202" s="610"/>
      <c r="AR202" s="610"/>
      <c r="AS202" s="610"/>
      <c r="AT202" s="610"/>
      <c r="AU202" s="610"/>
      <c r="AV202" s="118"/>
      <c r="AW202" s="249">
        <f>AW$188-AW200</f>
        <v>0</v>
      </c>
      <c r="AX202" s="89"/>
      <c r="AY202" s="610"/>
      <c r="AZ202" s="610"/>
      <c r="BA202" s="610"/>
      <c r="BB202" s="610"/>
      <c r="BC202" s="610"/>
      <c r="BD202" s="610"/>
      <c r="BE202" s="610"/>
      <c r="BF202" s="610"/>
      <c r="BG202" s="610"/>
      <c r="BH202" s="222"/>
    </row>
    <row r="203" spans="1:60" s="2" customFormat="1" hidden="1">
      <c r="A203" s="1079"/>
      <c r="B203" s="1112" t="s">
        <v>231</v>
      </c>
      <c r="C203" s="990" t="s">
        <v>181</v>
      </c>
      <c r="D203" s="644"/>
      <c r="E203" s="1123" t="s">
        <v>1274</v>
      </c>
      <c r="F203" s="180"/>
      <c r="G203" s="180"/>
      <c r="H203" s="181" t="s">
        <v>202</v>
      </c>
      <c r="I203" s="1080"/>
      <c r="J203" s="202">
        <f t="shared" si="178"/>
        <v>0</v>
      </c>
      <c r="K203" s="1081"/>
      <c r="L203" s="1081"/>
      <c r="M203" s="249">
        <f>SUM(M$190)-M200</f>
        <v>0</v>
      </c>
      <c r="N203" s="1082"/>
      <c r="O203" s="610"/>
      <c r="P203" s="610"/>
      <c r="Q203" s="610"/>
      <c r="R203" s="610"/>
      <c r="S203" s="610"/>
      <c r="T203" s="610"/>
      <c r="U203" s="610"/>
      <c r="V203" s="610"/>
      <c r="W203" s="610"/>
      <c r="X203" s="1083"/>
      <c r="Y203" s="249">
        <f>SUM(Y$190)-Y200</f>
        <v>0</v>
      </c>
      <c r="Z203" s="1082"/>
      <c r="AA203" s="610"/>
      <c r="AB203" s="610"/>
      <c r="AC203" s="610"/>
      <c r="AD203" s="610"/>
      <c r="AE203" s="610"/>
      <c r="AF203" s="610"/>
      <c r="AG203" s="610"/>
      <c r="AH203" s="610"/>
      <c r="AI203" s="610"/>
      <c r="AJ203" s="1083"/>
      <c r="AK203" s="249">
        <f>SUM(AK$190)-AK200</f>
        <v>0</v>
      </c>
      <c r="AL203" s="1082"/>
      <c r="AM203" s="610"/>
      <c r="AN203" s="610"/>
      <c r="AO203" s="610"/>
      <c r="AP203" s="610"/>
      <c r="AQ203" s="610"/>
      <c r="AR203" s="610"/>
      <c r="AS203" s="610"/>
      <c r="AT203" s="610"/>
      <c r="AU203" s="610"/>
      <c r="AV203" s="1083"/>
      <c r="AW203" s="249">
        <f>SUM(AW$190)-AW200</f>
        <v>0</v>
      </c>
      <c r="AX203" s="1082"/>
      <c r="AY203" s="610"/>
      <c r="AZ203" s="610"/>
      <c r="BA203" s="610"/>
      <c r="BB203" s="610"/>
      <c r="BC203" s="610"/>
      <c r="BD203" s="610"/>
      <c r="BE203" s="610"/>
      <c r="BF203" s="610"/>
      <c r="BG203" s="610"/>
      <c r="BH203" s="222"/>
    </row>
    <row r="204" spans="1:60" s="2" customFormat="1">
      <c r="A204" s="1038"/>
      <c r="B204" s="1109" t="s">
        <v>231</v>
      </c>
      <c r="C204" s="1106" t="s">
        <v>96</v>
      </c>
      <c r="D204" s="644"/>
      <c r="E204" s="940" t="s">
        <v>1344</v>
      </c>
      <c r="F204" s="940"/>
      <c r="G204" s="940"/>
      <c r="H204" s="940"/>
      <c r="I204" s="77"/>
      <c r="J204" s="939"/>
      <c r="K204" s="126"/>
      <c r="L204" s="126"/>
      <c r="M204" s="938"/>
      <c r="N204" s="252"/>
      <c r="O204" s="177" t="str">
        <f t="shared" ref="O204:W204" si="179">O$10</f>
        <v>verwarming</v>
      </c>
      <c r="P204" s="177" t="str">
        <f t="shared" si="179"/>
        <v>koeling</v>
      </c>
      <c r="Q204" s="177" t="str">
        <f t="shared" si="179"/>
        <v>tapwater</v>
      </c>
      <c r="R204" s="177" t="str">
        <f t="shared" si="179"/>
        <v>verlichting</v>
      </c>
      <c r="S204" s="177" t="str">
        <f t="shared" si="179"/>
        <v>ventilatoren</v>
      </c>
      <c r="T204" s="177"/>
      <c r="U204" s="177" t="str">
        <f t="shared" si="179"/>
        <v>overig elektra</v>
      </c>
      <c r="V204" s="177" t="str">
        <f t="shared" si="179"/>
        <v>mobiliteit</v>
      </c>
      <c r="W204" s="177" t="str">
        <f t="shared" si="179"/>
        <v>zonnepanelen</v>
      </c>
      <c r="X204" s="253"/>
      <c r="Y204" s="938"/>
      <c r="Z204" s="252"/>
      <c r="AA204" s="177" t="str">
        <f t="shared" ref="AA204:AI204" si="180">AA$10</f>
        <v>verwarming</v>
      </c>
      <c r="AB204" s="177" t="str">
        <f t="shared" si="180"/>
        <v>koeling</v>
      </c>
      <c r="AC204" s="177" t="str">
        <f t="shared" si="180"/>
        <v>tapwater</v>
      </c>
      <c r="AD204" s="177" t="str">
        <f t="shared" si="180"/>
        <v>verlichting</v>
      </c>
      <c r="AE204" s="177" t="str">
        <f t="shared" si="180"/>
        <v>ventilatoren</v>
      </c>
      <c r="AF204" s="177"/>
      <c r="AG204" s="177" t="str">
        <f t="shared" si="180"/>
        <v>overig elektra</v>
      </c>
      <c r="AH204" s="177" t="str">
        <f t="shared" si="180"/>
        <v>mobiliteit</v>
      </c>
      <c r="AI204" s="177" t="str">
        <f t="shared" si="180"/>
        <v>zonnepanelen</v>
      </c>
      <c r="AJ204" s="253"/>
      <c r="AK204" s="938"/>
      <c r="AL204" s="252"/>
      <c r="AM204" s="177" t="str">
        <f t="shared" ref="AM204:AU204" si="181">AM$10</f>
        <v>verwarming</v>
      </c>
      <c r="AN204" s="177" t="str">
        <f t="shared" si="181"/>
        <v>koeling</v>
      </c>
      <c r="AO204" s="177" t="str">
        <f t="shared" si="181"/>
        <v>tapwater</v>
      </c>
      <c r="AP204" s="177" t="str">
        <f t="shared" si="181"/>
        <v>verlichting</v>
      </c>
      <c r="AQ204" s="177" t="str">
        <f t="shared" si="181"/>
        <v>ventilatoren</v>
      </c>
      <c r="AR204" s="177"/>
      <c r="AS204" s="177" t="str">
        <f t="shared" si="181"/>
        <v>overig elektra</v>
      </c>
      <c r="AT204" s="177" t="str">
        <f t="shared" si="181"/>
        <v>mobiliteit</v>
      </c>
      <c r="AU204" s="177" t="str">
        <f t="shared" si="181"/>
        <v>zonnepanelen</v>
      </c>
      <c r="AV204" s="253"/>
      <c r="AW204" s="938"/>
      <c r="AX204" s="252"/>
      <c r="AY204" s="177" t="str">
        <f t="shared" ref="AY204:BG204" si="182">AY$10</f>
        <v>verwarming</v>
      </c>
      <c r="AZ204" s="177" t="str">
        <f t="shared" si="182"/>
        <v>koeling</v>
      </c>
      <c r="BA204" s="177" t="str">
        <f t="shared" si="182"/>
        <v>tapwater</v>
      </c>
      <c r="BB204" s="177" t="str">
        <f t="shared" si="182"/>
        <v>verlichting</v>
      </c>
      <c r="BC204" s="177" t="str">
        <f t="shared" si="182"/>
        <v>ventilatoren</v>
      </c>
      <c r="BD204" s="177"/>
      <c r="BE204" s="177" t="str">
        <f t="shared" si="182"/>
        <v>overig elektra</v>
      </c>
      <c r="BF204" s="177" t="str">
        <f t="shared" si="182"/>
        <v>mobiliteit</v>
      </c>
      <c r="BG204" s="177" t="str">
        <f t="shared" si="182"/>
        <v>zonnepanelen</v>
      </c>
    </row>
    <row r="205" spans="1:60" s="2" customFormat="1" hidden="1">
      <c r="A205" s="1038"/>
      <c r="B205" s="1109" t="s">
        <v>231</v>
      </c>
      <c r="C205" s="1106" t="s">
        <v>181</v>
      </c>
      <c r="D205" s="645" t="s">
        <v>45</v>
      </c>
      <c r="E205" s="1123" t="s">
        <v>1240</v>
      </c>
      <c r="F205" s="180"/>
      <c r="G205" s="180"/>
      <c r="H205" s="181" t="s">
        <v>202</v>
      </c>
      <c r="I205" s="114"/>
      <c r="J205" s="202">
        <f t="shared" ref="J205:J210" si="183">M205+Y205+AK205+AW205</f>
        <v>0</v>
      </c>
      <c r="K205" s="243"/>
      <c r="L205" s="243"/>
      <c r="M205" s="249">
        <f>IFERROR(MIN(MAX(M$197*M$186,0.3*SUM(M$190)),1*SUM(M$190),M$186),0)</f>
        <v>0</v>
      </c>
      <c r="N205" s="89"/>
      <c r="O205" s="610"/>
      <c r="P205" s="610"/>
      <c r="Q205" s="610"/>
      <c r="R205" s="610"/>
      <c r="S205" s="610"/>
      <c r="T205" s="610"/>
      <c r="U205" s="610"/>
      <c r="V205" s="610"/>
      <c r="W205" s="610"/>
      <c r="X205" s="118"/>
      <c r="Y205" s="249">
        <f>IFERROR(MIN(MAX(Y$197*Y$186,0.3*SUM(Y$190)),1*SUM(Y$190),Y$186),0)</f>
        <v>0</v>
      </c>
      <c r="Z205" s="89"/>
      <c r="AA205" s="610"/>
      <c r="AB205" s="610"/>
      <c r="AC205" s="610"/>
      <c r="AD205" s="610"/>
      <c r="AE205" s="610"/>
      <c r="AF205" s="610"/>
      <c r="AG205" s="610"/>
      <c r="AH205" s="610"/>
      <c r="AI205" s="610"/>
      <c r="AJ205" s="118"/>
      <c r="AK205" s="249">
        <f>IFERROR(MIN(MAX(AK$197*AK$186,0.3*SUM(AK$190)),1*SUM(AK$190),AK$186),0)</f>
        <v>0</v>
      </c>
      <c r="AL205" s="89"/>
      <c r="AM205" s="610"/>
      <c r="AN205" s="610"/>
      <c r="AO205" s="610"/>
      <c r="AP205" s="610"/>
      <c r="AQ205" s="610"/>
      <c r="AR205" s="610"/>
      <c r="AS205" s="610"/>
      <c r="AT205" s="610"/>
      <c r="AU205" s="610"/>
      <c r="AV205" s="118"/>
      <c r="AW205" s="249">
        <f>IFERROR(MIN(MAX(AW$197*AW$186,0.3*SUM(AW$190)),1*SUM(AW$190),AW$186),0)</f>
        <v>0</v>
      </c>
      <c r="AX205" s="89"/>
      <c r="AY205" s="610"/>
      <c r="AZ205" s="610"/>
      <c r="BA205" s="610"/>
      <c r="BB205" s="610"/>
      <c r="BC205" s="610"/>
      <c r="BD205" s="610"/>
      <c r="BE205" s="610"/>
      <c r="BF205" s="610"/>
      <c r="BG205" s="610"/>
      <c r="BH205" s="222"/>
    </row>
    <row r="206" spans="1:60" s="2" customFormat="1" hidden="1">
      <c r="A206" s="1038"/>
      <c r="B206" s="1109" t="s">
        <v>231</v>
      </c>
      <c r="C206" s="1106" t="s">
        <v>181</v>
      </c>
      <c r="D206" s="644"/>
      <c r="E206" s="1123" t="s">
        <v>1312</v>
      </c>
      <c r="F206" s="180"/>
      <c r="G206" s="180"/>
      <c r="H206" s="181" t="s">
        <v>202</v>
      </c>
      <c r="I206" s="114"/>
      <c r="J206" s="202">
        <f t="shared" si="183"/>
        <v>0</v>
      </c>
      <c r="K206" s="243"/>
      <c r="L206" s="243"/>
      <c r="M206" s="249">
        <f>MIN(0.3*M$186*M$198,SUM(M$190)-M205,M$186-M205)</f>
        <v>0</v>
      </c>
      <c r="N206" s="89"/>
      <c r="O206" s="610"/>
      <c r="P206" s="610"/>
      <c r="Q206" s="610"/>
      <c r="R206" s="610"/>
      <c r="S206" s="610"/>
      <c r="T206" s="610"/>
      <c r="U206" s="610"/>
      <c r="V206" s="610"/>
      <c r="W206" s="610"/>
      <c r="X206" s="118"/>
      <c r="Y206" s="249">
        <f>MIN(0.3*Y$186*Y$198,SUM(Y$190)-Y205,Y$186-Y205)</f>
        <v>0</v>
      </c>
      <c r="Z206" s="89"/>
      <c r="AA206" s="610"/>
      <c r="AB206" s="610"/>
      <c r="AC206" s="610"/>
      <c r="AD206" s="610"/>
      <c r="AE206" s="610"/>
      <c r="AF206" s="610"/>
      <c r="AG206" s="610"/>
      <c r="AH206" s="610"/>
      <c r="AI206" s="610"/>
      <c r="AJ206" s="118"/>
      <c r="AK206" s="249">
        <f>MIN(0.3*AK$186*AK$198,SUM(AK$190)-AK205,AK$186-AK205)</f>
        <v>0</v>
      </c>
      <c r="AL206" s="89"/>
      <c r="AM206" s="610"/>
      <c r="AN206" s="610"/>
      <c r="AO206" s="610"/>
      <c r="AP206" s="610"/>
      <c r="AQ206" s="610"/>
      <c r="AR206" s="610"/>
      <c r="AS206" s="610"/>
      <c r="AT206" s="610"/>
      <c r="AU206" s="610"/>
      <c r="AV206" s="118"/>
      <c r="AW206" s="249">
        <f>MIN(0.3*AW$186*AW$198,SUM(AW$190)-AW205,AW$186-AW205)</f>
        <v>0</v>
      </c>
      <c r="AX206" s="89"/>
      <c r="AY206" s="610"/>
      <c r="AZ206" s="610"/>
      <c r="BA206" s="610"/>
      <c r="BB206" s="610"/>
      <c r="BC206" s="610"/>
      <c r="BD206" s="610"/>
      <c r="BE206" s="610"/>
      <c r="BF206" s="610"/>
      <c r="BG206" s="610"/>
      <c r="BH206" s="222"/>
    </row>
    <row r="207" spans="1:60" s="2" customFormat="1" hidden="1">
      <c r="A207" s="1038"/>
      <c r="B207" s="1109" t="s">
        <v>231</v>
      </c>
      <c r="C207" s="1106" t="s">
        <v>181</v>
      </c>
      <c r="D207" s="644"/>
      <c r="E207" s="1123" t="s">
        <v>1246</v>
      </c>
      <c r="F207" s="180"/>
      <c r="G207" s="180"/>
      <c r="H207" s="181" t="s">
        <v>202</v>
      </c>
      <c r="I207" s="114"/>
      <c r="J207" s="202">
        <f t="shared" si="183"/>
        <v>0</v>
      </c>
      <c r="K207" s="243"/>
      <c r="L207" s="243"/>
      <c r="M207" s="249">
        <f>M$186-M205-M206</f>
        <v>0</v>
      </c>
      <c r="N207" s="89"/>
      <c r="O207" s="610"/>
      <c r="P207" s="610"/>
      <c r="Q207" s="610"/>
      <c r="R207" s="610"/>
      <c r="S207" s="610"/>
      <c r="T207" s="610"/>
      <c r="U207" s="610"/>
      <c r="V207" s="610"/>
      <c r="W207" s="610"/>
      <c r="X207" s="118"/>
      <c r="Y207" s="249">
        <f>Y$186-Y205-Y206</f>
        <v>0</v>
      </c>
      <c r="Z207" s="89"/>
      <c r="AA207" s="610"/>
      <c r="AB207" s="610"/>
      <c r="AC207" s="610"/>
      <c r="AD207" s="610"/>
      <c r="AE207" s="610"/>
      <c r="AF207" s="610"/>
      <c r="AG207" s="610"/>
      <c r="AH207" s="610"/>
      <c r="AI207" s="610"/>
      <c r="AJ207" s="118"/>
      <c r="AK207" s="249">
        <f>AK$186-AK205-AK206</f>
        <v>0</v>
      </c>
      <c r="AL207" s="89"/>
      <c r="AM207" s="610"/>
      <c r="AN207" s="610"/>
      <c r="AO207" s="610"/>
      <c r="AP207" s="610"/>
      <c r="AQ207" s="610"/>
      <c r="AR207" s="610"/>
      <c r="AS207" s="610"/>
      <c r="AT207" s="610"/>
      <c r="AU207" s="610"/>
      <c r="AV207" s="118"/>
      <c r="AW207" s="249">
        <f>AW$186-AW205-AW206</f>
        <v>0</v>
      </c>
      <c r="AX207" s="89"/>
      <c r="AY207" s="610"/>
      <c r="AZ207" s="610"/>
      <c r="BA207" s="610"/>
      <c r="BB207" s="610"/>
      <c r="BC207" s="610"/>
      <c r="BD207" s="610"/>
      <c r="BE207" s="610"/>
      <c r="BF207" s="610"/>
      <c r="BG207" s="610"/>
      <c r="BH207" s="222"/>
    </row>
    <row r="208" spans="1:60" s="2" customFormat="1" hidden="1">
      <c r="A208" s="1038"/>
      <c r="B208" s="1109" t="s">
        <v>231</v>
      </c>
      <c r="C208" s="1106" t="s">
        <v>181</v>
      </c>
      <c r="D208" s="645" t="s">
        <v>45</v>
      </c>
      <c r="E208" s="1123" t="s">
        <v>1239</v>
      </c>
      <c r="F208" s="180"/>
      <c r="G208" s="180"/>
      <c r="H208" s="181" t="s">
        <v>202</v>
      </c>
      <c r="I208" s="114"/>
      <c r="J208" s="202">
        <f t="shared" si="183"/>
        <v>0</v>
      </c>
      <c r="K208" s="243"/>
      <c r="L208" s="243"/>
      <c r="M208" s="249">
        <f>MIN(fdu_el_nren*M$187,MAX(0,SUM(M$190)-M205-M206*eta_BAT))</f>
        <v>0</v>
      </c>
      <c r="N208" s="89"/>
      <c r="O208" s="610"/>
      <c r="P208" s="610"/>
      <c r="Q208" s="610"/>
      <c r="R208" s="610"/>
      <c r="S208" s="610"/>
      <c r="T208" s="610"/>
      <c r="U208" s="610"/>
      <c r="V208" s="610"/>
      <c r="W208" s="610"/>
      <c r="X208" s="118"/>
      <c r="Y208" s="249">
        <f>MIN(fdu_el_nren*Y$187,MAX(0,SUM(Y$190)-Y205-Y206*eta_BAT))</f>
        <v>0</v>
      </c>
      <c r="Z208" s="89"/>
      <c r="AA208" s="610"/>
      <c r="AB208" s="610"/>
      <c r="AC208" s="610"/>
      <c r="AD208" s="610"/>
      <c r="AE208" s="610"/>
      <c r="AF208" s="610"/>
      <c r="AG208" s="610"/>
      <c r="AH208" s="610"/>
      <c r="AI208" s="610"/>
      <c r="AJ208" s="118"/>
      <c r="AK208" s="249">
        <f>MIN(fdu_el_nren*AK$187,MAX(0,SUM(AK$190)-AK205-AK206*eta_BAT))</f>
        <v>0</v>
      </c>
      <c r="AL208" s="89"/>
      <c r="AM208" s="610"/>
      <c r="AN208" s="610"/>
      <c r="AO208" s="610"/>
      <c r="AP208" s="610"/>
      <c r="AQ208" s="610"/>
      <c r="AR208" s="610"/>
      <c r="AS208" s="610"/>
      <c r="AT208" s="610"/>
      <c r="AU208" s="610"/>
      <c r="AV208" s="118"/>
      <c r="AW208" s="249">
        <f>MIN(fdu_el_nren*AW$187,MAX(0,SUM(AW$190)-AW205-AW206*eta_BAT))</f>
        <v>0</v>
      </c>
      <c r="AX208" s="89"/>
      <c r="AY208" s="610"/>
      <c r="AZ208" s="610"/>
      <c r="BA208" s="610"/>
      <c r="BB208" s="610"/>
      <c r="BC208" s="610"/>
      <c r="BD208" s="610"/>
      <c r="BE208" s="610"/>
      <c r="BF208" s="610"/>
      <c r="BG208" s="610"/>
      <c r="BH208" s="222"/>
    </row>
    <row r="209" spans="1:60" s="2" customFormat="1" hidden="1">
      <c r="A209" s="1038"/>
      <c r="B209" s="1109" t="s">
        <v>231</v>
      </c>
      <c r="C209" s="1106" t="s">
        <v>181</v>
      </c>
      <c r="D209" s="644"/>
      <c r="E209" s="1123" t="s">
        <v>1245</v>
      </c>
      <c r="F209" s="180"/>
      <c r="G209" s="180"/>
      <c r="H209" s="181" t="s">
        <v>202</v>
      </c>
      <c r="I209" s="114"/>
      <c r="J209" s="202">
        <f t="shared" si="183"/>
        <v>0</v>
      </c>
      <c r="K209" s="243"/>
      <c r="L209" s="243"/>
      <c r="M209" s="249">
        <f>M$187-M208</f>
        <v>0</v>
      </c>
      <c r="N209" s="89"/>
      <c r="O209" s="610"/>
      <c r="P209" s="610"/>
      <c r="Q209" s="610"/>
      <c r="R209" s="610"/>
      <c r="S209" s="610"/>
      <c r="T209" s="610"/>
      <c r="U209" s="610"/>
      <c r="V209" s="610"/>
      <c r="W209" s="610"/>
      <c r="X209" s="118"/>
      <c r="Y209" s="249">
        <f>Y$187-Y208</f>
        <v>0</v>
      </c>
      <c r="Z209" s="89"/>
      <c r="AA209" s="610"/>
      <c r="AB209" s="610"/>
      <c r="AC209" s="610"/>
      <c r="AD209" s="610"/>
      <c r="AE209" s="610"/>
      <c r="AF209" s="610"/>
      <c r="AG209" s="610"/>
      <c r="AH209" s="610"/>
      <c r="AI209" s="610"/>
      <c r="AJ209" s="118"/>
      <c r="AK209" s="249">
        <f>AK$187-AK208</f>
        <v>0</v>
      </c>
      <c r="AL209" s="89"/>
      <c r="AM209" s="610"/>
      <c r="AN209" s="610"/>
      <c r="AO209" s="610"/>
      <c r="AP209" s="610"/>
      <c r="AQ209" s="610"/>
      <c r="AR209" s="610"/>
      <c r="AS209" s="610"/>
      <c r="AT209" s="610"/>
      <c r="AU209" s="610"/>
      <c r="AV209" s="118"/>
      <c r="AW209" s="249">
        <f>AW$187-AW208</f>
        <v>0</v>
      </c>
      <c r="AX209" s="89"/>
      <c r="AY209" s="610"/>
      <c r="AZ209" s="610"/>
      <c r="BA209" s="610"/>
      <c r="BB209" s="610"/>
      <c r="BC209" s="610"/>
      <c r="BD209" s="610"/>
      <c r="BE209" s="610"/>
      <c r="BF209" s="610"/>
      <c r="BG209" s="610"/>
      <c r="BH209" s="222"/>
    </row>
    <row r="210" spans="1:60" s="2" customFormat="1" hidden="1">
      <c r="A210" s="1079"/>
      <c r="B210" s="1112" t="s">
        <v>231</v>
      </c>
      <c r="C210" s="990" t="s">
        <v>181</v>
      </c>
      <c r="D210" s="644"/>
      <c r="E210" s="1123" t="s">
        <v>1274</v>
      </c>
      <c r="F210" s="180"/>
      <c r="G210" s="180"/>
      <c r="H210" s="181" t="s">
        <v>202</v>
      </c>
      <c r="I210" s="1080"/>
      <c r="J210" s="202">
        <f t="shared" si="183"/>
        <v>0</v>
      </c>
      <c r="K210" s="1081"/>
      <c r="L210" s="1081"/>
      <c r="M210" s="249">
        <f>SUM(M$190)-M205-M208-M206*eta_BAT</f>
        <v>0</v>
      </c>
      <c r="N210" s="1082"/>
      <c r="O210" s="610"/>
      <c r="P210" s="610"/>
      <c r="Q210" s="610"/>
      <c r="R210" s="610"/>
      <c r="S210" s="610"/>
      <c r="T210" s="610"/>
      <c r="U210" s="610"/>
      <c r="V210" s="610"/>
      <c r="W210" s="610"/>
      <c r="X210" s="1083"/>
      <c r="Y210" s="249">
        <f>SUM(Y$190)-Y205-Y208-Y206*eta_BAT</f>
        <v>0</v>
      </c>
      <c r="Z210" s="1082"/>
      <c r="AA210" s="610"/>
      <c r="AB210" s="610"/>
      <c r="AC210" s="610"/>
      <c r="AD210" s="610"/>
      <c r="AE210" s="610"/>
      <c r="AF210" s="610"/>
      <c r="AG210" s="610"/>
      <c r="AH210" s="610"/>
      <c r="AI210" s="610"/>
      <c r="AJ210" s="1083"/>
      <c r="AK210" s="249">
        <f>SUM(AK$190)-AK205-AK208-AK206*eta_BAT</f>
        <v>0</v>
      </c>
      <c r="AL210" s="1082"/>
      <c r="AM210" s="610"/>
      <c r="AN210" s="610"/>
      <c r="AO210" s="610"/>
      <c r="AP210" s="610"/>
      <c r="AQ210" s="610"/>
      <c r="AR210" s="610"/>
      <c r="AS210" s="610"/>
      <c r="AT210" s="610"/>
      <c r="AU210" s="610"/>
      <c r="AV210" s="1083"/>
      <c r="AW210" s="249">
        <f>SUM(AW$190)-AW205-AW208-AW206*eta_BAT</f>
        <v>0</v>
      </c>
      <c r="AX210" s="1082"/>
      <c r="AY210" s="610"/>
      <c r="AZ210" s="610"/>
      <c r="BA210" s="610"/>
      <c r="BB210" s="610"/>
      <c r="BC210" s="610"/>
      <c r="BD210" s="610"/>
      <c r="BE210" s="610"/>
      <c r="BF210" s="610"/>
      <c r="BG210" s="610"/>
      <c r="BH210" s="222"/>
    </row>
    <row r="211" spans="1:60" s="2" customFormat="1">
      <c r="A211" s="1038"/>
      <c r="B211" s="1109" t="s">
        <v>231</v>
      </c>
      <c r="C211" s="1106" t="s">
        <v>96</v>
      </c>
      <c r="D211" s="644"/>
      <c r="E211" s="940" t="s">
        <v>1345</v>
      </c>
      <c r="F211" s="940"/>
      <c r="G211" s="940"/>
      <c r="H211" s="940"/>
      <c r="I211" s="77"/>
      <c r="J211" s="939"/>
      <c r="K211" s="126"/>
      <c r="L211" s="126"/>
      <c r="M211" s="938"/>
      <c r="N211" s="252"/>
      <c r="O211" s="177" t="str">
        <f>O$10</f>
        <v>verwarming</v>
      </c>
      <c r="P211" s="177" t="str">
        <f>P$10</f>
        <v>koeling</v>
      </c>
      <c r="Q211" s="177" t="str">
        <f>Q$10</f>
        <v>tapwater</v>
      </c>
      <c r="R211" s="177"/>
      <c r="S211" s="177"/>
      <c r="T211" s="177"/>
      <c r="U211" s="177"/>
      <c r="V211" s="177"/>
      <c r="W211" s="177" t="str">
        <f>W$10</f>
        <v>zonnepanelen</v>
      </c>
      <c r="X211" s="253"/>
      <c r="Y211" s="938"/>
      <c r="Z211" s="252"/>
      <c r="AA211" s="177" t="str">
        <f t="shared" ref="AA211:AI211" si="184">AA$10</f>
        <v>verwarming</v>
      </c>
      <c r="AB211" s="177" t="str">
        <f t="shared" si="184"/>
        <v>koeling</v>
      </c>
      <c r="AC211" s="177" t="str">
        <f t="shared" si="184"/>
        <v>tapwater</v>
      </c>
      <c r="AD211" s="177"/>
      <c r="AE211" s="177"/>
      <c r="AF211" s="177"/>
      <c r="AG211" s="177"/>
      <c r="AH211" s="177"/>
      <c r="AI211" s="177" t="str">
        <f t="shared" si="184"/>
        <v>zonnepanelen</v>
      </c>
      <c r="AJ211" s="253"/>
      <c r="AK211" s="938"/>
      <c r="AL211" s="252"/>
      <c r="AM211" s="177" t="str">
        <f t="shared" ref="AM211:AU211" si="185">AM$10</f>
        <v>verwarming</v>
      </c>
      <c r="AN211" s="177" t="str">
        <f t="shared" si="185"/>
        <v>koeling</v>
      </c>
      <c r="AO211" s="177" t="str">
        <f t="shared" si="185"/>
        <v>tapwater</v>
      </c>
      <c r="AP211" s="177"/>
      <c r="AQ211" s="177"/>
      <c r="AR211" s="177"/>
      <c r="AS211" s="177"/>
      <c r="AT211" s="177"/>
      <c r="AU211" s="177" t="str">
        <f t="shared" si="185"/>
        <v>zonnepanelen</v>
      </c>
      <c r="AV211" s="253"/>
      <c r="AW211" s="938"/>
      <c r="AX211" s="252"/>
      <c r="AY211" s="177" t="str">
        <f t="shared" ref="AY211:BG211" si="186">AY$10</f>
        <v>verwarming</v>
      </c>
      <c r="AZ211" s="177" t="str">
        <f t="shared" si="186"/>
        <v>koeling</v>
      </c>
      <c r="BA211" s="177" t="str">
        <f t="shared" si="186"/>
        <v>tapwater</v>
      </c>
      <c r="BB211" s="177"/>
      <c r="BC211" s="177"/>
      <c r="BD211" s="177"/>
      <c r="BE211" s="177"/>
      <c r="BF211" s="177"/>
      <c r="BG211" s="177" t="str">
        <f t="shared" si="186"/>
        <v>zonnepanelen</v>
      </c>
    </row>
    <row r="212" spans="1:60" s="2" customFormat="1" hidden="1">
      <c r="A212" s="1038"/>
      <c r="B212" s="1109" t="s">
        <v>231</v>
      </c>
      <c r="C212" s="1106" t="s">
        <v>181</v>
      </c>
      <c r="D212" s="644"/>
      <c r="E212" s="1162" t="s">
        <v>1352</v>
      </c>
      <c r="F212" s="1162"/>
      <c r="G212" s="1162"/>
      <c r="H212" s="181" t="s">
        <v>204</v>
      </c>
      <c r="I212" s="114"/>
      <c r="J212" s="190"/>
      <c r="K212" s="79"/>
      <c r="L212" s="79"/>
      <c r="M212" s="250">
        <f>$G$5</f>
        <v>1.45</v>
      </c>
      <c r="N212" s="114"/>
      <c r="O212" s="335"/>
      <c r="P212" s="335"/>
      <c r="Q212" s="335"/>
      <c r="R212" s="335"/>
      <c r="S212" s="335"/>
      <c r="T212" s="335"/>
      <c r="U212" s="335"/>
      <c r="V212" s="335"/>
      <c r="W212" s="335"/>
      <c r="X212" s="109"/>
      <c r="Y212" s="250">
        <f>$G$5</f>
        <v>1.45</v>
      </c>
      <c r="Z212" s="114"/>
      <c r="AA212" s="335"/>
      <c r="AB212" s="335"/>
      <c r="AC212" s="335"/>
      <c r="AD212" s="335"/>
      <c r="AE212" s="335"/>
      <c r="AF212" s="335"/>
      <c r="AG212" s="335"/>
      <c r="AH212" s="335"/>
      <c r="AI212" s="335"/>
      <c r="AJ212" s="109"/>
      <c r="AK212" s="250">
        <f>$G$5</f>
        <v>1.45</v>
      </c>
      <c r="AL212" s="114"/>
      <c r="AM212" s="335"/>
      <c r="AN212" s="335"/>
      <c r="AO212" s="335"/>
      <c r="AP212" s="335"/>
      <c r="AQ212" s="335"/>
      <c r="AR212" s="335"/>
      <c r="AS212" s="335"/>
      <c r="AT212" s="335"/>
      <c r="AU212" s="335"/>
      <c r="AV212" s="109"/>
      <c r="AW212" s="250">
        <f>$G$5</f>
        <v>1.45</v>
      </c>
      <c r="AX212" s="114"/>
      <c r="AY212" s="335"/>
      <c r="AZ212" s="335"/>
      <c r="BA212" s="335"/>
      <c r="BB212" s="335"/>
      <c r="BC212" s="335"/>
      <c r="BD212" s="335"/>
      <c r="BE212" s="335"/>
      <c r="BF212" s="335"/>
      <c r="BG212" s="335"/>
      <c r="BH212" s="219"/>
    </row>
    <row r="213" spans="1:60" s="2" customFormat="1" hidden="1">
      <c r="A213" s="1038"/>
      <c r="B213" s="1109" t="s">
        <v>231</v>
      </c>
      <c r="C213" s="1106" t="s">
        <v>181</v>
      </c>
      <c r="D213" s="644"/>
      <c r="E213" s="1162" t="s">
        <v>1353</v>
      </c>
      <c r="F213" s="1162"/>
      <c r="G213" s="1162"/>
      <c r="H213" s="181" t="s">
        <v>204</v>
      </c>
      <c r="I213" s="114"/>
      <c r="J213" s="190"/>
      <c r="K213" s="79"/>
      <c r="L213" s="79"/>
      <c r="M213" s="250">
        <f>HLOOKUP($F$5,elektriciteit_primaire_energiefactor,ROWS(bibliotheek!$E$304:$E$306),FALSE)</f>
        <v>1.45</v>
      </c>
      <c r="N213" s="114"/>
      <c r="O213" s="335"/>
      <c r="P213" s="335"/>
      <c r="Q213" s="335"/>
      <c r="R213" s="335"/>
      <c r="S213" s="335"/>
      <c r="T213" s="335"/>
      <c r="U213" s="335"/>
      <c r="V213" s="335"/>
      <c r="W213" s="335"/>
      <c r="X213" s="109"/>
      <c r="Y213" s="250">
        <f>HLOOKUP($F$5,elektriciteit_primaire_energiefactor,ROWS(bibliotheek!$E$304:$E$306),FALSE)</f>
        <v>1.45</v>
      </c>
      <c r="Z213" s="114"/>
      <c r="AA213" s="335"/>
      <c r="AB213" s="335"/>
      <c r="AC213" s="335"/>
      <c r="AD213" s="335"/>
      <c r="AE213" s="335"/>
      <c r="AF213" s="335"/>
      <c r="AG213" s="335"/>
      <c r="AH213" s="335"/>
      <c r="AI213" s="335"/>
      <c r="AJ213" s="109"/>
      <c r="AK213" s="250">
        <f>HLOOKUP($F$5,elektriciteit_primaire_energiefactor,ROWS(bibliotheek!$E$304:$E$306),FALSE)</f>
        <v>1.45</v>
      </c>
      <c r="AL213" s="114"/>
      <c r="AM213" s="335"/>
      <c r="AN213" s="335"/>
      <c r="AO213" s="335"/>
      <c r="AP213" s="335"/>
      <c r="AQ213" s="335"/>
      <c r="AR213" s="335"/>
      <c r="AS213" s="335"/>
      <c r="AT213" s="335"/>
      <c r="AU213" s="335"/>
      <c r="AV213" s="109"/>
      <c r="AW213" s="250">
        <f>HLOOKUP($F$5,elektriciteit_primaire_energiefactor,ROWS(bibliotheek!$E$304:$E$306),FALSE)</f>
        <v>1.45</v>
      </c>
      <c r="AX213" s="114"/>
      <c r="AY213" s="335"/>
      <c r="AZ213" s="335"/>
      <c r="BA213" s="335"/>
      <c r="BB213" s="335"/>
      <c r="BC213" s="335"/>
      <c r="BD213" s="335"/>
      <c r="BE213" s="335"/>
      <c r="BF213" s="335"/>
      <c r="BG213" s="335"/>
      <c r="BH213" s="219"/>
    </row>
    <row r="214" spans="1:60" s="2" customFormat="1">
      <c r="A214" s="1038"/>
      <c r="B214" s="1109" t="s">
        <v>231</v>
      </c>
      <c r="C214" s="1106" t="s">
        <v>104</v>
      </c>
      <c r="D214" s="645" t="s">
        <v>45</v>
      </c>
      <c r="E214" s="1162" t="s">
        <v>232</v>
      </c>
      <c r="F214" s="1170"/>
      <c r="G214" s="1170"/>
      <c r="H214" s="181" t="s">
        <v>106</v>
      </c>
      <c r="I214" s="114"/>
      <c r="J214" s="202">
        <f>M214+Y214+AK214+AW214</f>
        <v>0</v>
      </c>
      <c r="K214" s="1062"/>
      <c r="L214" s="1062"/>
      <c r="M214" s="249">
        <f>(M202*M212+M200*M213)</f>
        <v>0</v>
      </c>
      <c r="N214" s="89"/>
      <c r="O214" s="168">
        <f>IF($M$188=0,0,O$188/$M$188*$M214)</f>
        <v>0</v>
      </c>
      <c r="P214" s="168">
        <f>IF($M$188=0,0,P$188/$M$188*$M214)</f>
        <v>0</v>
      </c>
      <c r="Q214" s="168">
        <f>IF($M$188=0,0,Q$188/$M$188*$M214)</f>
        <v>0</v>
      </c>
      <c r="R214" s="273"/>
      <c r="S214" s="273"/>
      <c r="T214" s="273"/>
      <c r="U214" s="273"/>
      <c r="V214" s="273"/>
      <c r="W214" s="168">
        <f>IF($M$188=0,0,W$188/$M$188*$M214)</f>
        <v>0</v>
      </c>
      <c r="X214" s="113"/>
      <c r="Y214" s="249">
        <f>(Y202*Y212+Y200*Y213)</f>
        <v>0</v>
      </c>
      <c r="Z214" s="89"/>
      <c r="AA214" s="168">
        <f>IF($Y$188=0,0,AA$188/$Y$188*$Y214)</f>
        <v>0</v>
      </c>
      <c r="AB214" s="168">
        <f>IF($Y$188=0,0,AB$188/$Y$188*$Y214)</f>
        <v>0</v>
      </c>
      <c r="AC214" s="168">
        <f>IF($Y$188=0,0,AC$188/$Y$188*$Y214)</f>
        <v>0</v>
      </c>
      <c r="AD214" s="168"/>
      <c r="AE214" s="168"/>
      <c r="AF214" s="168"/>
      <c r="AG214" s="168"/>
      <c r="AH214" s="168"/>
      <c r="AI214" s="168">
        <f>IF($Y$188=0,0,AI$188/$Y$188*$Y214)</f>
        <v>0</v>
      </c>
      <c r="AJ214" s="113"/>
      <c r="AK214" s="249">
        <f>(AK202*AK212+AK200*AK213)</f>
        <v>0</v>
      </c>
      <c r="AL214" s="89"/>
      <c r="AM214" s="168">
        <f>IF($AK$188=0,0,AM$188/$AK$188*$AK214)</f>
        <v>0</v>
      </c>
      <c r="AN214" s="168">
        <f>IF($AK$188=0,0,AN$188/$AK$188*$AK214)</f>
        <v>0</v>
      </c>
      <c r="AO214" s="168">
        <f>IF($AK$188=0,0,AO$188/$AK$188*$AK214)</f>
        <v>0</v>
      </c>
      <c r="AP214" s="273"/>
      <c r="AQ214" s="273"/>
      <c r="AR214" s="273"/>
      <c r="AS214" s="273"/>
      <c r="AT214" s="273"/>
      <c r="AU214" s="168">
        <f>IF($AK$188=0,0,AU$188/$AK$188*$AK214)</f>
        <v>0</v>
      </c>
      <c r="AV214" s="113"/>
      <c r="AW214" s="249">
        <f>(AW202*AW212+AW200*AW213)</f>
        <v>0</v>
      </c>
      <c r="AX214" s="89"/>
      <c r="AY214" s="168">
        <f>IF($AW$188=0,0,AY$188/$AW$188*$AW214)</f>
        <v>0</v>
      </c>
      <c r="AZ214" s="168">
        <f>IF($AW$188=0,0,AZ$188/$AW$188*$AW214)</f>
        <v>0</v>
      </c>
      <c r="BA214" s="168">
        <f>IF($AW$188=0,0,BA$188/$AW$188*$AW214)</f>
        <v>0</v>
      </c>
      <c r="BB214" s="273"/>
      <c r="BC214" s="273"/>
      <c r="BD214" s="273"/>
      <c r="BE214" s="273"/>
      <c r="BF214" s="273"/>
      <c r="BG214" s="168">
        <f>IF($AW$188=0,0,BG$188/$AW$188*$AW214)</f>
        <v>0</v>
      </c>
      <c r="BH214" s="210"/>
    </row>
    <row r="215" spans="1:60" s="2" customFormat="1">
      <c r="A215" s="1038"/>
      <c r="B215" s="1109" t="s">
        <v>231</v>
      </c>
      <c r="C215" s="1106" t="s">
        <v>96</v>
      </c>
      <c r="D215" s="644"/>
      <c r="E215" s="940" t="s">
        <v>1346</v>
      </c>
      <c r="F215" s="940"/>
      <c r="G215" s="940"/>
      <c r="H215" s="940"/>
      <c r="I215" s="77"/>
      <c r="J215" s="939"/>
      <c r="K215" s="126"/>
      <c r="L215" s="126"/>
      <c r="M215" s="938"/>
      <c r="N215" s="252"/>
      <c r="O215" s="177" t="str">
        <f t="shared" ref="O215:W215" si="187">O$10</f>
        <v>verwarming</v>
      </c>
      <c r="P215" s="177" t="str">
        <f t="shared" si="187"/>
        <v>koeling</v>
      </c>
      <c r="Q215" s="177" t="str">
        <f t="shared" si="187"/>
        <v>tapwater</v>
      </c>
      <c r="R215" s="177"/>
      <c r="S215" s="177"/>
      <c r="T215" s="177"/>
      <c r="U215" s="177"/>
      <c r="V215" s="177"/>
      <c r="W215" s="177" t="str">
        <f t="shared" si="187"/>
        <v>zonnepanelen</v>
      </c>
      <c r="X215" s="113"/>
      <c r="Y215" s="938"/>
      <c r="Z215" s="252"/>
      <c r="AA215" s="177" t="str">
        <f t="shared" ref="AA215:AI215" si="188">AA$10</f>
        <v>verwarming</v>
      </c>
      <c r="AB215" s="177" t="str">
        <f t="shared" si="188"/>
        <v>koeling</v>
      </c>
      <c r="AC215" s="177" t="str">
        <f t="shared" si="188"/>
        <v>tapwater</v>
      </c>
      <c r="AD215" s="177"/>
      <c r="AE215" s="177"/>
      <c r="AF215" s="177"/>
      <c r="AG215" s="177"/>
      <c r="AH215" s="177"/>
      <c r="AI215" s="177" t="str">
        <f t="shared" si="188"/>
        <v>zonnepanelen</v>
      </c>
      <c r="AJ215" s="113"/>
      <c r="AK215" s="938"/>
      <c r="AL215" s="252"/>
      <c r="AM215" s="177" t="str">
        <f t="shared" ref="AM215:AU215" si="189">AM$10</f>
        <v>verwarming</v>
      </c>
      <c r="AN215" s="177" t="str">
        <f t="shared" si="189"/>
        <v>koeling</v>
      </c>
      <c r="AO215" s="177" t="str">
        <f t="shared" si="189"/>
        <v>tapwater</v>
      </c>
      <c r="AP215" s="177"/>
      <c r="AQ215" s="177"/>
      <c r="AR215" s="177"/>
      <c r="AS215" s="177"/>
      <c r="AT215" s="177"/>
      <c r="AU215" s="177" t="str">
        <f t="shared" si="189"/>
        <v>zonnepanelen</v>
      </c>
      <c r="AV215" s="113"/>
      <c r="AW215" s="938"/>
      <c r="AX215" s="252"/>
      <c r="AY215" s="177" t="str">
        <f>AY$10</f>
        <v>verwarming</v>
      </c>
      <c r="AZ215" s="177" t="str">
        <f>AZ$10</f>
        <v>koeling</v>
      </c>
      <c r="BA215" s="177" t="str">
        <f>BA$10</f>
        <v>tapwater</v>
      </c>
      <c r="BB215" s="177"/>
      <c r="BC215" s="177"/>
      <c r="BD215" s="177"/>
      <c r="BE215" s="177"/>
      <c r="BF215" s="177"/>
      <c r="BG215" s="177" t="str">
        <f>BG$10</f>
        <v>zonnepanelen</v>
      </c>
      <c r="BH215" s="210"/>
    </row>
    <row r="216" spans="1:60" s="2" customFormat="1" hidden="1">
      <c r="A216" s="1038"/>
      <c r="B216" s="1109" t="s">
        <v>231</v>
      </c>
      <c r="C216" s="1106" t="s">
        <v>181</v>
      </c>
      <c r="D216" s="644"/>
      <c r="E216" s="1162" t="s">
        <v>1354</v>
      </c>
      <c r="F216" s="1162"/>
      <c r="G216" s="1162"/>
      <c r="H216" s="181" t="s">
        <v>1208</v>
      </c>
      <c r="I216" s="114"/>
      <c r="J216" s="190"/>
      <c r="K216" s="79"/>
      <c r="L216" s="79"/>
      <c r="M216" s="250">
        <f>HLOOKUP($F$5,bibliotheek!$E$304:$R$311,ROWS(bibliotheek!$E$304:$E$307),FALSE)</f>
        <v>1.35</v>
      </c>
      <c r="N216" s="114"/>
      <c r="O216" s="335"/>
      <c r="P216" s="335"/>
      <c r="Q216" s="335"/>
      <c r="R216" s="335"/>
      <c r="S216" s="335"/>
      <c r="T216" s="335"/>
      <c r="U216" s="335"/>
      <c r="V216" s="335"/>
      <c r="W216" s="335"/>
      <c r="X216" s="113"/>
      <c r="Y216" s="250">
        <f>HLOOKUP($F$5,bibliotheek!$E$304:$R$311,ROWS(bibliotheek!$E$304:$E$307),FALSE)</f>
        <v>1.35</v>
      </c>
      <c r="Z216" s="114"/>
      <c r="AA216" s="335"/>
      <c r="AB216" s="335"/>
      <c r="AC216" s="335"/>
      <c r="AD216" s="335"/>
      <c r="AE216" s="335"/>
      <c r="AF216" s="335"/>
      <c r="AG216" s="335"/>
      <c r="AH216" s="335"/>
      <c r="AI216" s="335"/>
      <c r="AJ216" s="113"/>
      <c r="AK216" s="250">
        <f>HLOOKUP($F$5,bibliotheek!$E$304:$R$311,ROWS(bibliotheek!$E$304:$E$307),FALSE)</f>
        <v>1.35</v>
      </c>
      <c r="AL216" s="114"/>
      <c r="AM216" s="335"/>
      <c r="AN216" s="335"/>
      <c r="AO216" s="335"/>
      <c r="AP216" s="335"/>
      <c r="AQ216" s="335"/>
      <c r="AR216" s="335"/>
      <c r="AS216" s="335"/>
      <c r="AT216" s="335"/>
      <c r="AU216" s="335"/>
      <c r="AV216" s="113"/>
      <c r="AW216" s="250">
        <f>HLOOKUP($F$5,bibliotheek!$E$304:$R$311,ROWS(bibliotheek!$E$304:$E$307),FALSE)</f>
        <v>1.35</v>
      </c>
      <c r="AX216" s="114"/>
      <c r="AY216" s="335"/>
      <c r="AZ216" s="335"/>
      <c r="BA216" s="335"/>
      <c r="BB216" s="335"/>
      <c r="BC216" s="335"/>
      <c r="BD216" s="335"/>
      <c r="BE216" s="335"/>
      <c r="BF216" s="335"/>
      <c r="BG216" s="335"/>
      <c r="BH216" s="210"/>
    </row>
    <row r="217" spans="1:60" s="2" customFormat="1" hidden="1">
      <c r="A217" s="1038"/>
      <c r="B217" s="1109" t="s">
        <v>231</v>
      </c>
      <c r="C217" s="1106" t="s">
        <v>181</v>
      </c>
      <c r="D217" s="644"/>
      <c r="E217" s="1162" t="s">
        <v>1355</v>
      </c>
      <c r="F217" s="1162"/>
      <c r="G217" s="1162"/>
      <c r="H217" s="181" t="s">
        <v>1208</v>
      </c>
      <c r="I217" s="114"/>
      <c r="J217" s="190"/>
      <c r="K217" s="79"/>
      <c r="L217" s="79"/>
      <c r="M217" s="250">
        <f>HLOOKUP($F$5,bibliotheek!$E$304:$R$311,ROWS(bibliotheek!$E$304:$E$308),FALSE)</f>
        <v>1</v>
      </c>
      <c r="N217" s="114"/>
      <c r="O217" s="335"/>
      <c r="P217" s="335"/>
      <c r="Q217" s="335"/>
      <c r="R217" s="335"/>
      <c r="S217" s="335"/>
      <c r="T217" s="335"/>
      <c r="U217" s="335"/>
      <c r="V217" s="335"/>
      <c r="W217" s="335"/>
      <c r="X217" s="113"/>
      <c r="Y217" s="250">
        <f>HLOOKUP($F$5,bibliotheek!$E$304:$R$311,ROWS(bibliotheek!$E$304:$E$308),FALSE)</f>
        <v>1</v>
      </c>
      <c r="Z217" s="114"/>
      <c r="AA217" s="335"/>
      <c r="AB217" s="335"/>
      <c r="AC217" s="335"/>
      <c r="AD217" s="335"/>
      <c r="AE217" s="335"/>
      <c r="AF217" s="335"/>
      <c r="AG217" s="335"/>
      <c r="AH217" s="335"/>
      <c r="AI217" s="335"/>
      <c r="AJ217" s="113"/>
      <c r="AK217" s="250">
        <f>HLOOKUP($F$5,bibliotheek!$E$304:$R$311,ROWS(bibliotheek!$E$304:$E$308),FALSE)</f>
        <v>1</v>
      </c>
      <c r="AL217" s="114"/>
      <c r="AM217" s="335"/>
      <c r="AN217" s="335"/>
      <c r="AO217" s="335"/>
      <c r="AP217" s="335"/>
      <c r="AQ217" s="335"/>
      <c r="AR217" s="335"/>
      <c r="AS217" s="335"/>
      <c r="AT217" s="335"/>
      <c r="AU217" s="335"/>
      <c r="AV217" s="113"/>
      <c r="AW217" s="250">
        <f>HLOOKUP($F$5,bibliotheek!$E$304:$R$311,ROWS(bibliotheek!$E$304:$E$308),FALSE)</f>
        <v>1</v>
      </c>
      <c r="AX217" s="114"/>
      <c r="AY217" s="335"/>
      <c r="AZ217" s="335"/>
      <c r="BA217" s="335"/>
      <c r="BB217" s="335"/>
      <c r="BC217" s="335"/>
      <c r="BD217" s="335"/>
      <c r="BE217" s="335"/>
      <c r="BF217" s="335"/>
      <c r="BG217" s="335"/>
      <c r="BH217" s="210"/>
    </row>
    <row r="218" spans="1:60" s="2" customFormat="1" hidden="1">
      <c r="A218" s="1038"/>
      <c r="B218" s="1109" t="s">
        <v>231</v>
      </c>
      <c r="C218" s="1106" t="s">
        <v>181</v>
      </c>
      <c r="D218" s="644"/>
      <c r="E218" s="1177" t="s">
        <v>1204</v>
      </c>
      <c r="F218" s="1178"/>
      <c r="G218" s="1162"/>
      <c r="H218" s="181" t="s">
        <v>65</v>
      </c>
      <c r="I218" s="114"/>
      <c r="J218" s="190"/>
      <c r="K218" s="79"/>
      <c r="L218" s="79"/>
      <c r="M218" s="250" t="s">
        <v>1205</v>
      </c>
      <c r="N218" s="114"/>
      <c r="O218" s="335"/>
      <c r="P218" s="335"/>
      <c r="Q218" s="335"/>
      <c r="R218" s="335"/>
      <c r="S218" s="335"/>
      <c r="T218" s="335"/>
      <c r="U218" s="335"/>
      <c r="V218" s="335"/>
      <c r="W218" s="335"/>
      <c r="X218" s="113"/>
      <c r="Y218" s="250" t="s">
        <v>1205</v>
      </c>
      <c r="Z218" s="114"/>
      <c r="AA218" s="335"/>
      <c r="AB218" s="335"/>
      <c r="AC218" s="335"/>
      <c r="AD218" s="335"/>
      <c r="AE218" s="335"/>
      <c r="AF218" s="335"/>
      <c r="AG218" s="335"/>
      <c r="AH218" s="335"/>
      <c r="AI218" s="335"/>
      <c r="AJ218" s="113"/>
      <c r="AK218" s="250" t="s">
        <v>1205</v>
      </c>
      <c r="AL218" s="114"/>
      <c r="AM218" s="335"/>
      <c r="AN218" s="335"/>
      <c r="AO218" s="335"/>
      <c r="AP218" s="335"/>
      <c r="AQ218" s="335"/>
      <c r="AR218" s="335"/>
      <c r="AS218" s="335"/>
      <c r="AT218" s="335"/>
      <c r="AU218" s="335"/>
      <c r="AV218" s="113"/>
      <c r="AW218" s="250" t="s">
        <v>1205</v>
      </c>
      <c r="AX218" s="114"/>
      <c r="AY218" s="335"/>
      <c r="AZ218" s="335"/>
      <c r="BA218" s="335"/>
      <c r="BB218" s="335"/>
      <c r="BC218" s="335"/>
      <c r="BD218" s="335"/>
      <c r="BE218" s="335"/>
      <c r="BF218" s="335"/>
      <c r="BG218" s="335"/>
      <c r="BH218" s="210"/>
    </row>
    <row r="219" spans="1:60" s="2" customFormat="1" hidden="1">
      <c r="A219" s="1038"/>
      <c r="B219" s="1109" t="s">
        <v>231</v>
      </c>
      <c r="C219" s="1106" t="s">
        <v>181</v>
      </c>
      <c r="D219" s="644"/>
      <c r="E219" s="1179" t="s">
        <v>1315</v>
      </c>
      <c r="F219" s="1180"/>
      <c r="G219" s="1162"/>
      <c r="H219" s="181" t="s">
        <v>65</v>
      </c>
      <c r="I219" s="114"/>
      <c r="J219" s="190"/>
      <c r="K219" s="79"/>
      <c r="L219" s="79"/>
      <c r="M219" s="250">
        <f>HLOOKUP($F$5,bibliotheek!$E$304:$R$311,ROWS(bibliotheek!$E$304:$E$310),FALSE)</f>
        <v>1</v>
      </c>
      <c r="N219" s="114"/>
      <c r="O219" s="335"/>
      <c r="P219" s="335"/>
      <c r="Q219" s="335"/>
      <c r="R219" s="335"/>
      <c r="S219" s="335"/>
      <c r="T219" s="335"/>
      <c r="U219" s="335"/>
      <c r="V219" s="335"/>
      <c r="W219" s="335"/>
      <c r="X219" s="113"/>
      <c r="Y219" s="250">
        <f>HLOOKUP($F$5,bibliotheek!$E$304:$R$311,ROWS(bibliotheek!$E$304:$E$310),FALSE)</f>
        <v>1</v>
      </c>
      <c r="Z219" s="114"/>
      <c r="AA219" s="335"/>
      <c r="AB219" s="335"/>
      <c r="AC219" s="335"/>
      <c r="AD219" s="335"/>
      <c r="AE219" s="335"/>
      <c r="AF219" s="335"/>
      <c r="AG219" s="335"/>
      <c r="AH219" s="335"/>
      <c r="AI219" s="335"/>
      <c r="AJ219" s="113"/>
      <c r="AK219" s="250">
        <f>HLOOKUP($F$5,bibliotheek!$E$304:$R$311,ROWS(bibliotheek!$E$304:$E$310),FALSE)</f>
        <v>1</v>
      </c>
      <c r="AL219" s="114"/>
      <c r="AM219" s="335"/>
      <c r="AN219" s="335"/>
      <c r="AO219" s="335"/>
      <c r="AP219" s="335"/>
      <c r="AQ219" s="335"/>
      <c r="AR219" s="335"/>
      <c r="AS219" s="335"/>
      <c r="AT219" s="335"/>
      <c r="AU219" s="335"/>
      <c r="AV219" s="113"/>
      <c r="AW219" s="250">
        <f>HLOOKUP($F$5,bibliotheek!$E$304:$R$311,ROWS(bibliotheek!$E$304:$E$310),FALSE)</f>
        <v>1</v>
      </c>
      <c r="AX219" s="114"/>
      <c r="AY219" s="335"/>
      <c r="AZ219" s="335"/>
      <c r="BA219" s="335"/>
      <c r="BB219" s="335"/>
      <c r="BC219" s="335"/>
      <c r="BD219" s="335"/>
      <c r="BE219" s="335"/>
      <c r="BF219" s="335"/>
      <c r="BG219" s="335"/>
      <c r="BH219" s="210"/>
    </row>
    <row r="220" spans="1:60" s="2" customFormat="1">
      <c r="A220" s="1038"/>
      <c r="B220" s="1109" t="s">
        <v>231</v>
      </c>
      <c r="C220" s="1106" t="s">
        <v>104</v>
      </c>
      <c r="D220" s="644"/>
      <c r="E220" s="1162" t="s">
        <v>232</v>
      </c>
      <c r="F220" s="1170"/>
      <c r="G220" s="1170"/>
      <c r="H220" s="181" t="s">
        <v>1206</v>
      </c>
      <c r="I220" s="114"/>
      <c r="J220" s="202">
        <f>M220+Y220+AK220+AW220</f>
        <v>0</v>
      </c>
      <c r="K220" s="1062"/>
      <c r="L220" s="1062"/>
      <c r="M220" s="249">
        <f>M190*M216-(M210*M216-M207*M217-M208*0)</f>
        <v>0</v>
      </c>
      <c r="N220" s="89"/>
      <c r="O220" s="335"/>
      <c r="P220" s="335"/>
      <c r="Q220" s="335"/>
      <c r="R220" s="335"/>
      <c r="S220" s="335"/>
      <c r="T220" s="335"/>
      <c r="U220" s="335"/>
      <c r="V220" s="335"/>
      <c r="W220" s="335"/>
      <c r="X220" s="113"/>
      <c r="Y220" s="249">
        <f>Y190*Y216-(Y210*Y216-Y207*Y217-Y208*0)</f>
        <v>0</v>
      </c>
      <c r="Z220" s="89"/>
      <c r="AA220" s="335"/>
      <c r="AB220" s="335"/>
      <c r="AC220" s="335"/>
      <c r="AD220" s="335"/>
      <c r="AE220" s="335"/>
      <c r="AF220" s="335"/>
      <c r="AG220" s="335"/>
      <c r="AH220" s="335"/>
      <c r="AI220" s="335"/>
      <c r="AJ220" s="113"/>
      <c r="AK220" s="249">
        <f>AK190*AK216-(AK210*AK216-AK207*AK217-AK208*0)</f>
        <v>0</v>
      </c>
      <c r="AL220" s="89"/>
      <c r="AM220" s="335"/>
      <c r="AN220" s="335"/>
      <c r="AO220" s="335"/>
      <c r="AP220" s="335"/>
      <c r="AQ220" s="335"/>
      <c r="AR220" s="335"/>
      <c r="AS220" s="335"/>
      <c r="AT220" s="335"/>
      <c r="AU220" s="335"/>
      <c r="AV220" s="113"/>
      <c r="AW220" s="249">
        <f>AW190*AW216-(AW210*AW216-AW207*AW217-AW208*0)</f>
        <v>0</v>
      </c>
      <c r="AX220" s="89"/>
      <c r="AY220" s="335"/>
      <c r="AZ220" s="335"/>
      <c r="BA220" s="335"/>
      <c r="BB220" s="335"/>
      <c r="BC220" s="335"/>
      <c r="BD220" s="335"/>
      <c r="BE220" s="335"/>
      <c r="BF220" s="335"/>
      <c r="BG220" s="335"/>
      <c r="BH220" s="210"/>
    </row>
    <row r="221" spans="1:60" s="2" customFormat="1">
      <c r="A221" s="1038"/>
      <c r="B221" s="1109" t="s">
        <v>231</v>
      </c>
      <c r="C221" s="1106" t="s">
        <v>96</v>
      </c>
      <c r="D221" s="644"/>
      <c r="E221" s="940" t="s">
        <v>233</v>
      </c>
      <c r="F221" s="940"/>
      <c r="G221" s="940"/>
      <c r="H221" s="940"/>
      <c r="I221" s="77"/>
      <c r="J221" s="939"/>
      <c r="K221" s="126"/>
      <c r="L221" s="126"/>
      <c r="M221" s="938"/>
      <c r="N221" s="252"/>
      <c r="O221" s="177" t="str">
        <f>O$10</f>
        <v>verwarming</v>
      </c>
      <c r="P221" s="177" t="str">
        <f>P$10</f>
        <v>koeling</v>
      </c>
      <c r="Q221" s="177" t="str">
        <f>Q$10</f>
        <v>tapwater</v>
      </c>
      <c r="R221" s="177"/>
      <c r="S221" s="177"/>
      <c r="T221" s="177"/>
      <c r="U221" s="177"/>
      <c r="V221" s="177"/>
      <c r="W221" s="177" t="str">
        <f>W$10</f>
        <v>zonnepanelen</v>
      </c>
      <c r="X221" s="253"/>
      <c r="Y221" s="938"/>
      <c r="Z221" s="252"/>
      <c r="AA221" s="177" t="str">
        <f>AA$10</f>
        <v>verwarming</v>
      </c>
      <c r="AB221" s="177" t="str">
        <f>AB$10</f>
        <v>koeling</v>
      </c>
      <c r="AC221" s="177" t="str">
        <f>AC$10</f>
        <v>tapwater</v>
      </c>
      <c r="AD221" s="177"/>
      <c r="AE221" s="177"/>
      <c r="AF221" s="177"/>
      <c r="AG221" s="177"/>
      <c r="AH221" s="177"/>
      <c r="AI221" s="177" t="str">
        <f>AI$10</f>
        <v>zonnepanelen</v>
      </c>
      <c r="AJ221" s="253"/>
      <c r="AK221" s="938"/>
      <c r="AL221" s="252"/>
      <c r="AM221" s="177" t="str">
        <f>AM$10</f>
        <v>verwarming</v>
      </c>
      <c r="AN221" s="177" t="str">
        <f>AN$10</f>
        <v>koeling</v>
      </c>
      <c r="AO221" s="177" t="str">
        <f>AO$10</f>
        <v>tapwater</v>
      </c>
      <c r="AP221" s="177"/>
      <c r="AQ221" s="177"/>
      <c r="AR221" s="177"/>
      <c r="AS221" s="177"/>
      <c r="AT221" s="177"/>
      <c r="AU221" s="177" t="str">
        <f>AU$10</f>
        <v>zonnepanelen</v>
      </c>
      <c r="AV221" s="253"/>
      <c r="AW221" s="938"/>
      <c r="AX221" s="252"/>
      <c r="AY221" s="177" t="str">
        <f>AY$10</f>
        <v>verwarming</v>
      </c>
      <c r="AZ221" s="177" t="str">
        <f>AZ$10</f>
        <v>koeling</v>
      </c>
      <c r="BA221" s="177" t="str">
        <f>BA$10</f>
        <v>tapwater</v>
      </c>
      <c r="BB221" s="177"/>
      <c r="BC221" s="177"/>
      <c r="BD221" s="177"/>
      <c r="BE221" s="177"/>
      <c r="BF221" s="177"/>
      <c r="BG221" s="177" t="str">
        <f>BG$10</f>
        <v>zonnepanelen</v>
      </c>
    </row>
    <row r="222" spans="1:60" s="2" customFormat="1" hidden="1">
      <c r="A222" s="1038"/>
      <c r="B222" s="1109" t="s">
        <v>231</v>
      </c>
      <c r="C222" s="1106" t="s">
        <v>181</v>
      </c>
      <c r="D222" s="644"/>
      <c r="E222" s="180" t="s">
        <v>234</v>
      </c>
      <c r="F222" s="180"/>
      <c r="G222" s="180"/>
      <c r="H222" s="181" t="s">
        <v>207</v>
      </c>
      <c r="I222" s="114"/>
      <c r="J222" s="190"/>
      <c r="K222" s="79"/>
      <c r="L222" s="79"/>
      <c r="M222" s="359">
        <f>$H$5</f>
        <v>0.26800000000000002</v>
      </c>
      <c r="N222" s="358"/>
      <c r="O222" s="336"/>
      <c r="P222" s="336"/>
      <c r="Q222" s="336"/>
      <c r="R222" s="336"/>
      <c r="S222" s="336"/>
      <c r="T222" s="336"/>
      <c r="U222" s="336"/>
      <c r="V222" s="336"/>
      <c r="W222" s="336"/>
      <c r="X222" s="360"/>
      <c r="Y222" s="359">
        <f>$H$5</f>
        <v>0.26800000000000002</v>
      </c>
      <c r="Z222" s="358"/>
      <c r="AA222" s="336"/>
      <c r="AB222" s="336"/>
      <c r="AC222" s="336"/>
      <c r="AD222" s="336"/>
      <c r="AE222" s="336"/>
      <c r="AF222" s="336"/>
      <c r="AG222" s="336"/>
      <c r="AH222" s="336"/>
      <c r="AI222" s="336"/>
      <c r="AJ222" s="360"/>
      <c r="AK222" s="359">
        <f>$H$5</f>
        <v>0.26800000000000002</v>
      </c>
      <c r="AL222" s="358"/>
      <c r="AM222" s="336"/>
      <c r="AN222" s="336"/>
      <c r="AO222" s="336"/>
      <c r="AP222" s="336"/>
      <c r="AQ222" s="336"/>
      <c r="AR222" s="336"/>
      <c r="AS222" s="336"/>
      <c r="AT222" s="336"/>
      <c r="AU222" s="336"/>
      <c r="AV222" s="360"/>
      <c r="AW222" s="359">
        <f>$H$5</f>
        <v>0.26800000000000002</v>
      </c>
      <c r="AX222" s="114"/>
      <c r="AY222" s="335"/>
      <c r="AZ222" s="335"/>
      <c r="BA222" s="335"/>
      <c r="BB222" s="335"/>
      <c r="BC222" s="335"/>
      <c r="BD222" s="335"/>
      <c r="BE222" s="335"/>
      <c r="BF222" s="335"/>
      <c r="BG222" s="335"/>
      <c r="BH222" s="219"/>
    </row>
    <row r="223" spans="1:60" s="2" customFormat="1" hidden="1">
      <c r="A223" s="1038"/>
      <c r="B223" s="1109" t="s">
        <v>231</v>
      </c>
      <c r="C223" s="1106" t="s">
        <v>181</v>
      </c>
      <c r="D223" s="644"/>
      <c r="E223" s="180" t="s">
        <v>235</v>
      </c>
      <c r="F223" s="180"/>
      <c r="G223" s="180"/>
      <c r="H223" s="181" t="s">
        <v>207</v>
      </c>
      <c r="I223" s="114"/>
      <c r="J223" s="190"/>
      <c r="K223" s="79"/>
      <c r="L223" s="79"/>
      <c r="M223" s="359">
        <f>HLOOKUP($F$5,elektriciteit_primaire_energiefactor,ROWS(bibliotheek!$E$304:$E$312),FALSE)</f>
        <v>0.26800000000000002</v>
      </c>
      <c r="N223" s="358"/>
      <c r="O223" s="336"/>
      <c r="P223" s="336"/>
      <c r="Q223" s="336"/>
      <c r="R223" s="336"/>
      <c r="S223" s="336"/>
      <c r="T223" s="336"/>
      <c r="U223" s="336"/>
      <c r="V223" s="336"/>
      <c r="W223" s="336"/>
      <c r="X223" s="360"/>
      <c r="Y223" s="359">
        <f>HLOOKUP($F$5,elektriciteit_primaire_energiefactor,ROWS(bibliotheek!$E$304:$E$312),FALSE)</f>
        <v>0.26800000000000002</v>
      </c>
      <c r="Z223" s="358"/>
      <c r="AA223" s="336"/>
      <c r="AB223" s="336"/>
      <c r="AC223" s="336"/>
      <c r="AD223" s="336"/>
      <c r="AE223" s="336"/>
      <c r="AF223" s="336"/>
      <c r="AG223" s="336"/>
      <c r="AH223" s="336"/>
      <c r="AI223" s="336"/>
      <c r="AJ223" s="360"/>
      <c r="AK223" s="359">
        <f>HLOOKUP($F$5,elektriciteit_primaire_energiefactor,ROWS(bibliotheek!$E$304:$E$312),FALSE)</f>
        <v>0.26800000000000002</v>
      </c>
      <c r="AL223" s="358"/>
      <c r="AM223" s="336"/>
      <c r="AN223" s="336"/>
      <c r="AO223" s="336"/>
      <c r="AP223" s="336"/>
      <c r="AQ223" s="336"/>
      <c r="AR223" s="336"/>
      <c r="AS223" s="336"/>
      <c r="AT223" s="336"/>
      <c r="AU223" s="336"/>
      <c r="AV223" s="360"/>
      <c r="AW223" s="359">
        <f>HLOOKUP($F$5,elektriciteit_primaire_energiefactor,ROWS(bibliotheek!$E$304:$E$312),FALSE)</f>
        <v>0.26800000000000002</v>
      </c>
      <c r="AX223" s="114"/>
      <c r="AY223" s="335"/>
      <c r="AZ223" s="335"/>
      <c r="BA223" s="335"/>
      <c r="BB223" s="335"/>
      <c r="BC223" s="335"/>
      <c r="BD223" s="335"/>
      <c r="BE223" s="335"/>
      <c r="BF223" s="335"/>
      <c r="BG223" s="335"/>
      <c r="BH223" s="219"/>
    </row>
    <row r="224" spans="1:60" s="2" customFormat="1">
      <c r="A224" s="1038"/>
      <c r="B224" s="1109" t="s">
        <v>231</v>
      </c>
      <c r="C224" s="1106" t="s">
        <v>104</v>
      </c>
      <c r="D224" s="644"/>
      <c r="E224" s="1123" t="s">
        <v>232</v>
      </c>
      <c r="F224" s="181"/>
      <c r="G224" s="181"/>
      <c r="H224" s="181" t="s">
        <v>209</v>
      </c>
      <c r="I224" s="114"/>
      <c r="J224" s="202">
        <f>M224+Y224+AK224+AW224</f>
        <v>0</v>
      </c>
      <c r="K224" s="1062"/>
      <c r="L224" s="1062"/>
      <c r="M224" s="202">
        <f>M187*M222+M186*M223</f>
        <v>0</v>
      </c>
      <c r="N224" s="89"/>
      <c r="O224" s="168">
        <f>IF($M$188=0,0,O$188/$M$188*$M224)</f>
        <v>0</v>
      </c>
      <c r="P224" s="168">
        <f>IF($M$188=0,0,P$188/$M$188*$M224)</f>
        <v>0</v>
      </c>
      <c r="Q224" s="168">
        <f>IF($M$188=0,0,Q$188/$M$188*$M224)</f>
        <v>0</v>
      </c>
      <c r="R224" s="273"/>
      <c r="S224" s="273"/>
      <c r="T224" s="273"/>
      <c r="U224" s="273"/>
      <c r="V224" s="273"/>
      <c r="W224" s="168">
        <f>IF($M$188=0,0,W$188/$M$188*$M224)</f>
        <v>0</v>
      </c>
      <c r="X224" s="113"/>
      <c r="Y224" s="202">
        <f>Y187*Y222+Y186*Y223</f>
        <v>0</v>
      </c>
      <c r="Z224" s="89"/>
      <c r="AA224" s="168">
        <f>IF($Y$188=0,0,AA$188/$Y$188*$Y224)</f>
        <v>0</v>
      </c>
      <c r="AB224" s="168">
        <f>IF($Y$188=0,0,AB$188/$Y$188*$Y224)</f>
        <v>0</v>
      </c>
      <c r="AC224" s="168">
        <f>IF($Y$188=0,0,AC$188/$Y$188*$Y224)</f>
        <v>0</v>
      </c>
      <c r="AD224" s="273"/>
      <c r="AE224" s="273"/>
      <c r="AF224" s="273"/>
      <c r="AG224" s="273"/>
      <c r="AH224" s="273"/>
      <c r="AI224" s="168">
        <f>IF($Y$188=0,0,AI$188/$Y$188*$Y224)</f>
        <v>0</v>
      </c>
      <c r="AJ224" s="113"/>
      <c r="AK224" s="202">
        <f>AK187*AK222+AK186*AK223</f>
        <v>0</v>
      </c>
      <c r="AL224" s="89"/>
      <c r="AM224" s="168">
        <f>IF($AK$188=0,0,AM$188/$AK$188*$AK224)</f>
        <v>0</v>
      </c>
      <c r="AN224" s="168">
        <f>IF($AK$188=0,0,AN$188/$AK$188*$AK224)</f>
        <v>0</v>
      </c>
      <c r="AO224" s="168">
        <f>IF($AK$188=0,0,AO$188/$AK$188*$AK224)</f>
        <v>0</v>
      </c>
      <c r="AP224" s="273"/>
      <c r="AQ224" s="273"/>
      <c r="AR224" s="273"/>
      <c r="AS224" s="273"/>
      <c r="AT224" s="273"/>
      <c r="AU224" s="168">
        <f>IF($AK$188=0,0,AU$188/$AK$188*$AK224)</f>
        <v>0</v>
      </c>
      <c r="AV224" s="113"/>
      <c r="AW224" s="202">
        <f>AW187*AW222+AW186*AW223</f>
        <v>0</v>
      </c>
      <c r="AX224" s="89"/>
      <c r="AY224" s="168">
        <f>IF($AW$188=0,0,AY$188/$AW$188*$AW224)</f>
        <v>0</v>
      </c>
      <c r="AZ224" s="168">
        <f>IF($AW$188=0,0,AZ$188/$AW$188*$AW224)</f>
        <v>0</v>
      </c>
      <c r="BA224" s="168">
        <f>IF($AW$188=0,0,BA$188/$AW$188*$AW224)</f>
        <v>0</v>
      </c>
      <c r="BB224" s="273"/>
      <c r="BC224" s="273"/>
      <c r="BD224" s="273"/>
      <c r="BE224" s="273"/>
      <c r="BF224" s="273"/>
      <c r="BG224" s="168">
        <f>IF($AW$188=0,0,BG$188/$AW$188*$AW224)</f>
        <v>0</v>
      </c>
      <c r="BH224" s="210"/>
    </row>
    <row r="225" spans="1:60">
      <c r="A225" s="1040"/>
      <c r="B225" s="1109" t="s">
        <v>231</v>
      </c>
      <c r="C225" s="1106" t="s">
        <v>96</v>
      </c>
      <c r="D225" s="638"/>
      <c r="E225" s="79"/>
      <c r="F225" s="79"/>
      <c r="G225" s="79"/>
      <c r="H225" s="85"/>
      <c r="I225" s="79"/>
      <c r="J225" s="82"/>
      <c r="K225" s="79"/>
      <c r="L225" s="79"/>
      <c r="M225" s="1169"/>
      <c r="N225" s="79"/>
      <c r="O225" s="108"/>
      <c r="P225" s="108"/>
      <c r="Q225" s="108"/>
      <c r="R225" s="82"/>
      <c r="S225" s="82"/>
      <c r="T225" s="82"/>
      <c r="U225" s="82"/>
      <c r="V225" s="82"/>
      <c r="W225" s="82"/>
      <c r="X225" s="82"/>
      <c r="Y225" s="82"/>
      <c r="Z225" s="79"/>
      <c r="AA225" s="108"/>
      <c r="AB225" s="108"/>
      <c r="AC225" s="108"/>
      <c r="AD225" s="82"/>
      <c r="AE225" s="82"/>
      <c r="AF225" s="82"/>
      <c r="AG225" s="82"/>
      <c r="AH225" s="82"/>
      <c r="AI225" s="82"/>
      <c r="AJ225" s="82"/>
      <c r="AK225" s="82"/>
      <c r="AL225" s="79"/>
      <c r="AM225" s="108"/>
      <c r="AN225" s="108"/>
      <c r="AO225" s="108"/>
      <c r="AP225" s="82"/>
      <c r="AQ225" s="82"/>
      <c r="AR225" s="82"/>
      <c r="AS225" s="82"/>
      <c r="AT225" s="82"/>
      <c r="AU225" s="82"/>
      <c r="AV225" s="82"/>
      <c r="AW225" s="82"/>
      <c r="AX225" s="79"/>
      <c r="AY225" s="108"/>
      <c r="AZ225" s="108"/>
      <c r="BA225" s="108"/>
      <c r="BB225" s="108"/>
      <c r="BC225" s="108"/>
      <c r="BD225" s="108"/>
      <c r="BE225" s="108"/>
      <c r="BF225" s="108"/>
      <c r="BG225" s="108"/>
      <c r="BH225" s="1"/>
    </row>
    <row r="226" spans="1:60">
      <c r="A226" s="1040"/>
      <c r="B226" s="1109" t="s">
        <v>236</v>
      </c>
      <c r="C226" s="1107" t="s">
        <v>96</v>
      </c>
      <c r="D226" s="638"/>
      <c r="E226" s="79"/>
      <c r="F226" s="79"/>
      <c r="G226" s="79"/>
      <c r="H226" s="79"/>
      <c r="I226" s="79"/>
      <c r="J226" s="82"/>
      <c r="K226" s="79"/>
      <c r="L226" s="79"/>
      <c r="M226" s="1169"/>
      <c r="N226" s="79"/>
      <c r="O226" s="113"/>
      <c r="P226" s="108"/>
      <c r="Q226" s="82"/>
      <c r="R226" s="82"/>
      <c r="S226" s="82"/>
      <c r="T226" s="82"/>
      <c r="U226" s="82"/>
      <c r="V226" s="82"/>
      <c r="W226" s="82"/>
      <c r="X226" s="82"/>
      <c r="Y226" s="82"/>
      <c r="Z226" s="79"/>
      <c r="AA226" s="82"/>
      <c r="AB226" s="82"/>
      <c r="AC226" s="82"/>
      <c r="AD226" s="82"/>
      <c r="AE226" s="82"/>
      <c r="AF226" s="82"/>
      <c r="AG226" s="82"/>
      <c r="AH226" s="82"/>
      <c r="AI226" s="82"/>
      <c r="AJ226" s="82"/>
      <c r="AK226" s="82"/>
      <c r="AL226" s="79"/>
      <c r="AM226" s="82"/>
      <c r="AN226" s="82"/>
      <c r="AO226" s="82"/>
      <c r="AP226" s="82"/>
      <c r="AQ226" s="82"/>
      <c r="AR226" s="82"/>
      <c r="AS226" s="82"/>
      <c r="AT226" s="82"/>
      <c r="AU226" s="82"/>
      <c r="AV226" s="82"/>
      <c r="AW226" s="82"/>
      <c r="AX226" s="79"/>
      <c r="AY226" s="82"/>
      <c r="AZ226" s="82"/>
      <c r="BA226" s="82"/>
      <c r="BB226" s="82"/>
      <c r="BC226" s="82"/>
      <c r="BD226" s="82"/>
      <c r="BE226" s="82"/>
      <c r="BF226" s="82"/>
      <c r="BG226" s="82"/>
      <c r="BH226" s="1"/>
    </row>
    <row r="227" spans="1:60" ht="21">
      <c r="A227" s="1040"/>
      <c r="B227" s="1109" t="s">
        <v>236</v>
      </c>
      <c r="C227" s="1106" t="s">
        <v>96</v>
      </c>
      <c r="D227" s="643"/>
      <c r="E227" s="1181" t="s">
        <v>237</v>
      </c>
      <c r="F227" s="199"/>
      <c r="G227" s="692"/>
      <c r="H227" s="692"/>
      <c r="I227" s="77"/>
      <c r="J227" s="200" t="str">
        <f>J$10</f>
        <v>alle locaties</v>
      </c>
      <c r="K227" s="126"/>
      <c r="L227" s="126"/>
      <c r="M227" s="200" t="str">
        <f>M$10</f>
        <v>locatie 1</v>
      </c>
      <c r="N227" s="182"/>
      <c r="O227" s="966" t="str">
        <f>$E227&amp;" per energiepost"</f>
        <v>finaal energiegebruik per energiepost</v>
      </c>
      <c r="P227" s="941"/>
      <c r="Q227" s="941"/>
      <c r="R227" s="941"/>
      <c r="S227" s="941"/>
      <c r="T227" s="941"/>
      <c r="U227" s="941"/>
      <c r="V227" s="941"/>
      <c r="W227" s="956"/>
      <c r="X227" s="174"/>
      <c r="Y227" s="200" t="str">
        <f>Y$10</f>
        <v>locatie 2</v>
      </c>
      <c r="Z227" s="182"/>
      <c r="AA227" s="966" t="str">
        <f>$E227&amp;" per energiepost"</f>
        <v>finaal energiegebruik per energiepost</v>
      </c>
      <c r="AB227" s="941"/>
      <c r="AC227" s="941"/>
      <c r="AD227" s="941"/>
      <c r="AE227" s="941"/>
      <c r="AF227" s="941"/>
      <c r="AG227" s="941"/>
      <c r="AH227" s="941"/>
      <c r="AI227" s="956"/>
      <c r="AJ227" s="174"/>
      <c r="AK227" s="200" t="str">
        <f>AK$10</f>
        <v>locatie 3</v>
      </c>
      <c r="AL227" s="182"/>
      <c r="AM227" s="966" t="str">
        <f>$E227&amp;" per energiepost"</f>
        <v>finaal energiegebruik per energiepost</v>
      </c>
      <c r="AN227" s="941"/>
      <c r="AO227" s="941"/>
      <c r="AP227" s="941"/>
      <c r="AQ227" s="941"/>
      <c r="AR227" s="941"/>
      <c r="AS227" s="941"/>
      <c r="AT227" s="941"/>
      <c r="AU227" s="956"/>
      <c r="AV227" s="174"/>
      <c r="AW227" s="200" t="str">
        <f>AW$10</f>
        <v>locatie 4</v>
      </c>
      <c r="AX227" s="182"/>
      <c r="AY227" s="966" t="str">
        <f>$E227&amp;" per energiepost"</f>
        <v>finaal energiegebruik per energiepost</v>
      </c>
      <c r="AZ227" s="941"/>
      <c r="BA227" s="941"/>
      <c r="BB227" s="941"/>
      <c r="BC227" s="941"/>
      <c r="BD227" s="941"/>
      <c r="BE227" s="941"/>
      <c r="BF227" s="941"/>
      <c r="BG227" s="956"/>
      <c r="BH227" s="1"/>
    </row>
    <row r="228" spans="1:60">
      <c r="A228" s="1040"/>
      <c r="B228" s="1109" t="s">
        <v>236</v>
      </c>
      <c r="C228" s="1106" t="s">
        <v>96</v>
      </c>
      <c r="D228" s="638"/>
      <c r="E228" s="940" t="s">
        <v>238</v>
      </c>
      <c r="F228" s="940"/>
      <c r="G228" s="940"/>
      <c r="H228" s="940"/>
      <c r="I228" s="77"/>
      <c r="J228" s="939"/>
      <c r="K228" s="126"/>
      <c r="L228" s="126"/>
      <c r="M228" s="938"/>
      <c r="N228" s="191"/>
      <c r="O228" s="177" t="str">
        <f t="shared" ref="O228:W228" si="190">O$10</f>
        <v>verwarming</v>
      </c>
      <c r="P228" s="177" t="str">
        <f t="shared" si="190"/>
        <v>koeling</v>
      </c>
      <c r="Q228" s="177" t="str">
        <f t="shared" si="190"/>
        <v>tapwater</v>
      </c>
      <c r="R228" s="177" t="str">
        <f t="shared" si="190"/>
        <v>verlichting</v>
      </c>
      <c r="S228" s="177" t="str">
        <f t="shared" si="190"/>
        <v>ventilatoren</v>
      </c>
      <c r="T228" s="177" t="str">
        <f t="shared" si="190"/>
        <v>kookgas</v>
      </c>
      <c r="U228" s="177" t="str">
        <f t="shared" si="190"/>
        <v>overig elektra</v>
      </c>
      <c r="V228" s="177" t="str">
        <f t="shared" si="190"/>
        <v>mobiliteit</v>
      </c>
      <c r="W228" s="177" t="str">
        <f t="shared" si="190"/>
        <v>zonnepanelen</v>
      </c>
      <c r="X228" s="191"/>
      <c r="Y228" s="938"/>
      <c r="Z228" s="191"/>
      <c r="AA228" s="177" t="str">
        <f t="shared" ref="AA228:AI228" si="191">AA$10</f>
        <v>verwarming</v>
      </c>
      <c r="AB228" s="177" t="str">
        <f t="shared" si="191"/>
        <v>koeling</v>
      </c>
      <c r="AC228" s="177" t="str">
        <f t="shared" si="191"/>
        <v>tapwater</v>
      </c>
      <c r="AD228" s="177" t="str">
        <f t="shared" si="191"/>
        <v>verlichting</v>
      </c>
      <c r="AE228" s="177" t="str">
        <f t="shared" si="191"/>
        <v>ventilatoren</v>
      </c>
      <c r="AF228" s="177" t="str">
        <f t="shared" si="191"/>
        <v>kookgas</v>
      </c>
      <c r="AG228" s="177" t="str">
        <f t="shared" si="191"/>
        <v>overig elektra</v>
      </c>
      <c r="AH228" s="177" t="str">
        <f t="shared" si="191"/>
        <v>mobiliteit</v>
      </c>
      <c r="AI228" s="177" t="str">
        <f t="shared" si="191"/>
        <v>zonnepanelen</v>
      </c>
      <c r="AJ228" s="191"/>
      <c r="AK228" s="938"/>
      <c r="AL228" s="191"/>
      <c r="AM228" s="177" t="str">
        <f t="shared" ref="AM228:AU228" si="192">AM$10</f>
        <v>verwarming</v>
      </c>
      <c r="AN228" s="177" t="str">
        <f t="shared" si="192"/>
        <v>koeling</v>
      </c>
      <c r="AO228" s="177" t="str">
        <f t="shared" si="192"/>
        <v>tapwater</v>
      </c>
      <c r="AP228" s="177" t="str">
        <f t="shared" si="192"/>
        <v>verlichting</v>
      </c>
      <c r="AQ228" s="177" t="str">
        <f t="shared" si="192"/>
        <v>ventilatoren</v>
      </c>
      <c r="AR228" s="177" t="str">
        <f t="shared" si="192"/>
        <v>kookgas</v>
      </c>
      <c r="AS228" s="177" t="str">
        <f t="shared" si="192"/>
        <v>overig elektra</v>
      </c>
      <c r="AT228" s="177" t="str">
        <f t="shared" si="192"/>
        <v>mobiliteit</v>
      </c>
      <c r="AU228" s="177" t="str">
        <f t="shared" si="192"/>
        <v>zonnepanelen</v>
      </c>
      <c r="AV228" s="191"/>
      <c r="AW228" s="938"/>
      <c r="AX228" s="191"/>
      <c r="AY228" s="177" t="str">
        <f t="shared" ref="AY228:BG228" si="193">AY$10</f>
        <v>verwarming</v>
      </c>
      <c r="AZ228" s="177" t="str">
        <f t="shared" si="193"/>
        <v>koeling</v>
      </c>
      <c r="BA228" s="177" t="str">
        <f t="shared" si="193"/>
        <v>tapwater</v>
      </c>
      <c r="BB228" s="177" t="str">
        <f t="shared" si="193"/>
        <v>verlichting</v>
      </c>
      <c r="BC228" s="177" t="str">
        <f t="shared" si="193"/>
        <v>ventilatoren</v>
      </c>
      <c r="BD228" s="177" t="str">
        <f t="shared" si="193"/>
        <v>kookgas</v>
      </c>
      <c r="BE228" s="177" t="str">
        <f t="shared" si="193"/>
        <v>overig elektra</v>
      </c>
      <c r="BF228" s="177" t="str">
        <f t="shared" si="193"/>
        <v>mobiliteit</v>
      </c>
      <c r="BG228" s="177" t="str">
        <f t="shared" si="193"/>
        <v>zonnepanelen</v>
      </c>
      <c r="BH228" s="36"/>
    </row>
    <row r="229" spans="1:60">
      <c r="A229" s="1040"/>
      <c r="B229" s="1109" t="s">
        <v>236</v>
      </c>
      <c r="C229" s="1107" t="s">
        <v>104</v>
      </c>
      <c r="D229" s="641"/>
      <c r="E229" s="180" t="s">
        <v>239</v>
      </c>
      <c r="F229" s="180"/>
      <c r="G229" s="180"/>
      <c r="H229" s="201" t="str">
        <f>m3gas&amp;"/won.geb"</f>
        <v>m3/won.geb</v>
      </c>
      <c r="I229" s="114"/>
      <c r="J229" s="202"/>
      <c r="K229" s="234"/>
      <c r="L229" s="234"/>
      <c r="M229" s="190">
        <f>SUM(N229:X229)</f>
        <v>0</v>
      </c>
      <c r="N229" s="119"/>
      <c r="O229" s="183">
        <f>IF(O$27=0,0,((AND(O$84=gebouw,O$105=aardgas))*O$116+(AND(O$84=gebouw,O$141=aardgas))*O$147)*1000/bibliotheek!$I$508/O$27)</f>
        <v>0</v>
      </c>
      <c r="P229" s="183">
        <f>IF(P$27=0,0,((AND(P$84=gebouw,P$105=aardgas))*P$116+(AND(P$84=gebouw,P$141=aardgas))*P$147)*1000/bibliotheek!$I$508/P$27)</f>
        <v>0</v>
      </c>
      <c r="Q229" s="183">
        <f>IF(Q$27=0,0,((AND(Q$84=gebouw,Q$105=aardgas))*Q$116+(AND(Q$84=gebouw,Q$141=aardgas))*Q$147)*1000/bibliotheek!$I$508/Q$27)</f>
        <v>0</v>
      </c>
      <c r="R229" s="310"/>
      <c r="S229" s="310"/>
      <c r="T229" s="183">
        <f>IF(T$27=0,0,T$78*1000/bibliotheek!$I$508/T$27)</f>
        <v>0</v>
      </c>
      <c r="U229" s="310"/>
      <c r="V229" s="310"/>
      <c r="W229" s="310"/>
      <c r="X229" s="108"/>
      <c r="Y229" s="190">
        <f>SUM(Z229:AJ229)</f>
        <v>0</v>
      </c>
      <c r="Z229" s="119"/>
      <c r="AA229" s="183">
        <f>IF(AA$27=0,0,((AND(AA$84=gebouw,AA$105=aardgas))*AA$116+(AND(AA$84=gebouw,AA$141=aardgas))*AA$147)*1000/bibliotheek!$I$508/AA$27)</f>
        <v>0</v>
      </c>
      <c r="AB229" s="183">
        <f>IF(AB$27=0,0,((AND(AB$84=gebouw,AB$105=aardgas))*AB$116+(AND(AB$84=gebouw,AB$141=aardgas))*AB$147)*1000/bibliotheek!$I$508/AB$27)</f>
        <v>0</v>
      </c>
      <c r="AC229" s="183">
        <f>IF(AC$27=0,0,((AND(AC$84=gebouw,AC$105=aardgas))*AC$116+(AND(AC$84=gebouw,AC$141=aardgas))*AC$147)*1000/bibliotheek!$I$508/AC$27)</f>
        <v>0</v>
      </c>
      <c r="AD229" s="310"/>
      <c r="AE229" s="310"/>
      <c r="AF229" s="183">
        <f>IF(AF$27=0,0,AF$78*1000/bibliotheek!$I$508/AF$27)</f>
        <v>0</v>
      </c>
      <c r="AG229" s="310"/>
      <c r="AH229" s="310"/>
      <c r="AI229" s="310"/>
      <c r="AJ229" s="108"/>
      <c r="AK229" s="190">
        <f>SUM(AL229:AV229)</f>
        <v>0</v>
      </c>
      <c r="AL229" s="119"/>
      <c r="AM229" s="183">
        <f>IF(AM$27=0,0,((AND(AM$84=gebouw,AM$105=aardgas))*AM$116+(AND(AM$84=gebouw,AM$141=aardgas))*AM$147)*1000/bibliotheek!$I$508/AM$27)</f>
        <v>0</v>
      </c>
      <c r="AN229" s="183">
        <f>IF(AN$27=0,0,((AND(AN$84=gebouw,AN$105=aardgas))*AN$116+(AND(AN$84=gebouw,AN$141=aardgas))*AN$147)*1000/bibliotheek!$I$508/AN$27)</f>
        <v>0</v>
      </c>
      <c r="AO229" s="183">
        <f>IF(AO$27=0,0,((AND(AO$84=gebouw,AO$105=aardgas))*AO$116+(AND(AO$84=gebouw,AO$141=aardgas))*AO$147)*1000/bibliotheek!$I$508/AO$27)</f>
        <v>0</v>
      </c>
      <c r="AP229" s="310"/>
      <c r="AQ229" s="310"/>
      <c r="AR229" s="183">
        <f>IF(AR$27=0,0,AR$78*1000/bibliotheek!$I$508/AR$27)</f>
        <v>0</v>
      </c>
      <c r="AS229" s="310"/>
      <c r="AT229" s="310"/>
      <c r="AU229" s="310"/>
      <c r="AV229" s="108"/>
      <c r="AW229" s="190">
        <f>SUM(AX229:BH229)</f>
        <v>0</v>
      </c>
      <c r="AX229" s="119"/>
      <c r="AY229" s="183">
        <f>IF(AY$27=0,0,((AND(AY$84=gebouw,AY$105=aardgas))*AY$116+(AND(AY$84=gebouw,AY$141=aardgas))*AY$147)*1000/bibliotheek!$I$508/AY$27)</f>
        <v>0</v>
      </c>
      <c r="AZ229" s="183">
        <f>IF(AZ$27=0,0,((AND(AZ$84=gebouw,AZ$105=aardgas))*AZ$116+(AND(AZ$84=gebouw,AZ$141=aardgas))*AZ$147)*1000/bibliotheek!$I$508/AZ$27)</f>
        <v>0</v>
      </c>
      <c r="BA229" s="183">
        <f>IF(BA$27=0,0,((AND(BA$84=gebouw,BA$105=aardgas))*BA$116+(AND(BA$84=gebouw,BA$141=aardgas))*BA$147)*1000/bibliotheek!$I$508/BA$27)</f>
        <v>0</v>
      </c>
      <c r="BB229" s="310"/>
      <c r="BC229" s="310"/>
      <c r="BD229" s="183">
        <f>IF(BD$27=0,0,BD$78*1000/bibliotheek!$I$508/BD$27)</f>
        <v>0</v>
      </c>
      <c r="BE229" s="310"/>
      <c r="BF229" s="310"/>
      <c r="BG229" s="310"/>
      <c r="BH229" s="210"/>
    </row>
    <row r="230" spans="1:60">
      <c r="A230" s="1040"/>
      <c r="B230" s="1109" t="s">
        <v>236</v>
      </c>
      <c r="C230" s="1107" t="s">
        <v>104</v>
      </c>
      <c r="D230" s="641"/>
      <c r="E230" s="180" t="s">
        <v>145</v>
      </c>
      <c r="F230" s="180"/>
      <c r="G230" s="180"/>
      <c r="H230" s="201" t="str">
        <f>kWh&amp;"/won.geb"</f>
        <v>kWh/won.geb</v>
      </c>
      <c r="I230" s="114"/>
      <c r="J230" s="202"/>
      <c r="K230" s="234"/>
      <c r="L230" s="234"/>
      <c r="M230" s="190">
        <f>SUM(N230:X230)</f>
        <v>0</v>
      </c>
      <c r="N230" s="119"/>
      <c r="O230" s="183">
        <f>IF(O$27=0,0,(O$190-O$187)*1000/O$27)</f>
        <v>0</v>
      </c>
      <c r="P230" s="183">
        <f>IF(OR(P$27=0,P$31=0),0,(P$190-P$187)*1000/P$27)</f>
        <v>0</v>
      </c>
      <c r="Q230" s="183">
        <f>IF(OR(Q$27=0,Q$31=0),0,(Q$190-Q$187)*1000/Q$27)</f>
        <v>0</v>
      </c>
      <c r="R230" s="183">
        <f>IF(R$27=0,0,R$190*1000/R$27)</f>
        <v>0</v>
      </c>
      <c r="S230" s="183">
        <f>IF(S$27=0,0,S$190*1000/S$27)</f>
        <v>0</v>
      </c>
      <c r="T230" s="273"/>
      <c r="U230" s="183">
        <f>IF(U$27=0,0,U$190*1000/U$27)</f>
        <v>0</v>
      </c>
      <c r="V230" s="183">
        <f>IF(V$27=0,0,V$190*1000/V$27)</f>
        <v>0</v>
      </c>
      <c r="W230" s="183">
        <f>IF(W$27=0,0,-W$186*1000/W$27)</f>
        <v>0</v>
      </c>
      <c r="X230" s="108"/>
      <c r="Y230" s="190">
        <f>SUM(Z230:AJ230)</f>
        <v>0</v>
      </c>
      <c r="Z230" s="119"/>
      <c r="AA230" s="183">
        <f>IF(AA$27=0,0,(AA$190-AA$187)*1000/AA$27)</f>
        <v>0</v>
      </c>
      <c r="AB230" s="183">
        <f>IF(OR(AB$27=0,AB$31=0),0,(AB$190-AB$187)*1000/AB$27)</f>
        <v>0</v>
      </c>
      <c r="AC230" s="183">
        <f>IF(OR(AC$27=0,AC$31=0),0,(AC$190-AC$187)*1000/AC$27)</f>
        <v>0</v>
      </c>
      <c r="AD230" s="183">
        <f>IF(AD$27=0,0,AD$190*1000/AD$27)</f>
        <v>0</v>
      </c>
      <c r="AE230" s="183">
        <f>IF(AE$27=0,0,AE$190*1000/AE$27)</f>
        <v>0</v>
      </c>
      <c r="AF230" s="273"/>
      <c r="AG230" s="183">
        <f>IF(AG$27=0,0,AG$190*1000/AG$27)</f>
        <v>0</v>
      </c>
      <c r="AH230" s="183">
        <f>IF(AH$27=0,0,AH$190*1000/AH$27)</f>
        <v>0</v>
      </c>
      <c r="AI230" s="183">
        <f>IF(AI$27=0,0,-AI$186*1000/AI$27)</f>
        <v>0</v>
      </c>
      <c r="AJ230" s="108"/>
      <c r="AK230" s="190">
        <f>SUM(AL230:AV230)</f>
        <v>0</v>
      </c>
      <c r="AL230" s="119"/>
      <c r="AM230" s="183">
        <f>IF(AM$27=0,0,(AM$190-AM$187)*1000/AM$27)</f>
        <v>0</v>
      </c>
      <c r="AN230" s="183">
        <f>IF(OR(AN$27=0,AN$31=0),0,(AN$190-AN$187)*1000/AN$27)</f>
        <v>0</v>
      </c>
      <c r="AO230" s="183">
        <f>IF(OR(AO$27=0,AO$31=0),0,(AO$190-AO$187)*1000/AO$27)</f>
        <v>0</v>
      </c>
      <c r="AP230" s="183">
        <f>IF(AP$27=0,0,AP$190*1000/AP$27)</f>
        <v>0</v>
      </c>
      <c r="AQ230" s="183">
        <f>IF(AQ$27=0,0,AQ$190*1000/AQ$27)</f>
        <v>0</v>
      </c>
      <c r="AR230" s="168"/>
      <c r="AS230" s="183">
        <f>IF(AS$27=0,0,AS$190*1000/AS$27)</f>
        <v>0</v>
      </c>
      <c r="AT230" s="183">
        <f>IF(AT$27=0,0,AT$190*1000/AT$27)</f>
        <v>0</v>
      </c>
      <c r="AU230" s="183">
        <f>IF(AU$27=0,0,-AU$186*1000/AU$27)</f>
        <v>0</v>
      </c>
      <c r="AV230" s="108"/>
      <c r="AW230" s="190">
        <f>SUM(AX230:BH230)</f>
        <v>0</v>
      </c>
      <c r="AX230" s="119"/>
      <c r="AY230" s="183">
        <f>IF(AY$27=0,0,(AY$190-AY$187)*1000/AY$27)</f>
        <v>0</v>
      </c>
      <c r="AZ230" s="183">
        <f>IF(OR(AZ$27=0,AZ$31=0),0,(AZ$190-AZ$187)*1000/AZ$27)</f>
        <v>0</v>
      </c>
      <c r="BA230" s="183">
        <f>IF(OR(BA$27=0,BA$31=0),0,(BA$190-BA$187)*1000/BA$27)</f>
        <v>0</v>
      </c>
      <c r="BB230" s="183">
        <f>IF(BB$27=0,0,BB$190*1000/BB$27)</f>
        <v>0</v>
      </c>
      <c r="BC230" s="183">
        <f>IF(BC$27=0,0,BC$190*1000/BC$27)</f>
        <v>0</v>
      </c>
      <c r="BD230" s="273"/>
      <c r="BE230" s="183">
        <f>IF(BE$27=0,0,BE$190*1000/BE$27)</f>
        <v>0</v>
      </c>
      <c r="BF230" s="183">
        <f>IF(BF$27=0,0,BF$190*1000/BF$27)</f>
        <v>0</v>
      </c>
      <c r="BG230" s="183">
        <f>IF(BG$27=0,0,-BG$186*1000/BG$27)</f>
        <v>0</v>
      </c>
      <c r="BH230" s="210"/>
    </row>
    <row r="231" spans="1:60">
      <c r="A231" s="1040"/>
      <c r="B231" s="1109" t="s">
        <v>236</v>
      </c>
      <c r="C231" s="1107" t="s">
        <v>104</v>
      </c>
      <c r="D231" s="641"/>
      <c r="E231" s="180" t="s">
        <v>240</v>
      </c>
      <c r="F231" s="180"/>
      <c r="G231" s="180"/>
      <c r="H231" s="201" t="str">
        <f>GJ&amp;"/won.geb"</f>
        <v>GJ/won.geb</v>
      </c>
      <c r="I231" s="114"/>
      <c r="J231" s="202"/>
      <c r="K231" s="234"/>
      <c r="L231" s="234"/>
      <c r="M231" s="202">
        <f>SUM(N231:X231)</f>
        <v>0</v>
      </c>
      <c r="N231" s="89"/>
      <c r="O231" s="168">
        <f>IF(O$27=0,0,(O$84&lt;&gt;gebouw)*(O$78+O$88-O$91)*3.6/O$27)</f>
        <v>0</v>
      </c>
      <c r="P231" s="168">
        <f>IF(P$27=0,0,(P$84&lt;&gt;gebouw)*(P$78+P$88-P$91)*3.6/P$27)</f>
        <v>0</v>
      </c>
      <c r="Q231" s="168">
        <f>IF(Q$27=0,0,(Q$84&lt;&gt;gebouw)*(Q$78+Q$88-Q$91)*3.6/Q$27)</f>
        <v>0</v>
      </c>
      <c r="R231" s="273"/>
      <c r="S231" s="273"/>
      <c r="T231" s="273"/>
      <c r="U231" s="273"/>
      <c r="V231" s="273"/>
      <c r="W231" s="273"/>
      <c r="X231" s="113"/>
      <c r="Y231" s="202">
        <f>SUM(Z231:AJ231)</f>
        <v>0</v>
      </c>
      <c r="Z231" s="89"/>
      <c r="AA231" s="168">
        <f>IF(AA$27=0,0,(AA$84&lt;&gt;gebouw)*(AA$78+AA$88-AA$91)*3.6/AA$27)</f>
        <v>0</v>
      </c>
      <c r="AB231" s="168">
        <f>IF(AB$27=0,0,(AB$84&lt;&gt;gebouw)*(AB$78+AB$88-AB$91)*3.6/AB$27)</f>
        <v>0</v>
      </c>
      <c r="AC231" s="168">
        <f>IF(AC$27=0,0,(AC$84&lt;&gt;gebouw)*(AC$78+AC$88-AC$91)*3.6/AC$27)</f>
        <v>0</v>
      </c>
      <c r="AD231" s="273"/>
      <c r="AE231" s="273"/>
      <c r="AF231" s="273"/>
      <c r="AG231" s="273"/>
      <c r="AH231" s="273"/>
      <c r="AI231" s="273"/>
      <c r="AJ231" s="113"/>
      <c r="AK231" s="202">
        <f>SUM(AL231:AV231)</f>
        <v>0</v>
      </c>
      <c r="AL231" s="89"/>
      <c r="AM231" s="168">
        <f>IF(AM$27=0,0,(AM$84&lt;&gt;gebouw)*(AM$78+AM$88-AM$91)*3.6/AM$27)</f>
        <v>0</v>
      </c>
      <c r="AN231" s="168">
        <f>IF(AN$27=0,0,(AN$84&lt;&gt;gebouw)*(AN$78+AN$88-AN$91)*3.6/AN$27)</f>
        <v>0</v>
      </c>
      <c r="AO231" s="168">
        <f>IF(AO$27=0,0,(AO$84&lt;&gt;gebouw)*(AO$78+AO$88-AO$91)*3.6/AO$27)</f>
        <v>0</v>
      </c>
      <c r="AP231" s="168"/>
      <c r="AQ231" s="168"/>
      <c r="AR231" s="168"/>
      <c r="AS231" s="168"/>
      <c r="AT231" s="168"/>
      <c r="AU231" s="168"/>
      <c r="AV231" s="113"/>
      <c r="AW231" s="202">
        <f>SUM(AX231:BH231)</f>
        <v>0</v>
      </c>
      <c r="AX231" s="89"/>
      <c r="AY231" s="168">
        <f>IF(AY$27=0,0,(AY$84&lt;&gt;gebouw)*(AY$78+AY$88-AY$91)*3.6/AY$27)</f>
        <v>0</v>
      </c>
      <c r="AZ231" s="168">
        <f>IF(AZ$27=0,0,(AZ$84&lt;&gt;gebouw)*(AZ$78+AZ$88-AZ$91)*3.6/AZ$27)</f>
        <v>0</v>
      </c>
      <c r="BA231" s="168">
        <f>IF(BA$27=0,0,(BA$84&lt;&gt;gebouw)*(BA$78+BA$88-BA$91)*3.6/BA$27)</f>
        <v>0</v>
      </c>
      <c r="BB231" s="273"/>
      <c r="BC231" s="273"/>
      <c r="BD231" s="273"/>
      <c r="BE231" s="273"/>
      <c r="BF231" s="273"/>
      <c r="BG231" s="273"/>
      <c r="BH231" s="210"/>
    </row>
    <row r="232" spans="1:60">
      <c r="A232" s="1040"/>
      <c r="B232" s="1109" t="s">
        <v>236</v>
      </c>
      <c r="C232" s="1106" t="s">
        <v>96</v>
      </c>
      <c r="D232" s="641"/>
      <c r="E232" s="940" t="s">
        <v>241</v>
      </c>
      <c r="F232" s="940"/>
      <c r="G232" s="940"/>
      <c r="H232" s="940"/>
      <c r="I232" s="77"/>
      <c r="J232" s="939"/>
      <c r="K232" s="126"/>
      <c r="L232" s="126"/>
      <c r="M232" s="938"/>
      <c r="N232" s="191"/>
      <c r="O232" s="177" t="str">
        <f t="shared" ref="O232:W232" si="194">O$10</f>
        <v>verwarming</v>
      </c>
      <c r="P232" s="177" t="str">
        <f t="shared" si="194"/>
        <v>koeling</v>
      </c>
      <c r="Q232" s="177" t="str">
        <f t="shared" si="194"/>
        <v>tapwater</v>
      </c>
      <c r="R232" s="177" t="str">
        <f t="shared" si="194"/>
        <v>verlichting</v>
      </c>
      <c r="S232" s="177" t="str">
        <f t="shared" si="194"/>
        <v>ventilatoren</v>
      </c>
      <c r="T232" s="177" t="str">
        <f t="shared" si="194"/>
        <v>kookgas</v>
      </c>
      <c r="U232" s="177" t="str">
        <f t="shared" si="194"/>
        <v>overig elektra</v>
      </c>
      <c r="V232" s="177" t="str">
        <f t="shared" si="194"/>
        <v>mobiliteit</v>
      </c>
      <c r="W232" s="177" t="str">
        <f t="shared" si="194"/>
        <v>zonnepanelen</v>
      </c>
      <c r="X232" s="191"/>
      <c r="Y232" s="938"/>
      <c r="Z232" s="191"/>
      <c r="AA232" s="177" t="str">
        <f t="shared" ref="AA232:AI232" si="195">AA$10</f>
        <v>verwarming</v>
      </c>
      <c r="AB232" s="177" t="str">
        <f t="shared" si="195"/>
        <v>koeling</v>
      </c>
      <c r="AC232" s="177" t="str">
        <f t="shared" si="195"/>
        <v>tapwater</v>
      </c>
      <c r="AD232" s="177" t="str">
        <f t="shared" si="195"/>
        <v>verlichting</v>
      </c>
      <c r="AE232" s="177" t="str">
        <f t="shared" si="195"/>
        <v>ventilatoren</v>
      </c>
      <c r="AF232" s="177" t="str">
        <f t="shared" si="195"/>
        <v>kookgas</v>
      </c>
      <c r="AG232" s="177" t="str">
        <f t="shared" si="195"/>
        <v>overig elektra</v>
      </c>
      <c r="AH232" s="177" t="str">
        <f t="shared" si="195"/>
        <v>mobiliteit</v>
      </c>
      <c r="AI232" s="177" t="str">
        <f t="shared" si="195"/>
        <v>zonnepanelen</v>
      </c>
      <c r="AJ232" s="191"/>
      <c r="AK232" s="938"/>
      <c r="AL232" s="191"/>
      <c r="AM232" s="177" t="str">
        <f t="shared" ref="AM232:AU232" si="196">AM$10</f>
        <v>verwarming</v>
      </c>
      <c r="AN232" s="177" t="str">
        <f t="shared" si="196"/>
        <v>koeling</v>
      </c>
      <c r="AO232" s="177" t="str">
        <f t="shared" si="196"/>
        <v>tapwater</v>
      </c>
      <c r="AP232" s="177" t="str">
        <f t="shared" si="196"/>
        <v>verlichting</v>
      </c>
      <c r="AQ232" s="177" t="str">
        <f t="shared" si="196"/>
        <v>ventilatoren</v>
      </c>
      <c r="AR232" s="177" t="str">
        <f t="shared" si="196"/>
        <v>kookgas</v>
      </c>
      <c r="AS232" s="177" t="str">
        <f t="shared" si="196"/>
        <v>overig elektra</v>
      </c>
      <c r="AT232" s="177" t="str">
        <f t="shared" si="196"/>
        <v>mobiliteit</v>
      </c>
      <c r="AU232" s="177" t="str">
        <f t="shared" si="196"/>
        <v>zonnepanelen</v>
      </c>
      <c r="AV232" s="191"/>
      <c r="AW232" s="938"/>
      <c r="AX232" s="191"/>
      <c r="AY232" s="177" t="str">
        <f t="shared" ref="AY232:BG232" si="197">AY$10</f>
        <v>verwarming</v>
      </c>
      <c r="AZ232" s="177" t="str">
        <f t="shared" si="197"/>
        <v>koeling</v>
      </c>
      <c r="BA232" s="177" t="str">
        <f t="shared" si="197"/>
        <v>tapwater</v>
      </c>
      <c r="BB232" s="177" t="str">
        <f t="shared" si="197"/>
        <v>verlichting</v>
      </c>
      <c r="BC232" s="177" t="str">
        <f t="shared" si="197"/>
        <v>ventilatoren</v>
      </c>
      <c r="BD232" s="177" t="str">
        <f t="shared" si="197"/>
        <v>kookgas</v>
      </c>
      <c r="BE232" s="177" t="str">
        <f t="shared" si="197"/>
        <v>overig elektra</v>
      </c>
      <c r="BF232" s="177" t="str">
        <f t="shared" si="197"/>
        <v>mobiliteit</v>
      </c>
      <c r="BG232" s="177" t="str">
        <f t="shared" si="197"/>
        <v>zonnepanelen</v>
      </c>
      <c r="BH232" s="36"/>
    </row>
    <row r="233" spans="1:60">
      <c r="A233" s="1040"/>
      <c r="B233" s="1109" t="s">
        <v>236</v>
      </c>
      <c r="C233" s="1107" t="s">
        <v>104</v>
      </c>
      <c r="D233" s="641"/>
      <c r="E233" s="180" t="s">
        <v>239</v>
      </c>
      <c r="F233" s="180"/>
      <c r="G233" s="180"/>
      <c r="H233" s="201" t="s">
        <v>242</v>
      </c>
      <c r="I233" s="114"/>
      <c r="J233" s="202"/>
      <c r="K233" s="234"/>
      <c r="L233" s="234"/>
      <c r="M233" s="202">
        <f>IF(M$29=0,0,M229*M$22/M$29)</f>
        <v>0</v>
      </c>
      <c r="N233" s="89"/>
      <c r="O233" s="168">
        <f t="shared" ref="O233:Q235" si="198">IF(OR(O$31="",O$31=0),0,O$27*O229/O$31)</f>
        <v>0</v>
      </c>
      <c r="P233" s="168">
        <f t="shared" si="198"/>
        <v>0</v>
      </c>
      <c r="Q233" s="168">
        <f t="shared" si="198"/>
        <v>0</v>
      </c>
      <c r="R233" s="273"/>
      <c r="S233" s="273"/>
      <c r="T233" s="168">
        <f>IF(OR(T$31="",T$31=0),0,T$27*T229/T$31)</f>
        <v>0</v>
      </c>
      <c r="U233" s="273"/>
      <c r="V233" s="273"/>
      <c r="W233" s="273"/>
      <c r="X233" s="113"/>
      <c r="Y233" s="202">
        <f>IF(Y$29=0,0,Y229*Y$22/Y$29)</f>
        <v>0</v>
      </c>
      <c r="Z233" s="89"/>
      <c r="AA233" s="168">
        <f t="shared" ref="AA233:AC235" si="199">IF(OR(AA$31="",AA$31=0),0,AA$27*AA229/AA$31)</f>
        <v>0</v>
      </c>
      <c r="AB233" s="168">
        <f t="shared" si="199"/>
        <v>0</v>
      </c>
      <c r="AC233" s="168">
        <f t="shared" si="199"/>
        <v>0</v>
      </c>
      <c r="AD233" s="273"/>
      <c r="AE233" s="273"/>
      <c r="AF233" s="168">
        <f>IF(OR(AF$31="",AF$31=0),0,AF$27*AF229/AF$31)</f>
        <v>0</v>
      </c>
      <c r="AG233" s="273"/>
      <c r="AH233" s="273"/>
      <c r="AI233" s="273"/>
      <c r="AJ233" s="113"/>
      <c r="AK233" s="202">
        <f>IF(AK$29=0,0,AK229*AK$22/AK$29)</f>
        <v>0</v>
      </c>
      <c r="AL233" s="89"/>
      <c r="AM233" s="168">
        <f t="shared" ref="AM233:AO235" si="200">IF(OR(AM$31="",AM$31=0),0,AM$27*AM229/AM$31)</f>
        <v>0</v>
      </c>
      <c r="AN233" s="168">
        <f t="shared" si="200"/>
        <v>0</v>
      </c>
      <c r="AO233" s="168">
        <f t="shared" si="200"/>
        <v>0</v>
      </c>
      <c r="AP233" s="273"/>
      <c r="AQ233" s="273"/>
      <c r="AR233" s="168">
        <f>IF(OR(AR$31="",AR$31=0),0,AR$27*AR229/AR$31)</f>
        <v>0</v>
      </c>
      <c r="AS233" s="273"/>
      <c r="AT233" s="273"/>
      <c r="AU233" s="273"/>
      <c r="AV233" s="113"/>
      <c r="AW233" s="202">
        <f>IF(AW$29=0,0,AW229*AW$22/AW$29)</f>
        <v>0</v>
      </c>
      <c r="AX233" s="89"/>
      <c r="AY233" s="168">
        <f t="shared" ref="AY233:BA235" si="201">IF(OR(AY$31="",AY$31=0),0,AY$27*AY229/AY$31)</f>
        <v>0</v>
      </c>
      <c r="AZ233" s="168">
        <f t="shared" si="201"/>
        <v>0</v>
      </c>
      <c r="BA233" s="168">
        <f t="shared" si="201"/>
        <v>0</v>
      </c>
      <c r="BB233" s="273"/>
      <c r="BC233" s="273"/>
      <c r="BD233" s="168">
        <f>IF(OR(BD$31="",BD$31=0),0,BD$27*BD229/BD$31)</f>
        <v>0</v>
      </c>
      <c r="BE233" s="273"/>
      <c r="BF233" s="273"/>
      <c r="BG233" s="273"/>
      <c r="BH233" s="210"/>
    </row>
    <row r="234" spans="1:60">
      <c r="A234" s="1040"/>
      <c r="B234" s="1109" t="s">
        <v>236</v>
      </c>
      <c r="C234" s="1107" t="s">
        <v>104</v>
      </c>
      <c r="D234" s="641"/>
      <c r="E234" s="180" t="s">
        <v>145</v>
      </c>
      <c r="F234" s="180"/>
      <c r="G234" s="180"/>
      <c r="H234" s="201" t="s">
        <v>154</v>
      </c>
      <c r="I234" s="114"/>
      <c r="J234" s="202"/>
      <c r="K234" s="234"/>
      <c r="L234" s="234"/>
      <c r="M234" s="202">
        <f>IF(M$29=0,0,M230*M$22/M$29)</f>
        <v>0</v>
      </c>
      <c r="N234" s="89"/>
      <c r="O234" s="168">
        <f t="shared" si="198"/>
        <v>0</v>
      </c>
      <c r="P234" s="168">
        <f t="shared" si="198"/>
        <v>0</v>
      </c>
      <c r="Q234" s="168">
        <f t="shared" si="198"/>
        <v>0</v>
      </c>
      <c r="R234" s="168">
        <f>IF(OR(R$31="",R$31=0),0,R$27*R230/R$31)</f>
        <v>0</v>
      </c>
      <c r="S234" s="168">
        <f>IF(OR(S$31="",S$31=0),0,S$27*S230/S$31)</f>
        <v>0</v>
      </c>
      <c r="T234" s="273"/>
      <c r="U234" s="168">
        <f>IF(OR(U$31="",U$31=0),0,U$27*U230/U$31)</f>
        <v>0</v>
      </c>
      <c r="V234" s="168">
        <f>IF(OR(V$31="",V$31=0),0,V$27*V230/V$31)</f>
        <v>0</v>
      </c>
      <c r="W234" s="168">
        <f>IF(OR(W$31="",W$31=0),0,W$27*W230/W$31)</f>
        <v>0</v>
      </c>
      <c r="X234" s="113"/>
      <c r="Y234" s="202">
        <f>IF(Y$29=0,0,Y230*Y$22/Y$29)</f>
        <v>0</v>
      </c>
      <c r="Z234" s="89"/>
      <c r="AA234" s="168">
        <f t="shared" si="199"/>
        <v>0</v>
      </c>
      <c r="AB234" s="168">
        <f t="shared" si="199"/>
        <v>0</v>
      </c>
      <c r="AC234" s="168">
        <f t="shared" si="199"/>
        <v>0</v>
      </c>
      <c r="AD234" s="168">
        <f>IF(OR(AD$31="",AD$31=0),0,AD$27*AD230/AD$31)</f>
        <v>0</v>
      </c>
      <c r="AE234" s="168">
        <f>IF(OR(AE$31="",AE$31=0),0,AE$27*AE230/AE$31)</f>
        <v>0</v>
      </c>
      <c r="AF234" s="273"/>
      <c r="AG234" s="168">
        <f>IF(OR(AG$31="",AG$31=0),0,AG$27*AG230/AG$31)</f>
        <v>0</v>
      </c>
      <c r="AH234" s="168">
        <f>IF(OR(AH$31="",AH$31=0),0,AH$27*AH230/AH$31)</f>
        <v>0</v>
      </c>
      <c r="AI234" s="168">
        <f>IF(OR(AI$31="",AI$31=0),0,AI$27*AI230/AI$31)</f>
        <v>0</v>
      </c>
      <c r="AJ234" s="113"/>
      <c r="AK234" s="202">
        <f>IF(AK$29=0,0,AK230*AK$22/AK$29)</f>
        <v>0</v>
      </c>
      <c r="AL234" s="89"/>
      <c r="AM234" s="168">
        <f t="shared" si="200"/>
        <v>0</v>
      </c>
      <c r="AN234" s="168">
        <f t="shared" si="200"/>
        <v>0</v>
      </c>
      <c r="AO234" s="168">
        <f t="shared" si="200"/>
        <v>0</v>
      </c>
      <c r="AP234" s="168">
        <f>IF(OR(AP$31="",AP$31=0),0,AP$27*AP230/AP$31)</f>
        <v>0</v>
      </c>
      <c r="AQ234" s="168">
        <f>IF(OR(AQ$31="",AQ$31=0),0,AQ$27*AQ230/AQ$31)</f>
        <v>0</v>
      </c>
      <c r="AR234" s="273"/>
      <c r="AS234" s="168">
        <f>IF(OR(AS$31="",AS$31=0),0,AS$27*AS230/AS$31)</f>
        <v>0</v>
      </c>
      <c r="AT234" s="168">
        <f>IF(OR(AT$31="",AT$31=0),0,AT$27*AT230/AT$31)</f>
        <v>0</v>
      </c>
      <c r="AU234" s="168">
        <f>IF(OR(AU$31="",AU$31=0),0,AU$27*AU230/AU$31)</f>
        <v>0</v>
      </c>
      <c r="AV234" s="113"/>
      <c r="AW234" s="202">
        <f>IF(AW$29=0,0,AW230*AW$22/AW$29)</f>
        <v>0</v>
      </c>
      <c r="AX234" s="89"/>
      <c r="AY234" s="168">
        <f t="shared" si="201"/>
        <v>0</v>
      </c>
      <c r="AZ234" s="168">
        <f t="shared" si="201"/>
        <v>0</v>
      </c>
      <c r="BA234" s="168">
        <f t="shared" si="201"/>
        <v>0</v>
      </c>
      <c r="BB234" s="168">
        <f>IF(OR(BB$31="",BB$31=0),0,BB$27*BB230/BB$31)</f>
        <v>0</v>
      </c>
      <c r="BC234" s="168">
        <f>IF(OR(BC$31="",BC$31=0),0,BC$27*BC230/BC$31)</f>
        <v>0</v>
      </c>
      <c r="BD234" s="273"/>
      <c r="BE234" s="168">
        <f>IF(OR(BE$31="",BE$31=0),0,BE$27*BE230/BE$31)</f>
        <v>0</v>
      </c>
      <c r="BF234" s="168">
        <f>IF(OR(BF$31="",BF$31=0),0,BF$27*BF230/BF$31)</f>
        <v>0</v>
      </c>
      <c r="BG234" s="168">
        <f>IF(OR(BG$31="",BG$31=0),0,BG$27*BG230/BG$31)</f>
        <v>0</v>
      </c>
      <c r="BH234" s="210"/>
    </row>
    <row r="235" spans="1:60">
      <c r="A235" s="1040"/>
      <c r="B235" s="1109" t="s">
        <v>236</v>
      </c>
      <c r="C235" s="1107" t="s">
        <v>104</v>
      </c>
      <c r="D235" s="641"/>
      <c r="E235" s="180" t="s">
        <v>240</v>
      </c>
      <c r="F235" s="180"/>
      <c r="G235" s="180"/>
      <c r="H235" s="201" t="s">
        <v>243</v>
      </c>
      <c r="I235" s="114"/>
      <c r="J235" s="202"/>
      <c r="K235" s="234"/>
      <c r="L235" s="234"/>
      <c r="M235" s="202">
        <f>IF(M$29=0,0,M231*M$22/M$29)</f>
        <v>0</v>
      </c>
      <c r="N235" s="89"/>
      <c r="O235" s="168">
        <f t="shared" si="198"/>
        <v>0</v>
      </c>
      <c r="P235" s="168">
        <f t="shared" si="198"/>
        <v>0</v>
      </c>
      <c r="Q235" s="168">
        <f t="shared" si="198"/>
        <v>0</v>
      </c>
      <c r="R235" s="273"/>
      <c r="S235" s="273"/>
      <c r="T235" s="273"/>
      <c r="U235" s="273"/>
      <c r="V235" s="273"/>
      <c r="W235" s="273"/>
      <c r="X235" s="113"/>
      <c r="Y235" s="202">
        <f>IF(Y$29=0,0,Y231*Y$22/Y$29)</f>
        <v>0</v>
      </c>
      <c r="Z235" s="89"/>
      <c r="AA235" s="168">
        <f t="shared" si="199"/>
        <v>0</v>
      </c>
      <c r="AB235" s="168">
        <f t="shared" si="199"/>
        <v>0</v>
      </c>
      <c r="AC235" s="168">
        <f t="shared" si="199"/>
        <v>0</v>
      </c>
      <c r="AD235" s="273"/>
      <c r="AE235" s="273"/>
      <c r="AF235" s="273"/>
      <c r="AG235" s="273"/>
      <c r="AH235" s="273"/>
      <c r="AI235" s="273"/>
      <c r="AJ235" s="113"/>
      <c r="AK235" s="202">
        <f>IF(AK$29=0,0,AK231*AK$22/AK$29)</f>
        <v>0</v>
      </c>
      <c r="AL235" s="89"/>
      <c r="AM235" s="168">
        <f t="shared" si="200"/>
        <v>0</v>
      </c>
      <c r="AN235" s="168">
        <f t="shared" si="200"/>
        <v>0</v>
      </c>
      <c r="AO235" s="168">
        <f t="shared" si="200"/>
        <v>0</v>
      </c>
      <c r="AP235" s="273"/>
      <c r="AQ235" s="273"/>
      <c r="AR235" s="273"/>
      <c r="AS235" s="273"/>
      <c r="AT235" s="273"/>
      <c r="AU235" s="273"/>
      <c r="AV235" s="113"/>
      <c r="AW235" s="202">
        <f>IF(AW$29=0,0,AW231*AW$22/AW$29)</f>
        <v>0</v>
      </c>
      <c r="AX235" s="89"/>
      <c r="AY235" s="168">
        <f t="shared" si="201"/>
        <v>0</v>
      </c>
      <c r="AZ235" s="168">
        <f t="shared" si="201"/>
        <v>0</v>
      </c>
      <c r="BA235" s="168">
        <f t="shared" si="201"/>
        <v>0</v>
      </c>
      <c r="BB235" s="273"/>
      <c r="BC235" s="273"/>
      <c r="BD235" s="273"/>
      <c r="BE235" s="273"/>
      <c r="BF235" s="273"/>
      <c r="BG235" s="273"/>
      <c r="BH235" s="210"/>
    </row>
    <row r="236" spans="1:60">
      <c r="A236" s="1040"/>
      <c r="B236" s="1109" t="s">
        <v>236</v>
      </c>
      <c r="C236" s="1106" t="s">
        <v>96</v>
      </c>
      <c r="D236" s="638"/>
      <c r="E236" s="79"/>
      <c r="F236" s="79"/>
      <c r="G236" s="79"/>
      <c r="H236" s="85"/>
      <c r="I236" s="79"/>
      <c r="J236" s="82"/>
      <c r="K236" s="79"/>
      <c r="L236" s="79"/>
      <c r="M236" s="82"/>
      <c r="N236" s="79"/>
      <c r="O236" s="82"/>
      <c r="P236" s="82"/>
      <c r="Q236" s="82"/>
      <c r="R236" s="82"/>
      <c r="S236" s="82"/>
      <c r="T236" s="82"/>
      <c r="U236" s="82"/>
      <c r="V236" s="82"/>
      <c r="W236" s="82"/>
      <c r="X236" s="82"/>
      <c r="Y236" s="82"/>
      <c r="Z236" s="79"/>
      <c r="AA236" s="82"/>
      <c r="AB236" s="82"/>
      <c r="AC236" s="82"/>
      <c r="AD236" s="82"/>
      <c r="AE236" s="82"/>
      <c r="AF236" s="82"/>
      <c r="AG236" s="82"/>
      <c r="AH236" s="82"/>
      <c r="AI236" s="82"/>
      <c r="AJ236" s="82"/>
      <c r="AK236" s="82"/>
      <c r="AL236" s="79"/>
      <c r="AM236" s="79"/>
      <c r="AN236" s="79"/>
      <c r="AO236" s="79"/>
      <c r="AP236" s="79"/>
      <c r="AQ236" s="79"/>
      <c r="AR236" s="79"/>
      <c r="AS236" s="79"/>
      <c r="AT236" s="79"/>
      <c r="AU236" s="82"/>
      <c r="AV236" s="82"/>
      <c r="AW236" s="82"/>
      <c r="AX236" s="79"/>
      <c r="AY236" s="82"/>
      <c r="AZ236" s="82"/>
      <c r="BA236" s="82"/>
      <c r="BB236" s="82"/>
      <c r="BC236" s="82"/>
      <c r="BD236" s="82"/>
      <c r="BE236" s="82"/>
      <c r="BF236" s="82"/>
      <c r="BG236" s="82"/>
      <c r="BH236" s="1"/>
    </row>
    <row r="237" spans="1:60">
      <c r="A237" s="1040"/>
      <c r="B237" s="1109" t="s">
        <v>1218</v>
      </c>
      <c r="C237" s="1107" t="s">
        <v>96</v>
      </c>
      <c r="D237" s="638"/>
      <c r="E237" s="79"/>
      <c r="F237" s="79"/>
      <c r="G237" s="79"/>
      <c r="H237" s="85"/>
      <c r="I237" s="79"/>
      <c r="J237" s="82"/>
      <c r="K237" s="79"/>
      <c r="L237" s="79"/>
      <c r="M237" s="82"/>
      <c r="N237" s="79"/>
      <c r="O237" s="82"/>
      <c r="P237" s="82"/>
      <c r="Q237" s="82"/>
      <c r="R237" s="82"/>
      <c r="S237" s="82"/>
      <c r="T237" s="82"/>
      <c r="U237" s="82"/>
      <c r="V237" s="82"/>
      <c r="W237" s="82"/>
      <c r="X237" s="82"/>
      <c r="Y237" s="82"/>
      <c r="Z237" s="79"/>
      <c r="AA237" s="82"/>
      <c r="AB237" s="82"/>
      <c r="AC237" s="82"/>
      <c r="AD237" s="82"/>
      <c r="AE237" s="82"/>
      <c r="AF237" s="82"/>
      <c r="AG237" s="82"/>
      <c r="AH237" s="82"/>
      <c r="AI237" s="82"/>
      <c r="AJ237" s="82"/>
      <c r="AK237" s="82"/>
      <c r="AL237" s="79"/>
      <c r="AM237" s="82"/>
      <c r="AN237" s="82"/>
      <c r="AO237" s="82"/>
      <c r="AP237" s="82"/>
      <c r="AQ237" s="82"/>
      <c r="AR237" s="82"/>
      <c r="AS237" s="82"/>
      <c r="AT237" s="82"/>
      <c r="AU237" s="82"/>
      <c r="AV237" s="82"/>
      <c r="AW237" s="82"/>
      <c r="AX237" s="79"/>
      <c r="AY237" s="82"/>
      <c r="AZ237" s="82"/>
      <c r="BA237" s="82"/>
      <c r="BB237" s="82"/>
      <c r="BC237" s="82"/>
      <c r="BD237" s="82"/>
      <c r="BE237" s="82"/>
      <c r="BF237" s="82"/>
      <c r="BG237" s="82"/>
      <c r="BH237" s="1"/>
    </row>
    <row r="238" spans="1:60" ht="21">
      <c r="A238" s="1040"/>
      <c r="B238" s="1109" t="s">
        <v>1218</v>
      </c>
      <c r="C238" s="1106" t="s">
        <v>96</v>
      </c>
      <c r="D238" s="638"/>
      <c r="E238" s="1181" t="s">
        <v>1356</v>
      </c>
      <c r="F238" s="199"/>
      <c r="G238" s="692"/>
      <c r="H238" s="199"/>
      <c r="I238" s="77"/>
      <c r="J238" s="200" t="str">
        <f>J$10</f>
        <v>alle locaties</v>
      </c>
      <c r="K238" s="126"/>
      <c r="L238" s="126"/>
      <c r="M238" s="200" t="str">
        <f>M$10</f>
        <v>locatie 1</v>
      </c>
      <c r="N238" s="182"/>
      <c r="O238" s="966" t="str">
        <f>$E238&amp;" per energiepost"</f>
        <v>primair fossiel energiegebruik per energiepost per energiepost</v>
      </c>
      <c r="P238" s="941"/>
      <c r="Q238" s="941"/>
      <c r="R238" s="941"/>
      <c r="S238" s="941"/>
      <c r="T238" s="941"/>
      <c r="U238" s="941"/>
      <c r="V238" s="941"/>
      <c r="W238" s="956"/>
      <c r="X238" s="174"/>
      <c r="Y238" s="200" t="str">
        <f>Y$10</f>
        <v>locatie 2</v>
      </c>
      <c r="Z238" s="182"/>
      <c r="AA238" s="966" t="str">
        <f>$E238&amp;" per energiepost"</f>
        <v>primair fossiel energiegebruik per energiepost per energiepost</v>
      </c>
      <c r="AB238" s="941"/>
      <c r="AC238" s="941"/>
      <c r="AD238" s="941"/>
      <c r="AE238" s="941"/>
      <c r="AF238" s="941"/>
      <c r="AG238" s="941"/>
      <c r="AH238" s="941"/>
      <c r="AI238" s="956"/>
      <c r="AJ238" s="174"/>
      <c r="AK238" s="200" t="str">
        <f>AK$10</f>
        <v>locatie 3</v>
      </c>
      <c r="AL238" s="182"/>
      <c r="AM238" s="966" t="str">
        <f>$E238&amp;" per energiepost"</f>
        <v>primair fossiel energiegebruik per energiepost per energiepost</v>
      </c>
      <c r="AN238" s="941"/>
      <c r="AO238" s="941"/>
      <c r="AP238" s="941"/>
      <c r="AQ238" s="941"/>
      <c r="AR238" s="941"/>
      <c r="AS238" s="941"/>
      <c r="AT238" s="941"/>
      <c r="AU238" s="956"/>
      <c r="AV238" s="174"/>
      <c r="AW238" s="200" t="str">
        <f>AW$10</f>
        <v>locatie 4</v>
      </c>
      <c r="AX238" s="182"/>
      <c r="AY238" s="966" t="str">
        <f>$E238&amp;" per energiepost"</f>
        <v>primair fossiel energiegebruik per energiepost per energiepost</v>
      </c>
      <c r="AZ238" s="941"/>
      <c r="BA238" s="941"/>
      <c r="BB238" s="941"/>
      <c r="BC238" s="941"/>
      <c r="BD238" s="941"/>
      <c r="BE238" s="941"/>
      <c r="BF238" s="941"/>
      <c r="BG238" s="956"/>
      <c r="BH238" s="1"/>
    </row>
    <row r="239" spans="1:60">
      <c r="A239" s="1040"/>
      <c r="B239" s="1109" t="s">
        <v>1218</v>
      </c>
      <c r="C239" s="1106" t="s">
        <v>96</v>
      </c>
      <c r="D239" s="638"/>
      <c r="E239" s="940" t="s">
        <v>1316</v>
      </c>
      <c r="F239" s="940"/>
      <c r="G239" s="940"/>
      <c r="H239" s="940"/>
      <c r="I239" s="77"/>
      <c r="J239" s="939"/>
      <c r="K239" s="126"/>
      <c r="L239" s="126"/>
      <c r="M239" s="938"/>
      <c r="N239" s="191"/>
      <c r="O239" s="177" t="str">
        <f t="shared" ref="O239:W239" si="202">O$10</f>
        <v>verwarming</v>
      </c>
      <c r="P239" s="177" t="str">
        <f t="shared" si="202"/>
        <v>koeling</v>
      </c>
      <c r="Q239" s="177" t="str">
        <f t="shared" si="202"/>
        <v>tapwater</v>
      </c>
      <c r="R239" s="177" t="str">
        <f t="shared" si="202"/>
        <v>verlichting</v>
      </c>
      <c r="S239" s="177" t="str">
        <f t="shared" si="202"/>
        <v>ventilatoren</v>
      </c>
      <c r="T239" s="177" t="str">
        <f t="shared" si="202"/>
        <v>kookgas</v>
      </c>
      <c r="U239" s="177" t="str">
        <f t="shared" si="202"/>
        <v>overig elektra</v>
      </c>
      <c r="V239" s="177" t="str">
        <f t="shared" si="202"/>
        <v>mobiliteit</v>
      </c>
      <c r="W239" s="177" t="str">
        <f t="shared" si="202"/>
        <v>zonnepanelen</v>
      </c>
      <c r="X239" s="191"/>
      <c r="Y239" s="938"/>
      <c r="Z239" s="191"/>
      <c r="AA239" s="177" t="str">
        <f t="shared" ref="AA239:AI239" si="203">AA$10</f>
        <v>verwarming</v>
      </c>
      <c r="AB239" s="177" t="str">
        <f t="shared" si="203"/>
        <v>koeling</v>
      </c>
      <c r="AC239" s="177" t="str">
        <f t="shared" si="203"/>
        <v>tapwater</v>
      </c>
      <c r="AD239" s="177" t="str">
        <f t="shared" si="203"/>
        <v>verlichting</v>
      </c>
      <c r="AE239" s="177" t="str">
        <f t="shared" si="203"/>
        <v>ventilatoren</v>
      </c>
      <c r="AF239" s="177" t="str">
        <f t="shared" si="203"/>
        <v>kookgas</v>
      </c>
      <c r="AG239" s="177" t="str">
        <f t="shared" si="203"/>
        <v>overig elektra</v>
      </c>
      <c r="AH239" s="177" t="str">
        <f t="shared" si="203"/>
        <v>mobiliteit</v>
      </c>
      <c r="AI239" s="177" t="str">
        <f t="shared" si="203"/>
        <v>zonnepanelen</v>
      </c>
      <c r="AJ239" s="191"/>
      <c r="AK239" s="938"/>
      <c r="AL239" s="191"/>
      <c r="AM239" s="177" t="str">
        <f t="shared" ref="AM239:AU239" si="204">AM$10</f>
        <v>verwarming</v>
      </c>
      <c r="AN239" s="177" t="str">
        <f t="shared" si="204"/>
        <v>koeling</v>
      </c>
      <c r="AO239" s="177" t="str">
        <f t="shared" si="204"/>
        <v>tapwater</v>
      </c>
      <c r="AP239" s="177" t="str">
        <f t="shared" si="204"/>
        <v>verlichting</v>
      </c>
      <c r="AQ239" s="177" t="str">
        <f t="shared" si="204"/>
        <v>ventilatoren</v>
      </c>
      <c r="AR239" s="177" t="str">
        <f t="shared" si="204"/>
        <v>kookgas</v>
      </c>
      <c r="AS239" s="177" t="str">
        <f t="shared" si="204"/>
        <v>overig elektra</v>
      </c>
      <c r="AT239" s="177" t="str">
        <f t="shared" si="204"/>
        <v>mobiliteit</v>
      </c>
      <c r="AU239" s="177" t="str">
        <f t="shared" si="204"/>
        <v>zonnepanelen</v>
      </c>
      <c r="AV239" s="191"/>
      <c r="AW239" s="938"/>
      <c r="AX239" s="191"/>
      <c r="AY239" s="177" t="str">
        <f t="shared" ref="AY239:BG239" si="205">AY$10</f>
        <v>verwarming</v>
      </c>
      <c r="AZ239" s="177" t="str">
        <f t="shared" si="205"/>
        <v>koeling</v>
      </c>
      <c r="BA239" s="177" t="str">
        <f t="shared" si="205"/>
        <v>tapwater</v>
      </c>
      <c r="BB239" s="177" t="str">
        <f t="shared" si="205"/>
        <v>verlichting</v>
      </c>
      <c r="BC239" s="177" t="str">
        <f t="shared" si="205"/>
        <v>ventilatoren</v>
      </c>
      <c r="BD239" s="177" t="str">
        <f t="shared" si="205"/>
        <v>kookgas</v>
      </c>
      <c r="BE239" s="177" t="str">
        <f t="shared" si="205"/>
        <v>overig elektra</v>
      </c>
      <c r="BF239" s="177" t="str">
        <f t="shared" si="205"/>
        <v>mobiliteit</v>
      </c>
      <c r="BG239" s="177" t="str">
        <f t="shared" si="205"/>
        <v>zonnepanelen</v>
      </c>
      <c r="BH239" s="36"/>
    </row>
    <row r="240" spans="1:60" s="36" customFormat="1">
      <c r="A240" s="1040"/>
      <c r="B240" s="1109" t="s">
        <v>1218</v>
      </c>
      <c r="C240" s="1107" t="s">
        <v>104</v>
      </c>
      <c r="D240" s="638"/>
      <c r="E240" s="237" t="s">
        <v>244</v>
      </c>
      <c r="F240" s="237" t="s">
        <v>190</v>
      </c>
      <c r="G240" s="237"/>
      <c r="H240" s="238" t="s">
        <v>65</v>
      </c>
      <c r="I240" s="239"/>
      <c r="J240" s="240"/>
      <c r="K240" s="235"/>
      <c r="L240" s="235"/>
      <c r="M240" s="240"/>
      <c r="N240" s="241"/>
      <c r="O240" s="242" t="str">
        <f>IF(AND(O$83&lt;&gt;"geen",O$105&lt;&gt;""),O$105,"")</f>
        <v>elektriciteit</v>
      </c>
      <c r="P240" s="242" t="str">
        <f>IF(AND(P$83&lt;&gt;"geen",P$105&lt;&gt;""),P$105,"")</f>
        <v/>
      </c>
      <c r="Q240" s="242" t="str">
        <f>IF(AND(Q$83&lt;&gt;"geen",Q$105&lt;&gt;""),Q$105,"")</f>
        <v>elektriciteit</v>
      </c>
      <c r="R240" s="611"/>
      <c r="S240" s="611"/>
      <c r="T240" s="611"/>
      <c r="U240" s="611"/>
      <c r="V240" s="611"/>
      <c r="W240" s="611"/>
      <c r="X240" s="121"/>
      <c r="Y240" s="240"/>
      <c r="Z240" s="241"/>
      <c r="AA240" s="242" t="str">
        <f>IF(AND(AA$83&lt;&gt;"geen",AA$105&lt;&gt;""),AA$105,"")</f>
        <v>elektriciteit</v>
      </c>
      <c r="AB240" s="242" t="str">
        <f>IF(AND(AB$83&lt;&gt;"geen",AB$105&lt;&gt;""),AB$105,"")</f>
        <v/>
      </c>
      <c r="AC240" s="242" t="str">
        <f>IF(AND(AC$83&lt;&gt;"geen",AC$105&lt;&gt;""),AC$105,"")</f>
        <v>elektriciteit</v>
      </c>
      <c r="AD240" s="611"/>
      <c r="AE240" s="611"/>
      <c r="AF240" s="611"/>
      <c r="AG240" s="611"/>
      <c r="AH240" s="611"/>
      <c r="AI240" s="611"/>
      <c r="AJ240" s="121"/>
      <c r="AK240" s="240"/>
      <c r="AL240" s="241"/>
      <c r="AM240" s="242" t="str">
        <f>IF(AND(AM$83&lt;&gt;"geen",AM$105&lt;&gt;""),AM$105,"")</f>
        <v>elektriciteit</v>
      </c>
      <c r="AN240" s="242" t="str">
        <f>IF(AND(AN$83&lt;&gt;"geen",AN$105&lt;&gt;""),AN$105,"")</f>
        <v/>
      </c>
      <c r="AO240" s="242" t="str">
        <f>IF(AND(AO$83&lt;&gt;"geen",AO$105&lt;&gt;""),AO$105,"")</f>
        <v>elektriciteit</v>
      </c>
      <c r="AP240" s="611"/>
      <c r="AQ240" s="611"/>
      <c r="AR240" s="611"/>
      <c r="AS240" s="611"/>
      <c r="AT240" s="611"/>
      <c r="AU240" s="611"/>
      <c r="AV240" s="121"/>
      <c r="AW240" s="240"/>
      <c r="AX240" s="241"/>
      <c r="AY240" s="242" t="str">
        <f>IF(AND(AY$83&lt;&gt;"geen",AY$105&lt;&gt;""),AY$105,"")</f>
        <v>elektriciteit</v>
      </c>
      <c r="AZ240" s="242" t="str">
        <f>IF(AND(AZ$83&lt;&gt;"geen",AZ$105&lt;&gt;""),AZ$105,"")</f>
        <v/>
      </c>
      <c r="BA240" s="242" t="str">
        <f>IF(AND(BA$83&lt;&gt;"geen",BA$105&lt;&gt;""),BA$105,"")</f>
        <v>elektriciteit</v>
      </c>
      <c r="BB240" s="611"/>
      <c r="BC240" s="611"/>
      <c r="BD240" s="611"/>
      <c r="BE240" s="611"/>
      <c r="BF240" s="611"/>
      <c r="BG240" s="611"/>
      <c r="BH240" s="224"/>
    </row>
    <row r="241" spans="1:60" s="2" customFormat="1">
      <c r="A241" s="1038"/>
      <c r="B241" s="1109" t="s">
        <v>1218</v>
      </c>
      <c r="C241" s="1106" t="s">
        <v>104</v>
      </c>
      <c r="D241" s="644"/>
      <c r="E241" s="347"/>
      <c r="F241" s="255" t="s">
        <v>245</v>
      </c>
      <c r="G241" s="255"/>
      <c r="H241" s="361" t="s">
        <v>106</v>
      </c>
      <c r="I241" s="161"/>
      <c r="J241" s="307">
        <f>M241+Y241+AK241+AW241</f>
        <v>0</v>
      </c>
      <c r="K241" s="362"/>
      <c r="L241" s="362"/>
      <c r="M241" s="307">
        <f>SUM(N241:X241)</f>
        <v>0</v>
      </c>
      <c r="N241" s="308"/>
      <c r="O241" s="363">
        <f>IF(O240="","",(O$105=O240)*O$120)</f>
        <v>0</v>
      </c>
      <c r="P241" s="363" t="str">
        <f>IF(P240="","",(P$105=P240)*P$120)</f>
        <v/>
      </c>
      <c r="Q241" s="363">
        <f>IF(Q240="","",(Q$105=Q240)*Q$120)</f>
        <v>0</v>
      </c>
      <c r="R241" s="309"/>
      <c r="S241" s="309"/>
      <c r="T241" s="309"/>
      <c r="U241" s="309"/>
      <c r="V241" s="309"/>
      <c r="W241" s="309"/>
      <c r="X241" s="113"/>
      <c r="Y241" s="307">
        <f>SUM(Z241:AJ241)</f>
        <v>0</v>
      </c>
      <c r="Z241" s="308"/>
      <c r="AA241" s="363">
        <f>IF(AA240="","",(AA$105=AA240)*AA$120)</f>
        <v>0</v>
      </c>
      <c r="AB241" s="363" t="str">
        <f>IF(AB240="","",(AB$105=AB240)*AB$120)</f>
        <v/>
      </c>
      <c r="AC241" s="363">
        <f>IF(AC240="","",(AC$105=AC240)*AC$120)</f>
        <v>0</v>
      </c>
      <c r="AD241" s="309"/>
      <c r="AE241" s="309"/>
      <c r="AF241" s="309"/>
      <c r="AG241" s="309"/>
      <c r="AH241" s="309"/>
      <c r="AI241" s="309"/>
      <c r="AJ241" s="113"/>
      <c r="AK241" s="307">
        <f>SUM(AL241:AV241)</f>
        <v>0</v>
      </c>
      <c r="AL241" s="308"/>
      <c r="AM241" s="363">
        <f>IF(AM240="","",(AM$105=AM240)*AM$120)</f>
        <v>0</v>
      </c>
      <c r="AN241" s="363" t="str">
        <f>IF(AN240="","",(AN$105=AN240)*AN$120)</f>
        <v/>
      </c>
      <c r="AO241" s="363">
        <f>IF(AO240="","",(AO$105=AO240)*AO$120)</f>
        <v>0</v>
      </c>
      <c r="AP241" s="309"/>
      <c r="AQ241" s="309"/>
      <c r="AR241" s="309"/>
      <c r="AS241" s="309"/>
      <c r="AT241" s="309"/>
      <c r="AU241" s="309"/>
      <c r="AV241" s="113"/>
      <c r="AW241" s="307">
        <f>SUM(AX241:BH241)</f>
        <v>0</v>
      </c>
      <c r="AX241" s="308"/>
      <c r="AY241" s="363">
        <f>IF(AY240="","",(AY$105=AY240)*AY$120)</f>
        <v>0</v>
      </c>
      <c r="AZ241" s="363" t="str">
        <f>IF(AZ240="","",(AZ$105=AZ240)*AZ$120)</f>
        <v/>
      </c>
      <c r="BA241" s="363">
        <f>IF(BA240="","",(BA$105=BA240)*BA$120)</f>
        <v>0</v>
      </c>
      <c r="BB241" s="309"/>
      <c r="BC241" s="309"/>
      <c r="BD241" s="309"/>
      <c r="BE241" s="309"/>
      <c r="BF241" s="309"/>
      <c r="BG241" s="309"/>
      <c r="BH241" s="222"/>
    </row>
    <row r="242" spans="1:60" s="2" customFormat="1">
      <c r="A242" s="1038"/>
      <c r="B242" s="1109" t="s">
        <v>1218</v>
      </c>
      <c r="C242" s="1106" t="s">
        <v>104</v>
      </c>
      <c r="D242" s="644"/>
      <c r="E242" s="254" t="s">
        <v>246</v>
      </c>
      <c r="F242" s="303" t="s">
        <v>190</v>
      </c>
      <c r="G242" s="303"/>
      <c r="H242" s="364" t="s">
        <v>65</v>
      </c>
      <c r="I242" s="365"/>
      <c r="J242" s="366"/>
      <c r="K242" s="367"/>
      <c r="L242" s="367"/>
      <c r="M242" s="366"/>
      <c r="N242" s="368"/>
      <c r="O242" s="369" t="str">
        <f>IF(AND(O$140&lt;&gt;"",O$140&lt;&gt;"geen"),O$141,"")</f>
        <v>elektriciteit</v>
      </c>
      <c r="P242" s="369" t="str">
        <f>IF(AND(P$140&lt;&gt;"",P$140&lt;&gt;"geen"),P$141,"")</f>
        <v/>
      </c>
      <c r="Q242" s="369" t="str">
        <f>IF(AND(Q$140&lt;&gt;"",Q$140&lt;&gt;"geen"),Q$141,"")</f>
        <v>elektriciteit</v>
      </c>
      <c r="R242" s="612"/>
      <c r="S242" s="612"/>
      <c r="T242" s="612"/>
      <c r="U242" s="612"/>
      <c r="V242" s="612"/>
      <c r="W242" s="612"/>
      <c r="X242" s="118"/>
      <c r="Y242" s="366"/>
      <c r="Z242" s="368"/>
      <c r="AA242" s="369" t="str">
        <f>IF(AND(AA$140&lt;&gt;"",AA$140&lt;&gt;"geen"),AA$141,"")</f>
        <v>elektriciteit</v>
      </c>
      <c r="AB242" s="369" t="str">
        <f>IF(AND(AB$140&lt;&gt;"",AB$140&lt;&gt;"geen"),AB$141,"")</f>
        <v/>
      </c>
      <c r="AC242" s="369" t="str">
        <f>IF(AND(AC$140&lt;&gt;"",AC$140&lt;&gt;"geen"),AC$141,"")</f>
        <v>elektriciteit</v>
      </c>
      <c r="AD242" s="612"/>
      <c r="AE242" s="612"/>
      <c r="AF242" s="612"/>
      <c r="AG242" s="612"/>
      <c r="AH242" s="612"/>
      <c r="AI242" s="612"/>
      <c r="AJ242" s="118"/>
      <c r="AK242" s="366"/>
      <c r="AL242" s="368"/>
      <c r="AM242" s="369" t="str">
        <f>IF(AND(AM$140&lt;&gt;"",AM$140&lt;&gt;"geen"),AM$141,"")</f>
        <v>elektriciteit</v>
      </c>
      <c r="AN242" s="369" t="str">
        <f>IF(AND(AN$140&lt;&gt;"",AN$140&lt;&gt;"geen"),AN$141,"")</f>
        <v/>
      </c>
      <c r="AO242" s="369" t="str">
        <f>IF(AND(AO$140&lt;&gt;"",AO$140&lt;&gt;"geen"),AO$141,"")</f>
        <v>elektriciteit</v>
      </c>
      <c r="AP242" s="612"/>
      <c r="AQ242" s="612"/>
      <c r="AR242" s="612"/>
      <c r="AS242" s="612"/>
      <c r="AT242" s="612"/>
      <c r="AU242" s="612"/>
      <c r="AV242" s="118"/>
      <c r="AW242" s="366"/>
      <c r="AX242" s="368"/>
      <c r="AY242" s="369" t="str">
        <f>IF(AND(AY$140&lt;&gt;"",AY$140&lt;&gt;"geen"),AY$141,"")</f>
        <v>elektriciteit</v>
      </c>
      <c r="AZ242" s="369" t="str">
        <f>IF(AND(AZ$140&lt;&gt;"",AZ$140&lt;&gt;"geen"),AZ$141,"")</f>
        <v/>
      </c>
      <c r="BA242" s="369" t="str">
        <f>IF(AND(BA$140&lt;&gt;"",BA$140&lt;&gt;"geen"),BA$141,"")</f>
        <v>elektriciteit</v>
      </c>
      <c r="BB242" s="612"/>
      <c r="BC242" s="612"/>
      <c r="BD242" s="612"/>
      <c r="BE242" s="612"/>
      <c r="BF242" s="612"/>
      <c r="BG242" s="612"/>
      <c r="BH242" s="222"/>
    </row>
    <row r="243" spans="1:60" s="2" customFormat="1">
      <c r="A243" s="1038"/>
      <c r="B243" s="1109" t="s">
        <v>1218</v>
      </c>
      <c r="C243" s="1106" t="s">
        <v>104</v>
      </c>
      <c r="D243" s="644"/>
      <c r="E243" s="347"/>
      <c r="F243" s="255" t="s">
        <v>245</v>
      </c>
      <c r="G243" s="255"/>
      <c r="H243" s="361" t="s">
        <v>106</v>
      </c>
      <c r="I243" s="161"/>
      <c r="J243" s="307">
        <f>M243+Y243+AK243+AW243</f>
        <v>0</v>
      </c>
      <c r="K243" s="362"/>
      <c r="L243" s="362"/>
      <c r="M243" s="307">
        <f>SUM(N243:X243)</f>
        <v>0</v>
      </c>
      <c r="N243" s="308"/>
      <c r="O243" s="363">
        <f>IF(O242="",0,(O$141=O242)*O$151)</f>
        <v>0</v>
      </c>
      <c r="P243" s="363">
        <f>IF(P242="",0,(P$141=P242)*P$151)</f>
        <v>0</v>
      </c>
      <c r="Q243" s="363">
        <f>IF(Q242="",0,(Q$141=Q242)*Q$151)</f>
        <v>0</v>
      </c>
      <c r="R243" s="309"/>
      <c r="S243" s="309"/>
      <c r="T243" s="309"/>
      <c r="U243" s="309"/>
      <c r="V243" s="309"/>
      <c r="W243" s="309"/>
      <c r="X243" s="113"/>
      <c r="Y243" s="307">
        <f>SUM(Z243:AJ243)</f>
        <v>0</v>
      </c>
      <c r="Z243" s="308"/>
      <c r="AA243" s="363">
        <f>IF(AA242="",0,(AA$141=AA242)*AA$151)</f>
        <v>0</v>
      </c>
      <c r="AB243" s="363">
        <f>IF(AB242="",0,(AB$141=AB242)*AB$151)</f>
        <v>0</v>
      </c>
      <c r="AC243" s="363">
        <f>IF(AC242="",0,(AC$141=AC242)*AC$151)</f>
        <v>0</v>
      </c>
      <c r="AD243" s="309"/>
      <c r="AE243" s="309"/>
      <c r="AF243" s="309"/>
      <c r="AG243" s="309"/>
      <c r="AH243" s="309"/>
      <c r="AI243" s="309"/>
      <c r="AJ243" s="113"/>
      <c r="AK243" s="307">
        <f>SUM(AL243:AV243)</f>
        <v>0</v>
      </c>
      <c r="AL243" s="308"/>
      <c r="AM243" s="363">
        <f>IF(AM242="",0,(AM$141=AM242)*AM$151)</f>
        <v>0</v>
      </c>
      <c r="AN243" s="363">
        <f>IF(AN242="",0,(AN$141=AN242)*AN$151)</f>
        <v>0</v>
      </c>
      <c r="AO243" s="363">
        <f>IF(AO242="",0,(AO$141=AO242)*AO$151)</f>
        <v>0</v>
      </c>
      <c r="AP243" s="309"/>
      <c r="AQ243" s="309"/>
      <c r="AR243" s="309"/>
      <c r="AS243" s="309"/>
      <c r="AT243" s="309"/>
      <c r="AU243" s="309"/>
      <c r="AV243" s="113"/>
      <c r="AW243" s="307">
        <f>SUM(AX243:BH243)</f>
        <v>0</v>
      </c>
      <c r="AX243" s="308"/>
      <c r="AY243" s="363">
        <f>IF(AY242="",0,(AY$141=AY242)*AY$151)</f>
        <v>0</v>
      </c>
      <c r="AZ243" s="363">
        <f>IF(AZ242="",0,(AZ$141=AZ242)*AZ$151)</f>
        <v>0</v>
      </c>
      <c r="BA243" s="363">
        <f>IF(BA242="",0,(BA$141=BA242)*BA$151)</f>
        <v>0</v>
      </c>
      <c r="BB243" s="309"/>
      <c r="BC243" s="309"/>
      <c r="BD243" s="309"/>
      <c r="BE243" s="309"/>
      <c r="BF243" s="309"/>
      <c r="BG243" s="309"/>
      <c r="BH243" s="222"/>
    </row>
    <row r="244" spans="1:60" s="2" customFormat="1">
      <c r="A244" s="1038"/>
      <c r="B244" s="1109" t="s">
        <v>1218</v>
      </c>
      <c r="C244" s="1106" t="s">
        <v>104</v>
      </c>
      <c r="D244" s="644"/>
      <c r="E244" s="254" t="s">
        <v>247</v>
      </c>
      <c r="F244" s="303" t="s">
        <v>190</v>
      </c>
      <c r="G244" s="303"/>
      <c r="H244" s="364" t="s">
        <v>65</v>
      </c>
      <c r="I244" s="365"/>
      <c r="J244" s="370"/>
      <c r="K244" s="367"/>
      <c r="L244" s="367"/>
      <c r="M244" s="366"/>
      <c r="N244" s="368"/>
      <c r="O244" s="369" t="str">
        <f t="shared" ref="O244:W244" si="206">elektriciteit</f>
        <v>elektriciteit</v>
      </c>
      <c r="P244" s="369" t="str">
        <f t="shared" si="206"/>
        <v>elektriciteit</v>
      </c>
      <c r="Q244" s="369" t="str">
        <f t="shared" si="206"/>
        <v>elektriciteit</v>
      </c>
      <c r="R244" s="369" t="str">
        <f t="shared" si="206"/>
        <v>elektriciteit</v>
      </c>
      <c r="S244" s="369" t="str">
        <f t="shared" si="206"/>
        <v>elektriciteit</v>
      </c>
      <c r="T244" s="369" t="str">
        <f>aardgas</f>
        <v>aardgas</v>
      </c>
      <c r="U244" s="369" t="str">
        <f t="shared" si="206"/>
        <v>elektriciteit</v>
      </c>
      <c r="V244" s="369" t="str">
        <f t="shared" si="206"/>
        <v>elektriciteit</v>
      </c>
      <c r="W244" s="369" t="str">
        <f t="shared" si="206"/>
        <v>elektriciteit</v>
      </c>
      <c r="X244" s="118"/>
      <c r="Y244" s="366"/>
      <c r="Z244" s="368"/>
      <c r="AA244" s="369" t="str">
        <f t="shared" ref="AA244:AI244" si="207">elektriciteit</f>
        <v>elektriciteit</v>
      </c>
      <c r="AB244" s="369" t="str">
        <f t="shared" si="207"/>
        <v>elektriciteit</v>
      </c>
      <c r="AC244" s="369" t="str">
        <f t="shared" si="207"/>
        <v>elektriciteit</v>
      </c>
      <c r="AD244" s="369" t="str">
        <f t="shared" si="207"/>
        <v>elektriciteit</v>
      </c>
      <c r="AE244" s="369" t="str">
        <f t="shared" si="207"/>
        <v>elektriciteit</v>
      </c>
      <c r="AF244" s="369" t="str">
        <f>aardgas</f>
        <v>aardgas</v>
      </c>
      <c r="AG244" s="369" t="str">
        <f t="shared" si="207"/>
        <v>elektriciteit</v>
      </c>
      <c r="AH244" s="369" t="str">
        <f t="shared" si="207"/>
        <v>elektriciteit</v>
      </c>
      <c r="AI244" s="369" t="str">
        <f t="shared" si="207"/>
        <v>elektriciteit</v>
      </c>
      <c r="AJ244" s="118"/>
      <c r="AK244" s="366"/>
      <c r="AL244" s="368"/>
      <c r="AM244" s="369" t="str">
        <f t="shared" ref="AM244:AU244" si="208">elektriciteit</f>
        <v>elektriciteit</v>
      </c>
      <c r="AN244" s="369" t="str">
        <f t="shared" si="208"/>
        <v>elektriciteit</v>
      </c>
      <c r="AO244" s="369" t="str">
        <f t="shared" si="208"/>
        <v>elektriciteit</v>
      </c>
      <c r="AP244" s="369" t="str">
        <f t="shared" si="208"/>
        <v>elektriciteit</v>
      </c>
      <c r="AQ244" s="369" t="str">
        <f t="shared" si="208"/>
        <v>elektriciteit</v>
      </c>
      <c r="AR244" s="369" t="str">
        <f>aardgas</f>
        <v>aardgas</v>
      </c>
      <c r="AS244" s="369" t="str">
        <f t="shared" si="208"/>
        <v>elektriciteit</v>
      </c>
      <c r="AT244" s="369" t="str">
        <f t="shared" si="208"/>
        <v>elektriciteit</v>
      </c>
      <c r="AU244" s="369" t="str">
        <f t="shared" si="208"/>
        <v>elektriciteit</v>
      </c>
      <c r="AV244" s="118"/>
      <c r="AW244" s="366"/>
      <c r="AX244" s="368"/>
      <c r="AY244" s="369" t="str">
        <f t="shared" ref="AY244:BG244" si="209">elektriciteit</f>
        <v>elektriciteit</v>
      </c>
      <c r="AZ244" s="369" t="str">
        <f t="shared" si="209"/>
        <v>elektriciteit</v>
      </c>
      <c r="BA244" s="369" t="str">
        <f t="shared" si="209"/>
        <v>elektriciteit</v>
      </c>
      <c r="BB244" s="369" t="str">
        <f t="shared" si="209"/>
        <v>elektriciteit</v>
      </c>
      <c r="BC244" s="369" t="str">
        <f t="shared" si="209"/>
        <v>elektriciteit</v>
      </c>
      <c r="BD244" s="369" t="str">
        <f>aardgas</f>
        <v>aardgas</v>
      </c>
      <c r="BE244" s="369" t="str">
        <f t="shared" si="209"/>
        <v>elektriciteit</v>
      </c>
      <c r="BF244" s="369" t="str">
        <f t="shared" si="209"/>
        <v>elektriciteit</v>
      </c>
      <c r="BG244" s="369" t="str">
        <f t="shared" si="209"/>
        <v>elektriciteit</v>
      </c>
      <c r="BH244" s="219"/>
    </row>
    <row r="245" spans="1:60" s="2" customFormat="1">
      <c r="A245" s="1038"/>
      <c r="B245" s="1109" t="s">
        <v>1218</v>
      </c>
      <c r="C245" s="1106" t="s">
        <v>104</v>
      </c>
      <c r="D245" s="644"/>
      <c r="E245" s="255" t="s">
        <v>248</v>
      </c>
      <c r="F245" s="255" t="s">
        <v>245</v>
      </c>
      <c r="G245" s="255"/>
      <c r="H245" s="361" t="s">
        <v>106</v>
      </c>
      <c r="I245" s="161"/>
      <c r="J245" s="307">
        <f>M245+Y245+AK245+AW245</f>
        <v>0</v>
      </c>
      <c r="K245" s="362"/>
      <c r="L245" s="362"/>
      <c r="M245" s="307">
        <f>SUM(N245:X245)</f>
        <v>0</v>
      </c>
      <c r="N245" s="308"/>
      <c r="O245" s="363">
        <f>IF(O244=elektriciteit,O$174-O$214,O$78*bibliotheek!$K$261)</f>
        <v>0</v>
      </c>
      <c r="P245" s="363">
        <f>IF(P244=elektriciteit,P$174-P$214,P$78*bibliotheek!$K$261)</f>
        <v>0</v>
      </c>
      <c r="Q245" s="363">
        <f>IF(Q244=elektriciteit,Q$174-Q$214,Q$78*bibliotheek!$K$261)</f>
        <v>0</v>
      </c>
      <c r="R245" s="363">
        <f>IF(R244=elektriciteit,R$174-R$214,R$78*bibliotheek!$K$261)</f>
        <v>0</v>
      </c>
      <c r="S245" s="363">
        <f>IF(S244=elektriciteit,S$174-S$214,S$78*bibliotheek!$K$261)</f>
        <v>0</v>
      </c>
      <c r="T245" s="363">
        <f>IF(T244=elektriciteit,T$174-T$214,T$78*bibliotheek!$K$261)</f>
        <v>0</v>
      </c>
      <c r="U245" s="363">
        <f>IF(U244=elektriciteit,U$174-U$214,U$78*bibliotheek!$K$261)</f>
        <v>0</v>
      </c>
      <c r="V245" s="363">
        <f>IF(V244=elektriciteit,V$174-V$214,V$78*bibliotheek!$K$261)</f>
        <v>0</v>
      </c>
      <c r="W245" s="363">
        <f>IF(W244=elektriciteit,W$174-W$214,W$78*bibliotheek!$K$261)</f>
        <v>0</v>
      </c>
      <c r="X245" s="113"/>
      <c r="Y245" s="307">
        <f>SUM(Z245:AJ245)</f>
        <v>0</v>
      </c>
      <c r="Z245" s="308"/>
      <c r="AA245" s="363">
        <f>IF(AA244=elektriciteit,AA$174-AA$214,AA$78*bibliotheek!$K$261)</f>
        <v>0</v>
      </c>
      <c r="AB245" s="363">
        <f>IF(AB244=elektriciteit,AB$174-AB$214,AB$78*bibliotheek!$K$261)</f>
        <v>0</v>
      </c>
      <c r="AC245" s="363">
        <f>IF(AC244=elektriciteit,AC$174-AC$214,AC$78*bibliotheek!$K$261)</f>
        <v>0</v>
      </c>
      <c r="AD245" s="363">
        <f>IF(AD244=elektriciteit,AD$174-AD$214,AD$78*bibliotheek!$K$261)</f>
        <v>0</v>
      </c>
      <c r="AE245" s="363">
        <f>IF(AE244=elektriciteit,AE$174-AE$214,AE$78*bibliotheek!$K$261)</f>
        <v>0</v>
      </c>
      <c r="AF245" s="363">
        <f>IF(AF244=elektriciteit,AF$174-AF$214,AF$78*bibliotheek!$K$261)</f>
        <v>0</v>
      </c>
      <c r="AG245" s="363">
        <f>IF(AG244=elektriciteit,AG$174-AG$214,AG$78*bibliotheek!$K$261)</f>
        <v>0</v>
      </c>
      <c r="AH245" s="363">
        <f>IF(AH244=elektriciteit,AH$174-AH$214,AH$78*bibliotheek!$K$261)</f>
        <v>0</v>
      </c>
      <c r="AI245" s="363">
        <f>IF(AI244=elektriciteit,AI$174-AI$214,AI$78*bibliotheek!$K$261)</f>
        <v>0</v>
      </c>
      <c r="AJ245" s="113"/>
      <c r="AK245" s="307">
        <f>SUM(AL245:AV245)</f>
        <v>0</v>
      </c>
      <c r="AL245" s="308"/>
      <c r="AM245" s="363">
        <f>IF(AM244=elektriciteit,AM$174-AM$214,AM$78*bibliotheek!$K$261)</f>
        <v>0</v>
      </c>
      <c r="AN245" s="363">
        <f>IF(AN244=elektriciteit,AN$174-AN$214,AN$78*bibliotheek!$K$261)</f>
        <v>0</v>
      </c>
      <c r="AO245" s="363">
        <f>IF(AO244=elektriciteit,AO$174-AO$214,AO$78*bibliotheek!$K$261)</f>
        <v>0</v>
      </c>
      <c r="AP245" s="363">
        <f>IF(AP244=elektriciteit,AP$174-AP$214,AP$78*bibliotheek!$K$261)</f>
        <v>0</v>
      </c>
      <c r="AQ245" s="363">
        <f>IF(AQ244=elektriciteit,AQ$174-AQ$214,AQ$78*bibliotheek!$K$261)</f>
        <v>0</v>
      </c>
      <c r="AR245" s="363">
        <f>IF(AR244=elektriciteit,AR$174-AR$214,AR$78*bibliotheek!$K$261)</f>
        <v>0</v>
      </c>
      <c r="AS245" s="363">
        <f>IF(AS244=elektriciteit,AS$174-AS$214,AS$78*bibliotheek!$K$261)</f>
        <v>0</v>
      </c>
      <c r="AT245" s="363">
        <f>IF(AT244=elektriciteit,AT$174-AT$214,AT$78*bibliotheek!$K$261)</f>
        <v>0</v>
      </c>
      <c r="AU245" s="363">
        <f>IF(AU244=elektriciteit,AU$174-AU$214,AU$78*bibliotheek!$K$261)</f>
        <v>0</v>
      </c>
      <c r="AV245" s="113"/>
      <c r="AW245" s="307">
        <f>SUM(AX245:BH245)</f>
        <v>0</v>
      </c>
      <c r="AX245" s="308"/>
      <c r="AY245" s="363">
        <f>IF(AY244=elektriciteit,AY$174-AY$214,AY$78*bibliotheek!$K$261)</f>
        <v>0</v>
      </c>
      <c r="AZ245" s="363">
        <f>IF(AZ244=elektriciteit,AZ$174-AZ$214,AZ$78*bibliotheek!$K$261)</f>
        <v>0</v>
      </c>
      <c r="BA245" s="363">
        <f>IF(BA244=elektriciteit,BA$174-BA$214,BA$78*bibliotheek!$K$261)</f>
        <v>0</v>
      </c>
      <c r="BB245" s="363">
        <f>IF(BB244=elektriciteit,BB$174-BB$214,BB$78*bibliotheek!$K$261)</f>
        <v>0</v>
      </c>
      <c r="BC245" s="363">
        <f>IF(BC244=elektriciteit,BC$174-BC$214,BC$78*bibliotheek!$K$261)</f>
        <v>0</v>
      </c>
      <c r="BD245" s="363">
        <f>IF(BD244=elektriciteit,BD$174-BD$214,BD$78*bibliotheek!$K$261)</f>
        <v>0</v>
      </c>
      <c r="BE245" s="363">
        <f>IF(BE244=elektriciteit,BE$174-BE$214,BE$78*bibliotheek!$K$261)</f>
        <v>0</v>
      </c>
      <c r="BF245" s="363">
        <f>IF(BF244=elektriciteit,BF$174-BF$214,BF$78*bibliotheek!$K$261)</f>
        <v>0</v>
      </c>
      <c r="BG245" s="363">
        <f>IF(BG244=elektriciteit,BG$174-BG$214,BG$78*bibliotheek!$K$261)</f>
        <v>0</v>
      </c>
      <c r="BH245" s="222"/>
    </row>
    <row r="246" spans="1:60" s="2" customFormat="1">
      <c r="A246" s="1038"/>
      <c r="B246" s="1110" t="s">
        <v>1218</v>
      </c>
      <c r="C246" s="1106" t="s">
        <v>104</v>
      </c>
      <c r="D246" s="644"/>
      <c r="E246" s="180" t="s">
        <v>232</v>
      </c>
      <c r="F246" s="180" t="s">
        <v>245</v>
      </c>
      <c r="G246" s="180"/>
      <c r="H246" s="201" t="s">
        <v>106</v>
      </c>
      <c r="I246" s="114"/>
      <c r="J246" s="202">
        <f>M246+Y246+AK246+AW246</f>
        <v>0</v>
      </c>
      <c r="K246" s="362"/>
      <c r="L246" s="362"/>
      <c r="M246" s="202">
        <f>SUM(N246:X246)</f>
        <v>0</v>
      </c>
      <c r="N246" s="89"/>
      <c r="O246" s="168">
        <f>O241+O243+O245</f>
        <v>0</v>
      </c>
      <c r="P246" s="168">
        <f t="shared" ref="P246:W246" si="210">P245+IF(P241="",0,P241)+IF(P243="",0,P243)</f>
        <v>0</v>
      </c>
      <c r="Q246" s="168">
        <f t="shared" si="210"/>
        <v>0</v>
      </c>
      <c r="R246" s="168">
        <f t="shared" si="210"/>
        <v>0</v>
      </c>
      <c r="S246" s="168">
        <f t="shared" si="210"/>
        <v>0</v>
      </c>
      <c r="T246" s="168">
        <f t="shared" si="210"/>
        <v>0</v>
      </c>
      <c r="U246" s="168">
        <f t="shared" si="210"/>
        <v>0</v>
      </c>
      <c r="V246" s="168">
        <f t="shared" si="210"/>
        <v>0</v>
      </c>
      <c r="W246" s="168">
        <f t="shared" si="210"/>
        <v>0</v>
      </c>
      <c r="X246" s="113"/>
      <c r="Y246" s="202">
        <f>SUM(Z246:AJ246)</f>
        <v>0</v>
      </c>
      <c r="Z246" s="89"/>
      <c r="AA246" s="168">
        <f>AA241+AA243+AA245</f>
        <v>0</v>
      </c>
      <c r="AB246" s="168">
        <f t="shared" ref="AB246:AI246" si="211">AB245+IF(AB241="",0,AB241)+IF(AB243="",0,AB243)</f>
        <v>0</v>
      </c>
      <c r="AC246" s="168">
        <f t="shared" si="211"/>
        <v>0</v>
      </c>
      <c r="AD246" s="168">
        <f t="shared" si="211"/>
        <v>0</v>
      </c>
      <c r="AE246" s="168">
        <f t="shared" si="211"/>
        <v>0</v>
      </c>
      <c r="AF246" s="168">
        <f t="shared" si="211"/>
        <v>0</v>
      </c>
      <c r="AG246" s="168">
        <f t="shared" si="211"/>
        <v>0</v>
      </c>
      <c r="AH246" s="168">
        <f t="shared" si="211"/>
        <v>0</v>
      </c>
      <c r="AI246" s="168">
        <f t="shared" si="211"/>
        <v>0</v>
      </c>
      <c r="AJ246" s="113"/>
      <c r="AK246" s="202">
        <f>SUM(AL246:AV246)</f>
        <v>0</v>
      </c>
      <c r="AL246" s="89"/>
      <c r="AM246" s="168">
        <f>AM241+AM243+AM245</f>
        <v>0</v>
      </c>
      <c r="AN246" s="168">
        <f t="shared" ref="AN246:AU246" si="212">AN245+IF(AN241="",0,AN241)+IF(AN243="",0,AN243)</f>
        <v>0</v>
      </c>
      <c r="AO246" s="168">
        <f t="shared" si="212"/>
        <v>0</v>
      </c>
      <c r="AP246" s="168">
        <f t="shared" si="212"/>
        <v>0</v>
      </c>
      <c r="AQ246" s="168">
        <f t="shared" si="212"/>
        <v>0</v>
      </c>
      <c r="AR246" s="168">
        <f t="shared" si="212"/>
        <v>0</v>
      </c>
      <c r="AS246" s="168">
        <f t="shared" si="212"/>
        <v>0</v>
      </c>
      <c r="AT246" s="168">
        <f t="shared" si="212"/>
        <v>0</v>
      </c>
      <c r="AU246" s="168">
        <f t="shared" si="212"/>
        <v>0</v>
      </c>
      <c r="AV246" s="113"/>
      <c r="AW246" s="202">
        <f>SUM(AX246:BH246)</f>
        <v>0</v>
      </c>
      <c r="AX246" s="89"/>
      <c r="AY246" s="168">
        <f>AY241+AY243+AY245</f>
        <v>0</v>
      </c>
      <c r="AZ246" s="168">
        <f t="shared" ref="AZ246:BG246" si="213">AZ245+IF(AZ241="",0,AZ241)+IF(AZ243="",0,AZ243)</f>
        <v>0</v>
      </c>
      <c r="BA246" s="168">
        <f t="shared" si="213"/>
        <v>0</v>
      </c>
      <c r="BB246" s="168">
        <f t="shared" si="213"/>
        <v>0</v>
      </c>
      <c r="BC246" s="168">
        <f t="shared" si="213"/>
        <v>0</v>
      </c>
      <c r="BD246" s="168">
        <f t="shared" si="213"/>
        <v>0</v>
      </c>
      <c r="BE246" s="168">
        <f t="shared" si="213"/>
        <v>0</v>
      </c>
      <c r="BF246" s="168">
        <f t="shared" si="213"/>
        <v>0</v>
      </c>
      <c r="BG246" s="168">
        <f t="shared" si="213"/>
        <v>0</v>
      </c>
      <c r="BH246" s="222"/>
    </row>
    <row r="247" spans="1:60">
      <c r="A247" s="1040"/>
      <c r="B247" s="1109" t="s">
        <v>1218</v>
      </c>
      <c r="C247" s="1106" t="s">
        <v>96</v>
      </c>
      <c r="D247" s="638"/>
      <c r="E247" s="79"/>
      <c r="F247" s="79"/>
      <c r="G247" s="79"/>
      <c r="H247" s="82"/>
      <c r="I247" s="122"/>
      <c r="J247" s="113"/>
      <c r="K247" s="79"/>
      <c r="L247" s="79"/>
      <c r="M247" s="113"/>
      <c r="N247" s="79"/>
      <c r="O247" s="85"/>
      <c r="P247" s="85"/>
      <c r="Q247" s="82"/>
      <c r="R247" s="82"/>
      <c r="S247" s="82"/>
      <c r="T247" s="82"/>
      <c r="U247" s="82"/>
      <c r="V247" s="82"/>
      <c r="W247" s="82"/>
      <c r="X247" s="82"/>
      <c r="Y247" s="113"/>
      <c r="Z247" s="79"/>
      <c r="AA247" s="85"/>
      <c r="AB247" s="85"/>
      <c r="AC247" s="82"/>
      <c r="AD247" s="82"/>
      <c r="AE247" s="82"/>
      <c r="AF247" s="82"/>
      <c r="AG247" s="82"/>
      <c r="AH247" s="82"/>
      <c r="AI247" s="82"/>
      <c r="AJ247" s="82"/>
      <c r="AK247" s="113"/>
      <c r="AL247" s="79"/>
      <c r="AM247" s="85"/>
      <c r="AN247" s="85"/>
      <c r="AO247" s="82"/>
      <c r="AP247" s="82"/>
      <c r="AQ247" s="82"/>
      <c r="AR247" s="82"/>
      <c r="AS247" s="82"/>
      <c r="AT247" s="82"/>
      <c r="AU247" s="82"/>
      <c r="AV247" s="82"/>
      <c r="AW247" s="113"/>
      <c r="AX247" s="79"/>
      <c r="AY247" s="82"/>
      <c r="AZ247" s="82"/>
      <c r="BA247" s="82"/>
      <c r="BB247" s="82"/>
      <c r="BC247" s="82"/>
      <c r="BD247" s="82"/>
      <c r="BE247" s="82"/>
      <c r="BF247" s="82"/>
      <c r="BG247" s="82"/>
      <c r="BH247" s="1"/>
    </row>
    <row r="248" spans="1:60">
      <c r="A248" s="1040"/>
      <c r="B248" s="1109" t="s">
        <v>249</v>
      </c>
      <c r="C248" s="1106" t="s">
        <v>96</v>
      </c>
      <c r="D248" s="638"/>
      <c r="E248" s="79"/>
      <c r="F248" s="79"/>
      <c r="G248" s="79"/>
      <c r="H248" s="85"/>
      <c r="I248" s="79"/>
      <c r="J248" s="82"/>
      <c r="K248" s="79"/>
      <c r="L248" s="79"/>
      <c r="M248" s="82"/>
      <c r="N248" s="79"/>
      <c r="O248" s="82"/>
      <c r="P248" s="82"/>
      <c r="Q248" s="82"/>
      <c r="R248" s="82"/>
      <c r="S248" s="82"/>
      <c r="T248" s="82"/>
      <c r="U248" s="82"/>
      <c r="V248" s="82"/>
      <c r="W248" s="82"/>
      <c r="X248" s="82"/>
      <c r="Y248" s="82"/>
      <c r="Z248" s="79"/>
      <c r="AA248" s="82"/>
      <c r="AB248" s="82"/>
      <c r="AC248" s="82"/>
      <c r="AD248" s="82"/>
      <c r="AE248" s="82"/>
      <c r="AF248" s="82"/>
      <c r="AG248" s="82"/>
      <c r="AH248" s="82"/>
      <c r="AI248" s="82"/>
      <c r="AJ248" s="82"/>
      <c r="AK248" s="82"/>
      <c r="AL248" s="79"/>
      <c r="AM248" s="82"/>
      <c r="AN248" s="82"/>
      <c r="AO248" s="82"/>
      <c r="AP248" s="82"/>
      <c r="AQ248" s="82"/>
      <c r="AR248" s="82"/>
      <c r="AS248" s="82"/>
      <c r="AT248" s="82"/>
      <c r="AU248" s="82"/>
      <c r="AV248" s="82"/>
      <c r="AW248" s="82"/>
      <c r="AX248" s="79"/>
      <c r="AY248" s="82"/>
      <c r="AZ248" s="82"/>
      <c r="BA248" s="82"/>
      <c r="BB248" s="82"/>
      <c r="BC248" s="82"/>
      <c r="BD248" s="82"/>
      <c r="BE248" s="82"/>
      <c r="BF248" s="82"/>
      <c r="BG248" s="82"/>
      <c r="BH248" s="1"/>
    </row>
    <row r="249" spans="1:60" ht="21">
      <c r="A249" s="1040"/>
      <c r="B249" s="1109" t="s">
        <v>249</v>
      </c>
      <c r="C249" s="1106" t="s">
        <v>96</v>
      </c>
      <c r="D249" s="643"/>
      <c r="E249" s="1181" t="s">
        <v>1357</v>
      </c>
      <c r="F249" s="1181"/>
      <c r="G249" s="1181"/>
      <c r="H249" s="1181"/>
      <c r="I249" s="77"/>
      <c r="J249" s="200" t="str">
        <f>J$10</f>
        <v>alle locaties</v>
      </c>
      <c r="K249" s="126"/>
      <c r="L249" s="126"/>
      <c r="M249" s="200" t="str">
        <f>M$10</f>
        <v>locatie 1</v>
      </c>
      <c r="N249" s="182"/>
      <c r="O249" s="966" t="str">
        <f>$E249&amp;" per energiepost"</f>
        <v>hernieuwbaar primair fossiel energiegebruik per energiepost per energiepost</v>
      </c>
      <c r="P249" s="941"/>
      <c r="Q249" s="941"/>
      <c r="R249" s="941"/>
      <c r="S249" s="941"/>
      <c r="T249" s="941"/>
      <c r="U249" s="941"/>
      <c r="V249" s="941"/>
      <c r="W249" s="956"/>
      <c r="X249" s="174"/>
      <c r="Y249" s="200" t="str">
        <f>Y$10</f>
        <v>locatie 2</v>
      </c>
      <c r="Z249" s="182"/>
      <c r="AA249" s="966" t="str">
        <f>$E249&amp;" per energiepost"</f>
        <v>hernieuwbaar primair fossiel energiegebruik per energiepost per energiepost</v>
      </c>
      <c r="AB249" s="941"/>
      <c r="AC249" s="941"/>
      <c r="AD249" s="941"/>
      <c r="AE249" s="941"/>
      <c r="AF249" s="941"/>
      <c r="AG249" s="941"/>
      <c r="AH249" s="941"/>
      <c r="AI249" s="956"/>
      <c r="AJ249" s="174"/>
      <c r="AK249" s="200" t="str">
        <f>AK$10</f>
        <v>locatie 3</v>
      </c>
      <c r="AL249" s="182"/>
      <c r="AM249" s="966" t="str">
        <f>$E249&amp;" per energiepost"</f>
        <v>hernieuwbaar primair fossiel energiegebruik per energiepost per energiepost</v>
      </c>
      <c r="AN249" s="941"/>
      <c r="AO249" s="941"/>
      <c r="AP249" s="941"/>
      <c r="AQ249" s="941"/>
      <c r="AR249" s="941"/>
      <c r="AS249" s="941"/>
      <c r="AT249" s="941"/>
      <c r="AU249" s="956"/>
      <c r="AV249" s="174"/>
      <c r="AW249" s="200" t="str">
        <f>AW$10</f>
        <v>locatie 4</v>
      </c>
      <c r="AX249" s="182"/>
      <c r="AY249" s="966" t="str">
        <f>$E249&amp;" per energiepost"</f>
        <v>hernieuwbaar primair fossiel energiegebruik per energiepost per energiepost</v>
      </c>
      <c r="AZ249" s="941"/>
      <c r="BA249" s="941"/>
      <c r="BB249" s="941"/>
      <c r="BC249" s="941"/>
      <c r="BD249" s="941"/>
      <c r="BE249" s="941"/>
      <c r="BF249" s="941"/>
      <c r="BG249" s="956"/>
      <c r="BH249" s="1"/>
    </row>
    <row r="250" spans="1:60">
      <c r="A250" s="1040"/>
      <c r="B250" s="1109" t="s">
        <v>249</v>
      </c>
      <c r="C250" s="1106" t="s">
        <v>96</v>
      </c>
      <c r="D250" s="638"/>
      <c r="E250" s="940" t="s">
        <v>1316</v>
      </c>
      <c r="F250" s="940"/>
      <c r="G250" s="940"/>
      <c r="H250" s="940"/>
      <c r="I250" s="77"/>
      <c r="J250" s="939"/>
      <c r="K250" s="126"/>
      <c r="L250" s="126"/>
      <c r="M250" s="938"/>
      <c r="N250" s="191"/>
      <c r="O250" s="177" t="str">
        <f>O$10</f>
        <v>verwarming</v>
      </c>
      <c r="P250" s="177" t="str">
        <f>P$10</f>
        <v>koeling</v>
      </c>
      <c r="Q250" s="177" t="str">
        <f>Q$10</f>
        <v>tapwater</v>
      </c>
      <c r="R250" s="177"/>
      <c r="S250" s="177"/>
      <c r="T250" s="177"/>
      <c r="U250" s="177"/>
      <c r="V250" s="177"/>
      <c r="W250" s="177" t="str">
        <f>W$10</f>
        <v>zonnepanelen</v>
      </c>
      <c r="X250" s="191"/>
      <c r="Y250" s="938"/>
      <c r="Z250" s="191"/>
      <c r="AA250" s="177" t="str">
        <f>AA$10</f>
        <v>verwarming</v>
      </c>
      <c r="AB250" s="177" t="str">
        <f>AB$10</f>
        <v>koeling</v>
      </c>
      <c r="AC250" s="177" t="str">
        <f>AC$10</f>
        <v>tapwater</v>
      </c>
      <c r="AD250" s="177"/>
      <c r="AE250" s="177"/>
      <c r="AF250" s="177"/>
      <c r="AG250" s="177"/>
      <c r="AH250" s="177"/>
      <c r="AI250" s="177" t="str">
        <f>AI$10</f>
        <v>zonnepanelen</v>
      </c>
      <c r="AJ250" s="191"/>
      <c r="AK250" s="938"/>
      <c r="AL250" s="191"/>
      <c r="AM250" s="177" t="str">
        <f>AM$10</f>
        <v>verwarming</v>
      </c>
      <c r="AN250" s="177" t="str">
        <f>AN$10</f>
        <v>koeling</v>
      </c>
      <c r="AO250" s="177" t="str">
        <f>AO$10</f>
        <v>tapwater</v>
      </c>
      <c r="AP250" s="177"/>
      <c r="AQ250" s="177"/>
      <c r="AR250" s="177"/>
      <c r="AS250" s="177"/>
      <c r="AT250" s="177"/>
      <c r="AU250" s="177" t="str">
        <f>AU$10</f>
        <v>zonnepanelen</v>
      </c>
      <c r="AV250" s="191"/>
      <c r="AW250" s="938"/>
      <c r="AX250" s="191"/>
      <c r="AY250" s="177" t="str">
        <f>AY$10</f>
        <v>verwarming</v>
      </c>
      <c r="AZ250" s="177" t="str">
        <f>AZ$10</f>
        <v>koeling</v>
      </c>
      <c r="BA250" s="177" t="str">
        <f>BA$10</f>
        <v>tapwater</v>
      </c>
      <c r="BB250" s="177"/>
      <c r="BC250" s="177"/>
      <c r="BD250" s="177"/>
      <c r="BE250" s="177"/>
      <c r="BF250" s="177"/>
      <c r="BG250" s="177" t="str">
        <f>BG$10</f>
        <v>zonnepanelen</v>
      </c>
      <c r="BH250" s="36"/>
    </row>
    <row r="251" spans="1:60">
      <c r="A251" s="1040"/>
      <c r="B251" s="1109" t="s">
        <v>249</v>
      </c>
      <c r="C251" s="1107" t="s">
        <v>104</v>
      </c>
      <c r="D251" s="641" t="s">
        <v>45</v>
      </c>
      <c r="E251" s="180" t="s">
        <v>250</v>
      </c>
      <c r="F251" s="180"/>
      <c r="G251" s="180"/>
      <c r="H251" s="201" t="s">
        <v>160</v>
      </c>
      <c r="I251" s="114"/>
      <c r="J251" s="202">
        <f t="shared" ref="J251:J257" si="214">M251+Y251+AK251+AW251</f>
        <v>0</v>
      </c>
      <c r="K251" s="195"/>
      <c r="L251" s="195"/>
      <c r="M251" s="202">
        <f t="shared" ref="M251:M257" si="215">SUM(N251:X251)</f>
        <v>0</v>
      </c>
      <c r="N251" s="114"/>
      <c r="O251" s="168">
        <f>IF(OR(O$111=0,O$111=""),0,HLOOKUP(IF(O$83="",referentie_verwarming,O$83),toestellen_RV,ROWS(bibliotheek!$E$83:$E$87),FALSE)*O$110*(1-1/O$111)*f_P_renheat)</f>
        <v>0</v>
      </c>
      <c r="P251" s="168">
        <f>IF(OR(P$111=0,P$111=""),0,HLOOKUP(IF(P$83="",referentie_koeling,P$83),toestellen_KOEL,ROWS(bibliotheek!$E$190:$E$193),FALSE)*P$110*(1-1/P$111)*f_P_rencold)</f>
        <v>0</v>
      </c>
      <c r="Q251" s="168">
        <f>IF(OR(Q$111=0,Q$111=""),0,HLOOKUP(IF(Q$83="",referentie_warmtapwater,Q$83),toestellen_TAP,ROWS(bibliotheek!$E$139:$E$143),FALSE)*Q$110*(1-1/Q$111)*f_P_renheat)</f>
        <v>0</v>
      </c>
      <c r="R251" s="273"/>
      <c r="S251" s="273"/>
      <c r="T251" s="273"/>
      <c r="U251" s="273"/>
      <c r="V251" s="273"/>
      <c r="W251" s="273"/>
      <c r="X251" s="113"/>
      <c r="Y251" s="202">
        <f t="shared" ref="Y251:Y257" si="216">SUM(Z251:AJ251)</f>
        <v>0</v>
      </c>
      <c r="Z251" s="114"/>
      <c r="AA251" s="168">
        <f>IF(OR(AA$111=0,AA$111=""),0,HLOOKUP(IF(AA$83="",referentie_verwarming,AA$83),toestellen_RV,ROWS(bibliotheek!$E$83:$E$87),FALSE)*AA$110*(1-1/AA$111)*f_P_renheat)</f>
        <v>0</v>
      </c>
      <c r="AB251" s="168">
        <f>IF(OR(AB$111=0,AB$111=""),0,HLOOKUP(IF(AB$83="",referentie_koeling,AB$83),toestellen_KOEL,ROWS(bibliotheek!$E$190:$E$193),FALSE)*AB$110*(1-1/AB$111)*f_P_rencold)</f>
        <v>0</v>
      </c>
      <c r="AC251" s="168">
        <f>IF(OR(AC$111=0,AC$111=""),0,HLOOKUP(IF(AC$83="",referentie_warmtapwater,AC$83),toestellen_TAP,ROWS(bibliotheek!$E$139:$E$143),FALSE)*AC$110*(1-1/AC$111)*f_P_renheat)</f>
        <v>0</v>
      </c>
      <c r="AD251" s="273"/>
      <c r="AE251" s="273"/>
      <c r="AF251" s="273"/>
      <c r="AG251" s="273"/>
      <c r="AH251" s="273"/>
      <c r="AI251" s="273"/>
      <c r="AJ251" s="113"/>
      <c r="AK251" s="202">
        <f t="shared" ref="AK251:AK257" si="217">SUM(AL251:AV251)</f>
        <v>0</v>
      </c>
      <c r="AL251" s="191"/>
      <c r="AM251" s="168">
        <f>IF(OR(AM$111=0,AM$111=""),0,HLOOKUP(IF(AM$83="",referentie_verwarming,AM$83),toestellen_RV,ROWS(bibliotheek!$E$83:$E$87),FALSE)*AM$110*(1-1/AM$111)*f_P_renheat)</f>
        <v>0</v>
      </c>
      <c r="AN251" s="168">
        <f>IF(OR(AN$111=0,AN$111=""),0,HLOOKUP(IF(AN$83="",referentie_koeling,AN$83),toestellen_KOEL,ROWS(bibliotheek!$E$190:$E$193),FALSE)*AN$110*(1-1/AN$111)*f_P_rencold)</f>
        <v>0</v>
      </c>
      <c r="AO251" s="168">
        <f>IF(OR(AO$111=0,AO$111=""),0,HLOOKUP(IF(AO$83="",referentie_warmtapwater,AO$83),toestellen_TAP,ROWS(bibliotheek!$E$139:$E$143),FALSE)*AO$110*(1-1/AO$111)*f_P_renheat)</f>
        <v>0</v>
      </c>
      <c r="AP251" s="273"/>
      <c r="AQ251" s="273"/>
      <c r="AR251" s="273"/>
      <c r="AS251" s="273"/>
      <c r="AT251" s="273"/>
      <c r="AU251" s="273"/>
      <c r="AV251" s="191"/>
      <c r="AW251" s="202">
        <f t="shared" ref="AW251:AW257" si="218">SUM(AX251:BH251)</f>
        <v>0</v>
      </c>
      <c r="AX251" s="191"/>
      <c r="AY251" s="168">
        <f>IF(OR(AY$111=0,AY$111=""),0,HLOOKUP(IF(AY$83="",referentie_verwarming,AY$83),toestellen_RV,ROWS(bibliotheek!$E$83:$E$87),FALSE)*AY$110*(1-1/AY$111)*f_P_renheat)</f>
        <v>0</v>
      </c>
      <c r="AZ251" s="168">
        <f>IF(OR(AZ$111=0,AZ$111=""),0,HLOOKUP(IF(AZ$83="",referentie_koeling,AZ$83),toestellen_KOEL,ROWS(bibliotheek!$E$190:$E$193),FALSE)*AZ$110*(1-1/AZ$111)*f_P_rencold)</f>
        <v>0</v>
      </c>
      <c r="BA251" s="168">
        <f>IF(OR(BA$111=0,BA$111=""),0,HLOOKUP(IF(BA$83="",referentie_warmtapwater,BA$83),toestellen_TAP,ROWS(bibliotheek!$E$139:$E$143),FALSE)*BA$110*(1-1/BA$111)*f_P_renheat)</f>
        <v>0</v>
      </c>
      <c r="BB251" s="273"/>
      <c r="BC251" s="273"/>
      <c r="BD251" s="273"/>
      <c r="BE251" s="273"/>
      <c r="BF251" s="273"/>
      <c r="BG251" s="273"/>
      <c r="BH251" s="210"/>
    </row>
    <row r="252" spans="1:60">
      <c r="A252" s="1040"/>
      <c r="B252" s="1109" t="s">
        <v>249</v>
      </c>
      <c r="C252" s="1107" t="s">
        <v>104</v>
      </c>
      <c r="D252" s="641" t="s">
        <v>45</v>
      </c>
      <c r="E252" s="180" t="s">
        <v>251</v>
      </c>
      <c r="F252" s="180"/>
      <c r="G252" s="180"/>
      <c r="H252" s="201" t="s">
        <v>160</v>
      </c>
      <c r="I252" s="114"/>
      <c r="J252" s="202">
        <f t="shared" si="214"/>
        <v>0</v>
      </c>
      <c r="K252" s="195"/>
      <c r="L252" s="195"/>
      <c r="M252" s="202">
        <f t="shared" si="215"/>
        <v>0</v>
      </c>
      <c r="N252" s="114"/>
      <c r="O252" s="273"/>
      <c r="P252" s="168">
        <f>IF(OR(P$110=0,P$111&lt;=8),0,P$110*f_P_rencold*INDEX(bibliotheek!$E$195:$AC$195,MATCH(P$83,toestellen_KOEL_kopregel,0)))</f>
        <v>0</v>
      </c>
      <c r="Q252" s="273"/>
      <c r="R252" s="273"/>
      <c r="S252" s="273"/>
      <c r="T252" s="273"/>
      <c r="U252" s="273"/>
      <c r="V252" s="273"/>
      <c r="W252" s="273"/>
      <c r="X252" s="113"/>
      <c r="Y252" s="202">
        <f t="shared" si="216"/>
        <v>0</v>
      </c>
      <c r="Z252" s="114"/>
      <c r="AA252" s="273"/>
      <c r="AB252" s="168">
        <f>IF(OR(AB$110=0,AB$111&lt;=8),0,AB$110*f_P_rencold*INDEX(bibliotheek!$E$195:$AC$195,MATCH(AB$83,toestellen_KOEL_kopregel,0)))</f>
        <v>0</v>
      </c>
      <c r="AC252" s="273"/>
      <c r="AD252" s="273"/>
      <c r="AE252" s="273"/>
      <c r="AF252" s="273"/>
      <c r="AG252" s="273"/>
      <c r="AH252" s="273"/>
      <c r="AI252" s="273"/>
      <c r="AJ252" s="113"/>
      <c r="AK252" s="202">
        <f t="shared" si="217"/>
        <v>0</v>
      </c>
      <c r="AL252" s="191"/>
      <c r="AM252" s="273"/>
      <c r="AN252" s="168">
        <f>IF(OR(AN$110=0,AN$111&lt;=8),0,AN$110*f_P_rencold*INDEX(bibliotheek!$E$195:$AC$195,MATCH(AN$83,toestellen_KOEL_kopregel,0)))</f>
        <v>0</v>
      </c>
      <c r="AO252" s="273"/>
      <c r="AP252" s="273"/>
      <c r="AQ252" s="273"/>
      <c r="AR252" s="273"/>
      <c r="AS252" s="273"/>
      <c r="AT252" s="273"/>
      <c r="AU252" s="273"/>
      <c r="AV252" s="191"/>
      <c r="AW252" s="202">
        <f t="shared" si="218"/>
        <v>0</v>
      </c>
      <c r="AX252" s="191"/>
      <c r="AY252" s="273"/>
      <c r="AZ252" s="168">
        <f>IF(OR(AZ$110=0,AZ$111&lt;=8),0,AZ$110*f_P_rencold*INDEX(bibliotheek!$E$195:$AC$195,MATCH(AZ$83,toestellen_KOEL_kopregel,0)))</f>
        <v>0</v>
      </c>
      <c r="BA252" s="273"/>
      <c r="BB252" s="273"/>
      <c r="BC252" s="273"/>
      <c r="BD252" s="273"/>
      <c r="BE252" s="273"/>
      <c r="BF252" s="273"/>
      <c r="BG252" s="273"/>
      <c r="BH252" s="210"/>
    </row>
    <row r="253" spans="1:60">
      <c r="A253" s="1040"/>
      <c r="B253" s="1109" t="s">
        <v>249</v>
      </c>
      <c r="C253" s="1107" t="s">
        <v>104</v>
      </c>
      <c r="D253" s="641" t="s">
        <v>45</v>
      </c>
      <c r="E253" s="180" t="s">
        <v>252</v>
      </c>
      <c r="F253" s="180"/>
      <c r="G253" s="180"/>
      <c r="H253" s="201" t="s">
        <v>160</v>
      </c>
      <c r="I253" s="114"/>
      <c r="J253" s="202">
        <f t="shared" si="214"/>
        <v>0</v>
      </c>
      <c r="K253" s="195"/>
      <c r="L253" s="195"/>
      <c r="M253" s="202">
        <f t="shared" si="215"/>
        <v>0</v>
      </c>
      <c r="N253" s="114"/>
      <c r="O253" s="168">
        <f>IF(OR(O$110=0,LEFT(O$106,2)&lt;&gt;"bm"),0,O$110*INDEX(energiedragers_fPren,MATCH(O$105,energiedragers_namen,0)))+
IF(OR(O$144=0,LEFT(O$142,2)&lt;&gt;"bm"),0,O$144*INDEX(energiedragers_fPren,MATCH(O$141,energiedragers_namen,0)))</f>
        <v>0</v>
      </c>
      <c r="P253" s="273"/>
      <c r="Q253" s="168">
        <f>IF(OR(Q$110=0,LEFT(Q$106,2)&lt;&gt;"bm"),0,Q$110*INDEX(energiedragers_fPren,MATCH(Q$105,energiedragers_namen,0)))+
IF(OR(Q$144=0,LEFT(Q$142,2)&lt;&gt;"bm"),0,Q$144*INDEX(energiedragers_fPren,MATCH(Q$141,energiedragers_namen,0)))</f>
        <v>0</v>
      </c>
      <c r="R253" s="273"/>
      <c r="S253" s="273"/>
      <c r="T253" s="273"/>
      <c r="U253" s="273"/>
      <c r="V253" s="273"/>
      <c r="W253" s="273"/>
      <c r="X253" s="113"/>
      <c r="Y253" s="202">
        <f t="shared" si="216"/>
        <v>0</v>
      </c>
      <c r="Z253" s="114"/>
      <c r="AA253" s="168">
        <f>IF(OR(AA$110=0,LEFT(AA$106,2)&lt;&gt;"bm"),0,AA$110*INDEX(energiedragers_fPren,MATCH(AA$105,energiedragers_namen,0)))+
IF(OR(AA$144=0,LEFT(AA$142,2)&lt;&gt;"bm"),0,AA$144*INDEX(energiedragers_fPren,MATCH(AA$141,energiedragers_namen,0)))</f>
        <v>0</v>
      </c>
      <c r="AB253" s="273"/>
      <c r="AC253" s="168">
        <f>IF(OR(AC$110=0,LEFT(AC$106,2)&lt;&gt;"bm"),0,AC$110*INDEX(energiedragers_fPren,MATCH(AC$105,energiedragers_namen,0)))+
IF(OR(AC$144=0,LEFT(AC$142,2)&lt;&gt;"bm"),0,AC$144*INDEX(energiedragers_fPren,MATCH(AC$141,energiedragers_namen,0)))</f>
        <v>0</v>
      </c>
      <c r="AD253" s="273"/>
      <c r="AE253" s="273"/>
      <c r="AF253" s="273"/>
      <c r="AG253" s="273"/>
      <c r="AH253" s="273"/>
      <c r="AI253" s="273"/>
      <c r="AJ253" s="113"/>
      <c r="AK253" s="202">
        <f t="shared" si="217"/>
        <v>0</v>
      </c>
      <c r="AL253" s="191"/>
      <c r="AM253" s="168">
        <f>IF(OR(AM$110=0,LEFT(AM$106,2)&lt;&gt;"bm"),0,AM$110*INDEX(energiedragers_fPren,MATCH(AM$105,energiedragers_namen,0)))+
IF(OR(AM$144=0,LEFT(AM$142,2)&lt;&gt;"bm"),0,AM$144*INDEX(energiedragers_fPren,MATCH(AM$141,energiedragers_namen,0)))</f>
        <v>0</v>
      </c>
      <c r="AN253" s="273"/>
      <c r="AO253" s="168">
        <f>IF(OR(AO$110=0,LEFT(AO$106,2)&lt;&gt;"bm"),0,AO$110*INDEX(energiedragers_fPren,MATCH(AO$105,energiedragers_namen,0)))+
IF(OR(AO$144=0,LEFT(AO$142,2)&lt;&gt;"bm"),0,AO$144*INDEX(energiedragers_fPren,MATCH(AO$141,energiedragers_namen,0)))</f>
        <v>0</v>
      </c>
      <c r="AP253" s="273"/>
      <c r="AQ253" s="273"/>
      <c r="AR253" s="273"/>
      <c r="AS253" s="273"/>
      <c r="AT253" s="273"/>
      <c r="AU253" s="273"/>
      <c r="AV253" s="191"/>
      <c r="AW253" s="202">
        <f t="shared" si="218"/>
        <v>0</v>
      </c>
      <c r="AX253" s="191"/>
      <c r="AY253" s="168">
        <f>IF(OR(AY$110=0,LEFT(AY$106,2)&lt;&gt;"bm"),0,AY$110*INDEX(energiedragers_fPren,MATCH(AY$105,energiedragers_namen,0)))+
IF(OR(AY$144=0,LEFT(AY$142,2)&lt;&gt;"bm"),0,AY$144*INDEX(energiedragers_fPren,MATCH(AY$141,energiedragers_namen,0)))</f>
        <v>0</v>
      </c>
      <c r="AZ253" s="273"/>
      <c r="BA253" s="168">
        <f>IF(OR(BA$110=0,LEFT(BA$106,2)&lt;&gt;"bm"),0,BA$110*INDEX(energiedragers_fPren,MATCH(BA$105,energiedragers_namen,0)))+
IF(OR(BA$144=0,LEFT(BA$142,2)&lt;&gt;"bm"),0,BA$144*INDEX(energiedragers_fPren,MATCH(BA$141,energiedragers_namen,0)))</f>
        <v>0</v>
      </c>
      <c r="BB253" s="273"/>
      <c r="BC253" s="273"/>
      <c r="BD253" s="273"/>
      <c r="BE253" s="273"/>
      <c r="BF253" s="273"/>
      <c r="BG253" s="273"/>
      <c r="BH253" s="210"/>
    </row>
    <row r="254" spans="1:60">
      <c r="A254" s="1040"/>
      <c r="B254" s="1109" t="s">
        <v>249</v>
      </c>
      <c r="C254" s="1107" t="s">
        <v>104</v>
      </c>
      <c r="D254" s="641" t="s">
        <v>45</v>
      </c>
      <c r="E254" s="180" t="s">
        <v>253</v>
      </c>
      <c r="F254" s="180"/>
      <c r="G254" s="180"/>
      <c r="H254" s="201" t="s">
        <v>160</v>
      </c>
      <c r="I254" s="114"/>
      <c r="J254" s="202">
        <f t="shared" si="214"/>
        <v>0</v>
      </c>
      <c r="K254" s="195"/>
      <c r="L254" s="195"/>
      <c r="M254" s="202">
        <f t="shared" si="215"/>
        <v>0</v>
      </c>
      <c r="N254" s="114"/>
      <c r="O254" s="168">
        <f>IF(OR(O$110=0,LEFT(O$106,2)&lt;&gt;"dx"),0,O$110*INDEX(energiedragers_fPren,MATCH(O$105,energiedragers_namen,0)))+
IF(OR(O$144=0,LEFT(O$142,2)&lt;&gt;"dx"),0,O$144*INDEX(energiedragers_fPren,MATCH(O$141,energiedragers_namen,0)))</f>
        <v>0</v>
      </c>
      <c r="P254" s="168">
        <f>IF(OR(P$110=0,LEFT(P$106,2)&lt;&gt;"dx"),0,P$110*INDEX(energiedragers_fPren,MATCH(P$105,energiedragers_namen,0)))+
IF(OR(P$144=0,LEFT(P$142,2)&lt;&gt;"dx"),0,P$144*INDEX(energiedragers_fPren,MATCH(P$141,energiedragers_namen,0)))</f>
        <v>0</v>
      </c>
      <c r="Q254" s="168">
        <f>IF(OR(Q$110=0,LEFT(Q$106,2)&lt;&gt;"dx"),0,Q$110*INDEX(energiedragers_fPren,MATCH(Q$105,energiedragers_namen,0)))+
IF(OR(Q$144=0,LEFT(Q$142,2)&lt;&gt;"dx"),0,Q$144*INDEX(energiedragers_fPren,MATCH(Q$141,energiedragers_namen,0)))</f>
        <v>0</v>
      </c>
      <c r="R254" s="273"/>
      <c r="S254" s="273"/>
      <c r="T254" s="273"/>
      <c r="U254" s="273"/>
      <c r="V254" s="273"/>
      <c r="W254" s="273"/>
      <c r="X254" s="113"/>
      <c r="Y254" s="202">
        <f t="shared" si="216"/>
        <v>0</v>
      </c>
      <c r="Z254" s="114"/>
      <c r="AA254" s="168">
        <f>IF(OR(AA$110=0,LEFT(AA$106,2)&lt;&gt;"dx"),0,AA$110*INDEX(energiedragers_fPren,MATCH(AA$105,energiedragers_namen,0)))+
IF(OR(AA$144=0,LEFT(AA$142,2)&lt;&gt;"dx"),0,AA$144*INDEX(energiedragers_fPren,MATCH(AA$141,energiedragers_namen,0)))</f>
        <v>0</v>
      </c>
      <c r="AB254" s="168">
        <f>IF(OR(AB$110=0,LEFT(AB$106,2)&lt;&gt;"dx"),0,AB$110*INDEX(energiedragers_fPren,MATCH(AB$105,energiedragers_namen,0)))+
IF(OR(AB$144=0,LEFT(AB$142,2)&lt;&gt;"dx"),0,AB$144*INDEX(energiedragers_fPren,MATCH(AB$141,energiedragers_namen,0)))</f>
        <v>0</v>
      </c>
      <c r="AC254" s="168">
        <f>IF(OR(AC$110=0,LEFT(AC$106,2)&lt;&gt;"dx"),0,AC$110*INDEX(energiedragers_fPren,MATCH(AC$105,energiedragers_namen,0)))+
IF(OR(AC$144=0,LEFT(AC$142,2)&lt;&gt;"dx"),0,AC$144*INDEX(energiedragers_fPren,MATCH(AC$141,energiedragers_namen,0)))</f>
        <v>0</v>
      </c>
      <c r="AD254" s="273"/>
      <c r="AE254" s="273"/>
      <c r="AF254" s="273"/>
      <c r="AG254" s="273"/>
      <c r="AH254" s="273"/>
      <c r="AI254" s="273"/>
      <c r="AJ254" s="113"/>
      <c r="AK254" s="202">
        <f t="shared" si="217"/>
        <v>0</v>
      </c>
      <c r="AL254" s="191"/>
      <c r="AM254" s="168">
        <f>IF(OR(AM$110=0,LEFT(AM$106,2)&lt;&gt;"dx"),0,AM$110*INDEX(energiedragers_fPren,MATCH(AM$105,energiedragers_namen,0)))+
IF(OR(AM$144=0,LEFT(AM$142,2)&lt;&gt;"dx"),0,AM$144*INDEX(energiedragers_fPren,MATCH(AM$141,energiedragers_namen,0)))</f>
        <v>0</v>
      </c>
      <c r="AN254" s="168">
        <f>IF(OR(AN$110=0,LEFT(AN$106,2)&lt;&gt;"dx"),0,AN$110*INDEX(energiedragers_fPren,MATCH(AN$105,energiedragers_namen,0)))+
IF(OR(AN$144=0,LEFT(AN$142,2)&lt;&gt;"dx"),0,AN$144*INDEX(energiedragers_fPren,MATCH(AN$141,energiedragers_namen,0)))</f>
        <v>0</v>
      </c>
      <c r="AO254" s="168">
        <f>IF(OR(AO$110=0,LEFT(AO$106,2)&lt;&gt;"dx"),0,AO$110*INDEX(energiedragers_fPren,MATCH(AO$105,energiedragers_namen,0)))+
IF(OR(AO$144=0,LEFT(AO$142,2)&lt;&gt;"dx"),0,AO$144*INDEX(energiedragers_fPren,MATCH(AO$141,energiedragers_namen,0)))</f>
        <v>0</v>
      </c>
      <c r="AP254" s="273"/>
      <c r="AQ254" s="273"/>
      <c r="AR254" s="273"/>
      <c r="AS254" s="273"/>
      <c r="AT254" s="273"/>
      <c r="AU254" s="273"/>
      <c r="AV254" s="191"/>
      <c r="AW254" s="202">
        <f t="shared" si="218"/>
        <v>0</v>
      </c>
      <c r="AX254" s="191"/>
      <c r="AY254" s="168">
        <f>IF(OR(AY$110=0,LEFT(AY$106,2)&lt;&gt;"dx"),0,AY$110*INDEX(energiedragers_fPren,MATCH(AY$105,energiedragers_namen,0)))+
IF(OR(AY$144=0,LEFT(AY$142,2)&lt;&gt;"dx"),0,AY$144*INDEX(energiedragers_fPren,MATCH(AY$141,energiedragers_namen,0)))</f>
        <v>0</v>
      </c>
      <c r="AZ254" s="168">
        <f>IF(OR(AZ$110=0,LEFT(AZ$106,2)&lt;&gt;"dx"),0,AZ$110*INDEX(energiedragers_fPren,MATCH(AZ$105,energiedragers_namen,0)))+
IF(OR(AZ$144=0,LEFT(AZ$142,2)&lt;&gt;"dx"),0,AZ$144*INDEX(energiedragers_fPren,MATCH(AZ$141,energiedragers_namen,0)))</f>
        <v>0</v>
      </c>
      <c r="BA254" s="168">
        <f>IF(OR(BA$110=0,LEFT(BA$106,2)&lt;&gt;"dx"),0,BA$110*INDEX(energiedragers_fPren,MATCH(BA$105,energiedragers_namen,0)))+
IF(OR(BA$144=0,LEFT(BA$142,2)&lt;&gt;"dx"),0,BA$144*INDEX(energiedragers_fPren,MATCH(BA$141,energiedragers_namen,0)))</f>
        <v>0</v>
      </c>
      <c r="BB254" s="273"/>
      <c r="BC254" s="273"/>
      <c r="BD254" s="273"/>
      <c r="BE254" s="273"/>
      <c r="BF254" s="273"/>
      <c r="BG254" s="273"/>
      <c r="BH254" s="210"/>
    </row>
    <row r="255" spans="1:60">
      <c r="A255" s="1040"/>
      <c r="B255" s="1109" t="s">
        <v>249</v>
      </c>
      <c r="C255" s="1107" t="s">
        <v>104</v>
      </c>
      <c r="D255" s="641" t="s">
        <v>45</v>
      </c>
      <c r="E255" s="180" t="s">
        <v>254</v>
      </c>
      <c r="F255" s="180"/>
      <c r="G255" s="180"/>
      <c r="H255" s="201" t="s">
        <v>160</v>
      </c>
      <c r="I255" s="114"/>
      <c r="J255" s="202">
        <f t="shared" si="214"/>
        <v>0</v>
      </c>
      <c r="K255" s="195"/>
      <c r="L255" s="195"/>
      <c r="M255" s="202">
        <f t="shared" si="215"/>
        <v>0</v>
      </c>
      <c r="N255" s="114"/>
      <c r="O255" s="273"/>
      <c r="P255" s="168">
        <f>IF(OR(P$110=0,LEFT(P$106,2)&lt;&gt;"dx"),0,P$110*INDEX(energiedragers_fPren,MATCH(P$105,energiedragers_namen,0))+
IF(OR(P$144=0,LEFT(P$142,2)&lt;&gt;"dx"),0,P$144*INDEX(energiedragers_fPren,MATCH(P$141,energiedragers_namen,0))))</f>
        <v>0</v>
      </c>
      <c r="Q255" s="273"/>
      <c r="R255" s="273"/>
      <c r="S255" s="273"/>
      <c r="T255" s="273"/>
      <c r="U255" s="273"/>
      <c r="V255" s="273"/>
      <c r="W255" s="273"/>
      <c r="X255" s="113"/>
      <c r="Y255" s="202">
        <f t="shared" si="216"/>
        <v>0</v>
      </c>
      <c r="Z255" s="114"/>
      <c r="AA255" s="273"/>
      <c r="AB255" s="168">
        <f>IF(OR(AB$110=0,LEFT(AB$106,2)&lt;&gt;"dx"),0,AB$110*INDEX(energiedragers_fPren,MATCH(AB$105,energiedragers_namen,0))+
IF(OR(AB$144=0,LEFT(AB$142,2)&lt;&gt;"dx"),0,AB$144*INDEX(energiedragers_fPren,MATCH(AB$141,energiedragers_namen,0))))</f>
        <v>0</v>
      </c>
      <c r="AC255" s="273"/>
      <c r="AD255" s="273"/>
      <c r="AE255" s="273"/>
      <c r="AF255" s="273"/>
      <c r="AG255" s="273"/>
      <c r="AH255" s="273"/>
      <c r="AI255" s="273"/>
      <c r="AJ255" s="113"/>
      <c r="AK255" s="202">
        <f t="shared" si="217"/>
        <v>0</v>
      </c>
      <c r="AL255" s="191"/>
      <c r="AM255" s="273"/>
      <c r="AN255" s="168">
        <f>IF(OR(AN$110=0,LEFT(AN$106,2)&lt;&gt;"dx"),0,AN$110*INDEX(energiedragers_fPren,MATCH(AN$105,energiedragers_namen,0))+
IF(OR(AN$144=0,LEFT(AN$142,2)&lt;&gt;"dx"),0,AN$144*INDEX(energiedragers_fPren,MATCH(AN$141,energiedragers_namen,0))))</f>
        <v>0</v>
      </c>
      <c r="AO255" s="273"/>
      <c r="AP255" s="273"/>
      <c r="AQ255" s="273"/>
      <c r="AR255" s="273"/>
      <c r="AS255" s="273"/>
      <c r="AT255" s="273"/>
      <c r="AU255" s="273"/>
      <c r="AV255" s="191"/>
      <c r="AW255" s="202">
        <f t="shared" si="218"/>
        <v>0</v>
      </c>
      <c r="AX255" s="191"/>
      <c r="AY255" s="273"/>
      <c r="AZ255" s="168">
        <f>IF(OR(AZ$110=0,LEFT(AZ$106,2)&lt;&gt;"dx"),0,AZ$110*INDEX(energiedragers_fPren,MATCH(AZ$105,energiedragers_namen,0))+
IF(OR(AZ$144=0,LEFT(AZ$142,2)&lt;&gt;"dx"),0,AZ$144*INDEX(energiedragers_fPren,MATCH(AZ$141,energiedragers_namen,0))))</f>
        <v>0</v>
      </c>
      <c r="BA255" s="273"/>
      <c r="BB255" s="273"/>
      <c r="BC255" s="273"/>
      <c r="BD255" s="273"/>
      <c r="BE255" s="273"/>
      <c r="BF255" s="273"/>
      <c r="BG255" s="273"/>
      <c r="BH255" s="210"/>
    </row>
    <row r="256" spans="1:60">
      <c r="A256" s="1040"/>
      <c r="B256" s="1109" t="s">
        <v>249</v>
      </c>
      <c r="C256" s="1107" t="s">
        <v>104</v>
      </c>
      <c r="D256" s="641" t="s">
        <v>45</v>
      </c>
      <c r="E256" s="180" t="s">
        <v>255</v>
      </c>
      <c r="F256" s="180"/>
      <c r="G256" s="180"/>
      <c r="H256" s="201" t="s">
        <v>160</v>
      </c>
      <c r="I256" s="114"/>
      <c r="J256" s="202">
        <f t="shared" si="214"/>
        <v>0</v>
      </c>
      <c r="K256" s="195"/>
      <c r="L256" s="195"/>
      <c r="M256" s="202">
        <f t="shared" si="215"/>
        <v>0</v>
      </c>
      <c r="N256" s="114"/>
      <c r="O256" s="168">
        <f>O$91*f_P_renheat</f>
        <v>0</v>
      </c>
      <c r="P256" s="273"/>
      <c r="Q256" s="168">
        <f>Q$91*f_P_renheat</f>
        <v>0</v>
      </c>
      <c r="R256" s="273"/>
      <c r="S256" s="273"/>
      <c r="T256" s="273"/>
      <c r="U256" s="273"/>
      <c r="V256" s="273"/>
      <c r="W256" s="273"/>
      <c r="X256" s="108"/>
      <c r="Y256" s="202">
        <f t="shared" si="216"/>
        <v>0</v>
      </c>
      <c r="Z256" s="114"/>
      <c r="AA256" s="168">
        <f>AA$91*f_P_renheat</f>
        <v>0</v>
      </c>
      <c r="AB256" s="273"/>
      <c r="AC256" s="168">
        <f>AC$91*f_P_renheat</f>
        <v>0</v>
      </c>
      <c r="AD256" s="273"/>
      <c r="AE256" s="273"/>
      <c r="AF256" s="273"/>
      <c r="AG256" s="273"/>
      <c r="AH256" s="273"/>
      <c r="AI256" s="273"/>
      <c r="AJ256" s="108"/>
      <c r="AK256" s="202">
        <f t="shared" si="217"/>
        <v>0</v>
      </c>
      <c r="AL256" s="191"/>
      <c r="AM256" s="168">
        <f>AM$91*f_P_renheat</f>
        <v>0</v>
      </c>
      <c r="AN256" s="273"/>
      <c r="AO256" s="168">
        <f>AO$91*f_P_renheat</f>
        <v>0</v>
      </c>
      <c r="AP256" s="273"/>
      <c r="AQ256" s="273"/>
      <c r="AR256" s="273"/>
      <c r="AS256" s="273"/>
      <c r="AT256" s="273"/>
      <c r="AU256" s="273"/>
      <c r="AV256" s="191"/>
      <c r="AW256" s="202">
        <f t="shared" si="218"/>
        <v>0</v>
      </c>
      <c r="AX256" s="191"/>
      <c r="AY256" s="168">
        <f>AY$91*f_P_renheat</f>
        <v>0</v>
      </c>
      <c r="AZ256" s="273"/>
      <c r="BA256" s="168">
        <f>BA$91*f_P_renheat</f>
        <v>0</v>
      </c>
      <c r="BB256" s="273"/>
      <c r="BC256" s="273"/>
      <c r="BD256" s="273"/>
      <c r="BE256" s="273"/>
      <c r="BF256" s="273"/>
      <c r="BG256" s="273"/>
      <c r="BH256" s="174"/>
    </row>
    <row r="257" spans="1:60">
      <c r="A257" s="1040"/>
      <c r="B257" s="1109" t="s">
        <v>249</v>
      </c>
      <c r="C257" s="1107" t="s">
        <v>104</v>
      </c>
      <c r="D257" s="641" t="s">
        <v>45</v>
      </c>
      <c r="E257" s="180" t="s">
        <v>256</v>
      </c>
      <c r="F257" s="180"/>
      <c r="G257" s="180"/>
      <c r="H257" s="201" t="s">
        <v>160</v>
      </c>
      <c r="I257" s="114"/>
      <c r="J257" s="202">
        <f t="shared" si="214"/>
        <v>0</v>
      </c>
      <c r="K257" s="195"/>
      <c r="L257" s="195"/>
      <c r="M257" s="202">
        <f t="shared" si="215"/>
        <v>0</v>
      </c>
      <c r="N257" s="114"/>
      <c r="O257" s="273"/>
      <c r="P257" s="273"/>
      <c r="Q257" s="273"/>
      <c r="R257" s="273"/>
      <c r="S257" s="273"/>
      <c r="T257" s="273"/>
      <c r="U257" s="273"/>
      <c r="V257" s="273"/>
      <c r="W257" s="168">
        <f>M73*f_P_renelect</f>
        <v>0</v>
      </c>
      <c r="X257" s="113"/>
      <c r="Y257" s="202">
        <f t="shared" si="216"/>
        <v>0</v>
      </c>
      <c r="Z257" s="114"/>
      <c r="AA257" s="273"/>
      <c r="AB257" s="273"/>
      <c r="AC257" s="273"/>
      <c r="AD257" s="273"/>
      <c r="AE257" s="273"/>
      <c r="AF257" s="273"/>
      <c r="AG257" s="273"/>
      <c r="AH257" s="273"/>
      <c r="AI257" s="168">
        <f>Y73*f_P_renelect</f>
        <v>0</v>
      </c>
      <c r="AJ257" s="113"/>
      <c r="AK257" s="202">
        <f t="shared" si="217"/>
        <v>0</v>
      </c>
      <c r="AL257" s="191"/>
      <c r="AM257" s="273"/>
      <c r="AN257" s="273"/>
      <c r="AO257" s="273"/>
      <c r="AP257" s="273"/>
      <c r="AQ257" s="273"/>
      <c r="AR257" s="273"/>
      <c r="AS257" s="273"/>
      <c r="AT257" s="273"/>
      <c r="AU257" s="168">
        <f>AK73*f_P_renelect</f>
        <v>0</v>
      </c>
      <c r="AV257" s="191"/>
      <c r="AW257" s="202">
        <f t="shared" si="218"/>
        <v>0</v>
      </c>
      <c r="AX257" s="191"/>
      <c r="AY257" s="273"/>
      <c r="AZ257" s="273"/>
      <c r="BA257" s="273"/>
      <c r="BB257" s="273"/>
      <c r="BC257" s="273"/>
      <c r="BD257" s="273"/>
      <c r="BE257" s="273"/>
      <c r="BF257" s="273"/>
      <c r="BG257" s="168">
        <f>AW73*f_P_renelect</f>
        <v>0</v>
      </c>
      <c r="BH257" s="210"/>
    </row>
    <row r="258" spans="1:60">
      <c r="A258" s="1040"/>
      <c r="B258" s="1109" t="s">
        <v>249</v>
      </c>
      <c r="C258" s="1107" t="s">
        <v>104</v>
      </c>
      <c r="D258" s="638"/>
      <c r="E258" s="180" t="s">
        <v>232</v>
      </c>
      <c r="F258" s="180"/>
      <c r="G258" s="180"/>
      <c r="H258" s="201" t="s">
        <v>160</v>
      </c>
      <c r="I258" s="114"/>
      <c r="J258" s="202">
        <f>SUM(J251:J257)</f>
        <v>0</v>
      </c>
      <c r="K258" s="195"/>
      <c r="L258" s="195"/>
      <c r="M258" s="202">
        <f>SUM(M251:M257)</f>
        <v>0</v>
      </c>
      <c r="N258" s="114"/>
      <c r="O258" s="168">
        <f t="shared" ref="O258:W258" si="219">SUM(O251:O257)</f>
        <v>0</v>
      </c>
      <c r="P258" s="168">
        <f t="shared" si="219"/>
        <v>0</v>
      </c>
      <c r="Q258" s="168">
        <f t="shared" si="219"/>
        <v>0</v>
      </c>
      <c r="R258" s="273"/>
      <c r="S258" s="273"/>
      <c r="T258" s="273"/>
      <c r="U258" s="273"/>
      <c r="V258" s="273"/>
      <c r="W258" s="168">
        <f t="shared" si="219"/>
        <v>0</v>
      </c>
      <c r="X258" s="113"/>
      <c r="Y258" s="202">
        <f>SUM(Y251:Y257)</f>
        <v>0</v>
      </c>
      <c r="Z258" s="114"/>
      <c r="AA258" s="168">
        <f>SUM(AA251:AA257)</f>
        <v>0</v>
      </c>
      <c r="AB258" s="168">
        <f>SUM(AB251:AB257)</f>
        <v>0</v>
      </c>
      <c r="AC258" s="168">
        <f>SUM(AC251:AC257)</f>
        <v>0</v>
      </c>
      <c r="AD258" s="273"/>
      <c r="AE258" s="273"/>
      <c r="AF258" s="273"/>
      <c r="AG258" s="273"/>
      <c r="AH258" s="273"/>
      <c r="AI258" s="168">
        <f>SUM(AI251:AI257)</f>
        <v>0</v>
      </c>
      <c r="AJ258" s="113"/>
      <c r="AK258" s="202">
        <f>SUM(AK251:AK257)</f>
        <v>0</v>
      </c>
      <c r="AL258" s="191"/>
      <c r="AM258" s="168">
        <f>SUM(AM251:AM257)</f>
        <v>0</v>
      </c>
      <c r="AN258" s="168">
        <f>SUM(AN251:AN257)</f>
        <v>0</v>
      </c>
      <c r="AO258" s="168">
        <f>SUM(AO251:AO257)</f>
        <v>0</v>
      </c>
      <c r="AP258" s="273"/>
      <c r="AQ258" s="273"/>
      <c r="AR258" s="273"/>
      <c r="AS258" s="273"/>
      <c r="AT258" s="273"/>
      <c r="AU258" s="168">
        <f>SUM(AU251:AU257)</f>
        <v>0</v>
      </c>
      <c r="AV258" s="191"/>
      <c r="AW258" s="202">
        <f>SUM(AW251:AW257)</f>
        <v>0</v>
      </c>
      <c r="AX258" s="191"/>
      <c r="AY258" s="168">
        <f>SUM(AY251:AY257)</f>
        <v>0</v>
      </c>
      <c r="AZ258" s="168">
        <f>SUM(AZ251:AZ257)</f>
        <v>0</v>
      </c>
      <c r="BA258" s="168">
        <f>SUM(BA251:BA257)</f>
        <v>0</v>
      </c>
      <c r="BB258" s="273"/>
      <c r="BC258" s="273"/>
      <c r="BD258" s="273"/>
      <c r="BE258" s="273"/>
      <c r="BF258" s="273"/>
      <c r="BG258" s="168">
        <f>SUM(BG251:BG257)</f>
        <v>0</v>
      </c>
      <c r="BH258" s="210"/>
    </row>
    <row r="259" spans="1:60">
      <c r="A259" s="1040"/>
      <c r="B259" s="1109" t="s">
        <v>249</v>
      </c>
      <c r="C259" s="1106" t="s">
        <v>96</v>
      </c>
      <c r="D259" s="638"/>
      <c r="E259" s="79"/>
      <c r="F259" s="79"/>
      <c r="G259" s="79"/>
      <c r="H259" s="85"/>
      <c r="I259" s="79"/>
      <c r="J259" s="82"/>
      <c r="K259" s="79"/>
      <c r="L259" s="79"/>
      <c r="M259" s="82"/>
      <c r="N259" s="79"/>
      <c r="O259" s="82"/>
      <c r="P259" s="82"/>
      <c r="Q259" s="82"/>
      <c r="R259" s="82"/>
      <c r="S259" s="82"/>
      <c r="T259" s="82"/>
      <c r="U259" s="82"/>
      <c r="V259" s="82"/>
      <c r="W259" s="82"/>
      <c r="X259" s="82"/>
      <c r="Y259" s="82"/>
      <c r="Z259" s="79"/>
      <c r="AA259" s="82"/>
      <c r="AB259" s="82"/>
      <c r="AC259" s="82"/>
      <c r="AD259" s="82"/>
      <c r="AE259" s="82"/>
      <c r="AF259" s="82"/>
      <c r="AG259" s="82"/>
      <c r="AH259" s="82"/>
      <c r="AI259" s="82"/>
      <c r="AJ259" s="82"/>
      <c r="AK259" s="82"/>
      <c r="AL259" s="79"/>
      <c r="AM259" s="82"/>
      <c r="AN259" s="82"/>
      <c r="AO259" s="82"/>
      <c r="AP259" s="82"/>
      <c r="AQ259" s="82"/>
      <c r="AR259" s="82"/>
      <c r="AS259" s="82"/>
      <c r="AT259" s="82"/>
      <c r="AU259" s="82"/>
      <c r="AV259" s="191"/>
      <c r="AW259" s="82"/>
      <c r="AX259" s="79"/>
      <c r="AY259" s="82"/>
      <c r="AZ259" s="82"/>
      <c r="BA259" s="82"/>
      <c r="BB259" s="82"/>
      <c r="BC259" s="82"/>
      <c r="BD259" s="82"/>
      <c r="BE259" s="82"/>
      <c r="BF259" s="82"/>
      <c r="BG259" s="82"/>
      <c r="BH259" s="1"/>
    </row>
    <row r="260" spans="1:60">
      <c r="A260" s="1040"/>
      <c r="B260" s="1109" t="s">
        <v>257</v>
      </c>
      <c r="C260" s="1107" t="s">
        <v>96</v>
      </c>
      <c r="D260" s="638"/>
      <c r="E260" s="79"/>
      <c r="F260" s="79"/>
      <c r="G260" s="79"/>
      <c r="H260" s="85"/>
      <c r="I260" s="122"/>
      <c r="J260" s="82"/>
      <c r="K260" s="79"/>
      <c r="L260" s="79"/>
      <c r="M260" s="82"/>
      <c r="N260" s="79"/>
      <c r="O260" s="85"/>
      <c r="P260" s="85"/>
      <c r="Q260" s="82"/>
      <c r="R260" s="82"/>
      <c r="S260" s="82"/>
      <c r="T260" s="82"/>
      <c r="U260" s="82"/>
      <c r="V260" s="82"/>
      <c r="W260" s="82"/>
      <c r="X260" s="82"/>
      <c r="Y260" s="82"/>
      <c r="Z260" s="79"/>
      <c r="AA260" s="85"/>
      <c r="AB260" s="85"/>
      <c r="AC260" s="82"/>
      <c r="AD260" s="82"/>
      <c r="AE260" s="82"/>
      <c r="AF260" s="82"/>
      <c r="AG260" s="82"/>
      <c r="AH260" s="82"/>
      <c r="AI260" s="82"/>
      <c r="AJ260" s="82"/>
      <c r="AK260" s="82"/>
      <c r="AL260" s="79"/>
      <c r="AM260" s="85"/>
      <c r="AN260" s="85"/>
      <c r="AO260" s="82"/>
      <c r="AP260" s="82"/>
      <c r="AQ260" s="82"/>
      <c r="AR260" s="82"/>
      <c r="AS260" s="82"/>
      <c r="AT260" s="82"/>
      <c r="AU260" s="82"/>
      <c r="AV260" s="82"/>
      <c r="AW260" s="82"/>
      <c r="AX260" s="79"/>
      <c r="AY260" s="113"/>
      <c r="AZ260" s="82"/>
      <c r="BA260" s="82"/>
      <c r="BB260" s="82"/>
      <c r="BC260" s="82"/>
      <c r="BD260" s="82"/>
      <c r="BE260" s="82"/>
      <c r="BF260" s="82"/>
      <c r="BG260" s="82"/>
      <c r="BH260" s="1"/>
    </row>
    <row r="261" spans="1:60" ht="21">
      <c r="A261" s="1040"/>
      <c r="B261" s="1109" t="s">
        <v>257</v>
      </c>
      <c r="C261" s="1106" t="s">
        <v>96</v>
      </c>
      <c r="D261" s="643"/>
      <c r="E261" s="1181" t="s">
        <v>1358</v>
      </c>
      <c r="F261" s="1181"/>
      <c r="G261" s="1181"/>
      <c r="H261" s="1181"/>
      <c r="I261" s="77"/>
      <c r="J261" s="200" t="str">
        <f>J$10</f>
        <v>alle locaties</v>
      </c>
      <c r="K261" s="126"/>
      <c r="L261" s="126"/>
      <c r="M261" s="200" t="str">
        <f>M$10</f>
        <v>locatie 1</v>
      </c>
      <c r="N261" s="182"/>
      <c r="O261" s="966" t="str">
        <f>$E261&amp;" per energiepost"</f>
        <v>primaire fossiele energiefactor installaties buiten de locatie per energiepost</v>
      </c>
      <c r="P261" s="941"/>
      <c r="Q261" s="941"/>
      <c r="R261" s="941"/>
      <c r="S261" s="941"/>
      <c r="T261" s="941"/>
      <c r="U261" s="941"/>
      <c r="V261" s="941"/>
      <c r="W261" s="956"/>
      <c r="X261" s="174"/>
      <c r="Y261" s="200" t="str">
        <f>Y$10</f>
        <v>locatie 2</v>
      </c>
      <c r="Z261" s="182"/>
      <c r="AA261" s="966" t="str">
        <f>$E261&amp;" per energiepost"</f>
        <v>primaire fossiele energiefactor installaties buiten de locatie per energiepost</v>
      </c>
      <c r="AB261" s="941"/>
      <c r="AC261" s="941"/>
      <c r="AD261" s="941"/>
      <c r="AE261" s="941"/>
      <c r="AF261" s="941"/>
      <c r="AG261" s="941"/>
      <c r="AH261" s="941"/>
      <c r="AI261" s="956"/>
      <c r="AJ261" s="174"/>
      <c r="AK261" s="200" t="str">
        <f>AK$10</f>
        <v>locatie 3</v>
      </c>
      <c r="AL261" s="182"/>
      <c r="AM261" s="966" t="str">
        <f>$E261&amp;" per energiepost"</f>
        <v>primaire fossiele energiefactor installaties buiten de locatie per energiepost</v>
      </c>
      <c r="AN261" s="941"/>
      <c r="AO261" s="941"/>
      <c r="AP261" s="941"/>
      <c r="AQ261" s="941"/>
      <c r="AR261" s="941"/>
      <c r="AS261" s="941"/>
      <c r="AT261" s="941"/>
      <c r="AU261" s="956"/>
      <c r="AV261" s="174"/>
      <c r="AW261" s="200" t="str">
        <f>AW$10</f>
        <v>locatie 4</v>
      </c>
      <c r="AX261" s="182"/>
      <c r="AY261" s="966" t="str">
        <f>$E261&amp;" per energiepost"</f>
        <v>primaire fossiele energiefactor installaties buiten de locatie per energiepost</v>
      </c>
      <c r="AZ261" s="941"/>
      <c r="BA261" s="941"/>
      <c r="BB261" s="941"/>
      <c r="BC261" s="941"/>
      <c r="BD261" s="941"/>
      <c r="BE261" s="941"/>
      <c r="BF261" s="941"/>
      <c r="BG261" s="956"/>
      <c r="BH261" s="1"/>
    </row>
    <row r="262" spans="1:60">
      <c r="A262" s="1040"/>
      <c r="B262" s="1109" t="s">
        <v>257</v>
      </c>
      <c r="C262" s="1106" t="s">
        <v>96</v>
      </c>
      <c r="D262" s="638"/>
      <c r="E262" s="940" t="s">
        <v>1316</v>
      </c>
      <c r="F262" s="940"/>
      <c r="G262" s="940"/>
      <c r="H262" s="940"/>
      <c r="I262" s="77"/>
      <c r="J262" s="939"/>
      <c r="K262" s="126"/>
      <c r="L262" s="126"/>
      <c r="M262" s="938"/>
      <c r="N262" s="191"/>
      <c r="O262" s="177" t="str">
        <f>O$10</f>
        <v>verwarming</v>
      </c>
      <c r="P262" s="177" t="str">
        <f>P$10</f>
        <v>koeling</v>
      </c>
      <c r="Q262" s="177" t="str">
        <f>Q$10</f>
        <v>tapwater</v>
      </c>
      <c r="R262" s="177"/>
      <c r="S262" s="177"/>
      <c r="T262" s="177"/>
      <c r="U262" s="177"/>
      <c r="V262" s="177"/>
      <c r="W262" s="177"/>
      <c r="X262" s="191"/>
      <c r="Y262" s="938"/>
      <c r="Z262" s="191"/>
      <c r="AA262" s="177" t="str">
        <f>AA$10</f>
        <v>verwarming</v>
      </c>
      <c r="AB262" s="177" t="str">
        <f>AB$10</f>
        <v>koeling</v>
      </c>
      <c r="AC262" s="177" t="str">
        <f>AC$10</f>
        <v>tapwater</v>
      </c>
      <c r="AD262" s="177"/>
      <c r="AE262" s="177"/>
      <c r="AF262" s="177"/>
      <c r="AG262" s="177"/>
      <c r="AH262" s="177"/>
      <c r="AI262" s="177"/>
      <c r="AJ262" s="191"/>
      <c r="AK262" s="938"/>
      <c r="AL262" s="191"/>
      <c r="AM262" s="177" t="str">
        <f>AM$10</f>
        <v>verwarming</v>
      </c>
      <c r="AN262" s="177" t="str">
        <f>AN$10</f>
        <v>koeling</v>
      </c>
      <c r="AO262" s="177" t="str">
        <f>AO$10</f>
        <v>tapwater</v>
      </c>
      <c r="AP262" s="177"/>
      <c r="AQ262" s="177"/>
      <c r="AR262" s="177"/>
      <c r="AS262" s="177"/>
      <c r="AT262" s="177"/>
      <c r="AU262" s="177"/>
      <c r="AV262" s="191"/>
      <c r="AW262" s="938"/>
      <c r="AX262" s="191"/>
      <c r="AY262" s="177" t="str">
        <f>AY$10</f>
        <v>verwarming</v>
      </c>
      <c r="AZ262" s="177" t="str">
        <f>AZ$10</f>
        <v>koeling</v>
      </c>
      <c r="BA262" s="177" t="str">
        <f>BA$10</f>
        <v>tapwater</v>
      </c>
      <c r="BB262" s="177"/>
      <c r="BC262" s="177"/>
      <c r="BD262" s="177"/>
      <c r="BE262" s="177"/>
      <c r="BF262" s="177"/>
      <c r="BG262" s="177"/>
      <c r="BH262" s="36"/>
    </row>
    <row r="263" spans="1:60">
      <c r="A263" s="1040"/>
      <c r="B263" s="1109" t="s">
        <v>257</v>
      </c>
      <c r="C263" s="1107" t="s">
        <v>104</v>
      </c>
      <c r="D263" s="638"/>
      <c r="E263" s="180" t="s">
        <v>259</v>
      </c>
      <c r="F263" s="180"/>
      <c r="G263" s="180"/>
      <c r="H263" s="201" t="s">
        <v>65</v>
      </c>
      <c r="I263" s="114"/>
      <c r="J263" s="226"/>
      <c r="K263" s="234"/>
      <c r="L263" s="234"/>
      <c r="M263" s="202" t="str">
        <f>CONCATENATE(O263,"/",Q263)</f>
        <v>gebouw/gebouw</v>
      </c>
      <c r="N263" s="89"/>
      <c r="O263" s="168" t="str">
        <f>IF(O83=geen,"-",O84)</f>
        <v>gebouw</v>
      </c>
      <c r="P263" s="168" t="str">
        <f>IF(P83=geen,"-",P84)</f>
        <v>-</v>
      </c>
      <c r="Q263" s="168" t="str">
        <f>IF(Q83=geen,"-",Q84)</f>
        <v>gebouw</v>
      </c>
      <c r="R263" s="273"/>
      <c r="S263" s="273"/>
      <c r="T263" s="273"/>
      <c r="U263" s="273"/>
      <c r="V263" s="273"/>
      <c r="W263" s="273"/>
      <c r="X263" s="113"/>
      <c r="Y263" s="202" t="str">
        <f>CONCATENATE(AA263,"/",AC263)</f>
        <v>gebouw/gebouw</v>
      </c>
      <c r="Z263" s="89"/>
      <c r="AA263" s="168" t="str">
        <f>IF(AA83=geen,"-",AA84)</f>
        <v>gebouw</v>
      </c>
      <c r="AB263" s="168" t="str">
        <f>IF(AB83=geen,"-",AB84)</f>
        <v>-</v>
      </c>
      <c r="AC263" s="168" t="str">
        <f>IF(AC83=geen,"-",AC84)</f>
        <v>gebouw</v>
      </c>
      <c r="AD263" s="273"/>
      <c r="AE263" s="273"/>
      <c r="AF263" s="273"/>
      <c r="AG263" s="273"/>
      <c r="AH263" s="273"/>
      <c r="AI263" s="273"/>
      <c r="AJ263" s="113"/>
      <c r="AK263" s="202" t="str">
        <f>CONCATENATE(AM263,"/",AO263)</f>
        <v>gebouw/gebouw</v>
      </c>
      <c r="AL263" s="89"/>
      <c r="AM263" s="168" t="str">
        <f>IF(AM83=geen,"-",AM84)</f>
        <v>gebouw</v>
      </c>
      <c r="AN263" s="168" t="str">
        <f>IF(AN83=geen,"-",AN84)</f>
        <v>-</v>
      </c>
      <c r="AO263" s="168" t="str">
        <f>IF(AO83=geen,"-",AO84)</f>
        <v>gebouw</v>
      </c>
      <c r="AP263" s="273"/>
      <c r="AQ263" s="273"/>
      <c r="AR263" s="273"/>
      <c r="AS263" s="273"/>
      <c r="AT263" s="273"/>
      <c r="AU263" s="273"/>
      <c r="AV263" s="113"/>
      <c r="AW263" s="202" t="str">
        <f>CONCATENATE(AY263,"/",BA263)</f>
        <v>gebouw/gebouw</v>
      </c>
      <c r="AX263" s="89"/>
      <c r="AY263" s="168" t="str">
        <f>IF(AY83=geen,"-",AY84)</f>
        <v>gebouw</v>
      </c>
      <c r="AZ263" s="168" t="str">
        <f>IF(AZ83=geen,"-",AZ84)</f>
        <v>-</v>
      </c>
      <c r="BA263" s="168" t="str">
        <f>IF(BA83=geen,"-",BA84)</f>
        <v>gebouw</v>
      </c>
      <c r="BB263" s="168"/>
      <c r="BC263" s="273"/>
      <c r="BD263" s="273"/>
      <c r="BE263" s="273"/>
      <c r="BF263" s="273"/>
      <c r="BG263" s="273"/>
      <c r="BH263" s="210"/>
    </row>
    <row r="264" spans="1:60">
      <c r="A264" s="1040"/>
      <c r="B264" s="1109" t="s">
        <v>257</v>
      </c>
      <c r="C264" s="1107" t="s">
        <v>104</v>
      </c>
      <c r="D264" s="638"/>
      <c r="E264" s="1123" t="s">
        <v>1347</v>
      </c>
      <c r="F264" s="1123"/>
      <c r="G264" s="180"/>
      <c r="H264" s="201" t="s">
        <v>65</v>
      </c>
      <c r="I264" s="114"/>
      <c r="J264" s="226"/>
      <c r="K264" s="232"/>
      <c r="L264" s="232"/>
      <c r="M264" s="226" t="str">
        <f>IF(SUM(O264:Q264)=0,"",((O$263&lt;&gt;gebouw)*(O$120+O$151+O$174-O$214) + (P$263&lt;&gt;gebouw)*(P$120+P$151+P$174-P$214) + (Q$263&lt;&gt;gebouw)*(Q$120+Q$151+Q$174-Q$214) )/  ((O$263&lt;&gt;gebouw)*O$78 + AND(P$263&lt;&gt;gebouw,P$263&lt;&gt;"-")*P$78 + (Q$263&lt;&gt;gebouw)*Q$78) )</f>
        <v/>
      </c>
      <c r="N264" s="233"/>
      <c r="O264" s="227" t="str">
        <f>IF(OR(O$246=0,O$263=gebouw),"-",(O$120+O$151+O$174-O$214)/O$78)</f>
        <v>-</v>
      </c>
      <c r="P264" s="227" t="str">
        <f>IF(OR(P$246=0,P$263=gebouw),"-",(P$120+P$151+P$174-P$214)/P$78)</f>
        <v>-</v>
      </c>
      <c r="Q264" s="227" t="str">
        <f>IF(OR(Q$246=0,Q$263=gebouw),"-",(Q$120+Q$151+Q$174-Q$214)/Q$78)</f>
        <v>-</v>
      </c>
      <c r="R264" s="274"/>
      <c r="S264" s="274"/>
      <c r="T264" s="274"/>
      <c r="U264" s="274"/>
      <c r="V264" s="274"/>
      <c r="W264" s="274"/>
      <c r="X264" s="123"/>
      <c r="Y264" s="226" t="str">
        <f>IF(SUM(AA264:AC264)=0,"",((AA$263&lt;&gt;gebouw)*(AA$120+AA$151+AA$174-AA$214) + (AB$263&lt;&gt;gebouw)*(AB$120+AB$151+AB$174-AB$214) + (AC$263&lt;&gt;gebouw)*(AC$120+AC$151+AC$174-AC$214) )/  ((AA$263&lt;&gt;gebouw)*AA$78 + AND(AB$263&lt;&gt;gebouw,AB$263&lt;&gt;"-")*AB$78 + (AC$263&lt;&gt;gebouw)*AC$78) )</f>
        <v/>
      </c>
      <c r="Z264" s="233"/>
      <c r="AA264" s="227" t="str">
        <f>IF(OR(AA$246=0,AA$263=gebouw),"-",(AA$120+AA$151+AA$174-AA$214)/AA$78)</f>
        <v>-</v>
      </c>
      <c r="AB264" s="227" t="str">
        <f>IF(OR(AB$246=0,AB$263=gebouw),"-",(AB$120+AB$151+AB$174-AB$214)/AB$78)</f>
        <v>-</v>
      </c>
      <c r="AC264" s="227" t="str">
        <f>IF(OR(AC$246=0,AC$263=gebouw),"-",(AC$120+AC$151+AC$174-AC$214)/AC$78)</f>
        <v>-</v>
      </c>
      <c r="AD264" s="274"/>
      <c r="AE264" s="274"/>
      <c r="AF264" s="274"/>
      <c r="AG264" s="274"/>
      <c r="AH264" s="274"/>
      <c r="AI264" s="274"/>
      <c r="AJ264" s="123"/>
      <c r="AK264" s="226" t="str">
        <f>IF(SUM(AM264:AO264)=0,"",((AM$263&lt;&gt;gebouw)*(AM$120+AM$151+AM$174-AM$214) + (AN$263&lt;&gt;gebouw)*(AN$120+AN$151+AN$174-AN$214) + (AO$263&lt;&gt;gebouw)*(AO$120+AO$151+AO$174-AO$214) )/  ((AM$263&lt;&gt;gebouw)*AM$78 + AND(AN$263&lt;&gt;gebouw,AN$263&lt;&gt;"-")*AN$78 + (AO$263&lt;&gt;gebouw)*AO$78) )</f>
        <v/>
      </c>
      <c r="AL264" s="233"/>
      <c r="AM264" s="227" t="str">
        <f>IF(OR(AM$246=0,AM$263=gebouw),"-",(AM$120+AM$151+AM$174-AM$214)/AM$78)</f>
        <v>-</v>
      </c>
      <c r="AN264" s="227" t="str">
        <f>IF(OR(AN$246=0,AN$263=gebouw),"-",(AN$120+AN$151+AN$174-AN$214)/AN$78)</f>
        <v>-</v>
      </c>
      <c r="AO264" s="227" t="str">
        <f>IF(OR(AO$246=0,AO$263=gebouw),"-",(AO$120+AO$151+AO$174-AO$214)/AO$78)</f>
        <v>-</v>
      </c>
      <c r="AP264" s="274"/>
      <c r="AQ264" s="274"/>
      <c r="AR264" s="274"/>
      <c r="AS264" s="274"/>
      <c r="AT264" s="274"/>
      <c r="AU264" s="274"/>
      <c r="AV264" s="123"/>
      <c r="AW264" s="226" t="str">
        <f>IF(SUM(AY264:BA264)=0,"",((AY$263&lt;&gt;gebouw)*(AY$120+AY$151+AY$174-AY$214) + (AZ$263&lt;&gt;gebouw)*(AZ$120+AZ$151+AZ$174-AZ$214) + (BA$263&lt;&gt;gebouw)*(BA$120+BA$151+BA$174-BA$214) )/  ((AY$263&lt;&gt;gebouw)*AY$78 + AND(AZ$263&lt;&gt;gebouw,AZ$263&lt;&gt;"-")*AZ$78 + (BA$263&lt;&gt;gebouw)*BA$78) )</f>
        <v/>
      </c>
      <c r="AX264" s="233"/>
      <c r="AY264" s="227" t="str">
        <f>IF(OR(AY$246=0,AY$263=gebouw),"-",(AY$120+AY$151+AY$174-AY$214)/AY$78)</f>
        <v>-</v>
      </c>
      <c r="AZ264" s="227" t="str">
        <f>IF(OR(AZ$246=0,AZ$263=gebouw),"-",(AZ$120+AZ$151+AZ$174-AZ$214)/AZ$78)</f>
        <v>-</v>
      </c>
      <c r="BA264" s="227" t="str">
        <f>IF(OR(BA$246=0,BA$263=gebouw),"-",(BA$120+BA$151+BA$174-BA$214)/BA$78)</f>
        <v>-</v>
      </c>
      <c r="BB264" s="227"/>
      <c r="BC264" s="274"/>
      <c r="BD264" s="274"/>
      <c r="BE264" s="274"/>
      <c r="BF264" s="274"/>
      <c r="BG264" s="274"/>
      <c r="BH264" s="210"/>
    </row>
    <row r="265" spans="1:60">
      <c r="A265" s="1040"/>
      <c r="B265" s="1109" t="s">
        <v>257</v>
      </c>
      <c r="C265" s="1106" t="s">
        <v>96</v>
      </c>
      <c r="D265" s="638"/>
      <c r="E265" s="79"/>
      <c r="F265" s="79"/>
      <c r="G265" s="79"/>
      <c r="H265" s="85"/>
      <c r="I265" s="79"/>
      <c r="J265" s="82"/>
      <c r="K265" s="79"/>
      <c r="L265" s="79"/>
      <c r="M265" s="597"/>
      <c r="N265" s="79"/>
      <c r="O265" s="82"/>
      <c r="P265" s="82"/>
      <c r="Q265" s="82"/>
      <c r="R265" s="82"/>
      <c r="S265" s="82"/>
      <c r="T265" s="82"/>
      <c r="U265" s="82"/>
      <c r="V265" s="82"/>
      <c r="W265" s="82"/>
      <c r="X265" s="82"/>
      <c r="Y265" s="123"/>
      <c r="Z265" s="79"/>
      <c r="AA265" s="82"/>
      <c r="AB265" s="82"/>
      <c r="AC265" s="82"/>
      <c r="AD265" s="82"/>
      <c r="AE265" s="82"/>
      <c r="AF265" s="82"/>
      <c r="AG265" s="82"/>
      <c r="AH265" s="82"/>
      <c r="AI265" s="82"/>
      <c r="AJ265" s="82"/>
      <c r="AK265" s="82"/>
      <c r="AL265" s="79"/>
      <c r="AM265" s="82"/>
      <c r="AN265" s="82"/>
      <c r="AO265" s="82"/>
      <c r="AP265" s="82"/>
      <c r="AQ265" s="82"/>
      <c r="AR265" s="82"/>
      <c r="AS265" s="82"/>
      <c r="AT265" s="82"/>
      <c r="AU265" s="82"/>
      <c r="AV265" s="82"/>
      <c r="AW265" s="82"/>
      <c r="AX265" s="79"/>
      <c r="AY265" s="79"/>
      <c r="AZ265" s="82"/>
      <c r="BA265" s="82"/>
      <c r="BB265" s="82"/>
      <c r="BC265" s="82"/>
      <c r="BD265" s="82"/>
      <c r="BE265" s="82"/>
      <c r="BF265" s="82"/>
      <c r="BG265" s="82"/>
      <c r="BH265" s="1"/>
    </row>
    <row r="266" spans="1:60">
      <c r="A266" s="1040"/>
      <c r="B266" s="1109" t="s">
        <v>260</v>
      </c>
      <c r="C266" s="1107" t="s">
        <v>96</v>
      </c>
      <c r="D266" s="638"/>
      <c r="E266" s="79"/>
      <c r="F266" s="79"/>
      <c r="G266" s="79"/>
      <c r="H266" s="85"/>
      <c r="I266" s="79"/>
      <c r="J266" s="82"/>
      <c r="K266" s="79"/>
      <c r="L266" s="79"/>
      <c r="M266" s="82"/>
      <c r="N266" s="79"/>
      <c r="O266" s="82"/>
      <c r="P266" s="82"/>
      <c r="Q266" s="82"/>
      <c r="R266" s="82"/>
      <c r="S266" s="82"/>
      <c r="T266" s="82"/>
      <c r="U266" s="82"/>
      <c r="V266" s="82"/>
      <c r="W266" s="82"/>
      <c r="X266" s="82"/>
      <c r="Y266" s="82"/>
      <c r="Z266" s="79"/>
      <c r="AA266" s="82"/>
      <c r="AB266" s="82"/>
      <c r="AC266" s="82"/>
      <c r="AD266" s="82"/>
      <c r="AE266" s="82"/>
      <c r="AF266" s="82"/>
      <c r="AG266" s="82"/>
      <c r="AH266" s="82"/>
      <c r="AI266" s="82"/>
      <c r="AJ266" s="82"/>
      <c r="AK266" s="82"/>
      <c r="AL266" s="79"/>
      <c r="AM266" s="82"/>
      <c r="AN266" s="82"/>
      <c r="AO266" s="82"/>
      <c r="AP266" s="82"/>
      <c r="AQ266" s="82"/>
      <c r="AR266" s="82"/>
      <c r="AS266" s="82"/>
      <c r="AT266" s="82"/>
      <c r="AU266" s="82"/>
      <c r="AV266" s="82"/>
      <c r="AW266" s="82"/>
      <c r="AX266" s="79"/>
      <c r="AY266" s="82"/>
      <c r="AZ266" s="82"/>
      <c r="BA266" s="82"/>
      <c r="BB266" s="82"/>
      <c r="BC266" s="82"/>
      <c r="BD266" s="82"/>
      <c r="BE266" s="82"/>
      <c r="BF266" s="82"/>
      <c r="BG266" s="82"/>
      <c r="BH266" s="1"/>
    </row>
    <row r="267" spans="1:60" s="2" customFormat="1" ht="21">
      <c r="A267" s="1038"/>
      <c r="B267" s="1109" t="s">
        <v>260</v>
      </c>
      <c r="C267" s="1106" t="s">
        <v>96</v>
      </c>
      <c r="D267" s="640" t="s">
        <v>45</v>
      </c>
      <c r="E267" s="209" t="str">
        <f>"warmte-/koudebehoefte ruimteverwarming ["&amp;$F$6&amp;"]"</f>
        <v>warmte-/koudebehoefte ruimteverwarming [EP]</v>
      </c>
      <c r="F267" s="209"/>
      <c r="G267" s="209"/>
      <c r="H267" s="209"/>
      <c r="I267" s="129"/>
      <c r="J267" s="256"/>
      <c r="K267" s="126"/>
      <c r="L267" s="126"/>
      <c r="M267" s="256" t="str">
        <f>M$10</f>
        <v>locatie 1</v>
      </c>
      <c r="N267" s="182"/>
      <c r="O267" s="955" t="str">
        <f>$E267&amp;" per woning-/gebouwtype"</f>
        <v>warmte-/koudebehoefte ruimteverwarming [EP] per woning-/gebouwtype</v>
      </c>
      <c r="P267" s="945"/>
      <c r="Q267" s="945"/>
      <c r="R267" s="945"/>
      <c r="S267" s="945"/>
      <c r="T267" s="945"/>
      <c r="U267" s="945"/>
      <c r="V267" s="945"/>
      <c r="W267" s="257"/>
      <c r="X267" s="174"/>
      <c r="Y267" s="256" t="str">
        <f>Y$10</f>
        <v>locatie 2</v>
      </c>
      <c r="Z267" s="182"/>
      <c r="AA267" s="955" t="str">
        <f>$E267&amp;" per woning-/gebouwtype"</f>
        <v>warmte-/koudebehoefte ruimteverwarming [EP] per woning-/gebouwtype</v>
      </c>
      <c r="AB267" s="945"/>
      <c r="AC267" s="945"/>
      <c r="AD267" s="945"/>
      <c r="AE267" s="945"/>
      <c r="AF267" s="945"/>
      <c r="AG267" s="945"/>
      <c r="AH267" s="945"/>
      <c r="AI267" s="257"/>
      <c r="AJ267" s="174"/>
      <c r="AK267" s="256" t="str">
        <f>AK$10</f>
        <v>locatie 3</v>
      </c>
      <c r="AL267" s="182"/>
      <c r="AM267" s="955" t="str">
        <f>$E267&amp;" per woning-/gebouwtype"</f>
        <v>warmte-/koudebehoefte ruimteverwarming [EP] per woning-/gebouwtype</v>
      </c>
      <c r="AN267" s="945"/>
      <c r="AO267" s="945"/>
      <c r="AP267" s="945"/>
      <c r="AQ267" s="945"/>
      <c r="AR267" s="945"/>
      <c r="AS267" s="945"/>
      <c r="AT267" s="945"/>
      <c r="AU267" s="257"/>
      <c r="AV267" s="174"/>
      <c r="AW267" s="256" t="str">
        <f>AW$10</f>
        <v>locatie 4</v>
      </c>
      <c r="AX267" s="182"/>
      <c r="AY267" s="955" t="str">
        <f>$E267&amp;" per woning-/gebouwtype"</f>
        <v>warmte-/koudebehoefte ruimteverwarming [EP] per woning-/gebouwtype</v>
      </c>
      <c r="AZ267" s="945"/>
      <c r="BA267" s="945"/>
      <c r="BB267" s="945"/>
      <c r="BC267" s="945"/>
      <c r="BD267" s="945"/>
      <c r="BE267" s="945"/>
      <c r="BF267" s="945"/>
      <c r="BG267" s="257"/>
      <c r="BH267" s="1"/>
    </row>
    <row r="268" spans="1:60">
      <c r="A268" s="1040"/>
      <c r="B268" s="1109" t="s">
        <v>260</v>
      </c>
      <c r="C268" s="1106" t="s">
        <v>96</v>
      </c>
      <c r="D268" s="638"/>
      <c r="E268" s="942" t="str">
        <f>E267</f>
        <v>warmte-/koudebehoefte ruimteverwarming [EP]</v>
      </c>
      <c r="F268" s="942"/>
      <c r="G268" s="942"/>
      <c r="H268" s="942"/>
      <c r="I268" s="129"/>
      <c r="J268" s="943"/>
      <c r="K268" s="126"/>
      <c r="L268" s="126"/>
      <c r="M268" s="944"/>
      <c r="N268" s="195"/>
      <c r="O268" s="258" t="str">
        <f>O$17</f>
        <v/>
      </c>
      <c r="P268" s="258" t="str">
        <f t="shared" ref="P268:W268" si="220">P$17</f>
        <v/>
      </c>
      <c r="Q268" s="258" t="str">
        <f t="shared" si="220"/>
        <v/>
      </c>
      <c r="R268" s="258" t="str">
        <f t="shared" si="220"/>
        <v/>
      </c>
      <c r="S268" s="258" t="str">
        <f t="shared" si="220"/>
        <v/>
      </c>
      <c r="T268" s="258" t="str">
        <f t="shared" si="220"/>
        <v/>
      </c>
      <c r="U268" s="258" t="str">
        <f t="shared" si="220"/>
        <v/>
      </c>
      <c r="V268" s="258" t="str">
        <f t="shared" si="220"/>
        <v/>
      </c>
      <c r="W268" s="258" t="str">
        <f t="shared" si="220"/>
        <v/>
      </c>
      <c r="X268" s="195"/>
      <c r="Y268" s="944"/>
      <c r="Z268" s="195"/>
      <c r="AA268" s="258" t="str">
        <f>AA$17</f>
        <v/>
      </c>
      <c r="AB268" s="258" t="str">
        <f t="shared" ref="AB268:AI268" si="221">AB$17</f>
        <v/>
      </c>
      <c r="AC268" s="258" t="str">
        <f t="shared" si="221"/>
        <v/>
      </c>
      <c r="AD268" s="258" t="str">
        <f t="shared" si="221"/>
        <v/>
      </c>
      <c r="AE268" s="258" t="str">
        <f t="shared" si="221"/>
        <v/>
      </c>
      <c r="AF268" s="258" t="str">
        <f t="shared" si="221"/>
        <v/>
      </c>
      <c r="AG268" s="258" t="str">
        <f t="shared" si="221"/>
        <v/>
      </c>
      <c r="AH268" s="258" t="str">
        <f t="shared" si="221"/>
        <v/>
      </c>
      <c r="AI268" s="258" t="str">
        <f t="shared" si="221"/>
        <v/>
      </c>
      <c r="AJ268" s="195"/>
      <c r="AK268" s="944"/>
      <c r="AL268" s="195"/>
      <c r="AM268" s="258" t="str">
        <f>AM$17</f>
        <v/>
      </c>
      <c r="AN268" s="258" t="str">
        <f t="shared" ref="AN268:AU268" si="222">AN$17</f>
        <v/>
      </c>
      <c r="AO268" s="258" t="str">
        <f t="shared" si="222"/>
        <v/>
      </c>
      <c r="AP268" s="258" t="str">
        <f t="shared" si="222"/>
        <v/>
      </c>
      <c r="AQ268" s="258" t="str">
        <f t="shared" si="222"/>
        <v/>
      </c>
      <c r="AR268" s="258" t="str">
        <f t="shared" si="222"/>
        <v/>
      </c>
      <c r="AS268" s="258" t="str">
        <f t="shared" si="222"/>
        <v/>
      </c>
      <c r="AT268" s="258" t="str">
        <f t="shared" si="222"/>
        <v/>
      </c>
      <c r="AU268" s="258" t="str">
        <f t="shared" si="222"/>
        <v/>
      </c>
      <c r="AV268" s="195"/>
      <c r="AW268" s="944"/>
      <c r="AX268" s="195"/>
      <c r="AY268" s="258" t="str">
        <f>AY$17</f>
        <v/>
      </c>
      <c r="AZ268" s="258" t="str">
        <f t="shared" ref="AZ268:BG268" si="223">AZ$17</f>
        <v/>
      </c>
      <c r="BA268" s="258" t="str">
        <f t="shared" si="223"/>
        <v/>
      </c>
      <c r="BB268" s="258" t="str">
        <f t="shared" si="223"/>
        <v/>
      </c>
      <c r="BC268" s="258" t="str">
        <f t="shared" si="223"/>
        <v/>
      </c>
      <c r="BD268" s="258" t="str">
        <f t="shared" si="223"/>
        <v/>
      </c>
      <c r="BE268" s="258" t="str">
        <f t="shared" si="223"/>
        <v/>
      </c>
      <c r="BF268" s="258" t="str">
        <f t="shared" si="223"/>
        <v/>
      </c>
      <c r="BG268" s="258" t="str">
        <f t="shared" si="223"/>
        <v/>
      </c>
      <c r="BH268" s="36"/>
    </row>
    <row r="269" spans="1:60">
      <c r="A269" s="1040"/>
      <c r="B269" s="1109" t="s">
        <v>260</v>
      </c>
      <c r="C269" s="1107" t="s">
        <v>104</v>
      </c>
      <c r="D269" s="641"/>
      <c r="E269" s="180" t="s">
        <v>1159</v>
      </c>
      <c r="F269" s="180"/>
      <c r="G269" s="180"/>
      <c r="H269" s="201" t="s">
        <v>154</v>
      </c>
      <c r="I269" s="114"/>
      <c r="J269" s="190"/>
      <c r="K269" s="1092"/>
      <c r="L269" s="1092"/>
      <c r="M269" s="190"/>
      <c r="N269" s="119"/>
      <c r="O269" s="183" t="str">
        <f t="shared" ref="O269:W269" si="224">IF(O$17="","",O62)</f>
        <v/>
      </c>
      <c r="P269" s="183" t="str">
        <f t="shared" si="224"/>
        <v/>
      </c>
      <c r="Q269" s="183" t="str">
        <f t="shared" si="224"/>
        <v/>
      </c>
      <c r="R269" s="183" t="str">
        <f t="shared" si="224"/>
        <v/>
      </c>
      <c r="S269" s="183" t="str">
        <f t="shared" si="224"/>
        <v/>
      </c>
      <c r="T269" s="183" t="str">
        <f t="shared" si="224"/>
        <v/>
      </c>
      <c r="U269" s="183" t="str">
        <f t="shared" si="224"/>
        <v/>
      </c>
      <c r="V269" s="183" t="str">
        <f t="shared" si="224"/>
        <v/>
      </c>
      <c r="W269" s="183" t="str">
        <f t="shared" si="224"/>
        <v/>
      </c>
      <c r="X269" s="108"/>
      <c r="Y269" s="190"/>
      <c r="Z269" s="119"/>
      <c r="AA269" s="183" t="str">
        <f t="shared" ref="AA269:AI269" si="225">IF(AA$17="","",AA62)</f>
        <v/>
      </c>
      <c r="AB269" s="183" t="str">
        <f t="shared" si="225"/>
        <v/>
      </c>
      <c r="AC269" s="183" t="str">
        <f t="shared" si="225"/>
        <v/>
      </c>
      <c r="AD269" s="183" t="str">
        <f t="shared" si="225"/>
        <v/>
      </c>
      <c r="AE269" s="183" t="str">
        <f t="shared" si="225"/>
        <v/>
      </c>
      <c r="AF269" s="183" t="str">
        <f t="shared" si="225"/>
        <v/>
      </c>
      <c r="AG269" s="183" t="str">
        <f t="shared" si="225"/>
        <v/>
      </c>
      <c r="AH269" s="183" t="str">
        <f t="shared" si="225"/>
        <v/>
      </c>
      <c r="AI269" s="183" t="str">
        <f t="shared" si="225"/>
        <v/>
      </c>
      <c r="AJ269" s="108"/>
      <c r="AK269" s="190"/>
      <c r="AL269" s="119"/>
      <c r="AM269" s="183" t="str">
        <f t="shared" ref="AM269:AU269" si="226">IF(AM$17="","",AM62)</f>
        <v/>
      </c>
      <c r="AN269" s="183" t="str">
        <f t="shared" si="226"/>
        <v/>
      </c>
      <c r="AO269" s="183" t="str">
        <f t="shared" si="226"/>
        <v/>
      </c>
      <c r="AP269" s="183" t="str">
        <f t="shared" si="226"/>
        <v/>
      </c>
      <c r="AQ269" s="183" t="str">
        <f t="shared" si="226"/>
        <v/>
      </c>
      <c r="AR269" s="183" t="str">
        <f t="shared" si="226"/>
        <v/>
      </c>
      <c r="AS269" s="183" t="str">
        <f t="shared" si="226"/>
        <v/>
      </c>
      <c r="AT269" s="183" t="str">
        <f t="shared" si="226"/>
        <v/>
      </c>
      <c r="AU269" s="183" t="str">
        <f t="shared" si="226"/>
        <v/>
      </c>
      <c r="AV269" s="108"/>
      <c r="AW269" s="190"/>
      <c r="AX269" s="119"/>
      <c r="AY269" s="183" t="str">
        <f t="shared" ref="AY269:BG269" si="227">IF(AY$17="","",AY62)</f>
        <v/>
      </c>
      <c r="AZ269" s="183" t="str">
        <f t="shared" si="227"/>
        <v/>
      </c>
      <c r="BA269" s="183" t="str">
        <f t="shared" si="227"/>
        <v/>
      </c>
      <c r="BB269" s="183" t="str">
        <f t="shared" si="227"/>
        <v/>
      </c>
      <c r="BC269" s="183" t="str">
        <f t="shared" si="227"/>
        <v/>
      </c>
      <c r="BD269" s="183" t="str">
        <f t="shared" si="227"/>
        <v/>
      </c>
      <c r="BE269" s="183" t="str">
        <f t="shared" si="227"/>
        <v/>
      </c>
      <c r="BF269" s="183" t="str">
        <f t="shared" si="227"/>
        <v/>
      </c>
      <c r="BG269" s="183" t="str">
        <f t="shared" si="227"/>
        <v/>
      </c>
      <c r="BH269" s="210"/>
    </row>
    <row r="270" spans="1:60">
      <c r="A270" s="1040"/>
      <c r="B270" s="1109" t="s">
        <v>260</v>
      </c>
      <c r="C270" s="1107" t="s">
        <v>104</v>
      </c>
      <c r="D270" s="641"/>
      <c r="E270" s="180" t="s">
        <v>1160</v>
      </c>
      <c r="F270" s="180"/>
      <c r="G270" s="180"/>
      <c r="H270" s="201" t="s">
        <v>154</v>
      </c>
      <c r="I270" s="114"/>
      <c r="J270" s="190"/>
      <c r="K270" s="1092"/>
      <c r="L270" s="1092"/>
      <c r="M270" s="190"/>
      <c r="N270" s="119"/>
      <c r="O270" s="183" t="str">
        <f t="shared" ref="O270:W270" si="228">IF(O$17="","-",O64)</f>
        <v>-</v>
      </c>
      <c r="P270" s="183" t="str">
        <f t="shared" si="228"/>
        <v>-</v>
      </c>
      <c r="Q270" s="183" t="str">
        <f t="shared" si="228"/>
        <v>-</v>
      </c>
      <c r="R270" s="183" t="str">
        <f t="shared" si="228"/>
        <v>-</v>
      </c>
      <c r="S270" s="183" t="str">
        <f t="shared" si="228"/>
        <v>-</v>
      </c>
      <c r="T270" s="183" t="str">
        <f t="shared" si="228"/>
        <v>-</v>
      </c>
      <c r="U270" s="183" t="str">
        <f t="shared" si="228"/>
        <v>-</v>
      </c>
      <c r="V270" s="183" t="str">
        <f t="shared" si="228"/>
        <v>-</v>
      </c>
      <c r="W270" s="183" t="str">
        <f t="shared" si="228"/>
        <v>-</v>
      </c>
      <c r="X270" s="108"/>
      <c r="Y270" s="190"/>
      <c r="Z270" s="119"/>
      <c r="AA270" s="183" t="str">
        <f t="shared" ref="AA270:AI270" si="229">IF(AA$17="","-",AA64)</f>
        <v>-</v>
      </c>
      <c r="AB270" s="183" t="str">
        <f t="shared" si="229"/>
        <v>-</v>
      </c>
      <c r="AC270" s="183" t="str">
        <f t="shared" si="229"/>
        <v>-</v>
      </c>
      <c r="AD270" s="183" t="str">
        <f t="shared" si="229"/>
        <v>-</v>
      </c>
      <c r="AE270" s="183" t="str">
        <f t="shared" si="229"/>
        <v>-</v>
      </c>
      <c r="AF270" s="183" t="str">
        <f t="shared" si="229"/>
        <v>-</v>
      </c>
      <c r="AG270" s="183" t="str">
        <f t="shared" si="229"/>
        <v>-</v>
      </c>
      <c r="AH270" s="183" t="str">
        <f t="shared" si="229"/>
        <v>-</v>
      </c>
      <c r="AI270" s="183" t="str">
        <f t="shared" si="229"/>
        <v>-</v>
      </c>
      <c r="AJ270" s="108"/>
      <c r="AK270" s="190"/>
      <c r="AL270" s="119"/>
      <c r="AM270" s="183" t="str">
        <f t="shared" ref="AM270:AU270" si="230">IF(AM$17="","-",AM64)</f>
        <v>-</v>
      </c>
      <c r="AN270" s="183" t="str">
        <f t="shared" si="230"/>
        <v>-</v>
      </c>
      <c r="AO270" s="183" t="str">
        <f t="shared" si="230"/>
        <v>-</v>
      </c>
      <c r="AP270" s="183" t="str">
        <f t="shared" si="230"/>
        <v>-</v>
      </c>
      <c r="AQ270" s="183" t="str">
        <f t="shared" si="230"/>
        <v>-</v>
      </c>
      <c r="AR270" s="183" t="str">
        <f t="shared" si="230"/>
        <v>-</v>
      </c>
      <c r="AS270" s="183" t="str">
        <f t="shared" si="230"/>
        <v>-</v>
      </c>
      <c r="AT270" s="183" t="str">
        <f t="shared" si="230"/>
        <v>-</v>
      </c>
      <c r="AU270" s="183" t="str">
        <f t="shared" si="230"/>
        <v>-</v>
      </c>
      <c r="AV270" s="108"/>
      <c r="AW270" s="190"/>
      <c r="AX270" s="119"/>
      <c r="AY270" s="183" t="str">
        <f t="shared" ref="AY270:BG270" si="231">IF(AY$17="","-",AY64)</f>
        <v>-</v>
      </c>
      <c r="AZ270" s="183" t="str">
        <f t="shared" si="231"/>
        <v>-</v>
      </c>
      <c r="BA270" s="183" t="str">
        <f t="shared" si="231"/>
        <v>-</v>
      </c>
      <c r="BB270" s="183" t="str">
        <f t="shared" si="231"/>
        <v>-</v>
      </c>
      <c r="BC270" s="183" t="str">
        <f t="shared" si="231"/>
        <v>-</v>
      </c>
      <c r="BD270" s="183" t="str">
        <f t="shared" si="231"/>
        <v>-</v>
      </c>
      <c r="BE270" s="183" t="str">
        <f t="shared" si="231"/>
        <v>-</v>
      </c>
      <c r="BF270" s="183" t="str">
        <f t="shared" si="231"/>
        <v>-</v>
      </c>
      <c r="BG270" s="183" t="str">
        <f t="shared" si="231"/>
        <v>-</v>
      </c>
      <c r="BH270" s="210"/>
    </row>
    <row r="271" spans="1:60">
      <c r="A271" s="1040"/>
      <c r="B271" s="1109" t="s">
        <v>260</v>
      </c>
      <c r="C271" s="1106" t="s">
        <v>96</v>
      </c>
      <c r="D271" s="638"/>
      <c r="E271" s="79"/>
      <c r="F271" s="79"/>
      <c r="G271" s="79"/>
      <c r="H271" s="85"/>
      <c r="I271" s="79"/>
      <c r="J271" s="82"/>
      <c r="K271" s="79"/>
      <c r="L271" s="79"/>
      <c r="M271" s="82"/>
      <c r="N271" s="79"/>
      <c r="O271" s="81"/>
      <c r="P271" s="82"/>
      <c r="Q271" s="82"/>
      <c r="R271" s="82"/>
      <c r="S271" s="82"/>
      <c r="T271" s="82"/>
      <c r="U271" s="82"/>
      <c r="V271" s="82"/>
      <c r="W271" s="82"/>
      <c r="X271" s="82"/>
      <c r="Y271" s="82"/>
      <c r="Z271" s="79"/>
      <c r="AA271" s="79"/>
      <c r="AB271" s="79"/>
      <c r="AC271" s="79"/>
      <c r="AD271" s="79"/>
      <c r="AE271" s="79"/>
      <c r="AF271" s="79"/>
      <c r="AG271" s="79"/>
      <c r="AH271" s="79"/>
      <c r="AI271" s="79"/>
      <c r="AJ271" s="82"/>
      <c r="AK271" s="82"/>
      <c r="AL271" s="79"/>
      <c r="AM271" s="82"/>
      <c r="AN271" s="82"/>
      <c r="AO271" s="82"/>
      <c r="AP271" s="82"/>
      <c r="AQ271" s="82"/>
      <c r="AR271" s="82"/>
      <c r="AS271" s="82"/>
      <c r="AT271" s="82"/>
      <c r="AU271" s="82"/>
      <c r="AV271" s="82"/>
      <c r="AW271" s="82"/>
      <c r="AX271" s="79"/>
      <c r="AY271" s="82"/>
      <c r="AZ271" s="82"/>
      <c r="BA271" s="82"/>
      <c r="BB271" s="82"/>
      <c r="BC271" s="82"/>
      <c r="BD271" s="82"/>
      <c r="BE271" s="82"/>
      <c r="BF271" s="82"/>
      <c r="BG271" s="82"/>
      <c r="BH271" s="1"/>
    </row>
    <row r="272" spans="1:60" hidden="1">
      <c r="A272" s="1040"/>
      <c r="B272" s="1109" t="s">
        <v>261</v>
      </c>
      <c r="C272" s="1106" t="s">
        <v>262</v>
      </c>
      <c r="D272" s="638"/>
      <c r="E272" s="79"/>
      <c r="F272" s="79"/>
      <c r="G272" s="79"/>
      <c r="H272" s="85"/>
      <c r="I272" s="79"/>
      <c r="J272" s="82"/>
      <c r="K272" s="79"/>
      <c r="L272" s="79"/>
      <c r="M272" s="82"/>
      <c r="N272" s="79"/>
      <c r="O272" s="82"/>
      <c r="P272" s="82"/>
      <c r="Q272" s="82"/>
      <c r="R272" s="82"/>
      <c r="S272" s="82"/>
      <c r="T272" s="82"/>
      <c r="U272" s="82"/>
      <c r="V272" s="82"/>
      <c r="W272" s="82"/>
      <c r="X272" s="82"/>
      <c r="Y272" s="82"/>
      <c r="Z272" s="79"/>
      <c r="AA272" s="82"/>
      <c r="AB272" s="82"/>
      <c r="AC272" s="82"/>
      <c r="AD272" s="82"/>
      <c r="AE272" s="82"/>
      <c r="AF272" s="82"/>
      <c r="AG272" s="82"/>
      <c r="AH272" s="82"/>
      <c r="AI272" s="82"/>
      <c r="AJ272" s="82"/>
      <c r="AK272" s="82"/>
      <c r="AL272" s="79"/>
      <c r="AM272" s="82"/>
      <c r="AN272" s="82"/>
      <c r="AO272" s="82"/>
      <c r="AP272" s="82"/>
      <c r="AQ272" s="82"/>
      <c r="AR272" s="82"/>
      <c r="AS272" s="82"/>
      <c r="AT272" s="82"/>
      <c r="AU272" s="82"/>
      <c r="AV272" s="82"/>
      <c r="AW272" s="82"/>
      <c r="AX272" s="79"/>
      <c r="AY272" s="82"/>
      <c r="AZ272" s="82"/>
      <c r="BA272" s="82"/>
      <c r="BB272" s="82"/>
      <c r="BC272" s="82"/>
      <c r="BD272" s="82"/>
      <c r="BE272" s="82"/>
      <c r="BF272" s="82"/>
      <c r="BG272" s="82"/>
      <c r="BH272" s="1"/>
    </row>
    <row r="273" spans="1:60" s="2" customFormat="1" ht="21" hidden="1">
      <c r="A273" s="1038"/>
      <c r="B273" s="1109" t="s">
        <v>261</v>
      </c>
      <c r="C273" s="1106" t="s">
        <v>262</v>
      </c>
      <c r="D273" s="640"/>
      <c r="E273" s="209" t="s">
        <v>263</v>
      </c>
      <c r="F273" s="209"/>
      <c r="G273" s="209"/>
      <c r="H273" s="209"/>
      <c r="I273" s="129"/>
      <c r="J273" s="256" t="str">
        <f>J$10</f>
        <v>alle locaties</v>
      </c>
      <c r="K273" s="126"/>
      <c r="L273" s="126"/>
      <c r="M273" s="256" t="str">
        <f>M$10</f>
        <v>locatie 1</v>
      </c>
      <c r="N273" s="182"/>
      <c r="O273" s="955" t="s">
        <v>1161</v>
      </c>
      <c r="P273" s="945"/>
      <c r="Q273" s="945"/>
      <c r="R273" s="945"/>
      <c r="S273" s="945"/>
      <c r="T273" s="945"/>
      <c r="U273" s="945"/>
      <c r="V273" s="945"/>
      <c r="W273" s="257"/>
      <c r="X273" s="174"/>
      <c r="Y273" s="256" t="str">
        <f>Y$10</f>
        <v>locatie 2</v>
      </c>
      <c r="Z273" s="182"/>
      <c r="AA273" s="955" t="s">
        <v>1161</v>
      </c>
      <c r="AB273" s="945"/>
      <c r="AC273" s="945"/>
      <c r="AD273" s="945"/>
      <c r="AE273" s="945"/>
      <c r="AF273" s="945"/>
      <c r="AG273" s="945"/>
      <c r="AH273" s="945"/>
      <c r="AI273" s="257"/>
      <c r="AJ273" s="174"/>
      <c r="AK273" s="256" t="str">
        <f>AK$10</f>
        <v>locatie 3</v>
      </c>
      <c r="AL273" s="182"/>
      <c r="AM273" s="955" t="s">
        <v>1161</v>
      </c>
      <c r="AN273" s="945"/>
      <c r="AO273" s="945"/>
      <c r="AP273" s="945"/>
      <c r="AQ273" s="945"/>
      <c r="AR273" s="945"/>
      <c r="AS273" s="945"/>
      <c r="AT273" s="945"/>
      <c r="AU273" s="257"/>
      <c r="AV273" s="174"/>
      <c r="AW273" s="256" t="str">
        <f>AW$10</f>
        <v>locatie 4</v>
      </c>
      <c r="AX273" s="182"/>
      <c r="AY273" s="955" t="s">
        <v>1161</v>
      </c>
      <c r="AZ273" s="945"/>
      <c r="BA273" s="945"/>
      <c r="BB273" s="945"/>
      <c r="BC273" s="945"/>
      <c r="BD273" s="945"/>
      <c r="BE273" s="945"/>
      <c r="BF273" s="945"/>
      <c r="BG273" s="257"/>
      <c r="BH273" s="1"/>
    </row>
    <row r="274" spans="1:60" hidden="1">
      <c r="A274" s="1040"/>
      <c r="B274" s="1109" t="s">
        <v>261</v>
      </c>
      <c r="C274" s="1106" t="s">
        <v>262</v>
      </c>
      <c r="D274" s="638"/>
      <c r="E274" s="942" t="s">
        <v>1317</v>
      </c>
      <c r="F274" s="942"/>
      <c r="G274" s="942"/>
      <c r="H274" s="942"/>
      <c r="I274" s="129"/>
      <c r="J274" s="943"/>
      <c r="K274" s="126"/>
      <c r="L274" s="126"/>
      <c r="M274" s="944"/>
      <c r="N274" s="195"/>
      <c r="O274" s="258" t="str">
        <f>O$17</f>
        <v/>
      </c>
      <c r="P274" s="258" t="str">
        <f t="shared" ref="P274:W274" si="232">P$17</f>
        <v/>
      </c>
      <c r="Q274" s="258" t="str">
        <f t="shared" si="232"/>
        <v/>
      </c>
      <c r="R274" s="258" t="str">
        <f t="shared" si="232"/>
        <v/>
      </c>
      <c r="S274" s="258" t="str">
        <f t="shared" si="232"/>
        <v/>
      </c>
      <c r="T274" s="258" t="str">
        <f t="shared" si="232"/>
        <v/>
      </c>
      <c r="U274" s="258" t="str">
        <f t="shared" si="232"/>
        <v/>
      </c>
      <c r="V274" s="258" t="str">
        <f t="shared" si="232"/>
        <v/>
      </c>
      <c r="W274" s="258" t="str">
        <f t="shared" si="232"/>
        <v/>
      </c>
      <c r="X274" s="195"/>
      <c r="Y274" s="944"/>
      <c r="Z274" s="195"/>
      <c r="AA274" s="258" t="str">
        <f>AA$17</f>
        <v/>
      </c>
      <c r="AB274" s="258" t="str">
        <f t="shared" ref="AB274:AI274" si="233">AB$17</f>
        <v/>
      </c>
      <c r="AC274" s="258" t="str">
        <f t="shared" si="233"/>
        <v/>
      </c>
      <c r="AD274" s="258" t="str">
        <f t="shared" si="233"/>
        <v/>
      </c>
      <c r="AE274" s="258" t="str">
        <f t="shared" si="233"/>
        <v/>
      </c>
      <c r="AF274" s="258" t="str">
        <f t="shared" si="233"/>
        <v/>
      </c>
      <c r="AG274" s="258" t="str">
        <f t="shared" si="233"/>
        <v/>
      </c>
      <c r="AH274" s="258" t="str">
        <f t="shared" si="233"/>
        <v/>
      </c>
      <c r="AI274" s="258" t="str">
        <f t="shared" si="233"/>
        <v/>
      </c>
      <c r="AJ274" s="195"/>
      <c r="AK274" s="944"/>
      <c r="AL274" s="195"/>
      <c r="AM274" s="258" t="str">
        <f>AM$17</f>
        <v/>
      </c>
      <c r="AN274" s="258" t="str">
        <f t="shared" ref="AN274:AU274" si="234">AN$17</f>
        <v/>
      </c>
      <c r="AO274" s="258" t="str">
        <f t="shared" si="234"/>
        <v/>
      </c>
      <c r="AP274" s="258" t="str">
        <f t="shared" si="234"/>
        <v/>
      </c>
      <c r="AQ274" s="258" t="str">
        <f t="shared" si="234"/>
        <v/>
      </c>
      <c r="AR274" s="258" t="str">
        <f t="shared" si="234"/>
        <v/>
      </c>
      <c r="AS274" s="258" t="str">
        <f t="shared" si="234"/>
        <v/>
      </c>
      <c r="AT274" s="258" t="str">
        <f t="shared" si="234"/>
        <v/>
      </c>
      <c r="AU274" s="258" t="str">
        <f t="shared" si="234"/>
        <v/>
      </c>
      <c r="AV274" s="195"/>
      <c r="AW274" s="944"/>
      <c r="AX274" s="195"/>
      <c r="AY274" s="258" t="str">
        <f>AY$17</f>
        <v/>
      </c>
      <c r="AZ274" s="258" t="str">
        <f t="shared" ref="AZ274:BG274" si="235">AZ$17</f>
        <v/>
      </c>
      <c r="BA274" s="258" t="str">
        <f t="shared" si="235"/>
        <v/>
      </c>
      <c r="BB274" s="258" t="str">
        <f t="shared" si="235"/>
        <v/>
      </c>
      <c r="BC274" s="258" t="str">
        <f t="shared" si="235"/>
        <v/>
      </c>
      <c r="BD274" s="258" t="str">
        <f t="shared" si="235"/>
        <v/>
      </c>
      <c r="BE274" s="258" t="str">
        <f t="shared" si="235"/>
        <v/>
      </c>
      <c r="BF274" s="258" t="str">
        <f t="shared" si="235"/>
        <v/>
      </c>
      <c r="BG274" s="258" t="str">
        <f t="shared" si="235"/>
        <v/>
      </c>
      <c r="BH274" s="36"/>
    </row>
    <row r="275" spans="1:60" hidden="1">
      <c r="A275" s="1040"/>
      <c r="B275" s="1109" t="s">
        <v>261</v>
      </c>
      <c r="C275" s="1106" t="s">
        <v>262</v>
      </c>
      <c r="D275" s="641" t="s">
        <v>45</v>
      </c>
      <c r="E275" s="180" t="s">
        <v>264</v>
      </c>
      <c r="F275" s="180"/>
      <c r="G275" s="180"/>
      <c r="H275" s="201" t="s">
        <v>65</v>
      </c>
      <c r="I275" s="114"/>
      <c r="J275" s="190"/>
      <c r="K275" s="195"/>
      <c r="L275" s="195"/>
      <c r="M275" s="357">
        <f>SUM(N275:X275)</f>
        <v>0</v>
      </c>
      <c r="N275" s="358"/>
      <c r="O275" s="228">
        <f t="shared" ref="O275:W275" si="236">IF(OR(O$17="",$M62=0),0,O$30*O62/$M62/1000)</f>
        <v>0</v>
      </c>
      <c r="P275" s="228">
        <f t="shared" si="236"/>
        <v>0</v>
      </c>
      <c r="Q275" s="228">
        <f t="shared" si="236"/>
        <v>0</v>
      </c>
      <c r="R275" s="228">
        <f t="shared" si="236"/>
        <v>0</v>
      </c>
      <c r="S275" s="228">
        <f t="shared" si="236"/>
        <v>0</v>
      </c>
      <c r="T275" s="228">
        <f t="shared" si="236"/>
        <v>0</v>
      </c>
      <c r="U275" s="228">
        <f t="shared" si="236"/>
        <v>0</v>
      </c>
      <c r="V275" s="228">
        <f t="shared" si="236"/>
        <v>0</v>
      </c>
      <c r="W275" s="228">
        <f t="shared" si="236"/>
        <v>0</v>
      </c>
      <c r="X275" s="356"/>
      <c r="Y275" s="357">
        <f>SUM(Z275:AJ275)</f>
        <v>0</v>
      </c>
      <c r="Z275" s="358"/>
      <c r="AA275" s="228">
        <f t="shared" ref="AA275:AI275" si="237">IF(OR(AA$17="",$Y62=0),0,AA$30*AA62/$Y62/1000)</f>
        <v>0</v>
      </c>
      <c r="AB275" s="228">
        <f t="shared" si="237"/>
        <v>0</v>
      </c>
      <c r="AC275" s="228">
        <f t="shared" si="237"/>
        <v>0</v>
      </c>
      <c r="AD275" s="228">
        <f t="shared" si="237"/>
        <v>0</v>
      </c>
      <c r="AE275" s="228">
        <f t="shared" si="237"/>
        <v>0</v>
      </c>
      <c r="AF275" s="228">
        <f t="shared" si="237"/>
        <v>0</v>
      </c>
      <c r="AG275" s="228">
        <f t="shared" si="237"/>
        <v>0</v>
      </c>
      <c r="AH275" s="228">
        <f t="shared" si="237"/>
        <v>0</v>
      </c>
      <c r="AI275" s="228">
        <f t="shared" si="237"/>
        <v>0</v>
      </c>
      <c r="AJ275" s="356"/>
      <c r="AK275" s="357">
        <f>SUM(AL275:AV275)</f>
        <v>0</v>
      </c>
      <c r="AL275" s="358"/>
      <c r="AM275" s="228">
        <f t="shared" ref="AM275:AU275" si="238">IF(OR(AM$17="",$AK62=0),0,AM$30*AM62/$AK62/1000)</f>
        <v>0</v>
      </c>
      <c r="AN275" s="228">
        <f t="shared" si="238"/>
        <v>0</v>
      </c>
      <c r="AO275" s="228">
        <f t="shared" si="238"/>
        <v>0</v>
      </c>
      <c r="AP275" s="228">
        <f t="shared" si="238"/>
        <v>0</v>
      </c>
      <c r="AQ275" s="228">
        <f t="shared" si="238"/>
        <v>0</v>
      </c>
      <c r="AR275" s="228">
        <f t="shared" si="238"/>
        <v>0</v>
      </c>
      <c r="AS275" s="228">
        <f t="shared" si="238"/>
        <v>0</v>
      </c>
      <c r="AT275" s="228">
        <f t="shared" si="238"/>
        <v>0</v>
      </c>
      <c r="AU275" s="228">
        <f t="shared" si="238"/>
        <v>0</v>
      </c>
      <c r="AV275" s="356"/>
      <c r="AW275" s="357">
        <f>SUM(AX275:BH275)</f>
        <v>0</v>
      </c>
      <c r="AX275" s="358"/>
      <c r="AY275" s="228">
        <f t="shared" ref="AY275:BG275" si="239">IF(OR(AY$17="",$AW62=0),0,AY$30*AY62/$AW62/1000)</f>
        <v>0</v>
      </c>
      <c r="AZ275" s="228">
        <f t="shared" si="239"/>
        <v>0</v>
      </c>
      <c r="BA275" s="228">
        <f t="shared" si="239"/>
        <v>0</v>
      </c>
      <c r="BB275" s="228">
        <f t="shared" si="239"/>
        <v>0</v>
      </c>
      <c r="BC275" s="228">
        <f t="shared" si="239"/>
        <v>0</v>
      </c>
      <c r="BD275" s="228">
        <f t="shared" si="239"/>
        <v>0</v>
      </c>
      <c r="BE275" s="228">
        <f t="shared" si="239"/>
        <v>0</v>
      </c>
      <c r="BF275" s="228">
        <f t="shared" si="239"/>
        <v>0</v>
      </c>
      <c r="BG275" s="228">
        <f t="shared" si="239"/>
        <v>0</v>
      </c>
      <c r="BH275" s="210"/>
    </row>
    <row r="276" spans="1:60" hidden="1">
      <c r="A276" s="1040"/>
      <c r="B276" s="1109" t="s">
        <v>261</v>
      </c>
      <c r="C276" s="1106" t="s">
        <v>262</v>
      </c>
      <c r="D276" s="638"/>
      <c r="E276" s="180" t="s">
        <v>265</v>
      </c>
      <c r="F276" s="180"/>
      <c r="G276" s="180"/>
      <c r="H276" s="201" t="s">
        <v>65</v>
      </c>
      <c r="I276" s="114"/>
      <c r="J276" s="190"/>
      <c r="K276" s="195"/>
      <c r="L276" s="195"/>
      <c r="M276" s="357">
        <f>SUM(N276:X276)</f>
        <v>0</v>
      </c>
      <c r="N276" s="358"/>
      <c r="O276" s="228">
        <f t="shared" ref="O276:W276" si="240">IF(OR(O$17="",$M64=0),0,O$30*O64/$M64/1000)</f>
        <v>0</v>
      </c>
      <c r="P276" s="228">
        <f t="shared" si="240"/>
        <v>0</v>
      </c>
      <c r="Q276" s="228">
        <f t="shared" si="240"/>
        <v>0</v>
      </c>
      <c r="R276" s="228">
        <f t="shared" si="240"/>
        <v>0</v>
      </c>
      <c r="S276" s="228">
        <f t="shared" si="240"/>
        <v>0</v>
      </c>
      <c r="T276" s="228">
        <f t="shared" si="240"/>
        <v>0</v>
      </c>
      <c r="U276" s="228">
        <f t="shared" si="240"/>
        <v>0</v>
      </c>
      <c r="V276" s="228">
        <f t="shared" si="240"/>
        <v>0</v>
      </c>
      <c r="W276" s="228">
        <f t="shared" si="240"/>
        <v>0</v>
      </c>
      <c r="X276" s="356"/>
      <c r="Y276" s="357">
        <f>SUM(Z276:AJ276)</f>
        <v>0</v>
      </c>
      <c r="Z276" s="358"/>
      <c r="AA276" s="228">
        <f t="shared" ref="AA276:AI276" si="241">IF(OR(AA$17="",$Y64=0),0,AA$30*AA64/$Y64/1000)</f>
        <v>0</v>
      </c>
      <c r="AB276" s="228">
        <f t="shared" si="241"/>
        <v>0</v>
      </c>
      <c r="AC276" s="228">
        <f t="shared" si="241"/>
        <v>0</v>
      </c>
      <c r="AD276" s="228">
        <f t="shared" si="241"/>
        <v>0</v>
      </c>
      <c r="AE276" s="228">
        <f t="shared" si="241"/>
        <v>0</v>
      </c>
      <c r="AF276" s="228">
        <f t="shared" si="241"/>
        <v>0</v>
      </c>
      <c r="AG276" s="228">
        <f t="shared" si="241"/>
        <v>0</v>
      </c>
      <c r="AH276" s="228">
        <f t="shared" si="241"/>
        <v>0</v>
      </c>
      <c r="AI276" s="228">
        <f t="shared" si="241"/>
        <v>0</v>
      </c>
      <c r="AJ276" s="356"/>
      <c r="AK276" s="357">
        <f>SUM(AL276:AV276)</f>
        <v>0</v>
      </c>
      <c r="AL276" s="358"/>
      <c r="AM276" s="228">
        <f t="shared" ref="AM276:AU276" si="242">IF(OR(AM$17="",$AK64=0),0,AM$30*AM64/$AK64/1000)</f>
        <v>0</v>
      </c>
      <c r="AN276" s="228">
        <f t="shared" si="242"/>
        <v>0</v>
      </c>
      <c r="AO276" s="228">
        <f t="shared" si="242"/>
        <v>0</v>
      </c>
      <c r="AP276" s="228">
        <f t="shared" si="242"/>
        <v>0</v>
      </c>
      <c r="AQ276" s="228">
        <f t="shared" si="242"/>
        <v>0</v>
      </c>
      <c r="AR276" s="228">
        <f t="shared" si="242"/>
        <v>0</v>
      </c>
      <c r="AS276" s="228">
        <f t="shared" si="242"/>
        <v>0</v>
      </c>
      <c r="AT276" s="228">
        <f t="shared" si="242"/>
        <v>0</v>
      </c>
      <c r="AU276" s="228">
        <f t="shared" si="242"/>
        <v>0</v>
      </c>
      <c r="AV276" s="356"/>
      <c r="AW276" s="357">
        <f>SUM(AX276:BH276)</f>
        <v>0</v>
      </c>
      <c r="AX276" s="358"/>
      <c r="AY276" s="228">
        <f t="shared" ref="AY276:BG276" si="243">IF(OR(AY$17="",$AW64=0),0,AY$30*AY64/$AW64/1000)</f>
        <v>0</v>
      </c>
      <c r="AZ276" s="228">
        <f t="shared" si="243"/>
        <v>0</v>
      </c>
      <c r="BA276" s="228">
        <f t="shared" si="243"/>
        <v>0</v>
      </c>
      <c r="BB276" s="228">
        <f t="shared" si="243"/>
        <v>0</v>
      </c>
      <c r="BC276" s="228">
        <f t="shared" si="243"/>
        <v>0</v>
      </c>
      <c r="BD276" s="228">
        <f t="shared" si="243"/>
        <v>0</v>
      </c>
      <c r="BE276" s="228">
        <f t="shared" si="243"/>
        <v>0</v>
      </c>
      <c r="BF276" s="228">
        <f t="shared" si="243"/>
        <v>0</v>
      </c>
      <c r="BG276" s="228">
        <f t="shared" si="243"/>
        <v>0</v>
      </c>
      <c r="BH276" s="210"/>
    </row>
    <row r="277" spans="1:60" hidden="1">
      <c r="A277" s="1040"/>
      <c r="B277" s="1109" t="s">
        <v>261</v>
      </c>
      <c r="C277" s="1106" t="s">
        <v>262</v>
      </c>
      <c r="D277" s="638"/>
      <c r="E277" s="180" t="s">
        <v>266</v>
      </c>
      <c r="F277" s="180"/>
      <c r="G277" s="180"/>
      <c r="H277" s="201" t="s">
        <v>65</v>
      </c>
      <c r="I277" s="114"/>
      <c r="J277" s="190"/>
      <c r="K277" s="195"/>
      <c r="L277" s="195"/>
      <c r="M277" s="357">
        <f>SUM(N277:X277)</f>
        <v>0</v>
      </c>
      <c r="N277" s="358"/>
      <c r="O277" s="228">
        <f t="shared" ref="O277:W277" si="244">IF(OR(O$17="",$M$65=0),0,O$30*O65/$M65/1000)</f>
        <v>0</v>
      </c>
      <c r="P277" s="228">
        <f t="shared" si="244"/>
        <v>0</v>
      </c>
      <c r="Q277" s="228">
        <f t="shared" si="244"/>
        <v>0</v>
      </c>
      <c r="R277" s="228">
        <f t="shared" si="244"/>
        <v>0</v>
      </c>
      <c r="S277" s="228">
        <f t="shared" si="244"/>
        <v>0</v>
      </c>
      <c r="T277" s="228">
        <f t="shared" si="244"/>
        <v>0</v>
      </c>
      <c r="U277" s="228">
        <f t="shared" si="244"/>
        <v>0</v>
      </c>
      <c r="V277" s="228">
        <f t="shared" si="244"/>
        <v>0</v>
      </c>
      <c r="W277" s="228">
        <f t="shared" si="244"/>
        <v>0</v>
      </c>
      <c r="X277" s="356"/>
      <c r="Y277" s="357">
        <f>SUM(Z277:AJ277)</f>
        <v>0</v>
      </c>
      <c r="Z277" s="358"/>
      <c r="AA277" s="228">
        <f t="shared" ref="AA277:AI277" si="245">IF(OR(AA$17="",$Y$65=0),0,AA$30*AA65/$Y65/1000)</f>
        <v>0</v>
      </c>
      <c r="AB277" s="228">
        <f t="shared" si="245"/>
        <v>0</v>
      </c>
      <c r="AC277" s="228">
        <f t="shared" si="245"/>
        <v>0</v>
      </c>
      <c r="AD277" s="228">
        <f t="shared" si="245"/>
        <v>0</v>
      </c>
      <c r="AE277" s="228">
        <f t="shared" si="245"/>
        <v>0</v>
      </c>
      <c r="AF277" s="228">
        <f t="shared" si="245"/>
        <v>0</v>
      </c>
      <c r="AG277" s="228">
        <f t="shared" si="245"/>
        <v>0</v>
      </c>
      <c r="AH277" s="228">
        <f t="shared" si="245"/>
        <v>0</v>
      </c>
      <c r="AI277" s="228">
        <f t="shared" si="245"/>
        <v>0</v>
      </c>
      <c r="AJ277" s="356"/>
      <c r="AK277" s="357">
        <f>SUM(AL277:AV277)</f>
        <v>0</v>
      </c>
      <c r="AL277" s="358"/>
      <c r="AM277" s="228">
        <f t="shared" ref="AM277:AU277" si="246">IF(OR(AM$17="",$AK$65=0),0,AM$30*AM65/$AK65/1000)</f>
        <v>0</v>
      </c>
      <c r="AN277" s="228">
        <f t="shared" si="246"/>
        <v>0</v>
      </c>
      <c r="AO277" s="228">
        <f t="shared" si="246"/>
        <v>0</v>
      </c>
      <c r="AP277" s="228">
        <f t="shared" si="246"/>
        <v>0</v>
      </c>
      <c r="AQ277" s="228">
        <f t="shared" si="246"/>
        <v>0</v>
      </c>
      <c r="AR277" s="228">
        <f t="shared" si="246"/>
        <v>0</v>
      </c>
      <c r="AS277" s="228">
        <f t="shared" si="246"/>
        <v>0</v>
      </c>
      <c r="AT277" s="228">
        <f t="shared" si="246"/>
        <v>0</v>
      </c>
      <c r="AU277" s="228">
        <f t="shared" si="246"/>
        <v>0</v>
      </c>
      <c r="AV277" s="356"/>
      <c r="AW277" s="357">
        <f>SUM(AX277:BH277)</f>
        <v>0</v>
      </c>
      <c r="AX277" s="358"/>
      <c r="AY277" s="228">
        <f t="shared" ref="AY277:BG277" si="247">IF(OR(AY$17="",$AW$65=0),0,AY$30*AY65/$AW65/1000)</f>
        <v>0</v>
      </c>
      <c r="AZ277" s="228">
        <f t="shared" si="247"/>
        <v>0</v>
      </c>
      <c r="BA277" s="228">
        <f t="shared" si="247"/>
        <v>0</v>
      </c>
      <c r="BB277" s="228">
        <f t="shared" si="247"/>
        <v>0</v>
      </c>
      <c r="BC277" s="228">
        <f t="shared" si="247"/>
        <v>0</v>
      </c>
      <c r="BD277" s="228">
        <f t="shared" si="247"/>
        <v>0</v>
      </c>
      <c r="BE277" s="228">
        <f t="shared" si="247"/>
        <v>0</v>
      </c>
      <c r="BF277" s="228">
        <f t="shared" si="247"/>
        <v>0</v>
      </c>
      <c r="BG277" s="228">
        <f t="shared" si="247"/>
        <v>0</v>
      </c>
      <c r="BH277" s="210"/>
    </row>
    <row r="278" spans="1:60" hidden="1">
      <c r="A278" s="1040"/>
      <c r="B278" s="1109" t="s">
        <v>261</v>
      </c>
      <c r="C278" s="1106" t="s">
        <v>262</v>
      </c>
      <c r="D278" s="638"/>
      <c r="E278" s="79"/>
      <c r="F278" s="79"/>
      <c r="G278" s="79"/>
      <c r="H278" s="85"/>
      <c r="I278" s="79"/>
      <c r="J278" s="82"/>
      <c r="K278" s="79"/>
      <c r="L278" s="79"/>
      <c r="M278" s="82"/>
      <c r="N278" s="79"/>
      <c r="O278" s="81"/>
      <c r="P278" s="82"/>
      <c r="Q278" s="82"/>
      <c r="R278" s="82"/>
      <c r="S278" s="82"/>
      <c r="T278" s="82"/>
      <c r="U278" s="82"/>
      <c r="V278" s="82"/>
      <c r="W278" s="82"/>
      <c r="X278" s="82"/>
      <c r="Y278" s="82"/>
      <c r="Z278" s="79"/>
      <c r="AA278" s="79"/>
      <c r="AB278" s="79"/>
      <c r="AC278" s="79"/>
      <c r="AD278" s="79"/>
      <c r="AE278" s="79"/>
      <c r="AF278" s="79"/>
      <c r="AG278" s="79"/>
      <c r="AH278" s="79"/>
      <c r="AI278" s="79"/>
      <c r="AJ278" s="82"/>
      <c r="AK278" s="82"/>
      <c r="AL278" s="79"/>
      <c r="AM278" s="82"/>
      <c r="AN278" s="82"/>
      <c r="AO278" s="82"/>
      <c r="AP278" s="82"/>
      <c r="AQ278" s="82"/>
      <c r="AR278" s="82"/>
      <c r="AS278" s="82"/>
      <c r="AT278" s="82"/>
      <c r="AU278" s="82"/>
      <c r="AV278" s="82"/>
      <c r="AW278" s="82"/>
      <c r="AX278" s="79"/>
      <c r="AY278" s="82"/>
      <c r="AZ278" s="82"/>
      <c r="BA278" s="82"/>
      <c r="BB278" s="82"/>
      <c r="BC278" s="82"/>
      <c r="BD278" s="82"/>
      <c r="BE278" s="82"/>
      <c r="BF278" s="82"/>
      <c r="BG278" s="82"/>
      <c r="BH278" s="1"/>
    </row>
    <row r="279" spans="1:60">
      <c r="A279" s="1040"/>
      <c r="B279" s="1109" t="s">
        <v>1219</v>
      </c>
      <c r="C279" s="1107" t="s">
        <v>96</v>
      </c>
      <c r="D279" s="638"/>
      <c r="E279" s="79"/>
      <c r="F279" s="79"/>
      <c r="G279" s="79"/>
      <c r="H279" s="85"/>
      <c r="I279" s="79"/>
      <c r="J279" s="82"/>
      <c r="K279" s="79"/>
      <c r="L279" s="79"/>
      <c r="M279" s="82"/>
      <c r="N279" s="79"/>
      <c r="O279" s="82"/>
      <c r="P279" s="1098"/>
      <c r="Q279" s="82"/>
      <c r="R279" s="82"/>
      <c r="S279" s="82"/>
      <c r="T279" s="82"/>
      <c r="U279" s="82"/>
      <c r="V279" s="82"/>
      <c r="W279" s="82"/>
      <c r="X279" s="82"/>
      <c r="Y279" s="82"/>
      <c r="Z279" s="79"/>
      <c r="AA279" s="82"/>
      <c r="AB279" s="82"/>
      <c r="AC279" s="82"/>
      <c r="AD279" s="82"/>
      <c r="AE279" s="82"/>
      <c r="AF279" s="82"/>
      <c r="AG279" s="82"/>
      <c r="AH279" s="82"/>
      <c r="AI279" s="82"/>
      <c r="AJ279" s="82"/>
      <c r="AK279" s="82"/>
      <c r="AL279" s="79"/>
      <c r="AM279" s="82"/>
      <c r="AN279" s="82"/>
      <c r="AO279" s="82"/>
      <c r="AP279" s="82"/>
      <c r="AQ279" s="82"/>
      <c r="AR279" s="82"/>
      <c r="AS279" s="82"/>
      <c r="AT279" s="82"/>
      <c r="AU279" s="82"/>
      <c r="AV279" s="82"/>
      <c r="AW279" s="82"/>
      <c r="AX279" s="79"/>
      <c r="AY279" s="82"/>
      <c r="AZ279" s="82"/>
      <c r="BA279" s="82"/>
      <c r="BB279" s="82"/>
      <c r="BC279" s="82"/>
      <c r="BD279" s="82"/>
      <c r="BE279" s="82"/>
      <c r="BF279" s="82"/>
      <c r="BG279" s="82"/>
      <c r="BH279" s="1"/>
    </row>
    <row r="280" spans="1:60" s="2" customFormat="1" ht="21">
      <c r="A280" s="1038"/>
      <c r="B280" s="1109" t="s">
        <v>1219</v>
      </c>
      <c r="C280" s="1106" t="s">
        <v>96</v>
      </c>
      <c r="D280" s="640" t="s">
        <v>45</v>
      </c>
      <c r="E280" s="209" t="s">
        <v>1220</v>
      </c>
      <c r="F280" s="209"/>
      <c r="G280" s="209"/>
      <c r="H280" s="209"/>
      <c r="I280" s="129"/>
      <c r="J280" s="256" t="str">
        <f>"MWh "&amp;J$8</f>
        <v>MWh alle locaties</v>
      </c>
      <c r="K280" s="126"/>
      <c r="L280" s="126"/>
      <c r="M280" s="256" t="str">
        <f>"MWh "&amp;M$8</f>
        <v>MWh locatie 1</v>
      </c>
      <c r="N280" s="182"/>
      <c r="O280" s="955" t="str">
        <f>$E280&amp;" per woning-/gebouwtype"</f>
        <v>primair fossiel energiegebruik per woning-/gebouwtype</v>
      </c>
      <c r="P280" s="945"/>
      <c r="Q280" s="945"/>
      <c r="R280" s="945"/>
      <c r="S280" s="945"/>
      <c r="T280" s="945"/>
      <c r="U280" s="945"/>
      <c r="V280" s="945"/>
      <c r="W280" s="257"/>
      <c r="X280" s="174"/>
      <c r="Y280" s="256" t="str">
        <f>"MWh "&amp;Y$8</f>
        <v>MWh locatie 2</v>
      </c>
      <c r="Z280" s="182"/>
      <c r="AA280" s="955" t="str">
        <f>$E280&amp;" per woning-/gebouwtype"</f>
        <v>primair fossiel energiegebruik per woning-/gebouwtype</v>
      </c>
      <c r="AB280" s="945"/>
      <c r="AC280" s="945"/>
      <c r="AD280" s="945"/>
      <c r="AE280" s="945"/>
      <c r="AF280" s="945"/>
      <c r="AG280" s="945"/>
      <c r="AH280" s="945"/>
      <c r="AI280" s="257"/>
      <c r="AJ280" s="174"/>
      <c r="AK280" s="256" t="str">
        <f>"MWh "&amp;AK$8</f>
        <v>MWh locatie 3</v>
      </c>
      <c r="AL280" s="182"/>
      <c r="AM280" s="955" t="str">
        <f>$E280&amp;" per woning-/gebouwtype"</f>
        <v>primair fossiel energiegebruik per woning-/gebouwtype</v>
      </c>
      <c r="AN280" s="945"/>
      <c r="AO280" s="945"/>
      <c r="AP280" s="945"/>
      <c r="AQ280" s="945"/>
      <c r="AR280" s="945"/>
      <c r="AS280" s="945"/>
      <c r="AT280" s="945"/>
      <c r="AU280" s="257"/>
      <c r="AV280" s="174"/>
      <c r="AW280" s="256" t="str">
        <f>"MWh "&amp;AW$8</f>
        <v>MWh locatie 4</v>
      </c>
      <c r="AX280" s="182"/>
      <c r="AY280" s="955" t="str">
        <f>$E280&amp;" per woning-/gebouwtype"</f>
        <v>primair fossiel energiegebruik per woning-/gebouwtype</v>
      </c>
      <c r="AZ280" s="945"/>
      <c r="BA280" s="945"/>
      <c r="BB280" s="945"/>
      <c r="BC280" s="945"/>
      <c r="BD280" s="945"/>
      <c r="BE280" s="945"/>
      <c r="BF280" s="945"/>
      <c r="BG280" s="257"/>
      <c r="BH280" s="1"/>
    </row>
    <row r="281" spans="1:60">
      <c r="A281" s="1040"/>
      <c r="B281" s="1109" t="s">
        <v>1219</v>
      </c>
      <c r="C281" s="1106" t="s">
        <v>96</v>
      </c>
      <c r="D281" s="638"/>
      <c r="E281" s="942" t="s">
        <v>1318</v>
      </c>
      <c r="F281" s="942"/>
      <c r="G281" s="942"/>
      <c r="H281" s="942"/>
      <c r="I281" s="129"/>
      <c r="J281" s="943"/>
      <c r="K281" s="126"/>
      <c r="L281" s="126"/>
      <c r="M281" s="944"/>
      <c r="N281" s="195"/>
      <c r="O281" s="258" t="str">
        <f>O$17</f>
        <v/>
      </c>
      <c r="P281" s="258" t="str">
        <f t="shared" ref="P281:W281" si="248">P$17</f>
        <v/>
      </c>
      <c r="Q281" s="258" t="str">
        <f t="shared" si="248"/>
        <v/>
      </c>
      <c r="R281" s="258" t="str">
        <f t="shared" si="248"/>
        <v/>
      </c>
      <c r="S281" s="258" t="str">
        <f t="shared" si="248"/>
        <v/>
      </c>
      <c r="T281" s="258" t="str">
        <f t="shared" si="248"/>
        <v/>
      </c>
      <c r="U281" s="258" t="str">
        <f t="shared" si="248"/>
        <v/>
      </c>
      <c r="V281" s="258" t="str">
        <f t="shared" si="248"/>
        <v/>
      </c>
      <c r="W281" s="258" t="str">
        <f t="shared" si="248"/>
        <v/>
      </c>
      <c r="X281" s="195"/>
      <c r="Y281" s="944"/>
      <c r="Z281" s="195"/>
      <c r="AA281" s="258" t="str">
        <f>AA$17</f>
        <v/>
      </c>
      <c r="AB281" s="258" t="str">
        <f t="shared" ref="AB281:AI281" si="249">AB$17</f>
        <v/>
      </c>
      <c r="AC281" s="258" t="str">
        <f t="shared" si="249"/>
        <v/>
      </c>
      <c r="AD281" s="258" t="str">
        <f t="shared" si="249"/>
        <v/>
      </c>
      <c r="AE281" s="258" t="str">
        <f t="shared" si="249"/>
        <v/>
      </c>
      <c r="AF281" s="258" t="str">
        <f t="shared" si="249"/>
        <v/>
      </c>
      <c r="AG281" s="258" t="str">
        <f t="shared" si="249"/>
        <v/>
      </c>
      <c r="AH281" s="258" t="str">
        <f t="shared" si="249"/>
        <v/>
      </c>
      <c r="AI281" s="258" t="str">
        <f t="shared" si="249"/>
        <v/>
      </c>
      <c r="AJ281" s="195"/>
      <c r="AK281" s="944"/>
      <c r="AL281" s="195"/>
      <c r="AM281" s="258" t="str">
        <f>AM$17</f>
        <v/>
      </c>
      <c r="AN281" s="258" t="str">
        <f t="shared" ref="AN281:AU281" si="250">AN$17</f>
        <v/>
      </c>
      <c r="AO281" s="258" t="str">
        <f t="shared" si="250"/>
        <v/>
      </c>
      <c r="AP281" s="258" t="str">
        <f t="shared" si="250"/>
        <v/>
      </c>
      <c r="AQ281" s="258" t="str">
        <f t="shared" si="250"/>
        <v/>
      </c>
      <c r="AR281" s="258" t="str">
        <f t="shared" si="250"/>
        <v/>
      </c>
      <c r="AS281" s="258" t="str">
        <f t="shared" si="250"/>
        <v/>
      </c>
      <c r="AT281" s="258" t="str">
        <f t="shared" si="250"/>
        <v/>
      </c>
      <c r="AU281" s="258" t="str">
        <f t="shared" si="250"/>
        <v/>
      </c>
      <c r="AV281" s="195"/>
      <c r="AW281" s="944"/>
      <c r="AX281" s="195"/>
      <c r="AY281" s="258" t="str">
        <f>AY$17</f>
        <v/>
      </c>
      <c r="AZ281" s="258" t="str">
        <f t="shared" ref="AZ281:BG281" si="251">AZ$17</f>
        <v/>
      </c>
      <c r="BA281" s="258" t="str">
        <f t="shared" si="251"/>
        <v/>
      </c>
      <c r="BB281" s="258" t="str">
        <f t="shared" si="251"/>
        <v/>
      </c>
      <c r="BC281" s="258" t="str">
        <f t="shared" si="251"/>
        <v/>
      </c>
      <c r="BD281" s="258" t="str">
        <f t="shared" si="251"/>
        <v/>
      </c>
      <c r="BE281" s="258" t="str">
        <f t="shared" si="251"/>
        <v/>
      </c>
      <c r="BF281" s="258" t="str">
        <f t="shared" si="251"/>
        <v/>
      </c>
      <c r="BG281" s="258" t="str">
        <f t="shared" si="251"/>
        <v/>
      </c>
      <c r="BH281" s="36"/>
    </row>
    <row r="282" spans="1:60">
      <c r="A282" s="1040"/>
      <c r="B282" s="1109" t="s">
        <v>1219</v>
      </c>
      <c r="C282" s="1107" t="s">
        <v>104</v>
      </c>
      <c r="D282" s="641"/>
      <c r="E282" s="304" t="str">
        <f>$O$10</f>
        <v>verwarming</v>
      </c>
      <c r="F282" s="180"/>
      <c r="G282" s="180"/>
      <c r="H282" s="201" t="s">
        <v>267</v>
      </c>
      <c r="I282" s="114"/>
      <c r="J282" s="190">
        <f t="shared" ref="J282:J290" si="252">M282+Y282+AK282+AW282</f>
        <v>0</v>
      </c>
      <c r="K282" s="1092"/>
      <c r="L282" s="1092"/>
      <c r="M282" s="190">
        <f t="shared" ref="M282:M289" si="253">SUMPRODUCT(N282:X282,N$22:X$22,N$29:X$29)/1000</f>
        <v>0</v>
      </c>
      <c r="N282" s="119"/>
      <c r="O282" s="183">
        <f t="shared" ref="O282:W282" si="254">IF(OR(O$22=0,$O$78=0),0,
(($O$120+$O$151+$O$174)/$O$78)*O62)</f>
        <v>0</v>
      </c>
      <c r="P282" s="183">
        <f t="shared" si="254"/>
        <v>0</v>
      </c>
      <c r="Q282" s="183">
        <f t="shared" si="254"/>
        <v>0</v>
      </c>
      <c r="R282" s="183">
        <f t="shared" si="254"/>
        <v>0</v>
      </c>
      <c r="S282" s="183">
        <f t="shared" si="254"/>
        <v>0</v>
      </c>
      <c r="T282" s="183">
        <f t="shared" si="254"/>
        <v>0</v>
      </c>
      <c r="U282" s="183">
        <f t="shared" si="254"/>
        <v>0</v>
      </c>
      <c r="V282" s="183">
        <f t="shared" si="254"/>
        <v>0</v>
      </c>
      <c r="W282" s="183">
        <f t="shared" si="254"/>
        <v>0</v>
      </c>
      <c r="X282" s="108"/>
      <c r="Y282" s="190">
        <f t="shared" ref="Y282:Y289" si="255">SUMPRODUCT(Z282:AJ282,Z$22:AJ$22,Z$29:AJ$29)/1000</f>
        <v>0</v>
      </c>
      <c r="Z282" s="119"/>
      <c r="AA282" s="183">
        <f t="shared" ref="AA282:AI282" si="256">IF(AA$22=0,0,
(($AA$120+$AA$151+$AA$174)/$AA$78)*AA62)</f>
        <v>0</v>
      </c>
      <c r="AB282" s="183">
        <f t="shared" si="256"/>
        <v>0</v>
      </c>
      <c r="AC282" s="183">
        <f t="shared" si="256"/>
        <v>0</v>
      </c>
      <c r="AD282" s="183">
        <f t="shared" si="256"/>
        <v>0</v>
      </c>
      <c r="AE282" s="183">
        <f t="shared" si="256"/>
        <v>0</v>
      </c>
      <c r="AF282" s="183">
        <f t="shared" si="256"/>
        <v>0</v>
      </c>
      <c r="AG282" s="183">
        <f t="shared" si="256"/>
        <v>0</v>
      </c>
      <c r="AH282" s="183">
        <f t="shared" si="256"/>
        <v>0</v>
      </c>
      <c r="AI282" s="183">
        <f t="shared" si="256"/>
        <v>0</v>
      </c>
      <c r="AJ282" s="1092"/>
      <c r="AK282" s="190">
        <f t="shared" ref="AK282:AK289" si="257">SUMPRODUCT(AL282:AV282,AL$22:AV$22,AL$29:AV$29)/1000</f>
        <v>0</v>
      </c>
      <c r="AL282" s="1092"/>
      <c r="AM282" s="183">
        <f t="shared" ref="AM282:AU282" si="258">IF(AM$22=0,0,
(($AM$120+$AM$151+$AM$174)/$AM$78)*AM62)</f>
        <v>0</v>
      </c>
      <c r="AN282" s="183">
        <f t="shared" si="258"/>
        <v>0</v>
      </c>
      <c r="AO282" s="183">
        <f t="shared" si="258"/>
        <v>0</v>
      </c>
      <c r="AP282" s="183">
        <f t="shared" si="258"/>
        <v>0</v>
      </c>
      <c r="AQ282" s="183">
        <f t="shared" si="258"/>
        <v>0</v>
      </c>
      <c r="AR282" s="183">
        <f t="shared" si="258"/>
        <v>0</v>
      </c>
      <c r="AS282" s="183">
        <f t="shared" si="258"/>
        <v>0</v>
      </c>
      <c r="AT282" s="183">
        <f t="shared" si="258"/>
        <v>0</v>
      </c>
      <c r="AU282" s="183">
        <f t="shared" si="258"/>
        <v>0</v>
      </c>
      <c r="AV282" s="1092"/>
      <c r="AW282" s="190">
        <f t="shared" ref="AW282:AW289" si="259">SUMPRODUCT(AX282:BH282,AX$22:BH$22,AX$29:BH$29)/1000</f>
        <v>0</v>
      </c>
      <c r="AX282" s="1092"/>
      <c r="AY282" s="183">
        <f t="shared" ref="AY282:BG282" si="260">IF(AY$22=0,0,
(($AY$120+$AY$151+$AY$174)/$AY$78)*AY62)</f>
        <v>0</v>
      </c>
      <c r="AZ282" s="183">
        <f t="shared" si="260"/>
        <v>0</v>
      </c>
      <c r="BA282" s="183">
        <f t="shared" si="260"/>
        <v>0</v>
      </c>
      <c r="BB282" s="183">
        <f t="shared" si="260"/>
        <v>0</v>
      </c>
      <c r="BC282" s="183">
        <f t="shared" si="260"/>
        <v>0</v>
      </c>
      <c r="BD282" s="183">
        <f t="shared" si="260"/>
        <v>0</v>
      </c>
      <c r="BE282" s="183">
        <f t="shared" si="260"/>
        <v>0</v>
      </c>
      <c r="BF282" s="183">
        <f t="shared" si="260"/>
        <v>0</v>
      </c>
      <c r="BG282" s="183">
        <f t="shared" si="260"/>
        <v>0</v>
      </c>
      <c r="BH282" s="210"/>
    </row>
    <row r="283" spans="1:60">
      <c r="A283" s="1040"/>
      <c r="B283" s="1109" t="s">
        <v>1219</v>
      </c>
      <c r="C283" s="1107" t="s">
        <v>104</v>
      </c>
      <c r="D283" s="641"/>
      <c r="E283" s="304" t="str">
        <f>$P$10</f>
        <v>koeling</v>
      </c>
      <c r="F283" s="180"/>
      <c r="G283" s="180"/>
      <c r="H283" s="201" t="s">
        <v>267</v>
      </c>
      <c r="I283" s="114"/>
      <c r="J283" s="190">
        <f t="shared" si="252"/>
        <v>0</v>
      </c>
      <c r="K283" s="1092"/>
      <c r="L283" s="1092"/>
      <c r="M283" s="190">
        <f t="shared" si="253"/>
        <v>0</v>
      </c>
      <c r="N283" s="119"/>
      <c r="O283" s="183">
        <f t="shared" ref="O283:W283" si="261">IF(OR(O$22=0,$P$78=0),0,
(($P$120+$P$151+$P$174)/$P$78)*O64)</f>
        <v>0</v>
      </c>
      <c r="P283" s="183">
        <f t="shared" si="261"/>
        <v>0</v>
      </c>
      <c r="Q283" s="183">
        <f t="shared" si="261"/>
        <v>0</v>
      </c>
      <c r="R283" s="183">
        <f t="shared" si="261"/>
        <v>0</v>
      </c>
      <c r="S283" s="183">
        <f t="shared" si="261"/>
        <v>0</v>
      </c>
      <c r="T283" s="183">
        <f t="shared" si="261"/>
        <v>0</v>
      </c>
      <c r="U283" s="183">
        <f t="shared" si="261"/>
        <v>0</v>
      </c>
      <c r="V283" s="183">
        <f t="shared" si="261"/>
        <v>0</v>
      </c>
      <c r="W283" s="183">
        <f t="shared" si="261"/>
        <v>0</v>
      </c>
      <c r="X283" s="108"/>
      <c r="Y283" s="190">
        <f t="shared" si="255"/>
        <v>0</v>
      </c>
      <c r="Z283" s="119"/>
      <c r="AA283" s="183">
        <f t="shared" ref="AA283:AI283" si="262">IF(OR(AA$22=0,$AB$78=0),0,
(($AB$120+$AB$151+$AB$174)/$AB$78)*AA64)</f>
        <v>0</v>
      </c>
      <c r="AB283" s="183">
        <f t="shared" si="262"/>
        <v>0</v>
      </c>
      <c r="AC283" s="183">
        <f t="shared" si="262"/>
        <v>0</v>
      </c>
      <c r="AD283" s="183">
        <f t="shared" si="262"/>
        <v>0</v>
      </c>
      <c r="AE283" s="183">
        <f t="shared" si="262"/>
        <v>0</v>
      </c>
      <c r="AF283" s="183">
        <f t="shared" si="262"/>
        <v>0</v>
      </c>
      <c r="AG283" s="183">
        <f t="shared" si="262"/>
        <v>0</v>
      </c>
      <c r="AH283" s="183">
        <f t="shared" si="262"/>
        <v>0</v>
      </c>
      <c r="AI283" s="183">
        <f t="shared" si="262"/>
        <v>0</v>
      </c>
      <c r="AJ283" s="1092"/>
      <c r="AK283" s="190">
        <f t="shared" si="257"/>
        <v>0</v>
      </c>
      <c r="AL283" s="1092"/>
      <c r="AM283" s="183">
        <f t="shared" ref="AM283:AU283" si="263">IF(OR(AM$22=0,$AN$78=0),0,
(($AN$120+$AN$151+$AN$174)/$AN$78)*AM64)</f>
        <v>0</v>
      </c>
      <c r="AN283" s="183">
        <f t="shared" si="263"/>
        <v>0</v>
      </c>
      <c r="AO283" s="183">
        <f t="shared" si="263"/>
        <v>0</v>
      </c>
      <c r="AP283" s="183">
        <f t="shared" si="263"/>
        <v>0</v>
      </c>
      <c r="AQ283" s="183">
        <f t="shared" si="263"/>
        <v>0</v>
      </c>
      <c r="AR283" s="183">
        <f t="shared" si="263"/>
        <v>0</v>
      </c>
      <c r="AS283" s="183">
        <f t="shared" si="263"/>
        <v>0</v>
      </c>
      <c r="AT283" s="183">
        <f t="shared" si="263"/>
        <v>0</v>
      </c>
      <c r="AU283" s="183">
        <f t="shared" si="263"/>
        <v>0</v>
      </c>
      <c r="AV283" s="1092"/>
      <c r="AW283" s="190">
        <f t="shared" si="259"/>
        <v>0</v>
      </c>
      <c r="AX283" s="1092"/>
      <c r="AY283" s="183">
        <f t="shared" ref="AY283:BG283" si="264">IF(OR(AY$22=0,$AZ$78=0),0,
(($AZ$120+$AZ$151+$AZ$174)/$AZ$78)*AY64)</f>
        <v>0</v>
      </c>
      <c r="AZ283" s="183">
        <f t="shared" si="264"/>
        <v>0</v>
      </c>
      <c r="BA283" s="183">
        <f t="shared" si="264"/>
        <v>0</v>
      </c>
      <c r="BB283" s="183">
        <f t="shared" si="264"/>
        <v>0</v>
      </c>
      <c r="BC283" s="183">
        <f t="shared" si="264"/>
        <v>0</v>
      </c>
      <c r="BD283" s="183">
        <f t="shared" si="264"/>
        <v>0</v>
      </c>
      <c r="BE283" s="183">
        <f t="shared" si="264"/>
        <v>0</v>
      </c>
      <c r="BF283" s="183">
        <f t="shared" si="264"/>
        <v>0</v>
      </c>
      <c r="BG283" s="183">
        <f t="shared" si="264"/>
        <v>0</v>
      </c>
      <c r="BH283" s="210"/>
    </row>
    <row r="284" spans="1:60">
      <c r="A284" s="1040"/>
      <c r="B284" s="1109" t="s">
        <v>1219</v>
      </c>
      <c r="C284" s="1107" t="s">
        <v>104</v>
      </c>
      <c r="D284" s="641"/>
      <c r="E284" s="304" t="str">
        <f>$Q$10</f>
        <v>tapwater</v>
      </c>
      <c r="F284" s="180"/>
      <c r="G284" s="180"/>
      <c r="H284" s="201" t="s">
        <v>267</v>
      </c>
      <c r="I284" s="114"/>
      <c r="J284" s="190">
        <f t="shared" si="252"/>
        <v>0</v>
      </c>
      <c r="K284" s="1092"/>
      <c r="L284" s="1092"/>
      <c r="M284" s="190">
        <f t="shared" si="253"/>
        <v>0</v>
      </c>
      <c r="N284" s="119"/>
      <c r="O284" s="183">
        <f t="shared" ref="O284:W284" si="265">IF(O$22=0,0,
(($Q$120+$Q$151+$Q$174)/$Q$78)*O65)</f>
        <v>0</v>
      </c>
      <c r="P284" s="183">
        <f t="shared" si="265"/>
        <v>0</v>
      </c>
      <c r="Q284" s="183">
        <f t="shared" si="265"/>
        <v>0</v>
      </c>
      <c r="R284" s="183">
        <f t="shared" si="265"/>
        <v>0</v>
      </c>
      <c r="S284" s="183">
        <f t="shared" si="265"/>
        <v>0</v>
      </c>
      <c r="T284" s="183">
        <f t="shared" si="265"/>
        <v>0</v>
      </c>
      <c r="U284" s="183">
        <f t="shared" si="265"/>
        <v>0</v>
      </c>
      <c r="V284" s="183">
        <f t="shared" si="265"/>
        <v>0</v>
      </c>
      <c r="W284" s="183">
        <f t="shared" si="265"/>
        <v>0</v>
      </c>
      <c r="X284" s="108"/>
      <c r="Y284" s="190">
        <f t="shared" si="255"/>
        <v>0</v>
      </c>
      <c r="Z284" s="119"/>
      <c r="AA284" s="183">
        <f t="shared" ref="AA284:AI284" si="266">IF(AA$22=0,0,
(($AC$120+$AC$151+$AC$174)/$AC$78)*AA65)</f>
        <v>0</v>
      </c>
      <c r="AB284" s="183">
        <f t="shared" si="266"/>
        <v>0</v>
      </c>
      <c r="AC284" s="183">
        <f t="shared" si="266"/>
        <v>0</v>
      </c>
      <c r="AD284" s="183">
        <f t="shared" si="266"/>
        <v>0</v>
      </c>
      <c r="AE284" s="183">
        <f t="shared" si="266"/>
        <v>0</v>
      </c>
      <c r="AF284" s="183">
        <f t="shared" si="266"/>
        <v>0</v>
      </c>
      <c r="AG284" s="183">
        <f t="shared" si="266"/>
        <v>0</v>
      </c>
      <c r="AH284" s="183">
        <f t="shared" si="266"/>
        <v>0</v>
      </c>
      <c r="AI284" s="183">
        <f t="shared" si="266"/>
        <v>0</v>
      </c>
      <c r="AJ284" s="1092"/>
      <c r="AK284" s="190">
        <f t="shared" si="257"/>
        <v>0</v>
      </c>
      <c r="AL284" s="1092"/>
      <c r="AM284" s="183">
        <f t="shared" ref="AM284:AU284" si="267">IF(AM$22=0,0,
(($AO$120+$AO$151+$AO$174)/$AO$78)*AM65)</f>
        <v>0</v>
      </c>
      <c r="AN284" s="183">
        <f t="shared" si="267"/>
        <v>0</v>
      </c>
      <c r="AO284" s="183">
        <f t="shared" si="267"/>
        <v>0</v>
      </c>
      <c r="AP284" s="183">
        <f t="shared" si="267"/>
        <v>0</v>
      </c>
      <c r="AQ284" s="183">
        <f t="shared" si="267"/>
        <v>0</v>
      </c>
      <c r="AR284" s="183">
        <f t="shared" si="267"/>
        <v>0</v>
      </c>
      <c r="AS284" s="183">
        <f t="shared" si="267"/>
        <v>0</v>
      </c>
      <c r="AT284" s="183">
        <f t="shared" si="267"/>
        <v>0</v>
      </c>
      <c r="AU284" s="183">
        <f t="shared" si="267"/>
        <v>0</v>
      </c>
      <c r="AV284" s="1092"/>
      <c r="AW284" s="190">
        <f t="shared" si="259"/>
        <v>0</v>
      </c>
      <c r="AX284" s="1092"/>
      <c r="AY284" s="183">
        <f t="shared" ref="AY284:BG284" si="268">IF(AY$22=0,0,
(($BA$120+$BA$151+$BA$174)/$BA$78)*AY65)</f>
        <v>0</v>
      </c>
      <c r="AZ284" s="183">
        <f t="shared" si="268"/>
        <v>0</v>
      </c>
      <c r="BA284" s="183">
        <f t="shared" si="268"/>
        <v>0</v>
      </c>
      <c r="BB284" s="183">
        <f t="shared" si="268"/>
        <v>0</v>
      </c>
      <c r="BC284" s="183">
        <f t="shared" si="268"/>
        <v>0</v>
      </c>
      <c r="BD284" s="183">
        <f t="shared" si="268"/>
        <v>0</v>
      </c>
      <c r="BE284" s="183">
        <f t="shared" si="268"/>
        <v>0</v>
      </c>
      <c r="BF284" s="183">
        <f t="shared" si="268"/>
        <v>0</v>
      </c>
      <c r="BG284" s="183">
        <f t="shared" si="268"/>
        <v>0</v>
      </c>
      <c r="BH284" s="210"/>
    </row>
    <row r="285" spans="1:60">
      <c r="A285" s="1040"/>
      <c r="B285" s="1109" t="s">
        <v>1219</v>
      </c>
      <c r="C285" s="1107" t="s">
        <v>104</v>
      </c>
      <c r="D285" s="641"/>
      <c r="E285" s="304" t="str">
        <f>$R$10</f>
        <v>verlichting</v>
      </c>
      <c r="F285" s="180"/>
      <c r="G285" s="180"/>
      <c r="H285" s="201" t="s">
        <v>267</v>
      </c>
      <c r="I285" s="114"/>
      <c r="J285" s="190">
        <f t="shared" si="252"/>
        <v>0</v>
      </c>
      <c r="K285" s="1092"/>
      <c r="L285" s="1092"/>
      <c r="M285" s="190">
        <f>SUMPRODUCT(N285:X285,N$22:X$22,N$29:X$29)/1000</f>
        <v>0</v>
      </c>
      <c r="N285" s="119"/>
      <c r="O285" s="183">
        <f t="shared" ref="O285:W285" si="269">IF(O$22=0,0,$R$174/$R$78*O66)</f>
        <v>0</v>
      </c>
      <c r="P285" s="183">
        <f t="shared" si="269"/>
        <v>0</v>
      </c>
      <c r="Q285" s="183">
        <f t="shared" si="269"/>
        <v>0</v>
      </c>
      <c r="R285" s="183">
        <f t="shared" si="269"/>
        <v>0</v>
      </c>
      <c r="S285" s="183">
        <f t="shared" si="269"/>
        <v>0</v>
      </c>
      <c r="T285" s="183">
        <f t="shared" si="269"/>
        <v>0</v>
      </c>
      <c r="U285" s="183">
        <f t="shared" si="269"/>
        <v>0</v>
      </c>
      <c r="V285" s="183">
        <f t="shared" si="269"/>
        <v>0</v>
      </c>
      <c r="W285" s="183">
        <f t="shared" si="269"/>
        <v>0</v>
      </c>
      <c r="X285" s="108"/>
      <c r="Y285" s="190">
        <f t="shared" si="255"/>
        <v>0</v>
      </c>
      <c r="Z285" s="119"/>
      <c r="AA285" s="183">
        <f t="shared" ref="AA285:AI285" si="270">IF(AA$22=0,0,$AD$174/$AD$78*AA66)</f>
        <v>0</v>
      </c>
      <c r="AB285" s="183">
        <f t="shared" si="270"/>
        <v>0</v>
      </c>
      <c r="AC285" s="183">
        <f t="shared" si="270"/>
        <v>0</v>
      </c>
      <c r="AD285" s="183">
        <f t="shared" si="270"/>
        <v>0</v>
      </c>
      <c r="AE285" s="183">
        <f t="shared" si="270"/>
        <v>0</v>
      </c>
      <c r="AF285" s="183">
        <f t="shared" si="270"/>
        <v>0</v>
      </c>
      <c r="AG285" s="183">
        <f t="shared" si="270"/>
        <v>0</v>
      </c>
      <c r="AH285" s="183">
        <f t="shared" si="270"/>
        <v>0</v>
      </c>
      <c r="AI285" s="183">
        <f t="shared" si="270"/>
        <v>0</v>
      </c>
      <c r="AJ285" s="1092"/>
      <c r="AK285" s="190">
        <f t="shared" si="257"/>
        <v>0</v>
      </c>
      <c r="AL285" s="1092"/>
      <c r="AM285" s="183">
        <f t="shared" ref="AM285:AU285" si="271">IF(AM$22=0,0,$AP$174/$AP$78*AM66)</f>
        <v>0</v>
      </c>
      <c r="AN285" s="183">
        <f t="shared" si="271"/>
        <v>0</v>
      </c>
      <c r="AO285" s="183">
        <f t="shared" si="271"/>
        <v>0</v>
      </c>
      <c r="AP285" s="183">
        <f t="shared" si="271"/>
        <v>0</v>
      </c>
      <c r="AQ285" s="183">
        <f t="shared" si="271"/>
        <v>0</v>
      </c>
      <c r="AR285" s="183">
        <f t="shared" si="271"/>
        <v>0</v>
      </c>
      <c r="AS285" s="183">
        <f t="shared" si="271"/>
        <v>0</v>
      </c>
      <c r="AT285" s="183">
        <f t="shared" si="271"/>
        <v>0</v>
      </c>
      <c r="AU285" s="183">
        <f t="shared" si="271"/>
        <v>0</v>
      </c>
      <c r="AV285" s="1092"/>
      <c r="AW285" s="190">
        <f t="shared" si="259"/>
        <v>0</v>
      </c>
      <c r="AX285" s="1092"/>
      <c r="AY285" s="183">
        <f t="shared" ref="AY285:BG285" si="272">IF(AY$22=0,0,$BB$174/$BB$78*AY66)</f>
        <v>0</v>
      </c>
      <c r="AZ285" s="183">
        <f t="shared" si="272"/>
        <v>0</v>
      </c>
      <c r="BA285" s="183">
        <f t="shared" si="272"/>
        <v>0</v>
      </c>
      <c r="BB285" s="183">
        <f t="shared" si="272"/>
        <v>0</v>
      </c>
      <c r="BC285" s="183">
        <f t="shared" si="272"/>
        <v>0</v>
      </c>
      <c r="BD285" s="183">
        <f t="shared" si="272"/>
        <v>0</v>
      </c>
      <c r="BE285" s="183">
        <f t="shared" si="272"/>
        <v>0</v>
      </c>
      <c r="BF285" s="183">
        <f t="shared" si="272"/>
        <v>0</v>
      </c>
      <c r="BG285" s="183">
        <f t="shared" si="272"/>
        <v>0</v>
      </c>
      <c r="BH285" s="210"/>
    </row>
    <row r="286" spans="1:60">
      <c r="A286" s="1040"/>
      <c r="B286" s="1109" t="s">
        <v>1219</v>
      </c>
      <c r="C286" s="1107" t="s">
        <v>104</v>
      </c>
      <c r="D286" s="641"/>
      <c r="E286" s="304" t="str">
        <f>$S$10</f>
        <v>ventilatoren</v>
      </c>
      <c r="F286" s="180"/>
      <c r="G286" s="180"/>
      <c r="H286" s="201" t="s">
        <v>267</v>
      </c>
      <c r="I286" s="114"/>
      <c r="J286" s="190">
        <f t="shared" si="252"/>
        <v>0</v>
      </c>
      <c r="K286" s="1092"/>
      <c r="L286" s="1092"/>
      <c r="M286" s="190">
        <f t="shared" si="253"/>
        <v>0</v>
      </c>
      <c r="N286" s="119"/>
      <c r="O286" s="183">
        <f t="shared" ref="O286:W286" si="273">IF(OR(O$22=0,$S$78=0),0,$S$174/$S$78*O67)</f>
        <v>0</v>
      </c>
      <c r="P286" s="183">
        <f t="shared" si="273"/>
        <v>0</v>
      </c>
      <c r="Q286" s="183">
        <f t="shared" si="273"/>
        <v>0</v>
      </c>
      <c r="R286" s="183">
        <f t="shared" si="273"/>
        <v>0</v>
      </c>
      <c r="S286" s="183">
        <f t="shared" si="273"/>
        <v>0</v>
      </c>
      <c r="T286" s="183">
        <f t="shared" si="273"/>
        <v>0</v>
      </c>
      <c r="U286" s="183">
        <f t="shared" si="273"/>
        <v>0</v>
      </c>
      <c r="V286" s="183">
        <f t="shared" si="273"/>
        <v>0</v>
      </c>
      <c r="W286" s="183">
        <f t="shared" si="273"/>
        <v>0</v>
      </c>
      <c r="X286" s="108"/>
      <c r="Y286" s="190">
        <f t="shared" si="255"/>
        <v>0</v>
      </c>
      <c r="Z286" s="119"/>
      <c r="AA286" s="183">
        <f t="shared" ref="AA286:AI286" si="274">IF(OR(AA$22=0,$AE$78=0),0,$AE$174/$AE$78*AA67)</f>
        <v>0</v>
      </c>
      <c r="AB286" s="183">
        <f t="shared" si="274"/>
        <v>0</v>
      </c>
      <c r="AC286" s="183">
        <f t="shared" si="274"/>
        <v>0</v>
      </c>
      <c r="AD286" s="183">
        <f t="shared" si="274"/>
        <v>0</v>
      </c>
      <c r="AE286" s="183">
        <f t="shared" si="274"/>
        <v>0</v>
      </c>
      <c r="AF286" s="183">
        <f t="shared" si="274"/>
        <v>0</v>
      </c>
      <c r="AG286" s="183">
        <f t="shared" si="274"/>
        <v>0</v>
      </c>
      <c r="AH286" s="183">
        <f t="shared" si="274"/>
        <v>0</v>
      </c>
      <c r="AI286" s="183">
        <f t="shared" si="274"/>
        <v>0</v>
      </c>
      <c r="AJ286" s="1092"/>
      <c r="AK286" s="190">
        <f t="shared" si="257"/>
        <v>0</v>
      </c>
      <c r="AL286" s="1092"/>
      <c r="AM286" s="183">
        <f t="shared" ref="AM286:AU286" si="275">IF(OR(AM$22=0,$AQ$78=0),0,$AQ$174/$AQ$78*AM67)</f>
        <v>0</v>
      </c>
      <c r="AN286" s="183">
        <f t="shared" si="275"/>
        <v>0</v>
      </c>
      <c r="AO286" s="183">
        <f t="shared" si="275"/>
        <v>0</v>
      </c>
      <c r="AP286" s="183">
        <f t="shared" si="275"/>
        <v>0</v>
      </c>
      <c r="AQ286" s="183">
        <f t="shared" si="275"/>
        <v>0</v>
      </c>
      <c r="AR286" s="183">
        <f t="shared" si="275"/>
        <v>0</v>
      </c>
      <c r="AS286" s="183">
        <f t="shared" si="275"/>
        <v>0</v>
      </c>
      <c r="AT286" s="183">
        <f t="shared" si="275"/>
        <v>0</v>
      </c>
      <c r="AU286" s="183">
        <f t="shared" si="275"/>
        <v>0</v>
      </c>
      <c r="AV286" s="1092"/>
      <c r="AW286" s="190">
        <f t="shared" si="259"/>
        <v>0</v>
      </c>
      <c r="AX286" s="1092"/>
      <c r="AY286" s="183">
        <f t="shared" ref="AY286:BG286" si="276">IF(OR(AY$22=0,$BC$78=0),0,$BC$174/$BC$78*AY67)</f>
        <v>0</v>
      </c>
      <c r="AZ286" s="183">
        <f t="shared" si="276"/>
        <v>0</v>
      </c>
      <c r="BA286" s="183">
        <f t="shared" si="276"/>
        <v>0</v>
      </c>
      <c r="BB286" s="183">
        <f t="shared" si="276"/>
        <v>0</v>
      </c>
      <c r="BC286" s="183">
        <f t="shared" si="276"/>
        <v>0</v>
      </c>
      <c r="BD286" s="183">
        <f t="shared" si="276"/>
        <v>0</v>
      </c>
      <c r="BE286" s="183">
        <f t="shared" si="276"/>
        <v>0</v>
      </c>
      <c r="BF286" s="183">
        <f t="shared" si="276"/>
        <v>0</v>
      </c>
      <c r="BG286" s="183">
        <f t="shared" si="276"/>
        <v>0</v>
      </c>
      <c r="BH286" s="210"/>
    </row>
    <row r="287" spans="1:60">
      <c r="A287" s="1040"/>
      <c r="B287" s="1109" t="s">
        <v>1219</v>
      </c>
      <c r="C287" s="1107" t="s">
        <v>104</v>
      </c>
      <c r="D287" s="641"/>
      <c r="E287" s="304" t="str">
        <f>$T$10</f>
        <v>kookgas</v>
      </c>
      <c r="F287" s="180"/>
      <c r="G287" s="180"/>
      <c r="H287" s="201" t="s">
        <v>267</v>
      </c>
      <c r="I287" s="114"/>
      <c r="J287" s="190">
        <f t="shared" si="252"/>
        <v>0</v>
      </c>
      <c r="K287" s="1092"/>
      <c r="L287" s="1092"/>
      <c r="M287" s="190">
        <f t="shared" si="253"/>
        <v>0</v>
      </c>
      <c r="N287" s="119"/>
      <c r="O287" s="183">
        <f t="shared" ref="O287:W287" si="277">IF(OR(O$22=0,$T$78=0),0,$T$246/$T$78*O68)</f>
        <v>0</v>
      </c>
      <c r="P287" s="183">
        <f t="shared" si="277"/>
        <v>0</v>
      </c>
      <c r="Q287" s="183">
        <f t="shared" si="277"/>
        <v>0</v>
      </c>
      <c r="R287" s="183">
        <f t="shared" si="277"/>
        <v>0</v>
      </c>
      <c r="S287" s="183">
        <f t="shared" si="277"/>
        <v>0</v>
      </c>
      <c r="T287" s="183">
        <f t="shared" si="277"/>
        <v>0</v>
      </c>
      <c r="U287" s="183">
        <f t="shared" si="277"/>
        <v>0</v>
      </c>
      <c r="V287" s="183">
        <f t="shared" si="277"/>
        <v>0</v>
      </c>
      <c r="W287" s="183">
        <f t="shared" si="277"/>
        <v>0</v>
      </c>
      <c r="X287" s="108"/>
      <c r="Y287" s="190">
        <f t="shared" si="255"/>
        <v>0</v>
      </c>
      <c r="Z287" s="119"/>
      <c r="AA287" s="183">
        <f t="shared" ref="AA287:AI287" si="278">IF(OR(AA$22=0,$AF$78=0),0,$AF$246/$AF$78*AA68)</f>
        <v>0</v>
      </c>
      <c r="AB287" s="183">
        <f t="shared" si="278"/>
        <v>0</v>
      </c>
      <c r="AC287" s="183">
        <f t="shared" si="278"/>
        <v>0</v>
      </c>
      <c r="AD287" s="183">
        <f t="shared" si="278"/>
        <v>0</v>
      </c>
      <c r="AE287" s="183">
        <f t="shared" si="278"/>
        <v>0</v>
      </c>
      <c r="AF287" s="183">
        <f t="shared" si="278"/>
        <v>0</v>
      </c>
      <c r="AG287" s="183">
        <f t="shared" si="278"/>
        <v>0</v>
      </c>
      <c r="AH287" s="183">
        <f t="shared" si="278"/>
        <v>0</v>
      </c>
      <c r="AI287" s="183">
        <f t="shared" si="278"/>
        <v>0</v>
      </c>
      <c r="AJ287" s="1092"/>
      <c r="AK287" s="190">
        <f t="shared" si="257"/>
        <v>0</v>
      </c>
      <c r="AL287" s="1092"/>
      <c r="AM287" s="183">
        <f t="shared" ref="AM287:AU287" si="279">IF(OR(AM$22=0,$AR$78=0),0,$AR$246/$AR$78*AM68)</f>
        <v>0</v>
      </c>
      <c r="AN287" s="183">
        <f t="shared" si="279"/>
        <v>0</v>
      </c>
      <c r="AO287" s="183">
        <f t="shared" si="279"/>
        <v>0</v>
      </c>
      <c r="AP287" s="183">
        <f t="shared" si="279"/>
        <v>0</v>
      </c>
      <c r="AQ287" s="183">
        <f t="shared" si="279"/>
        <v>0</v>
      </c>
      <c r="AR287" s="183">
        <f t="shared" si="279"/>
        <v>0</v>
      </c>
      <c r="AS287" s="183">
        <f t="shared" si="279"/>
        <v>0</v>
      </c>
      <c r="AT287" s="183">
        <f t="shared" si="279"/>
        <v>0</v>
      </c>
      <c r="AU287" s="183">
        <f t="shared" si="279"/>
        <v>0</v>
      </c>
      <c r="AV287" s="1092"/>
      <c r="AW287" s="190">
        <f t="shared" si="259"/>
        <v>0</v>
      </c>
      <c r="AX287" s="1092"/>
      <c r="AY287" s="183">
        <f t="shared" ref="AY287:BG287" si="280">IF(OR(AY$22=0,$BD$78=0),0,$BD$246/$BD$78*AY68)</f>
        <v>0</v>
      </c>
      <c r="AZ287" s="183">
        <f t="shared" si="280"/>
        <v>0</v>
      </c>
      <c r="BA287" s="183">
        <f t="shared" si="280"/>
        <v>0</v>
      </c>
      <c r="BB287" s="183">
        <f t="shared" si="280"/>
        <v>0</v>
      </c>
      <c r="BC287" s="183">
        <f t="shared" si="280"/>
        <v>0</v>
      </c>
      <c r="BD287" s="183">
        <f t="shared" si="280"/>
        <v>0</v>
      </c>
      <c r="BE287" s="183">
        <f t="shared" si="280"/>
        <v>0</v>
      </c>
      <c r="BF287" s="183">
        <f t="shared" si="280"/>
        <v>0</v>
      </c>
      <c r="BG287" s="183">
        <f t="shared" si="280"/>
        <v>0</v>
      </c>
      <c r="BH287" s="210"/>
    </row>
    <row r="288" spans="1:60">
      <c r="A288" s="1040"/>
      <c r="B288" s="1109" t="s">
        <v>1219</v>
      </c>
      <c r="C288" s="1107" t="s">
        <v>104</v>
      </c>
      <c r="D288" s="641"/>
      <c r="E288" s="304" t="str">
        <f>$U$10</f>
        <v>overig elektra</v>
      </c>
      <c r="F288" s="180"/>
      <c r="G288" s="180"/>
      <c r="H288" s="201" t="s">
        <v>267</v>
      </c>
      <c r="I288" s="114"/>
      <c r="J288" s="190">
        <f t="shared" si="252"/>
        <v>0</v>
      </c>
      <c r="K288" s="1092"/>
      <c r="L288" s="1092"/>
      <c r="M288" s="190">
        <f t="shared" si="253"/>
        <v>0</v>
      </c>
      <c r="N288" s="119"/>
      <c r="O288" s="183">
        <f t="shared" ref="O288:W288" si="281">IF(OR(O$22=0,$U$78=0),0,$U$174/$U$78*O69)</f>
        <v>0</v>
      </c>
      <c r="P288" s="183">
        <f t="shared" si="281"/>
        <v>0</v>
      </c>
      <c r="Q288" s="183">
        <f t="shared" si="281"/>
        <v>0</v>
      </c>
      <c r="R288" s="183">
        <f t="shared" si="281"/>
        <v>0</v>
      </c>
      <c r="S288" s="183">
        <f t="shared" si="281"/>
        <v>0</v>
      </c>
      <c r="T288" s="183">
        <f t="shared" si="281"/>
        <v>0</v>
      </c>
      <c r="U288" s="183">
        <f t="shared" si="281"/>
        <v>0</v>
      </c>
      <c r="V288" s="183">
        <f t="shared" si="281"/>
        <v>0</v>
      </c>
      <c r="W288" s="183">
        <f t="shared" si="281"/>
        <v>0</v>
      </c>
      <c r="X288" s="108"/>
      <c r="Y288" s="190">
        <f t="shared" si="255"/>
        <v>0</v>
      </c>
      <c r="Z288" s="119"/>
      <c r="AA288" s="183">
        <f t="shared" ref="AA288:AI288" si="282">IF(OR(AA$22=0,$AG$78=0),0,$AG$174/$AG$78*AA69)</f>
        <v>0</v>
      </c>
      <c r="AB288" s="183">
        <f t="shared" si="282"/>
        <v>0</v>
      </c>
      <c r="AC288" s="183">
        <f t="shared" si="282"/>
        <v>0</v>
      </c>
      <c r="AD288" s="183">
        <f t="shared" si="282"/>
        <v>0</v>
      </c>
      <c r="AE288" s="183">
        <f t="shared" si="282"/>
        <v>0</v>
      </c>
      <c r="AF288" s="183">
        <f t="shared" si="282"/>
        <v>0</v>
      </c>
      <c r="AG288" s="183">
        <f t="shared" si="282"/>
        <v>0</v>
      </c>
      <c r="AH288" s="183">
        <f t="shared" si="282"/>
        <v>0</v>
      </c>
      <c r="AI288" s="183">
        <f t="shared" si="282"/>
        <v>0</v>
      </c>
      <c r="AJ288" s="1092"/>
      <c r="AK288" s="190">
        <f t="shared" si="257"/>
        <v>0</v>
      </c>
      <c r="AL288" s="1092"/>
      <c r="AM288" s="183">
        <f t="shared" ref="AM288:AU288" si="283">IF(OR(AM$22=0,$AS$78=0),0,$AS$174/$AS$78*AM69)</f>
        <v>0</v>
      </c>
      <c r="AN288" s="183">
        <f t="shared" si="283"/>
        <v>0</v>
      </c>
      <c r="AO288" s="183">
        <f t="shared" si="283"/>
        <v>0</v>
      </c>
      <c r="AP288" s="183">
        <f t="shared" si="283"/>
        <v>0</v>
      </c>
      <c r="AQ288" s="183">
        <f t="shared" si="283"/>
        <v>0</v>
      </c>
      <c r="AR288" s="183">
        <f t="shared" si="283"/>
        <v>0</v>
      </c>
      <c r="AS288" s="183">
        <f t="shared" si="283"/>
        <v>0</v>
      </c>
      <c r="AT288" s="183">
        <f t="shared" si="283"/>
        <v>0</v>
      </c>
      <c r="AU288" s="183">
        <f t="shared" si="283"/>
        <v>0</v>
      </c>
      <c r="AV288" s="1092"/>
      <c r="AW288" s="190">
        <f t="shared" si="259"/>
        <v>0</v>
      </c>
      <c r="AX288" s="1092"/>
      <c r="AY288" s="183">
        <f t="shared" ref="AY288:BG288" si="284">IF(OR(AY$22=0,$BE$78=0),0,$BE$174/$BE$78*AY69)</f>
        <v>0</v>
      </c>
      <c r="AZ288" s="183">
        <f t="shared" si="284"/>
        <v>0</v>
      </c>
      <c r="BA288" s="183">
        <f t="shared" si="284"/>
        <v>0</v>
      </c>
      <c r="BB288" s="183">
        <f t="shared" si="284"/>
        <v>0</v>
      </c>
      <c r="BC288" s="183">
        <f t="shared" si="284"/>
        <v>0</v>
      </c>
      <c r="BD288" s="183">
        <f t="shared" si="284"/>
        <v>0</v>
      </c>
      <c r="BE288" s="183">
        <f t="shared" si="284"/>
        <v>0</v>
      </c>
      <c r="BF288" s="183">
        <f t="shared" si="284"/>
        <v>0</v>
      </c>
      <c r="BG288" s="183">
        <f t="shared" si="284"/>
        <v>0</v>
      </c>
      <c r="BH288" s="210"/>
    </row>
    <row r="289" spans="1:60">
      <c r="A289" s="1040"/>
      <c r="B289" s="1109" t="s">
        <v>1219</v>
      </c>
      <c r="C289" s="1107" t="s">
        <v>104</v>
      </c>
      <c r="D289" s="641"/>
      <c r="E289" s="304" t="str">
        <f>$V$10</f>
        <v>mobiliteit</v>
      </c>
      <c r="F289" s="180"/>
      <c r="G289" s="180"/>
      <c r="H289" s="201" t="s">
        <v>267</v>
      </c>
      <c r="I289" s="114"/>
      <c r="J289" s="190">
        <f t="shared" si="252"/>
        <v>0</v>
      </c>
      <c r="K289" s="1092"/>
      <c r="L289" s="1092"/>
      <c r="M289" s="190">
        <f t="shared" si="253"/>
        <v>0</v>
      </c>
      <c r="N289" s="119"/>
      <c r="O289" s="183">
        <f t="shared" ref="O289:W289" si="285">IF(OR($V$169=0,O$29=0),0,$V$174/$V$169*O$71/O$29)</f>
        <v>0</v>
      </c>
      <c r="P289" s="183">
        <f t="shared" si="285"/>
        <v>0</v>
      </c>
      <c r="Q289" s="183">
        <f t="shared" si="285"/>
        <v>0</v>
      </c>
      <c r="R289" s="183">
        <f t="shared" si="285"/>
        <v>0</v>
      </c>
      <c r="S289" s="183">
        <f t="shared" si="285"/>
        <v>0</v>
      </c>
      <c r="T289" s="183">
        <f t="shared" si="285"/>
        <v>0</v>
      </c>
      <c r="U289" s="183">
        <f t="shared" si="285"/>
        <v>0</v>
      </c>
      <c r="V289" s="183">
        <f t="shared" si="285"/>
        <v>0</v>
      </c>
      <c r="W289" s="183">
        <f t="shared" si="285"/>
        <v>0</v>
      </c>
      <c r="X289" s="108"/>
      <c r="Y289" s="190">
        <f t="shared" si="255"/>
        <v>0</v>
      </c>
      <c r="Z289" s="119"/>
      <c r="AA289" s="183">
        <f t="shared" ref="AA289:AI289" si="286">IF(OR($AH$169=0,AA$29=0),0,$AH$174/$AH$169*AA$71/AA$29)</f>
        <v>0</v>
      </c>
      <c r="AB289" s="183">
        <f t="shared" si="286"/>
        <v>0</v>
      </c>
      <c r="AC289" s="183">
        <f t="shared" si="286"/>
        <v>0</v>
      </c>
      <c r="AD289" s="183">
        <f t="shared" si="286"/>
        <v>0</v>
      </c>
      <c r="AE289" s="183">
        <f t="shared" si="286"/>
        <v>0</v>
      </c>
      <c r="AF289" s="183">
        <f t="shared" si="286"/>
        <v>0</v>
      </c>
      <c r="AG289" s="183">
        <f t="shared" si="286"/>
        <v>0</v>
      </c>
      <c r="AH289" s="183">
        <f t="shared" si="286"/>
        <v>0</v>
      </c>
      <c r="AI289" s="183">
        <f t="shared" si="286"/>
        <v>0</v>
      </c>
      <c r="AJ289" s="1092"/>
      <c r="AK289" s="190">
        <f t="shared" si="257"/>
        <v>0</v>
      </c>
      <c r="AL289" s="1092"/>
      <c r="AM289" s="183">
        <f t="shared" ref="AM289:AU289" si="287">IF(OR($AT$169=0,AM$29=0),0,$AT$174/$AT$169*AM$71/AM$29)</f>
        <v>0</v>
      </c>
      <c r="AN289" s="183">
        <f t="shared" si="287"/>
        <v>0</v>
      </c>
      <c r="AO289" s="183">
        <f t="shared" si="287"/>
        <v>0</v>
      </c>
      <c r="AP289" s="183">
        <f t="shared" si="287"/>
        <v>0</v>
      </c>
      <c r="AQ289" s="183">
        <f t="shared" si="287"/>
        <v>0</v>
      </c>
      <c r="AR289" s="183">
        <f t="shared" si="287"/>
        <v>0</v>
      </c>
      <c r="AS289" s="183">
        <f t="shared" si="287"/>
        <v>0</v>
      </c>
      <c r="AT289" s="183">
        <f t="shared" si="287"/>
        <v>0</v>
      </c>
      <c r="AU289" s="183">
        <f t="shared" si="287"/>
        <v>0</v>
      </c>
      <c r="AV289" s="1092"/>
      <c r="AW289" s="190">
        <f t="shared" si="259"/>
        <v>0</v>
      </c>
      <c r="AX289" s="1092"/>
      <c r="AY289" s="183">
        <f>IF(OR($BF$169=0,AY$22=0),0,$BF$174/$BF$169*AY$71/AY$29)</f>
        <v>0</v>
      </c>
      <c r="AZ289" s="183">
        <f t="shared" ref="AZ289:BG289" si="288">IF(OR($BF$169=0,AZ$29=0),0,$BF$174/$BF$169*AZ$71/AZ$29)</f>
        <v>0</v>
      </c>
      <c r="BA289" s="183">
        <f t="shared" si="288"/>
        <v>0</v>
      </c>
      <c r="BB289" s="183">
        <f t="shared" si="288"/>
        <v>0</v>
      </c>
      <c r="BC289" s="183">
        <f t="shared" si="288"/>
        <v>0</v>
      </c>
      <c r="BD289" s="183">
        <f t="shared" si="288"/>
        <v>0</v>
      </c>
      <c r="BE289" s="183">
        <f t="shared" si="288"/>
        <v>0</v>
      </c>
      <c r="BF289" s="183">
        <f t="shared" si="288"/>
        <v>0</v>
      </c>
      <c r="BG289" s="183">
        <f t="shared" si="288"/>
        <v>0</v>
      </c>
      <c r="BH289" s="210"/>
    </row>
    <row r="290" spans="1:60">
      <c r="A290" s="1040"/>
      <c r="B290" s="1109" t="s">
        <v>1219</v>
      </c>
      <c r="C290" s="1107" t="s">
        <v>104</v>
      </c>
      <c r="D290" s="641"/>
      <c r="E290" s="1123" t="s">
        <v>232</v>
      </c>
      <c r="F290" s="180"/>
      <c r="G290" s="180"/>
      <c r="H290" s="201" t="s">
        <v>267</v>
      </c>
      <c r="I290" s="114"/>
      <c r="J290" s="190">
        <f t="shared" si="252"/>
        <v>0</v>
      </c>
      <c r="K290" s="1092"/>
      <c r="L290" s="1092"/>
      <c r="M290" s="190">
        <f>SUM(M282:M289)</f>
        <v>0</v>
      </c>
      <c r="N290" s="119"/>
      <c r="O290" s="183">
        <f t="shared" ref="O290:W290" si="289">SUM(O282:O289)</f>
        <v>0</v>
      </c>
      <c r="P290" s="183">
        <f t="shared" si="289"/>
        <v>0</v>
      </c>
      <c r="Q290" s="183">
        <f t="shared" si="289"/>
        <v>0</v>
      </c>
      <c r="R290" s="183">
        <f t="shared" si="289"/>
        <v>0</v>
      </c>
      <c r="S290" s="183">
        <f t="shared" si="289"/>
        <v>0</v>
      </c>
      <c r="T290" s="183">
        <f>SUM(T282:T289)</f>
        <v>0</v>
      </c>
      <c r="U290" s="183">
        <f t="shared" si="289"/>
        <v>0</v>
      </c>
      <c r="V290" s="183">
        <f t="shared" si="289"/>
        <v>0</v>
      </c>
      <c r="W290" s="183">
        <f t="shared" si="289"/>
        <v>0</v>
      </c>
      <c r="X290" s="108"/>
      <c r="Y290" s="190">
        <f>SUM(Y282:Y289)</f>
        <v>0</v>
      </c>
      <c r="Z290" s="119"/>
      <c r="AA290" s="183">
        <f t="shared" ref="AA290:AI290" si="290">SUM(AA282:AA289)</f>
        <v>0</v>
      </c>
      <c r="AB290" s="183">
        <f t="shared" si="290"/>
        <v>0</v>
      </c>
      <c r="AC290" s="183">
        <f t="shared" si="290"/>
        <v>0</v>
      </c>
      <c r="AD290" s="183">
        <f t="shared" si="290"/>
        <v>0</v>
      </c>
      <c r="AE290" s="183">
        <f t="shared" si="290"/>
        <v>0</v>
      </c>
      <c r="AF290" s="183">
        <f>SUM(AF282:AF289)</f>
        <v>0</v>
      </c>
      <c r="AG290" s="183">
        <f t="shared" si="290"/>
        <v>0</v>
      </c>
      <c r="AH290" s="183">
        <f t="shared" si="290"/>
        <v>0</v>
      </c>
      <c r="AI290" s="183">
        <f t="shared" si="290"/>
        <v>0</v>
      </c>
      <c r="AJ290" s="1092"/>
      <c r="AK290" s="190">
        <f t="shared" ref="AK290:AU290" si="291">SUM(AK282:AK289)</f>
        <v>0</v>
      </c>
      <c r="AL290" s="1092"/>
      <c r="AM290" s="183">
        <f t="shared" si="291"/>
        <v>0</v>
      </c>
      <c r="AN290" s="183">
        <f t="shared" si="291"/>
        <v>0</v>
      </c>
      <c r="AO290" s="183">
        <f t="shared" si="291"/>
        <v>0</v>
      </c>
      <c r="AP290" s="183">
        <f t="shared" si="291"/>
        <v>0</v>
      </c>
      <c r="AQ290" s="183">
        <f t="shared" si="291"/>
        <v>0</v>
      </c>
      <c r="AR290" s="183">
        <f>SUM(AR282:AR289)</f>
        <v>0</v>
      </c>
      <c r="AS290" s="183">
        <f t="shared" si="291"/>
        <v>0</v>
      </c>
      <c r="AT290" s="183">
        <f t="shared" si="291"/>
        <v>0</v>
      </c>
      <c r="AU290" s="183">
        <f t="shared" si="291"/>
        <v>0</v>
      </c>
      <c r="AV290" s="1092"/>
      <c r="AW290" s="190">
        <f>SUM(AW282:AW289)</f>
        <v>0</v>
      </c>
      <c r="AX290" s="1092"/>
      <c r="AY290" s="183">
        <f t="shared" ref="AY290:BG290" si="292">SUM(AY282:AY289)</f>
        <v>0</v>
      </c>
      <c r="AZ290" s="183">
        <f t="shared" si="292"/>
        <v>0</v>
      </c>
      <c r="BA290" s="183">
        <f t="shared" si="292"/>
        <v>0</v>
      </c>
      <c r="BB290" s="183">
        <f t="shared" si="292"/>
        <v>0</v>
      </c>
      <c r="BC290" s="183">
        <f t="shared" si="292"/>
        <v>0</v>
      </c>
      <c r="BD290" s="183">
        <f>SUM(BD282:BD289)</f>
        <v>0</v>
      </c>
      <c r="BE290" s="183">
        <f t="shared" si="292"/>
        <v>0</v>
      </c>
      <c r="BF290" s="183">
        <f t="shared" si="292"/>
        <v>0</v>
      </c>
      <c r="BG290" s="183">
        <f t="shared" si="292"/>
        <v>0</v>
      </c>
      <c r="BH290" s="210"/>
    </row>
    <row r="291" spans="1:60">
      <c r="A291" s="1040"/>
      <c r="B291" s="1109" t="s">
        <v>1219</v>
      </c>
      <c r="C291" s="1106" t="s">
        <v>96</v>
      </c>
      <c r="D291" s="638"/>
      <c r="E291" s="942" t="s">
        <v>1334</v>
      </c>
      <c r="F291" s="942"/>
      <c r="G291" s="942"/>
      <c r="H291" s="942"/>
      <c r="I291" s="129"/>
      <c r="J291" s="943"/>
      <c r="K291" s="126"/>
      <c r="L291" s="126"/>
      <c r="M291" s="944"/>
      <c r="N291" s="195"/>
      <c r="O291" s="258" t="str">
        <f>O$17</f>
        <v/>
      </c>
      <c r="P291" s="258" t="str">
        <f t="shared" ref="P291:W293" si="293">P$17</f>
        <v/>
      </c>
      <c r="Q291" s="258" t="str">
        <f t="shared" si="293"/>
        <v/>
      </c>
      <c r="R291" s="258" t="str">
        <f t="shared" si="293"/>
        <v/>
      </c>
      <c r="S291" s="258" t="str">
        <f t="shared" si="293"/>
        <v/>
      </c>
      <c r="T291" s="258" t="str">
        <f t="shared" si="293"/>
        <v/>
      </c>
      <c r="U291" s="258" t="str">
        <f t="shared" si="293"/>
        <v/>
      </c>
      <c r="V291" s="258" t="str">
        <f t="shared" si="293"/>
        <v/>
      </c>
      <c r="W291" s="258" t="str">
        <f t="shared" si="293"/>
        <v/>
      </c>
      <c r="X291" s="195"/>
      <c r="Y291" s="944"/>
      <c r="Z291" s="195"/>
      <c r="AA291" s="258" t="str">
        <f>AA$17</f>
        <v/>
      </c>
      <c r="AB291" s="258" t="str">
        <f t="shared" ref="AB291:AI293" si="294">AB$17</f>
        <v/>
      </c>
      <c r="AC291" s="258" t="str">
        <f t="shared" si="294"/>
        <v/>
      </c>
      <c r="AD291" s="258" t="str">
        <f t="shared" si="294"/>
        <v/>
      </c>
      <c r="AE291" s="258" t="str">
        <f t="shared" si="294"/>
        <v/>
      </c>
      <c r="AF291" s="258" t="str">
        <f t="shared" si="294"/>
        <v/>
      </c>
      <c r="AG291" s="258" t="str">
        <f t="shared" si="294"/>
        <v/>
      </c>
      <c r="AH291" s="258" t="str">
        <f t="shared" si="294"/>
        <v/>
      </c>
      <c r="AI291" s="258" t="str">
        <f t="shared" si="294"/>
        <v/>
      </c>
      <c r="AJ291" s="195"/>
      <c r="AK291" s="944"/>
      <c r="AL291" s="195"/>
      <c r="AM291" s="258" t="str">
        <f>AM$17</f>
        <v/>
      </c>
      <c r="AN291" s="258" t="str">
        <f t="shared" ref="AN291:AU293" si="295">AN$17</f>
        <v/>
      </c>
      <c r="AO291" s="258" t="str">
        <f t="shared" si="295"/>
        <v/>
      </c>
      <c r="AP291" s="258" t="str">
        <f t="shared" si="295"/>
        <v/>
      </c>
      <c r="AQ291" s="258" t="str">
        <f t="shared" si="295"/>
        <v/>
      </c>
      <c r="AR291" s="258" t="str">
        <f t="shared" si="295"/>
        <v/>
      </c>
      <c r="AS291" s="258" t="str">
        <f t="shared" si="295"/>
        <v/>
      </c>
      <c r="AT291" s="258" t="str">
        <f t="shared" si="295"/>
        <v/>
      </c>
      <c r="AU291" s="258" t="str">
        <f t="shared" si="295"/>
        <v/>
      </c>
      <c r="AV291" s="195"/>
      <c r="AW291" s="944"/>
      <c r="AX291" s="195"/>
      <c r="AY291" s="258" t="str">
        <f>AY$17</f>
        <v/>
      </c>
      <c r="AZ291" s="258" t="str">
        <f t="shared" ref="AZ291:BG293" si="296">AZ$17</f>
        <v/>
      </c>
      <c r="BA291" s="258" t="str">
        <f t="shared" si="296"/>
        <v/>
      </c>
      <c r="BB291" s="258" t="str">
        <f t="shared" si="296"/>
        <v/>
      </c>
      <c r="BC291" s="258" t="str">
        <f t="shared" si="296"/>
        <v/>
      </c>
      <c r="BD291" s="258" t="str">
        <f t="shared" si="296"/>
        <v/>
      </c>
      <c r="BE291" s="258" t="str">
        <f t="shared" si="296"/>
        <v/>
      </c>
      <c r="BF291" s="258" t="str">
        <f t="shared" si="296"/>
        <v/>
      </c>
      <c r="BG291" s="258" t="str">
        <f t="shared" si="296"/>
        <v/>
      </c>
      <c r="BH291" s="36"/>
    </row>
    <row r="292" spans="1:60">
      <c r="A292" s="1040"/>
      <c r="B292" s="1109" t="s">
        <v>1219</v>
      </c>
      <c r="C292" s="1107" t="s">
        <v>104</v>
      </c>
      <c r="D292" s="638"/>
      <c r="E292" s="1123" t="s">
        <v>1335</v>
      </c>
      <c r="F292" s="1123"/>
      <c r="G292" s="180"/>
      <c r="H292" s="201" t="s">
        <v>267</v>
      </c>
      <c r="I292" s="114"/>
      <c r="J292" s="190">
        <f>M292+Y292+AK292+AW292</f>
        <v>0</v>
      </c>
      <c r="K292" s="1092"/>
      <c r="L292" s="1092"/>
      <c r="M292" s="190">
        <f>M$201</f>
        <v>0</v>
      </c>
      <c r="N292" s="119"/>
      <c r="O292" s="183">
        <f>IF(OR(O$22=0,O$29=0,$M$187+$M$186=0),0,$M292*1000/O$31)</f>
        <v>0</v>
      </c>
      <c r="P292" s="183">
        <f t="shared" ref="P292:W292" si="297">IF(OR(P$22=0,P$29=0,$M$187+$M$186=0),0,$M292*1000/P$31)</f>
        <v>0</v>
      </c>
      <c r="Q292" s="183">
        <f t="shared" si="297"/>
        <v>0</v>
      </c>
      <c r="R292" s="183">
        <f t="shared" si="297"/>
        <v>0</v>
      </c>
      <c r="S292" s="183">
        <f t="shared" si="297"/>
        <v>0</v>
      </c>
      <c r="T292" s="183">
        <f t="shared" si="297"/>
        <v>0</v>
      </c>
      <c r="U292" s="183">
        <f t="shared" si="297"/>
        <v>0</v>
      </c>
      <c r="V292" s="183">
        <f t="shared" si="297"/>
        <v>0</v>
      </c>
      <c r="W292" s="183">
        <f t="shared" si="297"/>
        <v>0</v>
      </c>
      <c r="X292" s="108"/>
      <c r="Y292" s="190">
        <f>Y$201</f>
        <v>0</v>
      </c>
      <c r="Z292" s="119"/>
      <c r="AA292" s="183">
        <f>IF(OR(AA$22=0,AA$29=0,$M$187+$M$186=0),0,$Y292*1000/AA$31)</f>
        <v>0</v>
      </c>
      <c r="AB292" s="183">
        <f t="shared" ref="AB292:AI292" si="298">IF(OR(AB$22=0,AB$29=0,$M$187+$M$186=0),0,$Y292*1000/AB$31)</f>
        <v>0</v>
      </c>
      <c r="AC292" s="183">
        <f t="shared" si="298"/>
        <v>0</v>
      </c>
      <c r="AD292" s="183">
        <f t="shared" si="298"/>
        <v>0</v>
      </c>
      <c r="AE292" s="183">
        <f t="shared" si="298"/>
        <v>0</v>
      </c>
      <c r="AF292" s="183">
        <f t="shared" si="298"/>
        <v>0</v>
      </c>
      <c r="AG292" s="183">
        <f t="shared" si="298"/>
        <v>0</v>
      </c>
      <c r="AH292" s="183">
        <f t="shared" si="298"/>
        <v>0</v>
      </c>
      <c r="AI292" s="183">
        <f t="shared" si="298"/>
        <v>0</v>
      </c>
      <c r="AJ292" s="108"/>
      <c r="AK292" s="190">
        <f>AK$201</f>
        <v>0</v>
      </c>
      <c r="AL292" s="119"/>
      <c r="AM292" s="183">
        <f>IF(OR(AM$22=0,AM$29=0,$M$187+$M$186=0),0,$AK292*1000/AM$31)</f>
        <v>0</v>
      </c>
      <c r="AN292" s="183">
        <f t="shared" ref="AN292:AU292" si="299">IF(OR(AN$22=0,AN$29=0,$M$187+$M$186=0),0,$AK292*1000/AN$31)</f>
        <v>0</v>
      </c>
      <c r="AO292" s="183">
        <f t="shared" si="299"/>
        <v>0</v>
      </c>
      <c r="AP292" s="183">
        <f t="shared" si="299"/>
        <v>0</v>
      </c>
      <c r="AQ292" s="183">
        <f t="shared" si="299"/>
        <v>0</v>
      </c>
      <c r="AR292" s="183">
        <f t="shared" si="299"/>
        <v>0</v>
      </c>
      <c r="AS292" s="183">
        <f t="shared" si="299"/>
        <v>0</v>
      </c>
      <c r="AT292" s="183">
        <f t="shared" si="299"/>
        <v>0</v>
      </c>
      <c r="AU292" s="183">
        <f t="shared" si="299"/>
        <v>0</v>
      </c>
      <c r="AV292" s="108"/>
      <c r="AW292" s="190">
        <f>AW$201</f>
        <v>0</v>
      </c>
      <c r="AX292" s="119"/>
      <c r="AY292" s="183">
        <f>IF(OR(AY$22=0,AY$29=0,$M$187+$M$186=0),0,$AW292*1000/AY$31)</f>
        <v>0</v>
      </c>
      <c r="AZ292" s="183">
        <f t="shared" ref="AZ292:BG292" si="300">IF(OR(AZ$22=0,AZ$29=0,$M$187+$M$186=0),0,$AW292*1000/AZ$31)</f>
        <v>0</v>
      </c>
      <c r="BA292" s="183">
        <f t="shared" si="300"/>
        <v>0</v>
      </c>
      <c r="BB292" s="183">
        <f t="shared" si="300"/>
        <v>0</v>
      </c>
      <c r="BC292" s="183">
        <f t="shared" si="300"/>
        <v>0</v>
      </c>
      <c r="BD292" s="183">
        <f t="shared" si="300"/>
        <v>0</v>
      </c>
      <c r="BE292" s="183">
        <f t="shared" si="300"/>
        <v>0</v>
      </c>
      <c r="BF292" s="183">
        <f t="shared" si="300"/>
        <v>0</v>
      </c>
      <c r="BG292" s="183">
        <f t="shared" si="300"/>
        <v>0</v>
      </c>
      <c r="BH292" s="210"/>
    </row>
    <row r="293" spans="1:60">
      <c r="A293" s="1040"/>
      <c r="B293" s="1109" t="s">
        <v>1219</v>
      </c>
      <c r="C293" s="1106" t="s">
        <v>96</v>
      </c>
      <c r="D293" s="638"/>
      <c r="E293" s="942" t="s">
        <v>1319</v>
      </c>
      <c r="F293" s="942"/>
      <c r="G293" s="942"/>
      <c r="H293" s="942"/>
      <c r="I293" s="129"/>
      <c r="J293" s="943"/>
      <c r="K293" s="126"/>
      <c r="L293" s="126"/>
      <c r="M293" s="944"/>
      <c r="N293" s="195"/>
      <c r="O293" s="258" t="str">
        <f>O$17</f>
        <v/>
      </c>
      <c r="P293" s="258" t="str">
        <f t="shared" si="293"/>
        <v/>
      </c>
      <c r="Q293" s="258" t="str">
        <f t="shared" si="293"/>
        <v/>
      </c>
      <c r="R293" s="258" t="str">
        <f t="shared" si="293"/>
        <v/>
      </c>
      <c r="S293" s="258" t="str">
        <f t="shared" si="293"/>
        <v/>
      </c>
      <c r="T293" s="258" t="str">
        <f t="shared" si="293"/>
        <v/>
      </c>
      <c r="U293" s="258" t="str">
        <f t="shared" si="293"/>
        <v/>
      </c>
      <c r="V293" s="258" t="str">
        <f t="shared" si="293"/>
        <v/>
      </c>
      <c r="W293" s="258" t="str">
        <f t="shared" si="293"/>
        <v/>
      </c>
      <c r="X293" s="195"/>
      <c r="Y293" s="944"/>
      <c r="Z293" s="195"/>
      <c r="AA293" s="258" t="str">
        <f>AA$17</f>
        <v/>
      </c>
      <c r="AB293" s="258" t="str">
        <f t="shared" si="294"/>
        <v/>
      </c>
      <c r="AC293" s="258" t="str">
        <f t="shared" si="294"/>
        <v/>
      </c>
      <c r="AD293" s="258" t="str">
        <f t="shared" si="294"/>
        <v/>
      </c>
      <c r="AE293" s="258" t="str">
        <f t="shared" si="294"/>
        <v/>
      </c>
      <c r="AF293" s="258" t="str">
        <f t="shared" si="294"/>
        <v/>
      </c>
      <c r="AG293" s="258" t="str">
        <f t="shared" si="294"/>
        <v/>
      </c>
      <c r="AH293" s="258" t="str">
        <f t="shared" si="294"/>
        <v/>
      </c>
      <c r="AI293" s="258" t="str">
        <f t="shared" si="294"/>
        <v/>
      </c>
      <c r="AJ293" s="195"/>
      <c r="AK293" s="944"/>
      <c r="AL293" s="195"/>
      <c r="AM293" s="258" t="str">
        <f>AM$17</f>
        <v/>
      </c>
      <c r="AN293" s="258" t="str">
        <f t="shared" si="295"/>
        <v/>
      </c>
      <c r="AO293" s="258" t="str">
        <f t="shared" si="295"/>
        <v/>
      </c>
      <c r="AP293" s="258" t="str">
        <f t="shared" si="295"/>
        <v/>
      </c>
      <c r="AQ293" s="258" t="str">
        <f t="shared" si="295"/>
        <v/>
      </c>
      <c r="AR293" s="258" t="str">
        <f t="shared" si="295"/>
        <v/>
      </c>
      <c r="AS293" s="258" t="str">
        <f t="shared" si="295"/>
        <v/>
      </c>
      <c r="AT293" s="258" t="str">
        <f t="shared" si="295"/>
        <v/>
      </c>
      <c r="AU293" s="258" t="str">
        <f t="shared" si="295"/>
        <v/>
      </c>
      <c r="AV293" s="195"/>
      <c r="AW293" s="944"/>
      <c r="AX293" s="195"/>
      <c r="AY293" s="258" t="str">
        <f>AY$17</f>
        <v/>
      </c>
      <c r="AZ293" s="258" t="str">
        <f t="shared" si="296"/>
        <v/>
      </c>
      <c r="BA293" s="258" t="str">
        <f t="shared" si="296"/>
        <v/>
      </c>
      <c r="BB293" s="258" t="str">
        <f t="shared" si="296"/>
        <v/>
      </c>
      <c r="BC293" s="258" t="str">
        <f t="shared" si="296"/>
        <v/>
      </c>
      <c r="BD293" s="258" t="str">
        <f t="shared" si="296"/>
        <v/>
      </c>
      <c r="BE293" s="258" t="str">
        <f t="shared" si="296"/>
        <v/>
      </c>
      <c r="BF293" s="258" t="str">
        <f t="shared" si="296"/>
        <v/>
      </c>
      <c r="BG293" s="258" t="str">
        <f t="shared" si="296"/>
        <v/>
      </c>
      <c r="BH293" s="36"/>
    </row>
    <row r="294" spans="1:60">
      <c r="A294" s="1040"/>
      <c r="B294" s="1109" t="s">
        <v>1219</v>
      </c>
      <c r="C294" s="1107" t="s">
        <v>104</v>
      </c>
      <c r="D294" s="641"/>
      <c r="E294" s="1123" t="s">
        <v>269</v>
      </c>
      <c r="F294" s="1123"/>
      <c r="G294" s="180"/>
      <c r="H294" s="201" t="s">
        <v>267</v>
      </c>
      <c r="I294" s="114"/>
      <c r="J294" s="190">
        <f>M294+Y294+AK294+AW294</f>
        <v>0</v>
      </c>
      <c r="K294" s="1092"/>
      <c r="L294" s="1092"/>
      <c r="M294" s="190">
        <f>SUMPRODUCT(N294:X294,N$22:X$22,N$29:X$29)/1000</f>
        <v>0</v>
      </c>
      <c r="N294" s="119"/>
      <c r="O294" s="183">
        <f t="shared" ref="O294:W294" si="301">IF(OR(O$22=0,O$29=0,$M$187+$M$186=0),0,
-O73*($M$214/($M$187+$M$186))/O29)</f>
        <v>0</v>
      </c>
      <c r="P294" s="183">
        <f t="shared" si="301"/>
        <v>0</v>
      </c>
      <c r="Q294" s="183">
        <f t="shared" si="301"/>
        <v>0</v>
      </c>
      <c r="R294" s="183">
        <f t="shared" si="301"/>
        <v>0</v>
      </c>
      <c r="S294" s="183">
        <f t="shared" si="301"/>
        <v>0</v>
      </c>
      <c r="T294" s="183">
        <f t="shared" si="301"/>
        <v>0</v>
      </c>
      <c r="U294" s="183">
        <f t="shared" si="301"/>
        <v>0</v>
      </c>
      <c r="V294" s="183">
        <f t="shared" si="301"/>
        <v>0</v>
      </c>
      <c r="W294" s="183">
        <f t="shared" si="301"/>
        <v>0</v>
      </c>
      <c r="X294" s="108"/>
      <c r="Y294" s="190">
        <f>SUMPRODUCT(Z294:AJ294,Z$22:AJ$22,Z$29:AJ$29)/1000</f>
        <v>0</v>
      </c>
      <c r="Z294" s="119"/>
      <c r="AA294" s="183">
        <f t="shared" ref="AA294:AI294" si="302">IF(OR(AA$22=0,AA$29=0,$Y$187+$Y$186=0),0,
-AA73*($Y$214/($Y$187+$Y$186))/AA29)</f>
        <v>0</v>
      </c>
      <c r="AB294" s="183">
        <f t="shared" si="302"/>
        <v>0</v>
      </c>
      <c r="AC294" s="183">
        <f t="shared" si="302"/>
        <v>0</v>
      </c>
      <c r="AD294" s="183">
        <f t="shared" si="302"/>
        <v>0</v>
      </c>
      <c r="AE294" s="183">
        <f t="shared" si="302"/>
        <v>0</v>
      </c>
      <c r="AF294" s="183">
        <f t="shared" si="302"/>
        <v>0</v>
      </c>
      <c r="AG294" s="183">
        <f t="shared" si="302"/>
        <v>0</v>
      </c>
      <c r="AH294" s="183">
        <f t="shared" si="302"/>
        <v>0</v>
      </c>
      <c r="AI294" s="183">
        <f t="shared" si="302"/>
        <v>0</v>
      </c>
      <c r="AJ294" s="108"/>
      <c r="AK294" s="190">
        <f>SUMPRODUCT(AL294:AV294,AL$22:AV$22,AL$29:AV$29)/1000</f>
        <v>0</v>
      </c>
      <c r="AL294" s="119"/>
      <c r="AM294" s="183">
        <f t="shared" ref="AM294:AU294" si="303">IF(OR(AM$22=0,AM$29=0,$AK$187+$AK$186=0),0,
-AM73*($AK$214/($AK$187+$AK$186))/AM29)</f>
        <v>0</v>
      </c>
      <c r="AN294" s="183">
        <f t="shared" si="303"/>
        <v>0</v>
      </c>
      <c r="AO294" s="183">
        <f t="shared" si="303"/>
        <v>0</v>
      </c>
      <c r="AP294" s="183">
        <f t="shared" si="303"/>
        <v>0</v>
      </c>
      <c r="AQ294" s="183">
        <f t="shared" si="303"/>
        <v>0</v>
      </c>
      <c r="AR294" s="183">
        <f t="shared" si="303"/>
        <v>0</v>
      </c>
      <c r="AS294" s="183">
        <f t="shared" si="303"/>
        <v>0</v>
      </c>
      <c r="AT294" s="183">
        <f t="shared" si="303"/>
        <v>0</v>
      </c>
      <c r="AU294" s="183">
        <f t="shared" si="303"/>
        <v>0</v>
      </c>
      <c r="AV294" s="108"/>
      <c r="AW294" s="190">
        <f>SUMPRODUCT(AX294:BH294,AX$22:BH$22,AX$29:BH$29)/1000</f>
        <v>0</v>
      </c>
      <c r="AX294" s="119"/>
      <c r="AY294" s="183">
        <f t="shared" ref="AY294:BG294" si="304">IF(OR(AY$22=0,AY$29=0,$AW$187+$AW$186=0),0,
-AY73*($AW$214/($AW$187+$AW$186))/AY29)</f>
        <v>0</v>
      </c>
      <c r="AZ294" s="183">
        <f t="shared" si="304"/>
        <v>0</v>
      </c>
      <c r="BA294" s="183">
        <f t="shared" si="304"/>
        <v>0</v>
      </c>
      <c r="BB294" s="183">
        <f t="shared" si="304"/>
        <v>0</v>
      </c>
      <c r="BC294" s="183">
        <f t="shared" si="304"/>
        <v>0</v>
      </c>
      <c r="BD294" s="183">
        <f t="shared" si="304"/>
        <v>0</v>
      </c>
      <c r="BE294" s="183">
        <f t="shared" si="304"/>
        <v>0</v>
      </c>
      <c r="BF294" s="183">
        <f t="shared" si="304"/>
        <v>0</v>
      </c>
      <c r="BG294" s="183">
        <f t="shared" si="304"/>
        <v>0</v>
      </c>
      <c r="BH294" s="210"/>
    </row>
    <row r="295" spans="1:60">
      <c r="A295" s="1040"/>
      <c r="B295" s="1109" t="s">
        <v>1219</v>
      </c>
      <c r="C295" s="1107" t="s">
        <v>104</v>
      </c>
      <c r="D295" s="641"/>
      <c r="E295" s="1123" t="s">
        <v>268</v>
      </c>
      <c r="F295" s="1123"/>
      <c r="G295" s="180"/>
      <c r="H295" s="201" t="s">
        <v>267</v>
      </c>
      <c r="I295" s="114"/>
      <c r="J295" s="190">
        <f>M295+Y295+AK295+AW295</f>
        <v>0</v>
      </c>
      <c r="K295" s="1092"/>
      <c r="L295" s="1092"/>
      <c r="M295" s="190">
        <f>SUMPRODUCT(N295:X295,N$22:X$22,N$29:X$29)/1000</f>
        <v>0</v>
      </c>
      <c r="N295" s="119"/>
      <c r="O295" s="183">
        <f t="shared" ref="O295:W295" si="305">IF(OR(O$22=0,O$29=0,$M$187+$M$186=0),0,
-(O275*($M$187/($M$187+$M$186))*$M$214*1000)/(O22*O29))</f>
        <v>0</v>
      </c>
      <c r="P295" s="183">
        <f t="shared" si="305"/>
        <v>0</v>
      </c>
      <c r="Q295" s="183">
        <f t="shared" si="305"/>
        <v>0</v>
      </c>
      <c r="R295" s="183">
        <f t="shared" si="305"/>
        <v>0</v>
      </c>
      <c r="S295" s="183">
        <f t="shared" si="305"/>
        <v>0</v>
      </c>
      <c r="T295" s="183">
        <f t="shared" si="305"/>
        <v>0</v>
      </c>
      <c r="U295" s="183">
        <f t="shared" si="305"/>
        <v>0</v>
      </c>
      <c r="V295" s="183">
        <f t="shared" si="305"/>
        <v>0</v>
      </c>
      <c r="W295" s="183">
        <f t="shared" si="305"/>
        <v>0</v>
      </c>
      <c r="X295" s="108"/>
      <c r="Y295" s="190">
        <f>SUMPRODUCT(Z295:AJ295,Z$22:AJ$22,Z$29:AJ$29)/1000</f>
        <v>0</v>
      </c>
      <c r="Z295" s="119"/>
      <c r="AA295" s="183">
        <f t="shared" ref="AA295:AI295" si="306">IF(OR(AA$17="-",AA$22=0,AA$29=0,$Y$187+$Y$186=0),0,
-(AA275*($Y$187/($Y$187+$Y$186))*$Y$214*1000)/(AA22*AA29))</f>
        <v>0</v>
      </c>
      <c r="AB295" s="183">
        <f t="shared" si="306"/>
        <v>0</v>
      </c>
      <c r="AC295" s="183">
        <f t="shared" si="306"/>
        <v>0</v>
      </c>
      <c r="AD295" s="183">
        <f t="shared" si="306"/>
        <v>0</v>
      </c>
      <c r="AE295" s="183">
        <f t="shared" si="306"/>
        <v>0</v>
      </c>
      <c r="AF295" s="183">
        <f t="shared" si="306"/>
        <v>0</v>
      </c>
      <c r="AG295" s="183">
        <f t="shared" si="306"/>
        <v>0</v>
      </c>
      <c r="AH295" s="183">
        <f t="shared" si="306"/>
        <v>0</v>
      </c>
      <c r="AI295" s="183">
        <f t="shared" si="306"/>
        <v>0</v>
      </c>
      <c r="AJ295" s="108"/>
      <c r="AK295" s="190">
        <f>SUMPRODUCT(AL295:AV295,AL$22:AV$22,AL$29:AV$29)/1000</f>
        <v>0</v>
      </c>
      <c r="AL295" s="119"/>
      <c r="AM295" s="183">
        <f t="shared" ref="AM295:AU295" si="307">IF(OR(AM$22=0,AM$29=0,$AK$187+$AK$186=0),0,
-AM275*($AK$187/($AK$187+$AK$186))*$AK$214*1000/(AM22*AM29))</f>
        <v>0</v>
      </c>
      <c r="AN295" s="183">
        <f t="shared" si="307"/>
        <v>0</v>
      </c>
      <c r="AO295" s="183">
        <f t="shared" si="307"/>
        <v>0</v>
      </c>
      <c r="AP295" s="183">
        <f t="shared" si="307"/>
        <v>0</v>
      </c>
      <c r="AQ295" s="183">
        <f t="shared" si="307"/>
        <v>0</v>
      </c>
      <c r="AR295" s="183">
        <f t="shared" si="307"/>
        <v>0</v>
      </c>
      <c r="AS295" s="183">
        <f t="shared" si="307"/>
        <v>0</v>
      </c>
      <c r="AT295" s="183">
        <f t="shared" si="307"/>
        <v>0</v>
      </c>
      <c r="AU295" s="183">
        <f t="shared" si="307"/>
        <v>0</v>
      </c>
      <c r="AV295" s="108"/>
      <c r="AW295" s="190">
        <f>SUMPRODUCT(AX295:BH295,AX$22:BH$22,AX$29:BH$29)/1000</f>
        <v>0</v>
      </c>
      <c r="AX295" s="119"/>
      <c r="AY295" s="183">
        <f t="shared" ref="AY295:BG295" si="308">IF(OR(AY$22=0,AY$29=0,$AW$187+$AW$186=0),0,
-AY275*($AW$187/($AW$187+$AW$186))*$AW$214*1000/(AY22*AY29))</f>
        <v>0</v>
      </c>
      <c r="AZ295" s="183">
        <f t="shared" si="308"/>
        <v>0</v>
      </c>
      <c r="BA295" s="183">
        <f t="shared" si="308"/>
        <v>0</v>
      </c>
      <c r="BB295" s="183">
        <f t="shared" si="308"/>
        <v>0</v>
      </c>
      <c r="BC295" s="183">
        <f t="shared" si="308"/>
        <v>0</v>
      </c>
      <c r="BD295" s="183">
        <f t="shared" si="308"/>
        <v>0</v>
      </c>
      <c r="BE295" s="183">
        <f t="shared" si="308"/>
        <v>0</v>
      </c>
      <c r="BF295" s="183">
        <f t="shared" si="308"/>
        <v>0</v>
      </c>
      <c r="BG295" s="183">
        <f t="shared" si="308"/>
        <v>0</v>
      </c>
      <c r="BH295" s="210"/>
    </row>
    <row r="296" spans="1:60">
      <c r="A296" s="1040"/>
      <c r="B296" s="1109" t="s">
        <v>1219</v>
      </c>
      <c r="C296" s="1107" t="s">
        <v>104</v>
      </c>
      <c r="D296" s="641"/>
      <c r="E296" s="1123" t="s">
        <v>232</v>
      </c>
      <c r="F296" s="1123"/>
      <c r="G296" s="180"/>
      <c r="H296" s="201" t="s">
        <v>267</v>
      </c>
      <c r="I296" s="114"/>
      <c r="J296" s="190">
        <f>M296+Y296+AK296+AW296</f>
        <v>0</v>
      </c>
      <c r="K296" s="1092"/>
      <c r="L296" s="1092"/>
      <c r="M296" s="190">
        <f>M295+M294</f>
        <v>0</v>
      </c>
      <c r="N296" s="119"/>
      <c r="O296" s="183">
        <f t="shared" ref="O296:W296" si="309">O295+O294</f>
        <v>0</v>
      </c>
      <c r="P296" s="183">
        <f t="shared" si="309"/>
        <v>0</v>
      </c>
      <c r="Q296" s="183">
        <f t="shared" si="309"/>
        <v>0</v>
      </c>
      <c r="R296" s="183">
        <f t="shared" si="309"/>
        <v>0</v>
      </c>
      <c r="S296" s="183">
        <f t="shared" si="309"/>
        <v>0</v>
      </c>
      <c r="T296" s="183">
        <f t="shared" si="309"/>
        <v>0</v>
      </c>
      <c r="U296" s="183">
        <f t="shared" si="309"/>
        <v>0</v>
      </c>
      <c r="V296" s="183">
        <f t="shared" si="309"/>
        <v>0</v>
      </c>
      <c r="W296" s="183">
        <f t="shared" si="309"/>
        <v>0</v>
      </c>
      <c r="X296" s="108"/>
      <c r="Y296" s="190">
        <f>Y295+Y294</f>
        <v>0</v>
      </c>
      <c r="Z296" s="119"/>
      <c r="AA296" s="183">
        <f t="shared" ref="AA296:AI296" si="310">AA295+AA294</f>
        <v>0</v>
      </c>
      <c r="AB296" s="183">
        <f t="shared" si="310"/>
        <v>0</v>
      </c>
      <c r="AC296" s="183">
        <f t="shared" si="310"/>
        <v>0</v>
      </c>
      <c r="AD296" s="183">
        <f t="shared" si="310"/>
        <v>0</v>
      </c>
      <c r="AE296" s="183">
        <f t="shared" si="310"/>
        <v>0</v>
      </c>
      <c r="AF296" s="183">
        <f t="shared" si="310"/>
        <v>0</v>
      </c>
      <c r="AG296" s="183">
        <f t="shared" si="310"/>
        <v>0</v>
      </c>
      <c r="AH296" s="183">
        <f t="shared" si="310"/>
        <v>0</v>
      </c>
      <c r="AI296" s="183">
        <f t="shared" si="310"/>
        <v>0</v>
      </c>
      <c r="AJ296" s="108"/>
      <c r="AK296" s="190">
        <f>AK295+AK294</f>
        <v>0</v>
      </c>
      <c r="AL296" s="119"/>
      <c r="AM296" s="183">
        <f t="shared" ref="AM296:AU296" si="311">AM295+AM294</f>
        <v>0</v>
      </c>
      <c r="AN296" s="183">
        <f t="shared" si="311"/>
        <v>0</v>
      </c>
      <c r="AO296" s="183">
        <f t="shared" si="311"/>
        <v>0</v>
      </c>
      <c r="AP296" s="183">
        <f t="shared" si="311"/>
        <v>0</v>
      </c>
      <c r="AQ296" s="183">
        <f t="shared" si="311"/>
        <v>0</v>
      </c>
      <c r="AR296" s="183">
        <f t="shared" si="311"/>
        <v>0</v>
      </c>
      <c r="AS296" s="183">
        <f t="shared" si="311"/>
        <v>0</v>
      </c>
      <c r="AT296" s="183">
        <f t="shared" si="311"/>
        <v>0</v>
      </c>
      <c r="AU296" s="183">
        <f t="shared" si="311"/>
        <v>0</v>
      </c>
      <c r="AV296" s="108"/>
      <c r="AW296" s="190">
        <f>AW295+AW294</f>
        <v>0</v>
      </c>
      <c r="AX296" s="119"/>
      <c r="AY296" s="183">
        <f t="shared" ref="AY296:BG296" si="312">AY295+AY294</f>
        <v>0</v>
      </c>
      <c r="AZ296" s="183">
        <f t="shared" si="312"/>
        <v>0</v>
      </c>
      <c r="BA296" s="183">
        <f t="shared" si="312"/>
        <v>0</v>
      </c>
      <c r="BB296" s="183">
        <f t="shared" si="312"/>
        <v>0</v>
      </c>
      <c r="BC296" s="183">
        <f t="shared" si="312"/>
        <v>0</v>
      </c>
      <c r="BD296" s="183">
        <f t="shared" si="312"/>
        <v>0</v>
      </c>
      <c r="BE296" s="183">
        <f t="shared" si="312"/>
        <v>0</v>
      </c>
      <c r="BF296" s="183">
        <f t="shared" si="312"/>
        <v>0</v>
      </c>
      <c r="BG296" s="183">
        <f t="shared" si="312"/>
        <v>0</v>
      </c>
      <c r="BH296" s="210"/>
    </row>
    <row r="297" spans="1:60">
      <c r="A297" s="1040"/>
      <c r="B297" s="1109" t="s">
        <v>1219</v>
      </c>
      <c r="C297" s="1106" t="s">
        <v>96</v>
      </c>
      <c r="D297" s="638"/>
      <c r="E297" s="942" t="s">
        <v>1359</v>
      </c>
      <c r="F297" s="942"/>
      <c r="G297" s="942"/>
      <c r="H297" s="942"/>
      <c r="I297" s="129"/>
      <c r="J297" s="943"/>
      <c r="K297" s="126"/>
      <c r="L297" s="126"/>
      <c r="M297" s="944"/>
      <c r="N297" s="195"/>
      <c r="O297" s="258" t="str">
        <f>O$17</f>
        <v/>
      </c>
      <c r="P297" s="258" t="str">
        <f t="shared" ref="P297:W297" si="313">P$17</f>
        <v/>
      </c>
      <c r="Q297" s="258" t="str">
        <f t="shared" si="313"/>
        <v/>
      </c>
      <c r="R297" s="258" t="str">
        <f t="shared" si="313"/>
        <v/>
      </c>
      <c r="S297" s="258" t="str">
        <f t="shared" si="313"/>
        <v/>
      </c>
      <c r="T297" s="258" t="str">
        <f t="shared" si="313"/>
        <v/>
      </c>
      <c r="U297" s="258" t="str">
        <f t="shared" si="313"/>
        <v/>
      </c>
      <c r="V297" s="258" t="str">
        <f t="shared" si="313"/>
        <v/>
      </c>
      <c r="W297" s="258" t="str">
        <f t="shared" si="313"/>
        <v/>
      </c>
      <c r="X297" s="195"/>
      <c r="Y297" s="944"/>
      <c r="Z297" s="195"/>
      <c r="AA297" s="258" t="str">
        <f>AA$17</f>
        <v/>
      </c>
      <c r="AB297" s="258" t="str">
        <f t="shared" ref="AB297:AI297" si="314">AB$17</f>
        <v/>
      </c>
      <c r="AC297" s="258" t="str">
        <f t="shared" si="314"/>
        <v/>
      </c>
      <c r="AD297" s="258" t="str">
        <f t="shared" si="314"/>
        <v/>
      </c>
      <c r="AE297" s="258" t="str">
        <f t="shared" si="314"/>
        <v/>
      </c>
      <c r="AF297" s="258" t="str">
        <f t="shared" si="314"/>
        <v/>
      </c>
      <c r="AG297" s="258" t="str">
        <f t="shared" si="314"/>
        <v/>
      </c>
      <c r="AH297" s="258" t="str">
        <f t="shared" si="314"/>
        <v/>
      </c>
      <c r="AI297" s="258" t="str">
        <f t="shared" si="314"/>
        <v/>
      </c>
      <c r="AJ297" s="195"/>
      <c r="AK297" s="944"/>
      <c r="AL297" s="195"/>
      <c r="AM297" s="258" t="str">
        <f>AM$17</f>
        <v/>
      </c>
      <c r="AN297" s="258" t="str">
        <f t="shared" ref="AN297:AU297" si="315">AN$17</f>
        <v/>
      </c>
      <c r="AO297" s="258" t="str">
        <f t="shared" si="315"/>
        <v/>
      </c>
      <c r="AP297" s="258" t="str">
        <f t="shared" si="315"/>
        <v/>
      </c>
      <c r="AQ297" s="258" t="str">
        <f t="shared" si="315"/>
        <v/>
      </c>
      <c r="AR297" s="258" t="str">
        <f t="shared" si="315"/>
        <v/>
      </c>
      <c r="AS297" s="258" t="str">
        <f t="shared" si="315"/>
        <v/>
      </c>
      <c r="AT297" s="258" t="str">
        <f t="shared" si="315"/>
        <v/>
      </c>
      <c r="AU297" s="258" t="str">
        <f t="shared" si="315"/>
        <v/>
      </c>
      <c r="AV297" s="195"/>
      <c r="AW297" s="944"/>
      <c r="AX297" s="195"/>
      <c r="AY297" s="258" t="str">
        <f>AY$17</f>
        <v/>
      </c>
      <c r="AZ297" s="258" t="str">
        <f t="shared" ref="AZ297:BG297" si="316">AZ$17</f>
        <v/>
      </c>
      <c r="BA297" s="258" t="str">
        <f t="shared" si="316"/>
        <v/>
      </c>
      <c r="BB297" s="258" t="str">
        <f t="shared" si="316"/>
        <v/>
      </c>
      <c r="BC297" s="258" t="str">
        <f t="shared" si="316"/>
        <v/>
      </c>
      <c r="BD297" s="258" t="str">
        <f t="shared" si="316"/>
        <v/>
      </c>
      <c r="BE297" s="258" t="str">
        <f t="shared" si="316"/>
        <v/>
      </c>
      <c r="BF297" s="258" t="str">
        <f t="shared" si="316"/>
        <v/>
      </c>
      <c r="BG297" s="258" t="str">
        <f t="shared" si="316"/>
        <v/>
      </c>
      <c r="BH297" s="36"/>
    </row>
    <row r="298" spans="1:60">
      <c r="A298" s="1040"/>
      <c r="B298" s="1109" t="s">
        <v>1219</v>
      </c>
      <c r="C298" s="1107" t="s">
        <v>104</v>
      </c>
      <c r="D298" s="641"/>
      <c r="E298" s="1123" t="s">
        <v>1340</v>
      </c>
      <c r="F298" s="180"/>
      <c r="G298" s="180"/>
      <c r="H298" s="201" t="s">
        <v>267</v>
      </c>
      <c r="I298" s="114"/>
      <c r="J298" s="190">
        <f>M298+Y298+AK298+AW298</f>
        <v>0</v>
      </c>
      <c r="K298" s="1092"/>
      <c r="L298" s="1092"/>
      <c r="M298" s="190">
        <f>SUMPRODUCT(N298:X298,N$22:X$22,N$29:X$29)/1000</f>
        <v>0</v>
      </c>
      <c r="N298" s="119"/>
      <c r="O298" s="183">
        <f t="shared" ref="O298:W298" si="317">O290+O296</f>
        <v>0</v>
      </c>
      <c r="P298" s="183">
        <f t="shared" si="317"/>
        <v>0</v>
      </c>
      <c r="Q298" s="183">
        <f t="shared" si="317"/>
        <v>0</v>
      </c>
      <c r="R298" s="183">
        <f t="shared" si="317"/>
        <v>0</v>
      </c>
      <c r="S298" s="183">
        <f t="shared" si="317"/>
        <v>0</v>
      </c>
      <c r="T298" s="183">
        <f t="shared" si="317"/>
        <v>0</v>
      </c>
      <c r="U298" s="183">
        <f t="shared" si="317"/>
        <v>0</v>
      </c>
      <c r="V298" s="183">
        <f t="shared" si="317"/>
        <v>0</v>
      </c>
      <c r="W298" s="183">
        <f t="shared" si="317"/>
        <v>0</v>
      </c>
      <c r="X298" s="108"/>
      <c r="Y298" s="190">
        <f>Y290+Y296</f>
        <v>0</v>
      </c>
      <c r="Z298" s="119"/>
      <c r="AA298" s="183">
        <f t="shared" ref="AA298:AI298" si="318">AA290+AA296</f>
        <v>0</v>
      </c>
      <c r="AB298" s="183">
        <f t="shared" si="318"/>
        <v>0</v>
      </c>
      <c r="AC298" s="183">
        <f t="shared" si="318"/>
        <v>0</v>
      </c>
      <c r="AD298" s="183">
        <f t="shared" si="318"/>
        <v>0</v>
      </c>
      <c r="AE298" s="183">
        <f t="shared" si="318"/>
        <v>0</v>
      </c>
      <c r="AF298" s="183">
        <f t="shared" si="318"/>
        <v>0</v>
      </c>
      <c r="AG298" s="183">
        <f t="shared" si="318"/>
        <v>0</v>
      </c>
      <c r="AH298" s="183">
        <f t="shared" si="318"/>
        <v>0</v>
      </c>
      <c r="AI298" s="183">
        <f t="shared" si="318"/>
        <v>0</v>
      </c>
      <c r="AJ298" s="108"/>
      <c r="AK298" s="190">
        <f>AK290+AK296</f>
        <v>0</v>
      </c>
      <c r="AL298" s="119"/>
      <c r="AM298" s="183">
        <f t="shared" ref="AM298:AU298" si="319">AM290+AM296</f>
        <v>0</v>
      </c>
      <c r="AN298" s="183">
        <f t="shared" si="319"/>
        <v>0</v>
      </c>
      <c r="AO298" s="183">
        <f t="shared" si="319"/>
        <v>0</v>
      </c>
      <c r="AP298" s="183">
        <f t="shared" si="319"/>
        <v>0</v>
      </c>
      <c r="AQ298" s="183">
        <f t="shared" si="319"/>
        <v>0</v>
      </c>
      <c r="AR298" s="183">
        <f t="shared" si="319"/>
        <v>0</v>
      </c>
      <c r="AS298" s="183">
        <f t="shared" si="319"/>
        <v>0</v>
      </c>
      <c r="AT298" s="183">
        <f t="shared" si="319"/>
        <v>0</v>
      </c>
      <c r="AU298" s="183">
        <f t="shared" si="319"/>
        <v>0</v>
      </c>
      <c r="AV298" s="108"/>
      <c r="AW298" s="190">
        <f>AW290+AW296</f>
        <v>0</v>
      </c>
      <c r="AX298" s="119"/>
      <c r="AY298" s="183">
        <f t="shared" ref="AY298:BG298" si="320">AY290+AY296</f>
        <v>0</v>
      </c>
      <c r="AZ298" s="183">
        <f t="shared" si="320"/>
        <v>0</v>
      </c>
      <c r="BA298" s="183">
        <f t="shared" si="320"/>
        <v>0</v>
      </c>
      <c r="BB298" s="183">
        <f t="shared" si="320"/>
        <v>0</v>
      </c>
      <c r="BC298" s="183">
        <f t="shared" si="320"/>
        <v>0</v>
      </c>
      <c r="BD298" s="183">
        <f t="shared" si="320"/>
        <v>0</v>
      </c>
      <c r="BE298" s="183">
        <f t="shared" si="320"/>
        <v>0</v>
      </c>
      <c r="BF298" s="183">
        <f t="shared" si="320"/>
        <v>0</v>
      </c>
      <c r="BG298" s="183">
        <f t="shared" si="320"/>
        <v>0</v>
      </c>
      <c r="BH298" s="210"/>
    </row>
    <row r="299" spans="1:60">
      <c r="A299" s="1040"/>
      <c r="B299" s="1109" t="s">
        <v>1219</v>
      </c>
      <c r="C299" s="1107" t="s">
        <v>104</v>
      </c>
      <c r="D299" s="641"/>
      <c r="E299" s="1123" t="s">
        <v>1341</v>
      </c>
      <c r="F299" s="180"/>
      <c r="G299" s="180"/>
      <c r="H299" s="201" t="s">
        <v>267</v>
      </c>
      <c r="I299" s="114"/>
      <c r="J299" s="190">
        <f>M299+Y299+AK299+AW299</f>
        <v>0</v>
      </c>
      <c r="K299" s="1092"/>
      <c r="L299" s="1092"/>
      <c r="M299" s="190">
        <f>SUMPRODUCT(N299:X299,N$22:X$22,N$29:X$29)/1000</f>
        <v>0</v>
      </c>
      <c r="N299" s="119"/>
      <c r="O299" s="183">
        <f t="shared" ref="O299:W299" si="321">O$282+O$283+O$284+IF(OR(O$19=woning,O$19=woongebouw),0,O$285)+O$286-O$292+O$296</f>
        <v>0</v>
      </c>
      <c r="P299" s="183">
        <f t="shared" si="321"/>
        <v>0</v>
      </c>
      <c r="Q299" s="183">
        <f t="shared" si="321"/>
        <v>0</v>
      </c>
      <c r="R299" s="183">
        <f t="shared" si="321"/>
        <v>0</v>
      </c>
      <c r="S299" s="183">
        <f t="shared" si="321"/>
        <v>0</v>
      </c>
      <c r="T299" s="183">
        <f t="shared" si="321"/>
        <v>0</v>
      </c>
      <c r="U299" s="183">
        <f t="shared" si="321"/>
        <v>0</v>
      </c>
      <c r="V299" s="183">
        <f t="shared" si="321"/>
        <v>0</v>
      </c>
      <c r="W299" s="183">
        <f t="shared" si="321"/>
        <v>0</v>
      </c>
      <c r="X299" s="108"/>
      <c r="Y299" s="190">
        <f>SUMPRODUCT(Z299:AJ299,Z$22:AJ$22,Z$29:AJ$29)/1000</f>
        <v>0</v>
      </c>
      <c r="Z299" s="119"/>
      <c r="AA299" s="183">
        <f t="shared" ref="AA299:AI299" si="322">AA$282+AA$283+AA$284+IF(OR(AA$19=woning,AA$19=woongebouw),0,AA$285)+AA$286-AA$292+AA$296</f>
        <v>0</v>
      </c>
      <c r="AB299" s="183">
        <f t="shared" si="322"/>
        <v>0</v>
      </c>
      <c r="AC299" s="183">
        <f t="shared" si="322"/>
        <v>0</v>
      </c>
      <c r="AD299" s="183">
        <f t="shared" si="322"/>
        <v>0</v>
      </c>
      <c r="AE299" s="183">
        <f t="shared" si="322"/>
        <v>0</v>
      </c>
      <c r="AF299" s="183">
        <f t="shared" si="322"/>
        <v>0</v>
      </c>
      <c r="AG299" s="183">
        <f t="shared" si="322"/>
        <v>0</v>
      </c>
      <c r="AH299" s="183">
        <f t="shared" si="322"/>
        <v>0</v>
      </c>
      <c r="AI299" s="183">
        <f t="shared" si="322"/>
        <v>0</v>
      </c>
      <c r="AJ299" s="108"/>
      <c r="AK299" s="190">
        <f>SUMPRODUCT(AL299:AV299,AL$22:AV$22,AL$29:AV$29)/1000</f>
        <v>0</v>
      </c>
      <c r="AL299" s="119"/>
      <c r="AM299" s="183">
        <f t="shared" ref="AM299:AU299" si="323">AM$282+AM$283+AM$284+IF(OR(AM$19=woning,AM$19=woongebouw),0,AM$285)+AM$286-AM$292+AM$296</f>
        <v>0</v>
      </c>
      <c r="AN299" s="183">
        <f t="shared" si="323"/>
        <v>0</v>
      </c>
      <c r="AO299" s="183">
        <f t="shared" si="323"/>
        <v>0</v>
      </c>
      <c r="AP299" s="183">
        <f t="shared" si="323"/>
        <v>0</v>
      </c>
      <c r="AQ299" s="183">
        <f t="shared" si="323"/>
        <v>0</v>
      </c>
      <c r="AR299" s="183">
        <f t="shared" si="323"/>
        <v>0</v>
      </c>
      <c r="AS299" s="183">
        <f t="shared" si="323"/>
        <v>0</v>
      </c>
      <c r="AT299" s="183">
        <f t="shared" si="323"/>
        <v>0</v>
      </c>
      <c r="AU299" s="183">
        <f t="shared" si="323"/>
        <v>0</v>
      </c>
      <c r="AV299" s="108"/>
      <c r="AW299" s="190">
        <f>SUMPRODUCT(AX299:BH299,AX$22:BH$22,AX$29:BH$29)/1000</f>
        <v>0</v>
      </c>
      <c r="AX299" s="119"/>
      <c r="AY299" s="183">
        <f t="shared" ref="AY299:BG299" si="324">AY$282+AY$283+AY$284+IF(OR(AY$19=woning,AY$19=woongebouw),0,AY$285)+AY$286-AY$292+AY$296</f>
        <v>0</v>
      </c>
      <c r="AZ299" s="183">
        <f t="shared" si="324"/>
        <v>0</v>
      </c>
      <c r="BA299" s="183">
        <f t="shared" si="324"/>
        <v>0</v>
      </c>
      <c r="BB299" s="183">
        <f t="shared" si="324"/>
        <v>0</v>
      </c>
      <c r="BC299" s="183">
        <f t="shared" si="324"/>
        <v>0</v>
      </c>
      <c r="BD299" s="183">
        <f t="shared" si="324"/>
        <v>0</v>
      </c>
      <c r="BE299" s="183">
        <f t="shared" si="324"/>
        <v>0</v>
      </c>
      <c r="BF299" s="183">
        <f t="shared" si="324"/>
        <v>0</v>
      </c>
      <c r="BG299" s="183">
        <f t="shared" si="324"/>
        <v>0</v>
      </c>
      <c r="BH299" s="210"/>
    </row>
    <row r="300" spans="1:60">
      <c r="A300" s="1040"/>
      <c r="B300" s="1109" t="s">
        <v>1221</v>
      </c>
      <c r="C300" s="1106" t="s">
        <v>96</v>
      </c>
      <c r="D300" s="638"/>
      <c r="E300" s="79"/>
      <c r="F300" s="79"/>
      <c r="G300" s="79"/>
      <c r="H300" s="85"/>
      <c r="I300" s="79"/>
      <c r="J300" s="113"/>
      <c r="K300" s="79"/>
      <c r="L300" s="79"/>
      <c r="M300" s="113"/>
      <c r="N300" s="79"/>
      <c r="O300" s="81"/>
      <c r="P300" s="356"/>
      <c r="Q300" s="356"/>
      <c r="R300" s="82"/>
      <c r="S300" s="1152"/>
      <c r="T300" s="82"/>
      <c r="U300" s="82"/>
      <c r="V300" s="82"/>
      <c r="W300" s="82"/>
      <c r="X300" s="82"/>
      <c r="Y300" s="82"/>
      <c r="Z300" s="79"/>
      <c r="AA300" s="79"/>
      <c r="AB300" s="79"/>
      <c r="AC300" s="79"/>
      <c r="AD300" s="79"/>
      <c r="AE300" s="79"/>
      <c r="AF300" s="79"/>
      <c r="AG300" s="79"/>
      <c r="AH300" s="79"/>
      <c r="AI300" s="79"/>
      <c r="AJ300" s="79"/>
      <c r="AK300" s="113"/>
      <c r="AL300" s="79"/>
      <c r="AM300" s="82"/>
      <c r="AN300" s="82"/>
      <c r="AO300" s="82"/>
      <c r="AP300" s="82"/>
      <c r="AQ300" s="82"/>
      <c r="AR300" s="82"/>
      <c r="AS300" s="82"/>
      <c r="AT300" s="82"/>
      <c r="AU300" s="82"/>
      <c r="AV300" s="82"/>
      <c r="AW300" s="82"/>
      <c r="AX300" s="79"/>
      <c r="AY300" s="82"/>
      <c r="AZ300" s="82"/>
      <c r="BA300" s="82"/>
      <c r="BB300" s="82"/>
      <c r="BC300" s="82"/>
      <c r="BD300" s="82"/>
      <c r="BE300" s="82"/>
      <c r="BF300" s="82"/>
      <c r="BG300" s="82"/>
      <c r="BH300" s="1"/>
    </row>
    <row r="301" spans="1:60">
      <c r="A301" s="1040"/>
      <c r="B301" s="1109" t="s">
        <v>1222</v>
      </c>
      <c r="C301" s="1107" t="s">
        <v>96</v>
      </c>
      <c r="D301" s="638"/>
      <c r="E301" s="79"/>
      <c r="F301" s="79"/>
      <c r="G301" s="79"/>
      <c r="H301" s="85"/>
      <c r="I301" s="79"/>
      <c r="J301" s="1088"/>
      <c r="K301" s="79"/>
      <c r="L301" s="79"/>
      <c r="M301" s="113"/>
      <c r="N301" s="79"/>
      <c r="O301" s="1087"/>
      <c r="P301" s="356"/>
      <c r="Q301" s="356"/>
      <c r="R301" s="123"/>
      <c r="S301" s="82"/>
      <c r="T301" s="82"/>
      <c r="U301" s="82"/>
      <c r="V301" s="82"/>
      <c r="W301" s="82"/>
      <c r="X301" s="82"/>
      <c r="Y301" s="82"/>
      <c r="Z301" s="79"/>
      <c r="AA301" s="82"/>
      <c r="AB301" s="113"/>
      <c r="AC301" s="82"/>
      <c r="AD301" s="82"/>
      <c r="AE301" s="82"/>
      <c r="AF301" s="82"/>
      <c r="AG301" s="82"/>
      <c r="AH301" s="82"/>
      <c r="AI301" s="82"/>
      <c r="AJ301" s="82"/>
      <c r="AK301" s="82"/>
      <c r="AL301" s="79"/>
      <c r="AM301" s="82"/>
      <c r="AN301" s="82"/>
      <c r="AO301" s="82"/>
      <c r="AP301" s="82"/>
      <c r="AQ301" s="82"/>
      <c r="AR301" s="82"/>
      <c r="AS301" s="82"/>
      <c r="AT301" s="82"/>
      <c r="AU301" s="82"/>
      <c r="AV301" s="82"/>
      <c r="AW301" s="82"/>
      <c r="AX301" s="79"/>
      <c r="AY301" s="82"/>
      <c r="AZ301" s="82"/>
      <c r="BA301" s="82"/>
      <c r="BB301" s="82"/>
      <c r="BC301" s="82"/>
      <c r="BD301" s="82"/>
      <c r="BE301" s="82"/>
      <c r="BF301" s="82"/>
      <c r="BG301" s="82"/>
      <c r="BH301" s="1"/>
    </row>
    <row r="302" spans="1:60" s="2" customFormat="1" ht="21">
      <c r="A302" s="1038"/>
      <c r="B302" s="1109" t="s">
        <v>1222</v>
      </c>
      <c r="C302" s="1106" t="s">
        <v>96</v>
      </c>
      <c r="D302" s="641" t="s">
        <v>45</v>
      </c>
      <c r="E302" s="209" t="s">
        <v>1320</v>
      </c>
      <c r="F302" s="209"/>
      <c r="G302" s="209"/>
      <c r="H302" s="209"/>
      <c r="I302" s="129"/>
      <c r="J302" s="256" t="str">
        <f>"MWh "&amp;J$8</f>
        <v>MWh alle locaties</v>
      </c>
      <c r="K302" s="126"/>
      <c r="L302" s="126"/>
      <c r="M302" s="256" t="str">
        <f>"MWh "&amp;M$8</f>
        <v>MWh locatie 1</v>
      </c>
      <c r="N302" s="182"/>
      <c r="O302" s="955" t="str">
        <f>$E302&amp;" per woning-/gebouwtype"</f>
        <v>hernieuwbaar primair fossiel energiegebruik per woning-/gebouwtype</v>
      </c>
      <c r="P302" s="945"/>
      <c r="Q302" s="945"/>
      <c r="R302" s="945"/>
      <c r="S302" s="945"/>
      <c r="T302" s="945"/>
      <c r="U302" s="945"/>
      <c r="V302" s="945"/>
      <c r="W302" s="257"/>
      <c r="X302" s="174"/>
      <c r="Y302" s="256" t="str">
        <f>"MWh "&amp;Y$8</f>
        <v>MWh locatie 2</v>
      </c>
      <c r="Z302" s="182"/>
      <c r="AA302" s="955" t="str">
        <f>$E302&amp;" per woning-/gebouwtype"</f>
        <v>hernieuwbaar primair fossiel energiegebruik per woning-/gebouwtype</v>
      </c>
      <c r="AB302" s="945"/>
      <c r="AC302" s="945"/>
      <c r="AD302" s="945"/>
      <c r="AE302" s="945"/>
      <c r="AF302" s="945"/>
      <c r="AG302" s="945"/>
      <c r="AH302" s="945"/>
      <c r="AI302" s="257"/>
      <c r="AJ302" s="174"/>
      <c r="AK302" s="256" t="str">
        <f>"MWh "&amp;AK$8</f>
        <v>MWh locatie 3</v>
      </c>
      <c r="AL302" s="182"/>
      <c r="AM302" s="955" t="str">
        <f>$E302&amp;" per woning-/gebouwtype"</f>
        <v>hernieuwbaar primair fossiel energiegebruik per woning-/gebouwtype</v>
      </c>
      <c r="AN302" s="945"/>
      <c r="AO302" s="945"/>
      <c r="AP302" s="945"/>
      <c r="AQ302" s="945"/>
      <c r="AR302" s="945"/>
      <c r="AS302" s="945"/>
      <c r="AT302" s="945"/>
      <c r="AU302" s="257"/>
      <c r="AV302" s="174"/>
      <c r="AW302" s="256" t="str">
        <f>"MWh "&amp;AW$8</f>
        <v>MWh locatie 4</v>
      </c>
      <c r="AX302" s="182"/>
      <c r="AY302" s="955" t="str">
        <f>$E302&amp;" per woning-/gebouwtype"</f>
        <v>hernieuwbaar primair fossiel energiegebruik per woning-/gebouwtype</v>
      </c>
      <c r="AZ302" s="945"/>
      <c r="BA302" s="945"/>
      <c r="BB302" s="945"/>
      <c r="BC302" s="945"/>
      <c r="BD302" s="945"/>
      <c r="BE302" s="945"/>
      <c r="BF302" s="945"/>
      <c r="BG302" s="257"/>
      <c r="BH302" s="1"/>
    </row>
    <row r="303" spans="1:60">
      <c r="A303" s="1040"/>
      <c r="B303" s="1109" t="s">
        <v>1222</v>
      </c>
      <c r="C303" s="1106" t="s">
        <v>96</v>
      </c>
      <c r="D303" s="638"/>
      <c r="E303" s="942" t="s">
        <v>270</v>
      </c>
      <c r="F303" s="942"/>
      <c r="G303" s="942"/>
      <c r="H303" s="942"/>
      <c r="I303" s="129"/>
      <c r="J303" s="943"/>
      <c r="K303" s="126"/>
      <c r="L303" s="126"/>
      <c r="M303" s="944"/>
      <c r="N303" s="195"/>
      <c r="O303" s="258" t="str">
        <f>O$17</f>
        <v/>
      </c>
      <c r="P303" s="258" t="str">
        <f t="shared" ref="P303:W303" si="325">P$17</f>
        <v/>
      </c>
      <c r="Q303" s="258" t="str">
        <f t="shared" si="325"/>
        <v/>
      </c>
      <c r="R303" s="258" t="str">
        <f t="shared" si="325"/>
        <v/>
      </c>
      <c r="S303" s="258" t="str">
        <f t="shared" si="325"/>
        <v/>
      </c>
      <c r="T303" s="258" t="str">
        <f t="shared" si="325"/>
        <v/>
      </c>
      <c r="U303" s="258" t="str">
        <f t="shared" si="325"/>
        <v/>
      </c>
      <c r="V303" s="258" t="str">
        <f t="shared" si="325"/>
        <v/>
      </c>
      <c r="W303" s="258" t="str">
        <f t="shared" si="325"/>
        <v/>
      </c>
      <c r="X303" s="195"/>
      <c r="Y303" s="944"/>
      <c r="Z303" s="195"/>
      <c r="AA303" s="258" t="str">
        <f>AA$17</f>
        <v/>
      </c>
      <c r="AB303" s="258" t="str">
        <f t="shared" ref="AB303:AI303" si="326">AB$17</f>
        <v/>
      </c>
      <c r="AC303" s="258" t="str">
        <f t="shared" si="326"/>
        <v/>
      </c>
      <c r="AD303" s="258" t="str">
        <f t="shared" si="326"/>
        <v/>
      </c>
      <c r="AE303" s="258" t="str">
        <f t="shared" si="326"/>
        <v/>
      </c>
      <c r="AF303" s="258" t="str">
        <f t="shared" si="326"/>
        <v/>
      </c>
      <c r="AG303" s="258" t="str">
        <f t="shared" si="326"/>
        <v/>
      </c>
      <c r="AH303" s="258" t="str">
        <f t="shared" si="326"/>
        <v/>
      </c>
      <c r="AI303" s="258" t="str">
        <f t="shared" si="326"/>
        <v/>
      </c>
      <c r="AJ303" s="195"/>
      <c r="AK303" s="944"/>
      <c r="AL303" s="195"/>
      <c r="AM303" s="258" t="str">
        <f>AM$17</f>
        <v/>
      </c>
      <c r="AN303" s="258" t="str">
        <f t="shared" ref="AN303:AU303" si="327">AN$17</f>
        <v/>
      </c>
      <c r="AO303" s="258" t="str">
        <f t="shared" si="327"/>
        <v/>
      </c>
      <c r="AP303" s="258" t="str">
        <f t="shared" si="327"/>
        <v/>
      </c>
      <c r="AQ303" s="258" t="str">
        <f t="shared" si="327"/>
        <v/>
      </c>
      <c r="AR303" s="258" t="str">
        <f t="shared" si="327"/>
        <v/>
      </c>
      <c r="AS303" s="258" t="str">
        <f t="shared" si="327"/>
        <v/>
      </c>
      <c r="AT303" s="258" t="str">
        <f t="shared" si="327"/>
        <v/>
      </c>
      <c r="AU303" s="258" t="str">
        <f t="shared" si="327"/>
        <v/>
      </c>
      <c r="AV303" s="195"/>
      <c r="AW303" s="944"/>
      <c r="AX303" s="195"/>
      <c r="AY303" s="258" t="str">
        <f>AY$17</f>
        <v/>
      </c>
      <c r="AZ303" s="258" t="str">
        <f t="shared" ref="AZ303:BG303" si="328">AZ$17</f>
        <v/>
      </c>
      <c r="BA303" s="258" t="str">
        <f t="shared" si="328"/>
        <v/>
      </c>
      <c r="BB303" s="258" t="str">
        <f t="shared" si="328"/>
        <v/>
      </c>
      <c r="BC303" s="258" t="str">
        <f t="shared" si="328"/>
        <v/>
      </c>
      <c r="BD303" s="258" t="str">
        <f t="shared" si="328"/>
        <v/>
      </c>
      <c r="BE303" s="258" t="str">
        <f t="shared" si="328"/>
        <v/>
      </c>
      <c r="BF303" s="258" t="str">
        <f t="shared" si="328"/>
        <v/>
      </c>
      <c r="BG303" s="258" t="str">
        <f t="shared" si="328"/>
        <v/>
      </c>
      <c r="BH303" s="36"/>
    </row>
    <row r="304" spans="1:60">
      <c r="A304" s="1040"/>
      <c r="B304" s="1109" t="s">
        <v>1222</v>
      </c>
      <c r="C304" s="1107" t="s">
        <v>104</v>
      </c>
      <c r="D304" s="641" t="s">
        <v>45</v>
      </c>
      <c r="E304" s="180" t="s">
        <v>1329</v>
      </c>
      <c r="F304" s="180"/>
      <c r="G304" s="180"/>
      <c r="H304" s="201" t="s">
        <v>267</v>
      </c>
      <c r="I304" s="114"/>
      <c r="J304" s="190">
        <f>M304+Y304+AK304+AW304</f>
        <v>0</v>
      </c>
      <c r="K304" s="1092"/>
      <c r="L304" s="1092"/>
      <c r="M304" s="190">
        <f>SUMPRODUCT(N304:X304,N$30:X$30)/1000</f>
        <v>0</v>
      </c>
      <c r="N304" s="119"/>
      <c r="O304" s="227" t="str">
        <f t="shared" ref="O304:W304" si="329">IF(OR(O$17="",O$22=0,O$29=0),"",O$282+O$283+O$284+IF(OR(O$19=woning,O$19=woongebouw),0,O$285)+O$286-O$292+O$296)</f>
        <v/>
      </c>
      <c r="P304" s="183" t="str">
        <f t="shared" si="329"/>
        <v/>
      </c>
      <c r="Q304" s="183" t="str">
        <f t="shared" si="329"/>
        <v/>
      </c>
      <c r="R304" s="183" t="str">
        <f t="shared" si="329"/>
        <v/>
      </c>
      <c r="S304" s="183" t="str">
        <f t="shared" si="329"/>
        <v/>
      </c>
      <c r="T304" s="183" t="str">
        <f t="shared" si="329"/>
        <v/>
      </c>
      <c r="U304" s="183" t="str">
        <f t="shared" si="329"/>
        <v/>
      </c>
      <c r="V304" s="183" t="str">
        <f t="shared" si="329"/>
        <v/>
      </c>
      <c r="W304" s="183" t="str">
        <f t="shared" si="329"/>
        <v/>
      </c>
      <c r="X304" s="108"/>
      <c r="Y304" s="190">
        <f>SUMPRODUCT(Z304:AJ304,Z$30:AJ$30)/1000</f>
        <v>0</v>
      </c>
      <c r="Z304" s="119"/>
      <c r="AA304" s="183" t="str">
        <f t="shared" ref="AA304:AI304" si="330">IF(OR(AA$17="",AA$22=0,AA$29=0),"",AA$282+AA$283+AA$284+IF(OR(AA$19=woning,AA$19=woongebouw),0,AA$285)+AA$286-AA$292+AA$296)</f>
        <v/>
      </c>
      <c r="AB304" s="183" t="str">
        <f t="shared" si="330"/>
        <v/>
      </c>
      <c r="AC304" s="183" t="str">
        <f t="shared" si="330"/>
        <v/>
      </c>
      <c r="AD304" s="183" t="str">
        <f t="shared" si="330"/>
        <v/>
      </c>
      <c r="AE304" s="183" t="str">
        <f t="shared" si="330"/>
        <v/>
      </c>
      <c r="AF304" s="183" t="str">
        <f t="shared" si="330"/>
        <v/>
      </c>
      <c r="AG304" s="183" t="str">
        <f t="shared" si="330"/>
        <v/>
      </c>
      <c r="AH304" s="183" t="str">
        <f t="shared" si="330"/>
        <v/>
      </c>
      <c r="AI304" s="183" t="str">
        <f t="shared" si="330"/>
        <v/>
      </c>
      <c r="AJ304" s="108"/>
      <c r="AK304" s="190">
        <f>SUMPRODUCT(AL304:AV304,AL$30:AV$30)/1000</f>
        <v>0</v>
      </c>
      <c r="AL304" s="119"/>
      <c r="AM304" s="183" t="str">
        <f t="shared" ref="AM304:AU304" si="331">IF(OR(AM$17="",AM$22=0,AM$29=0),"",AM$282+AM$283+AM$284+IF(OR(AM$19=woning,AM$19=woongebouw),0,AM$285)+AM$286-AM$292+AM$296)</f>
        <v/>
      </c>
      <c r="AN304" s="183" t="str">
        <f t="shared" si="331"/>
        <v/>
      </c>
      <c r="AO304" s="183" t="str">
        <f t="shared" si="331"/>
        <v/>
      </c>
      <c r="AP304" s="183" t="str">
        <f t="shared" si="331"/>
        <v/>
      </c>
      <c r="AQ304" s="183" t="str">
        <f t="shared" si="331"/>
        <v/>
      </c>
      <c r="AR304" s="183" t="str">
        <f t="shared" si="331"/>
        <v/>
      </c>
      <c r="AS304" s="183" t="str">
        <f t="shared" si="331"/>
        <v/>
      </c>
      <c r="AT304" s="183" t="str">
        <f t="shared" si="331"/>
        <v/>
      </c>
      <c r="AU304" s="183" t="str">
        <f t="shared" si="331"/>
        <v/>
      </c>
      <c r="AV304" s="108"/>
      <c r="AW304" s="190">
        <f>SUMPRODUCT(AX304:BH304,AX$30:BH$30)/1000</f>
        <v>0</v>
      </c>
      <c r="AX304" s="119"/>
      <c r="AY304" s="183" t="str">
        <f t="shared" ref="AY304:BG304" si="332">IF(OR(AY$17="",AY$22=0,AY$29=0),"",AY$282+AY$283+AY$284+IF(OR(AY$19=woning,AY$19=woongebouw),0,AY$285)+AY$286-AY$292+AY$296)</f>
        <v/>
      </c>
      <c r="AZ304" s="183" t="str">
        <f t="shared" si="332"/>
        <v/>
      </c>
      <c r="BA304" s="183" t="str">
        <f t="shared" si="332"/>
        <v/>
      </c>
      <c r="BB304" s="183" t="str">
        <f t="shared" si="332"/>
        <v/>
      </c>
      <c r="BC304" s="183" t="str">
        <f t="shared" si="332"/>
        <v/>
      </c>
      <c r="BD304" s="183" t="str">
        <f t="shared" si="332"/>
        <v/>
      </c>
      <c r="BE304" s="183" t="str">
        <f t="shared" si="332"/>
        <v/>
      </c>
      <c r="BF304" s="183" t="str">
        <f t="shared" si="332"/>
        <v/>
      </c>
      <c r="BG304" s="183" t="str">
        <f t="shared" si="332"/>
        <v/>
      </c>
      <c r="BH304" s="210"/>
    </row>
    <row r="305" spans="1:60">
      <c r="A305" s="1040"/>
      <c r="B305" s="1109" t="s">
        <v>1222</v>
      </c>
      <c r="C305" s="1106" t="s">
        <v>96</v>
      </c>
      <c r="D305" s="638"/>
      <c r="E305" s="942" t="s">
        <v>271</v>
      </c>
      <c r="F305" s="942"/>
      <c r="G305" s="942"/>
      <c r="H305" s="942"/>
      <c r="I305" s="129"/>
      <c r="J305" s="943"/>
      <c r="K305" s="126"/>
      <c r="L305" s="126"/>
      <c r="M305" s="944"/>
      <c r="N305" s="195"/>
      <c r="O305" s="258" t="str">
        <f>O$17</f>
        <v/>
      </c>
      <c r="P305" s="258" t="str">
        <f t="shared" ref="P305:W305" si="333">P$17</f>
        <v/>
      </c>
      <c r="Q305" s="258" t="str">
        <f t="shared" si="333"/>
        <v/>
      </c>
      <c r="R305" s="258" t="str">
        <f t="shared" si="333"/>
        <v/>
      </c>
      <c r="S305" s="258" t="str">
        <f t="shared" si="333"/>
        <v/>
      </c>
      <c r="T305" s="258" t="str">
        <f t="shared" si="333"/>
        <v/>
      </c>
      <c r="U305" s="258" t="str">
        <f t="shared" si="333"/>
        <v/>
      </c>
      <c r="V305" s="258" t="str">
        <f t="shared" si="333"/>
        <v/>
      </c>
      <c r="W305" s="258" t="str">
        <f t="shared" si="333"/>
        <v/>
      </c>
      <c r="X305" s="195"/>
      <c r="Y305" s="944"/>
      <c r="Z305" s="195"/>
      <c r="AA305" s="258" t="str">
        <f>AA$17</f>
        <v/>
      </c>
      <c r="AB305" s="258" t="str">
        <f t="shared" ref="AB305:AI305" si="334">AB$17</f>
        <v/>
      </c>
      <c r="AC305" s="258" t="str">
        <f t="shared" si="334"/>
        <v/>
      </c>
      <c r="AD305" s="258" t="str">
        <f t="shared" si="334"/>
        <v/>
      </c>
      <c r="AE305" s="258" t="str">
        <f t="shared" si="334"/>
        <v/>
      </c>
      <c r="AF305" s="258" t="str">
        <f t="shared" si="334"/>
        <v/>
      </c>
      <c r="AG305" s="258" t="str">
        <f t="shared" si="334"/>
        <v/>
      </c>
      <c r="AH305" s="258" t="str">
        <f t="shared" si="334"/>
        <v/>
      </c>
      <c r="AI305" s="258" t="str">
        <f t="shared" si="334"/>
        <v/>
      </c>
      <c r="AJ305" s="195"/>
      <c r="AK305" s="944"/>
      <c r="AL305" s="195"/>
      <c r="AM305" s="258" t="str">
        <f>AM$17</f>
        <v/>
      </c>
      <c r="AN305" s="258" t="str">
        <f t="shared" ref="AN305:AU305" si="335">AN$17</f>
        <v/>
      </c>
      <c r="AO305" s="258" t="str">
        <f t="shared" si="335"/>
        <v/>
      </c>
      <c r="AP305" s="258" t="str">
        <f t="shared" si="335"/>
        <v/>
      </c>
      <c r="AQ305" s="258" t="str">
        <f t="shared" si="335"/>
        <v/>
      </c>
      <c r="AR305" s="258" t="str">
        <f t="shared" si="335"/>
        <v/>
      </c>
      <c r="AS305" s="258" t="str">
        <f t="shared" si="335"/>
        <v/>
      </c>
      <c r="AT305" s="258" t="str">
        <f t="shared" si="335"/>
        <v/>
      </c>
      <c r="AU305" s="258" t="str">
        <f t="shared" si="335"/>
        <v/>
      </c>
      <c r="AV305" s="195"/>
      <c r="AW305" s="944"/>
      <c r="AX305" s="195"/>
      <c r="AY305" s="258" t="str">
        <f>AY$17</f>
        <v/>
      </c>
      <c r="AZ305" s="258" t="str">
        <f t="shared" ref="AZ305:BG305" si="336">AZ$17</f>
        <v/>
      </c>
      <c r="BA305" s="258" t="str">
        <f t="shared" si="336"/>
        <v/>
      </c>
      <c r="BB305" s="258" t="str">
        <f t="shared" si="336"/>
        <v/>
      </c>
      <c r="BC305" s="258" t="str">
        <f t="shared" si="336"/>
        <v/>
      </c>
      <c r="BD305" s="258" t="str">
        <f t="shared" si="336"/>
        <v/>
      </c>
      <c r="BE305" s="258" t="str">
        <f t="shared" si="336"/>
        <v/>
      </c>
      <c r="BF305" s="258" t="str">
        <f t="shared" si="336"/>
        <v/>
      </c>
      <c r="BG305" s="258" t="str">
        <f t="shared" si="336"/>
        <v/>
      </c>
      <c r="BH305" s="36"/>
    </row>
    <row r="306" spans="1:60">
      <c r="A306" s="1040"/>
      <c r="B306" s="1109" t="s">
        <v>1222</v>
      </c>
      <c r="C306" s="1107" t="s">
        <v>104</v>
      </c>
      <c r="D306" s="641" t="s">
        <v>45</v>
      </c>
      <c r="E306" s="180" t="s">
        <v>1328</v>
      </c>
      <c r="F306" s="180"/>
      <c r="G306" s="180"/>
      <c r="H306" s="201" t="s">
        <v>267</v>
      </c>
      <c r="I306" s="114"/>
      <c r="J306" s="190">
        <f t="shared" ref="J306:J311" si="337">M306+Y306+AK306+AW306</f>
        <v>0</v>
      </c>
      <c r="K306" s="1092"/>
      <c r="L306" s="1092"/>
      <c r="M306" s="190">
        <f t="shared" ref="M306:M311" si="338">SUMPRODUCT(N306:X306,N$30:X$30)/1000</f>
        <v>0</v>
      </c>
      <c r="N306" s="119"/>
      <c r="O306" s="183" t="str">
        <f t="shared" ref="O306:W306" si="339">IF(OR(O$17="",O$22=0,O$29=0),"",
(O$275*$O251+O$276*$P251+O$277*$Q251)*1000/(O$22*O$29))</f>
        <v/>
      </c>
      <c r="P306" s="183" t="str">
        <f t="shared" si="339"/>
        <v/>
      </c>
      <c r="Q306" s="183" t="str">
        <f t="shared" si="339"/>
        <v/>
      </c>
      <c r="R306" s="183" t="str">
        <f t="shared" si="339"/>
        <v/>
      </c>
      <c r="S306" s="183" t="str">
        <f t="shared" si="339"/>
        <v/>
      </c>
      <c r="T306" s="183" t="str">
        <f t="shared" si="339"/>
        <v/>
      </c>
      <c r="U306" s="183" t="str">
        <f t="shared" si="339"/>
        <v/>
      </c>
      <c r="V306" s="183" t="str">
        <f t="shared" si="339"/>
        <v/>
      </c>
      <c r="W306" s="183" t="str">
        <f t="shared" si="339"/>
        <v/>
      </c>
      <c r="X306" s="108"/>
      <c r="Y306" s="190">
        <f t="shared" ref="Y306:Y311" si="340">SUMPRODUCT(Z306:AJ306,Z$30:AJ$30)/1000</f>
        <v>0</v>
      </c>
      <c r="Z306" s="119"/>
      <c r="AA306" s="183" t="str">
        <f t="shared" ref="AA306:AI306" si="341">IF(OR(AA$17="",AA$22=0,AA$29=0),"",
(AA$275*$AA251+AA$276*$AB251+AA$277*$AC251)*1000/(AA$22*AA$29))</f>
        <v/>
      </c>
      <c r="AB306" s="183" t="str">
        <f t="shared" si="341"/>
        <v/>
      </c>
      <c r="AC306" s="183" t="str">
        <f t="shared" si="341"/>
        <v/>
      </c>
      <c r="AD306" s="183" t="str">
        <f t="shared" si="341"/>
        <v/>
      </c>
      <c r="AE306" s="183" t="str">
        <f t="shared" si="341"/>
        <v/>
      </c>
      <c r="AF306" s="183" t="str">
        <f t="shared" si="341"/>
        <v/>
      </c>
      <c r="AG306" s="183" t="str">
        <f t="shared" si="341"/>
        <v/>
      </c>
      <c r="AH306" s="183" t="str">
        <f t="shared" si="341"/>
        <v/>
      </c>
      <c r="AI306" s="183" t="str">
        <f t="shared" si="341"/>
        <v/>
      </c>
      <c r="AJ306" s="108"/>
      <c r="AK306" s="190">
        <f t="shared" ref="AK306:AK311" si="342">SUMPRODUCT(AL306:AV306,AL$30:AV$30)/1000</f>
        <v>0</v>
      </c>
      <c r="AL306" s="119"/>
      <c r="AM306" s="183" t="str">
        <f t="shared" ref="AM306:AU306" si="343">IF(OR(AM$17="",AM$22=0,AM$29=0),"",
(AM$275*$AM251+AM$276*$AN251+AM$277*$AO251)*1000/(AM$22*AM$29))</f>
        <v/>
      </c>
      <c r="AN306" s="183" t="str">
        <f t="shared" si="343"/>
        <v/>
      </c>
      <c r="AO306" s="183" t="str">
        <f t="shared" si="343"/>
        <v/>
      </c>
      <c r="AP306" s="183" t="str">
        <f t="shared" si="343"/>
        <v/>
      </c>
      <c r="AQ306" s="183" t="str">
        <f t="shared" si="343"/>
        <v/>
      </c>
      <c r="AR306" s="183" t="str">
        <f t="shared" si="343"/>
        <v/>
      </c>
      <c r="AS306" s="183" t="str">
        <f t="shared" si="343"/>
        <v/>
      </c>
      <c r="AT306" s="183" t="str">
        <f t="shared" si="343"/>
        <v/>
      </c>
      <c r="AU306" s="183" t="str">
        <f t="shared" si="343"/>
        <v/>
      </c>
      <c r="AV306" s="108"/>
      <c r="AW306" s="190">
        <f t="shared" ref="AW306:AW311" si="344">SUMPRODUCT(AX306:BH306,AX$30:BH$30)/1000</f>
        <v>0</v>
      </c>
      <c r="AX306" s="119"/>
      <c r="AY306" s="183" t="str">
        <f t="shared" ref="AY306:BG306" si="345">IF(OR(AY$17="",AY$22=0,AY$29=0),"",
(AY$275*$AY251+AY$276*$AZ251+AY$277*$BA251)*1000/(AY$22*AY$29))</f>
        <v/>
      </c>
      <c r="AZ306" s="183" t="str">
        <f t="shared" si="345"/>
        <v/>
      </c>
      <c r="BA306" s="183" t="str">
        <f t="shared" si="345"/>
        <v/>
      </c>
      <c r="BB306" s="183" t="str">
        <f t="shared" si="345"/>
        <v/>
      </c>
      <c r="BC306" s="183" t="str">
        <f t="shared" si="345"/>
        <v/>
      </c>
      <c r="BD306" s="183" t="str">
        <f t="shared" si="345"/>
        <v/>
      </c>
      <c r="BE306" s="183" t="str">
        <f t="shared" si="345"/>
        <v/>
      </c>
      <c r="BF306" s="183" t="str">
        <f t="shared" si="345"/>
        <v/>
      </c>
      <c r="BG306" s="183" t="str">
        <f t="shared" si="345"/>
        <v/>
      </c>
      <c r="BH306" s="210"/>
    </row>
    <row r="307" spans="1:60">
      <c r="A307" s="1040"/>
      <c r="B307" s="1109" t="s">
        <v>1222</v>
      </c>
      <c r="C307" s="1107" t="s">
        <v>104</v>
      </c>
      <c r="D307" s="641" t="s">
        <v>45</v>
      </c>
      <c r="E307" s="180" t="s">
        <v>1327</v>
      </c>
      <c r="F307" s="180"/>
      <c r="G307" s="180"/>
      <c r="H307" s="201" t="s">
        <v>267</v>
      </c>
      <c r="I307" s="114"/>
      <c r="J307" s="190">
        <f t="shared" si="337"/>
        <v>0</v>
      </c>
      <c r="K307" s="1092"/>
      <c r="L307" s="1092"/>
      <c r="M307" s="190">
        <f t="shared" si="338"/>
        <v>0</v>
      </c>
      <c r="N307" s="119"/>
      <c r="O307" s="183" t="str">
        <f t="shared" ref="O307:W307" si="346">IF(OR(O$17="",O$22=0,O$29=0),"",
(O$276*$P252)*1000/(O$22*O$29))</f>
        <v/>
      </c>
      <c r="P307" s="183" t="str">
        <f t="shared" si="346"/>
        <v/>
      </c>
      <c r="Q307" s="183" t="str">
        <f t="shared" si="346"/>
        <v/>
      </c>
      <c r="R307" s="183" t="str">
        <f t="shared" si="346"/>
        <v/>
      </c>
      <c r="S307" s="183" t="str">
        <f t="shared" si="346"/>
        <v/>
      </c>
      <c r="T307" s="183" t="str">
        <f t="shared" si="346"/>
        <v/>
      </c>
      <c r="U307" s="183" t="str">
        <f t="shared" si="346"/>
        <v/>
      </c>
      <c r="V307" s="183" t="str">
        <f t="shared" si="346"/>
        <v/>
      </c>
      <c r="W307" s="183" t="str">
        <f t="shared" si="346"/>
        <v/>
      </c>
      <c r="X307" s="108"/>
      <c r="Y307" s="190">
        <f t="shared" si="340"/>
        <v>0</v>
      </c>
      <c r="Z307" s="119"/>
      <c r="AA307" s="183" t="str">
        <f t="shared" ref="AA307:AI307" si="347">IF(OR(AA$17="",AA$22=0,AA$29=0),"",
(AA$276*$AB252)*1000/(AA$22*AA$29))</f>
        <v/>
      </c>
      <c r="AB307" s="183" t="str">
        <f t="shared" si="347"/>
        <v/>
      </c>
      <c r="AC307" s="183" t="str">
        <f t="shared" si="347"/>
        <v/>
      </c>
      <c r="AD307" s="183" t="str">
        <f t="shared" si="347"/>
        <v/>
      </c>
      <c r="AE307" s="183" t="str">
        <f t="shared" si="347"/>
        <v/>
      </c>
      <c r="AF307" s="183" t="str">
        <f t="shared" si="347"/>
        <v/>
      </c>
      <c r="AG307" s="183" t="str">
        <f t="shared" si="347"/>
        <v/>
      </c>
      <c r="AH307" s="183" t="str">
        <f t="shared" si="347"/>
        <v/>
      </c>
      <c r="AI307" s="183" t="str">
        <f t="shared" si="347"/>
        <v/>
      </c>
      <c r="AJ307" s="108"/>
      <c r="AK307" s="190">
        <f t="shared" si="342"/>
        <v>0</v>
      </c>
      <c r="AL307" s="119"/>
      <c r="AM307" s="183" t="str">
        <f t="shared" ref="AM307:AU307" si="348">IF(OR(AM$17="",AM$22=0,AM$29=0),"",
(AM$276*$AN252)*1000/(AM$22*AM$29))</f>
        <v/>
      </c>
      <c r="AN307" s="183" t="str">
        <f t="shared" si="348"/>
        <v/>
      </c>
      <c r="AO307" s="183" t="str">
        <f t="shared" si="348"/>
        <v/>
      </c>
      <c r="AP307" s="183" t="str">
        <f t="shared" si="348"/>
        <v/>
      </c>
      <c r="AQ307" s="183" t="str">
        <f t="shared" si="348"/>
        <v/>
      </c>
      <c r="AR307" s="183" t="str">
        <f t="shared" si="348"/>
        <v/>
      </c>
      <c r="AS307" s="183" t="str">
        <f t="shared" si="348"/>
        <v/>
      </c>
      <c r="AT307" s="183" t="str">
        <f t="shared" si="348"/>
        <v/>
      </c>
      <c r="AU307" s="183" t="str">
        <f t="shared" si="348"/>
        <v/>
      </c>
      <c r="AV307" s="108"/>
      <c r="AW307" s="190">
        <f t="shared" si="344"/>
        <v>0</v>
      </c>
      <c r="AX307" s="119"/>
      <c r="AY307" s="183" t="str">
        <f t="shared" ref="AY307:BG307" si="349">IF(OR(AY$17="",AY$22=0,AY$29=0),"",
(AY$276*$AZ252)*1000/(AY$22*AY$29))</f>
        <v/>
      </c>
      <c r="AZ307" s="183" t="str">
        <f t="shared" si="349"/>
        <v/>
      </c>
      <c r="BA307" s="183" t="str">
        <f t="shared" si="349"/>
        <v/>
      </c>
      <c r="BB307" s="183" t="str">
        <f t="shared" si="349"/>
        <v/>
      </c>
      <c r="BC307" s="183" t="str">
        <f t="shared" si="349"/>
        <v/>
      </c>
      <c r="BD307" s="183" t="str">
        <f t="shared" si="349"/>
        <v/>
      </c>
      <c r="BE307" s="183" t="str">
        <f t="shared" si="349"/>
        <v/>
      </c>
      <c r="BF307" s="183" t="str">
        <f t="shared" si="349"/>
        <v/>
      </c>
      <c r="BG307" s="183" t="str">
        <f t="shared" si="349"/>
        <v/>
      </c>
      <c r="BH307" s="210"/>
    </row>
    <row r="308" spans="1:60">
      <c r="A308" s="1040"/>
      <c r="B308" s="1109" t="s">
        <v>1222</v>
      </c>
      <c r="C308" s="1107" t="s">
        <v>104</v>
      </c>
      <c r="D308" s="641" t="s">
        <v>45</v>
      </c>
      <c r="E308" s="180" t="s">
        <v>1326</v>
      </c>
      <c r="F308" s="180"/>
      <c r="G308" s="180"/>
      <c r="H308" s="201" t="s">
        <v>267</v>
      </c>
      <c r="I308" s="114"/>
      <c r="J308" s="190">
        <f t="shared" si="337"/>
        <v>0</v>
      </c>
      <c r="K308" s="1092"/>
      <c r="L308" s="1092"/>
      <c r="M308" s="190">
        <f t="shared" si="338"/>
        <v>0</v>
      </c>
      <c r="N308" s="119"/>
      <c r="O308" s="183" t="str">
        <f t="shared" ref="O308:W308" si="350">IF(OR(O$17="",O$22=0,O$29=0),"",
(O$275*$O253+O$277*$Q253)*1000/(O$22*O$29))</f>
        <v/>
      </c>
      <c r="P308" s="183" t="str">
        <f t="shared" si="350"/>
        <v/>
      </c>
      <c r="Q308" s="183" t="str">
        <f t="shared" si="350"/>
        <v/>
      </c>
      <c r="R308" s="183" t="str">
        <f t="shared" si="350"/>
        <v/>
      </c>
      <c r="S308" s="183" t="str">
        <f t="shared" si="350"/>
        <v/>
      </c>
      <c r="T308" s="183" t="str">
        <f t="shared" si="350"/>
        <v/>
      </c>
      <c r="U308" s="183" t="str">
        <f t="shared" si="350"/>
        <v/>
      </c>
      <c r="V308" s="183" t="str">
        <f t="shared" si="350"/>
        <v/>
      </c>
      <c r="W308" s="183" t="str">
        <f t="shared" si="350"/>
        <v/>
      </c>
      <c r="X308" s="108"/>
      <c r="Y308" s="190">
        <f t="shared" si="340"/>
        <v>0</v>
      </c>
      <c r="Z308" s="119"/>
      <c r="AA308" s="183" t="str">
        <f t="shared" ref="AA308:AI308" si="351">IF(OR(AA$17="",AA$22=0,AA$29=0),"",
(AA$275*$AA253+AA$277*$AC253)*1000/(AA$22*AA$29))</f>
        <v/>
      </c>
      <c r="AB308" s="183" t="str">
        <f t="shared" si="351"/>
        <v/>
      </c>
      <c r="AC308" s="183" t="str">
        <f t="shared" si="351"/>
        <v/>
      </c>
      <c r="AD308" s="183" t="str">
        <f t="shared" si="351"/>
        <v/>
      </c>
      <c r="AE308" s="183" t="str">
        <f t="shared" si="351"/>
        <v/>
      </c>
      <c r="AF308" s="183" t="str">
        <f t="shared" si="351"/>
        <v/>
      </c>
      <c r="AG308" s="183" t="str">
        <f t="shared" si="351"/>
        <v/>
      </c>
      <c r="AH308" s="183" t="str">
        <f t="shared" si="351"/>
        <v/>
      </c>
      <c r="AI308" s="183" t="str">
        <f t="shared" si="351"/>
        <v/>
      </c>
      <c r="AJ308" s="108"/>
      <c r="AK308" s="190">
        <f t="shared" si="342"/>
        <v>0</v>
      </c>
      <c r="AL308" s="119"/>
      <c r="AM308" s="183" t="str">
        <f t="shared" ref="AM308:AU308" si="352">IF(OR(AM$17="",AM$22=0,AM$29=0),"",
(AM$275*$AM253+AM$277*$AO253)*1000/(AM$22*AM$29))</f>
        <v/>
      </c>
      <c r="AN308" s="183" t="str">
        <f t="shared" si="352"/>
        <v/>
      </c>
      <c r="AO308" s="183" t="str">
        <f t="shared" si="352"/>
        <v/>
      </c>
      <c r="AP308" s="183" t="str">
        <f t="shared" si="352"/>
        <v/>
      </c>
      <c r="AQ308" s="183" t="str">
        <f t="shared" si="352"/>
        <v/>
      </c>
      <c r="AR308" s="183" t="str">
        <f t="shared" si="352"/>
        <v/>
      </c>
      <c r="AS308" s="183" t="str">
        <f t="shared" si="352"/>
        <v/>
      </c>
      <c r="AT308" s="183" t="str">
        <f t="shared" si="352"/>
        <v/>
      </c>
      <c r="AU308" s="183" t="str">
        <f t="shared" si="352"/>
        <v/>
      </c>
      <c r="AV308" s="108"/>
      <c r="AW308" s="190">
        <f t="shared" si="344"/>
        <v>0</v>
      </c>
      <c r="AX308" s="119"/>
      <c r="AY308" s="183" t="str">
        <f t="shared" ref="AY308:BG308" si="353">IF(OR(AY$17="",AY$22=0,AY$29=0),"",
(AY$275*$AY253+AY$277*$BA253)*1000/(AY$22*AY$29))</f>
        <v/>
      </c>
      <c r="AZ308" s="183" t="str">
        <f t="shared" si="353"/>
        <v/>
      </c>
      <c r="BA308" s="183" t="str">
        <f t="shared" si="353"/>
        <v/>
      </c>
      <c r="BB308" s="183" t="str">
        <f t="shared" si="353"/>
        <v/>
      </c>
      <c r="BC308" s="183" t="str">
        <f t="shared" si="353"/>
        <v/>
      </c>
      <c r="BD308" s="183" t="str">
        <f t="shared" si="353"/>
        <v/>
      </c>
      <c r="BE308" s="183" t="str">
        <f t="shared" si="353"/>
        <v/>
      </c>
      <c r="BF308" s="183" t="str">
        <f t="shared" si="353"/>
        <v/>
      </c>
      <c r="BG308" s="183" t="str">
        <f t="shared" si="353"/>
        <v/>
      </c>
      <c r="BH308" s="210"/>
    </row>
    <row r="309" spans="1:60">
      <c r="A309" s="1040"/>
      <c r="B309" s="1109" t="s">
        <v>1222</v>
      </c>
      <c r="C309" s="1107" t="s">
        <v>104</v>
      </c>
      <c r="D309" s="641" t="s">
        <v>45</v>
      </c>
      <c r="E309" s="180" t="s">
        <v>1325</v>
      </c>
      <c r="F309" s="180"/>
      <c r="G309" s="180"/>
      <c r="H309" s="201" t="s">
        <v>267</v>
      </c>
      <c r="I309" s="114"/>
      <c r="J309" s="190">
        <f t="shared" si="337"/>
        <v>0</v>
      </c>
      <c r="K309" s="1092"/>
      <c r="L309" s="1092"/>
      <c r="M309" s="190">
        <f t="shared" si="338"/>
        <v>0</v>
      </c>
      <c r="N309" s="119"/>
      <c r="O309" s="183" t="str">
        <f t="shared" ref="O309:W309" si="354">IF(OR(O$17="",O$22=0,O$29=0),"",
(O$275*$O254+O$276*$P254+O$277*$Q254)*1000/(O$22*O$29))</f>
        <v/>
      </c>
      <c r="P309" s="183" t="str">
        <f t="shared" si="354"/>
        <v/>
      </c>
      <c r="Q309" s="183" t="str">
        <f t="shared" si="354"/>
        <v/>
      </c>
      <c r="R309" s="183" t="str">
        <f t="shared" si="354"/>
        <v/>
      </c>
      <c r="S309" s="183" t="str">
        <f t="shared" si="354"/>
        <v/>
      </c>
      <c r="T309" s="183" t="str">
        <f t="shared" si="354"/>
        <v/>
      </c>
      <c r="U309" s="183" t="str">
        <f t="shared" si="354"/>
        <v/>
      </c>
      <c r="V309" s="183" t="str">
        <f t="shared" si="354"/>
        <v/>
      </c>
      <c r="W309" s="183" t="str">
        <f t="shared" si="354"/>
        <v/>
      </c>
      <c r="X309" s="108"/>
      <c r="Y309" s="190">
        <f t="shared" si="340"/>
        <v>0</v>
      </c>
      <c r="Z309" s="119"/>
      <c r="AA309" s="183" t="str">
        <f t="shared" ref="AA309:AI309" si="355">IF(OR(AA$17="",AA$22=0,AA$29=0),"",
(AA$275*$AA254+AA$276*$AB254+AA$277*$AC254)*1000/(AA$22*AA$29))</f>
        <v/>
      </c>
      <c r="AB309" s="183" t="str">
        <f t="shared" si="355"/>
        <v/>
      </c>
      <c r="AC309" s="183" t="str">
        <f t="shared" si="355"/>
        <v/>
      </c>
      <c r="AD309" s="183" t="str">
        <f t="shared" si="355"/>
        <v/>
      </c>
      <c r="AE309" s="183" t="str">
        <f t="shared" si="355"/>
        <v/>
      </c>
      <c r="AF309" s="183" t="str">
        <f t="shared" si="355"/>
        <v/>
      </c>
      <c r="AG309" s="183" t="str">
        <f t="shared" si="355"/>
        <v/>
      </c>
      <c r="AH309" s="183" t="str">
        <f t="shared" si="355"/>
        <v/>
      </c>
      <c r="AI309" s="183" t="str">
        <f t="shared" si="355"/>
        <v/>
      </c>
      <c r="AJ309" s="108"/>
      <c r="AK309" s="190">
        <f t="shared" si="342"/>
        <v>0</v>
      </c>
      <c r="AL309" s="119"/>
      <c r="AM309" s="183" t="str">
        <f t="shared" ref="AM309:AU309" si="356">IF(OR(AM$17="",AM$22=0,AM$29=0),"",
(AM$275*$AM254+AM$276*$AN254+AM$277*$AO254)*1000/(AM$22*AM$29))</f>
        <v/>
      </c>
      <c r="AN309" s="183" t="str">
        <f t="shared" si="356"/>
        <v/>
      </c>
      <c r="AO309" s="183" t="str">
        <f t="shared" si="356"/>
        <v/>
      </c>
      <c r="AP309" s="183" t="str">
        <f t="shared" si="356"/>
        <v/>
      </c>
      <c r="AQ309" s="183" t="str">
        <f t="shared" si="356"/>
        <v/>
      </c>
      <c r="AR309" s="183" t="str">
        <f t="shared" si="356"/>
        <v/>
      </c>
      <c r="AS309" s="183" t="str">
        <f t="shared" si="356"/>
        <v/>
      </c>
      <c r="AT309" s="183" t="str">
        <f t="shared" si="356"/>
        <v/>
      </c>
      <c r="AU309" s="183" t="str">
        <f t="shared" si="356"/>
        <v/>
      </c>
      <c r="AV309" s="108"/>
      <c r="AW309" s="190">
        <f t="shared" si="344"/>
        <v>0</v>
      </c>
      <c r="AX309" s="119"/>
      <c r="AY309" s="183" t="str">
        <f t="shared" ref="AY309:BG309" si="357">IF(OR(AY$17="",AY$22=0,AY$29=0),"",
(AY$275*$AY254+AY$276*$AZ254+AY$277*$BA254)*1000/(AY$22*AY$29))</f>
        <v/>
      </c>
      <c r="AZ309" s="183" t="str">
        <f t="shared" si="357"/>
        <v/>
      </c>
      <c r="BA309" s="183" t="str">
        <f t="shared" si="357"/>
        <v/>
      </c>
      <c r="BB309" s="183" t="str">
        <f t="shared" si="357"/>
        <v/>
      </c>
      <c r="BC309" s="183" t="str">
        <f t="shared" si="357"/>
        <v/>
      </c>
      <c r="BD309" s="183" t="str">
        <f t="shared" si="357"/>
        <v/>
      </c>
      <c r="BE309" s="183" t="str">
        <f t="shared" si="357"/>
        <v/>
      </c>
      <c r="BF309" s="183" t="str">
        <f t="shared" si="357"/>
        <v/>
      </c>
      <c r="BG309" s="183" t="str">
        <f t="shared" si="357"/>
        <v/>
      </c>
      <c r="BH309" s="210"/>
    </row>
    <row r="310" spans="1:60">
      <c r="A310" s="1040"/>
      <c r="B310" s="1109" t="s">
        <v>1222</v>
      </c>
      <c r="C310" s="1107" t="s">
        <v>104</v>
      </c>
      <c r="D310" s="641" t="s">
        <v>45</v>
      </c>
      <c r="E310" s="180" t="s">
        <v>1324</v>
      </c>
      <c r="F310" s="180"/>
      <c r="G310" s="180"/>
      <c r="H310" s="201" t="s">
        <v>267</v>
      </c>
      <c r="I310" s="114"/>
      <c r="J310" s="190">
        <f t="shared" si="337"/>
        <v>0</v>
      </c>
      <c r="K310" s="1092"/>
      <c r="L310" s="1092"/>
      <c r="M310" s="190">
        <f t="shared" si="338"/>
        <v>0</v>
      </c>
      <c r="N310" s="119"/>
      <c r="O310" s="183" t="str">
        <f t="shared" ref="O310:W310" si="358">IF(OR(O$17="",O$22=0,O$29=0),"",
(O$276*$P255)*1000/(O$22*O$29))</f>
        <v/>
      </c>
      <c r="P310" s="183" t="str">
        <f t="shared" si="358"/>
        <v/>
      </c>
      <c r="Q310" s="183" t="str">
        <f t="shared" si="358"/>
        <v/>
      </c>
      <c r="R310" s="183" t="str">
        <f t="shared" si="358"/>
        <v/>
      </c>
      <c r="S310" s="183" t="str">
        <f t="shared" si="358"/>
        <v/>
      </c>
      <c r="T310" s="183" t="str">
        <f t="shared" si="358"/>
        <v/>
      </c>
      <c r="U310" s="183" t="str">
        <f t="shared" si="358"/>
        <v/>
      </c>
      <c r="V310" s="183" t="str">
        <f t="shared" si="358"/>
        <v/>
      </c>
      <c r="W310" s="183" t="str">
        <f t="shared" si="358"/>
        <v/>
      </c>
      <c r="X310" s="108"/>
      <c r="Y310" s="190">
        <f t="shared" si="340"/>
        <v>0</v>
      </c>
      <c r="Z310" s="119"/>
      <c r="AA310" s="183" t="str">
        <f t="shared" ref="AA310:AI310" si="359">IF(OR(AA$17="",AA$22=0,AA$29=0),"",
(AA$276*$AB255)*1000/(AA$22*AA$29))</f>
        <v/>
      </c>
      <c r="AB310" s="183" t="str">
        <f t="shared" si="359"/>
        <v/>
      </c>
      <c r="AC310" s="183" t="str">
        <f t="shared" si="359"/>
        <v/>
      </c>
      <c r="AD310" s="183" t="str">
        <f t="shared" si="359"/>
        <v/>
      </c>
      <c r="AE310" s="183" t="str">
        <f t="shared" si="359"/>
        <v/>
      </c>
      <c r="AF310" s="183" t="str">
        <f t="shared" si="359"/>
        <v/>
      </c>
      <c r="AG310" s="183" t="str">
        <f t="shared" si="359"/>
        <v/>
      </c>
      <c r="AH310" s="183" t="str">
        <f t="shared" si="359"/>
        <v/>
      </c>
      <c r="AI310" s="183" t="str">
        <f t="shared" si="359"/>
        <v/>
      </c>
      <c r="AJ310" s="108"/>
      <c r="AK310" s="190">
        <f t="shared" si="342"/>
        <v>0</v>
      </c>
      <c r="AL310" s="119"/>
      <c r="AM310" s="183" t="str">
        <f t="shared" ref="AM310:AU310" si="360">IF(OR(AM$17="",AM$22=0,AM$29=0),"",
(AM$276*$AN255)*1000/(AM$22*AM$29))</f>
        <v/>
      </c>
      <c r="AN310" s="183" t="str">
        <f t="shared" si="360"/>
        <v/>
      </c>
      <c r="AO310" s="183" t="str">
        <f t="shared" si="360"/>
        <v/>
      </c>
      <c r="AP310" s="183" t="str">
        <f t="shared" si="360"/>
        <v/>
      </c>
      <c r="AQ310" s="183" t="str">
        <f t="shared" si="360"/>
        <v/>
      </c>
      <c r="AR310" s="183" t="str">
        <f t="shared" si="360"/>
        <v/>
      </c>
      <c r="AS310" s="183" t="str">
        <f t="shared" si="360"/>
        <v/>
      </c>
      <c r="AT310" s="183" t="str">
        <f t="shared" si="360"/>
        <v/>
      </c>
      <c r="AU310" s="183" t="str">
        <f t="shared" si="360"/>
        <v/>
      </c>
      <c r="AV310" s="108"/>
      <c r="AW310" s="190">
        <f t="shared" si="344"/>
        <v>0</v>
      </c>
      <c r="AX310" s="119"/>
      <c r="AY310" s="183" t="str">
        <f t="shared" ref="AY310:BG310" si="361">IF(OR(AY$17="",AY$22=0,AY$29=0),"",
(AY$276*$AZ255)*1000/(AY$22*AY$29))</f>
        <v/>
      </c>
      <c r="AZ310" s="183" t="str">
        <f t="shared" si="361"/>
        <v/>
      </c>
      <c r="BA310" s="183" t="str">
        <f t="shared" si="361"/>
        <v/>
      </c>
      <c r="BB310" s="183" t="str">
        <f t="shared" si="361"/>
        <v/>
      </c>
      <c r="BC310" s="183" t="str">
        <f t="shared" si="361"/>
        <v/>
      </c>
      <c r="BD310" s="183" t="str">
        <f t="shared" si="361"/>
        <v/>
      </c>
      <c r="BE310" s="183" t="str">
        <f t="shared" si="361"/>
        <v/>
      </c>
      <c r="BF310" s="183" t="str">
        <f t="shared" si="361"/>
        <v/>
      </c>
      <c r="BG310" s="183" t="str">
        <f t="shared" si="361"/>
        <v/>
      </c>
      <c r="BH310" s="210"/>
    </row>
    <row r="311" spans="1:60">
      <c r="A311" s="1040"/>
      <c r="B311" s="1109" t="s">
        <v>1222</v>
      </c>
      <c r="C311" s="1107" t="s">
        <v>104</v>
      </c>
      <c r="D311" s="641" t="s">
        <v>45</v>
      </c>
      <c r="E311" s="180" t="s">
        <v>1323</v>
      </c>
      <c r="F311" s="180"/>
      <c r="G311" s="180"/>
      <c r="H311" s="201" t="s">
        <v>267</v>
      </c>
      <c r="I311" s="114"/>
      <c r="J311" s="190">
        <f t="shared" si="337"/>
        <v>0</v>
      </c>
      <c r="K311" s="1092"/>
      <c r="L311" s="1092"/>
      <c r="M311" s="190">
        <f t="shared" si="338"/>
        <v>0</v>
      </c>
      <c r="N311" s="119"/>
      <c r="O311" s="183" t="str">
        <f t="shared" ref="O311:W311" si="362">IF(OR(O$17="",O$22=0,O$29=0),"",
(O$275*$O256+O$277*$Q256)*1000/(O$22*O$29))</f>
        <v/>
      </c>
      <c r="P311" s="183" t="str">
        <f t="shared" si="362"/>
        <v/>
      </c>
      <c r="Q311" s="183" t="str">
        <f t="shared" si="362"/>
        <v/>
      </c>
      <c r="R311" s="183" t="str">
        <f t="shared" si="362"/>
        <v/>
      </c>
      <c r="S311" s="183" t="str">
        <f t="shared" si="362"/>
        <v/>
      </c>
      <c r="T311" s="183" t="str">
        <f t="shared" si="362"/>
        <v/>
      </c>
      <c r="U311" s="183" t="str">
        <f t="shared" si="362"/>
        <v/>
      </c>
      <c r="V311" s="183" t="str">
        <f t="shared" si="362"/>
        <v/>
      </c>
      <c r="W311" s="183" t="str">
        <f t="shared" si="362"/>
        <v/>
      </c>
      <c r="X311" s="108"/>
      <c r="Y311" s="190">
        <f t="shared" si="340"/>
        <v>0</v>
      </c>
      <c r="Z311" s="119"/>
      <c r="AA311" s="183" t="str">
        <f t="shared" ref="AA311:AI311" si="363">IF(OR(AA$17="",AA$22=0,AA$29=0),"",
(AA$275*$AA256+AA$277*$AC256)*1000/(AA$22*AA$29))</f>
        <v/>
      </c>
      <c r="AB311" s="183" t="str">
        <f t="shared" si="363"/>
        <v/>
      </c>
      <c r="AC311" s="183" t="str">
        <f t="shared" si="363"/>
        <v/>
      </c>
      <c r="AD311" s="183" t="str">
        <f t="shared" si="363"/>
        <v/>
      </c>
      <c r="AE311" s="183" t="str">
        <f t="shared" si="363"/>
        <v/>
      </c>
      <c r="AF311" s="183" t="str">
        <f t="shared" si="363"/>
        <v/>
      </c>
      <c r="AG311" s="183" t="str">
        <f t="shared" si="363"/>
        <v/>
      </c>
      <c r="AH311" s="183" t="str">
        <f t="shared" si="363"/>
        <v/>
      </c>
      <c r="AI311" s="183" t="str">
        <f t="shared" si="363"/>
        <v/>
      </c>
      <c r="AJ311" s="108"/>
      <c r="AK311" s="190">
        <f t="shared" si="342"/>
        <v>0</v>
      </c>
      <c r="AL311" s="119"/>
      <c r="AM311" s="183" t="str">
        <f t="shared" ref="AM311:AU311" si="364">IF(OR(AM$17="",AM$22=0,AM$29=0),"",
(AM$275*$AM256+AM$277*$AO256)*1000/(AM$22*AM$29))</f>
        <v/>
      </c>
      <c r="AN311" s="183" t="str">
        <f t="shared" si="364"/>
        <v/>
      </c>
      <c r="AO311" s="183" t="str">
        <f t="shared" si="364"/>
        <v/>
      </c>
      <c r="AP311" s="183" t="str">
        <f t="shared" si="364"/>
        <v/>
      </c>
      <c r="AQ311" s="183" t="str">
        <f t="shared" si="364"/>
        <v/>
      </c>
      <c r="AR311" s="183" t="str">
        <f t="shared" si="364"/>
        <v/>
      </c>
      <c r="AS311" s="183" t="str">
        <f t="shared" si="364"/>
        <v/>
      </c>
      <c r="AT311" s="183" t="str">
        <f t="shared" si="364"/>
        <v/>
      </c>
      <c r="AU311" s="183" t="str">
        <f t="shared" si="364"/>
        <v/>
      </c>
      <c r="AV311" s="108"/>
      <c r="AW311" s="190">
        <f t="shared" si="344"/>
        <v>0</v>
      </c>
      <c r="AX311" s="119"/>
      <c r="AY311" s="183" t="str">
        <f t="shared" ref="AY311:BG311" si="365">IF(OR(AY$17="",AY$22=0,AY$29=0),"",
(AY$275*$AY256+AY$277*$BA256)*1000/(AY$22*AY$29))</f>
        <v/>
      </c>
      <c r="AZ311" s="183" t="str">
        <f t="shared" si="365"/>
        <v/>
      </c>
      <c r="BA311" s="183" t="str">
        <f t="shared" si="365"/>
        <v/>
      </c>
      <c r="BB311" s="183" t="str">
        <f t="shared" si="365"/>
        <v/>
      </c>
      <c r="BC311" s="183" t="str">
        <f t="shared" si="365"/>
        <v/>
      </c>
      <c r="BD311" s="183" t="str">
        <f t="shared" si="365"/>
        <v/>
      </c>
      <c r="BE311" s="183" t="str">
        <f t="shared" si="365"/>
        <v/>
      </c>
      <c r="BF311" s="183" t="str">
        <f t="shared" si="365"/>
        <v/>
      </c>
      <c r="BG311" s="183" t="str">
        <f t="shared" si="365"/>
        <v/>
      </c>
      <c r="BH311" s="174"/>
    </row>
    <row r="312" spans="1:60">
      <c r="A312" s="1040"/>
      <c r="B312" s="1109" t="s">
        <v>1222</v>
      </c>
      <c r="C312" s="1106" t="s">
        <v>96</v>
      </c>
      <c r="D312" s="638"/>
      <c r="E312" s="942" t="s">
        <v>1321</v>
      </c>
      <c r="F312" s="942"/>
      <c r="G312" s="942"/>
      <c r="H312" s="942"/>
      <c r="I312" s="129"/>
      <c r="J312" s="943"/>
      <c r="K312" s="126"/>
      <c r="L312" s="126"/>
      <c r="M312" s="944"/>
      <c r="N312" s="195"/>
      <c r="O312" s="258" t="str">
        <f>O$17</f>
        <v/>
      </c>
      <c r="P312" s="258" t="str">
        <f t="shared" ref="P312:W312" si="366">P$17</f>
        <v/>
      </c>
      <c r="Q312" s="258" t="str">
        <f t="shared" si="366"/>
        <v/>
      </c>
      <c r="R312" s="258" t="str">
        <f t="shared" si="366"/>
        <v/>
      </c>
      <c r="S312" s="258" t="str">
        <f t="shared" si="366"/>
        <v/>
      </c>
      <c r="T312" s="258" t="str">
        <f t="shared" si="366"/>
        <v/>
      </c>
      <c r="U312" s="258" t="str">
        <f t="shared" si="366"/>
        <v/>
      </c>
      <c r="V312" s="258" t="str">
        <f t="shared" si="366"/>
        <v/>
      </c>
      <c r="W312" s="258" t="str">
        <f t="shared" si="366"/>
        <v/>
      </c>
      <c r="X312" s="195"/>
      <c r="Y312" s="944"/>
      <c r="Z312" s="195"/>
      <c r="AA312" s="258" t="str">
        <f>AA$17</f>
        <v/>
      </c>
      <c r="AB312" s="258" t="str">
        <f t="shared" ref="AB312:AI312" si="367">AB$17</f>
        <v/>
      </c>
      <c r="AC312" s="258" t="str">
        <f t="shared" si="367"/>
        <v/>
      </c>
      <c r="AD312" s="258" t="str">
        <f t="shared" si="367"/>
        <v/>
      </c>
      <c r="AE312" s="258" t="str">
        <f t="shared" si="367"/>
        <v/>
      </c>
      <c r="AF312" s="258" t="str">
        <f t="shared" si="367"/>
        <v/>
      </c>
      <c r="AG312" s="258" t="str">
        <f t="shared" si="367"/>
        <v/>
      </c>
      <c r="AH312" s="258" t="str">
        <f t="shared" si="367"/>
        <v/>
      </c>
      <c r="AI312" s="258" t="str">
        <f t="shared" si="367"/>
        <v/>
      </c>
      <c r="AJ312" s="195"/>
      <c r="AK312" s="944"/>
      <c r="AL312" s="195"/>
      <c r="AM312" s="258" t="str">
        <f>AM$17</f>
        <v/>
      </c>
      <c r="AN312" s="258" t="str">
        <f t="shared" ref="AN312:AU312" si="368">AN$17</f>
        <v/>
      </c>
      <c r="AO312" s="258" t="str">
        <f t="shared" si="368"/>
        <v/>
      </c>
      <c r="AP312" s="258" t="str">
        <f t="shared" si="368"/>
        <v/>
      </c>
      <c r="AQ312" s="258" t="str">
        <f t="shared" si="368"/>
        <v/>
      </c>
      <c r="AR312" s="258" t="str">
        <f t="shared" si="368"/>
        <v/>
      </c>
      <c r="AS312" s="258" t="str">
        <f t="shared" si="368"/>
        <v/>
      </c>
      <c r="AT312" s="258" t="str">
        <f t="shared" si="368"/>
        <v/>
      </c>
      <c r="AU312" s="258" t="str">
        <f t="shared" si="368"/>
        <v/>
      </c>
      <c r="AV312" s="195"/>
      <c r="AW312" s="944"/>
      <c r="AX312" s="195"/>
      <c r="AY312" s="258" t="str">
        <f>AY$17</f>
        <v/>
      </c>
      <c r="AZ312" s="258" t="str">
        <f t="shared" ref="AZ312:BG312" si="369">AZ$17</f>
        <v/>
      </c>
      <c r="BA312" s="258" t="str">
        <f t="shared" si="369"/>
        <v/>
      </c>
      <c r="BB312" s="258" t="str">
        <f t="shared" si="369"/>
        <v/>
      </c>
      <c r="BC312" s="258" t="str">
        <f t="shared" si="369"/>
        <v/>
      </c>
      <c r="BD312" s="258" t="str">
        <f t="shared" si="369"/>
        <v/>
      </c>
      <c r="BE312" s="258" t="str">
        <f t="shared" si="369"/>
        <v/>
      </c>
      <c r="BF312" s="258" t="str">
        <f t="shared" si="369"/>
        <v/>
      </c>
      <c r="BG312" s="258" t="str">
        <f t="shared" si="369"/>
        <v/>
      </c>
      <c r="BH312" s="36"/>
    </row>
    <row r="313" spans="1:60">
      <c r="A313" s="1040"/>
      <c r="B313" s="1109" t="s">
        <v>1222</v>
      </c>
      <c r="C313" s="1107" t="s">
        <v>104</v>
      </c>
      <c r="D313" s="641" t="s">
        <v>45</v>
      </c>
      <c r="E313" s="180" t="s">
        <v>1322</v>
      </c>
      <c r="F313" s="180"/>
      <c r="G313" s="180"/>
      <c r="H313" s="201" t="s">
        <v>267</v>
      </c>
      <c r="I313" s="114"/>
      <c r="J313" s="190">
        <f>M313+Y313+AK313+AW313</f>
        <v>0</v>
      </c>
      <c r="K313" s="1092"/>
      <c r="L313" s="1092"/>
      <c r="M313" s="190">
        <f>SUMPRODUCT(N313:X313,N$30:X$30)/1000</f>
        <v>0</v>
      </c>
      <c r="N313" s="119"/>
      <c r="O313" s="183" t="str">
        <f t="shared" ref="O313:W313" si="370">IF(OR(O$17="",O$22=0,O$29=0),"",
O$73/O$29*f_P_renelect)</f>
        <v/>
      </c>
      <c r="P313" s="183" t="str">
        <f t="shared" si="370"/>
        <v/>
      </c>
      <c r="Q313" s="183" t="str">
        <f t="shared" si="370"/>
        <v/>
      </c>
      <c r="R313" s="183" t="str">
        <f t="shared" si="370"/>
        <v/>
      </c>
      <c r="S313" s="183" t="str">
        <f t="shared" si="370"/>
        <v/>
      </c>
      <c r="T313" s="183" t="str">
        <f t="shared" si="370"/>
        <v/>
      </c>
      <c r="U313" s="183" t="str">
        <f t="shared" si="370"/>
        <v/>
      </c>
      <c r="V313" s="183" t="str">
        <f t="shared" si="370"/>
        <v/>
      </c>
      <c r="W313" s="183" t="str">
        <f t="shared" si="370"/>
        <v/>
      </c>
      <c r="X313" s="108"/>
      <c r="Y313" s="190">
        <f>SUMPRODUCT(Z313:AJ313,Z$30:AJ$30)/1000</f>
        <v>0</v>
      </c>
      <c r="Z313" s="119"/>
      <c r="AA313" s="183" t="str">
        <f t="shared" ref="AA313:AI313" si="371">IF(OR(AA$17="",AA$22=0,AA$29=0),"",
AA$73/AA$29*f_P_renelect)</f>
        <v/>
      </c>
      <c r="AB313" s="183" t="str">
        <f t="shared" si="371"/>
        <v/>
      </c>
      <c r="AC313" s="183" t="str">
        <f t="shared" si="371"/>
        <v/>
      </c>
      <c r="AD313" s="183" t="str">
        <f t="shared" si="371"/>
        <v/>
      </c>
      <c r="AE313" s="183" t="str">
        <f t="shared" si="371"/>
        <v/>
      </c>
      <c r="AF313" s="183" t="str">
        <f t="shared" si="371"/>
        <v/>
      </c>
      <c r="AG313" s="183" t="str">
        <f t="shared" si="371"/>
        <v/>
      </c>
      <c r="AH313" s="183" t="str">
        <f t="shared" si="371"/>
        <v/>
      </c>
      <c r="AI313" s="183" t="str">
        <f t="shared" si="371"/>
        <v/>
      </c>
      <c r="AJ313" s="108"/>
      <c r="AK313" s="190">
        <f>SUMPRODUCT(AL313:AV313,AL$30:AV$30)/1000</f>
        <v>0</v>
      </c>
      <c r="AL313" s="119"/>
      <c r="AM313" s="183" t="str">
        <f t="shared" ref="AM313:AU313" si="372">IF(OR(AM$17="",AM$22=0,AM$29=0),"",
AM$73/AM$29*f_P_renelect)</f>
        <v/>
      </c>
      <c r="AN313" s="183" t="str">
        <f t="shared" si="372"/>
        <v/>
      </c>
      <c r="AO313" s="183" t="str">
        <f t="shared" si="372"/>
        <v/>
      </c>
      <c r="AP313" s="183" t="str">
        <f t="shared" si="372"/>
        <v/>
      </c>
      <c r="AQ313" s="183" t="str">
        <f t="shared" si="372"/>
        <v/>
      </c>
      <c r="AR313" s="183" t="str">
        <f t="shared" si="372"/>
        <v/>
      </c>
      <c r="AS313" s="183" t="str">
        <f t="shared" si="372"/>
        <v/>
      </c>
      <c r="AT313" s="183" t="str">
        <f t="shared" si="372"/>
        <v/>
      </c>
      <c r="AU313" s="183" t="str">
        <f t="shared" si="372"/>
        <v/>
      </c>
      <c r="AV313" s="108"/>
      <c r="AW313" s="190">
        <f>SUMPRODUCT(AX313:BH313,AX$30:BH$30)/1000</f>
        <v>0</v>
      </c>
      <c r="AX313" s="119"/>
      <c r="AY313" s="183" t="str">
        <f t="shared" ref="AY313:BG313" si="373">IF(OR(AY$17="",AY$22=0,AY$29=0),"",
AY$73/AY$29*f_P_renelect)</f>
        <v/>
      </c>
      <c r="AZ313" s="183" t="str">
        <f t="shared" si="373"/>
        <v/>
      </c>
      <c r="BA313" s="183" t="str">
        <f t="shared" si="373"/>
        <v/>
      </c>
      <c r="BB313" s="183" t="str">
        <f t="shared" si="373"/>
        <v/>
      </c>
      <c r="BC313" s="183" t="str">
        <f t="shared" si="373"/>
        <v/>
      </c>
      <c r="BD313" s="183" t="str">
        <f t="shared" si="373"/>
        <v/>
      </c>
      <c r="BE313" s="183" t="str">
        <f t="shared" si="373"/>
        <v/>
      </c>
      <c r="BF313" s="183" t="str">
        <f t="shared" si="373"/>
        <v/>
      </c>
      <c r="BG313" s="183" t="str">
        <f t="shared" si="373"/>
        <v/>
      </c>
      <c r="BH313" s="210"/>
    </row>
    <row r="314" spans="1:60">
      <c r="A314" s="1040"/>
      <c r="B314" s="1109" t="s">
        <v>1222</v>
      </c>
      <c r="C314" s="1106" t="s">
        <v>96</v>
      </c>
      <c r="D314" s="638"/>
      <c r="E314" s="942" t="s">
        <v>1320</v>
      </c>
      <c r="F314" s="942"/>
      <c r="G314" s="942"/>
      <c r="H314" s="942"/>
      <c r="I314" s="129"/>
      <c r="J314" s="943"/>
      <c r="K314" s="126"/>
      <c r="L314" s="126"/>
      <c r="M314" s="944"/>
      <c r="N314" s="195"/>
      <c r="O314" s="258" t="str">
        <f>O$17</f>
        <v/>
      </c>
      <c r="P314" s="258" t="str">
        <f t="shared" ref="P314:W314" si="374">P$17</f>
        <v/>
      </c>
      <c r="Q314" s="258" t="str">
        <f t="shared" si="374"/>
        <v/>
      </c>
      <c r="R314" s="258" t="str">
        <f t="shared" si="374"/>
        <v/>
      </c>
      <c r="S314" s="258" t="str">
        <f t="shared" si="374"/>
        <v/>
      </c>
      <c r="T314" s="258" t="str">
        <f t="shared" si="374"/>
        <v/>
      </c>
      <c r="U314" s="258" t="str">
        <f t="shared" si="374"/>
        <v/>
      </c>
      <c r="V314" s="258" t="str">
        <f t="shared" si="374"/>
        <v/>
      </c>
      <c r="W314" s="258" t="str">
        <f t="shared" si="374"/>
        <v/>
      </c>
      <c r="X314" s="195"/>
      <c r="Y314" s="944"/>
      <c r="Z314" s="195"/>
      <c r="AA314" s="258" t="str">
        <f>AA$17</f>
        <v/>
      </c>
      <c r="AB314" s="258" t="str">
        <f t="shared" ref="AB314:AI314" si="375">AB$17</f>
        <v/>
      </c>
      <c r="AC314" s="258" t="str">
        <f t="shared" si="375"/>
        <v/>
      </c>
      <c r="AD314" s="258" t="str">
        <f t="shared" si="375"/>
        <v/>
      </c>
      <c r="AE314" s="258" t="str">
        <f t="shared" si="375"/>
        <v/>
      </c>
      <c r="AF314" s="258" t="str">
        <f t="shared" si="375"/>
        <v/>
      </c>
      <c r="AG314" s="258" t="str">
        <f t="shared" si="375"/>
        <v/>
      </c>
      <c r="AH314" s="258" t="str">
        <f t="shared" si="375"/>
        <v/>
      </c>
      <c r="AI314" s="258" t="str">
        <f t="shared" si="375"/>
        <v/>
      </c>
      <c r="AJ314" s="195"/>
      <c r="AK314" s="944"/>
      <c r="AL314" s="195"/>
      <c r="AM314" s="258" t="str">
        <f>AM$17</f>
        <v/>
      </c>
      <c r="AN314" s="258" t="str">
        <f t="shared" ref="AN314:AU314" si="376">AN$17</f>
        <v/>
      </c>
      <c r="AO314" s="258" t="str">
        <f t="shared" si="376"/>
        <v/>
      </c>
      <c r="AP314" s="258" t="str">
        <f t="shared" si="376"/>
        <v/>
      </c>
      <c r="AQ314" s="258" t="str">
        <f t="shared" si="376"/>
        <v/>
      </c>
      <c r="AR314" s="258" t="str">
        <f t="shared" si="376"/>
        <v/>
      </c>
      <c r="AS314" s="258" t="str">
        <f t="shared" si="376"/>
        <v/>
      </c>
      <c r="AT314" s="258" t="str">
        <f t="shared" si="376"/>
        <v/>
      </c>
      <c r="AU314" s="258" t="str">
        <f t="shared" si="376"/>
        <v/>
      </c>
      <c r="AV314" s="195"/>
      <c r="AW314" s="944"/>
      <c r="AX314" s="195"/>
      <c r="AY314" s="258" t="str">
        <f>AY$17</f>
        <v/>
      </c>
      <c r="AZ314" s="258" t="str">
        <f t="shared" ref="AZ314:BG314" si="377">AZ$17</f>
        <v/>
      </c>
      <c r="BA314" s="258" t="str">
        <f t="shared" si="377"/>
        <v/>
      </c>
      <c r="BB314" s="258" t="str">
        <f t="shared" si="377"/>
        <v/>
      </c>
      <c r="BC314" s="258" t="str">
        <f t="shared" si="377"/>
        <v/>
      </c>
      <c r="BD314" s="258" t="str">
        <f t="shared" si="377"/>
        <v/>
      </c>
      <c r="BE314" s="258" t="str">
        <f t="shared" si="377"/>
        <v/>
      </c>
      <c r="BF314" s="258" t="str">
        <f t="shared" si="377"/>
        <v/>
      </c>
      <c r="BG314" s="258" t="str">
        <f t="shared" si="377"/>
        <v/>
      </c>
      <c r="BH314" s="36"/>
    </row>
    <row r="315" spans="1:60">
      <c r="A315" s="1040"/>
      <c r="B315" s="1109" t="s">
        <v>1222</v>
      </c>
      <c r="C315" s="1107" t="s">
        <v>104</v>
      </c>
      <c r="D315" s="641" t="s">
        <v>45</v>
      </c>
      <c r="E315" s="1123" t="s">
        <v>232</v>
      </c>
      <c r="F315" s="1123"/>
      <c r="G315" s="180"/>
      <c r="H315" s="201" t="s">
        <v>267</v>
      </c>
      <c r="I315" s="114"/>
      <c r="J315" s="190">
        <f>M315+Y315+AK315+AW315</f>
        <v>0</v>
      </c>
      <c r="K315" s="1092"/>
      <c r="L315" s="1092"/>
      <c r="M315" s="190">
        <f>SUMPRODUCT(N315:X315,N$30:X$30)/1000</f>
        <v>0</v>
      </c>
      <c r="N315" s="119"/>
      <c r="O315" s="183" t="str">
        <f t="shared" ref="O315:W315" si="378">IF(OR(O$17="",O$22=0,O$29=0),"",SUM(O306:O311)+O313)</f>
        <v/>
      </c>
      <c r="P315" s="183" t="str">
        <f t="shared" si="378"/>
        <v/>
      </c>
      <c r="Q315" s="183" t="str">
        <f t="shared" si="378"/>
        <v/>
      </c>
      <c r="R315" s="183" t="str">
        <f t="shared" si="378"/>
        <v/>
      </c>
      <c r="S315" s="183" t="str">
        <f t="shared" si="378"/>
        <v/>
      </c>
      <c r="T315" s="183" t="str">
        <f t="shared" si="378"/>
        <v/>
      </c>
      <c r="U315" s="183" t="str">
        <f t="shared" si="378"/>
        <v/>
      </c>
      <c r="V315" s="183" t="str">
        <f t="shared" si="378"/>
        <v/>
      </c>
      <c r="W315" s="183" t="str">
        <f t="shared" si="378"/>
        <v/>
      </c>
      <c r="X315" s="108"/>
      <c r="Y315" s="190">
        <f>SUMPRODUCT(Z315:AJ315,Z$30:AJ$30)/1000</f>
        <v>0</v>
      </c>
      <c r="Z315" s="119"/>
      <c r="AA315" s="183" t="str">
        <f t="shared" ref="AA315:AI315" si="379">IF(OR(AA$17="",AA$22=0,AA$29=0),"",SUM(AA306:AA311)+AA313)</f>
        <v/>
      </c>
      <c r="AB315" s="183" t="str">
        <f t="shared" si="379"/>
        <v/>
      </c>
      <c r="AC315" s="183" t="str">
        <f t="shared" si="379"/>
        <v/>
      </c>
      <c r="AD315" s="183" t="str">
        <f t="shared" si="379"/>
        <v/>
      </c>
      <c r="AE315" s="183" t="str">
        <f t="shared" si="379"/>
        <v/>
      </c>
      <c r="AF315" s="183" t="str">
        <f t="shared" si="379"/>
        <v/>
      </c>
      <c r="AG315" s="183" t="str">
        <f t="shared" si="379"/>
        <v/>
      </c>
      <c r="AH315" s="183" t="str">
        <f t="shared" si="379"/>
        <v/>
      </c>
      <c r="AI315" s="183" t="str">
        <f t="shared" si="379"/>
        <v/>
      </c>
      <c r="AJ315" s="108"/>
      <c r="AK315" s="190">
        <f>SUMPRODUCT(AL315:AV315,AL$30:AV$30)/1000</f>
        <v>0</v>
      </c>
      <c r="AL315" s="119"/>
      <c r="AM315" s="183" t="str">
        <f>IF(OR(AM$17="",AM$22=0,AM$29=0),"",SUM(AM306:AM311)+AM313)</f>
        <v/>
      </c>
      <c r="AN315" s="183" t="str">
        <f t="shared" ref="AN315:AU315" si="380">IF(OR(AN$17="",AN$22=0,AN$29=0),"",SUM(AN306:AN311)+AN313)</f>
        <v/>
      </c>
      <c r="AO315" s="183" t="str">
        <f t="shared" si="380"/>
        <v/>
      </c>
      <c r="AP315" s="183" t="str">
        <f t="shared" si="380"/>
        <v/>
      </c>
      <c r="AQ315" s="183" t="str">
        <f t="shared" si="380"/>
        <v/>
      </c>
      <c r="AR315" s="183" t="str">
        <f t="shared" si="380"/>
        <v/>
      </c>
      <c r="AS315" s="183" t="str">
        <f t="shared" si="380"/>
        <v/>
      </c>
      <c r="AT315" s="183" t="str">
        <f t="shared" si="380"/>
        <v/>
      </c>
      <c r="AU315" s="183" t="str">
        <f t="shared" si="380"/>
        <v/>
      </c>
      <c r="AV315" s="108"/>
      <c r="AW315" s="190">
        <f>SUMPRODUCT(AX315:BH315,AX$30:BH$30)/1000</f>
        <v>0</v>
      </c>
      <c r="AX315" s="119"/>
      <c r="AY315" s="183" t="str">
        <f>IF(OR(AY$17="",AY$22=0,AY$29=0),"",SUM(AY306:AY311)+AY313)</f>
        <v/>
      </c>
      <c r="AZ315" s="183" t="str">
        <f t="shared" ref="AZ315:BG315" si="381">IF(OR(AZ$17="",AZ$22=0,AZ$29=0),"",SUM(AZ306:AZ311)+AZ313)</f>
        <v/>
      </c>
      <c r="BA315" s="183" t="str">
        <f t="shared" si="381"/>
        <v/>
      </c>
      <c r="BB315" s="183" t="str">
        <f t="shared" si="381"/>
        <v/>
      </c>
      <c r="BC315" s="183" t="str">
        <f t="shared" si="381"/>
        <v/>
      </c>
      <c r="BD315" s="183" t="str">
        <f t="shared" si="381"/>
        <v/>
      </c>
      <c r="BE315" s="183" t="str">
        <f t="shared" si="381"/>
        <v/>
      </c>
      <c r="BF315" s="183" t="str">
        <f t="shared" si="381"/>
        <v/>
      </c>
      <c r="BG315" s="183" t="str">
        <f t="shared" si="381"/>
        <v/>
      </c>
      <c r="BH315" s="210"/>
    </row>
    <row r="316" spans="1:60">
      <c r="A316" s="1040"/>
      <c r="B316" s="1109" t="s">
        <v>1222</v>
      </c>
      <c r="C316" s="1106" t="s">
        <v>96</v>
      </c>
      <c r="D316" s="638"/>
      <c r="E316" s="942" t="s">
        <v>272</v>
      </c>
      <c r="F316" s="942"/>
      <c r="G316" s="942"/>
      <c r="H316" s="942"/>
      <c r="I316" s="129"/>
      <c r="J316" s="943"/>
      <c r="K316" s="126"/>
      <c r="L316" s="126"/>
      <c r="M316" s="944"/>
      <c r="N316" s="195"/>
      <c r="O316" s="258" t="str">
        <f>O$17</f>
        <v/>
      </c>
      <c r="P316" s="258" t="str">
        <f t="shared" ref="P316:W316" si="382">P$17</f>
        <v/>
      </c>
      <c r="Q316" s="258" t="str">
        <f t="shared" si="382"/>
        <v/>
      </c>
      <c r="R316" s="258" t="str">
        <f t="shared" si="382"/>
        <v/>
      </c>
      <c r="S316" s="258" t="str">
        <f t="shared" si="382"/>
        <v/>
      </c>
      <c r="T316" s="258" t="str">
        <f t="shared" si="382"/>
        <v/>
      </c>
      <c r="U316" s="258" t="str">
        <f t="shared" si="382"/>
        <v/>
      </c>
      <c r="V316" s="258" t="str">
        <f t="shared" si="382"/>
        <v/>
      </c>
      <c r="W316" s="258" t="str">
        <f t="shared" si="382"/>
        <v/>
      </c>
      <c r="X316" s="195"/>
      <c r="Y316" s="944"/>
      <c r="Z316" s="195"/>
      <c r="AA316" s="258" t="str">
        <f>AA$17</f>
        <v/>
      </c>
      <c r="AB316" s="258" t="str">
        <f t="shared" ref="AB316:AI316" si="383">AB$17</f>
        <v/>
      </c>
      <c r="AC316" s="258" t="str">
        <f t="shared" si="383"/>
        <v/>
      </c>
      <c r="AD316" s="258" t="str">
        <f t="shared" si="383"/>
        <v/>
      </c>
      <c r="AE316" s="258" t="str">
        <f t="shared" si="383"/>
        <v/>
      </c>
      <c r="AF316" s="258" t="str">
        <f t="shared" si="383"/>
        <v/>
      </c>
      <c r="AG316" s="258" t="str">
        <f t="shared" si="383"/>
        <v/>
      </c>
      <c r="AH316" s="258" t="str">
        <f t="shared" si="383"/>
        <v/>
      </c>
      <c r="AI316" s="258" t="str">
        <f t="shared" si="383"/>
        <v/>
      </c>
      <c r="AJ316" s="195"/>
      <c r="AK316" s="944"/>
      <c r="AL316" s="195"/>
      <c r="AM316" s="258" t="str">
        <f>AM$17</f>
        <v/>
      </c>
      <c r="AN316" s="258" t="str">
        <f t="shared" ref="AN316:AU316" si="384">AN$17</f>
        <v/>
      </c>
      <c r="AO316" s="258" t="str">
        <f t="shared" si="384"/>
        <v/>
      </c>
      <c r="AP316" s="258" t="str">
        <f t="shared" si="384"/>
        <v/>
      </c>
      <c r="AQ316" s="258" t="str">
        <f t="shared" si="384"/>
        <v/>
      </c>
      <c r="AR316" s="258" t="str">
        <f t="shared" si="384"/>
        <v/>
      </c>
      <c r="AS316" s="258" t="str">
        <f t="shared" si="384"/>
        <v/>
      </c>
      <c r="AT316" s="258" t="str">
        <f t="shared" si="384"/>
        <v/>
      </c>
      <c r="AU316" s="258" t="str">
        <f t="shared" si="384"/>
        <v/>
      </c>
      <c r="AV316" s="195"/>
      <c r="AW316" s="944"/>
      <c r="AX316" s="195"/>
      <c r="AY316" s="258" t="str">
        <f>AY$17</f>
        <v/>
      </c>
      <c r="AZ316" s="258" t="str">
        <f t="shared" ref="AZ316:BG316" si="385">AZ$17</f>
        <v/>
      </c>
      <c r="BA316" s="258" t="str">
        <f t="shared" si="385"/>
        <v/>
      </c>
      <c r="BB316" s="258" t="str">
        <f t="shared" si="385"/>
        <v/>
      </c>
      <c r="BC316" s="258" t="str">
        <f t="shared" si="385"/>
        <v/>
      </c>
      <c r="BD316" s="258" t="str">
        <f t="shared" si="385"/>
        <v/>
      </c>
      <c r="BE316" s="258" t="str">
        <f t="shared" si="385"/>
        <v/>
      </c>
      <c r="BF316" s="258" t="str">
        <f t="shared" si="385"/>
        <v/>
      </c>
      <c r="BG316" s="258" t="str">
        <f t="shared" si="385"/>
        <v/>
      </c>
      <c r="BH316" s="36"/>
    </row>
    <row r="317" spans="1:60">
      <c r="A317" s="1040"/>
      <c r="B317" s="1109" t="s">
        <v>1222</v>
      </c>
      <c r="C317" s="1107" t="s">
        <v>104</v>
      </c>
      <c r="D317" s="641" t="s">
        <v>45</v>
      </c>
      <c r="E317" s="1123" t="s">
        <v>1360</v>
      </c>
      <c r="F317" s="1123"/>
      <c r="G317" s="180"/>
      <c r="H317" s="201" t="s">
        <v>139</v>
      </c>
      <c r="I317" s="114"/>
      <c r="J317" s="554" t="str">
        <f>IF(J$22=0,"",
IF(J304+J315=0,0,J315/(J304+J315)))</f>
        <v/>
      </c>
      <c r="K317" s="1096"/>
      <c r="L317" s="1096"/>
      <c r="M317" s="554" t="str">
        <f>IF(M$22=0,"",
IF(M304+M315=0,0,M315/(M304+M315)))</f>
        <v/>
      </c>
      <c r="N317" s="1097"/>
      <c r="O317" s="1159" t="str">
        <f t="shared" ref="O317:W317" si="386">IF(OR(O$17="",O$22=0,O$29=0),"",
IF(O304+O315=0,0,O315/(O304+O315)))</f>
        <v/>
      </c>
      <c r="P317" s="285" t="str">
        <f t="shared" si="386"/>
        <v/>
      </c>
      <c r="Q317" s="285" t="str">
        <f t="shared" si="386"/>
        <v/>
      </c>
      <c r="R317" s="285" t="str">
        <f t="shared" si="386"/>
        <v/>
      </c>
      <c r="S317" s="285" t="str">
        <f t="shared" si="386"/>
        <v/>
      </c>
      <c r="T317" s="285" t="str">
        <f t="shared" si="386"/>
        <v/>
      </c>
      <c r="U317" s="285" t="str">
        <f t="shared" si="386"/>
        <v/>
      </c>
      <c r="V317" s="285" t="str">
        <f t="shared" si="386"/>
        <v/>
      </c>
      <c r="W317" s="285" t="str">
        <f t="shared" si="386"/>
        <v/>
      </c>
      <c r="X317" s="124"/>
      <c r="Y317" s="554" t="str">
        <f>IF(Y$22=0,"",
IF(Y304+Y315=0,0,Y315/(Y304+Y315)))</f>
        <v/>
      </c>
      <c r="Z317" s="1097"/>
      <c r="AA317" s="285" t="str">
        <f t="shared" ref="AA317:AI317" si="387">IF(OR(AA$17="",AA$22=0,AA$29=0),"",
IF(AA304+AA315=0,0,AA315/(AA304+AA315)))</f>
        <v/>
      </c>
      <c r="AB317" s="285" t="str">
        <f t="shared" si="387"/>
        <v/>
      </c>
      <c r="AC317" s="285" t="str">
        <f t="shared" si="387"/>
        <v/>
      </c>
      <c r="AD317" s="285" t="str">
        <f t="shared" si="387"/>
        <v/>
      </c>
      <c r="AE317" s="285" t="str">
        <f t="shared" si="387"/>
        <v/>
      </c>
      <c r="AF317" s="285" t="str">
        <f t="shared" si="387"/>
        <v/>
      </c>
      <c r="AG317" s="285" t="str">
        <f t="shared" si="387"/>
        <v/>
      </c>
      <c r="AH317" s="285" t="str">
        <f t="shared" si="387"/>
        <v/>
      </c>
      <c r="AI317" s="285" t="str">
        <f t="shared" si="387"/>
        <v/>
      </c>
      <c r="AJ317" s="124"/>
      <c r="AK317" s="554" t="str">
        <f>IF(AK$22=0,"",
IF(AK304+AK315=0,0,AK315/(AK304+AK315)))</f>
        <v/>
      </c>
      <c r="AL317" s="1097"/>
      <c r="AM317" s="285" t="str">
        <f>IF(OR(AM$17="",AM$22=0,AM$29=0),"",
IF(AM304+AM315=0,0,AM315/(AM304+AM315)))</f>
        <v/>
      </c>
      <c r="AN317" s="285" t="str">
        <f t="shared" ref="AN317:AU317" si="388">IF(OR(AN$17="",AN$22=0,AN$29=0),"",
IF(AN304+AN315=0,0,AN315/(AN304+AN315)))</f>
        <v/>
      </c>
      <c r="AO317" s="285" t="str">
        <f>IF(OR(AO$17="",AO$22=0,AO$29=0),"",
IF(AO304+AO315=0,0,AO315/(AO304+AO315)))</f>
        <v/>
      </c>
      <c r="AP317" s="285" t="str">
        <f t="shared" si="388"/>
        <v/>
      </c>
      <c r="AQ317" s="285" t="str">
        <f t="shared" si="388"/>
        <v/>
      </c>
      <c r="AR317" s="285" t="str">
        <f t="shared" si="388"/>
        <v/>
      </c>
      <c r="AS317" s="285" t="str">
        <f t="shared" si="388"/>
        <v/>
      </c>
      <c r="AT317" s="285" t="str">
        <f t="shared" si="388"/>
        <v/>
      </c>
      <c r="AU317" s="285" t="str">
        <f t="shared" si="388"/>
        <v/>
      </c>
      <c r="AV317" s="124"/>
      <c r="AW317" s="554" t="str">
        <f>IF(AW$22=0,"",
IF(AW304+AW315=0,0,AW315/(AW304+AW315)))</f>
        <v/>
      </c>
      <c r="AX317" s="1097"/>
      <c r="AY317" s="285" t="str">
        <f>IF(OR(AY$17="",AY$22=0,AY$29=0),"",
IF(AY304+AY315=0,0,AY315/(AY304+AY315)))</f>
        <v/>
      </c>
      <c r="AZ317" s="285" t="str">
        <f t="shared" ref="AZ317:BG317" si="389">IF(OR(AZ$17="",AZ$22=0,AZ$29=0),"",
IF(AZ304+AZ315=0,0,AZ315/(AZ304+AZ315)))</f>
        <v/>
      </c>
      <c r="BA317" s="285" t="str">
        <f t="shared" si="389"/>
        <v/>
      </c>
      <c r="BB317" s="285" t="str">
        <f t="shared" si="389"/>
        <v/>
      </c>
      <c r="BC317" s="285" t="str">
        <f t="shared" si="389"/>
        <v/>
      </c>
      <c r="BD317" s="285" t="str">
        <f t="shared" si="389"/>
        <v/>
      </c>
      <c r="BE317" s="285" t="str">
        <f t="shared" si="389"/>
        <v/>
      </c>
      <c r="BF317" s="285" t="str">
        <f t="shared" si="389"/>
        <v/>
      </c>
      <c r="BG317" s="285" t="str">
        <f t="shared" si="389"/>
        <v/>
      </c>
      <c r="BH317" s="212"/>
    </row>
    <row r="318" spans="1:60">
      <c r="A318" s="1040"/>
      <c r="B318" s="1109" t="s">
        <v>1222</v>
      </c>
      <c r="C318" s="1106" t="s">
        <v>96</v>
      </c>
      <c r="D318" s="638"/>
      <c r="E318" s="79"/>
      <c r="F318" s="79"/>
      <c r="G318" s="79"/>
      <c r="H318" s="85"/>
      <c r="I318" s="79"/>
      <c r="J318" s="82"/>
      <c r="K318" s="195"/>
      <c r="L318" s="195"/>
      <c r="M318" s="82"/>
      <c r="N318" s="79"/>
      <c r="O318" s="108"/>
      <c r="P318" s="108"/>
      <c r="Q318" s="108"/>
      <c r="R318" s="108"/>
      <c r="S318" s="108"/>
      <c r="T318" s="108"/>
      <c r="U318" s="108"/>
      <c r="V318" s="108"/>
      <c r="W318" s="108"/>
      <c r="X318" s="82"/>
      <c r="Y318" s="82"/>
      <c r="Z318" s="82"/>
      <c r="AA318" s="82"/>
      <c r="AB318" s="82"/>
      <c r="AC318" s="82"/>
      <c r="AD318" s="82"/>
      <c r="AE318" s="82"/>
      <c r="AF318" s="82"/>
      <c r="AG318" s="82"/>
      <c r="AH318" s="82"/>
      <c r="AI318" s="82"/>
      <c r="AJ318" s="82"/>
      <c r="AK318" s="82"/>
      <c r="AL318" s="79"/>
      <c r="AM318" s="108"/>
      <c r="AN318" s="108"/>
      <c r="AO318" s="108"/>
      <c r="AP318" s="108"/>
      <c r="AQ318" s="108"/>
      <c r="AR318" s="108"/>
      <c r="AS318" s="108"/>
      <c r="AT318" s="108"/>
      <c r="AU318" s="108"/>
      <c r="AV318" s="82"/>
      <c r="AW318" s="82"/>
      <c r="AX318" s="79"/>
      <c r="AY318" s="108"/>
      <c r="AZ318" s="108"/>
      <c r="BA318" s="108"/>
      <c r="BB318" s="108"/>
      <c r="BC318" s="108"/>
      <c r="BD318" s="108"/>
      <c r="BE318" s="108"/>
      <c r="BF318" s="108"/>
      <c r="BG318" s="108"/>
      <c r="BH318" s="1"/>
    </row>
    <row r="319" spans="1:60">
      <c r="A319" s="1040"/>
      <c r="B319" s="1109" t="s">
        <v>1223</v>
      </c>
      <c r="C319" s="1107" t="s">
        <v>96</v>
      </c>
      <c r="D319" s="638"/>
      <c r="E319" s="1098"/>
      <c r="F319" s="85"/>
      <c r="G319" s="85"/>
      <c r="H319" s="85"/>
      <c r="I319" s="79"/>
      <c r="J319" s="105"/>
      <c r="K319" s="79"/>
      <c r="L319" s="79"/>
      <c r="M319" s="82"/>
      <c r="N319" s="79"/>
      <c r="O319" s="79"/>
      <c r="P319" s="82"/>
      <c r="Q319" s="82"/>
      <c r="R319" s="82"/>
      <c r="S319" s="82"/>
      <c r="T319" s="82"/>
      <c r="U319" s="82"/>
      <c r="V319" s="82"/>
      <c r="W319" s="82"/>
      <c r="X319" s="82"/>
      <c r="Y319" s="82"/>
      <c r="Z319" s="79"/>
      <c r="AA319" s="82"/>
      <c r="AB319" s="82"/>
      <c r="AC319" s="82"/>
      <c r="AD319" s="82"/>
      <c r="AE319" s="82"/>
      <c r="AF319" s="82"/>
      <c r="AG319" s="82"/>
      <c r="AH319" s="82"/>
      <c r="AI319" s="82"/>
      <c r="AJ319" s="82"/>
      <c r="AK319" s="82"/>
      <c r="AL319" s="79"/>
      <c r="AM319" s="82"/>
      <c r="AN319" s="82"/>
      <c r="AO319" s="82"/>
      <c r="AP319" s="82"/>
      <c r="AQ319" s="82"/>
      <c r="AR319" s="82"/>
      <c r="AS319" s="82"/>
      <c r="AT319" s="82"/>
      <c r="AU319" s="82"/>
      <c r="AV319" s="82"/>
      <c r="AW319" s="82"/>
      <c r="AX319" s="79"/>
      <c r="AY319" s="82"/>
      <c r="AZ319" s="82"/>
      <c r="BA319" s="82"/>
      <c r="BB319" s="82"/>
      <c r="BC319" s="82"/>
      <c r="BD319" s="82"/>
      <c r="BE319" s="82"/>
      <c r="BF319" s="82"/>
      <c r="BG319" s="82"/>
      <c r="BH319" s="1"/>
    </row>
    <row r="320" spans="1:60" s="2" customFormat="1" ht="21">
      <c r="A320" s="1038"/>
      <c r="B320" s="1110" t="s">
        <v>1223</v>
      </c>
      <c r="C320" s="1106" t="s">
        <v>96</v>
      </c>
      <c r="D320" s="640" t="s">
        <v>45</v>
      </c>
      <c r="E320" s="209" t="s">
        <v>1371</v>
      </c>
      <c r="F320" s="209"/>
      <c r="G320" s="209"/>
      <c r="H320" s="1188" t="str">
        <f>IF(OR($F$5&lt;&gt;"NTA8800:2026",$F$6&lt;&gt;"EP"),"Voor correcte EP: Kies linksboven 'NTA8800:2026' en 'EP'","")</f>
        <v/>
      </c>
      <c r="I320" s="129"/>
      <c r="J320" s="256"/>
      <c r="K320" s="126"/>
      <c r="L320" s="126"/>
      <c r="M320" s="256" t="str">
        <f>M$8</f>
        <v>locatie 1</v>
      </c>
      <c r="N320" s="182"/>
      <c r="O320" s="955" t="str">
        <f>$E320&amp;" per woning-/gebouwtype"</f>
        <v>energieprestatie indicatoren primair fossiel per woning-/gebouwtype</v>
      </c>
      <c r="P320" s="945"/>
      <c r="Q320" s="945"/>
      <c r="R320" s="945"/>
      <c r="S320" s="945"/>
      <c r="T320" s="945"/>
      <c r="U320" s="945"/>
      <c r="V320" s="945"/>
      <c r="W320" s="257"/>
      <c r="X320" s="174"/>
      <c r="Y320" s="256" t="str">
        <f>Y$8</f>
        <v>locatie 2</v>
      </c>
      <c r="Z320" s="182"/>
      <c r="AA320" s="955" t="str">
        <f>$E320&amp;" per woning-/gebouwtype"</f>
        <v>energieprestatie indicatoren primair fossiel per woning-/gebouwtype</v>
      </c>
      <c r="AB320" s="945"/>
      <c r="AC320" s="945"/>
      <c r="AD320" s="945"/>
      <c r="AE320" s="945"/>
      <c r="AF320" s="945"/>
      <c r="AG320" s="945"/>
      <c r="AH320" s="945"/>
      <c r="AI320" s="257"/>
      <c r="AJ320" s="174"/>
      <c r="AK320" s="256" t="str">
        <f>AK$8</f>
        <v>locatie 3</v>
      </c>
      <c r="AL320" s="182"/>
      <c r="AM320" s="955" t="str">
        <f>$E320&amp;" per woning-/gebouwtype"</f>
        <v>energieprestatie indicatoren primair fossiel per woning-/gebouwtype</v>
      </c>
      <c r="AN320" s="945"/>
      <c r="AO320" s="945"/>
      <c r="AP320" s="945"/>
      <c r="AQ320" s="945"/>
      <c r="AR320" s="945"/>
      <c r="AS320" s="945"/>
      <c r="AT320" s="945"/>
      <c r="AU320" s="257"/>
      <c r="AV320" s="174"/>
      <c r="AW320" s="256" t="str">
        <f>AW$8</f>
        <v>locatie 4</v>
      </c>
      <c r="AX320" s="182"/>
      <c r="AY320" s="955" t="str">
        <f>$E320&amp;" per woning-/gebouwtype"</f>
        <v>energieprestatie indicatoren primair fossiel per woning-/gebouwtype</v>
      </c>
      <c r="AZ320" s="945"/>
      <c r="BA320" s="945"/>
      <c r="BB320" s="945"/>
      <c r="BC320" s="945"/>
      <c r="BD320" s="945"/>
      <c r="BE320" s="945"/>
      <c r="BF320" s="945"/>
      <c r="BG320" s="257"/>
      <c r="BH320" s="1"/>
    </row>
    <row r="321" spans="1:60" hidden="1">
      <c r="A321" s="1040"/>
      <c r="B321" s="1109" t="s">
        <v>1223</v>
      </c>
      <c r="C321" s="1106" t="s">
        <v>262</v>
      </c>
      <c r="D321" s="641"/>
      <c r="E321" s="942" t="s">
        <v>273</v>
      </c>
      <c r="F321" s="942"/>
      <c r="G321" s="942"/>
      <c r="H321" s="942"/>
      <c r="I321" s="129"/>
      <c r="J321" s="943"/>
      <c r="K321" s="126"/>
      <c r="L321" s="126"/>
      <c r="M321" s="944"/>
      <c r="N321" s="195"/>
      <c r="O321" s="258" t="str">
        <f>O$17</f>
        <v/>
      </c>
      <c r="P321" s="258" t="str">
        <f t="shared" ref="P321:W321" si="390">P$17</f>
        <v/>
      </c>
      <c r="Q321" s="258" t="str">
        <f t="shared" si="390"/>
        <v/>
      </c>
      <c r="R321" s="258" t="str">
        <f t="shared" si="390"/>
        <v/>
      </c>
      <c r="S321" s="258" t="str">
        <f t="shared" si="390"/>
        <v/>
      </c>
      <c r="T321" s="258" t="str">
        <f t="shared" si="390"/>
        <v/>
      </c>
      <c r="U321" s="258" t="str">
        <f t="shared" si="390"/>
        <v/>
      </c>
      <c r="V321" s="258" t="str">
        <f t="shared" si="390"/>
        <v/>
      </c>
      <c r="W321" s="258" t="str">
        <f t="shared" si="390"/>
        <v/>
      </c>
      <c r="X321" s="195"/>
      <c r="Y321" s="944"/>
      <c r="Z321" s="195"/>
      <c r="AA321" s="258" t="str">
        <f>AA$17</f>
        <v/>
      </c>
      <c r="AB321" s="258" t="str">
        <f t="shared" ref="AB321:AI321" si="391">AB$17</f>
        <v/>
      </c>
      <c r="AC321" s="258" t="str">
        <f t="shared" si="391"/>
        <v/>
      </c>
      <c r="AD321" s="258" t="str">
        <f t="shared" si="391"/>
        <v/>
      </c>
      <c r="AE321" s="258" t="str">
        <f t="shared" si="391"/>
        <v/>
      </c>
      <c r="AF321" s="258" t="str">
        <f t="shared" si="391"/>
        <v/>
      </c>
      <c r="AG321" s="258" t="str">
        <f t="shared" si="391"/>
        <v/>
      </c>
      <c r="AH321" s="258" t="str">
        <f t="shared" si="391"/>
        <v/>
      </c>
      <c r="AI321" s="258" t="str">
        <f t="shared" si="391"/>
        <v/>
      </c>
      <c r="AJ321" s="195"/>
      <c r="AK321" s="944"/>
      <c r="AL321" s="195"/>
      <c r="AM321" s="258" t="str">
        <f>AM$17</f>
        <v/>
      </c>
      <c r="AN321" s="258" t="str">
        <f t="shared" ref="AN321:AU321" si="392">AN$17</f>
        <v/>
      </c>
      <c r="AO321" s="258" t="str">
        <f t="shared" si="392"/>
        <v/>
      </c>
      <c r="AP321" s="258" t="str">
        <f t="shared" si="392"/>
        <v/>
      </c>
      <c r="AQ321" s="258" t="str">
        <f t="shared" si="392"/>
        <v/>
      </c>
      <c r="AR321" s="258" t="str">
        <f t="shared" si="392"/>
        <v/>
      </c>
      <c r="AS321" s="258" t="str">
        <f t="shared" si="392"/>
        <v/>
      </c>
      <c r="AT321" s="258" t="str">
        <f t="shared" si="392"/>
        <v/>
      </c>
      <c r="AU321" s="258" t="str">
        <f t="shared" si="392"/>
        <v/>
      </c>
      <c r="AV321" s="195"/>
      <c r="AW321" s="944"/>
      <c r="AX321" s="195"/>
      <c r="AY321" s="258" t="str">
        <f>AY$17</f>
        <v/>
      </c>
      <c r="AZ321" s="258" t="str">
        <f t="shared" ref="AZ321:BG321" si="393">AZ$17</f>
        <v/>
      </c>
      <c r="BA321" s="258" t="str">
        <f t="shared" si="393"/>
        <v/>
      </c>
      <c r="BB321" s="258" t="str">
        <f t="shared" si="393"/>
        <v/>
      </c>
      <c r="BC321" s="258" t="str">
        <f t="shared" si="393"/>
        <v/>
      </c>
      <c r="BD321" s="258" t="str">
        <f t="shared" si="393"/>
        <v/>
      </c>
      <c r="BE321" s="258" t="str">
        <f t="shared" si="393"/>
        <v/>
      </c>
      <c r="BF321" s="258" t="str">
        <f t="shared" si="393"/>
        <v/>
      </c>
      <c r="BG321" s="258" t="str">
        <f t="shared" si="393"/>
        <v/>
      </c>
      <c r="BH321" s="36"/>
    </row>
    <row r="322" spans="1:60" hidden="1">
      <c r="A322" s="1040"/>
      <c r="B322" s="1109" t="s">
        <v>1223</v>
      </c>
      <c r="C322" s="1106" t="s">
        <v>262</v>
      </c>
      <c r="D322" s="641"/>
      <c r="E322" s="203" t="s">
        <v>274</v>
      </c>
      <c r="F322" s="203"/>
      <c r="G322" s="203"/>
      <c r="H322" s="204" t="s">
        <v>65</v>
      </c>
      <c r="I322" s="205"/>
      <c r="J322" s="206"/>
      <c r="K322" s="79"/>
      <c r="L322" s="79"/>
      <c r="M322" s="206"/>
      <c r="N322" s="205"/>
      <c r="O322" s="1153" t="str">
        <f t="shared" ref="O322:W322" si="394">IF(OR(O$17="",O$22=0,O$29=0),"",MATCH(O$19,BENG_gebruiksfuncties,0))</f>
        <v/>
      </c>
      <c r="P322" s="1153" t="str">
        <f t="shared" si="394"/>
        <v/>
      </c>
      <c r="Q322" s="1153" t="str">
        <f t="shared" si="394"/>
        <v/>
      </c>
      <c r="R322" s="1153" t="str">
        <f t="shared" si="394"/>
        <v/>
      </c>
      <c r="S322" s="1153" t="str">
        <f t="shared" si="394"/>
        <v/>
      </c>
      <c r="T322" s="1153" t="str">
        <f t="shared" si="394"/>
        <v/>
      </c>
      <c r="U322" s="1153" t="str">
        <f t="shared" si="394"/>
        <v/>
      </c>
      <c r="V322" s="1153" t="str">
        <f t="shared" si="394"/>
        <v/>
      </c>
      <c r="W322" s="1153" t="str">
        <f t="shared" si="394"/>
        <v/>
      </c>
      <c r="X322" s="108"/>
      <c r="Y322" s="206"/>
      <c r="Z322" s="205"/>
      <c r="AA322" s="207" t="str">
        <f t="shared" ref="AA322:AI322" si="395">IF(OR(AA$17="",AA$22=0,AA$29=0),"",MATCH(AA$19,BENG_gebruiksfuncties,0))</f>
        <v/>
      </c>
      <c r="AB322" s="207" t="str">
        <f t="shared" si="395"/>
        <v/>
      </c>
      <c r="AC322" s="207" t="str">
        <f t="shared" si="395"/>
        <v/>
      </c>
      <c r="AD322" s="207" t="str">
        <f t="shared" si="395"/>
        <v/>
      </c>
      <c r="AE322" s="207" t="str">
        <f t="shared" si="395"/>
        <v/>
      </c>
      <c r="AF322" s="207" t="str">
        <f t="shared" si="395"/>
        <v/>
      </c>
      <c r="AG322" s="207" t="str">
        <f t="shared" si="395"/>
        <v/>
      </c>
      <c r="AH322" s="207" t="str">
        <f t="shared" si="395"/>
        <v/>
      </c>
      <c r="AI322" s="207" t="str">
        <f t="shared" si="395"/>
        <v/>
      </c>
      <c r="AJ322" s="108"/>
      <c r="AK322" s="206"/>
      <c r="AL322" s="205"/>
      <c r="AM322" s="207" t="str">
        <f>IF(OR(AM$17="",AM$22=0,AM$29=0),"",MATCH(AM$19,BENG_gebruiksfuncties,0))</f>
        <v/>
      </c>
      <c r="AN322" s="207" t="str">
        <f t="shared" ref="AN322:AU322" si="396">IF(OR(AN$17="",AN$22=0,AN$29=0),"",MATCH(AN$19,BENG_gebruiksfuncties,0))</f>
        <v/>
      </c>
      <c r="AO322" s="207" t="str">
        <f t="shared" si="396"/>
        <v/>
      </c>
      <c r="AP322" s="207" t="str">
        <f t="shared" si="396"/>
        <v/>
      </c>
      <c r="AQ322" s="207" t="str">
        <f t="shared" si="396"/>
        <v/>
      </c>
      <c r="AR322" s="207" t="str">
        <f t="shared" si="396"/>
        <v/>
      </c>
      <c r="AS322" s="207" t="str">
        <f t="shared" si="396"/>
        <v/>
      </c>
      <c r="AT322" s="207" t="str">
        <f t="shared" si="396"/>
        <v/>
      </c>
      <c r="AU322" s="207" t="str">
        <f t="shared" si="396"/>
        <v/>
      </c>
      <c r="AV322" s="108"/>
      <c r="AW322" s="206"/>
      <c r="AX322" s="205"/>
      <c r="AY322" s="207" t="str">
        <f t="shared" ref="AY322:BG322" si="397">IF(OR(AY$17="",AY$22=0,AY$29=0),"",MATCH(AY$19,BENG_gebruiksfuncties,0))</f>
        <v/>
      </c>
      <c r="AZ322" s="207" t="str">
        <f t="shared" si="397"/>
        <v/>
      </c>
      <c r="BA322" s="207" t="str">
        <f t="shared" si="397"/>
        <v/>
      </c>
      <c r="BB322" s="207" t="str">
        <f t="shared" si="397"/>
        <v/>
      </c>
      <c r="BC322" s="207" t="str">
        <f t="shared" si="397"/>
        <v/>
      </c>
      <c r="BD322" s="207" t="str">
        <f t="shared" si="397"/>
        <v/>
      </c>
      <c r="BE322" s="207" t="str">
        <f t="shared" si="397"/>
        <v/>
      </c>
      <c r="BF322" s="207" t="str">
        <f t="shared" si="397"/>
        <v/>
      </c>
      <c r="BG322" s="207" t="str">
        <f t="shared" si="397"/>
        <v/>
      </c>
      <c r="BH322" s="210"/>
    </row>
    <row r="323" spans="1:60">
      <c r="A323" s="1040"/>
      <c r="B323" s="1109" t="s">
        <v>1223</v>
      </c>
      <c r="C323" s="1106" t="s">
        <v>96</v>
      </c>
      <c r="D323" s="640" t="s">
        <v>45</v>
      </c>
      <c r="E323" s="942" t="s">
        <v>1166</v>
      </c>
      <c r="F323" s="942"/>
      <c r="G323" s="942"/>
      <c r="H323" s="942"/>
      <c r="I323" s="129"/>
      <c r="J323" s="943"/>
      <c r="K323" s="126"/>
      <c r="L323" s="126"/>
      <c r="M323" s="944"/>
      <c r="N323" s="195"/>
      <c r="O323" s="1154" t="str">
        <f>O$17</f>
        <v/>
      </c>
      <c r="P323" s="1154" t="str">
        <f t="shared" ref="P323:W323" si="398">P$17</f>
        <v/>
      </c>
      <c r="Q323" s="1154" t="str">
        <f t="shared" si="398"/>
        <v/>
      </c>
      <c r="R323" s="1154" t="str">
        <f t="shared" si="398"/>
        <v/>
      </c>
      <c r="S323" s="1154" t="str">
        <f t="shared" si="398"/>
        <v/>
      </c>
      <c r="T323" s="1154" t="str">
        <f t="shared" si="398"/>
        <v/>
      </c>
      <c r="U323" s="1154" t="str">
        <f t="shared" si="398"/>
        <v/>
      </c>
      <c r="V323" s="1154" t="str">
        <f t="shared" si="398"/>
        <v/>
      </c>
      <c r="W323" s="1154" t="str">
        <f t="shared" si="398"/>
        <v/>
      </c>
      <c r="X323" s="195"/>
      <c r="Y323" s="944"/>
      <c r="Z323" s="195"/>
      <c r="AA323" s="258" t="str">
        <f>AA$17</f>
        <v/>
      </c>
      <c r="AB323" s="258" t="str">
        <f t="shared" ref="AB323:AI323" si="399">AB$17</f>
        <v/>
      </c>
      <c r="AC323" s="258" t="str">
        <f t="shared" si="399"/>
        <v/>
      </c>
      <c r="AD323" s="258" t="str">
        <f t="shared" si="399"/>
        <v/>
      </c>
      <c r="AE323" s="258" t="str">
        <f t="shared" si="399"/>
        <v/>
      </c>
      <c r="AF323" s="258" t="str">
        <f t="shared" si="399"/>
        <v/>
      </c>
      <c r="AG323" s="258" t="str">
        <f t="shared" si="399"/>
        <v/>
      </c>
      <c r="AH323" s="258" t="str">
        <f t="shared" si="399"/>
        <v/>
      </c>
      <c r="AI323" s="258" t="str">
        <f t="shared" si="399"/>
        <v/>
      </c>
      <c r="AJ323" s="195"/>
      <c r="AK323" s="944"/>
      <c r="AL323" s="195"/>
      <c r="AM323" s="258" t="str">
        <f>AM$17</f>
        <v/>
      </c>
      <c r="AN323" s="258" t="str">
        <f t="shared" ref="AN323:AU323" si="400">AN$17</f>
        <v/>
      </c>
      <c r="AO323" s="258" t="str">
        <f t="shared" si="400"/>
        <v/>
      </c>
      <c r="AP323" s="258" t="str">
        <f t="shared" si="400"/>
        <v/>
      </c>
      <c r="AQ323" s="258" t="str">
        <f t="shared" si="400"/>
        <v/>
      </c>
      <c r="AR323" s="258" t="str">
        <f t="shared" si="400"/>
        <v/>
      </c>
      <c r="AS323" s="258" t="str">
        <f t="shared" si="400"/>
        <v/>
      </c>
      <c r="AT323" s="258" t="str">
        <f t="shared" si="400"/>
        <v/>
      </c>
      <c r="AU323" s="258" t="str">
        <f t="shared" si="400"/>
        <v/>
      </c>
      <c r="AV323" s="195"/>
      <c r="AW323" s="944"/>
      <c r="AX323" s="195"/>
      <c r="AY323" s="258" t="str">
        <f>AY$17</f>
        <v/>
      </c>
      <c r="AZ323" s="258" t="str">
        <f t="shared" ref="AZ323:BG323" si="401">AZ$17</f>
        <v/>
      </c>
      <c r="BA323" s="258" t="str">
        <f t="shared" si="401"/>
        <v/>
      </c>
      <c r="BB323" s="258" t="str">
        <f t="shared" si="401"/>
        <v/>
      </c>
      <c r="BC323" s="258" t="str">
        <f t="shared" si="401"/>
        <v/>
      </c>
      <c r="BD323" s="258" t="str">
        <f t="shared" si="401"/>
        <v/>
      </c>
      <c r="BE323" s="258" t="str">
        <f t="shared" si="401"/>
        <v/>
      </c>
      <c r="BF323" s="258" t="str">
        <f t="shared" si="401"/>
        <v/>
      </c>
      <c r="BG323" s="258" t="str">
        <f t="shared" si="401"/>
        <v/>
      </c>
      <c r="BH323" s="36"/>
    </row>
    <row r="324" spans="1:60">
      <c r="A324" s="1040"/>
      <c r="B324" s="1109" t="s">
        <v>1223</v>
      </c>
      <c r="C324" s="1107" t="s">
        <v>104</v>
      </c>
      <c r="D324" s="641"/>
      <c r="E324" s="203" t="s">
        <v>275</v>
      </c>
      <c r="F324" s="203"/>
      <c r="G324" s="203"/>
      <c r="H324" s="204" t="s">
        <v>154</v>
      </c>
      <c r="I324" s="205"/>
      <c r="J324" s="206"/>
      <c r="K324" s="79"/>
      <c r="L324" s="79"/>
      <c r="M324" s="206"/>
      <c r="N324" s="205"/>
      <c r="O324" s="1155" t="str" cm="1">
        <f t="array" ref="O324">IF(OR(O$17="",O$38="",O$40="",O$322=""),"",
IF(O$32&lt;=INDEX(BENG1_eis_grenswaarde_1,O$322),
      INDEX(BENG1_eis_Als_deeldoor_Ag_kleiner_dan_grenswaarde_1,O$322),
IF(O$32&lt;=INDEX(BENG1_eis_grenswaarde_2,O$322),
      INDEX(BENG1_eis_C1,O$322) + INDEX(BENG1_eis_C2,O$322) * (O$32 - INDEX(BENG1_eis_C3,O$322) ),
      INDEX(BENG1_eis_C4,O$322)  + INDEX(BENG1_eis_C5,O$322) * (O$32 - INDEX(BENG1_eis_C6,O$322) ))))</f>
        <v/>
      </c>
      <c r="P324" s="1155" t="str" cm="1">
        <f t="array" ref="P324">IF(OR(P$17="",P$38="",P$40="",P$322=""),"",
IF(P$32&lt;=INDEX(BENG1_eis_grenswaarde_1,P$322),
      INDEX(BENG1_eis_Als_deeldoor_Ag_kleiner_dan_grenswaarde_1,P$322),
IF(P$32&lt;=INDEX(BENG1_eis_grenswaarde_2,P$322),
      INDEX(BENG1_eis_C1,P$322) + INDEX(BENG1_eis_C2,P$322) * (P$32 - INDEX(BENG1_eis_C3,P$322) ),
      INDEX(BENG1_eis_C4,P$322)  + INDEX(BENG1_eis_C5,P$322) * (P$32 - INDEX(BENG1_eis_C6,P$322) ))))</f>
        <v/>
      </c>
      <c r="Q324" s="1155" t="str" cm="1">
        <f t="array" ref="Q324">IF(OR(Q$17="",Q$38="",Q$40="",Q$322=""),"",
IF(Q$32&lt;=INDEX(BENG1_eis_grenswaarde_1,Q$322),
      INDEX(BENG1_eis_Als_deeldoor_Ag_kleiner_dan_grenswaarde_1,Q$322),
IF(Q$32&lt;=INDEX(BENG1_eis_grenswaarde_2,Q$322),
      INDEX(BENG1_eis_C1,Q$322) + INDEX(BENG1_eis_C2,Q$322) * (Q$32 - INDEX(BENG1_eis_C3,Q$322) ),
      INDEX(BENG1_eis_C4,Q$322)  + INDEX(BENG1_eis_C5,Q$322) * (Q$32 - INDEX(BENG1_eis_C6,Q$322) ))))</f>
        <v/>
      </c>
      <c r="R324" s="1155" t="str" cm="1">
        <f t="array" ref="R324">IF(OR(R$17="",R$38="",R$40="",R$322=""),"",
IF(R$32&lt;=INDEX(BENG1_eis_grenswaarde_1,R$322),
      INDEX(BENG1_eis_Als_deeldoor_Ag_kleiner_dan_grenswaarde_1,R$322),
IF(R$32&lt;=INDEX(BENG1_eis_grenswaarde_2,R$322),
      INDEX(BENG1_eis_C1,R$322) + INDEX(BENG1_eis_C2,R$322) * (R$32 - INDEX(BENG1_eis_C3,R$322) ),
      INDEX(BENG1_eis_C4,R$322)  + INDEX(BENG1_eis_C5,R$322) * (R$32 - INDEX(BENG1_eis_C6,R$322) ))))</f>
        <v/>
      </c>
      <c r="S324" s="1155" t="str" cm="1">
        <f t="array" ref="S324">IF(OR(S$17="",S$38="",S$40="",S$322=""),"",
IF(S$32&lt;=INDEX(BENG1_eis_grenswaarde_1,S$322),
      INDEX(BENG1_eis_Als_deeldoor_Ag_kleiner_dan_grenswaarde_1,S$322),
IF(S$32&lt;=INDEX(BENG1_eis_grenswaarde_2,S$322),
      INDEX(BENG1_eis_C1,S$322) + INDEX(BENG1_eis_C2,S$322) * (S$32 - INDEX(BENG1_eis_C3,S$322) ),
      INDEX(BENG1_eis_C4,S$322)  + INDEX(BENG1_eis_C5,S$322) * (S$32 - INDEX(BENG1_eis_C6,S$322) ))))</f>
        <v/>
      </c>
      <c r="T324" s="1155" t="str" cm="1">
        <f t="array" ref="T324">IF(OR(T$17="",T$38="",T$40="",T$322=""),"",
IF(T$32&lt;=INDEX(BENG1_eis_grenswaarde_1,T$322),
      INDEX(BENG1_eis_Als_deeldoor_Ag_kleiner_dan_grenswaarde_1,T$322),
IF(T$32&lt;=INDEX(BENG1_eis_grenswaarde_2,T$322),
      INDEX(BENG1_eis_C1,T$322) + INDEX(BENG1_eis_C2,T$322) * (T$32 - INDEX(BENG1_eis_C3,T$322) ),
      INDEX(BENG1_eis_C4,T$322)  + INDEX(BENG1_eis_C5,T$322) * (T$32 - INDEX(BENG1_eis_C6,T$322) ))))</f>
        <v/>
      </c>
      <c r="U324" s="1155" t="str" cm="1">
        <f t="array" ref="U324">IF(OR(U$17="",U$38="",U$40="",U$322=""),"",
IF(U$32&lt;=INDEX(BENG1_eis_grenswaarde_1,U$322),
      INDEX(BENG1_eis_Als_deeldoor_Ag_kleiner_dan_grenswaarde_1,U$322),
IF(U$32&lt;=INDEX(BENG1_eis_grenswaarde_2,U$322),
      INDEX(BENG1_eis_C1,U$322) + INDEX(BENG1_eis_C2,U$322) * (U$32 - INDEX(BENG1_eis_C3,U$322) ),
      INDEX(BENG1_eis_C4,U$322)  + INDEX(BENG1_eis_C5,U$322) * (U$32 - INDEX(BENG1_eis_C6,U$322) ))))</f>
        <v/>
      </c>
      <c r="V324" s="1155" t="str" cm="1">
        <f t="array" ref="V324">IF(OR(V$17="",V$38="",V$40="",V$322=""),"",
IF(V$32&lt;=INDEX(BENG1_eis_grenswaarde_1,V$322),
      INDEX(BENG1_eis_Als_deeldoor_Ag_kleiner_dan_grenswaarde_1,V$322),
IF(V$32&lt;=INDEX(BENG1_eis_grenswaarde_2,V$322),
      INDEX(BENG1_eis_C1,V$322) + INDEX(BENG1_eis_C2,V$322) * (V$32 - INDEX(BENG1_eis_C3,V$322) ),
      INDEX(BENG1_eis_C4,V$322)  + INDEX(BENG1_eis_C5,V$322) * (V$32 - INDEX(BENG1_eis_C6,V$322) ))))</f>
        <v/>
      </c>
      <c r="W324" s="1155" t="str" cm="1">
        <f t="array" ref="W324">IF(OR(W$17="",W$38="",W$40="",W$322=""),"",
IF(W$32&lt;=INDEX(BENG1_eis_grenswaarde_1,W$322),
      INDEX(BENG1_eis_Als_deeldoor_Ag_kleiner_dan_grenswaarde_1,W$322),
IF(W$32&lt;=INDEX(BENG1_eis_grenswaarde_2,W$322),
      INDEX(BENG1_eis_C1,W$322) + INDEX(BENG1_eis_C2,W$322) * (W$32 - INDEX(BENG1_eis_C3,W$322) ),
      INDEX(BENG1_eis_C4,W$322)  + INDEX(BENG1_eis_C5,W$322) * (W$32 - INDEX(BENG1_eis_C6,W$322) ))))</f>
        <v/>
      </c>
      <c r="X324" s="108"/>
      <c r="Y324" s="206"/>
      <c r="Z324" s="1091"/>
      <c r="AA324" s="542" t="str" cm="1">
        <f t="array" ref="AA324">IF(OR(AA$17="",AA$38="",AA$40="",AA$322=""),"",
IF(AA$32&lt;=INDEX(BENG1_eis_grenswaarde_1,AA$322),
      INDEX(BENG1_eis_Als_deeldoor_Ag_kleiner_dan_grenswaarde_1,AA$322),
IF(AA$32&lt;=INDEX(BENG1_eis_grenswaarde_2,AA$322),
      INDEX(BENG1_eis_C1,AA$322) + INDEX(BENG1_eis_C2,AA$322) * (AA$32 - INDEX(BENG1_eis_C3,AA$322) ),
      INDEX(BENG1_eis_C4,AA$322)  + INDEX(BENG1_eis_C5,AA$322) * (AA$32 - INDEX(BENG1_eis_C6,AA$322) ))))</f>
        <v/>
      </c>
      <c r="AB324" s="542" t="str" cm="1">
        <f t="array" ref="AB324">IF(OR(AB$17="",AB$38="",AB$40="",AB$322=""),"",
IF(AB$32&lt;=INDEX(BENG1_eis_grenswaarde_1,AB$322),
      INDEX(BENG1_eis_Als_deeldoor_Ag_kleiner_dan_grenswaarde_1,AB$322),
IF(AB$32&lt;=INDEX(BENG1_eis_grenswaarde_2,AB$322),
      INDEX(BENG1_eis_C1,AB$322) + INDEX(BENG1_eis_C2,AB$322) * (AB$32 - INDEX(BENG1_eis_C3,AB$322) ),
      INDEX(BENG1_eis_C4,AB$322)  + INDEX(BENG1_eis_C5,AB$322) * (AB$32 - INDEX(BENG1_eis_C6,AB$322) ))))</f>
        <v/>
      </c>
      <c r="AC324" s="542" t="str" cm="1">
        <f t="array" ref="AC324">IF(OR(AC$17="",AC$38="",AC$40="",AC$322=""),"",
IF(AC$32&lt;=INDEX(BENG1_eis_grenswaarde_1,AC$322),
      INDEX(BENG1_eis_Als_deeldoor_Ag_kleiner_dan_grenswaarde_1,AC$322),
IF(AC$32&lt;=INDEX(BENG1_eis_grenswaarde_2,AC$322),
      INDEX(BENG1_eis_C1,AC$322) + INDEX(BENG1_eis_C2,AC$322) * (AC$32 - INDEX(BENG1_eis_C3,AC$322) ),
      INDEX(BENG1_eis_C4,AC$322)  + INDEX(BENG1_eis_C5,AC$322) * (AC$32 - INDEX(BENG1_eis_C6,AC$322) ))))</f>
        <v/>
      </c>
      <c r="AD324" s="542" t="str" cm="1">
        <f t="array" ref="AD324">IF(OR(AD$17="",AD$38="",AD$40="",AD$322=""),"",
IF(AD$32&lt;=INDEX(BENG1_eis_grenswaarde_1,AD$322),
      INDEX(BENG1_eis_Als_deeldoor_Ag_kleiner_dan_grenswaarde_1,AD$322),
IF(AD$32&lt;=INDEX(BENG1_eis_grenswaarde_2,AD$322),
      INDEX(BENG1_eis_C1,AD$322) + INDEX(BENG1_eis_C2,AD$322) * (AD$32 - INDEX(BENG1_eis_C3,AD$322) ),
      INDEX(BENG1_eis_C4,AD$322)  + INDEX(BENG1_eis_C5,AD$322) * (AD$32 - INDEX(BENG1_eis_C6,AD$322) ))))</f>
        <v/>
      </c>
      <c r="AE324" s="542" t="str" cm="1">
        <f t="array" ref="AE324">IF(OR(AE$17="",AE$38="",AE$40="",AE$322=""),"",
IF(AE$32&lt;=INDEX(BENG1_eis_grenswaarde_1,AE$322),
      INDEX(BENG1_eis_Als_deeldoor_Ag_kleiner_dan_grenswaarde_1,AE$322),
IF(AE$32&lt;=INDEX(BENG1_eis_grenswaarde_2,AE$322),
      INDEX(BENG1_eis_C1,AE$322) + INDEX(BENG1_eis_C2,AE$322) * (AE$32 - INDEX(BENG1_eis_C3,AE$322) ),
      INDEX(BENG1_eis_C4,AE$322)  + INDEX(BENG1_eis_C5,AE$322) * (AE$32 - INDEX(BENG1_eis_C6,AE$322) ))))</f>
        <v/>
      </c>
      <c r="AF324" s="542" t="str" cm="1">
        <f t="array" ref="AF324">IF(OR(AF$17="",AF$38="",AF$40="",AF$322=""),"",
IF(AF$32&lt;=INDEX(BENG1_eis_grenswaarde_1,AF$322),
      INDEX(BENG1_eis_Als_deeldoor_Ag_kleiner_dan_grenswaarde_1,AF$322),
IF(AF$32&lt;=INDEX(BENG1_eis_grenswaarde_2,AF$322),
      INDEX(BENG1_eis_C1,AF$322) + INDEX(BENG1_eis_C2,AF$322) * (AF$32 - INDEX(BENG1_eis_C3,AF$322) ),
      INDEX(BENG1_eis_C4,AF$322)  + INDEX(BENG1_eis_C5,AF$322) * (AF$32 - INDEX(BENG1_eis_C6,AF$322) ))))</f>
        <v/>
      </c>
      <c r="AG324" s="542" t="str" cm="1">
        <f t="array" ref="AG324">IF(OR(AG$17="",AG$38="",AG$40="",AG$322=""),"",
IF(AG$32&lt;=INDEX(BENG1_eis_grenswaarde_1,AG$322),
      INDEX(BENG1_eis_Als_deeldoor_Ag_kleiner_dan_grenswaarde_1,AG$322),
IF(AG$32&lt;=INDEX(BENG1_eis_grenswaarde_2,AG$322),
      INDEX(BENG1_eis_C1,AG$322) + INDEX(BENG1_eis_C2,AG$322) * (AG$32 - INDEX(BENG1_eis_C3,AG$322) ),
      INDEX(BENG1_eis_C4,AG$322)  + INDEX(BENG1_eis_C5,AG$322) * (AG$32 - INDEX(BENG1_eis_C6,AG$322) ))))</f>
        <v/>
      </c>
      <c r="AH324" s="542" t="str" cm="1">
        <f t="array" ref="AH324">IF(OR(AH$17="",AH$38="",AH$40="",AH$322=""),"",
IF(AH$32&lt;=INDEX(BENG1_eis_grenswaarde_1,AH$322),
      INDEX(BENG1_eis_Als_deeldoor_Ag_kleiner_dan_grenswaarde_1,AH$322),
IF(AH$32&lt;=INDEX(BENG1_eis_grenswaarde_2,AH$322),
      INDEX(BENG1_eis_C1,AH$322) + INDEX(BENG1_eis_C2,AH$322) * (AH$32 - INDEX(BENG1_eis_C3,AH$322) ),
      INDEX(BENG1_eis_C4,AH$322)  + INDEX(BENG1_eis_C5,AH$322) * (AH$32 - INDEX(BENG1_eis_C6,AH$322) ))))</f>
        <v/>
      </c>
      <c r="AI324" s="542" t="str" cm="1">
        <f t="array" ref="AI324">IF(OR(AI$17="",AI$38="",AI$40="",AI$322=""),"",
IF(AI$32&lt;=INDEX(BENG1_eis_grenswaarde_1,AI$322),
      INDEX(BENG1_eis_Als_deeldoor_Ag_kleiner_dan_grenswaarde_1,AI$322),
IF(AI$32&lt;=INDEX(BENG1_eis_grenswaarde_2,AI$322),
      INDEX(BENG1_eis_C1,AI$322) + INDEX(BENG1_eis_C2,AI$322) * (AI$32 - INDEX(BENG1_eis_C3,AI$322) ),
      INDEX(BENG1_eis_C4,AI$322)  + INDEX(BENG1_eis_C5,AI$322) * (AI$32 - INDEX(BENG1_eis_C6,AI$322) ))))</f>
        <v/>
      </c>
      <c r="AJ324" s="108"/>
      <c r="AK324" s="206"/>
      <c r="AL324" s="1091"/>
      <c r="AM324" s="542" t="str" cm="1">
        <f t="array" ref="AM324">IF(OR(AM$17="",AM$38="",AM$40="",AM$322=""),"",
IF(AM$32&lt;=INDEX(BENG1_eis_grenswaarde_1,AM$322),
      INDEX(BENG1_eis_Als_deeldoor_Ag_kleiner_dan_grenswaarde_1,AM$322),
IF(AM$32&lt;=INDEX(BENG1_eis_grenswaarde_2,AM$322),
      INDEX(BENG1_eis_C1,AM$322) + INDEX(BENG1_eis_C2,AM$322) * (AM$32 - INDEX(BENG1_eis_C3,AM$322) ),
      INDEX(BENG1_eis_C4,AM$322)  + INDEX(BENG1_eis_C5,AM$322) * (AM$32 - INDEX(BENG1_eis_C6,AM$322) ))))</f>
        <v/>
      </c>
      <c r="AN324" s="542" t="str" cm="1">
        <f t="array" ref="AN324">IF(OR(AN$17="",AN$38="",AN$40="",AN$322=""),"",
IF(AN$32&lt;=INDEX(BENG1_eis_grenswaarde_1,AN$322),
      INDEX(BENG1_eis_Als_deeldoor_Ag_kleiner_dan_grenswaarde_1,AN$322),
IF(AN$32&lt;=INDEX(BENG1_eis_grenswaarde_2,AN$322),
      INDEX(BENG1_eis_C1,AN$322) + INDEX(BENG1_eis_C2,AN$322) * (AN$32 - INDEX(BENG1_eis_C3,AN$322) ),
      INDEX(BENG1_eis_C4,AN$322)  + INDEX(BENG1_eis_C5,AN$322) * (AN$32 - INDEX(BENG1_eis_C6,AN$322) ))))</f>
        <v/>
      </c>
      <c r="AO324" s="542" t="str" cm="1">
        <f t="array" ref="AO324">IF(OR(AO$17="",AO$38="",AO$40="",AO$322=""),"",
IF(AO$32&lt;=INDEX(BENG1_eis_grenswaarde_1,AO$322),
      INDEX(BENG1_eis_Als_deeldoor_Ag_kleiner_dan_grenswaarde_1,AO$322),
IF(AO$32&lt;=INDEX(BENG1_eis_grenswaarde_2,AO$322),
      INDEX(BENG1_eis_C1,AO$322) + INDEX(BENG1_eis_C2,AO$322) * (AO$32 - INDEX(BENG1_eis_C3,AO$322) ),
      INDEX(BENG1_eis_C4,AO$322)  + INDEX(BENG1_eis_C5,AO$322) * (AO$32 - INDEX(BENG1_eis_C6,AO$322) ))))</f>
        <v/>
      </c>
      <c r="AP324" s="542" t="str" cm="1">
        <f t="array" ref="AP324">IF(OR(AP$17="",AP$38="",AP$40="",AP$322=""),"",
IF(AP$32&lt;=INDEX(BENG1_eis_grenswaarde_1,AP$322),
      INDEX(BENG1_eis_Als_deeldoor_Ag_kleiner_dan_grenswaarde_1,AP$322),
IF(AP$32&lt;=INDEX(BENG1_eis_grenswaarde_2,AP$322),
      INDEX(BENG1_eis_C1,AP$322) + INDEX(BENG1_eis_C2,AP$322) * (AP$32 - INDEX(BENG1_eis_C3,AP$322) ),
      INDEX(BENG1_eis_C4,AP$322)  + INDEX(BENG1_eis_C5,AP$322) * (AP$32 - INDEX(BENG1_eis_C6,AP$322) ))))</f>
        <v/>
      </c>
      <c r="AQ324" s="542" t="str" cm="1">
        <f t="array" ref="AQ324">IF(OR(AQ$17="",AQ$38="",AQ$40="",AQ$322=""),"",
IF(AQ$32&lt;=INDEX(BENG1_eis_grenswaarde_1,AQ$322),
      INDEX(BENG1_eis_Als_deeldoor_Ag_kleiner_dan_grenswaarde_1,AQ$322),
IF(AQ$32&lt;=INDEX(BENG1_eis_grenswaarde_2,AQ$322),
      INDEX(BENG1_eis_C1,AQ$322) + INDEX(BENG1_eis_C2,AQ$322) * (AQ$32 - INDEX(BENG1_eis_C3,AQ$322) ),
      INDEX(BENG1_eis_C4,AQ$322)  + INDEX(BENG1_eis_C5,AQ$322) * (AQ$32 - INDEX(BENG1_eis_C6,AQ$322) ))))</f>
        <v/>
      </c>
      <c r="AR324" s="542" t="str" cm="1">
        <f t="array" ref="AR324">IF(OR(AR$17="",AR$38="",AR$40="",AR$322=""),"",
IF(AR$32&lt;=INDEX(BENG1_eis_grenswaarde_1,AR$322),
      INDEX(BENG1_eis_Als_deeldoor_Ag_kleiner_dan_grenswaarde_1,AR$322),
IF(AR$32&lt;=INDEX(BENG1_eis_grenswaarde_2,AR$322),
      INDEX(BENG1_eis_C1,AR$322) + INDEX(BENG1_eis_C2,AR$322) * (AR$32 - INDEX(BENG1_eis_C3,AR$322) ),
      INDEX(BENG1_eis_C4,AR$322)  + INDEX(BENG1_eis_C5,AR$322) * (AR$32 - INDEX(BENG1_eis_C6,AR$322) ))))</f>
        <v/>
      </c>
      <c r="AS324" s="542" t="str" cm="1">
        <f t="array" ref="AS324">IF(OR(AS$17="",AS$38="",AS$40="",AS$322=""),"",
IF(AS$32&lt;=INDEX(BENG1_eis_grenswaarde_1,AS$322),
      INDEX(BENG1_eis_Als_deeldoor_Ag_kleiner_dan_grenswaarde_1,AS$322),
IF(AS$32&lt;=INDEX(BENG1_eis_grenswaarde_2,AS$322),
      INDEX(BENG1_eis_C1,AS$322) + INDEX(BENG1_eis_C2,AS$322) * (AS$32 - INDEX(BENG1_eis_C3,AS$322) ),
      INDEX(BENG1_eis_C4,AS$322)  + INDEX(BENG1_eis_C5,AS$322) * (AS$32 - INDEX(BENG1_eis_C6,AS$322) ))))</f>
        <v/>
      </c>
      <c r="AT324" s="542" t="str" cm="1">
        <f t="array" ref="AT324">IF(OR(AT$17="",AT$38="",AT$40="",AT$322=""),"",
IF(AT$32&lt;=INDEX(BENG1_eis_grenswaarde_1,AT$322),
      INDEX(BENG1_eis_Als_deeldoor_Ag_kleiner_dan_grenswaarde_1,AT$322),
IF(AT$32&lt;=INDEX(BENG1_eis_grenswaarde_2,AT$322),
      INDEX(BENG1_eis_C1,AT$322) + INDEX(BENG1_eis_C2,AT$322) * (AT$32 - INDEX(BENG1_eis_C3,AT$322) ),
      INDEX(BENG1_eis_C4,AT$322)  + INDEX(BENG1_eis_C5,AT$322) * (AT$32 - INDEX(BENG1_eis_C6,AT$322) ))))</f>
        <v/>
      </c>
      <c r="AU324" s="542" t="str" cm="1">
        <f t="array" ref="AU324">IF(OR(AU$17="",AU$38="",AU$40="",AU$322=""),"",
IF(AU$32&lt;=INDEX(BENG1_eis_grenswaarde_1,AU$322),
      INDEX(BENG1_eis_Als_deeldoor_Ag_kleiner_dan_grenswaarde_1,AU$322),
IF(AU$32&lt;=INDEX(BENG1_eis_grenswaarde_2,AU$322),
      INDEX(BENG1_eis_C1,AU$322) + INDEX(BENG1_eis_C2,AU$322) * (AU$32 - INDEX(BENG1_eis_C3,AU$322) ),
      INDEX(BENG1_eis_C4,AU$322)  + INDEX(BENG1_eis_C5,AU$322) * (AU$32 - INDEX(BENG1_eis_C6,AU$322) ))))</f>
        <v/>
      </c>
      <c r="AV324" s="108"/>
      <c r="AW324" s="206"/>
      <c r="AX324" s="1091"/>
      <c r="AY324" s="542" t="str" cm="1">
        <f t="array" ref="AY324">IF(OR(AY$17="",AY$38="",AY$40="",AY$322=""),"",
IF(AY$32&lt;=INDEX(BENG1_eis_grenswaarde_1,AY$322),
      INDEX(BENG1_eis_Als_deeldoor_Ag_kleiner_dan_grenswaarde_1,AY$322),
IF(AY$32&lt;=INDEX(BENG1_eis_grenswaarde_2,AY$322),
      INDEX(BENG1_eis_C1,AY$322) + INDEX(BENG1_eis_C2,AY$322) * (AY$32 - INDEX(BENG1_eis_C3,AY$322) ),
      INDEX(BENG1_eis_C4,AY$322)  + INDEX(BENG1_eis_C5,AY$322) * (AY$32 - INDEX(BENG1_eis_C6,AY$322) ))))</f>
        <v/>
      </c>
      <c r="AZ324" s="542" t="str" cm="1">
        <f t="array" ref="AZ324">IF(OR(AZ$17="",AZ$38="",AZ$40="",AZ$322=""),"",
IF(AZ$32&lt;=INDEX(BENG1_eis_grenswaarde_1,AZ$322),
      INDEX(BENG1_eis_Als_deeldoor_Ag_kleiner_dan_grenswaarde_1,AZ$322),
IF(AZ$32&lt;=INDEX(BENG1_eis_grenswaarde_2,AZ$322),
      INDEX(BENG1_eis_C1,AZ$322) + INDEX(BENG1_eis_C2,AZ$322) * (AZ$32 - INDEX(BENG1_eis_C3,AZ$322) ),
      INDEX(BENG1_eis_C4,AZ$322)  + INDEX(BENG1_eis_C5,AZ$322) * (AZ$32 - INDEX(BENG1_eis_C6,AZ$322) ))))</f>
        <v/>
      </c>
      <c r="BA324" s="542" t="str" cm="1">
        <f t="array" ref="BA324">IF(OR(BA$17="",BA$38="",BA$40="",BA$322=""),"",
IF(BA$32&lt;=INDEX(BENG1_eis_grenswaarde_1,BA$322),
      INDEX(BENG1_eis_Als_deeldoor_Ag_kleiner_dan_grenswaarde_1,BA$322),
IF(BA$32&lt;=INDEX(BENG1_eis_grenswaarde_2,BA$322),
      INDEX(BENG1_eis_C1,BA$322) + INDEX(BENG1_eis_C2,BA$322) * (BA$32 - INDEX(BENG1_eis_C3,BA$322) ),
      INDEX(BENG1_eis_C4,BA$322)  + INDEX(BENG1_eis_C5,BA$322) * (BA$32 - INDEX(BENG1_eis_C6,BA$322) ))))</f>
        <v/>
      </c>
      <c r="BB324" s="542" t="str" cm="1">
        <f t="array" ref="BB324">IF(OR(BB$17="",BB$38="",BB$40="",BB$322=""),"",
IF(BB$32&lt;=INDEX(BENG1_eis_grenswaarde_1,BB$322),
      INDEX(BENG1_eis_Als_deeldoor_Ag_kleiner_dan_grenswaarde_1,BB$322),
IF(BB$32&lt;=INDEX(BENG1_eis_grenswaarde_2,BB$322),
      INDEX(BENG1_eis_C1,BB$322) + INDEX(BENG1_eis_C2,BB$322) * (BB$32 - INDEX(BENG1_eis_C3,BB$322) ),
      INDEX(BENG1_eis_C4,BB$322)  + INDEX(BENG1_eis_C5,BB$322) * (BB$32 - INDEX(BENG1_eis_C6,BB$322) ))))</f>
        <v/>
      </c>
      <c r="BC324" s="542" t="str" cm="1">
        <f t="array" ref="BC324">IF(OR(BC$17="",BC$38="",BC$40="",BC$322=""),"",
IF(BC$32&lt;=INDEX(BENG1_eis_grenswaarde_1,BC$322),
      INDEX(BENG1_eis_Als_deeldoor_Ag_kleiner_dan_grenswaarde_1,BC$322),
IF(BC$32&lt;=INDEX(BENG1_eis_grenswaarde_2,BC$322),
      INDEX(BENG1_eis_C1,BC$322) + INDEX(BENG1_eis_C2,BC$322) * (BC$32 - INDEX(BENG1_eis_C3,BC$322) ),
      INDEX(BENG1_eis_C4,BC$322)  + INDEX(BENG1_eis_C5,BC$322) * (BC$32 - INDEX(BENG1_eis_C6,BC$322) ))))</f>
        <v/>
      </c>
      <c r="BD324" s="542" t="str" cm="1">
        <f t="array" ref="BD324">IF(OR(BD$17="",BD$38="",BD$40="",BD$322=""),"",
IF(BD$32&lt;=INDEX(BENG1_eis_grenswaarde_1,BD$322),
      INDEX(BENG1_eis_Als_deeldoor_Ag_kleiner_dan_grenswaarde_1,BD$322),
IF(BD$32&lt;=INDEX(BENG1_eis_grenswaarde_2,BD$322),
      INDEX(BENG1_eis_C1,BD$322) + INDEX(BENG1_eis_C2,BD$322) * (BD$32 - INDEX(BENG1_eis_C3,BD$322) ),
      INDEX(BENG1_eis_C4,BD$322)  + INDEX(BENG1_eis_C5,BD$322) * (BD$32 - INDEX(BENG1_eis_C6,BD$322) ))))</f>
        <v/>
      </c>
      <c r="BE324" s="542" t="str" cm="1">
        <f t="array" ref="BE324">IF(OR(BE$17="",BE$38="",BE$40="",BE$322=""),"",
IF(BE$32&lt;=INDEX(BENG1_eis_grenswaarde_1,BE$322),
      INDEX(BENG1_eis_Als_deeldoor_Ag_kleiner_dan_grenswaarde_1,BE$322),
IF(BE$32&lt;=INDEX(BENG1_eis_grenswaarde_2,BE$322),
      INDEX(BENG1_eis_C1,BE$322) + INDEX(BENG1_eis_C2,BE$322) * (BE$32 - INDEX(BENG1_eis_C3,BE$322) ),
      INDEX(BENG1_eis_C4,BE$322)  + INDEX(BENG1_eis_C5,BE$322) * (BE$32 - INDEX(BENG1_eis_C6,BE$322) ))))</f>
        <v/>
      </c>
      <c r="BF324" s="542" t="str" cm="1">
        <f t="array" ref="BF324">IF(OR(BF$17="",BF$38="",BF$40="",BF$322=""),"",
IF(BF$32&lt;=INDEX(BENG1_eis_grenswaarde_1,BF$322),
      INDEX(BENG1_eis_Als_deeldoor_Ag_kleiner_dan_grenswaarde_1,BF$322),
IF(BF$32&lt;=INDEX(BENG1_eis_grenswaarde_2,BF$322),
      INDEX(BENG1_eis_C1,BF$322) + INDEX(BENG1_eis_C2,BF$322) * (BF$32 - INDEX(BENG1_eis_C3,BF$322) ),
      INDEX(BENG1_eis_C4,BF$322)  + INDEX(BENG1_eis_C5,BF$322) * (BF$32 - INDEX(BENG1_eis_C6,BF$322) ))))</f>
        <v/>
      </c>
      <c r="BG324" s="542" t="str" cm="1">
        <f t="array" ref="BG324">IF(OR(BG$17="",BG$38="",BG$40="",BG$322=""),"",
IF(BG$32&lt;=INDEX(BENG1_eis_grenswaarde_1,BG$322),
      INDEX(BENG1_eis_Als_deeldoor_Ag_kleiner_dan_grenswaarde_1,BG$322),
IF(BG$32&lt;=INDEX(BENG1_eis_grenswaarde_2,BG$322),
      INDEX(BENG1_eis_C1,BG$322) + INDEX(BENG1_eis_C2,BG$322) * (BG$32 - INDEX(BENG1_eis_C3,BG$322) ),
      INDEX(BENG1_eis_C4,BG$322)  + INDEX(BENG1_eis_C5,BG$322) * (BG$32 - INDEX(BENG1_eis_C6,BG$322) ))))</f>
        <v/>
      </c>
      <c r="BH324" s="210"/>
    </row>
    <row r="325" spans="1:60">
      <c r="A325" s="1040"/>
      <c r="B325" s="1109" t="s">
        <v>1223</v>
      </c>
      <c r="C325" s="1107" t="s">
        <v>104</v>
      </c>
      <c r="D325" s="641"/>
      <c r="E325" s="203" t="s">
        <v>276</v>
      </c>
      <c r="F325" s="203"/>
      <c r="G325" s="203"/>
      <c r="H325" s="204" t="s">
        <v>267</v>
      </c>
      <c r="I325" s="205"/>
      <c r="J325" s="206"/>
      <c r="K325" s="79"/>
      <c r="L325" s="79"/>
      <c r="M325" s="206"/>
      <c r="N325" s="205"/>
      <c r="O325" s="1155" t="str" cm="1">
        <f t="array" ref="O325">IF(O$322="","",INDEX(BENG2_eis,O$322))</f>
        <v/>
      </c>
      <c r="P325" s="1155" t="str" cm="1">
        <f t="array" ref="P325">IF(P$322="","",INDEX(BENG2_eis,P$322))</f>
        <v/>
      </c>
      <c r="Q325" s="1155" t="str" cm="1">
        <f t="array" ref="Q325">IF(Q$322="","",INDEX(BENG2_eis,Q$322))</f>
        <v/>
      </c>
      <c r="R325" s="1155" t="str" cm="1">
        <f t="array" ref="R325">IF(R$322="","",INDEX(BENG2_eis,R$322))</f>
        <v/>
      </c>
      <c r="S325" s="1155" t="str" cm="1">
        <f t="array" ref="S325">IF(S$322="","",INDEX(BENG2_eis,S$322))</f>
        <v/>
      </c>
      <c r="T325" s="1155" t="str" cm="1">
        <f t="array" ref="T325">IF(T$322="","",INDEX(BENG2_eis,T$322))</f>
        <v/>
      </c>
      <c r="U325" s="1155" t="str" cm="1">
        <f t="array" ref="U325">IF(U$322="","",INDEX(BENG2_eis,U$322))</f>
        <v/>
      </c>
      <c r="V325" s="1155" t="str" cm="1">
        <f t="array" ref="V325">IF(V$322="","",INDEX(BENG2_eis,V$322))</f>
        <v/>
      </c>
      <c r="W325" s="1155" t="str" cm="1">
        <f t="array" ref="W325">IF(W$322="","",INDEX(BENG2_eis,W$322))</f>
        <v/>
      </c>
      <c r="X325" s="108"/>
      <c r="Y325" s="206"/>
      <c r="Z325" s="1091"/>
      <c r="AA325" s="542" t="str" cm="1">
        <f t="array" ref="AA325">IF(AA$322="","",INDEX(BENG2_eis,AA$322))</f>
        <v/>
      </c>
      <c r="AB325" s="542" t="str" cm="1">
        <f t="array" ref="AB325">IF(AB$322="","",INDEX(BENG2_eis,AB$322))</f>
        <v/>
      </c>
      <c r="AC325" s="542" t="str" cm="1">
        <f t="array" ref="AC325">IF(AC$322="","",INDEX(BENG2_eis,AC$322))</f>
        <v/>
      </c>
      <c r="AD325" s="542" t="str" cm="1">
        <f t="array" ref="AD325">IF(AD$322="","",INDEX(BENG2_eis,AD$322))</f>
        <v/>
      </c>
      <c r="AE325" s="542" t="str" cm="1">
        <f t="array" ref="AE325">IF(AE$322="","",INDEX(BENG2_eis,AE$322))</f>
        <v/>
      </c>
      <c r="AF325" s="542" t="str" cm="1">
        <f t="array" ref="AF325">IF(AF$322="","",INDEX(BENG2_eis,AF$322))</f>
        <v/>
      </c>
      <c r="AG325" s="542" t="str" cm="1">
        <f t="array" ref="AG325">IF(AG$322="","",INDEX(BENG2_eis,AG$322))</f>
        <v/>
      </c>
      <c r="AH325" s="542" t="str" cm="1">
        <f t="array" ref="AH325">IF(AH$322="","",INDEX(BENG2_eis,AH$322))</f>
        <v/>
      </c>
      <c r="AI325" s="542" t="str" cm="1">
        <f t="array" ref="AI325">IF(AI$322="","",INDEX(BENG2_eis,AI$322))</f>
        <v/>
      </c>
      <c r="AJ325" s="108"/>
      <c r="AK325" s="206"/>
      <c r="AL325" s="1091"/>
      <c r="AM325" s="542" t="str" cm="1">
        <f t="array" ref="AM325">IF(AM$322="","",INDEX(BENG2_eis,AM$322))</f>
        <v/>
      </c>
      <c r="AN325" s="542" t="str" cm="1">
        <f t="array" ref="AN325">IF(AN$322="","",INDEX(BENG2_eis,AN$322))</f>
        <v/>
      </c>
      <c r="AO325" s="542" t="str" cm="1">
        <f t="array" ref="AO325">IF(AO$322="","",INDEX(BENG2_eis,AO$322))</f>
        <v/>
      </c>
      <c r="AP325" s="542" t="str" cm="1">
        <f t="array" ref="AP325">IF(AP$322="","",INDEX(BENG2_eis,AP$322))</f>
        <v/>
      </c>
      <c r="AQ325" s="542" t="str" cm="1">
        <f t="array" ref="AQ325">IF(AQ$322="","",INDEX(BENG2_eis,AQ$322))</f>
        <v/>
      </c>
      <c r="AR325" s="542" t="str" cm="1">
        <f t="array" ref="AR325">IF(AR$322="","",INDEX(BENG2_eis,AR$322))</f>
        <v/>
      </c>
      <c r="AS325" s="542" t="str" cm="1">
        <f t="array" ref="AS325">IF(AS$322="","",INDEX(BENG2_eis,AS$322))</f>
        <v/>
      </c>
      <c r="AT325" s="542" t="str" cm="1">
        <f t="array" ref="AT325">IF(AT$322="","",INDEX(BENG2_eis,AT$322))</f>
        <v/>
      </c>
      <c r="AU325" s="542" t="str" cm="1">
        <f t="array" ref="AU325">IF(AU$322="","",INDEX(BENG2_eis,AU$322))</f>
        <v/>
      </c>
      <c r="AV325" s="108"/>
      <c r="AW325" s="206"/>
      <c r="AX325" s="1091"/>
      <c r="AY325" s="542" t="str" cm="1">
        <f t="array" ref="AY325">IF(AY$322="","",INDEX(BENG2_eis,AY$322))</f>
        <v/>
      </c>
      <c r="AZ325" s="542" t="str" cm="1">
        <f t="array" ref="AZ325">IF(AZ$322="","",INDEX(BENG2_eis,AZ$322))</f>
        <v/>
      </c>
      <c r="BA325" s="542" t="str" cm="1">
        <f t="array" ref="BA325">IF(BA$322="","",INDEX(BENG2_eis,BA$322))</f>
        <v/>
      </c>
      <c r="BB325" s="542" t="str" cm="1">
        <f t="array" ref="BB325">IF(BB$322="","",INDEX(BENG2_eis,BB$322))</f>
        <v/>
      </c>
      <c r="BC325" s="542" t="str" cm="1">
        <f t="array" ref="BC325">IF(BC$322="","",INDEX(BENG2_eis,BC$322))</f>
        <v/>
      </c>
      <c r="BD325" s="542" t="str" cm="1">
        <f t="array" ref="BD325">IF(BD$322="","",INDEX(BENG2_eis,BD$322))</f>
        <v/>
      </c>
      <c r="BE325" s="542" t="str" cm="1">
        <f t="array" ref="BE325">IF(BE$322="","",INDEX(BENG2_eis,BE$322))</f>
        <v/>
      </c>
      <c r="BF325" s="542" t="str" cm="1">
        <f t="array" ref="BF325">IF(BF$322="","",INDEX(BENG2_eis,BF$322))</f>
        <v/>
      </c>
      <c r="BG325" s="542" t="str" cm="1">
        <f t="array" ref="BG325">IF(BG$322="","",INDEX(BENG2_eis,BG$322))</f>
        <v/>
      </c>
      <c r="BH325" s="210"/>
    </row>
    <row r="326" spans="1:60">
      <c r="A326" s="1040"/>
      <c r="B326" s="1109" t="s">
        <v>1223</v>
      </c>
      <c r="C326" s="1107" t="s">
        <v>104</v>
      </c>
      <c r="D326" s="641"/>
      <c r="E326" s="203" t="s">
        <v>277</v>
      </c>
      <c r="F326" s="203"/>
      <c r="G326" s="203"/>
      <c r="H326" s="204" t="s">
        <v>139</v>
      </c>
      <c r="I326" s="205"/>
      <c r="J326" s="206"/>
      <c r="K326" s="79"/>
      <c r="L326" s="79"/>
      <c r="M326" s="206"/>
      <c r="N326" s="205"/>
      <c r="O326" s="1155" t="str" cm="1">
        <f t="array" ref="O326">IF(O$322="","",INDEX(BENG3_eis,O$322))</f>
        <v/>
      </c>
      <c r="P326" s="1155" t="str" cm="1">
        <f t="array" ref="P326">IF(P$322="","",INDEX(BENG3_eis,P$322))</f>
        <v/>
      </c>
      <c r="Q326" s="1155" t="str" cm="1">
        <f t="array" ref="Q326">IF(Q$322="","",INDEX(BENG3_eis,Q$322))</f>
        <v/>
      </c>
      <c r="R326" s="1155" t="str" cm="1">
        <f t="array" ref="R326">IF(R$322="","",INDEX(BENG3_eis,R$322))</f>
        <v/>
      </c>
      <c r="S326" s="1155" t="str" cm="1">
        <f t="array" ref="S326">IF(S$322="","",INDEX(BENG3_eis,S$322))</f>
        <v/>
      </c>
      <c r="T326" s="1155" t="str" cm="1">
        <f t="array" ref="T326">IF(T$322="","",INDEX(BENG3_eis,T$322))</f>
        <v/>
      </c>
      <c r="U326" s="1155" t="str" cm="1">
        <f t="array" ref="U326">IF(U$322="","",INDEX(BENG3_eis,U$322))</f>
        <v/>
      </c>
      <c r="V326" s="1155" t="str" cm="1">
        <f t="array" ref="V326">IF(V$322="","",INDEX(BENG3_eis,V$322))</f>
        <v/>
      </c>
      <c r="W326" s="1155" t="str" cm="1">
        <f t="array" ref="W326">IF(W$322="","",INDEX(BENG3_eis,W$322))</f>
        <v/>
      </c>
      <c r="X326" s="108"/>
      <c r="Y326" s="206"/>
      <c r="Z326" s="1091"/>
      <c r="AA326" s="542" t="str" cm="1">
        <f t="array" ref="AA326">IF(AA$322="","",INDEX(BENG3_eis,AA$322))</f>
        <v/>
      </c>
      <c r="AB326" s="542" t="str" cm="1">
        <f t="array" ref="AB326">IF(AB$322="","",INDEX(BENG3_eis,AB$322))</f>
        <v/>
      </c>
      <c r="AC326" s="542" t="str" cm="1">
        <f t="array" ref="AC326">IF(AC$322="","",INDEX(BENG3_eis,AC$322))</f>
        <v/>
      </c>
      <c r="AD326" s="542" t="str" cm="1">
        <f t="array" ref="AD326">IF(AD$322="","",INDEX(BENG3_eis,AD$322))</f>
        <v/>
      </c>
      <c r="AE326" s="542" t="str" cm="1">
        <f t="array" ref="AE326">IF(AE$322="","",INDEX(BENG3_eis,AE$322))</f>
        <v/>
      </c>
      <c r="AF326" s="542" t="str" cm="1">
        <f t="array" ref="AF326">IF(AF$322="","",INDEX(BENG3_eis,AF$322))</f>
        <v/>
      </c>
      <c r="AG326" s="542" t="str" cm="1">
        <f t="array" ref="AG326">IF(AG$322="","",INDEX(BENG3_eis,AG$322))</f>
        <v/>
      </c>
      <c r="AH326" s="542" t="str" cm="1">
        <f t="array" ref="AH326">IF(AH$322="","",INDEX(BENG3_eis,AH$322))</f>
        <v/>
      </c>
      <c r="AI326" s="542" t="str" cm="1">
        <f t="array" ref="AI326">IF(AI$322="","",INDEX(BENG3_eis,AI$322))</f>
        <v/>
      </c>
      <c r="AJ326" s="108"/>
      <c r="AK326" s="206"/>
      <c r="AL326" s="1091"/>
      <c r="AM326" s="542" t="str" cm="1">
        <f t="array" ref="AM326">IF(AM$322="","",INDEX(BENG3_eis,AM$322))</f>
        <v/>
      </c>
      <c r="AN326" s="542" t="str" cm="1">
        <f t="array" ref="AN326">IF(AN$322="","",INDEX(BENG3_eis,AN$322))</f>
        <v/>
      </c>
      <c r="AO326" s="542" t="str" cm="1">
        <f t="array" ref="AO326">IF(AO$322="","",INDEX(BENG3_eis,AO$322))</f>
        <v/>
      </c>
      <c r="AP326" s="542" t="str" cm="1">
        <f t="array" ref="AP326">IF(AP$322="","",INDEX(BENG3_eis,AP$322))</f>
        <v/>
      </c>
      <c r="AQ326" s="542" t="str" cm="1">
        <f t="array" ref="AQ326">IF(AQ$322="","",INDEX(BENG3_eis,AQ$322))</f>
        <v/>
      </c>
      <c r="AR326" s="542" t="str" cm="1">
        <f t="array" ref="AR326">IF(AR$322="","",INDEX(BENG3_eis,AR$322))</f>
        <v/>
      </c>
      <c r="AS326" s="542" t="str" cm="1">
        <f t="array" ref="AS326">IF(AS$322="","",INDEX(BENG3_eis,AS$322))</f>
        <v/>
      </c>
      <c r="AT326" s="542" t="str" cm="1">
        <f t="array" ref="AT326">IF(AT$322="","",INDEX(BENG3_eis,AT$322))</f>
        <v/>
      </c>
      <c r="AU326" s="542" t="str" cm="1">
        <f t="array" ref="AU326">IF(AU$322="","",INDEX(BENG3_eis,AU$322))</f>
        <v/>
      </c>
      <c r="AV326" s="108"/>
      <c r="AW326" s="206"/>
      <c r="AX326" s="1091"/>
      <c r="AY326" s="542" t="str" cm="1">
        <f t="array" ref="AY326">IF(AY$322="","",INDEX(BENG3_eis,AY$322))</f>
        <v/>
      </c>
      <c r="AZ326" s="542" t="str" cm="1">
        <f t="array" ref="AZ326">IF(AZ$322="","",INDEX(BENG3_eis,AZ$322))</f>
        <v/>
      </c>
      <c r="BA326" s="542" t="str" cm="1">
        <f t="array" ref="BA326">IF(BA$322="","",INDEX(BENG3_eis,BA$322))</f>
        <v/>
      </c>
      <c r="BB326" s="542" t="str" cm="1">
        <f t="array" ref="BB326">IF(BB$322="","",INDEX(BENG3_eis,BB$322))</f>
        <v/>
      </c>
      <c r="BC326" s="542" t="str" cm="1">
        <f t="array" ref="BC326">IF(BC$322="","",INDEX(BENG3_eis,BC$322))</f>
        <v/>
      </c>
      <c r="BD326" s="542" t="str" cm="1">
        <f t="array" ref="BD326">IF(BD$322="","",INDEX(BENG3_eis,BD$322))</f>
        <v/>
      </c>
      <c r="BE326" s="542" t="str" cm="1">
        <f t="array" ref="BE326">IF(BE$322="","",INDEX(BENG3_eis,BE$322))</f>
        <v/>
      </c>
      <c r="BF326" s="542" t="str" cm="1">
        <f t="array" ref="BF326">IF(BF$322="","",INDEX(BENG3_eis,BF$322))</f>
        <v/>
      </c>
      <c r="BG326" s="542" t="str" cm="1">
        <f t="array" ref="BG326">IF(BG$322="","",INDEX(BENG3_eis,BG$322))</f>
        <v/>
      </c>
      <c r="BH326" s="210"/>
    </row>
    <row r="327" spans="1:60">
      <c r="A327" s="1040"/>
      <c r="B327" s="1109" t="s">
        <v>1223</v>
      </c>
      <c r="C327" s="1106" t="s">
        <v>96</v>
      </c>
      <c r="D327" s="640" t="s">
        <v>45</v>
      </c>
      <c r="E327" s="942" t="s">
        <v>278</v>
      </c>
      <c r="F327" s="942"/>
      <c r="G327" s="942"/>
      <c r="H327" s="942"/>
      <c r="I327" s="129"/>
      <c r="J327" s="943"/>
      <c r="K327" s="126"/>
      <c r="L327" s="126"/>
      <c r="M327" s="944"/>
      <c r="N327" s="195"/>
      <c r="O327" s="1154" t="str">
        <f>O$17</f>
        <v/>
      </c>
      <c r="P327" s="1154" t="str">
        <f t="shared" ref="P327:W327" si="402">P$17</f>
        <v/>
      </c>
      <c r="Q327" s="1154" t="str">
        <f t="shared" si="402"/>
        <v/>
      </c>
      <c r="R327" s="1154" t="str">
        <f t="shared" si="402"/>
        <v/>
      </c>
      <c r="S327" s="1154" t="str">
        <f t="shared" si="402"/>
        <v/>
      </c>
      <c r="T327" s="1154" t="str">
        <f t="shared" si="402"/>
        <v/>
      </c>
      <c r="U327" s="1154" t="str">
        <f t="shared" si="402"/>
        <v/>
      </c>
      <c r="V327" s="1154" t="str">
        <f t="shared" si="402"/>
        <v/>
      </c>
      <c r="W327" s="1154" t="str">
        <f t="shared" si="402"/>
        <v/>
      </c>
      <c r="X327" s="195"/>
      <c r="Y327" s="944"/>
      <c r="Z327" s="195"/>
      <c r="AA327" s="258" t="str">
        <f>AA$17</f>
        <v/>
      </c>
      <c r="AB327" s="258" t="str">
        <f t="shared" ref="AB327:AI327" si="403">AB$17</f>
        <v/>
      </c>
      <c r="AC327" s="258" t="str">
        <f t="shared" si="403"/>
        <v/>
      </c>
      <c r="AD327" s="258" t="str">
        <f t="shared" si="403"/>
        <v/>
      </c>
      <c r="AE327" s="258" t="str">
        <f t="shared" si="403"/>
        <v/>
      </c>
      <c r="AF327" s="258" t="str">
        <f t="shared" si="403"/>
        <v/>
      </c>
      <c r="AG327" s="258" t="str">
        <f t="shared" si="403"/>
        <v/>
      </c>
      <c r="AH327" s="258" t="str">
        <f t="shared" si="403"/>
        <v/>
      </c>
      <c r="AI327" s="258" t="str">
        <f t="shared" si="403"/>
        <v/>
      </c>
      <c r="AJ327" s="195"/>
      <c r="AK327" s="944"/>
      <c r="AL327" s="195"/>
      <c r="AM327" s="258" t="str">
        <f>AM$17</f>
        <v/>
      </c>
      <c r="AN327" s="258" t="str">
        <f t="shared" ref="AN327:AU327" si="404">AN$17</f>
        <v/>
      </c>
      <c r="AO327" s="258" t="str">
        <f t="shared" si="404"/>
        <v/>
      </c>
      <c r="AP327" s="258" t="str">
        <f t="shared" si="404"/>
        <v/>
      </c>
      <c r="AQ327" s="258" t="str">
        <f t="shared" si="404"/>
        <v/>
      </c>
      <c r="AR327" s="258" t="str">
        <f t="shared" si="404"/>
        <v/>
      </c>
      <c r="AS327" s="258" t="str">
        <f t="shared" si="404"/>
        <v/>
      </c>
      <c r="AT327" s="258" t="str">
        <f t="shared" si="404"/>
        <v/>
      </c>
      <c r="AU327" s="258" t="str">
        <f t="shared" si="404"/>
        <v/>
      </c>
      <c r="AV327" s="195"/>
      <c r="AW327" s="944"/>
      <c r="AX327" s="195"/>
      <c r="AY327" s="258" t="str">
        <f>AY$17</f>
        <v/>
      </c>
      <c r="AZ327" s="258" t="str">
        <f t="shared" ref="AZ327:BG327" si="405">AZ$17</f>
        <v/>
      </c>
      <c r="BA327" s="258" t="str">
        <f t="shared" si="405"/>
        <v/>
      </c>
      <c r="BB327" s="258" t="str">
        <f t="shared" si="405"/>
        <v/>
      </c>
      <c r="BC327" s="258" t="str">
        <f t="shared" si="405"/>
        <v/>
      </c>
      <c r="BD327" s="258" t="str">
        <f t="shared" si="405"/>
        <v/>
      </c>
      <c r="BE327" s="258" t="str">
        <f t="shared" si="405"/>
        <v/>
      </c>
      <c r="BF327" s="258" t="str">
        <f t="shared" si="405"/>
        <v/>
      </c>
      <c r="BG327" s="258" t="str">
        <f t="shared" si="405"/>
        <v/>
      </c>
      <c r="BH327" s="36"/>
    </row>
    <row r="328" spans="1:60" hidden="1">
      <c r="A328" s="1041"/>
      <c r="B328" s="1109" t="s">
        <v>1223</v>
      </c>
      <c r="C328" s="1106" t="s">
        <v>262</v>
      </c>
      <c r="D328" s="1183"/>
      <c r="E328" s="413" t="s">
        <v>1058</v>
      </c>
      <c r="F328" s="296"/>
      <c r="G328" s="894" t="str">
        <f ca="1">fitformule_Ehc_nd_EP</f>
        <v>Ehc;nd;EP</v>
      </c>
      <c r="H328" s="295" t="s">
        <v>65</v>
      </c>
      <c r="I328" s="259"/>
      <c r="J328" s="895"/>
      <c r="K328" s="896"/>
      <c r="L328" s="896"/>
      <c r="M328" s="895"/>
      <c r="N328" s="897" t="s">
        <v>84</v>
      </c>
      <c r="O328" s="1156" t="e">
        <f t="shared" ref="O328:W328" ca="1" si="406">$F$6
&amp;INDEX(gebruiksfuncties_fitcurve_NTA8800,MATCH(O$19,gebruiksfuncties_namen,0))
&amp;INDEX(ventilatiesystemen_code,MATCH(O$40,ventilatiesystemen_namen,0))
&amp;O$49
&amp;$G328</f>
        <v>#N/A</v>
      </c>
      <c r="P328" s="1157" t="e">
        <f t="shared" ca="1" si="406"/>
        <v>#N/A</v>
      </c>
      <c r="Q328" s="1157" t="e">
        <f t="shared" ca="1" si="406"/>
        <v>#N/A</v>
      </c>
      <c r="R328" s="1157" t="e">
        <f t="shared" ca="1" si="406"/>
        <v>#N/A</v>
      </c>
      <c r="S328" s="1157" t="e">
        <f t="shared" ca="1" si="406"/>
        <v>#N/A</v>
      </c>
      <c r="T328" s="1157" t="e">
        <f t="shared" ca="1" si="406"/>
        <v>#N/A</v>
      </c>
      <c r="U328" s="1157" t="e">
        <f t="shared" ca="1" si="406"/>
        <v>#N/A</v>
      </c>
      <c r="V328" s="1157" t="e">
        <f t="shared" ca="1" si="406"/>
        <v>#N/A</v>
      </c>
      <c r="W328" s="1157" t="e">
        <f t="shared" ca="1" si="406"/>
        <v>#N/A</v>
      </c>
      <c r="X328" s="896"/>
      <c r="Y328" s="895"/>
      <c r="Z328" s="897" t="s">
        <v>84</v>
      </c>
      <c r="AA328" s="880" t="e">
        <f t="shared" ref="AA328:AI328" ca="1" si="407">$F$6
&amp;INDEX(gebruiksfuncties_fitcurve_NTA8800,MATCH(AA$19,gebruiksfuncties_namen,0))
&amp;INDEX(ventilatiesystemen_code,MATCH(AA$40,ventilatiesystemen_namen,0))
&amp;AA$49
&amp;$G328</f>
        <v>#N/A</v>
      </c>
      <c r="AB328" s="880" t="e">
        <f t="shared" ca="1" si="407"/>
        <v>#N/A</v>
      </c>
      <c r="AC328" s="880" t="e">
        <f t="shared" ca="1" si="407"/>
        <v>#N/A</v>
      </c>
      <c r="AD328" s="880" t="e">
        <f t="shared" ca="1" si="407"/>
        <v>#N/A</v>
      </c>
      <c r="AE328" s="880" t="e">
        <f t="shared" ca="1" si="407"/>
        <v>#N/A</v>
      </c>
      <c r="AF328" s="880" t="e">
        <f t="shared" ca="1" si="407"/>
        <v>#N/A</v>
      </c>
      <c r="AG328" s="880" t="e">
        <f t="shared" ca="1" si="407"/>
        <v>#N/A</v>
      </c>
      <c r="AH328" s="880" t="e">
        <f t="shared" ca="1" si="407"/>
        <v>#N/A</v>
      </c>
      <c r="AI328" s="880" t="e">
        <f t="shared" ca="1" si="407"/>
        <v>#N/A</v>
      </c>
      <c r="AJ328" s="896"/>
      <c r="AK328" s="895"/>
      <c r="AL328" s="897" t="s">
        <v>84</v>
      </c>
      <c r="AM328" s="880" t="e">
        <f t="shared" ref="AM328:AU328" ca="1" si="408">$F$6
&amp;INDEX(gebruiksfuncties_fitcurve_NTA8800,MATCH(AM$19,gebruiksfuncties_namen,0))
&amp;INDEX(ventilatiesystemen_code,MATCH(AM$40,ventilatiesystemen_namen,0))
&amp;AM$49
&amp;$G328</f>
        <v>#N/A</v>
      </c>
      <c r="AN328" s="880" t="e">
        <f t="shared" ca="1" si="408"/>
        <v>#N/A</v>
      </c>
      <c r="AO328" s="880" t="e">
        <f t="shared" ca="1" si="408"/>
        <v>#N/A</v>
      </c>
      <c r="AP328" s="880" t="e">
        <f t="shared" ca="1" si="408"/>
        <v>#N/A</v>
      </c>
      <c r="AQ328" s="880" t="e">
        <f t="shared" ca="1" si="408"/>
        <v>#N/A</v>
      </c>
      <c r="AR328" s="880" t="e">
        <f t="shared" ca="1" si="408"/>
        <v>#N/A</v>
      </c>
      <c r="AS328" s="880" t="e">
        <f t="shared" ca="1" si="408"/>
        <v>#N/A</v>
      </c>
      <c r="AT328" s="880" t="e">
        <f t="shared" ca="1" si="408"/>
        <v>#N/A</v>
      </c>
      <c r="AU328" s="880" t="e">
        <f t="shared" ca="1" si="408"/>
        <v>#N/A</v>
      </c>
      <c r="AV328" s="896"/>
      <c r="AW328" s="895"/>
      <c r="AX328" s="897" t="s">
        <v>84</v>
      </c>
      <c r="AY328" s="880" t="e">
        <f t="shared" ref="AY328:BG328" ca="1" si="409">$F$6
&amp;INDEX(gebruiksfuncties_fitcurve_NTA8800,MATCH(AY$19,gebruiksfuncties_namen,0))
&amp;INDEX(ventilatiesystemen_code,MATCH(AY$40,ventilatiesystemen_namen,0))
&amp;AY$49
&amp;$G328</f>
        <v>#N/A</v>
      </c>
      <c r="AZ328" s="880" t="e">
        <f t="shared" ca="1" si="409"/>
        <v>#N/A</v>
      </c>
      <c r="BA328" s="880" t="e">
        <f t="shared" ca="1" si="409"/>
        <v>#N/A</v>
      </c>
      <c r="BB328" s="880" t="e">
        <f t="shared" ca="1" si="409"/>
        <v>#N/A</v>
      </c>
      <c r="BC328" s="880" t="e">
        <f t="shared" ca="1" si="409"/>
        <v>#N/A</v>
      </c>
      <c r="BD328" s="880" t="e">
        <f t="shared" ca="1" si="409"/>
        <v>#N/A</v>
      </c>
      <c r="BE328" s="880" t="e">
        <f t="shared" ca="1" si="409"/>
        <v>#N/A</v>
      </c>
      <c r="BF328" s="880" t="e">
        <f t="shared" ca="1" si="409"/>
        <v>#N/A</v>
      </c>
      <c r="BG328" s="880" t="e">
        <f t="shared" ca="1" si="409"/>
        <v>#N/A</v>
      </c>
      <c r="BH328" s="218"/>
    </row>
    <row r="329" spans="1:60">
      <c r="A329" s="1040"/>
      <c r="B329" s="1109" t="s">
        <v>1223</v>
      </c>
      <c r="C329" s="1107" t="s">
        <v>104</v>
      </c>
      <c r="D329" s="640" t="s">
        <v>45</v>
      </c>
      <c r="E329" s="203" t="s">
        <v>279</v>
      </c>
      <c r="F329" s="203"/>
      <c r="G329" s="203"/>
      <c r="H329" s="204" t="s">
        <v>154</v>
      </c>
      <c r="I329" s="205"/>
      <c r="J329" s="206"/>
      <c r="K329" s="79"/>
      <c r="L329" s="79"/>
      <c r="M329" s="206"/>
      <c r="N329" s="205"/>
      <c r="O329" s="1158" t="str">
        <f t="shared" ref="O329:W329" si="410">IFERROR(IF(OR(O$17="",O$38="",O$40=""),"",MAX(warmtebehoefte_verwarming_ondergrens,
HLOOKUP(O$328,fitcurves_NTA8800,MATCH(fit_a0,parameters_fitformule,0),FALSE)
+HLOOKUP(O$328,fitcurves_NTA8800,MATCH(fit_a1,parameters_fitformule,0),FALSE)
*O$54*O$32^HLOOKUP(O$328,fitcurves_NTA8800,MATCH(fit_n1,parameters_fitformule,0),FALSE)
)),0)</f>
        <v/>
      </c>
      <c r="P329" s="1158" t="str">
        <f t="shared" si="410"/>
        <v/>
      </c>
      <c r="Q329" s="1158" t="str">
        <f t="shared" si="410"/>
        <v/>
      </c>
      <c r="R329" s="1158" t="str">
        <f t="shared" si="410"/>
        <v/>
      </c>
      <c r="S329" s="1158" t="str">
        <f t="shared" si="410"/>
        <v/>
      </c>
      <c r="T329" s="1158" t="str">
        <f t="shared" si="410"/>
        <v/>
      </c>
      <c r="U329" s="1158" t="str">
        <f t="shared" si="410"/>
        <v/>
      </c>
      <c r="V329" s="1158" t="str">
        <f t="shared" si="410"/>
        <v/>
      </c>
      <c r="W329" s="1158" t="str">
        <f t="shared" si="410"/>
        <v/>
      </c>
      <c r="X329" s="108"/>
      <c r="Y329" s="206"/>
      <c r="Z329" s="205"/>
      <c r="AA329" s="1090" t="str">
        <f t="shared" ref="AA329:AI329" si="411">IFERROR(IF(OR(AA$17="",AA$38="",AA$40=""),"",MAX(warmtebehoefte_verwarming_ondergrens,
HLOOKUP(AA$328,fitcurves_NTA8800,MATCH(fit_a0,parameters_fitformule,0),FALSE)
+HLOOKUP(AA$328,fitcurves_NTA8800,MATCH(fit_a1,parameters_fitformule,0),FALSE)
*AA$54*AA$32^HLOOKUP(AA$328,fitcurves_NTA8800,MATCH(fit_n1,parameters_fitformule,0),FALSE)
)),0)</f>
        <v/>
      </c>
      <c r="AB329" s="1090" t="str">
        <f t="shared" si="411"/>
        <v/>
      </c>
      <c r="AC329" s="1090" t="str">
        <f t="shared" si="411"/>
        <v/>
      </c>
      <c r="AD329" s="1090" t="str">
        <f t="shared" si="411"/>
        <v/>
      </c>
      <c r="AE329" s="1090" t="str">
        <f t="shared" si="411"/>
        <v/>
      </c>
      <c r="AF329" s="1090" t="str">
        <f t="shared" si="411"/>
        <v/>
      </c>
      <c r="AG329" s="1090" t="str">
        <f t="shared" si="411"/>
        <v/>
      </c>
      <c r="AH329" s="1090" t="str">
        <f t="shared" si="411"/>
        <v/>
      </c>
      <c r="AI329" s="1090" t="str">
        <f t="shared" si="411"/>
        <v/>
      </c>
      <c r="AJ329" s="108"/>
      <c r="AK329" s="206"/>
      <c r="AL329" s="205"/>
      <c r="AM329" s="1090" t="str">
        <f t="shared" ref="AM329:AU329" si="412">IFERROR(IF(OR(AM$17="",AM$38="",AM$40=""),"",MAX(warmtebehoefte_verwarming_ondergrens,
HLOOKUP(AM$328,fitcurves_NTA8800,MATCH(fit_a0,parameters_fitformule,0),FALSE)
+HLOOKUP(AM$328,fitcurves_NTA8800,MATCH(fit_a1,parameters_fitformule,0),FALSE)
*AM$54*AM$32^HLOOKUP(AM$328,fitcurves_NTA8800,MATCH(fit_n1,parameters_fitformule,0),FALSE)
)),0)</f>
        <v/>
      </c>
      <c r="AN329" s="1090" t="str">
        <f t="shared" si="412"/>
        <v/>
      </c>
      <c r="AO329" s="1090" t="str">
        <f t="shared" si="412"/>
        <v/>
      </c>
      <c r="AP329" s="1090" t="str">
        <f t="shared" si="412"/>
        <v/>
      </c>
      <c r="AQ329" s="1090" t="str">
        <f t="shared" si="412"/>
        <v/>
      </c>
      <c r="AR329" s="1090" t="str">
        <f t="shared" si="412"/>
        <v/>
      </c>
      <c r="AS329" s="1090" t="str">
        <f t="shared" si="412"/>
        <v/>
      </c>
      <c r="AT329" s="1090" t="str">
        <f t="shared" si="412"/>
        <v/>
      </c>
      <c r="AU329" s="1090" t="str">
        <f t="shared" si="412"/>
        <v/>
      </c>
      <c r="AV329" s="108"/>
      <c r="AW329" s="206"/>
      <c r="AX329" s="205"/>
      <c r="AY329" s="1090" t="str">
        <f t="shared" ref="AY329:BG329" si="413">IFERROR(IF(OR(AY$17="",AY$38="",AY$40=""),"",MAX(warmtebehoefte_verwarming_ondergrens,
HLOOKUP(AY$328,fitcurves_NTA8800,MATCH(fit_a0,parameters_fitformule,0),FALSE)
+HLOOKUP(AY$328,fitcurves_NTA8800,MATCH(fit_a1,parameters_fitformule,0),FALSE)
*AY$54*AY$32^HLOOKUP(AY$328,fitcurves_NTA8800,MATCH(fit_n1,parameters_fitformule,0),FALSE)
)),0)</f>
        <v/>
      </c>
      <c r="AZ329" s="1090" t="str">
        <f t="shared" si="413"/>
        <v/>
      </c>
      <c r="BA329" s="1090" t="str">
        <f t="shared" si="413"/>
        <v/>
      </c>
      <c r="BB329" s="1090" t="str">
        <f t="shared" si="413"/>
        <v/>
      </c>
      <c r="BC329" s="1090" t="str">
        <f t="shared" si="413"/>
        <v/>
      </c>
      <c r="BD329" s="1090" t="str">
        <f t="shared" si="413"/>
        <v/>
      </c>
      <c r="BE329" s="1090" t="str">
        <f t="shared" si="413"/>
        <v/>
      </c>
      <c r="BF329" s="1090" t="str">
        <f t="shared" si="413"/>
        <v/>
      </c>
      <c r="BG329" s="1090" t="str">
        <f t="shared" si="413"/>
        <v/>
      </c>
      <c r="BH329" s="210"/>
    </row>
    <row r="330" spans="1:60">
      <c r="A330" s="1040"/>
      <c r="B330" s="1109" t="s">
        <v>1223</v>
      </c>
      <c r="C330" s="1107" t="s">
        <v>104</v>
      </c>
      <c r="D330" s="640" t="s">
        <v>45</v>
      </c>
      <c r="E330" s="203" t="s">
        <v>280</v>
      </c>
      <c r="F330" s="203"/>
      <c r="G330" s="203"/>
      <c r="H330" s="204" t="s">
        <v>267</v>
      </c>
      <c r="I330" s="205"/>
      <c r="J330" s="206"/>
      <c r="K330" s="79"/>
      <c r="L330" s="79"/>
      <c r="M330" s="206"/>
      <c r="N330" s="205"/>
      <c r="O330" s="1158" t="str">
        <f t="shared" ref="O330:W330" si="414">IF(OR(O$17="",O$22=0,O$29=0),"",ROUNDUP(O$298-O$287-O$288-O$289-IF(OR(O$19=woning,O$19=woongebouw),O285,0),2)-O$292)</f>
        <v/>
      </c>
      <c r="P330" s="1158" t="str">
        <f t="shared" si="414"/>
        <v/>
      </c>
      <c r="Q330" s="1158" t="str">
        <f t="shared" si="414"/>
        <v/>
      </c>
      <c r="R330" s="1158" t="str">
        <f t="shared" si="414"/>
        <v/>
      </c>
      <c r="S330" s="1158" t="str">
        <f t="shared" si="414"/>
        <v/>
      </c>
      <c r="T330" s="1158" t="str">
        <f t="shared" si="414"/>
        <v/>
      </c>
      <c r="U330" s="1158" t="str">
        <f t="shared" si="414"/>
        <v/>
      </c>
      <c r="V330" s="1158" t="str">
        <f t="shared" si="414"/>
        <v/>
      </c>
      <c r="W330" s="1158" t="str">
        <f t="shared" si="414"/>
        <v/>
      </c>
      <c r="X330" s="108"/>
      <c r="Y330" s="206"/>
      <c r="Z330" s="205"/>
      <c r="AA330" s="1090" t="str">
        <f t="shared" ref="AA330:AI330" si="415">IF(OR(AA$17="",AA$22=0,AA$29=0),"",ROUNDUP(AA$298-AA$287-AA$288-AA$289-IF(OR(AA$19=woning,AA$19=woongebouw),AA285,0),2)-AA$292)</f>
        <v/>
      </c>
      <c r="AB330" s="1090" t="str">
        <f t="shared" si="415"/>
        <v/>
      </c>
      <c r="AC330" s="1090" t="str">
        <f t="shared" si="415"/>
        <v/>
      </c>
      <c r="AD330" s="1090" t="str">
        <f t="shared" si="415"/>
        <v/>
      </c>
      <c r="AE330" s="1090" t="str">
        <f t="shared" si="415"/>
        <v/>
      </c>
      <c r="AF330" s="1090" t="str">
        <f t="shared" si="415"/>
        <v/>
      </c>
      <c r="AG330" s="1090" t="str">
        <f t="shared" si="415"/>
        <v/>
      </c>
      <c r="AH330" s="1090" t="str">
        <f t="shared" si="415"/>
        <v/>
      </c>
      <c r="AI330" s="1090" t="str">
        <f t="shared" si="415"/>
        <v/>
      </c>
      <c r="AJ330" s="108"/>
      <c r="AK330" s="206"/>
      <c r="AL330" s="205"/>
      <c r="AM330" s="1090" t="str">
        <f t="shared" ref="AM330:AU330" si="416">IF(OR(AM$17="",AM$22=0,AM$29=0),"",ROUNDUP(AM$298-AM$287-AM$288-AM$289-IF(OR(AM$19=woning,AM$19=woongebouw),AM285,0),2)-AM$292)</f>
        <v/>
      </c>
      <c r="AN330" s="1090" t="str">
        <f t="shared" si="416"/>
        <v/>
      </c>
      <c r="AO330" s="1090" t="str">
        <f t="shared" si="416"/>
        <v/>
      </c>
      <c r="AP330" s="1090" t="str">
        <f t="shared" si="416"/>
        <v/>
      </c>
      <c r="AQ330" s="1090" t="str">
        <f t="shared" si="416"/>
        <v/>
      </c>
      <c r="AR330" s="1090" t="str">
        <f t="shared" si="416"/>
        <v/>
      </c>
      <c r="AS330" s="1090" t="str">
        <f t="shared" si="416"/>
        <v/>
      </c>
      <c r="AT330" s="1090" t="str">
        <f t="shared" si="416"/>
        <v/>
      </c>
      <c r="AU330" s="1090" t="str">
        <f t="shared" si="416"/>
        <v/>
      </c>
      <c r="AV330" s="108"/>
      <c r="AW330" s="206"/>
      <c r="AX330" s="205"/>
      <c r="AY330" s="1090" t="str">
        <f t="shared" ref="AY330:BG330" si="417">IF(OR(AY$17="",AY$22=0,AY$29=0),"",ROUNDUP(AY$298-AY$287-AY$288-AY$289-IF(OR(AY$19=woning,AY$19=woongebouw),AY285,0),2)-AY$292)</f>
        <v/>
      </c>
      <c r="AZ330" s="1090" t="str">
        <f t="shared" si="417"/>
        <v/>
      </c>
      <c r="BA330" s="1090" t="str">
        <f t="shared" si="417"/>
        <v/>
      </c>
      <c r="BB330" s="1090" t="str">
        <f t="shared" si="417"/>
        <v/>
      </c>
      <c r="BC330" s="1090" t="str">
        <f t="shared" si="417"/>
        <v/>
      </c>
      <c r="BD330" s="1090" t="str">
        <f t="shared" si="417"/>
        <v/>
      </c>
      <c r="BE330" s="1090" t="str">
        <f t="shared" si="417"/>
        <v/>
      </c>
      <c r="BF330" s="1090" t="str">
        <f t="shared" si="417"/>
        <v/>
      </c>
      <c r="BG330" s="1090" t="str">
        <f t="shared" si="417"/>
        <v/>
      </c>
      <c r="BH330" s="210"/>
    </row>
    <row r="331" spans="1:60">
      <c r="A331" s="1040"/>
      <c r="B331" s="1109" t="s">
        <v>1223</v>
      </c>
      <c r="C331" s="1107" t="s">
        <v>104</v>
      </c>
      <c r="D331" s="641" t="s">
        <v>45</v>
      </c>
      <c r="E331" s="203" t="s">
        <v>281</v>
      </c>
      <c r="F331" s="203"/>
      <c r="G331" s="203"/>
      <c r="H331" s="204" t="s">
        <v>139</v>
      </c>
      <c r="I331" s="205"/>
      <c r="J331" s="206"/>
      <c r="K331" s="79"/>
      <c r="L331" s="79"/>
      <c r="M331" s="206"/>
      <c r="N331" s="205"/>
      <c r="O331" s="1160" t="str">
        <f t="shared" ref="O331:W331" si="418">IF(O$322="","",O317)</f>
        <v/>
      </c>
      <c r="P331" s="1089" t="str">
        <f t="shared" si="418"/>
        <v/>
      </c>
      <c r="Q331" s="1089" t="str">
        <f t="shared" si="418"/>
        <v/>
      </c>
      <c r="R331" s="1089" t="str">
        <f t="shared" si="418"/>
        <v/>
      </c>
      <c r="S331" s="1089" t="str">
        <f t="shared" si="418"/>
        <v/>
      </c>
      <c r="T331" s="1089" t="str">
        <f t="shared" si="418"/>
        <v/>
      </c>
      <c r="U331" s="1089" t="str">
        <f t="shared" si="418"/>
        <v/>
      </c>
      <c r="V331" s="1089" t="str">
        <f t="shared" si="418"/>
        <v/>
      </c>
      <c r="W331" s="1089" t="str">
        <f t="shared" si="418"/>
        <v/>
      </c>
      <c r="X331" s="597"/>
      <c r="Y331" s="598"/>
      <c r="Z331" s="599"/>
      <c r="AA331" s="1089" t="str">
        <f t="shared" ref="AA331:AI331" si="419">IF(AA$322="","",AA317)</f>
        <v/>
      </c>
      <c r="AB331" s="1089" t="str">
        <f t="shared" si="419"/>
        <v/>
      </c>
      <c r="AC331" s="1089" t="str">
        <f t="shared" si="419"/>
        <v/>
      </c>
      <c r="AD331" s="1089" t="str">
        <f t="shared" si="419"/>
        <v/>
      </c>
      <c r="AE331" s="1089" t="str">
        <f t="shared" si="419"/>
        <v/>
      </c>
      <c r="AF331" s="1089" t="str">
        <f t="shared" si="419"/>
        <v/>
      </c>
      <c r="AG331" s="1089" t="str">
        <f t="shared" si="419"/>
        <v/>
      </c>
      <c r="AH331" s="1089" t="str">
        <f t="shared" si="419"/>
        <v/>
      </c>
      <c r="AI331" s="1089" t="str">
        <f t="shared" si="419"/>
        <v/>
      </c>
      <c r="AJ331" s="597"/>
      <c r="AK331" s="598"/>
      <c r="AL331" s="599"/>
      <c r="AM331" s="1089" t="str">
        <f>IF(AM$322="","",AM317)</f>
        <v/>
      </c>
      <c r="AN331" s="1089" t="str">
        <f t="shared" ref="AN331:AU331" si="420">IF(AN$322="","",AN317)</f>
        <v/>
      </c>
      <c r="AO331" s="1089" t="str">
        <f t="shared" si="420"/>
        <v/>
      </c>
      <c r="AP331" s="1089" t="str">
        <f t="shared" si="420"/>
        <v/>
      </c>
      <c r="AQ331" s="1089" t="str">
        <f t="shared" si="420"/>
        <v/>
      </c>
      <c r="AR331" s="1089" t="str">
        <f t="shared" si="420"/>
        <v/>
      </c>
      <c r="AS331" s="1089" t="str">
        <f t="shared" si="420"/>
        <v/>
      </c>
      <c r="AT331" s="1089" t="str">
        <f t="shared" si="420"/>
        <v/>
      </c>
      <c r="AU331" s="1089" t="str">
        <f t="shared" si="420"/>
        <v/>
      </c>
      <c r="AV331" s="597"/>
      <c r="AW331" s="598"/>
      <c r="AX331" s="599"/>
      <c r="AY331" s="1089" t="str">
        <f>IF(AY$322="","",AY317)</f>
        <v/>
      </c>
      <c r="AZ331" s="1089" t="str">
        <f t="shared" ref="AZ331:BG331" si="421">IF(AZ$322="","",AZ317)</f>
        <v/>
      </c>
      <c r="BA331" s="1089" t="str">
        <f t="shared" si="421"/>
        <v/>
      </c>
      <c r="BB331" s="1089" t="str">
        <f t="shared" si="421"/>
        <v/>
      </c>
      <c r="BC331" s="1089" t="str">
        <f t="shared" si="421"/>
        <v/>
      </c>
      <c r="BD331" s="1089" t="str">
        <f t="shared" si="421"/>
        <v/>
      </c>
      <c r="BE331" s="1089" t="str">
        <f t="shared" si="421"/>
        <v/>
      </c>
      <c r="BF331" s="1089" t="str">
        <f t="shared" si="421"/>
        <v/>
      </c>
      <c r="BG331" s="1089" t="str">
        <f t="shared" si="421"/>
        <v/>
      </c>
      <c r="BH331" s="210"/>
    </row>
    <row r="332" spans="1:60">
      <c r="A332" s="1040"/>
      <c r="B332" s="1109" t="s">
        <v>1223</v>
      </c>
      <c r="C332" s="1106" t="s">
        <v>96</v>
      </c>
      <c r="D332" s="638"/>
      <c r="E332" s="942" t="s">
        <v>282</v>
      </c>
      <c r="F332" s="942"/>
      <c r="G332" s="942"/>
      <c r="H332" s="942"/>
      <c r="I332" s="129"/>
      <c r="J332" s="943"/>
      <c r="K332" s="126"/>
      <c r="L332" s="126"/>
      <c r="M332" s="944"/>
      <c r="N332" s="195"/>
      <c r="O332" s="258" t="str">
        <f>O$17</f>
        <v/>
      </c>
      <c r="P332" s="258" t="str">
        <f t="shared" ref="P332:W332" si="422">P$17</f>
        <v/>
      </c>
      <c r="Q332" s="258" t="str">
        <f t="shared" si="422"/>
        <v/>
      </c>
      <c r="R332" s="258" t="str">
        <f t="shared" si="422"/>
        <v/>
      </c>
      <c r="S332" s="258" t="str">
        <f t="shared" si="422"/>
        <v/>
      </c>
      <c r="T332" s="258" t="str">
        <f t="shared" si="422"/>
        <v/>
      </c>
      <c r="U332" s="258" t="str">
        <f t="shared" si="422"/>
        <v/>
      </c>
      <c r="V332" s="258" t="str">
        <f t="shared" si="422"/>
        <v/>
      </c>
      <c r="W332" s="258" t="str">
        <f t="shared" si="422"/>
        <v/>
      </c>
      <c r="X332" s="195"/>
      <c r="Y332" s="944"/>
      <c r="Z332" s="195"/>
      <c r="AA332" s="258" t="str">
        <f>AA$17</f>
        <v/>
      </c>
      <c r="AB332" s="258" t="str">
        <f t="shared" ref="AB332:AI332" si="423">AB$17</f>
        <v/>
      </c>
      <c r="AC332" s="258" t="str">
        <f t="shared" si="423"/>
        <v/>
      </c>
      <c r="AD332" s="258" t="str">
        <f t="shared" si="423"/>
        <v/>
      </c>
      <c r="AE332" s="258" t="str">
        <f t="shared" si="423"/>
        <v/>
      </c>
      <c r="AF332" s="258" t="str">
        <f t="shared" si="423"/>
        <v/>
      </c>
      <c r="AG332" s="258" t="str">
        <f t="shared" si="423"/>
        <v/>
      </c>
      <c r="AH332" s="258" t="str">
        <f t="shared" si="423"/>
        <v/>
      </c>
      <c r="AI332" s="258" t="str">
        <f t="shared" si="423"/>
        <v/>
      </c>
      <c r="AJ332" s="195"/>
      <c r="AK332" s="944"/>
      <c r="AL332" s="195"/>
      <c r="AM332" s="258" t="str">
        <f>AM$17</f>
        <v/>
      </c>
      <c r="AN332" s="258" t="str">
        <f t="shared" ref="AN332:AU332" si="424">AN$17</f>
        <v/>
      </c>
      <c r="AO332" s="258" t="str">
        <f t="shared" si="424"/>
        <v/>
      </c>
      <c r="AP332" s="258" t="str">
        <f t="shared" si="424"/>
        <v/>
      </c>
      <c r="AQ332" s="258" t="str">
        <f t="shared" si="424"/>
        <v/>
      </c>
      <c r="AR332" s="258" t="str">
        <f t="shared" si="424"/>
        <v/>
      </c>
      <c r="AS332" s="258" t="str">
        <f t="shared" si="424"/>
        <v/>
      </c>
      <c r="AT332" s="258" t="str">
        <f t="shared" si="424"/>
        <v/>
      </c>
      <c r="AU332" s="258" t="str">
        <f t="shared" si="424"/>
        <v/>
      </c>
      <c r="AV332" s="195"/>
      <c r="AW332" s="944"/>
      <c r="AX332" s="195"/>
      <c r="AY332" s="258" t="str">
        <f>AY$17</f>
        <v/>
      </c>
      <c r="AZ332" s="258" t="str">
        <f t="shared" ref="AZ332:BG332" si="425">AZ$17</f>
        <v/>
      </c>
      <c r="BA332" s="258" t="str">
        <f t="shared" si="425"/>
        <v/>
      </c>
      <c r="BB332" s="258" t="str">
        <f t="shared" si="425"/>
        <v/>
      </c>
      <c r="BC332" s="258" t="str">
        <f t="shared" si="425"/>
        <v/>
      </c>
      <c r="BD332" s="258" t="str">
        <f t="shared" si="425"/>
        <v/>
      </c>
      <c r="BE332" s="258" t="str">
        <f t="shared" si="425"/>
        <v/>
      </c>
      <c r="BF332" s="258" t="str">
        <f t="shared" si="425"/>
        <v/>
      </c>
      <c r="BG332" s="258" t="str">
        <f t="shared" si="425"/>
        <v/>
      </c>
      <c r="BH332" s="36"/>
    </row>
    <row r="333" spans="1:60">
      <c r="A333" s="1040"/>
      <c r="B333" s="1109" t="s">
        <v>1223</v>
      </c>
      <c r="C333" s="1107" t="s">
        <v>104</v>
      </c>
      <c r="D333" s="640" t="s">
        <v>45</v>
      </c>
      <c r="E333" s="1134" t="s">
        <v>282</v>
      </c>
      <c r="F333" s="203"/>
      <c r="G333" s="203"/>
      <c r="H333" s="204" t="s">
        <v>65</v>
      </c>
      <c r="I333" s="114"/>
      <c r="J333" s="202"/>
      <c r="K333" s="195"/>
      <c r="L333" s="195"/>
      <c r="M333" s="202"/>
      <c r="N333" s="114"/>
      <c r="O333" s="168" t="str">
        <f ca="1">IF(OR(O$22=0,$O$78=0),"",
INDEX(energielabels_labelnamen,MATCH(O330,OFFSET(bibliotheek!$H$488,0,MATCH(O$19,gebruiksfuncties_namen,0)-1,ROWS(energielabels_labelnamen),1),-1)))</f>
        <v/>
      </c>
      <c r="P333" s="168" t="str">
        <f ca="1">IF(OR(P$22=0,$O$78=0),"",
INDEX(energielabels_labelnamen,MATCH(P330,OFFSET(bibliotheek!$H$488,0,MATCH(P$19,gebruiksfuncties_namen,0)-1,ROWS(energielabels_labelnamen),1),-1)))</f>
        <v/>
      </c>
      <c r="Q333" s="168" t="str">
        <f ca="1">IF(OR(Q$22=0,$O$78=0),"",
INDEX(energielabels_labelnamen,MATCH(Q330,OFFSET(bibliotheek!$H$488,0,MATCH(Q$19,gebruiksfuncties_namen,0)-1,ROWS(energielabels_labelnamen),1),-1)))</f>
        <v/>
      </c>
      <c r="R333" s="168" t="str">
        <f ca="1">IF(OR(R$22=0,$O$78=0),"",
INDEX(energielabels_labelnamen,MATCH(R330,OFFSET(bibliotheek!$H$488,0,MATCH(R$19,gebruiksfuncties_namen,0)-1,ROWS(energielabels_labelnamen),1),-1)))</f>
        <v/>
      </c>
      <c r="S333" s="168" t="str">
        <f ca="1">IF(OR(S$22=0,$O$78=0),"",
INDEX(energielabels_labelnamen,MATCH(S330,OFFSET(bibliotheek!$H$488,0,MATCH(S$19,gebruiksfuncties_namen,0)-1,ROWS(energielabels_labelnamen),1),-1)))</f>
        <v/>
      </c>
      <c r="T333" s="168" t="str">
        <f ca="1">IF(OR(T$22=0,$O$78=0),"",
INDEX(energielabels_labelnamen,MATCH(T330,OFFSET(bibliotheek!$H$488,0,MATCH(T$19,gebruiksfuncties_namen,0)-1,ROWS(energielabels_labelnamen),1),-1)))</f>
        <v/>
      </c>
      <c r="U333" s="168" t="str">
        <f ca="1">IF(OR(U$22=0,$O$78=0),"",
INDEX(energielabels_labelnamen,MATCH(U330,OFFSET(bibliotheek!$H$488,0,MATCH(U$19,gebruiksfuncties_namen,0)-1,ROWS(energielabels_labelnamen),1),-1)))</f>
        <v/>
      </c>
      <c r="V333" s="168" t="str">
        <f ca="1">IF(OR(V$22=0,$O$78=0),"",
INDEX(energielabels_labelnamen,MATCH(V330,OFFSET(bibliotheek!$H$488,0,MATCH(V$19,gebruiksfuncties_namen,0)-1,ROWS(energielabels_labelnamen),1),-1)))</f>
        <v/>
      </c>
      <c r="W333" s="168" t="str">
        <f ca="1">IF(OR(W$22=0,$O$78=0),"",
INDEX(energielabels_labelnamen,MATCH(W330,OFFSET(bibliotheek!$H$488,0,MATCH(W$19,gebruiksfuncties_namen,0)-1,ROWS(energielabels_labelnamen),1),-1)))</f>
        <v/>
      </c>
      <c r="X333" s="113"/>
      <c r="Y333" s="202"/>
      <c r="Z333" s="114"/>
      <c r="AA333" s="168" t="str">
        <f ca="1">IF(OR(AA$22=0,$AA$78=0),"",
INDEX(energielabels_labelnamen,MATCH(AA330,OFFSET(bibliotheek!$H$488,0,MATCH(AA$19,gebruiksfuncties_namen,0)-1,ROWS(energielabels_labelnamen),1),-1)))</f>
        <v/>
      </c>
      <c r="AB333" s="168" t="str">
        <f ca="1">IF(OR(AB$22=0,$AA$78=0),"",
INDEX(energielabels_labelnamen,MATCH(AB330,OFFSET(bibliotheek!$H$488,0,MATCH(AB$19,gebruiksfuncties_namen,0)-1,ROWS(energielabels_labelnamen),1),-1)))</f>
        <v/>
      </c>
      <c r="AC333" s="168" t="str">
        <f ca="1">IF(OR(AC$22=0,$AA$78=0),"",
INDEX(energielabels_labelnamen,MATCH(AC330,OFFSET(bibliotheek!$H$488,0,MATCH(AC$19,gebruiksfuncties_namen,0)-1,ROWS(energielabels_labelnamen),1),-1)))</f>
        <v/>
      </c>
      <c r="AD333" s="168" t="str">
        <f ca="1">IF(OR(AD$22=0,$AA$78=0),"",
INDEX(energielabels_labelnamen,MATCH(AD330,OFFSET(bibliotheek!$H$488,0,MATCH(AD$19,gebruiksfuncties_namen,0)-1,ROWS(energielabels_labelnamen),1),-1)))</f>
        <v/>
      </c>
      <c r="AE333" s="168" t="str">
        <f ca="1">IF(OR(AE$22=0,$AA$78=0),"",
INDEX(energielabels_labelnamen,MATCH(AE330,OFFSET(bibliotheek!$H$488,0,MATCH(AE$19,gebruiksfuncties_namen,0)-1,ROWS(energielabels_labelnamen),1),-1)))</f>
        <v/>
      </c>
      <c r="AF333" s="168" t="str">
        <f ca="1">IF(OR(AF$22=0,$AA$78=0),"",
INDEX(energielabels_labelnamen,MATCH(AF330,OFFSET(bibliotheek!$H$488,0,MATCH(AF$19,gebruiksfuncties_namen,0)-1,ROWS(energielabels_labelnamen),1),-1)))</f>
        <v/>
      </c>
      <c r="AG333" s="168" t="str">
        <f ca="1">IF(OR(AG$22=0,$AA$78=0),"",
INDEX(energielabels_labelnamen,MATCH(AG330,OFFSET(bibliotheek!$H$488,0,MATCH(AG$19,gebruiksfuncties_namen,0)-1,ROWS(energielabels_labelnamen),1),-1)))</f>
        <v/>
      </c>
      <c r="AH333" s="168" t="str">
        <f ca="1">IF(OR(AH$22=0,$AA$78=0),"",
INDEX(energielabels_labelnamen,MATCH(AH330,OFFSET(bibliotheek!$H$488,0,MATCH(AH$19,gebruiksfuncties_namen,0)-1,ROWS(energielabels_labelnamen),1),-1)))</f>
        <v/>
      </c>
      <c r="AI333" s="168" t="str">
        <f ca="1">IF(OR(AI$22=0,$AA$78=0),"",
INDEX(energielabels_labelnamen,MATCH(AI330,OFFSET(bibliotheek!$H$488,0,MATCH(AI$19,gebruiksfuncties_namen,0)-1,ROWS(energielabels_labelnamen),1),-1)))</f>
        <v/>
      </c>
      <c r="AJ333" s="113"/>
      <c r="AK333" s="202"/>
      <c r="AL333" s="114"/>
      <c r="AM333" s="168" t="str">
        <f ca="1">IF(OR(AM$22=0,$AM$78=0),"",
INDEX(energielabels_labelnamen,MATCH(AM330,OFFSET(bibliotheek!$H$488,0,MATCH(AM$19,gebruiksfuncties_namen,0)-1,ROWS(energielabels_labelnamen),1),-1)))</f>
        <v/>
      </c>
      <c r="AN333" s="168" t="str">
        <f ca="1">IF(OR(AN$22=0,$AM$78=0),"",
INDEX(energielabels_labelnamen,MATCH(AN330,OFFSET(bibliotheek!$H$488,0,MATCH(AN$19,gebruiksfuncties_namen,0)-1,ROWS(energielabels_labelnamen),1),-1)))</f>
        <v/>
      </c>
      <c r="AO333" s="168" t="str">
        <f ca="1">IF(OR(AO$22=0,$AM$78=0),"",
INDEX(energielabels_labelnamen,MATCH(AO330,OFFSET(bibliotheek!$H$488,0,MATCH(AO$19,gebruiksfuncties_namen,0)-1,ROWS(energielabels_labelnamen),1),-1)))</f>
        <v/>
      </c>
      <c r="AP333" s="168" t="str">
        <f ca="1">IF(OR(AP$22=0,$AM$78=0),"",
INDEX(energielabels_labelnamen,MATCH(AP330,OFFSET(bibliotheek!$H$488,0,MATCH(AP$19,gebruiksfuncties_namen,0)-1,ROWS(energielabels_labelnamen),1),-1)))</f>
        <v/>
      </c>
      <c r="AQ333" s="168" t="str">
        <f ca="1">IF(OR(AQ$22=0,$AM$78=0),"",
INDEX(energielabels_labelnamen,MATCH(AQ330,OFFSET(bibliotheek!$H$488,0,MATCH(AQ$19,gebruiksfuncties_namen,0)-1,ROWS(energielabels_labelnamen),1),-1)))</f>
        <v/>
      </c>
      <c r="AR333" s="168" t="str">
        <f ca="1">IF(OR(AR$22=0,$AM$78=0),"",
INDEX(energielabels_labelnamen,MATCH(AR330,OFFSET(bibliotheek!$H$488,0,MATCH(AR$19,gebruiksfuncties_namen,0)-1,ROWS(energielabels_labelnamen),1),-1)))</f>
        <v/>
      </c>
      <c r="AS333" s="168" t="str">
        <f ca="1">IF(OR(AS$22=0,$AM$78=0),"",
INDEX(energielabels_labelnamen,MATCH(AS330,OFFSET(bibliotheek!$H$488,0,MATCH(AS$19,gebruiksfuncties_namen,0)-1,ROWS(energielabels_labelnamen),1),-1)))</f>
        <v/>
      </c>
      <c r="AT333" s="168" t="str">
        <f ca="1">IF(OR(AT$22=0,$AM$78=0),"",
INDEX(energielabels_labelnamen,MATCH(AT330,OFFSET(bibliotheek!$H$488,0,MATCH(AT$19,gebruiksfuncties_namen,0)-1,ROWS(energielabels_labelnamen),1),-1)))</f>
        <v/>
      </c>
      <c r="AU333" s="168" t="str">
        <f ca="1">IF(OR(AU$22=0,$AM$78=0),"",
INDEX(energielabels_labelnamen,MATCH(AU330,OFFSET(bibliotheek!$H$488,0,MATCH(AU$19,gebruiksfuncties_namen,0)-1,ROWS(energielabels_labelnamen),1),-1)))</f>
        <v/>
      </c>
      <c r="AV333" s="113"/>
      <c r="AW333" s="202"/>
      <c r="AX333" s="114"/>
      <c r="AY333" s="168" t="str">
        <f ca="1">IF(OR(AY$22=0,$AW$78=0),"",
INDEX(energielabels_labelnamen,MATCH(AY330,OFFSET(bibliotheek!$H$488,0,MATCH(AY$19,gebruiksfuncties_namen,0)-1,ROWS(energielabels_labelnamen),1),-1)))</f>
        <v/>
      </c>
      <c r="AZ333" s="168" t="str">
        <f ca="1">IF(OR(AZ$22=0,$AW$78=0),"",
INDEX(energielabels_labelnamen,MATCH(AZ330,OFFSET(bibliotheek!$H$488,0,MATCH(AZ$19,gebruiksfuncties_namen,0)-1,ROWS(energielabels_labelnamen),1),-1)))</f>
        <v/>
      </c>
      <c r="BA333" s="168" t="str">
        <f ca="1">IF(OR(BA$22=0,$AW$78=0),"",
INDEX(energielabels_labelnamen,MATCH(BA330,OFFSET(bibliotheek!$H$488,0,MATCH(BA$19,gebruiksfuncties_namen,0)-1,ROWS(energielabels_labelnamen),1),-1)))</f>
        <v/>
      </c>
      <c r="BB333" s="168" t="str">
        <f ca="1">IF(OR(BB$22=0,$AW$78=0),"",
INDEX(energielabels_labelnamen,MATCH(BB330,OFFSET(bibliotheek!$H$488,0,MATCH(BB$19,gebruiksfuncties_namen,0)-1,ROWS(energielabels_labelnamen),1),-1)))</f>
        <v/>
      </c>
      <c r="BC333" s="168" t="str">
        <f ca="1">IF(OR(BC$22=0,$AW$78=0),"",
INDEX(energielabels_labelnamen,MATCH(BC330,OFFSET(bibliotheek!$H$488,0,MATCH(BC$19,gebruiksfuncties_namen,0)-1,ROWS(energielabels_labelnamen),1),-1)))</f>
        <v/>
      </c>
      <c r="BD333" s="168" t="str">
        <f ca="1">IF(OR(BD$22=0,$AW$78=0),"",
INDEX(energielabels_labelnamen,MATCH(BD330,OFFSET(bibliotheek!$H$488,0,MATCH(BD$19,gebruiksfuncties_namen,0)-1,ROWS(energielabels_labelnamen),1),-1)))</f>
        <v/>
      </c>
      <c r="BE333" s="168" t="str">
        <f ca="1">IF(OR(BE$22=0,$AW$78=0),"",
INDEX(energielabels_labelnamen,MATCH(BE330,OFFSET(bibliotheek!$H$488,0,MATCH(BE$19,gebruiksfuncties_namen,0)-1,ROWS(energielabels_labelnamen),1),-1)))</f>
        <v/>
      </c>
      <c r="BF333" s="168" t="str">
        <f ca="1">IF(OR(BF$22=0,$AW$78=0),"",
INDEX(energielabels_labelnamen,MATCH(BF330,OFFSET(bibliotheek!$H$488,0,MATCH(BF$19,gebruiksfuncties_namen,0)-1,ROWS(energielabels_labelnamen),1),-1)))</f>
        <v/>
      </c>
      <c r="BG333" s="168" t="str">
        <f ca="1">IF(OR(BG$22=0,$AW$78=0),"",
INDEX(energielabels_labelnamen,MATCH(BG330,OFFSET(bibliotheek!$H$488,0,MATCH(BG$19,gebruiksfuncties_namen,0)-1,ROWS(energielabels_labelnamen),1),-1)))</f>
        <v/>
      </c>
      <c r="BH333" s="210"/>
    </row>
    <row r="334" spans="1:60">
      <c r="A334" s="1040"/>
      <c r="B334" s="1109" t="s">
        <v>1223</v>
      </c>
      <c r="C334" s="1107" t="s">
        <v>104</v>
      </c>
      <c r="D334" s="640" t="s">
        <v>45</v>
      </c>
      <c r="E334" s="203" t="s">
        <v>1015</v>
      </c>
      <c r="F334" s="862"/>
      <c r="G334" s="862"/>
      <c r="H334" s="204" t="s">
        <v>65</v>
      </c>
      <c r="I334" s="114"/>
      <c r="J334" s="202"/>
      <c r="K334" s="195"/>
      <c r="L334" s="195"/>
      <c r="M334" s="202"/>
      <c r="N334" s="114"/>
      <c r="O334" s="168" t="str">
        <f t="shared" ref="O334:W334" si="426">IF(O$26=0,"",INDEX(eindnorm_utiliteit_energielabel,MATCH(O$19,gebruiksfuncties_namen,0)))</f>
        <v/>
      </c>
      <c r="P334" s="168" t="str">
        <f>IF(P$26=0,"",INDEX(eindnorm_utiliteit_energielabel,MATCH(P$19,gebruiksfuncties_namen,0)))</f>
        <v/>
      </c>
      <c r="Q334" s="168" t="str">
        <f t="shared" si="426"/>
        <v/>
      </c>
      <c r="R334" s="168" t="str">
        <f t="shared" si="426"/>
        <v/>
      </c>
      <c r="S334" s="168" t="str">
        <f t="shared" si="426"/>
        <v/>
      </c>
      <c r="T334" s="168" t="str">
        <f t="shared" si="426"/>
        <v/>
      </c>
      <c r="U334" s="168" t="str">
        <f t="shared" si="426"/>
        <v/>
      </c>
      <c r="V334" s="168" t="str">
        <f t="shared" si="426"/>
        <v/>
      </c>
      <c r="W334" s="168" t="str">
        <f t="shared" si="426"/>
        <v/>
      </c>
      <c r="X334" s="113"/>
      <c r="Y334" s="202"/>
      <c r="Z334" s="114"/>
      <c r="AA334" s="168" t="str">
        <f t="shared" ref="AA334:AI334" si="427">IF(AA$26=0,"",INDEX(eindnorm_utiliteit_energielabel,MATCH(AA$19,gebruiksfuncties_namen,0)))</f>
        <v/>
      </c>
      <c r="AB334" s="168" t="str">
        <f t="shared" si="427"/>
        <v/>
      </c>
      <c r="AC334" s="168" t="str">
        <f t="shared" si="427"/>
        <v/>
      </c>
      <c r="AD334" s="168" t="str">
        <f t="shared" si="427"/>
        <v/>
      </c>
      <c r="AE334" s="168" t="str">
        <f t="shared" si="427"/>
        <v/>
      </c>
      <c r="AF334" s="168" t="str">
        <f t="shared" si="427"/>
        <v/>
      </c>
      <c r="AG334" s="168" t="str">
        <f t="shared" si="427"/>
        <v/>
      </c>
      <c r="AH334" s="168" t="str">
        <f t="shared" si="427"/>
        <v/>
      </c>
      <c r="AI334" s="168" t="str">
        <f t="shared" si="427"/>
        <v/>
      </c>
      <c r="AJ334" s="113"/>
      <c r="AK334" s="202"/>
      <c r="AL334" s="114"/>
      <c r="AM334" s="168" t="str">
        <f t="shared" ref="AM334:AU334" si="428">IF(AM$26=0,"",INDEX(eindnorm_utiliteit_energielabel,MATCH(AM$19,gebruiksfuncties_namen,0)))</f>
        <v/>
      </c>
      <c r="AN334" s="168" t="str">
        <f t="shared" si="428"/>
        <v/>
      </c>
      <c r="AO334" s="168" t="str">
        <f t="shared" si="428"/>
        <v/>
      </c>
      <c r="AP334" s="168" t="str">
        <f t="shared" si="428"/>
        <v/>
      </c>
      <c r="AQ334" s="168" t="str">
        <f t="shared" si="428"/>
        <v/>
      </c>
      <c r="AR334" s="168" t="str">
        <f t="shared" si="428"/>
        <v/>
      </c>
      <c r="AS334" s="168" t="str">
        <f t="shared" si="428"/>
        <v/>
      </c>
      <c r="AT334" s="168" t="str">
        <f t="shared" si="428"/>
        <v/>
      </c>
      <c r="AU334" s="168" t="str">
        <f t="shared" si="428"/>
        <v/>
      </c>
      <c r="AV334" s="113"/>
      <c r="AW334" s="202"/>
      <c r="AX334" s="114"/>
      <c r="AY334" s="168" t="str">
        <f t="shared" ref="AY334:BG334" si="429">IF(AY$26=0,"",INDEX(eindnorm_utiliteit_energielabel,MATCH(AY$19,gebruiksfuncties_namen,0)))</f>
        <v/>
      </c>
      <c r="AZ334" s="168" t="str">
        <f t="shared" si="429"/>
        <v/>
      </c>
      <c r="BA334" s="168" t="str">
        <f t="shared" si="429"/>
        <v/>
      </c>
      <c r="BB334" s="168" t="str">
        <f t="shared" si="429"/>
        <v/>
      </c>
      <c r="BC334" s="168" t="str">
        <f t="shared" si="429"/>
        <v/>
      </c>
      <c r="BD334" s="168" t="str">
        <f t="shared" si="429"/>
        <v/>
      </c>
      <c r="BE334" s="168" t="str">
        <f t="shared" si="429"/>
        <v/>
      </c>
      <c r="BF334" s="168" t="str">
        <f t="shared" si="429"/>
        <v/>
      </c>
      <c r="BG334" s="168" t="str">
        <f t="shared" si="429"/>
        <v/>
      </c>
      <c r="BH334" s="210"/>
    </row>
    <row r="335" spans="1:60">
      <c r="A335" s="1040"/>
      <c r="B335" s="1109" t="s">
        <v>1223</v>
      </c>
      <c r="C335" s="1106" t="s">
        <v>96</v>
      </c>
      <c r="D335" s="640" t="s">
        <v>45</v>
      </c>
      <c r="E335" s="942" t="s">
        <v>283</v>
      </c>
      <c r="F335" s="942"/>
      <c r="G335" s="942"/>
      <c r="H335" s="942"/>
      <c r="I335" s="129"/>
      <c r="J335" s="943"/>
      <c r="K335" s="126"/>
      <c r="L335" s="126"/>
      <c r="M335" s="944"/>
      <c r="N335" s="195"/>
      <c r="O335" s="258" t="str">
        <f>O$17</f>
        <v/>
      </c>
      <c r="P335" s="258" t="str">
        <f t="shared" ref="P335:W335" si="430">P$17</f>
        <v/>
      </c>
      <c r="Q335" s="258" t="str">
        <f t="shared" si="430"/>
        <v/>
      </c>
      <c r="R335" s="258" t="str">
        <f t="shared" si="430"/>
        <v/>
      </c>
      <c r="S335" s="258" t="str">
        <f t="shared" si="430"/>
        <v/>
      </c>
      <c r="T335" s="258" t="str">
        <f t="shared" si="430"/>
        <v/>
      </c>
      <c r="U335" s="258" t="str">
        <f t="shared" si="430"/>
        <v/>
      </c>
      <c r="V335" s="258" t="str">
        <f t="shared" si="430"/>
        <v/>
      </c>
      <c r="W335" s="258" t="str">
        <f t="shared" si="430"/>
        <v/>
      </c>
      <c r="X335" s="195"/>
      <c r="Y335" s="944"/>
      <c r="Z335" s="195"/>
      <c r="AA335" s="258" t="str">
        <f>AA$17</f>
        <v/>
      </c>
      <c r="AB335" s="258" t="str">
        <f t="shared" ref="AB335:AI335" si="431">AB$17</f>
        <v/>
      </c>
      <c r="AC335" s="258" t="str">
        <f t="shared" si="431"/>
        <v/>
      </c>
      <c r="AD335" s="258" t="str">
        <f t="shared" si="431"/>
        <v/>
      </c>
      <c r="AE335" s="258" t="str">
        <f t="shared" si="431"/>
        <v/>
      </c>
      <c r="AF335" s="258" t="str">
        <f t="shared" si="431"/>
        <v/>
      </c>
      <c r="AG335" s="258" t="str">
        <f t="shared" si="431"/>
        <v/>
      </c>
      <c r="AH335" s="258" t="str">
        <f t="shared" si="431"/>
        <v/>
      </c>
      <c r="AI335" s="258" t="str">
        <f t="shared" si="431"/>
        <v/>
      </c>
      <c r="AJ335" s="195"/>
      <c r="AK335" s="944"/>
      <c r="AL335" s="195"/>
      <c r="AM335" s="258" t="str">
        <f>AM$17</f>
        <v/>
      </c>
      <c r="AN335" s="258" t="str">
        <f t="shared" ref="AN335:AU335" si="432">AN$17</f>
        <v/>
      </c>
      <c r="AO335" s="258" t="str">
        <f t="shared" si="432"/>
        <v/>
      </c>
      <c r="AP335" s="258" t="str">
        <f t="shared" si="432"/>
        <v/>
      </c>
      <c r="AQ335" s="258" t="str">
        <f t="shared" si="432"/>
        <v/>
      </c>
      <c r="AR335" s="258" t="str">
        <f t="shared" si="432"/>
        <v/>
      </c>
      <c r="AS335" s="258" t="str">
        <f t="shared" si="432"/>
        <v/>
      </c>
      <c r="AT335" s="258" t="str">
        <f t="shared" si="432"/>
        <v/>
      </c>
      <c r="AU335" s="258" t="str">
        <f t="shared" si="432"/>
        <v/>
      </c>
      <c r="AV335" s="195"/>
      <c r="AW335" s="944"/>
      <c r="AX335" s="195"/>
      <c r="AY335" s="258" t="str">
        <f>AY$17</f>
        <v/>
      </c>
      <c r="AZ335" s="258" t="str">
        <f t="shared" ref="AZ335:BG335" si="433">AZ$17</f>
        <v/>
      </c>
      <c r="BA335" s="258" t="str">
        <f t="shared" si="433"/>
        <v/>
      </c>
      <c r="BB335" s="258" t="str">
        <f t="shared" si="433"/>
        <v/>
      </c>
      <c r="BC335" s="258" t="str">
        <f t="shared" si="433"/>
        <v/>
      </c>
      <c r="BD335" s="258" t="str">
        <f t="shared" si="433"/>
        <v/>
      </c>
      <c r="BE335" s="258" t="str">
        <f t="shared" si="433"/>
        <v/>
      </c>
      <c r="BF335" s="258" t="str">
        <f t="shared" si="433"/>
        <v/>
      </c>
      <c r="BG335" s="258" t="str">
        <f t="shared" si="433"/>
        <v/>
      </c>
      <c r="BH335" s="36"/>
    </row>
    <row r="336" spans="1:60">
      <c r="A336" s="1040"/>
      <c r="B336" s="1109" t="s">
        <v>1223</v>
      </c>
      <c r="C336" s="1107" t="s">
        <v>104</v>
      </c>
      <c r="D336" s="641"/>
      <c r="E336" s="203" t="s">
        <v>284</v>
      </c>
      <c r="F336" s="203"/>
      <c r="G336" s="203"/>
      <c r="H336" s="204" t="s">
        <v>154</v>
      </c>
      <c r="I336" s="205"/>
      <c r="J336" s="206"/>
      <c r="K336" s="79"/>
      <c r="L336" s="79"/>
      <c r="M336" s="206"/>
      <c r="N336" s="205"/>
      <c r="O336" s="542" t="str">
        <f t="shared" ref="O336:W336" si="434">IF(O$337="","",IF(O$337="nvt","nvt",
INDEX(standaardwaarde_basis,MATCH(O$19,standaardwaarden_gebruiksfuncties,0))+
MAX(0,O$32-1)*INDEX(standaardwaarde_extra_vraag_boven_grenswaarde_vormfactor,MATCH(O$19,standaardwaarden_gebruiksfuncties,0))))</f>
        <v/>
      </c>
      <c r="P336" s="542" t="str">
        <f t="shared" si="434"/>
        <v/>
      </c>
      <c r="Q336" s="542" t="str">
        <f t="shared" si="434"/>
        <v/>
      </c>
      <c r="R336" s="542" t="str">
        <f t="shared" si="434"/>
        <v/>
      </c>
      <c r="S336" s="542" t="str">
        <f t="shared" si="434"/>
        <v/>
      </c>
      <c r="T336" s="542" t="str">
        <f t="shared" si="434"/>
        <v/>
      </c>
      <c r="U336" s="542" t="str">
        <f t="shared" si="434"/>
        <v/>
      </c>
      <c r="V336" s="542" t="str">
        <f t="shared" si="434"/>
        <v/>
      </c>
      <c r="W336" s="542" t="str">
        <f t="shared" si="434"/>
        <v/>
      </c>
      <c r="X336" s="108"/>
      <c r="Y336" s="206"/>
      <c r="Z336" s="1091"/>
      <c r="AA336" s="542" t="str">
        <f t="shared" ref="AA336:AI336" si="435">IF(AA$337="","",IF(AA$337="nvt","nvt",
INDEX(standaardwaarde_basis,MATCH(AA$19,standaardwaarden_gebruiksfuncties,0))+
MAX(0,AA$32-1)*INDEX(standaardwaarde_extra_vraag_boven_grenswaarde_vormfactor,MATCH(AA$19,standaardwaarden_gebruiksfuncties,0))))</f>
        <v/>
      </c>
      <c r="AB336" s="542" t="str">
        <f t="shared" si="435"/>
        <v/>
      </c>
      <c r="AC336" s="542" t="str">
        <f t="shared" si="435"/>
        <v/>
      </c>
      <c r="AD336" s="542" t="str">
        <f t="shared" si="435"/>
        <v/>
      </c>
      <c r="AE336" s="542" t="str">
        <f t="shared" si="435"/>
        <v/>
      </c>
      <c r="AF336" s="542" t="str">
        <f t="shared" si="435"/>
        <v/>
      </c>
      <c r="AG336" s="542" t="str">
        <f t="shared" si="435"/>
        <v/>
      </c>
      <c r="AH336" s="542" t="str">
        <f t="shared" si="435"/>
        <v/>
      </c>
      <c r="AI336" s="542" t="str">
        <f t="shared" si="435"/>
        <v/>
      </c>
      <c r="AJ336" s="108"/>
      <c r="AK336" s="206"/>
      <c r="AL336" s="1091"/>
      <c r="AM336" s="542" t="str">
        <f t="shared" ref="AM336:AU336" si="436">IF(AM$337="","",IF(AM$337="nvt","nvt",
INDEX(standaardwaarde_basis,MATCH(AM$19,standaardwaarden_gebruiksfuncties,0))+
MAX(0,AM$32-1)*INDEX(standaardwaarde_extra_vraag_boven_grenswaarde_vormfactor,MATCH(AM$19,standaardwaarden_gebruiksfuncties,0))))</f>
        <v/>
      </c>
      <c r="AN336" s="542" t="str">
        <f t="shared" si="436"/>
        <v/>
      </c>
      <c r="AO336" s="542" t="str">
        <f t="shared" si="436"/>
        <v/>
      </c>
      <c r="AP336" s="542" t="str">
        <f t="shared" si="436"/>
        <v/>
      </c>
      <c r="AQ336" s="542" t="str">
        <f t="shared" si="436"/>
        <v/>
      </c>
      <c r="AR336" s="542" t="str">
        <f t="shared" si="436"/>
        <v/>
      </c>
      <c r="AS336" s="542" t="str">
        <f t="shared" si="436"/>
        <v/>
      </c>
      <c r="AT336" s="542" t="str">
        <f t="shared" si="436"/>
        <v/>
      </c>
      <c r="AU336" s="542" t="str">
        <f t="shared" si="436"/>
        <v/>
      </c>
      <c r="AV336" s="108"/>
      <c r="AW336" s="206"/>
      <c r="AX336" s="1091"/>
      <c r="AY336" s="542" t="str">
        <f t="shared" ref="AY336:BG336" si="437">IF(AY$337="","",IF(AY$337="nvt","nvt",
INDEX(standaardwaarde_basis,MATCH(AY$19,standaardwaarden_gebruiksfuncties,0))+
MAX(0,AY$32-1)*INDEX(standaardwaarde_extra_vraag_boven_grenswaarde_vormfactor,MATCH(AY$19,standaardwaarden_gebruiksfuncties,0))))</f>
        <v/>
      </c>
      <c r="AZ336" s="542" t="str">
        <f t="shared" si="437"/>
        <v/>
      </c>
      <c r="BA336" s="542" t="str">
        <f t="shared" si="437"/>
        <v/>
      </c>
      <c r="BB336" s="542" t="str">
        <f t="shared" si="437"/>
        <v/>
      </c>
      <c r="BC336" s="542" t="str">
        <f t="shared" si="437"/>
        <v/>
      </c>
      <c r="BD336" s="542" t="str">
        <f t="shared" si="437"/>
        <v/>
      </c>
      <c r="BE336" s="542" t="str">
        <f t="shared" si="437"/>
        <v/>
      </c>
      <c r="BF336" s="542" t="str">
        <f t="shared" si="437"/>
        <v/>
      </c>
      <c r="BG336" s="542" t="str">
        <f t="shared" si="437"/>
        <v/>
      </c>
      <c r="BH336" s="210"/>
    </row>
    <row r="337" spans="1:60">
      <c r="A337" s="1040"/>
      <c r="B337" s="1109" t="s">
        <v>1223</v>
      </c>
      <c r="C337" s="1107" t="s">
        <v>104</v>
      </c>
      <c r="D337" s="641"/>
      <c r="E337" s="203" t="s">
        <v>285</v>
      </c>
      <c r="F337" s="203"/>
      <c r="G337" s="203"/>
      <c r="H337" s="204" t="s">
        <v>154</v>
      </c>
      <c r="I337" s="205"/>
      <c r="J337" s="206"/>
      <c r="K337" s="79"/>
      <c r="L337" s="79"/>
      <c r="M337" s="206"/>
      <c r="N337" s="205"/>
      <c r="O337" s="542" t="str">
        <f t="shared" ref="O337:W337" si="438">IF(OR(O$17="",O$38="",O$40="",O$322=""),"",IF(OR(O$19=woning,O$19=woongebouw),O$269,"nvt"))</f>
        <v/>
      </c>
      <c r="P337" s="542" t="str">
        <f t="shared" si="438"/>
        <v/>
      </c>
      <c r="Q337" s="542" t="str">
        <f t="shared" si="438"/>
        <v/>
      </c>
      <c r="R337" s="542" t="str">
        <f t="shared" si="438"/>
        <v/>
      </c>
      <c r="S337" s="542" t="str">
        <f t="shared" si="438"/>
        <v/>
      </c>
      <c r="T337" s="542" t="str">
        <f t="shared" si="438"/>
        <v/>
      </c>
      <c r="U337" s="542" t="str">
        <f t="shared" si="438"/>
        <v/>
      </c>
      <c r="V337" s="542" t="str">
        <f t="shared" si="438"/>
        <v/>
      </c>
      <c r="W337" s="542" t="str">
        <f t="shared" si="438"/>
        <v/>
      </c>
      <c r="X337" s="108"/>
      <c r="Y337" s="206"/>
      <c r="Z337" s="1091"/>
      <c r="AA337" s="542" t="str">
        <f t="shared" ref="AA337:AI337" si="439">IF(OR(AA$17="",AA$38="",AA$40="",AA$322=""),"",IF(OR(AA$19=woning,AA$19=woongebouw),AA$269,"nvt"))</f>
        <v/>
      </c>
      <c r="AB337" s="542" t="str">
        <f t="shared" si="439"/>
        <v/>
      </c>
      <c r="AC337" s="542" t="str">
        <f t="shared" si="439"/>
        <v/>
      </c>
      <c r="AD337" s="542" t="str">
        <f t="shared" si="439"/>
        <v/>
      </c>
      <c r="AE337" s="542" t="str">
        <f t="shared" si="439"/>
        <v/>
      </c>
      <c r="AF337" s="542" t="str">
        <f t="shared" si="439"/>
        <v/>
      </c>
      <c r="AG337" s="542" t="str">
        <f t="shared" si="439"/>
        <v/>
      </c>
      <c r="AH337" s="542" t="str">
        <f t="shared" si="439"/>
        <v/>
      </c>
      <c r="AI337" s="542" t="str">
        <f t="shared" si="439"/>
        <v/>
      </c>
      <c r="AJ337" s="108"/>
      <c r="AK337" s="206"/>
      <c r="AL337" s="1091"/>
      <c r="AM337" s="542" t="str">
        <f t="shared" ref="AM337:AU337" si="440">IF(OR(AM$17="",AM$38="",AM$40="",AM$322=""),"",IF(OR(AM$19=woning,AM$19=woongebouw),AM$269,"nvt"))</f>
        <v/>
      </c>
      <c r="AN337" s="542" t="str">
        <f t="shared" si="440"/>
        <v/>
      </c>
      <c r="AO337" s="542" t="str">
        <f t="shared" si="440"/>
        <v/>
      </c>
      <c r="AP337" s="542" t="str">
        <f t="shared" si="440"/>
        <v/>
      </c>
      <c r="AQ337" s="542" t="str">
        <f t="shared" si="440"/>
        <v/>
      </c>
      <c r="AR337" s="542" t="str">
        <f t="shared" si="440"/>
        <v/>
      </c>
      <c r="AS337" s="542" t="str">
        <f t="shared" si="440"/>
        <v/>
      </c>
      <c r="AT337" s="542" t="str">
        <f t="shared" si="440"/>
        <v/>
      </c>
      <c r="AU337" s="542" t="str">
        <f t="shared" si="440"/>
        <v/>
      </c>
      <c r="AV337" s="108"/>
      <c r="AW337" s="206"/>
      <c r="AX337" s="1091"/>
      <c r="AY337" s="542" t="str">
        <f t="shared" ref="AY337:BG337" si="441">IF(OR(AY$17="",AY$38="",AY$40="",AY$322=""),"",IF(OR(AY$19=woning,AY$19=woongebouw),AY$269,"nvt"))</f>
        <v/>
      </c>
      <c r="AZ337" s="542" t="str">
        <f t="shared" si="441"/>
        <v/>
      </c>
      <c r="BA337" s="542" t="str">
        <f t="shared" si="441"/>
        <v/>
      </c>
      <c r="BB337" s="542" t="str">
        <f t="shared" si="441"/>
        <v/>
      </c>
      <c r="BC337" s="542" t="str">
        <f t="shared" si="441"/>
        <v/>
      </c>
      <c r="BD337" s="542" t="str">
        <f t="shared" si="441"/>
        <v/>
      </c>
      <c r="BE337" s="542" t="str">
        <f t="shared" si="441"/>
        <v/>
      </c>
      <c r="BF337" s="542" t="str">
        <f t="shared" si="441"/>
        <v/>
      </c>
      <c r="BG337" s="542" t="str">
        <f t="shared" si="441"/>
        <v/>
      </c>
      <c r="BH337" s="210"/>
    </row>
    <row r="338" spans="1:60">
      <c r="A338" s="1040"/>
      <c r="B338" s="1109" t="s">
        <v>1223</v>
      </c>
      <c r="C338" s="1106" t="s">
        <v>96</v>
      </c>
      <c r="D338" s="638"/>
      <c r="E338" s="942" t="s">
        <v>286</v>
      </c>
      <c r="F338" s="942"/>
      <c r="G338" s="942"/>
      <c r="H338" s="942"/>
      <c r="I338" s="129"/>
      <c r="J338" s="943"/>
      <c r="K338" s="126"/>
      <c r="L338" s="126"/>
      <c r="M338" s="944"/>
      <c r="N338" s="195"/>
      <c r="O338" s="258" t="str">
        <f>O$17</f>
        <v/>
      </c>
      <c r="P338" s="258" t="str">
        <f t="shared" ref="P338:W338" si="442">P$17</f>
        <v/>
      </c>
      <c r="Q338" s="258" t="str">
        <f t="shared" si="442"/>
        <v/>
      </c>
      <c r="R338" s="258" t="str">
        <f t="shared" si="442"/>
        <v/>
      </c>
      <c r="S338" s="258" t="str">
        <f t="shared" si="442"/>
        <v/>
      </c>
      <c r="T338" s="258" t="str">
        <f t="shared" si="442"/>
        <v/>
      </c>
      <c r="U338" s="258" t="str">
        <f t="shared" si="442"/>
        <v/>
      </c>
      <c r="V338" s="258" t="str">
        <f t="shared" si="442"/>
        <v/>
      </c>
      <c r="W338" s="258" t="str">
        <f t="shared" si="442"/>
        <v/>
      </c>
      <c r="X338" s="1092"/>
      <c r="Y338" s="944"/>
      <c r="Z338" s="1092"/>
      <c r="AA338" s="258" t="str">
        <f>AA$17</f>
        <v/>
      </c>
      <c r="AB338" s="258" t="str">
        <f t="shared" ref="AB338:AI338" si="443">AB$17</f>
        <v/>
      </c>
      <c r="AC338" s="258" t="str">
        <f t="shared" si="443"/>
        <v/>
      </c>
      <c r="AD338" s="258" t="str">
        <f t="shared" si="443"/>
        <v/>
      </c>
      <c r="AE338" s="258" t="str">
        <f t="shared" si="443"/>
        <v/>
      </c>
      <c r="AF338" s="258" t="str">
        <f t="shared" si="443"/>
        <v/>
      </c>
      <c r="AG338" s="258" t="str">
        <f t="shared" si="443"/>
        <v/>
      </c>
      <c r="AH338" s="258" t="str">
        <f t="shared" si="443"/>
        <v/>
      </c>
      <c r="AI338" s="258" t="str">
        <f t="shared" si="443"/>
        <v/>
      </c>
      <c r="AJ338" s="1092"/>
      <c r="AK338" s="944"/>
      <c r="AL338" s="1092"/>
      <c r="AM338" s="258" t="str">
        <f>AM$17</f>
        <v/>
      </c>
      <c r="AN338" s="258" t="str">
        <f t="shared" ref="AN338:AU338" si="444">AN$17</f>
        <v/>
      </c>
      <c r="AO338" s="258" t="str">
        <f t="shared" si="444"/>
        <v/>
      </c>
      <c r="AP338" s="258" t="str">
        <f t="shared" si="444"/>
        <v/>
      </c>
      <c r="AQ338" s="258" t="str">
        <f t="shared" si="444"/>
        <v/>
      </c>
      <c r="AR338" s="258" t="str">
        <f t="shared" si="444"/>
        <v/>
      </c>
      <c r="AS338" s="258" t="str">
        <f t="shared" si="444"/>
        <v/>
      </c>
      <c r="AT338" s="258" t="str">
        <f t="shared" si="444"/>
        <v/>
      </c>
      <c r="AU338" s="258" t="str">
        <f t="shared" si="444"/>
        <v/>
      </c>
      <c r="AV338" s="1092"/>
      <c r="AW338" s="944"/>
      <c r="AX338" s="1092"/>
      <c r="AY338" s="258" t="str">
        <f>AY$17</f>
        <v/>
      </c>
      <c r="AZ338" s="258" t="str">
        <f t="shared" ref="AZ338:BG338" si="445">AZ$17</f>
        <v/>
      </c>
      <c r="BA338" s="258" t="str">
        <f t="shared" si="445"/>
        <v/>
      </c>
      <c r="BB338" s="258" t="str">
        <f t="shared" si="445"/>
        <v/>
      </c>
      <c r="BC338" s="258" t="str">
        <f t="shared" si="445"/>
        <v/>
      </c>
      <c r="BD338" s="258" t="str">
        <f t="shared" si="445"/>
        <v/>
      </c>
      <c r="BE338" s="258" t="str">
        <f t="shared" si="445"/>
        <v/>
      </c>
      <c r="BF338" s="258" t="str">
        <f t="shared" si="445"/>
        <v/>
      </c>
      <c r="BG338" s="258" t="str">
        <f t="shared" si="445"/>
        <v/>
      </c>
      <c r="BH338" s="36"/>
    </row>
    <row r="339" spans="1:60">
      <c r="A339" s="1040"/>
      <c r="B339" s="1109" t="s">
        <v>1223</v>
      </c>
      <c r="C339" s="1107" t="s">
        <v>104</v>
      </c>
      <c r="D339" s="641"/>
      <c r="E339" s="203" t="s">
        <v>287</v>
      </c>
      <c r="F339" s="203"/>
      <c r="G339" s="203"/>
      <c r="H339" s="204" t="s">
        <v>154</v>
      </c>
      <c r="I339" s="205"/>
      <c r="J339" s="206"/>
      <c r="K339" s="79"/>
      <c r="L339" s="79"/>
      <c r="M339" s="206"/>
      <c r="N339" s="205"/>
      <c r="O339" s="542" t="str" cm="1">
        <f t="array" ref="O339">IF(O$337="","",IF(O$337="nvt","nvt",
INDEX(standaardwaarde_basis,MATCH(O$19,standaardwaarden_gebruiksfuncties,0)+1)+
MAX(0,O$32-1)*INDEX(standaardwaarde_extra_vraag_boven_grenswaarde_vormfactor,MATCH(O$19,standaardwaarden_gebruiksfuncties,0)+1)))</f>
        <v/>
      </c>
      <c r="P339" s="542" t="str" cm="1">
        <f t="array" ref="P339">IF(P$337="","",IF(P$337="nvt","nvt",
INDEX(standaardwaarde_basis,MATCH(P$19,standaardwaarden_gebruiksfuncties,0)+1)+
MAX(0,P$32-1)*INDEX(standaardwaarde_extra_vraag_boven_grenswaarde_vormfactor,MATCH(P$19,standaardwaarden_gebruiksfuncties,0)+1)))</f>
        <v/>
      </c>
      <c r="Q339" s="542" t="str" cm="1">
        <f t="array" ref="Q339">IF(Q$337="","",IF(Q$337="nvt","nvt",
INDEX(standaardwaarde_basis,MATCH(Q$19,standaardwaarden_gebruiksfuncties,0)+1)+
MAX(0,Q$32-1)*INDEX(standaardwaarde_extra_vraag_boven_grenswaarde_vormfactor,MATCH(Q$19,standaardwaarden_gebruiksfuncties,0)+1)))</f>
        <v/>
      </c>
      <c r="R339" s="542" t="str" cm="1">
        <f t="array" ref="R339">IF(R$337="","",IF(R$337="nvt","nvt",
INDEX(standaardwaarde_basis,MATCH(R$19,standaardwaarden_gebruiksfuncties,0)+1)+
MAX(0,R$32-1)*INDEX(standaardwaarde_extra_vraag_boven_grenswaarde_vormfactor,MATCH(R$19,standaardwaarden_gebruiksfuncties,0)+1)))</f>
        <v/>
      </c>
      <c r="S339" s="542" t="str" cm="1">
        <f t="array" ref="S339">IF(S$337="","",IF(S$337="nvt","nvt",
INDEX(standaardwaarde_basis,MATCH(S$19,standaardwaarden_gebruiksfuncties,0)+1)+
MAX(0,S$32-1)*INDEX(standaardwaarde_extra_vraag_boven_grenswaarde_vormfactor,MATCH(S$19,standaardwaarden_gebruiksfuncties,0)+1)))</f>
        <v/>
      </c>
      <c r="T339" s="542" t="str" cm="1">
        <f t="array" ref="T339">IF(T$337="","",IF(T$337="nvt","nvt",
INDEX(standaardwaarde_basis,MATCH(T$19,standaardwaarden_gebruiksfuncties,0)+1)+
MAX(0,T$32-1)*INDEX(standaardwaarde_extra_vraag_boven_grenswaarde_vormfactor,MATCH(T$19,standaardwaarden_gebruiksfuncties,0)+1)))</f>
        <v/>
      </c>
      <c r="U339" s="542" t="str" cm="1">
        <f t="array" ref="U339">IF(U$337="","",IF(U$337="nvt","nvt",
INDEX(standaardwaarde_basis,MATCH(U$19,standaardwaarden_gebruiksfuncties,0)+1)+
MAX(0,U$32-1)*INDEX(standaardwaarde_extra_vraag_boven_grenswaarde_vormfactor,MATCH(U$19,standaardwaarden_gebruiksfuncties,0)+1)))</f>
        <v/>
      </c>
      <c r="V339" s="542" t="str" cm="1">
        <f t="array" ref="V339">IF(V$337="","",IF(V$337="nvt","nvt",
INDEX(standaardwaarde_basis,MATCH(V$19,standaardwaarden_gebruiksfuncties,0)+1)+
MAX(0,V$32-1)*INDEX(standaardwaarde_extra_vraag_boven_grenswaarde_vormfactor,MATCH(V$19,standaardwaarden_gebruiksfuncties,0)+1)))</f>
        <v/>
      </c>
      <c r="W339" s="542" t="str" cm="1">
        <f t="array" ref="W339">IF(W$337="","",IF(W$337="nvt","nvt",
INDEX(standaardwaarde_basis,MATCH(W$19,standaardwaarden_gebruiksfuncties,0)+1)+
MAX(0,W$32-1)*INDEX(standaardwaarde_extra_vraag_boven_grenswaarde_vormfactor,MATCH(W$19,standaardwaarden_gebruiksfuncties,0)+1)))</f>
        <v/>
      </c>
      <c r="X339" s="108"/>
      <c r="Y339" s="206"/>
      <c r="Z339" s="1091"/>
      <c r="AA339" s="542" t="str" cm="1">
        <f t="array" ref="AA339">IF(AA$337="","",IF(AA$337="nvt","nvt",
INDEX(standaardwaarde_basis,MATCH(AA$19,standaardwaarden_gebruiksfuncties,0)+1)+
MAX(0,AA$32-1)*INDEX(standaardwaarde_extra_vraag_boven_grenswaarde_vormfactor,MATCH(AA$19,standaardwaarden_gebruiksfuncties,0)+1)))</f>
        <v/>
      </c>
      <c r="AB339" s="542" t="str" cm="1">
        <f t="array" ref="AB339">IF(AB$337="","",IF(AB$337="nvt","nvt",
INDEX(standaardwaarde_basis,MATCH(AB$19,standaardwaarden_gebruiksfuncties,0)+1)+
MAX(0,AB$32-1)*INDEX(standaardwaarde_extra_vraag_boven_grenswaarde_vormfactor,MATCH(AB$19,standaardwaarden_gebruiksfuncties,0)+1)))</f>
        <v/>
      </c>
      <c r="AC339" s="542" t="str" cm="1">
        <f t="array" ref="AC339">IF(AC$337="","",IF(AC$337="nvt","nvt",
INDEX(standaardwaarde_basis,MATCH(AC$19,standaardwaarden_gebruiksfuncties,0)+1)+
MAX(0,AC$32-1)*INDEX(standaardwaarde_extra_vraag_boven_grenswaarde_vormfactor,MATCH(AC$19,standaardwaarden_gebruiksfuncties,0)+1)))</f>
        <v/>
      </c>
      <c r="AD339" s="542" t="str" cm="1">
        <f t="array" ref="AD339">IF(AD$337="","",IF(AD$337="nvt","nvt",
INDEX(standaardwaarde_basis,MATCH(AD$19,standaardwaarden_gebruiksfuncties,0)+1)+
MAX(0,AD$32-1)*INDEX(standaardwaarde_extra_vraag_boven_grenswaarde_vormfactor,MATCH(AD$19,standaardwaarden_gebruiksfuncties,0)+1)))</f>
        <v/>
      </c>
      <c r="AE339" s="542" t="str" cm="1">
        <f t="array" ref="AE339">IF(AE$337="","",IF(AE$337="nvt","nvt",
INDEX(standaardwaarde_basis,MATCH(AE$19,standaardwaarden_gebruiksfuncties,0)+1)+
MAX(0,AE$32-1)*INDEX(standaardwaarde_extra_vraag_boven_grenswaarde_vormfactor,MATCH(AE$19,standaardwaarden_gebruiksfuncties,0)+1)))</f>
        <v/>
      </c>
      <c r="AF339" s="542" t="str" cm="1">
        <f t="array" ref="AF339">IF(AF$337="","",IF(AF$337="nvt","nvt",
INDEX(standaardwaarde_basis,MATCH(AF$19,standaardwaarden_gebruiksfuncties,0)+1)+
MAX(0,AF$32-1)*INDEX(standaardwaarde_extra_vraag_boven_grenswaarde_vormfactor,MATCH(AF$19,standaardwaarden_gebruiksfuncties,0)+1)))</f>
        <v/>
      </c>
      <c r="AG339" s="542" t="str" cm="1">
        <f t="array" ref="AG339">IF(AG$337="","",IF(AG$337="nvt","nvt",
INDEX(standaardwaarde_basis,MATCH(AG$19,standaardwaarden_gebruiksfuncties,0)+1)+
MAX(0,AG$32-1)*INDEX(standaardwaarde_extra_vraag_boven_grenswaarde_vormfactor,MATCH(AG$19,standaardwaarden_gebruiksfuncties,0)+1)))</f>
        <v/>
      </c>
      <c r="AH339" s="542" t="str" cm="1">
        <f t="array" ref="AH339">IF(AH$337="","",IF(AH$337="nvt","nvt",
INDEX(standaardwaarde_basis,MATCH(AH$19,standaardwaarden_gebruiksfuncties,0)+1)+
MAX(0,AH$32-1)*INDEX(standaardwaarde_extra_vraag_boven_grenswaarde_vormfactor,MATCH(AH$19,standaardwaarden_gebruiksfuncties,0)+1)))</f>
        <v/>
      </c>
      <c r="AI339" s="542" t="str" cm="1">
        <f t="array" ref="AI339">IF(AI$337="","",IF(AI$337="nvt","nvt",
INDEX(standaardwaarde_basis,MATCH(AI$19,standaardwaarden_gebruiksfuncties,0)+1)+
MAX(0,AI$32-1)*INDEX(standaardwaarde_extra_vraag_boven_grenswaarde_vormfactor,MATCH(AI$19,standaardwaarden_gebruiksfuncties,0)+1)))</f>
        <v/>
      </c>
      <c r="AJ339" s="108"/>
      <c r="AK339" s="206"/>
      <c r="AL339" s="1091"/>
      <c r="AM339" s="542" t="str" cm="1">
        <f t="array" ref="AM339">IF(AM$337="","",IF(AM$337="nvt","nvt",
INDEX(standaardwaarde_basis,MATCH(AM$19,standaardwaarden_gebruiksfuncties,0)+1)+
MAX(0,AM$32-1)*INDEX(standaardwaarde_extra_vraag_boven_grenswaarde_vormfactor,MATCH(AM$19,standaardwaarden_gebruiksfuncties,0)+1)))</f>
        <v/>
      </c>
      <c r="AN339" s="542" t="str" cm="1">
        <f t="array" ref="AN339">IF(AN$337="","",IF(AN$337="nvt","nvt",
INDEX(standaardwaarde_basis,MATCH(AN$19,standaardwaarden_gebruiksfuncties,0)+1)+
MAX(0,AN$32-1)*INDEX(standaardwaarde_extra_vraag_boven_grenswaarde_vormfactor,MATCH(AN$19,standaardwaarden_gebruiksfuncties,0)+1)))</f>
        <v/>
      </c>
      <c r="AO339" s="542" t="str" cm="1">
        <f t="array" ref="AO339">IF(AO$337="","",IF(AO$337="nvt","nvt",
INDEX(standaardwaarde_basis,MATCH(AO$19,standaardwaarden_gebruiksfuncties,0)+1)+
MAX(0,AO$32-1)*INDEX(standaardwaarde_extra_vraag_boven_grenswaarde_vormfactor,MATCH(AO$19,standaardwaarden_gebruiksfuncties,0)+1)))</f>
        <v/>
      </c>
      <c r="AP339" s="542" t="str" cm="1">
        <f t="array" ref="AP339">IF(AP$337="","",IF(AP$337="nvt","nvt",
INDEX(standaardwaarde_basis,MATCH(AP$19,standaardwaarden_gebruiksfuncties,0)+1)+
MAX(0,AP$32-1)*INDEX(standaardwaarde_extra_vraag_boven_grenswaarde_vormfactor,MATCH(AP$19,standaardwaarden_gebruiksfuncties,0)+1)))</f>
        <v/>
      </c>
      <c r="AQ339" s="542" t="str" cm="1">
        <f t="array" ref="AQ339">IF(AQ$337="","",IF(AQ$337="nvt","nvt",
INDEX(standaardwaarde_basis,MATCH(AQ$19,standaardwaarden_gebruiksfuncties,0)+1)+
MAX(0,AQ$32-1)*INDEX(standaardwaarde_extra_vraag_boven_grenswaarde_vormfactor,MATCH(AQ$19,standaardwaarden_gebruiksfuncties,0)+1)))</f>
        <v/>
      </c>
      <c r="AR339" s="542" t="str" cm="1">
        <f t="array" ref="AR339">IF(AR$337="","",IF(AR$337="nvt","nvt",
INDEX(standaardwaarde_basis,MATCH(AR$19,standaardwaarden_gebruiksfuncties,0)+1)+
MAX(0,AR$32-1)*INDEX(standaardwaarde_extra_vraag_boven_grenswaarde_vormfactor,MATCH(AR$19,standaardwaarden_gebruiksfuncties,0)+1)))</f>
        <v/>
      </c>
      <c r="AS339" s="542" t="str" cm="1">
        <f t="array" ref="AS339">IF(AS$337="","",IF(AS$337="nvt","nvt",
INDEX(standaardwaarde_basis,MATCH(AS$19,standaardwaarden_gebruiksfuncties,0)+1)+
MAX(0,AS$32-1)*INDEX(standaardwaarde_extra_vraag_boven_grenswaarde_vormfactor,MATCH(AS$19,standaardwaarden_gebruiksfuncties,0)+1)))</f>
        <v/>
      </c>
      <c r="AT339" s="542" t="str" cm="1">
        <f t="array" ref="AT339">IF(AT$337="","",IF(AT$337="nvt","nvt",
INDEX(standaardwaarde_basis,MATCH(AT$19,standaardwaarden_gebruiksfuncties,0)+1)+
MAX(0,AT$32-1)*INDEX(standaardwaarde_extra_vraag_boven_grenswaarde_vormfactor,MATCH(AT$19,standaardwaarden_gebruiksfuncties,0)+1)))</f>
        <v/>
      </c>
      <c r="AU339" s="542" t="str" cm="1">
        <f t="array" ref="AU339">IF(AU$337="","",IF(AU$337="nvt","nvt",
INDEX(standaardwaarde_basis,MATCH(AU$19,standaardwaarden_gebruiksfuncties,0)+1)+
MAX(0,AU$32-1)*INDEX(standaardwaarde_extra_vraag_boven_grenswaarde_vormfactor,MATCH(AU$19,standaardwaarden_gebruiksfuncties,0)+1)))</f>
        <v/>
      </c>
      <c r="AV339" s="108"/>
      <c r="AW339" s="206"/>
      <c r="AX339" s="1091"/>
      <c r="AY339" s="542" t="str" cm="1">
        <f t="array" ref="AY339">IF(AY$337="","",IF(AY$337="nvt","nvt",
INDEX(standaardwaarde_basis,MATCH(AY$19,standaardwaarden_gebruiksfuncties,0)+1)+
MAX(0,AY$32-1)*INDEX(standaardwaarde_extra_vraag_boven_grenswaarde_vormfactor,MATCH(AY$19,standaardwaarden_gebruiksfuncties,0)+1)))</f>
        <v/>
      </c>
      <c r="AZ339" s="542" t="str" cm="1">
        <f t="array" ref="AZ339">IF(AZ$337="","",IF(AZ$337="nvt","nvt",
INDEX(standaardwaarde_basis,MATCH(AZ$19,standaardwaarden_gebruiksfuncties,0)+1)+
MAX(0,AZ$32-1)*INDEX(standaardwaarde_extra_vraag_boven_grenswaarde_vormfactor,MATCH(AZ$19,standaardwaarden_gebruiksfuncties,0)+1)))</f>
        <v/>
      </c>
      <c r="BA339" s="542" t="str" cm="1">
        <f t="array" ref="BA339">IF(BA$337="","",IF(BA$337="nvt","nvt",
INDEX(standaardwaarde_basis,MATCH(BA$19,standaardwaarden_gebruiksfuncties,0)+1)+
MAX(0,BA$32-1)*INDEX(standaardwaarde_extra_vraag_boven_grenswaarde_vormfactor,MATCH(BA$19,standaardwaarden_gebruiksfuncties,0)+1)))</f>
        <v/>
      </c>
      <c r="BB339" s="542" t="str" cm="1">
        <f t="array" ref="BB339">IF(BB$337="","",IF(BB$337="nvt","nvt",
INDEX(standaardwaarde_basis,MATCH(BB$19,standaardwaarden_gebruiksfuncties,0)+1)+
MAX(0,BB$32-1)*INDEX(standaardwaarde_extra_vraag_boven_grenswaarde_vormfactor,MATCH(BB$19,standaardwaarden_gebruiksfuncties,0)+1)))</f>
        <v/>
      </c>
      <c r="BC339" s="542" t="str" cm="1">
        <f t="array" ref="BC339">IF(BC$337="","",IF(BC$337="nvt","nvt",
INDEX(standaardwaarde_basis,MATCH(BC$19,standaardwaarden_gebruiksfuncties,0)+1)+
MAX(0,BC$32-1)*INDEX(standaardwaarde_extra_vraag_boven_grenswaarde_vormfactor,MATCH(BC$19,standaardwaarden_gebruiksfuncties,0)+1)))</f>
        <v/>
      </c>
      <c r="BD339" s="542" t="str" cm="1">
        <f t="array" ref="BD339">IF(BD$337="","",IF(BD$337="nvt","nvt",
INDEX(standaardwaarde_basis,MATCH(BD$19,standaardwaarden_gebruiksfuncties,0)+1)+
MAX(0,BD$32-1)*INDEX(standaardwaarde_extra_vraag_boven_grenswaarde_vormfactor,MATCH(BD$19,standaardwaarden_gebruiksfuncties,0)+1)))</f>
        <v/>
      </c>
      <c r="BE339" s="542" t="str" cm="1">
        <f t="array" ref="BE339">IF(BE$337="","",IF(BE$337="nvt","nvt",
INDEX(standaardwaarde_basis,MATCH(BE$19,standaardwaarden_gebruiksfuncties,0)+1)+
MAX(0,BE$32-1)*INDEX(standaardwaarde_extra_vraag_boven_grenswaarde_vormfactor,MATCH(BE$19,standaardwaarden_gebruiksfuncties,0)+1)))</f>
        <v/>
      </c>
      <c r="BF339" s="542" t="str" cm="1">
        <f t="array" ref="BF339">IF(BF$337="","",IF(BF$337="nvt","nvt",
INDEX(standaardwaarde_basis,MATCH(BF$19,standaardwaarden_gebruiksfuncties,0)+1)+
MAX(0,BF$32-1)*INDEX(standaardwaarde_extra_vraag_boven_grenswaarde_vormfactor,MATCH(BF$19,standaardwaarden_gebruiksfuncties,0)+1)))</f>
        <v/>
      </c>
      <c r="BG339" s="542" t="str" cm="1">
        <f t="array" ref="BG339">IF(BG$337="","",IF(BG$337="nvt","nvt",
INDEX(standaardwaarde_basis,MATCH(BG$19,standaardwaarden_gebruiksfuncties,0)+1)+
MAX(0,BG$32-1)*INDEX(standaardwaarde_extra_vraag_boven_grenswaarde_vormfactor,MATCH(BG$19,standaardwaarden_gebruiksfuncties,0)+1)))</f>
        <v/>
      </c>
      <c r="BH339" s="210"/>
    </row>
    <row r="340" spans="1:60">
      <c r="A340" s="1040"/>
      <c r="B340" s="1109" t="s">
        <v>1223</v>
      </c>
      <c r="C340" s="1107" t="s">
        <v>104</v>
      </c>
      <c r="D340" s="641"/>
      <c r="E340" s="203" t="s">
        <v>285</v>
      </c>
      <c r="F340" s="203"/>
      <c r="G340" s="203"/>
      <c r="H340" s="204" t="s">
        <v>154</v>
      </c>
      <c r="I340" s="205"/>
      <c r="J340" s="206"/>
      <c r="K340" s="79"/>
      <c r="L340" s="79"/>
      <c r="M340" s="206"/>
      <c r="N340" s="205"/>
      <c r="O340" s="542" t="str">
        <f t="shared" ref="O340:W340" si="446">IF(OR(O$17="",O$38="",O$40="",O$322=""),"",IF(OR(O$19=woning,O$19=woongebouw),O$269,"nvt"))</f>
        <v/>
      </c>
      <c r="P340" s="542" t="str">
        <f t="shared" si="446"/>
        <v/>
      </c>
      <c r="Q340" s="542" t="str">
        <f t="shared" si="446"/>
        <v/>
      </c>
      <c r="R340" s="542" t="str">
        <f t="shared" si="446"/>
        <v/>
      </c>
      <c r="S340" s="542" t="str">
        <f t="shared" si="446"/>
        <v/>
      </c>
      <c r="T340" s="542" t="str">
        <f t="shared" si="446"/>
        <v/>
      </c>
      <c r="U340" s="542" t="str">
        <f t="shared" si="446"/>
        <v/>
      </c>
      <c r="V340" s="542" t="str">
        <f t="shared" si="446"/>
        <v/>
      </c>
      <c r="W340" s="542" t="str">
        <f t="shared" si="446"/>
        <v/>
      </c>
      <c r="X340" s="108"/>
      <c r="Y340" s="206"/>
      <c r="Z340" s="1091"/>
      <c r="AA340" s="542" t="str">
        <f t="shared" ref="AA340:AI340" si="447">IF(OR(AA$17="",AA$38="",AA$40="",AA$322=""),"",IF(OR(AA$19=woning,AA$19=woongebouw),AA$269,"nvt"))</f>
        <v/>
      </c>
      <c r="AB340" s="542" t="str">
        <f t="shared" si="447"/>
        <v/>
      </c>
      <c r="AC340" s="542" t="str">
        <f t="shared" si="447"/>
        <v/>
      </c>
      <c r="AD340" s="542" t="str">
        <f t="shared" si="447"/>
        <v/>
      </c>
      <c r="AE340" s="542" t="str">
        <f t="shared" si="447"/>
        <v/>
      </c>
      <c r="AF340" s="542" t="str">
        <f t="shared" si="447"/>
        <v/>
      </c>
      <c r="AG340" s="542" t="str">
        <f t="shared" si="447"/>
        <v/>
      </c>
      <c r="AH340" s="542" t="str">
        <f t="shared" si="447"/>
        <v/>
      </c>
      <c r="AI340" s="542" t="str">
        <f t="shared" si="447"/>
        <v/>
      </c>
      <c r="AJ340" s="108"/>
      <c r="AK340" s="206"/>
      <c r="AL340" s="1091"/>
      <c r="AM340" s="542" t="str">
        <f t="shared" ref="AM340:AU340" si="448">IF(OR(AM$17="",AM$38="",AM$40="",AM$322=""),"",IF(OR(AM$19=woning,AM$19=woongebouw),AM$269,"nvt"))</f>
        <v/>
      </c>
      <c r="AN340" s="542" t="str">
        <f t="shared" si="448"/>
        <v/>
      </c>
      <c r="AO340" s="542" t="str">
        <f t="shared" si="448"/>
        <v/>
      </c>
      <c r="AP340" s="542" t="str">
        <f t="shared" si="448"/>
        <v/>
      </c>
      <c r="AQ340" s="542" t="str">
        <f t="shared" si="448"/>
        <v/>
      </c>
      <c r="AR340" s="542" t="str">
        <f t="shared" si="448"/>
        <v/>
      </c>
      <c r="AS340" s="542" t="str">
        <f t="shared" si="448"/>
        <v/>
      </c>
      <c r="AT340" s="542" t="str">
        <f t="shared" si="448"/>
        <v/>
      </c>
      <c r="AU340" s="542" t="str">
        <f t="shared" si="448"/>
        <v/>
      </c>
      <c r="AV340" s="108"/>
      <c r="AW340" s="206"/>
      <c r="AX340" s="1091"/>
      <c r="AY340" s="542" t="str">
        <f t="shared" ref="AY340:BG340" si="449">IF(OR(AY$17="",AY$38="",AY$40="",AY$322=""),"",IF(OR(AY$19=woning,AY$19=woongebouw),AY$269,"nvt"))</f>
        <v/>
      </c>
      <c r="AZ340" s="542" t="str">
        <f t="shared" si="449"/>
        <v/>
      </c>
      <c r="BA340" s="542" t="str">
        <f t="shared" si="449"/>
        <v/>
      </c>
      <c r="BB340" s="542" t="str">
        <f t="shared" si="449"/>
        <v/>
      </c>
      <c r="BC340" s="542" t="str">
        <f t="shared" si="449"/>
        <v/>
      </c>
      <c r="BD340" s="542" t="str">
        <f t="shared" si="449"/>
        <v/>
      </c>
      <c r="BE340" s="542" t="str">
        <f t="shared" si="449"/>
        <v/>
      </c>
      <c r="BF340" s="542" t="str">
        <f t="shared" si="449"/>
        <v/>
      </c>
      <c r="BG340" s="542" t="str">
        <f t="shared" si="449"/>
        <v/>
      </c>
      <c r="BH340" s="210"/>
    </row>
    <row r="341" spans="1:60">
      <c r="A341" s="1040"/>
      <c r="B341" s="1109" t="s">
        <v>1223</v>
      </c>
      <c r="C341" s="1106" t="s">
        <v>96</v>
      </c>
      <c r="D341" s="638"/>
      <c r="E341" s="79"/>
      <c r="F341" s="79"/>
      <c r="G341" s="79"/>
      <c r="H341" s="85"/>
      <c r="I341" s="79"/>
      <c r="J341" s="82"/>
      <c r="K341" s="79"/>
      <c r="L341" s="79"/>
      <c r="M341" s="82"/>
      <c r="N341" s="79"/>
      <c r="O341" s="108"/>
      <c r="P341" s="108"/>
      <c r="Q341" s="108"/>
      <c r="R341" s="108"/>
      <c r="S341" s="108"/>
      <c r="T341" s="108"/>
      <c r="U341" s="108"/>
      <c r="V341" s="108"/>
      <c r="W341" s="108"/>
      <c r="X341" s="82"/>
      <c r="Y341" s="82"/>
      <c r="Z341" s="79"/>
      <c r="AA341" s="108"/>
      <c r="AB341" s="108"/>
      <c r="AC341" s="108"/>
      <c r="AD341" s="108"/>
      <c r="AE341" s="108"/>
      <c r="AF341" s="108"/>
      <c r="AG341" s="108"/>
      <c r="AH341" s="108"/>
      <c r="AI341" s="108"/>
      <c r="AJ341" s="82"/>
      <c r="AK341" s="82"/>
      <c r="AL341" s="79"/>
      <c r="AM341" s="108"/>
      <c r="AN341" s="108"/>
      <c r="AO341" s="108"/>
      <c r="AP341" s="108"/>
      <c r="AQ341" s="108"/>
      <c r="AR341" s="108"/>
      <c r="AS341" s="108"/>
      <c r="AT341" s="108"/>
      <c r="AU341" s="108"/>
      <c r="AV341" s="82"/>
      <c r="AW341" s="82"/>
      <c r="AX341" s="79"/>
      <c r="AY341" s="108"/>
      <c r="AZ341" s="108"/>
      <c r="BA341" s="108"/>
      <c r="BB341" s="108"/>
      <c r="BC341" s="108"/>
      <c r="BD341" s="108"/>
      <c r="BE341" s="108"/>
      <c r="BF341" s="108"/>
      <c r="BG341" s="108"/>
      <c r="BH341" s="1"/>
    </row>
    <row r="342" spans="1:60">
      <c r="A342" s="1040"/>
      <c r="B342" s="1109" t="s">
        <v>1224</v>
      </c>
      <c r="C342" s="1107" t="s">
        <v>96</v>
      </c>
      <c r="D342" s="638"/>
      <c r="E342" s="79"/>
      <c r="F342" s="79"/>
      <c r="G342" s="79"/>
      <c r="H342" s="85"/>
      <c r="I342" s="79"/>
      <c r="J342" s="82"/>
      <c r="K342" s="79"/>
      <c r="L342" s="79"/>
      <c r="M342" s="82"/>
      <c r="N342" s="79"/>
      <c r="O342" s="82"/>
      <c r="P342" s="82"/>
      <c r="Q342" s="82"/>
      <c r="R342" s="82"/>
      <c r="S342" s="82"/>
      <c r="T342" s="82"/>
      <c r="U342" s="82"/>
      <c r="V342" s="82"/>
      <c r="W342" s="82"/>
      <c r="X342" s="82"/>
      <c r="Y342" s="82"/>
      <c r="Z342" s="79"/>
      <c r="AA342" s="82"/>
      <c r="AB342" s="82"/>
      <c r="AC342" s="82"/>
      <c r="AD342" s="82"/>
      <c r="AE342" s="82"/>
      <c r="AF342" s="82"/>
      <c r="AG342" s="82"/>
      <c r="AH342" s="82"/>
      <c r="AI342" s="82"/>
      <c r="AJ342" s="82"/>
      <c r="AK342" s="82"/>
      <c r="AL342" s="79"/>
      <c r="AM342" s="82"/>
      <c r="AN342" s="82"/>
      <c r="AO342" s="82"/>
      <c r="AP342" s="82"/>
      <c r="AQ342" s="82"/>
      <c r="AR342" s="82"/>
      <c r="AS342" s="82"/>
      <c r="AT342" s="82"/>
      <c r="AU342" s="82"/>
      <c r="AV342" s="82"/>
      <c r="AW342" s="82"/>
      <c r="AX342" s="79"/>
      <c r="AY342" s="82"/>
      <c r="AZ342" s="82"/>
      <c r="BA342" s="82"/>
      <c r="BB342" s="82"/>
      <c r="BC342" s="82"/>
      <c r="BD342" s="82"/>
      <c r="BE342" s="82"/>
      <c r="BF342" s="82"/>
      <c r="BG342" s="82"/>
      <c r="BH342" s="1"/>
    </row>
    <row r="343" spans="1:60" s="2" customFormat="1" ht="21">
      <c r="A343" s="1038"/>
      <c r="B343" s="1109" t="s">
        <v>1224</v>
      </c>
      <c r="C343" s="1106" t="s">
        <v>96</v>
      </c>
      <c r="D343" s="640" t="s">
        <v>45</v>
      </c>
      <c r="E343" s="209" t="s">
        <v>1361</v>
      </c>
      <c r="F343" s="209"/>
      <c r="G343" s="209"/>
      <c r="H343" s="209"/>
      <c r="I343" s="129"/>
      <c r="J343" s="256" t="str">
        <f>"ton CO2 "&amp;J$8</f>
        <v>ton CO2 alle locaties</v>
      </c>
      <c r="K343" s="126"/>
      <c r="L343" s="126"/>
      <c r="M343" s="256" t="str">
        <f>"ton CO2 "&amp;M$8</f>
        <v>ton CO2 locatie 1</v>
      </c>
      <c r="N343" s="182"/>
      <c r="O343" s="955" t="str">
        <f>$E343&amp;" per woning-/gebouwtype"</f>
        <v>CO2 emissie indicatie op basis van berekening fossiel per woning-/gebouwtype</v>
      </c>
      <c r="P343" s="945"/>
      <c r="Q343" s="945"/>
      <c r="R343" s="945"/>
      <c r="S343" s="945"/>
      <c r="T343" s="945"/>
      <c r="U343" s="945"/>
      <c r="V343" s="945"/>
      <c r="W343" s="257"/>
      <c r="X343" s="174"/>
      <c r="Y343" s="256" t="str">
        <f>"ton CO2 "&amp;Y$8</f>
        <v>ton CO2 locatie 2</v>
      </c>
      <c r="Z343" s="182"/>
      <c r="AA343" s="955" t="str">
        <f>$E343&amp;" per woning-/gebouwtype"</f>
        <v>CO2 emissie indicatie op basis van berekening fossiel per woning-/gebouwtype</v>
      </c>
      <c r="AB343" s="945"/>
      <c r="AC343" s="945"/>
      <c r="AD343" s="945"/>
      <c r="AE343" s="945"/>
      <c r="AF343" s="945"/>
      <c r="AG343" s="945"/>
      <c r="AH343" s="945"/>
      <c r="AI343" s="257"/>
      <c r="AJ343" s="174"/>
      <c r="AK343" s="256" t="str">
        <f>"ton CO2 "&amp;AK$8</f>
        <v>ton CO2 locatie 3</v>
      </c>
      <c r="AL343" s="182"/>
      <c r="AM343" s="955" t="str">
        <f>$E343&amp;" per woning-/gebouwtype"</f>
        <v>CO2 emissie indicatie op basis van berekening fossiel per woning-/gebouwtype</v>
      </c>
      <c r="AN343" s="945"/>
      <c r="AO343" s="945"/>
      <c r="AP343" s="945"/>
      <c r="AQ343" s="945"/>
      <c r="AR343" s="945"/>
      <c r="AS343" s="945"/>
      <c r="AT343" s="945"/>
      <c r="AU343" s="257"/>
      <c r="AV343" s="174"/>
      <c r="AW343" s="256" t="str">
        <f>"ton CO2 "&amp;AW$8</f>
        <v>ton CO2 locatie 4</v>
      </c>
      <c r="AX343" s="182"/>
      <c r="AY343" s="955" t="str">
        <f>$E343&amp;" per woning-/gebouwtype"</f>
        <v>CO2 emissie indicatie op basis van berekening fossiel per woning-/gebouwtype</v>
      </c>
      <c r="AZ343" s="945"/>
      <c r="BA343" s="945"/>
      <c r="BB343" s="945"/>
      <c r="BC343" s="945"/>
      <c r="BD343" s="945"/>
      <c r="BE343" s="945"/>
      <c r="BF343" s="945"/>
      <c r="BG343" s="257"/>
      <c r="BH343" s="1"/>
    </row>
    <row r="344" spans="1:60">
      <c r="A344" s="1040"/>
      <c r="B344" s="1109" t="s">
        <v>1224</v>
      </c>
      <c r="C344" s="1106" t="s">
        <v>96</v>
      </c>
      <c r="D344" s="638"/>
      <c r="E344" s="942" t="s">
        <v>288</v>
      </c>
      <c r="F344" s="942"/>
      <c r="G344" s="942"/>
      <c r="H344" s="942"/>
      <c r="I344" s="129"/>
      <c r="J344" s="943"/>
      <c r="K344" s="126"/>
      <c r="L344" s="126"/>
      <c r="M344" s="944"/>
      <c r="N344" s="195"/>
      <c r="O344" s="258" t="str">
        <f>O$17</f>
        <v/>
      </c>
      <c r="P344" s="258" t="str">
        <f t="shared" ref="P344:W344" si="450">P$17</f>
        <v/>
      </c>
      <c r="Q344" s="258" t="str">
        <f t="shared" si="450"/>
        <v/>
      </c>
      <c r="R344" s="258" t="str">
        <f t="shared" si="450"/>
        <v/>
      </c>
      <c r="S344" s="258" t="str">
        <f t="shared" si="450"/>
        <v/>
      </c>
      <c r="T344" s="258" t="str">
        <f t="shared" si="450"/>
        <v/>
      </c>
      <c r="U344" s="258" t="str">
        <f t="shared" si="450"/>
        <v/>
      </c>
      <c r="V344" s="258" t="str">
        <f t="shared" si="450"/>
        <v/>
      </c>
      <c r="W344" s="258" t="str">
        <f t="shared" si="450"/>
        <v/>
      </c>
      <c r="X344" s="195"/>
      <c r="Y344" s="944"/>
      <c r="Z344" s="195"/>
      <c r="AA344" s="258" t="str">
        <f>AA$17</f>
        <v/>
      </c>
      <c r="AB344" s="258" t="str">
        <f t="shared" ref="AB344:AI344" si="451">AB$17</f>
        <v/>
      </c>
      <c r="AC344" s="258" t="str">
        <f t="shared" si="451"/>
        <v/>
      </c>
      <c r="AD344" s="258" t="str">
        <f t="shared" si="451"/>
        <v/>
      </c>
      <c r="AE344" s="258" t="str">
        <f t="shared" si="451"/>
        <v/>
      </c>
      <c r="AF344" s="258" t="str">
        <f t="shared" si="451"/>
        <v/>
      </c>
      <c r="AG344" s="258" t="str">
        <f t="shared" si="451"/>
        <v/>
      </c>
      <c r="AH344" s="258" t="str">
        <f t="shared" si="451"/>
        <v/>
      </c>
      <c r="AI344" s="258" t="str">
        <f t="shared" si="451"/>
        <v/>
      </c>
      <c r="AJ344" s="195"/>
      <c r="AK344" s="944"/>
      <c r="AL344" s="195"/>
      <c r="AM344" s="258" t="str">
        <f>AM$17</f>
        <v/>
      </c>
      <c r="AN344" s="258" t="str">
        <f t="shared" ref="AN344:AU344" si="452">AN$17</f>
        <v/>
      </c>
      <c r="AO344" s="258" t="str">
        <f t="shared" si="452"/>
        <v/>
      </c>
      <c r="AP344" s="258" t="str">
        <f t="shared" si="452"/>
        <v/>
      </c>
      <c r="AQ344" s="258" t="str">
        <f t="shared" si="452"/>
        <v/>
      </c>
      <c r="AR344" s="258" t="str">
        <f t="shared" si="452"/>
        <v/>
      </c>
      <c r="AS344" s="258" t="str">
        <f t="shared" si="452"/>
        <v/>
      </c>
      <c r="AT344" s="258" t="str">
        <f t="shared" si="452"/>
        <v/>
      </c>
      <c r="AU344" s="258" t="str">
        <f t="shared" si="452"/>
        <v/>
      </c>
      <c r="AV344" s="195"/>
      <c r="AW344" s="944"/>
      <c r="AX344" s="195"/>
      <c r="AY344" s="258" t="str">
        <f>AY$17</f>
        <v/>
      </c>
      <c r="AZ344" s="258" t="str">
        <f t="shared" ref="AZ344:BG344" si="453">AZ$17</f>
        <v/>
      </c>
      <c r="BA344" s="258" t="str">
        <f t="shared" si="453"/>
        <v/>
      </c>
      <c r="BB344" s="258" t="str">
        <f t="shared" si="453"/>
        <v/>
      </c>
      <c r="BC344" s="258" t="str">
        <f t="shared" si="453"/>
        <v/>
      </c>
      <c r="BD344" s="258" t="str">
        <f t="shared" si="453"/>
        <v/>
      </c>
      <c r="BE344" s="258" t="str">
        <f t="shared" si="453"/>
        <v/>
      </c>
      <c r="BF344" s="258" t="str">
        <f t="shared" si="453"/>
        <v/>
      </c>
      <c r="BG344" s="258" t="str">
        <f t="shared" si="453"/>
        <v/>
      </c>
      <c r="BH344" s="36"/>
    </row>
    <row r="345" spans="1:60" s="2" customFormat="1">
      <c r="A345" s="1038"/>
      <c r="B345" s="1110" t="s">
        <v>1224</v>
      </c>
      <c r="C345" s="1106" t="s">
        <v>104</v>
      </c>
      <c r="D345" s="645"/>
      <c r="E345" s="304" t="str">
        <f>$O$10</f>
        <v>verwarming</v>
      </c>
      <c r="F345" s="203"/>
      <c r="G345" s="203"/>
      <c r="H345" s="204" t="s">
        <v>289</v>
      </c>
      <c r="I345" s="205"/>
      <c r="J345" s="206">
        <f t="shared" ref="J345:J353" si="454">M345+Y345+AK345+AW345</f>
        <v>0</v>
      </c>
      <c r="K345" s="220"/>
      <c r="L345" s="220"/>
      <c r="M345" s="206">
        <f t="shared" ref="M345:M352" si="455">SUMPRODUCT(N345:X345,N$22:X$22,N$29:X$29)/1000</f>
        <v>0</v>
      </c>
      <c r="N345" s="220"/>
      <c r="O345" s="1093">
        <f t="shared" ref="O345:W345" si="456">IF($O$78=0,0,
($O$130+$O$161+$O$181)/$O$78*O62)</f>
        <v>0</v>
      </c>
      <c r="P345" s="1093">
        <f t="shared" si="456"/>
        <v>0</v>
      </c>
      <c r="Q345" s="1093">
        <f t="shared" si="456"/>
        <v>0</v>
      </c>
      <c r="R345" s="1093">
        <f t="shared" si="456"/>
        <v>0</v>
      </c>
      <c r="S345" s="1093">
        <f t="shared" si="456"/>
        <v>0</v>
      </c>
      <c r="T345" s="1093">
        <f t="shared" si="456"/>
        <v>0</v>
      </c>
      <c r="U345" s="1093">
        <f t="shared" si="456"/>
        <v>0</v>
      </c>
      <c r="V345" s="1093">
        <f t="shared" si="456"/>
        <v>0</v>
      </c>
      <c r="W345" s="1093">
        <f t="shared" si="456"/>
        <v>0</v>
      </c>
      <c r="X345" s="174"/>
      <c r="Y345" s="206">
        <f t="shared" ref="Y345:Y352" si="457">SUMPRODUCT(Z345:AJ345,Z$22:AJ$22,Z$29:AJ$29)/1000</f>
        <v>0</v>
      </c>
      <c r="Z345" s="220"/>
      <c r="AA345" s="1093">
        <f t="shared" ref="AA345:AI345" si="458">IF($AA$78=0,0,
($AA$130+$AA$161+$AA$181)/$AA$78*AA62)</f>
        <v>0</v>
      </c>
      <c r="AB345" s="1093">
        <f t="shared" si="458"/>
        <v>0</v>
      </c>
      <c r="AC345" s="1093">
        <f t="shared" si="458"/>
        <v>0</v>
      </c>
      <c r="AD345" s="1093">
        <f t="shared" si="458"/>
        <v>0</v>
      </c>
      <c r="AE345" s="1093">
        <f t="shared" si="458"/>
        <v>0</v>
      </c>
      <c r="AF345" s="1093">
        <f t="shared" si="458"/>
        <v>0</v>
      </c>
      <c r="AG345" s="1093">
        <f t="shared" si="458"/>
        <v>0</v>
      </c>
      <c r="AH345" s="1093">
        <f t="shared" si="458"/>
        <v>0</v>
      </c>
      <c r="AI345" s="1093">
        <f t="shared" si="458"/>
        <v>0</v>
      </c>
      <c r="AJ345" s="174"/>
      <c r="AK345" s="206">
        <f t="shared" ref="AK345:AK352" si="459">SUMPRODUCT(AL345:AV345,AL$22:AV$22,AL$29:AV$29)/1000</f>
        <v>0</v>
      </c>
      <c r="AL345" s="1091"/>
      <c r="AM345" s="1093">
        <f t="shared" ref="AM345:AU345" si="460">IF($AM$78=0,0,
($AM$130+$AM$161+$AM$181)/$AM$78*AM62)</f>
        <v>0</v>
      </c>
      <c r="AN345" s="1093">
        <f t="shared" si="460"/>
        <v>0</v>
      </c>
      <c r="AO345" s="1093">
        <f t="shared" si="460"/>
        <v>0</v>
      </c>
      <c r="AP345" s="1093">
        <f t="shared" si="460"/>
        <v>0</v>
      </c>
      <c r="AQ345" s="1093">
        <f t="shared" si="460"/>
        <v>0</v>
      </c>
      <c r="AR345" s="1093">
        <f t="shared" si="460"/>
        <v>0</v>
      </c>
      <c r="AS345" s="1093">
        <f t="shared" si="460"/>
        <v>0</v>
      </c>
      <c r="AT345" s="1093">
        <f t="shared" si="460"/>
        <v>0</v>
      </c>
      <c r="AU345" s="1093">
        <f t="shared" si="460"/>
        <v>0</v>
      </c>
      <c r="AV345" s="174"/>
      <c r="AW345" s="206">
        <f t="shared" ref="AW345:AW352" si="461">SUMPRODUCT(AX345:BH345,AX$22:BH$22,AX$29:BH$29)/1000</f>
        <v>0</v>
      </c>
      <c r="AX345" s="1091"/>
      <c r="AY345" s="1093">
        <f t="shared" ref="AY345:BG345" si="462">IF($AY$78=0,0,
($AY$130+$AY$161+$AY$181)/$AY$78*AY62)</f>
        <v>0</v>
      </c>
      <c r="AZ345" s="1093">
        <f t="shared" si="462"/>
        <v>0</v>
      </c>
      <c r="BA345" s="1093">
        <f t="shared" si="462"/>
        <v>0</v>
      </c>
      <c r="BB345" s="1093">
        <f t="shared" si="462"/>
        <v>0</v>
      </c>
      <c r="BC345" s="1093">
        <f t="shared" si="462"/>
        <v>0</v>
      </c>
      <c r="BD345" s="1093">
        <f t="shared" si="462"/>
        <v>0</v>
      </c>
      <c r="BE345" s="1093">
        <f t="shared" si="462"/>
        <v>0</v>
      </c>
      <c r="BF345" s="1093">
        <f t="shared" si="462"/>
        <v>0</v>
      </c>
      <c r="BG345" s="1093">
        <f t="shared" si="462"/>
        <v>0</v>
      </c>
      <c r="BH345" s="210"/>
    </row>
    <row r="346" spans="1:60" s="2" customFormat="1">
      <c r="A346" s="1038"/>
      <c r="B346" s="1110" t="s">
        <v>1224</v>
      </c>
      <c r="C346" s="1106" t="s">
        <v>104</v>
      </c>
      <c r="D346" s="645"/>
      <c r="E346" s="304" t="str">
        <f>$P$10</f>
        <v>koeling</v>
      </c>
      <c r="F346" s="203"/>
      <c r="G346" s="203"/>
      <c r="H346" s="204" t="s">
        <v>289</v>
      </c>
      <c r="I346" s="205"/>
      <c r="J346" s="206">
        <f t="shared" si="454"/>
        <v>0</v>
      </c>
      <c r="K346" s="220"/>
      <c r="L346" s="220"/>
      <c r="M346" s="206">
        <f t="shared" si="455"/>
        <v>0</v>
      </c>
      <c r="N346" s="220"/>
      <c r="O346" s="1093">
        <f t="shared" ref="O346:W346" si="463">IF($P$78=0,0,
($P$130+$P$161+$P$181)/$P$78*O64)</f>
        <v>0</v>
      </c>
      <c r="P346" s="1093">
        <f t="shared" si="463"/>
        <v>0</v>
      </c>
      <c r="Q346" s="1093">
        <f t="shared" si="463"/>
        <v>0</v>
      </c>
      <c r="R346" s="1093">
        <f t="shared" si="463"/>
        <v>0</v>
      </c>
      <c r="S346" s="1093">
        <f t="shared" si="463"/>
        <v>0</v>
      </c>
      <c r="T346" s="1093">
        <f t="shared" si="463"/>
        <v>0</v>
      </c>
      <c r="U346" s="1093">
        <f t="shared" si="463"/>
        <v>0</v>
      </c>
      <c r="V346" s="1093">
        <f t="shared" si="463"/>
        <v>0</v>
      </c>
      <c r="W346" s="1093">
        <f t="shared" si="463"/>
        <v>0</v>
      </c>
      <c r="X346" s="174"/>
      <c r="Y346" s="206">
        <f t="shared" si="457"/>
        <v>0</v>
      </c>
      <c r="Z346" s="220"/>
      <c r="AA346" s="1093">
        <f t="shared" ref="AA346:AI346" si="464">IF($AB$78=0,0,
($AB$130+$AB$161+$AB$181)/$AB$78*AA64)</f>
        <v>0</v>
      </c>
      <c r="AB346" s="1093">
        <f t="shared" si="464"/>
        <v>0</v>
      </c>
      <c r="AC346" s="1093">
        <f t="shared" si="464"/>
        <v>0</v>
      </c>
      <c r="AD346" s="1093">
        <f t="shared" si="464"/>
        <v>0</v>
      </c>
      <c r="AE346" s="1093">
        <f t="shared" si="464"/>
        <v>0</v>
      </c>
      <c r="AF346" s="1093">
        <f t="shared" si="464"/>
        <v>0</v>
      </c>
      <c r="AG346" s="1093">
        <f t="shared" si="464"/>
        <v>0</v>
      </c>
      <c r="AH346" s="1093">
        <f t="shared" si="464"/>
        <v>0</v>
      </c>
      <c r="AI346" s="1093">
        <f t="shared" si="464"/>
        <v>0</v>
      </c>
      <c r="AJ346" s="174"/>
      <c r="AK346" s="206">
        <f t="shared" si="459"/>
        <v>0</v>
      </c>
      <c r="AL346" s="1091"/>
      <c r="AM346" s="1093">
        <f t="shared" ref="AM346:AU346" si="465">IF($AN$78=0,0,
($AN$130+$AN$161+$AN$181)/$AN$78*AM64)</f>
        <v>0</v>
      </c>
      <c r="AN346" s="1093">
        <f t="shared" si="465"/>
        <v>0</v>
      </c>
      <c r="AO346" s="1093">
        <f t="shared" si="465"/>
        <v>0</v>
      </c>
      <c r="AP346" s="1093">
        <f t="shared" si="465"/>
        <v>0</v>
      </c>
      <c r="AQ346" s="1093">
        <f t="shared" si="465"/>
        <v>0</v>
      </c>
      <c r="AR346" s="1093">
        <f t="shared" si="465"/>
        <v>0</v>
      </c>
      <c r="AS346" s="1093">
        <f t="shared" si="465"/>
        <v>0</v>
      </c>
      <c r="AT346" s="1093">
        <f t="shared" si="465"/>
        <v>0</v>
      </c>
      <c r="AU346" s="1093">
        <f t="shared" si="465"/>
        <v>0</v>
      </c>
      <c r="AV346" s="174"/>
      <c r="AW346" s="206">
        <f t="shared" si="461"/>
        <v>0</v>
      </c>
      <c r="AX346" s="1091"/>
      <c r="AY346" s="1093">
        <f t="shared" ref="AY346:BG346" si="466">IF($AZ$78=0,0,
($AZ$130+$AZ$161+$AZ$181)/$AZ$78*AY64)</f>
        <v>0</v>
      </c>
      <c r="AZ346" s="1093">
        <f t="shared" si="466"/>
        <v>0</v>
      </c>
      <c r="BA346" s="1093">
        <f t="shared" si="466"/>
        <v>0</v>
      </c>
      <c r="BB346" s="1093">
        <f t="shared" si="466"/>
        <v>0</v>
      </c>
      <c r="BC346" s="1093">
        <f t="shared" si="466"/>
        <v>0</v>
      </c>
      <c r="BD346" s="1093">
        <f t="shared" si="466"/>
        <v>0</v>
      </c>
      <c r="BE346" s="1093">
        <f t="shared" si="466"/>
        <v>0</v>
      </c>
      <c r="BF346" s="1093">
        <f t="shared" si="466"/>
        <v>0</v>
      </c>
      <c r="BG346" s="1093">
        <f t="shared" si="466"/>
        <v>0</v>
      </c>
      <c r="BH346" s="210"/>
    </row>
    <row r="347" spans="1:60" s="2" customFormat="1">
      <c r="A347" s="1038"/>
      <c r="B347" s="1110" t="s">
        <v>1224</v>
      </c>
      <c r="C347" s="1106" t="s">
        <v>104</v>
      </c>
      <c r="D347" s="645"/>
      <c r="E347" s="304" t="str">
        <f>$Q$10</f>
        <v>tapwater</v>
      </c>
      <c r="F347" s="203"/>
      <c r="G347" s="203"/>
      <c r="H347" s="204" t="s">
        <v>289</v>
      </c>
      <c r="I347" s="205"/>
      <c r="J347" s="206">
        <f t="shared" si="454"/>
        <v>0</v>
      </c>
      <c r="K347" s="220"/>
      <c r="L347" s="220"/>
      <c r="M347" s="206">
        <f t="shared" si="455"/>
        <v>0</v>
      </c>
      <c r="N347" s="220"/>
      <c r="O347" s="1093">
        <f t="shared" ref="O347:W347" si="467">IF($Q$78=0,0,
($Q$130+$Q$161+$Q$181)/$Q$78*O65)</f>
        <v>0</v>
      </c>
      <c r="P347" s="1093">
        <f t="shared" si="467"/>
        <v>0</v>
      </c>
      <c r="Q347" s="1093">
        <f t="shared" si="467"/>
        <v>0</v>
      </c>
      <c r="R347" s="1093">
        <f t="shared" si="467"/>
        <v>0</v>
      </c>
      <c r="S347" s="1093">
        <f t="shared" si="467"/>
        <v>0</v>
      </c>
      <c r="T347" s="1093">
        <f t="shared" si="467"/>
        <v>0</v>
      </c>
      <c r="U347" s="1093">
        <f t="shared" si="467"/>
        <v>0</v>
      </c>
      <c r="V347" s="1093">
        <f t="shared" si="467"/>
        <v>0</v>
      </c>
      <c r="W347" s="1093">
        <f t="shared" si="467"/>
        <v>0</v>
      </c>
      <c r="X347" s="174"/>
      <c r="Y347" s="206">
        <f t="shared" si="457"/>
        <v>0</v>
      </c>
      <c r="Z347" s="220"/>
      <c r="AA347" s="1093">
        <f t="shared" ref="AA347:AI347" si="468">IF($AC$78=0,0,
($AC$130+$AC$161+$AC$181)/$AC$78*AA65)</f>
        <v>0</v>
      </c>
      <c r="AB347" s="1093">
        <f t="shared" si="468"/>
        <v>0</v>
      </c>
      <c r="AC347" s="1093">
        <f t="shared" si="468"/>
        <v>0</v>
      </c>
      <c r="AD347" s="1093">
        <f t="shared" si="468"/>
        <v>0</v>
      </c>
      <c r="AE347" s="1093">
        <f t="shared" si="468"/>
        <v>0</v>
      </c>
      <c r="AF347" s="1093">
        <f t="shared" si="468"/>
        <v>0</v>
      </c>
      <c r="AG347" s="1093">
        <f t="shared" si="468"/>
        <v>0</v>
      </c>
      <c r="AH347" s="1093">
        <f t="shared" si="468"/>
        <v>0</v>
      </c>
      <c r="AI347" s="1093">
        <f t="shared" si="468"/>
        <v>0</v>
      </c>
      <c r="AJ347" s="174"/>
      <c r="AK347" s="206">
        <f t="shared" si="459"/>
        <v>0</v>
      </c>
      <c r="AL347" s="1091"/>
      <c r="AM347" s="1093">
        <f t="shared" ref="AM347:AU347" si="469">IF($AO$78=0,0,
($AO$130+$AO$161+$AO$181)/$AO$78*AM65)</f>
        <v>0</v>
      </c>
      <c r="AN347" s="1093">
        <f t="shared" si="469"/>
        <v>0</v>
      </c>
      <c r="AO347" s="1093">
        <f t="shared" si="469"/>
        <v>0</v>
      </c>
      <c r="AP347" s="1093">
        <f t="shared" si="469"/>
        <v>0</v>
      </c>
      <c r="AQ347" s="1093">
        <f t="shared" si="469"/>
        <v>0</v>
      </c>
      <c r="AR347" s="1093">
        <f t="shared" si="469"/>
        <v>0</v>
      </c>
      <c r="AS347" s="1093">
        <f t="shared" si="469"/>
        <v>0</v>
      </c>
      <c r="AT347" s="1093">
        <f t="shared" si="469"/>
        <v>0</v>
      </c>
      <c r="AU347" s="1093">
        <f t="shared" si="469"/>
        <v>0</v>
      </c>
      <c r="AV347" s="174"/>
      <c r="AW347" s="206">
        <f t="shared" si="461"/>
        <v>0</v>
      </c>
      <c r="AX347" s="1091"/>
      <c r="AY347" s="1093">
        <f t="shared" ref="AY347:BG347" si="470">IF($BA$78=0,0,
($BA$130+$BA$161+$BA$181)/$BA$78*AY65)</f>
        <v>0</v>
      </c>
      <c r="AZ347" s="1093">
        <f t="shared" si="470"/>
        <v>0</v>
      </c>
      <c r="BA347" s="1093">
        <f t="shared" si="470"/>
        <v>0</v>
      </c>
      <c r="BB347" s="1093">
        <f t="shared" si="470"/>
        <v>0</v>
      </c>
      <c r="BC347" s="1093">
        <f t="shared" si="470"/>
        <v>0</v>
      </c>
      <c r="BD347" s="1093">
        <f t="shared" si="470"/>
        <v>0</v>
      </c>
      <c r="BE347" s="1093">
        <f t="shared" si="470"/>
        <v>0</v>
      </c>
      <c r="BF347" s="1093">
        <f t="shared" si="470"/>
        <v>0</v>
      </c>
      <c r="BG347" s="1093">
        <f t="shared" si="470"/>
        <v>0</v>
      </c>
      <c r="BH347" s="210"/>
    </row>
    <row r="348" spans="1:60" s="2" customFormat="1">
      <c r="A348" s="1038"/>
      <c r="B348" s="1110" t="s">
        <v>1224</v>
      </c>
      <c r="C348" s="1106" t="s">
        <v>104</v>
      </c>
      <c r="D348" s="645"/>
      <c r="E348" s="304" t="str">
        <f>$R$10</f>
        <v>verlichting</v>
      </c>
      <c r="F348" s="203"/>
      <c r="G348" s="203"/>
      <c r="H348" s="204" t="s">
        <v>289</v>
      </c>
      <c r="I348" s="205"/>
      <c r="J348" s="206">
        <f t="shared" si="454"/>
        <v>0</v>
      </c>
      <c r="K348" s="220"/>
      <c r="L348" s="220"/>
      <c r="M348" s="206">
        <f t="shared" si="455"/>
        <v>0</v>
      </c>
      <c r="N348" s="220"/>
      <c r="O348" s="1093">
        <f t="shared" ref="O348:W348" si="471">IF($R$78=0,0,$R$181/$R$78*O66)</f>
        <v>0</v>
      </c>
      <c r="P348" s="1093">
        <f t="shared" si="471"/>
        <v>0</v>
      </c>
      <c r="Q348" s="1093">
        <f t="shared" si="471"/>
        <v>0</v>
      </c>
      <c r="R348" s="1093">
        <f t="shared" si="471"/>
        <v>0</v>
      </c>
      <c r="S348" s="1093">
        <f t="shared" si="471"/>
        <v>0</v>
      </c>
      <c r="T348" s="1093">
        <f t="shared" si="471"/>
        <v>0</v>
      </c>
      <c r="U348" s="1093">
        <f t="shared" si="471"/>
        <v>0</v>
      </c>
      <c r="V348" s="1093">
        <f t="shared" si="471"/>
        <v>0</v>
      </c>
      <c r="W348" s="1093">
        <f t="shared" si="471"/>
        <v>0</v>
      </c>
      <c r="X348" s="174"/>
      <c r="Y348" s="206">
        <f t="shared" si="457"/>
        <v>0</v>
      </c>
      <c r="Z348" s="220"/>
      <c r="AA348" s="1093">
        <f t="shared" ref="AA348:AI348" si="472">IF($AD$78=0,0,$AD$181/$AD$78*AA66)</f>
        <v>0</v>
      </c>
      <c r="AB348" s="1093">
        <f t="shared" si="472"/>
        <v>0</v>
      </c>
      <c r="AC348" s="1093">
        <f t="shared" si="472"/>
        <v>0</v>
      </c>
      <c r="AD348" s="1093">
        <f t="shared" si="472"/>
        <v>0</v>
      </c>
      <c r="AE348" s="1093">
        <f t="shared" si="472"/>
        <v>0</v>
      </c>
      <c r="AF348" s="1093">
        <f t="shared" si="472"/>
        <v>0</v>
      </c>
      <c r="AG348" s="1093">
        <f t="shared" si="472"/>
        <v>0</v>
      </c>
      <c r="AH348" s="1093">
        <f t="shared" si="472"/>
        <v>0</v>
      </c>
      <c r="AI348" s="1093">
        <f t="shared" si="472"/>
        <v>0</v>
      </c>
      <c r="AJ348" s="174"/>
      <c r="AK348" s="206">
        <f t="shared" si="459"/>
        <v>0</v>
      </c>
      <c r="AL348" s="1091"/>
      <c r="AM348" s="1093">
        <f t="shared" ref="AM348:AU348" si="473">IF($AP$78=0,0,$AP$181/$AP$78*AM66)</f>
        <v>0</v>
      </c>
      <c r="AN348" s="1093">
        <f t="shared" si="473"/>
        <v>0</v>
      </c>
      <c r="AO348" s="1093">
        <f t="shared" si="473"/>
        <v>0</v>
      </c>
      <c r="AP348" s="1093">
        <f t="shared" si="473"/>
        <v>0</v>
      </c>
      <c r="AQ348" s="1093">
        <f t="shared" si="473"/>
        <v>0</v>
      </c>
      <c r="AR348" s="1093">
        <f t="shared" si="473"/>
        <v>0</v>
      </c>
      <c r="AS348" s="1093">
        <f t="shared" si="473"/>
        <v>0</v>
      </c>
      <c r="AT348" s="1093">
        <f t="shared" si="473"/>
        <v>0</v>
      </c>
      <c r="AU348" s="1093">
        <f t="shared" si="473"/>
        <v>0</v>
      </c>
      <c r="AV348" s="174"/>
      <c r="AW348" s="206">
        <f t="shared" si="461"/>
        <v>0</v>
      </c>
      <c r="AX348" s="1091"/>
      <c r="AY348" s="1093">
        <f t="shared" ref="AY348:BG348" si="474">IF($BB$78=0,0,$BB$181/$BB$78*AY66)</f>
        <v>0</v>
      </c>
      <c r="AZ348" s="1093">
        <f t="shared" si="474"/>
        <v>0</v>
      </c>
      <c r="BA348" s="1093">
        <f t="shared" si="474"/>
        <v>0</v>
      </c>
      <c r="BB348" s="1093">
        <f t="shared" si="474"/>
        <v>0</v>
      </c>
      <c r="BC348" s="1093">
        <f t="shared" si="474"/>
        <v>0</v>
      </c>
      <c r="BD348" s="1093">
        <f t="shared" si="474"/>
        <v>0</v>
      </c>
      <c r="BE348" s="1093">
        <f t="shared" si="474"/>
        <v>0</v>
      </c>
      <c r="BF348" s="1093">
        <f t="shared" si="474"/>
        <v>0</v>
      </c>
      <c r="BG348" s="1093">
        <f t="shared" si="474"/>
        <v>0</v>
      </c>
      <c r="BH348" s="210"/>
    </row>
    <row r="349" spans="1:60" s="2" customFormat="1">
      <c r="A349" s="1038"/>
      <c r="B349" s="1110" t="s">
        <v>1224</v>
      </c>
      <c r="C349" s="1106" t="s">
        <v>104</v>
      </c>
      <c r="D349" s="645"/>
      <c r="E349" s="304" t="str">
        <f>$S$10</f>
        <v>ventilatoren</v>
      </c>
      <c r="F349" s="203"/>
      <c r="G349" s="203"/>
      <c r="H349" s="204" t="s">
        <v>289</v>
      </c>
      <c r="I349" s="205"/>
      <c r="J349" s="206">
        <f t="shared" si="454"/>
        <v>0</v>
      </c>
      <c r="K349" s="220"/>
      <c r="L349" s="220"/>
      <c r="M349" s="206">
        <f t="shared" si="455"/>
        <v>0</v>
      </c>
      <c r="N349" s="220"/>
      <c r="O349" s="1093">
        <f t="shared" ref="O349:W349" si="475">IF($S$78=0,0,$S$181/$S$78*O67)</f>
        <v>0</v>
      </c>
      <c r="P349" s="1093">
        <f t="shared" si="475"/>
        <v>0</v>
      </c>
      <c r="Q349" s="1093">
        <f t="shared" si="475"/>
        <v>0</v>
      </c>
      <c r="R349" s="1093">
        <f t="shared" si="475"/>
        <v>0</v>
      </c>
      <c r="S349" s="1093">
        <f t="shared" si="475"/>
        <v>0</v>
      </c>
      <c r="T349" s="1093">
        <f t="shared" si="475"/>
        <v>0</v>
      </c>
      <c r="U349" s="1093">
        <f t="shared" si="475"/>
        <v>0</v>
      </c>
      <c r="V349" s="1093">
        <f t="shared" si="475"/>
        <v>0</v>
      </c>
      <c r="W349" s="1093">
        <f t="shared" si="475"/>
        <v>0</v>
      </c>
      <c r="X349" s="174"/>
      <c r="Y349" s="206">
        <f t="shared" si="457"/>
        <v>0</v>
      </c>
      <c r="Z349" s="220"/>
      <c r="AA349" s="1093">
        <f t="shared" ref="AA349:AI349" si="476">IF($AE$78=0,0,$AE$181/$AE$78*AA67)</f>
        <v>0</v>
      </c>
      <c r="AB349" s="1093">
        <f t="shared" si="476"/>
        <v>0</v>
      </c>
      <c r="AC349" s="1093">
        <f t="shared" si="476"/>
        <v>0</v>
      </c>
      <c r="AD349" s="1093">
        <f t="shared" si="476"/>
        <v>0</v>
      </c>
      <c r="AE349" s="1093">
        <f t="shared" si="476"/>
        <v>0</v>
      </c>
      <c r="AF349" s="1093">
        <f t="shared" si="476"/>
        <v>0</v>
      </c>
      <c r="AG349" s="1093">
        <f t="shared" si="476"/>
        <v>0</v>
      </c>
      <c r="AH349" s="1093">
        <f t="shared" si="476"/>
        <v>0</v>
      </c>
      <c r="AI349" s="1093">
        <f t="shared" si="476"/>
        <v>0</v>
      </c>
      <c r="AJ349" s="174"/>
      <c r="AK349" s="206">
        <f t="shared" si="459"/>
        <v>0</v>
      </c>
      <c r="AL349" s="1091"/>
      <c r="AM349" s="1093">
        <f t="shared" ref="AM349:AU349" si="477">IF($AQ$78=0,0,$AQ$181/$AQ$78*AM67)</f>
        <v>0</v>
      </c>
      <c r="AN349" s="1093">
        <f t="shared" si="477"/>
        <v>0</v>
      </c>
      <c r="AO349" s="1093">
        <f t="shared" si="477"/>
        <v>0</v>
      </c>
      <c r="AP349" s="1093">
        <f t="shared" si="477"/>
        <v>0</v>
      </c>
      <c r="AQ349" s="1093">
        <f t="shared" si="477"/>
        <v>0</v>
      </c>
      <c r="AR349" s="1093">
        <f t="shared" si="477"/>
        <v>0</v>
      </c>
      <c r="AS349" s="1093">
        <f t="shared" si="477"/>
        <v>0</v>
      </c>
      <c r="AT349" s="1093">
        <f t="shared" si="477"/>
        <v>0</v>
      </c>
      <c r="AU349" s="1093">
        <f t="shared" si="477"/>
        <v>0</v>
      </c>
      <c r="AV349" s="174"/>
      <c r="AW349" s="206">
        <f t="shared" si="461"/>
        <v>0</v>
      </c>
      <c r="AX349" s="1091"/>
      <c r="AY349" s="1093">
        <f t="shared" ref="AY349:BG349" si="478">IF($BC$78=0,0,$BC$181/$BC$78*AY67)</f>
        <v>0</v>
      </c>
      <c r="AZ349" s="1093">
        <f t="shared" si="478"/>
        <v>0</v>
      </c>
      <c r="BA349" s="1093">
        <f t="shared" si="478"/>
        <v>0</v>
      </c>
      <c r="BB349" s="1093">
        <f t="shared" si="478"/>
        <v>0</v>
      </c>
      <c r="BC349" s="1093">
        <f t="shared" si="478"/>
        <v>0</v>
      </c>
      <c r="BD349" s="1093">
        <f t="shared" si="478"/>
        <v>0</v>
      </c>
      <c r="BE349" s="1093">
        <f t="shared" si="478"/>
        <v>0</v>
      </c>
      <c r="BF349" s="1093">
        <f t="shared" si="478"/>
        <v>0</v>
      </c>
      <c r="BG349" s="1093">
        <f t="shared" si="478"/>
        <v>0</v>
      </c>
      <c r="BH349" s="210"/>
    </row>
    <row r="350" spans="1:60" s="2" customFormat="1">
      <c r="A350" s="1038"/>
      <c r="B350" s="1110" t="s">
        <v>1224</v>
      </c>
      <c r="C350" s="1106" t="s">
        <v>104</v>
      </c>
      <c r="D350" s="645"/>
      <c r="E350" s="304" t="str">
        <f>$T$10</f>
        <v>kookgas</v>
      </c>
      <c r="F350" s="203"/>
      <c r="G350" s="203"/>
      <c r="H350" s="204" t="s">
        <v>289</v>
      </c>
      <c r="I350" s="205"/>
      <c r="J350" s="206">
        <f t="shared" si="454"/>
        <v>0</v>
      </c>
      <c r="K350" s="220"/>
      <c r="L350" s="220"/>
      <c r="M350" s="206">
        <f t="shared" si="455"/>
        <v>0</v>
      </c>
      <c r="N350" s="220"/>
      <c r="O350" s="1093">
        <f t="shared" ref="O350:W350" si="479">IF($T$78=0,0,$T$181/$T$78*O68)</f>
        <v>0</v>
      </c>
      <c r="P350" s="1093">
        <f t="shared" si="479"/>
        <v>0</v>
      </c>
      <c r="Q350" s="1093">
        <f t="shared" si="479"/>
        <v>0</v>
      </c>
      <c r="R350" s="1093">
        <f t="shared" si="479"/>
        <v>0</v>
      </c>
      <c r="S350" s="1093">
        <f t="shared" si="479"/>
        <v>0</v>
      </c>
      <c r="T350" s="1093">
        <f t="shared" si="479"/>
        <v>0</v>
      </c>
      <c r="U350" s="1093">
        <f t="shared" si="479"/>
        <v>0</v>
      </c>
      <c r="V350" s="1093">
        <f t="shared" si="479"/>
        <v>0</v>
      </c>
      <c r="W350" s="1093">
        <f t="shared" si="479"/>
        <v>0</v>
      </c>
      <c r="X350" s="174"/>
      <c r="Y350" s="206">
        <f t="shared" si="457"/>
        <v>0</v>
      </c>
      <c r="Z350" s="220"/>
      <c r="AA350" s="1093">
        <f t="shared" ref="AA350:AI350" si="480">IF($AF$78=0,0,$AF$181/$AF$78*AA68)</f>
        <v>0</v>
      </c>
      <c r="AB350" s="1093">
        <f t="shared" si="480"/>
        <v>0</v>
      </c>
      <c r="AC350" s="1093">
        <f t="shared" si="480"/>
        <v>0</v>
      </c>
      <c r="AD350" s="1093">
        <f t="shared" si="480"/>
        <v>0</v>
      </c>
      <c r="AE350" s="1093">
        <f t="shared" si="480"/>
        <v>0</v>
      </c>
      <c r="AF350" s="1093">
        <f t="shared" si="480"/>
        <v>0</v>
      </c>
      <c r="AG350" s="1093">
        <f t="shared" si="480"/>
        <v>0</v>
      </c>
      <c r="AH350" s="1093">
        <f t="shared" si="480"/>
        <v>0</v>
      </c>
      <c r="AI350" s="1093">
        <f t="shared" si="480"/>
        <v>0</v>
      </c>
      <c r="AJ350" s="174"/>
      <c r="AK350" s="206">
        <f t="shared" si="459"/>
        <v>0</v>
      </c>
      <c r="AL350" s="1091"/>
      <c r="AM350" s="1093">
        <f t="shared" ref="AM350:AU350" si="481">IF($AR$78=0,0,$AR$181/$AR$78*AM68)</f>
        <v>0</v>
      </c>
      <c r="AN350" s="1093">
        <f t="shared" si="481"/>
        <v>0</v>
      </c>
      <c r="AO350" s="1093">
        <f t="shared" si="481"/>
        <v>0</v>
      </c>
      <c r="AP350" s="1093">
        <f t="shared" si="481"/>
        <v>0</v>
      </c>
      <c r="AQ350" s="1093">
        <f t="shared" si="481"/>
        <v>0</v>
      </c>
      <c r="AR350" s="1093">
        <f t="shared" si="481"/>
        <v>0</v>
      </c>
      <c r="AS350" s="1093">
        <f t="shared" si="481"/>
        <v>0</v>
      </c>
      <c r="AT350" s="1093">
        <f t="shared" si="481"/>
        <v>0</v>
      </c>
      <c r="AU350" s="1093">
        <f t="shared" si="481"/>
        <v>0</v>
      </c>
      <c r="AV350" s="174"/>
      <c r="AW350" s="206">
        <f t="shared" si="461"/>
        <v>0</v>
      </c>
      <c r="AX350" s="1091"/>
      <c r="AY350" s="1093">
        <f t="shared" ref="AY350:BG350" si="482">IF($BD$78=0,0,$BD$181/$BD$78*AY68)</f>
        <v>0</v>
      </c>
      <c r="AZ350" s="1093">
        <f t="shared" si="482"/>
        <v>0</v>
      </c>
      <c r="BA350" s="1093">
        <f t="shared" si="482"/>
        <v>0</v>
      </c>
      <c r="BB350" s="1093">
        <f t="shared" si="482"/>
        <v>0</v>
      </c>
      <c r="BC350" s="1093">
        <f t="shared" si="482"/>
        <v>0</v>
      </c>
      <c r="BD350" s="1093">
        <f t="shared" si="482"/>
        <v>0</v>
      </c>
      <c r="BE350" s="1093">
        <f t="shared" si="482"/>
        <v>0</v>
      </c>
      <c r="BF350" s="1093">
        <f t="shared" si="482"/>
        <v>0</v>
      </c>
      <c r="BG350" s="1093">
        <f t="shared" si="482"/>
        <v>0</v>
      </c>
      <c r="BH350" s="210"/>
    </row>
    <row r="351" spans="1:60" s="2" customFormat="1">
      <c r="A351" s="1038"/>
      <c r="B351" s="1110" t="s">
        <v>1224</v>
      </c>
      <c r="C351" s="1106" t="s">
        <v>104</v>
      </c>
      <c r="D351" s="645"/>
      <c r="E351" s="304" t="str">
        <f>$U$10</f>
        <v>overig elektra</v>
      </c>
      <c r="F351" s="203"/>
      <c r="G351" s="203"/>
      <c r="H351" s="204" t="s">
        <v>289</v>
      </c>
      <c r="I351" s="205"/>
      <c r="J351" s="206">
        <f t="shared" si="454"/>
        <v>0</v>
      </c>
      <c r="K351" s="220"/>
      <c r="L351" s="220"/>
      <c r="M351" s="206">
        <f t="shared" si="455"/>
        <v>0</v>
      </c>
      <c r="N351" s="220"/>
      <c r="O351" s="1093">
        <f t="shared" ref="O351:W351" si="483">IF($U$78=0,0,$U$181/$U$78*O69)</f>
        <v>0</v>
      </c>
      <c r="P351" s="1093">
        <f t="shared" si="483"/>
        <v>0</v>
      </c>
      <c r="Q351" s="1093">
        <f t="shared" si="483"/>
        <v>0</v>
      </c>
      <c r="R351" s="1093">
        <f t="shared" si="483"/>
        <v>0</v>
      </c>
      <c r="S351" s="1093">
        <f t="shared" si="483"/>
        <v>0</v>
      </c>
      <c r="T351" s="1093">
        <f t="shared" si="483"/>
        <v>0</v>
      </c>
      <c r="U351" s="1093">
        <f t="shared" si="483"/>
        <v>0</v>
      </c>
      <c r="V351" s="1093">
        <f t="shared" si="483"/>
        <v>0</v>
      </c>
      <c r="W351" s="1093">
        <f t="shared" si="483"/>
        <v>0</v>
      </c>
      <c r="X351" s="174"/>
      <c r="Y351" s="206">
        <f t="shared" si="457"/>
        <v>0</v>
      </c>
      <c r="Z351" s="220"/>
      <c r="AA351" s="1093">
        <f t="shared" ref="AA351:AI351" si="484">IF($AG$78=0,0,$AG$181/$AG$78*AA69)</f>
        <v>0</v>
      </c>
      <c r="AB351" s="1093">
        <f t="shared" si="484"/>
        <v>0</v>
      </c>
      <c r="AC351" s="1093">
        <f t="shared" si="484"/>
        <v>0</v>
      </c>
      <c r="AD351" s="1093">
        <f t="shared" si="484"/>
        <v>0</v>
      </c>
      <c r="AE351" s="1093">
        <f t="shared" si="484"/>
        <v>0</v>
      </c>
      <c r="AF351" s="1093">
        <f t="shared" si="484"/>
        <v>0</v>
      </c>
      <c r="AG351" s="1093">
        <f t="shared" si="484"/>
        <v>0</v>
      </c>
      <c r="AH351" s="1093">
        <f t="shared" si="484"/>
        <v>0</v>
      </c>
      <c r="AI351" s="1093">
        <f t="shared" si="484"/>
        <v>0</v>
      </c>
      <c r="AJ351" s="174"/>
      <c r="AK351" s="206">
        <f t="shared" si="459"/>
        <v>0</v>
      </c>
      <c r="AL351" s="1091"/>
      <c r="AM351" s="1093">
        <f t="shared" ref="AM351:AU351" si="485">IF($AS$78=0,0,$AS$181/$AS$78*AM69)</f>
        <v>0</v>
      </c>
      <c r="AN351" s="1093">
        <f t="shared" si="485"/>
        <v>0</v>
      </c>
      <c r="AO351" s="1093">
        <f t="shared" si="485"/>
        <v>0</v>
      </c>
      <c r="AP351" s="1093">
        <f t="shared" si="485"/>
        <v>0</v>
      </c>
      <c r="AQ351" s="1093">
        <f t="shared" si="485"/>
        <v>0</v>
      </c>
      <c r="AR351" s="1093">
        <f t="shared" si="485"/>
        <v>0</v>
      </c>
      <c r="AS351" s="1093">
        <f t="shared" si="485"/>
        <v>0</v>
      </c>
      <c r="AT351" s="1093">
        <f t="shared" si="485"/>
        <v>0</v>
      </c>
      <c r="AU351" s="1093">
        <f t="shared" si="485"/>
        <v>0</v>
      </c>
      <c r="AV351" s="174"/>
      <c r="AW351" s="206">
        <f t="shared" si="461"/>
        <v>0</v>
      </c>
      <c r="AX351" s="1091"/>
      <c r="AY351" s="1093">
        <f t="shared" ref="AY351:BG351" si="486">IF($BE$78=0,0,$BE$181/$BE$78*AY69)</f>
        <v>0</v>
      </c>
      <c r="AZ351" s="1093">
        <f t="shared" si="486"/>
        <v>0</v>
      </c>
      <c r="BA351" s="1093">
        <f t="shared" si="486"/>
        <v>0</v>
      </c>
      <c r="BB351" s="1093">
        <f t="shared" si="486"/>
        <v>0</v>
      </c>
      <c r="BC351" s="1093">
        <f t="shared" si="486"/>
        <v>0</v>
      </c>
      <c r="BD351" s="1093">
        <f t="shared" si="486"/>
        <v>0</v>
      </c>
      <c r="BE351" s="1093">
        <f t="shared" si="486"/>
        <v>0</v>
      </c>
      <c r="BF351" s="1093">
        <f t="shared" si="486"/>
        <v>0</v>
      </c>
      <c r="BG351" s="1093">
        <f t="shared" si="486"/>
        <v>0</v>
      </c>
      <c r="BH351" s="210"/>
    </row>
    <row r="352" spans="1:60" s="2" customFormat="1">
      <c r="A352" s="1038"/>
      <c r="B352" s="1110" t="s">
        <v>1224</v>
      </c>
      <c r="C352" s="1106" t="s">
        <v>104</v>
      </c>
      <c r="D352" s="645"/>
      <c r="E352" s="304" t="str">
        <f>$V$10</f>
        <v>mobiliteit</v>
      </c>
      <c r="F352" s="203"/>
      <c r="G352" s="203"/>
      <c r="H352" s="204" t="s">
        <v>289</v>
      </c>
      <c r="I352" s="205"/>
      <c r="J352" s="206">
        <f t="shared" si="454"/>
        <v>0</v>
      </c>
      <c r="K352" s="220"/>
      <c r="L352" s="220"/>
      <c r="M352" s="206">
        <f t="shared" si="455"/>
        <v>0</v>
      </c>
      <c r="N352" s="220"/>
      <c r="O352" s="1093">
        <f t="shared" ref="O352:W352" si="487">IF(OR($V$169=0,O$29=0),0,$V$181/$V$169*O$71/O$29)</f>
        <v>0</v>
      </c>
      <c r="P352" s="1093">
        <f t="shared" si="487"/>
        <v>0</v>
      </c>
      <c r="Q352" s="1093">
        <f t="shared" si="487"/>
        <v>0</v>
      </c>
      <c r="R352" s="1093">
        <f t="shared" si="487"/>
        <v>0</v>
      </c>
      <c r="S352" s="1093">
        <f t="shared" si="487"/>
        <v>0</v>
      </c>
      <c r="T352" s="1093">
        <f t="shared" si="487"/>
        <v>0</v>
      </c>
      <c r="U352" s="1093">
        <f t="shared" si="487"/>
        <v>0</v>
      </c>
      <c r="V352" s="1093">
        <f t="shared" si="487"/>
        <v>0</v>
      </c>
      <c r="W352" s="1093">
        <f t="shared" si="487"/>
        <v>0</v>
      </c>
      <c r="X352" s="174"/>
      <c r="Y352" s="206">
        <f t="shared" si="457"/>
        <v>0</v>
      </c>
      <c r="Z352" s="220"/>
      <c r="AA352" s="1093">
        <f t="shared" ref="AA352:AI352" si="488">IF(OR($AH$169=0,AA$29=0),0,$AH$181/$AH$169*AA$71/AA$29)</f>
        <v>0</v>
      </c>
      <c r="AB352" s="1093">
        <f t="shared" si="488"/>
        <v>0</v>
      </c>
      <c r="AC352" s="1093">
        <f t="shared" si="488"/>
        <v>0</v>
      </c>
      <c r="AD352" s="1093">
        <f t="shared" si="488"/>
        <v>0</v>
      </c>
      <c r="AE352" s="1093">
        <f t="shared" si="488"/>
        <v>0</v>
      </c>
      <c r="AF352" s="1093">
        <f t="shared" si="488"/>
        <v>0</v>
      </c>
      <c r="AG352" s="1093">
        <f t="shared" si="488"/>
        <v>0</v>
      </c>
      <c r="AH352" s="1093">
        <f t="shared" si="488"/>
        <v>0</v>
      </c>
      <c r="AI352" s="1093">
        <f t="shared" si="488"/>
        <v>0</v>
      </c>
      <c r="AJ352" s="174"/>
      <c r="AK352" s="206">
        <f t="shared" si="459"/>
        <v>0</v>
      </c>
      <c r="AL352" s="1091"/>
      <c r="AM352" s="1093">
        <f t="shared" ref="AM352:AU352" si="489">IF(OR($AT$169=0,AM$29=0),0,$AT$181/$AT$169*AM$71/AM$29)</f>
        <v>0</v>
      </c>
      <c r="AN352" s="1093">
        <f t="shared" si="489"/>
        <v>0</v>
      </c>
      <c r="AO352" s="1093">
        <f t="shared" si="489"/>
        <v>0</v>
      </c>
      <c r="AP352" s="1093">
        <f t="shared" si="489"/>
        <v>0</v>
      </c>
      <c r="AQ352" s="1093">
        <f t="shared" si="489"/>
        <v>0</v>
      </c>
      <c r="AR352" s="1093">
        <f t="shared" si="489"/>
        <v>0</v>
      </c>
      <c r="AS352" s="1093">
        <f t="shared" si="489"/>
        <v>0</v>
      </c>
      <c r="AT352" s="1093">
        <f t="shared" si="489"/>
        <v>0</v>
      </c>
      <c r="AU352" s="1093">
        <f t="shared" si="489"/>
        <v>0</v>
      </c>
      <c r="AV352" s="174"/>
      <c r="AW352" s="206">
        <f t="shared" si="461"/>
        <v>0</v>
      </c>
      <c r="AX352" s="1091"/>
      <c r="AY352" s="1093">
        <f t="shared" ref="AY352:BG352" si="490">IF(OR($BF$169=0,AY$29=0),0,$BF$181/$BF$169*AY$71/AY$29)</f>
        <v>0</v>
      </c>
      <c r="AZ352" s="1093">
        <f t="shared" si="490"/>
        <v>0</v>
      </c>
      <c r="BA352" s="1093">
        <f t="shared" si="490"/>
        <v>0</v>
      </c>
      <c r="BB352" s="1093">
        <f t="shared" si="490"/>
        <v>0</v>
      </c>
      <c r="BC352" s="1093">
        <f t="shared" si="490"/>
        <v>0</v>
      </c>
      <c r="BD352" s="1093">
        <f t="shared" si="490"/>
        <v>0</v>
      </c>
      <c r="BE352" s="1093">
        <f t="shared" si="490"/>
        <v>0</v>
      </c>
      <c r="BF352" s="1093">
        <f t="shared" si="490"/>
        <v>0</v>
      </c>
      <c r="BG352" s="1093">
        <f t="shared" si="490"/>
        <v>0</v>
      </c>
      <c r="BH352" s="210"/>
    </row>
    <row r="353" spans="1:60" s="2" customFormat="1">
      <c r="A353" s="1038"/>
      <c r="B353" s="1110" t="s">
        <v>1224</v>
      </c>
      <c r="C353" s="1106" t="s">
        <v>104</v>
      </c>
      <c r="D353" s="645"/>
      <c r="E353" s="203" t="s">
        <v>1278</v>
      </c>
      <c r="F353" s="203"/>
      <c r="G353" s="203"/>
      <c r="H353" s="204" t="s">
        <v>289</v>
      </c>
      <c r="I353" s="205"/>
      <c r="J353" s="206">
        <f t="shared" si="454"/>
        <v>0</v>
      </c>
      <c r="K353" s="220"/>
      <c r="L353" s="220"/>
      <c r="M353" s="206">
        <f>SUM(M345:M352)</f>
        <v>0</v>
      </c>
      <c r="N353" s="220"/>
      <c r="O353" s="1093">
        <f t="shared" ref="O353:W353" si="491">SUM(O345:O352)</f>
        <v>0</v>
      </c>
      <c r="P353" s="1093">
        <f t="shared" si="491"/>
        <v>0</v>
      </c>
      <c r="Q353" s="1093">
        <f t="shared" si="491"/>
        <v>0</v>
      </c>
      <c r="R353" s="1093">
        <f t="shared" si="491"/>
        <v>0</v>
      </c>
      <c r="S353" s="1093">
        <f t="shared" si="491"/>
        <v>0</v>
      </c>
      <c r="T353" s="1093">
        <f t="shared" si="491"/>
        <v>0</v>
      </c>
      <c r="U353" s="1093">
        <f t="shared" si="491"/>
        <v>0</v>
      </c>
      <c r="V353" s="1093">
        <f t="shared" si="491"/>
        <v>0</v>
      </c>
      <c r="W353" s="1093">
        <f t="shared" si="491"/>
        <v>0</v>
      </c>
      <c r="X353" s="174"/>
      <c r="Y353" s="206">
        <f>SUM(Y345:Y352)</f>
        <v>0</v>
      </c>
      <c r="Z353" s="220"/>
      <c r="AA353" s="1093">
        <f t="shared" ref="AA353:AI353" si="492">SUM(AA345:AA352)</f>
        <v>0</v>
      </c>
      <c r="AB353" s="1093">
        <f t="shared" si="492"/>
        <v>0</v>
      </c>
      <c r="AC353" s="1093">
        <f t="shared" si="492"/>
        <v>0</v>
      </c>
      <c r="AD353" s="1093">
        <f t="shared" si="492"/>
        <v>0</v>
      </c>
      <c r="AE353" s="1093">
        <f t="shared" si="492"/>
        <v>0</v>
      </c>
      <c r="AF353" s="1093">
        <f t="shared" si="492"/>
        <v>0</v>
      </c>
      <c r="AG353" s="1093">
        <f t="shared" si="492"/>
        <v>0</v>
      </c>
      <c r="AH353" s="1093">
        <f t="shared" si="492"/>
        <v>0</v>
      </c>
      <c r="AI353" s="1093">
        <f t="shared" si="492"/>
        <v>0</v>
      </c>
      <c r="AJ353" s="174"/>
      <c r="AK353" s="206">
        <f>SUM(AK345:AK352)</f>
        <v>0</v>
      </c>
      <c r="AL353" s="1091"/>
      <c r="AM353" s="1093">
        <f t="shared" ref="AM353:AU353" si="493">SUM(AM345:AM352)</f>
        <v>0</v>
      </c>
      <c r="AN353" s="1093">
        <f t="shared" si="493"/>
        <v>0</v>
      </c>
      <c r="AO353" s="1093">
        <f t="shared" si="493"/>
        <v>0</v>
      </c>
      <c r="AP353" s="1093">
        <f t="shared" si="493"/>
        <v>0</v>
      </c>
      <c r="AQ353" s="1093">
        <f t="shared" si="493"/>
        <v>0</v>
      </c>
      <c r="AR353" s="1093">
        <f t="shared" si="493"/>
        <v>0</v>
      </c>
      <c r="AS353" s="1093">
        <f t="shared" si="493"/>
        <v>0</v>
      </c>
      <c r="AT353" s="1093">
        <f t="shared" si="493"/>
        <v>0</v>
      </c>
      <c r="AU353" s="1093">
        <f t="shared" si="493"/>
        <v>0</v>
      </c>
      <c r="AV353" s="174"/>
      <c r="AW353" s="206">
        <f>SUM(AW345:AW352)</f>
        <v>0</v>
      </c>
      <c r="AX353" s="1091"/>
      <c r="AY353" s="1093">
        <f t="shared" ref="AY353:BG353" si="494">SUM(AY345:AY352)</f>
        <v>0</v>
      </c>
      <c r="AZ353" s="1093">
        <f t="shared" si="494"/>
        <v>0</v>
      </c>
      <c r="BA353" s="1093">
        <f t="shared" si="494"/>
        <v>0</v>
      </c>
      <c r="BB353" s="1093">
        <f t="shared" si="494"/>
        <v>0</v>
      </c>
      <c r="BC353" s="1093">
        <f t="shared" si="494"/>
        <v>0</v>
      </c>
      <c r="BD353" s="1093">
        <f t="shared" si="494"/>
        <v>0</v>
      </c>
      <c r="BE353" s="1093">
        <f t="shared" si="494"/>
        <v>0</v>
      </c>
      <c r="BF353" s="1093">
        <f t="shared" si="494"/>
        <v>0</v>
      </c>
      <c r="BG353" s="1093">
        <f t="shared" si="494"/>
        <v>0</v>
      </c>
      <c r="BH353" s="210"/>
    </row>
    <row r="354" spans="1:60" s="2" customFormat="1">
      <c r="A354" s="1038"/>
      <c r="B354" s="1110" t="s">
        <v>1224</v>
      </c>
      <c r="C354" s="1106" t="s">
        <v>96</v>
      </c>
      <c r="D354" s="644"/>
      <c r="E354" s="942" t="s">
        <v>290</v>
      </c>
      <c r="F354" s="942"/>
      <c r="G354" s="942"/>
      <c r="H354" s="942"/>
      <c r="I354" s="129"/>
      <c r="J354" s="943"/>
      <c r="K354" s="1094"/>
      <c r="L354" s="1094"/>
      <c r="M354" s="944"/>
      <c r="N354" s="1095"/>
      <c r="O354" s="258" t="str">
        <f>O$17</f>
        <v/>
      </c>
      <c r="P354" s="258" t="str">
        <f t="shared" ref="P354:W354" si="495">P$17</f>
        <v/>
      </c>
      <c r="Q354" s="258" t="str">
        <f t="shared" si="495"/>
        <v/>
      </c>
      <c r="R354" s="258" t="str">
        <f t="shared" si="495"/>
        <v/>
      </c>
      <c r="S354" s="258" t="str">
        <f t="shared" si="495"/>
        <v/>
      </c>
      <c r="T354" s="258" t="str">
        <f t="shared" si="495"/>
        <v/>
      </c>
      <c r="U354" s="258" t="str">
        <f t="shared" si="495"/>
        <v/>
      </c>
      <c r="V354" s="258" t="str">
        <f t="shared" si="495"/>
        <v/>
      </c>
      <c r="W354" s="258" t="str">
        <f t="shared" si="495"/>
        <v/>
      </c>
      <c r="X354" s="1095"/>
      <c r="Y354" s="944"/>
      <c r="Z354" s="1095"/>
      <c r="AA354" s="258" t="str">
        <f>AA$17</f>
        <v/>
      </c>
      <c r="AB354" s="258" t="str">
        <f t="shared" ref="AB354:AI354" si="496">AB$17</f>
        <v/>
      </c>
      <c r="AC354" s="258" t="str">
        <f t="shared" si="496"/>
        <v/>
      </c>
      <c r="AD354" s="258" t="str">
        <f t="shared" si="496"/>
        <v/>
      </c>
      <c r="AE354" s="258" t="str">
        <f t="shared" si="496"/>
        <v/>
      </c>
      <c r="AF354" s="258" t="str">
        <f t="shared" si="496"/>
        <v/>
      </c>
      <c r="AG354" s="258" t="str">
        <f t="shared" si="496"/>
        <v/>
      </c>
      <c r="AH354" s="258" t="str">
        <f t="shared" si="496"/>
        <v/>
      </c>
      <c r="AI354" s="258" t="str">
        <f t="shared" si="496"/>
        <v/>
      </c>
      <c r="AJ354" s="1095"/>
      <c r="AK354" s="944"/>
      <c r="AL354" s="1095"/>
      <c r="AM354" s="258" t="str">
        <f>AM$17</f>
        <v/>
      </c>
      <c r="AN354" s="258" t="str">
        <f t="shared" ref="AN354:AU354" si="497">AN$17</f>
        <v/>
      </c>
      <c r="AO354" s="258" t="str">
        <f t="shared" si="497"/>
        <v/>
      </c>
      <c r="AP354" s="258" t="str">
        <f t="shared" si="497"/>
        <v/>
      </c>
      <c r="AQ354" s="258" t="str">
        <f t="shared" si="497"/>
        <v/>
      </c>
      <c r="AR354" s="258" t="str">
        <f t="shared" si="497"/>
        <v/>
      </c>
      <c r="AS354" s="258" t="str">
        <f t="shared" si="497"/>
        <v/>
      </c>
      <c r="AT354" s="258" t="str">
        <f t="shared" si="497"/>
        <v/>
      </c>
      <c r="AU354" s="258" t="str">
        <f t="shared" si="497"/>
        <v/>
      </c>
      <c r="AV354" s="1095"/>
      <c r="AW354" s="944"/>
      <c r="AX354" s="1095"/>
      <c r="AY354" s="258" t="str">
        <f>AY$17</f>
        <v/>
      </c>
      <c r="AZ354" s="258" t="str">
        <f t="shared" ref="AZ354:BG354" si="498">AZ$17</f>
        <v/>
      </c>
      <c r="BA354" s="258" t="str">
        <f t="shared" si="498"/>
        <v/>
      </c>
      <c r="BB354" s="258" t="str">
        <f t="shared" si="498"/>
        <v/>
      </c>
      <c r="BC354" s="258" t="str">
        <f t="shared" si="498"/>
        <v/>
      </c>
      <c r="BD354" s="258" t="str">
        <f t="shared" si="498"/>
        <v/>
      </c>
      <c r="BE354" s="258" t="str">
        <f t="shared" si="498"/>
        <v/>
      </c>
      <c r="BF354" s="258" t="str">
        <f t="shared" si="498"/>
        <v/>
      </c>
      <c r="BG354" s="258" t="str">
        <f t="shared" si="498"/>
        <v/>
      </c>
    </row>
    <row r="355" spans="1:60" s="2" customFormat="1">
      <c r="A355" s="1038"/>
      <c r="B355" s="1110" t="s">
        <v>1224</v>
      </c>
      <c r="C355" s="1106" t="s">
        <v>104</v>
      </c>
      <c r="D355" s="645"/>
      <c r="E355" s="180" t="s">
        <v>291</v>
      </c>
      <c r="F355" s="203"/>
      <c r="G355" s="203"/>
      <c r="H355" s="204" t="s">
        <v>289</v>
      </c>
      <c r="I355" s="205"/>
      <c r="J355" s="206">
        <f>M355+Y355+AK355+AW355</f>
        <v>0</v>
      </c>
      <c r="K355" s="220"/>
      <c r="L355" s="220"/>
      <c r="M355" s="206">
        <f>SUMPRODUCT(N355:X355,N$22:X$22,N$29:X$29)/1000</f>
        <v>0</v>
      </c>
      <c r="N355" s="220"/>
      <c r="O355" s="1093">
        <f t="shared" ref="O355:W355" si="499">IF(OR(O$22=0,O$29=0,($M$187+$M$186)=0),0,
-(O275*$M$187/($M$187+$M$186)*$M$224*1000)/(O22*O29))</f>
        <v>0</v>
      </c>
      <c r="P355" s="1093">
        <f t="shared" si="499"/>
        <v>0</v>
      </c>
      <c r="Q355" s="1093">
        <f t="shared" si="499"/>
        <v>0</v>
      </c>
      <c r="R355" s="1093">
        <f t="shared" si="499"/>
        <v>0</v>
      </c>
      <c r="S355" s="1093">
        <f t="shared" si="499"/>
        <v>0</v>
      </c>
      <c r="T355" s="1093">
        <f t="shared" si="499"/>
        <v>0</v>
      </c>
      <c r="U355" s="1093">
        <f t="shared" si="499"/>
        <v>0</v>
      </c>
      <c r="V355" s="1093">
        <f t="shared" si="499"/>
        <v>0</v>
      </c>
      <c r="W355" s="1093">
        <f t="shared" si="499"/>
        <v>0</v>
      </c>
      <c r="X355" s="174"/>
      <c r="Y355" s="206">
        <f>SUMPRODUCT(Z355:AJ355,Z$22:AJ$22,Z$29:AJ$29)/1000</f>
        <v>0</v>
      </c>
      <c r="Z355" s="220"/>
      <c r="AA355" s="1093">
        <f t="shared" ref="AA355:AI355" si="500">IF(OR(AA$22=0,AA$29=0,($Y$187+$Y$186)=0),0,
-(AA275*$Y$187/($Y$187+$Y$186)*$Y$224*1000)/(AA22*AA29))</f>
        <v>0</v>
      </c>
      <c r="AB355" s="1093">
        <f t="shared" si="500"/>
        <v>0</v>
      </c>
      <c r="AC355" s="1093">
        <f t="shared" si="500"/>
        <v>0</v>
      </c>
      <c r="AD355" s="1093">
        <f t="shared" si="500"/>
        <v>0</v>
      </c>
      <c r="AE355" s="1093">
        <f t="shared" si="500"/>
        <v>0</v>
      </c>
      <c r="AF355" s="1093">
        <f t="shared" si="500"/>
        <v>0</v>
      </c>
      <c r="AG355" s="1093">
        <f t="shared" si="500"/>
        <v>0</v>
      </c>
      <c r="AH355" s="1093">
        <f t="shared" si="500"/>
        <v>0</v>
      </c>
      <c r="AI355" s="1093">
        <f t="shared" si="500"/>
        <v>0</v>
      </c>
      <c r="AJ355" s="174"/>
      <c r="AK355" s="206">
        <f>SUMPRODUCT(AL355:AV355,AL$22:AV$22,AL$29:AV$29)/1000</f>
        <v>0</v>
      </c>
      <c r="AL355" s="1091"/>
      <c r="AM355" s="1093">
        <f t="shared" ref="AM355:AU355" si="501">IF(OR(AM$22=0,AM$29=0,($AK$187+$AK$186)=0),0,
-(AM275*$AK$187/($AK$187+$AK$186)*$AK$224*1000)/(AM22*AM29))</f>
        <v>0</v>
      </c>
      <c r="AN355" s="1093">
        <f t="shared" si="501"/>
        <v>0</v>
      </c>
      <c r="AO355" s="1093">
        <f t="shared" si="501"/>
        <v>0</v>
      </c>
      <c r="AP355" s="1093">
        <f t="shared" si="501"/>
        <v>0</v>
      </c>
      <c r="AQ355" s="1093">
        <f t="shared" si="501"/>
        <v>0</v>
      </c>
      <c r="AR355" s="1093">
        <f t="shared" si="501"/>
        <v>0</v>
      </c>
      <c r="AS355" s="1093">
        <f t="shared" si="501"/>
        <v>0</v>
      </c>
      <c r="AT355" s="1093">
        <f t="shared" si="501"/>
        <v>0</v>
      </c>
      <c r="AU355" s="1093">
        <f t="shared" si="501"/>
        <v>0</v>
      </c>
      <c r="AV355" s="174"/>
      <c r="AW355" s="206">
        <f>SUMPRODUCT(AX355:BH355,AX$22:BH$22,AX$29:BH$29)/1000</f>
        <v>0</v>
      </c>
      <c r="AX355" s="1091"/>
      <c r="AY355" s="1093">
        <f t="shared" ref="AY355:BG355" si="502">IF(OR(AY$22=0,AY$29=0,($AW$187+$AW$186)=0),0,
-(AY275*$AW$187/($AW$187+$AW$186)*$AW$224*1000)/(AY22*AY29))</f>
        <v>0</v>
      </c>
      <c r="AZ355" s="1093">
        <f t="shared" si="502"/>
        <v>0</v>
      </c>
      <c r="BA355" s="1093">
        <f t="shared" si="502"/>
        <v>0</v>
      </c>
      <c r="BB355" s="1093">
        <f t="shared" si="502"/>
        <v>0</v>
      </c>
      <c r="BC355" s="1093">
        <f t="shared" si="502"/>
        <v>0</v>
      </c>
      <c r="BD355" s="1093">
        <f t="shared" si="502"/>
        <v>0</v>
      </c>
      <c r="BE355" s="1093">
        <f t="shared" si="502"/>
        <v>0</v>
      </c>
      <c r="BF355" s="1093">
        <f t="shared" si="502"/>
        <v>0</v>
      </c>
      <c r="BG355" s="1093">
        <f t="shared" si="502"/>
        <v>0</v>
      </c>
      <c r="BH355" s="210"/>
    </row>
    <row r="356" spans="1:60" s="2" customFormat="1">
      <c r="A356" s="1038"/>
      <c r="B356" s="1110" t="s">
        <v>1224</v>
      </c>
      <c r="C356" s="1106" t="s">
        <v>104</v>
      </c>
      <c r="D356" s="645"/>
      <c r="E356" s="180" t="s">
        <v>292</v>
      </c>
      <c r="F356" s="203"/>
      <c r="G356" s="203"/>
      <c r="H356" s="204" t="s">
        <v>289</v>
      </c>
      <c r="I356" s="205"/>
      <c r="J356" s="206">
        <f>M356+Y356+AK356+AW356</f>
        <v>0</v>
      </c>
      <c r="K356" s="220"/>
      <c r="L356" s="220"/>
      <c r="M356" s="206">
        <f>SUMPRODUCT(N356:X356,N$22:X$22,N$29:X$29)/1000</f>
        <v>0</v>
      </c>
      <c r="N356" s="220"/>
      <c r="O356" s="1093">
        <f t="shared" ref="O356:W356" si="503">IF(OR(O$22=0,O$29=0,($M$187+$M$186)=0),0,
-O73*$M$224/($M$187+$M$186)/O29)</f>
        <v>0</v>
      </c>
      <c r="P356" s="1093">
        <f t="shared" si="503"/>
        <v>0</v>
      </c>
      <c r="Q356" s="1093">
        <f t="shared" si="503"/>
        <v>0</v>
      </c>
      <c r="R356" s="1093">
        <f t="shared" si="503"/>
        <v>0</v>
      </c>
      <c r="S356" s="1093">
        <f t="shared" si="503"/>
        <v>0</v>
      </c>
      <c r="T356" s="1093">
        <f t="shared" si="503"/>
        <v>0</v>
      </c>
      <c r="U356" s="1093">
        <f t="shared" si="503"/>
        <v>0</v>
      </c>
      <c r="V356" s="1093">
        <f t="shared" si="503"/>
        <v>0</v>
      </c>
      <c r="W356" s="1093">
        <f t="shared" si="503"/>
        <v>0</v>
      </c>
      <c r="X356" s="174"/>
      <c r="Y356" s="206">
        <f>SUMPRODUCT(Z356:AJ356,Z$22:AJ$22,Z$29:AJ$29)/1000</f>
        <v>0</v>
      </c>
      <c r="Z356" s="220"/>
      <c r="AA356" s="1093">
        <f t="shared" ref="AA356:AI356" si="504">IF(OR(AA$22=0,AA$29=0,($Y$187+$Y$186)=0),0,
-AA73*$Y$224/($Y$187+$Y$186)/AA29)</f>
        <v>0</v>
      </c>
      <c r="AB356" s="1093">
        <f t="shared" si="504"/>
        <v>0</v>
      </c>
      <c r="AC356" s="1093">
        <f t="shared" si="504"/>
        <v>0</v>
      </c>
      <c r="AD356" s="1093">
        <f t="shared" si="504"/>
        <v>0</v>
      </c>
      <c r="AE356" s="1093">
        <f t="shared" si="504"/>
        <v>0</v>
      </c>
      <c r="AF356" s="1093">
        <f t="shared" si="504"/>
        <v>0</v>
      </c>
      <c r="AG356" s="1093">
        <f t="shared" si="504"/>
        <v>0</v>
      </c>
      <c r="AH356" s="1093">
        <f t="shared" si="504"/>
        <v>0</v>
      </c>
      <c r="AI356" s="1093">
        <f t="shared" si="504"/>
        <v>0</v>
      </c>
      <c r="AJ356" s="174"/>
      <c r="AK356" s="206">
        <f>SUMPRODUCT(AL356:AV356,AL$22:AV$22,AL$29:AV$29)/1000</f>
        <v>0</v>
      </c>
      <c r="AL356" s="1091"/>
      <c r="AM356" s="1093">
        <f t="shared" ref="AM356:AU356" si="505">IF(OR(AM$22=0,AM$29=0,($AK$187+$AK$186)=0),0,
-AM73*$AK$224/($AK$187+$AK$186)/AM29)</f>
        <v>0</v>
      </c>
      <c r="AN356" s="1093">
        <f t="shared" si="505"/>
        <v>0</v>
      </c>
      <c r="AO356" s="1093">
        <f t="shared" si="505"/>
        <v>0</v>
      </c>
      <c r="AP356" s="1093">
        <f t="shared" si="505"/>
        <v>0</v>
      </c>
      <c r="AQ356" s="1093">
        <f t="shared" si="505"/>
        <v>0</v>
      </c>
      <c r="AR356" s="1093">
        <f t="shared" si="505"/>
        <v>0</v>
      </c>
      <c r="AS356" s="1093">
        <f t="shared" si="505"/>
        <v>0</v>
      </c>
      <c r="AT356" s="1093">
        <f t="shared" si="505"/>
        <v>0</v>
      </c>
      <c r="AU356" s="1093">
        <f t="shared" si="505"/>
        <v>0</v>
      </c>
      <c r="AV356" s="174"/>
      <c r="AW356" s="206">
        <f>SUMPRODUCT(AX356:BH356,AX$22:BH$22,AX$29:BH$29)/1000</f>
        <v>0</v>
      </c>
      <c r="AX356" s="1091"/>
      <c r="AY356" s="1093">
        <f t="shared" ref="AY356:BG356" si="506">IF(OR(AY$22=0,AY$29=0,($AW$187+$AW$186)=0),0,
-AY73*$AW$224/($AW$187+$AW$186)/AY29)</f>
        <v>0</v>
      </c>
      <c r="AZ356" s="1093">
        <f t="shared" si="506"/>
        <v>0</v>
      </c>
      <c r="BA356" s="1093">
        <f t="shared" si="506"/>
        <v>0</v>
      </c>
      <c r="BB356" s="1093">
        <f t="shared" si="506"/>
        <v>0</v>
      </c>
      <c r="BC356" s="1093">
        <f t="shared" si="506"/>
        <v>0</v>
      </c>
      <c r="BD356" s="1093">
        <f t="shared" si="506"/>
        <v>0</v>
      </c>
      <c r="BE356" s="1093">
        <f t="shared" si="506"/>
        <v>0</v>
      </c>
      <c r="BF356" s="1093">
        <f t="shared" si="506"/>
        <v>0</v>
      </c>
      <c r="BG356" s="1093">
        <f t="shared" si="506"/>
        <v>0</v>
      </c>
      <c r="BH356" s="210"/>
    </row>
    <row r="357" spans="1:60" s="2" customFormat="1">
      <c r="A357" s="1038"/>
      <c r="B357" s="1110" t="s">
        <v>1224</v>
      </c>
      <c r="C357" s="1106" t="s">
        <v>104</v>
      </c>
      <c r="D357" s="645"/>
      <c r="E357" s="203" t="s">
        <v>293</v>
      </c>
      <c r="F357" s="203"/>
      <c r="G357" s="203"/>
      <c r="H357" s="204" t="s">
        <v>289</v>
      </c>
      <c r="I357" s="205"/>
      <c r="J357" s="206">
        <f>M357+Y357+AK357+AW357</f>
        <v>0</v>
      </c>
      <c r="K357" s="220"/>
      <c r="L357" s="220"/>
      <c r="M357" s="206">
        <f>M355+M356</f>
        <v>0</v>
      </c>
      <c r="N357" s="220"/>
      <c r="O357" s="1093">
        <f t="shared" ref="O357:W357" si="507">O355+O356</f>
        <v>0</v>
      </c>
      <c r="P357" s="1093">
        <f t="shared" si="507"/>
        <v>0</v>
      </c>
      <c r="Q357" s="1093">
        <f t="shared" si="507"/>
        <v>0</v>
      </c>
      <c r="R357" s="1093">
        <f t="shared" si="507"/>
        <v>0</v>
      </c>
      <c r="S357" s="1093">
        <f t="shared" si="507"/>
        <v>0</v>
      </c>
      <c r="T357" s="1093">
        <f>T355+T356</f>
        <v>0</v>
      </c>
      <c r="U357" s="1093">
        <f t="shared" si="507"/>
        <v>0</v>
      </c>
      <c r="V357" s="1093">
        <f t="shared" si="507"/>
        <v>0</v>
      </c>
      <c r="W357" s="1093">
        <f t="shared" si="507"/>
        <v>0</v>
      </c>
      <c r="X357" s="174"/>
      <c r="Y357" s="206">
        <f>Y355+Y356</f>
        <v>0</v>
      </c>
      <c r="Z357" s="220"/>
      <c r="AA357" s="1093">
        <f t="shared" ref="AA357:AI357" si="508">AA355+AA356</f>
        <v>0</v>
      </c>
      <c r="AB357" s="1093">
        <f t="shared" si="508"/>
        <v>0</v>
      </c>
      <c r="AC357" s="1093">
        <f t="shared" si="508"/>
        <v>0</v>
      </c>
      <c r="AD357" s="1093">
        <f t="shared" si="508"/>
        <v>0</v>
      </c>
      <c r="AE357" s="1093">
        <f t="shared" si="508"/>
        <v>0</v>
      </c>
      <c r="AF357" s="1093">
        <f>AF355+AF356</f>
        <v>0</v>
      </c>
      <c r="AG357" s="1093">
        <f t="shared" si="508"/>
        <v>0</v>
      </c>
      <c r="AH357" s="1093">
        <f t="shared" si="508"/>
        <v>0</v>
      </c>
      <c r="AI357" s="1093">
        <f t="shared" si="508"/>
        <v>0</v>
      </c>
      <c r="AJ357" s="174"/>
      <c r="AK357" s="206">
        <f>AK355+AK356</f>
        <v>0</v>
      </c>
      <c r="AL357" s="1091"/>
      <c r="AM357" s="1093">
        <f t="shared" ref="AM357:AU357" si="509">AM355+AM356</f>
        <v>0</v>
      </c>
      <c r="AN357" s="1093">
        <f t="shared" si="509"/>
        <v>0</v>
      </c>
      <c r="AO357" s="1093">
        <f t="shared" si="509"/>
        <v>0</v>
      </c>
      <c r="AP357" s="1093">
        <f t="shared" si="509"/>
        <v>0</v>
      </c>
      <c r="AQ357" s="1093">
        <f t="shared" si="509"/>
        <v>0</v>
      </c>
      <c r="AR357" s="1093">
        <f>AR355+AR356</f>
        <v>0</v>
      </c>
      <c r="AS357" s="1093">
        <f t="shared" si="509"/>
        <v>0</v>
      </c>
      <c r="AT357" s="1093">
        <f t="shared" si="509"/>
        <v>0</v>
      </c>
      <c r="AU357" s="1093">
        <f t="shared" si="509"/>
        <v>0</v>
      </c>
      <c r="AV357" s="174"/>
      <c r="AW357" s="206">
        <f>AW355+AW356</f>
        <v>0</v>
      </c>
      <c r="AX357" s="1091"/>
      <c r="AY357" s="1093">
        <f t="shared" ref="AY357:BG357" si="510">AY355+AY356</f>
        <v>0</v>
      </c>
      <c r="AZ357" s="1093">
        <f t="shared" si="510"/>
        <v>0</v>
      </c>
      <c r="BA357" s="1093">
        <f t="shared" si="510"/>
        <v>0</v>
      </c>
      <c r="BB357" s="1093">
        <f t="shared" si="510"/>
        <v>0</v>
      </c>
      <c r="BC357" s="1093">
        <f t="shared" si="510"/>
        <v>0</v>
      </c>
      <c r="BD357" s="1093">
        <f>BD355+BD356</f>
        <v>0</v>
      </c>
      <c r="BE357" s="1093">
        <f t="shared" si="510"/>
        <v>0</v>
      </c>
      <c r="BF357" s="1093">
        <f t="shared" si="510"/>
        <v>0</v>
      </c>
      <c r="BG357" s="1093">
        <f t="shared" si="510"/>
        <v>0</v>
      </c>
      <c r="BH357" s="210"/>
    </row>
    <row r="358" spans="1:60" s="2" customFormat="1">
      <c r="A358" s="1038"/>
      <c r="B358" s="1110" t="s">
        <v>1224</v>
      </c>
      <c r="C358" s="1106" t="s">
        <v>96</v>
      </c>
      <c r="D358" s="644"/>
      <c r="E358" s="942" t="s">
        <v>107</v>
      </c>
      <c r="F358" s="942"/>
      <c r="G358" s="942"/>
      <c r="H358" s="942"/>
      <c r="I358" s="129"/>
      <c r="J358" s="943"/>
      <c r="K358" s="1094"/>
      <c r="L358" s="1094"/>
      <c r="M358" s="944"/>
      <c r="N358" s="1095"/>
      <c r="O358" s="258" t="str">
        <f>O$17</f>
        <v/>
      </c>
      <c r="P358" s="258" t="str">
        <f t="shared" ref="P358:W358" si="511">P$17</f>
        <v/>
      </c>
      <c r="Q358" s="258" t="str">
        <f t="shared" si="511"/>
        <v/>
      </c>
      <c r="R358" s="258" t="str">
        <f t="shared" si="511"/>
        <v/>
      </c>
      <c r="S358" s="258" t="str">
        <f t="shared" si="511"/>
        <v/>
      </c>
      <c r="T358" s="258" t="str">
        <f t="shared" si="511"/>
        <v/>
      </c>
      <c r="U358" s="258" t="str">
        <f t="shared" si="511"/>
        <v/>
      </c>
      <c r="V358" s="258" t="str">
        <f t="shared" si="511"/>
        <v/>
      </c>
      <c r="W358" s="258" t="str">
        <f t="shared" si="511"/>
        <v/>
      </c>
      <c r="X358" s="1095"/>
      <c r="Y358" s="944"/>
      <c r="Z358" s="1095"/>
      <c r="AA358" s="258" t="str">
        <f>AA$17</f>
        <v/>
      </c>
      <c r="AB358" s="258" t="str">
        <f t="shared" ref="AB358:AI358" si="512">AB$17</f>
        <v/>
      </c>
      <c r="AC358" s="258" t="str">
        <f t="shared" si="512"/>
        <v/>
      </c>
      <c r="AD358" s="258" t="str">
        <f t="shared" si="512"/>
        <v/>
      </c>
      <c r="AE358" s="258" t="str">
        <f t="shared" si="512"/>
        <v/>
      </c>
      <c r="AF358" s="258" t="str">
        <f t="shared" si="512"/>
        <v/>
      </c>
      <c r="AG358" s="258" t="str">
        <f t="shared" si="512"/>
        <v/>
      </c>
      <c r="AH358" s="258" t="str">
        <f t="shared" si="512"/>
        <v/>
      </c>
      <c r="AI358" s="258" t="str">
        <f t="shared" si="512"/>
        <v/>
      </c>
      <c r="AJ358" s="1095"/>
      <c r="AK358" s="944"/>
      <c r="AL358" s="1095"/>
      <c r="AM358" s="258" t="str">
        <f>AM$17</f>
        <v/>
      </c>
      <c r="AN358" s="258" t="str">
        <f t="shared" ref="AN358:AU358" si="513">AN$17</f>
        <v/>
      </c>
      <c r="AO358" s="258" t="str">
        <f t="shared" si="513"/>
        <v/>
      </c>
      <c r="AP358" s="258" t="str">
        <f t="shared" si="513"/>
        <v/>
      </c>
      <c r="AQ358" s="258" t="str">
        <f t="shared" si="513"/>
        <v/>
      </c>
      <c r="AR358" s="258" t="str">
        <f t="shared" si="513"/>
        <v/>
      </c>
      <c r="AS358" s="258" t="str">
        <f t="shared" si="513"/>
        <v/>
      </c>
      <c r="AT358" s="258" t="str">
        <f t="shared" si="513"/>
        <v/>
      </c>
      <c r="AU358" s="258" t="str">
        <f t="shared" si="513"/>
        <v/>
      </c>
      <c r="AV358" s="1095"/>
      <c r="AW358" s="944"/>
      <c r="AX358" s="1095"/>
      <c r="AY358" s="258" t="str">
        <f>AY$17</f>
        <v/>
      </c>
      <c r="AZ358" s="258" t="str">
        <f t="shared" ref="AZ358:BG358" si="514">AZ$17</f>
        <v/>
      </c>
      <c r="BA358" s="258" t="str">
        <f t="shared" si="514"/>
        <v/>
      </c>
      <c r="BB358" s="258" t="str">
        <f t="shared" si="514"/>
        <v/>
      </c>
      <c r="BC358" s="258" t="str">
        <f t="shared" si="514"/>
        <v/>
      </c>
      <c r="BD358" s="258" t="str">
        <f t="shared" si="514"/>
        <v/>
      </c>
      <c r="BE358" s="258" t="str">
        <f t="shared" si="514"/>
        <v/>
      </c>
      <c r="BF358" s="258" t="str">
        <f t="shared" si="514"/>
        <v/>
      </c>
      <c r="BG358" s="258" t="str">
        <f t="shared" si="514"/>
        <v/>
      </c>
    </row>
    <row r="359" spans="1:60" s="2" customFormat="1">
      <c r="A359" s="1038"/>
      <c r="B359" s="1110" t="s">
        <v>1224</v>
      </c>
      <c r="C359" s="1106" t="s">
        <v>104</v>
      </c>
      <c r="D359" s="645"/>
      <c r="E359" s="203" t="s">
        <v>1340</v>
      </c>
      <c r="F359" s="203"/>
      <c r="G359" s="203"/>
      <c r="H359" s="204" t="s">
        <v>289</v>
      </c>
      <c r="I359" s="205"/>
      <c r="J359" s="206">
        <f>M359+Y359+AK359+AW359</f>
        <v>0</v>
      </c>
      <c r="K359" s="220"/>
      <c r="L359" s="220"/>
      <c r="M359" s="206">
        <f>SUMPRODUCT(N359:X359,N$22:X$22,N$29:X$29)/1000</f>
        <v>0</v>
      </c>
      <c r="N359" s="220"/>
      <c r="O359" s="1093">
        <f t="shared" ref="O359:W359" si="515">O353+O357</f>
        <v>0</v>
      </c>
      <c r="P359" s="1093">
        <f t="shared" si="515"/>
        <v>0</v>
      </c>
      <c r="Q359" s="1093">
        <f t="shared" si="515"/>
        <v>0</v>
      </c>
      <c r="R359" s="1093">
        <f t="shared" si="515"/>
        <v>0</v>
      </c>
      <c r="S359" s="1093">
        <f t="shared" si="515"/>
        <v>0</v>
      </c>
      <c r="T359" s="1093">
        <f>T353+T357</f>
        <v>0</v>
      </c>
      <c r="U359" s="1093">
        <f t="shared" si="515"/>
        <v>0</v>
      </c>
      <c r="V359" s="1093">
        <f t="shared" si="515"/>
        <v>0</v>
      </c>
      <c r="W359" s="1093">
        <f t="shared" si="515"/>
        <v>0</v>
      </c>
      <c r="X359" s="174"/>
      <c r="Y359" s="206">
        <f>SUMPRODUCT(Z359:AJ359,Z$22:AJ$22,Z$29:AJ$29)/1000</f>
        <v>0</v>
      </c>
      <c r="Z359" s="220"/>
      <c r="AA359" s="1093">
        <f t="shared" ref="AA359:AE359" si="516">AA353+AA357</f>
        <v>0</v>
      </c>
      <c r="AB359" s="1093">
        <f t="shared" si="516"/>
        <v>0</v>
      </c>
      <c r="AC359" s="1093">
        <f t="shared" si="516"/>
        <v>0</v>
      </c>
      <c r="AD359" s="1093">
        <f t="shared" si="516"/>
        <v>0</v>
      </c>
      <c r="AE359" s="1093">
        <f t="shared" si="516"/>
        <v>0</v>
      </c>
      <c r="AF359" s="1093">
        <f>AF353+AF357</f>
        <v>0</v>
      </c>
      <c r="AG359" s="1093">
        <f t="shared" ref="AG359:AI359" si="517">AG353+AG357</f>
        <v>0</v>
      </c>
      <c r="AH359" s="1093">
        <f t="shared" si="517"/>
        <v>0</v>
      </c>
      <c r="AI359" s="1093">
        <f t="shared" si="517"/>
        <v>0</v>
      </c>
      <c r="AJ359" s="174"/>
      <c r="AK359" s="206">
        <f>SUMPRODUCT(AL359:AV359,AL$22:AV$22,AL$29:AV$29)/1000</f>
        <v>0</v>
      </c>
      <c r="AL359" s="1091"/>
      <c r="AM359" s="1093">
        <f t="shared" ref="AM359:AQ359" si="518">AM353+AM357</f>
        <v>0</v>
      </c>
      <c r="AN359" s="1093">
        <f t="shared" si="518"/>
        <v>0</v>
      </c>
      <c r="AO359" s="1093">
        <f t="shared" si="518"/>
        <v>0</v>
      </c>
      <c r="AP359" s="1093">
        <f t="shared" si="518"/>
        <v>0</v>
      </c>
      <c r="AQ359" s="1093">
        <f t="shared" si="518"/>
        <v>0</v>
      </c>
      <c r="AR359" s="1093">
        <f>AR353+AR357</f>
        <v>0</v>
      </c>
      <c r="AS359" s="1093">
        <f t="shared" ref="AS359:AU359" si="519">AS353+AS357</f>
        <v>0</v>
      </c>
      <c r="AT359" s="1093">
        <f t="shared" si="519"/>
        <v>0</v>
      </c>
      <c r="AU359" s="1093">
        <f t="shared" si="519"/>
        <v>0</v>
      </c>
      <c r="AV359" s="174"/>
      <c r="AW359" s="206">
        <f>SUMPRODUCT(AX359:BH359,AX$22:BH$22,AX$29:BH$29)/1000</f>
        <v>0</v>
      </c>
      <c r="AX359" s="1091"/>
      <c r="AY359" s="1093">
        <f t="shared" ref="AY359:BC359" si="520">AY353+AY357</f>
        <v>0</v>
      </c>
      <c r="AZ359" s="1093">
        <f t="shared" si="520"/>
        <v>0</v>
      </c>
      <c r="BA359" s="1093">
        <f t="shared" si="520"/>
        <v>0</v>
      </c>
      <c r="BB359" s="1093">
        <f t="shared" si="520"/>
        <v>0</v>
      </c>
      <c r="BC359" s="1093">
        <f t="shared" si="520"/>
        <v>0</v>
      </c>
      <c r="BD359" s="1093">
        <f>BD353+BD357</f>
        <v>0</v>
      </c>
      <c r="BE359" s="1093">
        <f t="shared" ref="BE359:BG359" si="521">BE353+BE357</f>
        <v>0</v>
      </c>
      <c r="BF359" s="1093">
        <f t="shared" si="521"/>
        <v>0</v>
      </c>
      <c r="BG359" s="1093">
        <f t="shared" si="521"/>
        <v>0</v>
      </c>
      <c r="BH359" s="210"/>
    </row>
    <row r="360" spans="1:60" s="2" customFormat="1">
      <c r="A360" s="1038"/>
      <c r="B360" s="1110" t="s">
        <v>1224</v>
      </c>
      <c r="C360" s="1106" t="s">
        <v>104</v>
      </c>
      <c r="D360" s="645"/>
      <c r="E360" s="203" t="s">
        <v>1341</v>
      </c>
      <c r="F360" s="203"/>
      <c r="G360" s="203"/>
      <c r="H360" s="204" t="s">
        <v>289</v>
      </c>
      <c r="I360" s="205"/>
      <c r="J360" s="206">
        <f>M360+Y360+AK360+AW360</f>
        <v>0</v>
      </c>
      <c r="K360" s="220"/>
      <c r="L360" s="220"/>
      <c r="M360" s="206">
        <f>SUMPRODUCT(N360:X360,N$22:X$22,N$29:X$29)/1000</f>
        <v>0</v>
      </c>
      <c r="N360" s="220"/>
      <c r="O360" s="1093">
        <f t="shared" ref="O360:W360" si="522">O$345+O$346+O$347+IF(OR(O$19=woning,O$19=woongebouw),0,O$348)+O$349+O$357</f>
        <v>0</v>
      </c>
      <c r="P360" s="1093">
        <f t="shared" si="522"/>
        <v>0</v>
      </c>
      <c r="Q360" s="1093">
        <f t="shared" si="522"/>
        <v>0</v>
      </c>
      <c r="R360" s="1093">
        <f t="shared" si="522"/>
        <v>0</v>
      </c>
      <c r="S360" s="1093">
        <f t="shared" si="522"/>
        <v>0</v>
      </c>
      <c r="T360" s="1093">
        <f t="shared" si="522"/>
        <v>0</v>
      </c>
      <c r="U360" s="1093">
        <f t="shared" si="522"/>
        <v>0</v>
      </c>
      <c r="V360" s="1093">
        <f t="shared" si="522"/>
        <v>0</v>
      </c>
      <c r="W360" s="1093">
        <f t="shared" si="522"/>
        <v>0</v>
      </c>
      <c r="X360" s="174"/>
      <c r="Y360" s="206">
        <f>SUMPRODUCT(Z360:AJ360,Z$22:AJ$22,Z$29:AJ$29)/1000</f>
        <v>0</v>
      </c>
      <c r="Z360" s="220"/>
      <c r="AA360" s="1093">
        <f t="shared" ref="AA360:AI360" si="523">AA$345+AA$346+AA$347+IF(OR(AA$19=woning,AA$19=woongebouw),0,AA$348)+AA$349+AA$357</f>
        <v>0</v>
      </c>
      <c r="AB360" s="1093">
        <f t="shared" si="523"/>
        <v>0</v>
      </c>
      <c r="AC360" s="1093">
        <f t="shared" si="523"/>
        <v>0</v>
      </c>
      <c r="AD360" s="1093">
        <f t="shared" si="523"/>
        <v>0</v>
      </c>
      <c r="AE360" s="1093">
        <f t="shared" si="523"/>
        <v>0</v>
      </c>
      <c r="AF360" s="1093">
        <f t="shared" si="523"/>
        <v>0</v>
      </c>
      <c r="AG360" s="1093">
        <f t="shared" si="523"/>
        <v>0</v>
      </c>
      <c r="AH360" s="1093">
        <f t="shared" si="523"/>
        <v>0</v>
      </c>
      <c r="AI360" s="1093">
        <f t="shared" si="523"/>
        <v>0</v>
      </c>
      <c r="AJ360" s="174"/>
      <c r="AK360" s="206">
        <f>SUMPRODUCT(AL360:AV360,AL$22:AV$22,AL$29:AV$29)/1000</f>
        <v>0</v>
      </c>
      <c r="AL360" s="1091"/>
      <c r="AM360" s="1093">
        <f t="shared" ref="AM360:AU360" si="524">AM$345+AM$346+AM$347+IF(OR(AM$19=woning,AM$19=woongebouw),0,AM$348)+AM$349+AM$357</f>
        <v>0</v>
      </c>
      <c r="AN360" s="1093">
        <f t="shared" si="524"/>
        <v>0</v>
      </c>
      <c r="AO360" s="1093">
        <f t="shared" si="524"/>
        <v>0</v>
      </c>
      <c r="AP360" s="1093">
        <f t="shared" si="524"/>
        <v>0</v>
      </c>
      <c r="AQ360" s="1093">
        <f t="shared" si="524"/>
        <v>0</v>
      </c>
      <c r="AR360" s="1093">
        <f t="shared" si="524"/>
        <v>0</v>
      </c>
      <c r="AS360" s="1093">
        <f t="shared" si="524"/>
        <v>0</v>
      </c>
      <c r="AT360" s="1093">
        <f t="shared" si="524"/>
        <v>0</v>
      </c>
      <c r="AU360" s="1093">
        <f t="shared" si="524"/>
        <v>0</v>
      </c>
      <c r="AV360" s="174"/>
      <c r="AW360" s="206">
        <f>SUMPRODUCT(AX360:BH360,AX$22:BH$22,AX$29:BH$29)/1000</f>
        <v>0</v>
      </c>
      <c r="AX360" s="1091"/>
      <c r="AY360" s="1093">
        <f t="shared" ref="AY360:BG360" si="525">AY$345+AY$346+AY$347+IF(OR(AY$19=woning,AY$19=woongebouw),0,AY$348)+AY$349+AY$357</f>
        <v>0</v>
      </c>
      <c r="AZ360" s="1093">
        <f t="shared" si="525"/>
        <v>0</v>
      </c>
      <c r="BA360" s="1093">
        <f t="shared" si="525"/>
        <v>0</v>
      </c>
      <c r="BB360" s="1093">
        <f t="shared" si="525"/>
        <v>0</v>
      </c>
      <c r="BC360" s="1093">
        <f t="shared" si="525"/>
        <v>0</v>
      </c>
      <c r="BD360" s="1093">
        <f t="shared" si="525"/>
        <v>0</v>
      </c>
      <c r="BE360" s="1093">
        <f t="shared" si="525"/>
        <v>0</v>
      </c>
      <c r="BF360" s="1093">
        <f t="shared" si="525"/>
        <v>0</v>
      </c>
      <c r="BG360" s="1093">
        <f t="shared" si="525"/>
        <v>0</v>
      </c>
      <c r="BH360" s="210"/>
    </row>
    <row r="361" spans="1:60">
      <c r="A361" s="1040"/>
      <c r="B361" s="1109" t="s">
        <v>1219</v>
      </c>
      <c r="C361" s="1106" t="s">
        <v>96</v>
      </c>
      <c r="D361" s="638"/>
      <c r="E361" s="79"/>
      <c r="F361" s="79"/>
      <c r="G361" s="79"/>
      <c r="H361" s="85"/>
      <c r="I361" s="79"/>
      <c r="J361" s="113"/>
      <c r="K361" s="79"/>
      <c r="L361" s="79"/>
      <c r="M361" s="113"/>
      <c r="N361" s="79"/>
      <c r="O361" s="81"/>
      <c r="P361" s="1163"/>
      <c r="Q361" s="81"/>
      <c r="R361" s="81"/>
      <c r="S361" s="81"/>
      <c r="T361" s="81"/>
      <c r="U361" s="81"/>
      <c r="V361" s="81"/>
      <c r="W361" s="81"/>
      <c r="X361" s="82"/>
      <c r="Y361" s="82"/>
      <c r="Z361" s="79"/>
      <c r="AA361" s="79"/>
      <c r="AB361" s="79"/>
      <c r="AC361" s="79"/>
      <c r="AD361" s="79"/>
      <c r="AE361" s="79"/>
      <c r="AF361" s="79"/>
      <c r="AG361" s="79"/>
      <c r="AH361" s="79"/>
      <c r="AI361" s="79"/>
      <c r="AJ361" s="79"/>
      <c r="AK361" s="113"/>
      <c r="AL361" s="79"/>
      <c r="AM361" s="82"/>
      <c r="AN361" s="82"/>
      <c r="AO361" s="82"/>
      <c r="AP361" s="82"/>
      <c r="AQ361" s="82"/>
      <c r="AR361" s="82"/>
      <c r="AS361" s="82"/>
      <c r="AT361" s="82"/>
      <c r="AU361" s="82"/>
      <c r="AV361" s="82"/>
      <c r="AW361" s="82"/>
      <c r="AX361" s="79"/>
      <c r="AY361" s="82"/>
      <c r="AZ361" s="82"/>
      <c r="BA361" s="82"/>
      <c r="BB361" s="82"/>
      <c r="BC361" s="82"/>
      <c r="BD361" s="82"/>
      <c r="BE361" s="82"/>
      <c r="BF361" s="82"/>
      <c r="BG361" s="82"/>
      <c r="BH361" s="1"/>
    </row>
    <row r="362" spans="1:60">
      <c r="A362" s="1040"/>
      <c r="B362" s="1109" t="s">
        <v>1221</v>
      </c>
      <c r="C362" s="1106" t="s">
        <v>96</v>
      </c>
      <c r="D362" s="638"/>
      <c r="E362" s="1184"/>
      <c r="F362" s="79"/>
      <c r="G362" s="79"/>
      <c r="H362" s="85"/>
      <c r="I362" s="79"/>
      <c r="J362" s="1088"/>
      <c r="K362" s="79"/>
      <c r="L362" s="79"/>
      <c r="M362" s="113"/>
      <c r="N362" s="79"/>
      <c r="O362" s="1087"/>
      <c r="P362" s="1087"/>
      <c r="Q362" s="1087"/>
      <c r="R362" s="1087"/>
      <c r="S362" s="1087"/>
      <c r="T362" s="1087"/>
      <c r="U362" s="1087"/>
      <c r="V362" s="1087"/>
      <c r="W362" s="1087"/>
      <c r="X362" s="82"/>
      <c r="Y362" s="82"/>
      <c r="Z362" s="79"/>
      <c r="AA362" s="79"/>
      <c r="AB362" s="79"/>
      <c r="AC362" s="79"/>
      <c r="AD362" s="79"/>
      <c r="AE362" s="79"/>
      <c r="AF362" s="79"/>
      <c r="AG362" s="79"/>
      <c r="AH362" s="79"/>
      <c r="AI362" s="79"/>
      <c r="AJ362" s="79"/>
      <c r="AK362" s="113"/>
      <c r="AL362" s="79"/>
      <c r="AM362" s="82"/>
      <c r="AN362" s="82"/>
      <c r="AO362" s="82"/>
      <c r="AP362" s="82"/>
      <c r="AQ362" s="82"/>
      <c r="AR362" s="82"/>
      <c r="AS362" s="82"/>
      <c r="AT362" s="82"/>
      <c r="AU362" s="82"/>
      <c r="AV362" s="82"/>
      <c r="AW362" s="82"/>
      <c r="AX362" s="79"/>
      <c r="AY362" s="82"/>
      <c r="AZ362" s="82"/>
      <c r="BA362" s="82"/>
      <c r="BB362" s="82"/>
      <c r="BC362" s="82"/>
      <c r="BD362" s="82"/>
      <c r="BE362" s="82"/>
      <c r="BF362" s="82"/>
      <c r="BG362" s="82"/>
      <c r="BH362" s="1"/>
    </row>
    <row r="363" spans="1:60" ht="21">
      <c r="A363" s="1040"/>
      <c r="B363" s="1109" t="s">
        <v>1221</v>
      </c>
      <c r="C363" s="1106" t="s">
        <v>96</v>
      </c>
      <c r="D363" s="645" t="s">
        <v>45</v>
      </c>
      <c r="E363" s="209" t="s">
        <v>1362</v>
      </c>
      <c r="F363" s="209"/>
      <c r="G363" s="209"/>
      <c r="H363" s="1188" t="str">
        <f>IF(OR($F$5&lt;&gt;"NTA8800:2026",$F$6&lt;&gt;"EP"),"Voor correcte EP: Kies linksboven 'NTA8800:2026' en 'EP'","")</f>
        <v/>
      </c>
      <c r="I363" s="129"/>
      <c r="J363" s="256"/>
      <c r="K363" s="126"/>
      <c r="L363" s="126"/>
      <c r="M363" s="256" t="str">
        <f>"MWh "&amp;M$8</f>
        <v>MWh locatie 1</v>
      </c>
      <c r="N363" s="182"/>
      <c r="O363" s="955" t="str">
        <f>$E363&amp;" per woning-/gebouwtype"</f>
        <v>primair totaal energiegebruik ZEB per woning-/gebouwtype</v>
      </c>
      <c r="P363" s="945"/>
      <c r="Q363" s="945"/>
      <c r="R363" s="945"/>
      <c r="S363" s="945"/>
      <c r="T363" s="945"/>
      <c r="U363" s="945"/>
      <c r="V363" s="945"/>
      <c r="W363" s="257"/>
      <c r="X363" s="82"/>
      <c r="Y363" s="256" t="str">
        <f>"MWh "&amp;Y$8</f>
        <v>MWh locatie 2</v>
      </c>
      <c r="Z363" s="182"/>
      <c r="AA363" s="955" t="str">
        <f>$E363&amp;" per woning-/gebouwtype"</f>
        <v>primair totaal energiegebruik ZEB per woning-/gebouwtype</v>
      </c>
      <c r="AB363" s="945"/>
      <c r="AC363" s="945"/>
      <c r="AD363" s="945"/>
      <c r="AE363" s="945"/>
      <c r="AF363" s="945"/>
      <c r="AG363" s="945"/>
      <c r="AH363" s="945"/>
      <c r="AI363" s="257"/>
      <c r="AJ363" s="79"/>
      <c r="AK363" s="256" t="str">
        <f>"MWh "&amp;AK$8</f>
        <v>MWh locatie 3</v>
      </c>
      <c r="AL363" s="182"/>
      <c r="AM363" s="955" t="str">
        <f>$E363&amp;" per woning-/gebouwtype"</f>
        <v>primair totaal energiegebruik ZEB per woning-/gebouwtype</v>
      </c>
      <c r="AN363" s="945"/>
      <c r="AO363" s="945"/>
      <c r="AP363" s="945"/>
      <c r="AQ363" s="945"/>
      <c r="AR363" s="945"/>
      <c r="AS363" s="945"/>
      <c r="AT363" s="945"/>
      <c r="AU363" s="257"/>
      <c r="AV363" s="82"/>
      <c r="AW363" s="256" t="str">
        <f>"MWh "&amp;AW$8</f>
        <v>MWh locatie 4</v>
      </c>
      <c r="AX363" s="182"/>
      <c r="AY363" s="955" t="str">
        <f>$E363&amp;" per woning-/gebouwtype"</f>
        <v>primair totaal energiegebruik ZEB per woning-/gebouwtype</v>
      </c>
      <c r="AZ363" s="945"/>
      <c r="BA363" s="945"/>
      <c r="BB363" s="945"/>
      <c r="BC363" s="945"/>
      <c r="BD363" s="945"/>
      <c r="BE363" s="945"/>
      <c r="BF363" s="945"/>
      <c r="BG363" s="257"/>
      <c r="BH363" s="1"/>
    </row>
    <row r="364" spans="1:60">
      <c r="A364" s="1040"/>
      <c r="B364" s="1109" t="s">
        <v>1221</v>
      </c>
      <c r="C364" s="1106" t="s">
        <v>96</v>
      </c>
      <c r="D364" s="645"/>
      <c r="E364" s="942" t="s">
        <v>1330</v>
      </c>
      <c r="F364" s="942"/>
      <c r="G364" s="942"/>
      <c r="H364" s="942"/>
      <c r="I364" s="129"/>
      <c r="J364" s="943"/>
      <c r="K364" s="126"/>
      <c r="L364" s="126"/>
      <c r="M364" s="944"/>
      <c r="N364" s="195"/>
      <c r="O364" s="258" t="str">
        <f>O$17</f>
        <v/>
      </c>
      <c r="P364" s="258" t="str">
        <f t="shared" ref="P364:W364" si="526">P$17</f>
        <v/>
      </c>
      <c r="Q364" s="258" t="str">
        <f t="shared" si="526"/>
        <v/>
      </c>
      <c r="R364" s="258" t="str">
        <f t="shared" si="526"/>
        <v/>
      </c>
      <c r="S364" s="258" t="str">
        <f t="shared" si="526"/>
        <v/>
      </c>
      <c r="T364" s="258" t="str">
        <f t="shared" si="526"/>
        <v/>
      </c>
      <c r="U364" s="258" t="str">
        <f t="shared" si="526"/>
        <v/>
      </c>
      <c r="V364" s="258" t="str">
        <f t="shared" si="526"/>
        <v/>
      </c>
      <c r="W364" s="258" t="str">
        <f t="shared" si="526"/>
        <v/>
      </c>
      <c r="X364" s="82"/>
      <c r="Y364" s="944"/>
      <c r="Z364" s="195"/>
      <c r="AA364" s="258" t="str">
        <f>AA$17</f>
        <v/>
      </c>
      <c r="AB364" s="258" t="str">
        <f t="shared" ref="AB364:AI364" si="527">AB$17</f>
        <v/>
      </c>
      <c r="AC364" s="258" t="str">
        <f t="shared" si="527"/>
        <v/>
      </c>
      <c r="AD364" s="258" t="str">
        <f t="shared" si="527"/>
        <v/>
      </c>
      <c r="AE364" s="258" t="str">
        <f t="shared" si="527"/>
        <v/>
      </c>
      <c r="AF364" s="258" t="str">
        <f t="shared" si="527"/>
        <v/>
      </c>
      <c r="AG364" s="258" t="str">
        <f t="shared" si="527"/>
        <v/>
      </c>
      <c r="AH364" s="258" t="str">
        <f t="shared" si="527"/>
        <v/>
      </c>
      <c r="AI364" s="258" t="str">
        <f t="shared" si="527"/>
        <v/>
      </c>
      <c r="AJ364" s="79"/>
      <c r="AK364" s="944"/>
      <c r="AL364" s="195"/>
      <c r="AM364" s="258" t="str">
        <f>AM$17</f>
        <v/>
      </c>
      <c r="AN364" s="258" t="str">
        <f t="shared" ref="AN364:AU364" si="528">AN$17</f>
        <v/>
      </c>
      <c r="AO364" s="258" t="str">
        <f t="shared" si="528"/>
        <v/>
      </c>
      <c r="AP364" s="258" t="str">
        <f t="shared" si="528"/>
        <v/>
      </c>
      <c r="AQ364" s="258" t="str">
        <f t="shared" si="528"/>
        <v/>
      </c>
      <c r="AR364" s="258" t="str">
        <f t="shared" si="528"/>
        <v/>
      </c>
      <c r="AS364" s="258" t="str">
        <f t="shared" si="528"/>
        <v/>
      </c>
      <c r="AT364" s="258" t="str">
        <f t="shared" si="528"/>
        <v/>
      </c>
      <c r="AU364" s="258" t="str">
        <f t="shared" si="528"/>
        <v/>
      </c>
      <c r="AV364" s="82"/>
      <c r="AW364" s="944"/>
      <c r="AX364" s="195"/>
      <c r="AY364" s="258" t="str">
        <f>AY$17</f>
        <v/>
      </c>
      <c r="AZ364" s="258" t="str">
        <f t="shared" ref="AZ364:BG364" si="529">AZ$17</f>
        <v/>
      </c>
      <c r="BA364" s="258" t="str">
        <f t="shared" si="529"/>
        <v/>
      </c>
      <c r="BB364" s="258" t="str">
        <f t="shared" si="529"/>
        <v/>
      </c>
      <c r="BC364" s="258" t="str">
        <f t="shared" si="529"/>
        <v/>
      </c>
      <c r="BD364" s="258" t="str">
        <f t="shared" si="529"/>
        <v/>
      </c>
      <c r="BE364" s="258" t="str">
        <f t="shared" si="529"/>
        <v/>
      </c>
      <c r="BF364" s="258" t="str">
        <f t="shared" si="529"/>
        <v/>
      </c>
      <c r="BG364" s="258" t="str">
        <f t="shared" si="529"/>
        <v/>
      </c>
      <c r="BH364" s="1"/>
    </row>
    <row r="365" spans="1:60">
      <c r="A365" s="1040"/>
      <c r="B365" s="1109" t="s">
        <v>1221</v>
      </c>
      <c r="C365" s="1107" t="s">
        <v>104</v>
      </c>
      <c r="D365" s="645"/>
      <c r="E365" s="304" t="str">
        <f>$O$10</f>
        <v>verwarming</v>
      </c>
      <c r="F365" s="180"/>
      <c r="G365" s="180"/>
      <c r="H365" s="201" t="s">
        <v>1207</v>
      </c>
      <c r="I365" s="114"/>
      <c r="J365" s="190"/>
      <c r="K365" s="1092"/>
      <c r="L365" s="1092"/>
      <c r="M365" s="190">
        <f>SUMPRODUCT(N365:X365,N$22:X$22,N$29:X$29)/1000</f>
        <v>0</v>
      </c>
      <c r="N365" s="119"/>
      <c r="O365" s="183">
        <f>IF(OR(O$22=0,$O$78=0),0,
(($O$126+$O$157+$O$178)/$O$78)*O$62)</f>
        <v>0</v>
      </c>
      <c r="P365" s="183">
        <f t="shared" ref="P365:W365" si="530">IF(OR(P$22=0,$O$78=0),0,
(($O$126+$O$157+$O$178)/$O$78)*P$62)</f>
        <v>0</v>
      </c>
      <c r="Q365" s="183">
        <f t="shared" si="530"/>
        <v>0</v>
      </c>
      <c r="R365" s="183">
        <f t="shared" si="530"/>
        <v>0</v>
      </c>
      <c r="S365" s="183">
        <f t="shared" si="530"/>
        <v>0</v>
      </c>
      <c r="T365" s="183">
        <f t="shared" si="530"/>
        <v>0</v>
      </c>
      <c r="U365" s="183">
        <f t="shared" si="530"/>
        <v>0</v>
      </c>
      <c r="V365" s="183">
        <f t="shared" si="530"/>
        <v>0</v>
      </c>
      <c r="W365" s="183">
        <f t="shared" si="530"/>
        <v>0</v>
      </c>
      <c r="X365" s="108"/>
      <c r="Y365" s="190">
        <f>SUMPRODUCT(Z365:AJ365,Z$22:AJ$22,Z$29:AJ$29)/1000</f>
        <v>0</v>
      </c>
      <c r="Z365" s="119"/>
      <c r="AA365" s="183">
        <f>IF(OR(AA$22=0,$AA$78=0),0,
(($AA$126+$AA$157+$AA$178)/$AA$78)*AA$62)</f>
        <v>0</v>
      </c>
      <c r="AB365" s="183">
        <f t="shared" ref="AB365:AI365" si="531">IF(OR(AB$22=0,$AA$78=0),0,
(($AA$126+$AA$157+$AA$178)/$AA$78)*AB$62)</f>
        <v>0</v>
      </c>
      <c r="AC365" s="183">
        <f t="shared" si="531"/>
        <v>0</v>
      </c>
      <c r="AD365" s="183">
        <f t="shared" si="531"/>
        <v>0</v>
      </c>
      <c r="AE365" s="183">
        <f t="shared" si="531"/>
        <v>0</v>
      </c>
      <c r="AF365" s="183">
        <f t="shared" si="531"/>
        <v>0</v>
      </c>
      <c r="AG365" s="183">
        <f t="shared" si="531"/>
        <v>0</v>
      </c>
      <c r="AH365" s="183">
        <f t="shared" si="531"/>
        <v>0</v>
      </c>
      <c r="AI365" s="183">
        <f t="shared" si="531"/>
        <v>0</v>
      </c>
      <c r="AJ365" s="1051"/>
      <c r="AK365" s="190">
        <f>SUMPRODUCT(AL365:AV365,AL$22:AV$22,AL$29:AV$29)/1000</f>
        <v>0</v>
      </c>
      <c r="AL365" s="119"/>
      <c r="AM365" s="183">
        <f>IF(OR(AM$22=0,$AM$78=0),0,
(($AM$126+$AM$157+$AM$178)/$AM$78)*AM$62)</f>
        <v>0</v>
      </c>
      <c r="AN365" s="183">
        <f t="shared" ref="AN365:AU365" si="532">IF(OR(AN$22=0,$AM$78=0),0,
(($AM$126+$AM$157+$AM$178)/$AM$78)*AN$62)</f>
        <v>0</v>
      </c>
      <c r="AO365" s="183">
        <f t="shared" si="532"/>
        <v>0</v>
      </c>
      <c r="AP365" s="183">
        <f t="shared" si="532"/>
        <v>0</v>
      </c>
      <c r="AQ365" s="183">
        <f t="shared" si="532"/>
        <v>0</v>
      </c>
      <c r="AR365" s="183">
        <f t="shared" si="532"/>
        <v>0</v>
      </c>
      <c r="AS365" s="183">
        <f t="shared" si="532"/>
        <v>0</v>
      </c>
      <c r="AT365" s="183">
        <f t="shared" si="532"/>
        <v>0</v>
      </c>
      <c r="AU365" s="183">
        <f t="shared" si="532"/>
        <v>0</v>
      </c>
      <c r="AV365" s="108"/>
      <c r="AW365" s="190">
        <f>SUMPRODUCT(AX365:BH365,AX$22:BH$22,AX$29:BH$29)/1000</f>
        <v>0</v>
      </c>
      <c r="AX365" s="119"/>
      <c r="AY365" s="183">
        <f>IF(OR(AY$22=0,$AY$78=0),0,
(($AY$126+$AY$157+$AY$178)/$AY$78)*AY$62)</f>
        <v>0</v>
      </c>
      <c r="AZ365" s="183">
        <f t="shared" ref="AZ365:BG365" si="533">IF(OR(AZ$22=0,$AY$78=0),0,
(($AY$126+$AY$157+$AY$178)/$AY$78)*AZ$62)</f>
        <v>0</v>
      </c>
      <c r="BA365" s="183">
        <f t="shared" si="533"/>
        <v>0</v>
      </c>
      <c r="BB365" s="183">
        <f t="shared" si="533"/>
        <v>0</v>
      </c>
      <c r="BC365" s="183">
        <f t="shared" si="533"/>
        <v>0</v>
      </c>
      <c r="BD365" s="183">
        <f t="shared" si="533"/>
        <v>0</v>
      </c>
      <c r="BE365" s="183">
        <f t="shared" si="533"/>
        <v>0</v>
      </c>
      <c r="BF365" s="183">
        <f t="shared" si="533"/>
        <v>0</v>
      </c>
      <c r="BG365" s="183">
        <f t="shared" si="533"/>
        <v>0</v>
      </c>
      <c r="BH365" s="1"/>
    </row>
    <row r="366" spans="1:60">
      <c r="A366" s="1040"/>
      <c r="B366" s="1109" t="s">
        <v>1221</v>
      </c>
      <c r="C366" s="1107" t="s">
        <v>104</v>
      </c>
      <c r="D366" s="645"/>
      <c r="E366" s="304" t="str">
        <f>$P$10</f>
        <v>koeling</v>
      </c>
      <c r="F366" s="180"/>
      <c r="G366" s="180"/>
      <c r="H366" s="201" t="s">
        <v>1207</v>
      </c>
      <c r="I366" s="114"/>
      <c r="J366" s="190"/>
      <c r="K366" s="1092"/>
      <c r="L366" s="1092"/>
      <c r="M366" s="190">
        <f t="shared" ref="M366:M374" si="534">SUMPRODUCT(N366:X366,N$22:X$22,N$29:X$29)/1000</f>
        <v>0</v>
      </c>
      <c r="N366" s="119"/>
      <c r="O366" s="183">
        <f t="shared" ref="O366:W366" si="535">IF(OR(O$22=0,$P$78=0),0,
(($P$126+$P$157+$P$178)/$P$78)*O64)</f>
        <v>0</v>
      </c>
      <c r="P366" s="183">
        <f t="shared" si="535"/>
        <v>0</v>
      </c>
      <c r="Q366" s="183">
        <f t="shared" si="535"/>
        <v>0</v>
      </c>
      <c r="R366" s="183">
        <f t="shared" si="535"/>
        <v>0</v>
      </c>
      <c r="S366" s="183">
        <f t="shared" si="535"/>
        <v>0</v>
      </c>
      <c r="T366" s="183">
        <f t="shared" si="535"/>
        <v>0</v>
      </c>
      <c r="U366" s="183">
        <f t="shared" si="535"/>
        <v>0</v>
      </c>
      <c r="V366" s="183">
        <f t="shared" si="535"/>
        <v>0</v>
      </c>
      <c r="W366" s="183">
        <f t="shared" si="535"/>
        <v>0</v>
      </c>
      <c r="X366" s="108"/>
      <c r="Y366" s="190">
        <f t="shared" ref="Y366:Y374" si="536">SUMPRODUCT(Z366:AJ366,Z$22:AJ$22,Z$29:AJ$29)/1000</f>
        <v>0</v>
      </c>
      <c r="Z366" s="119"/>
      <c r="AA366" s="183">
        <f t="shared" ref="AA366:AI366" si="537">IF(OR(AA$22=0,$AB$78=0),0,
(($AB$126+$AB$157+$AB$178)/$AB$78)*AA64)</f>
        <v>0</v>
      </c>
      <c r="AB366" s="183">
        <f t="shared" si="537"/>
        <v>0</v>
      </c>
      <c r="AC366" s="183">
        <f t="shared" si="537"/>
        <v>0</v>
      </c>
      <c r="AD366" s="183">
        <f t="shared" si="537"/>
        <v>0</v>
      </c>
      <c r="AE366" s="183">
        <f t="shared" si="537"/>
        <v>0</v>
      </c>
      <c r="AF366" s="183">
        <f t="shared" si="537"/>
        <v>0</v>
      </c>
      <c r="AG366" s="183">
        <f t="shared" si="537"/>
        <v>0</v>
      </c>
      <c r="AH366" s="183">
        <f t="shared" si="537"/>
        <v>0</v>
      </c>
      <c r="AI366" s="183">
        <f t="shared" si="537"/>
        <v>0</v>
      </c>
      <c r="AJ366" s="1051"/>
      <c r="AK366" s="190">
        <f t="shared" ref="AK366:AK374" si="538">SUMPRODUCT(AL366:AV366,AL$22:AV$22,AL$29:AV$29)/1000</f>
        <v>0</v>
      </c>
      <c r="AL366" s="119"/>
      <c r="AM366" s="183">
        <f t="shared" ref="AM366:AU366" si="539">IF(OR(AM$22=0,$AN$78=0),0,
(($AN$126+$AN$157+$AN$178)/$AN$78)*AM64)</f>
        <v>0</v>
      </c>
      <c r="AN366" s="183">
        <f t="shared" si="539"/>
        <v>0</v>
      </c>
      <c r="AO366" s="183">
        <f t="shared" si="539"/>
        <v>0</v>
      </c>
      <c r="AP366" s="183">
        <f t="shared" si="539"/>
        <v>0</v>
      </c>
      <c r="AQ366" s="183">
        <f t="shared" si="539"/>
        <v>0</v>
      </c>
      <c r="AR366" s="183">
        <f t="shared" si="539"/>
        <v>0</v>
      </c>
      <c r="AS366" s="183">
        <f t="shared" si="539"/>
        <v>0</v>
      </c>
      <c r="AT366" s="183">
        <f t="shared" si="539"/>
        <v>0</v>
      </c>
      <c r="AU366" s="183">
        <f t="shared" si="539"/>
        <v>0</v>
      </c>
      <c r="AV366" s="108"/>
      <c r="AW366" s="190">
        <f t="shared" ref="AW366:AW374" si="540">SUMPRODUCT(AX366:BH366,AX$22:BH$22,AX$29:BH$29)/1000</f>
        <v>0</v>
      </c>
      <c r="AX366" s="119"/>
      <c r="AY366" s="183">
        <f t="shared" ref="AY366:BG366" si="541">IF(OR(AY$22=0,$AZ$78=0),0,
(($AZ$126+$AZ$157+$AZ$178)/$AZ$78)*AY64)</f>
        <v>0</v>
      </c>
      <c r="AZ366" s="183">
        <f t="shared" si="541"/>
        <v>0</v>
      </c>
      <c r="BA366" s="183">
        <f t="shared" si="541"/>
        <v>0</v>
      </c>
      <c r="BB366" s="183">
        <f t="shared" si="541"/>
        <v>0</v>
      </c>
      <c r="BC366" s="183">
        <f t="shared" si="541"/>
        <v>0</v>
      </c>
      <c r="BD366" s="183">
        <f t="shared" si="541"/>
        <v>0</v>
      </c>
      <c r="BE366" s="183">
        <f t="shared" si="541"/>
        <v>0</v>
      </c>
      <c r="BF366" s="183">
        <f t="shared" si="541"/>
        <v>0</v>
      </c>
      <c r="BG366" s="183">
        <f t="shared" si="541"/>
        <v>0</v>
      </c>
      <c r="BH366" s="1"/>
    </row>
    <row r="367" spans="1:60">
      <c r="A367" s="1040"/>
      <c r="B367" s="1109" t="s">
        <v>1221</v>
      </c>
      <c r="C367" s="1107" t="s">
        <v>104</v>
      </c>
      <c r="D367" s="645"/>
      <c r="E367" s="304" t="str">
        <f>$Q$10</f>
        <v>tapwater</v>
      </c>
      <c r="F367" s="180"/>
      <c r="G367" s="180"/>
      <c r="H367" s="201" t="s">
        <v>1207</v>
      </c>
      <c r="I367" s="114"/>
      <c r="J367" s="190"/>
      <c r="K367" s="1092"/>
      <c r="L367" s="1092"/>
      <c r="M367" s="190">
        <f t="shared" si="534"/>
        <v>0</v>
      </c>
      <c r="N367" s="119"/>
      <c r="O367" s="183">
        <f>IF(O$22=0,0,
(($Q$126+$Q$157+$Q$178)/$Q$78)*O$65)</f>
        <v>0</v>
      </c>
      <c r="P367" s="183">
        <f t="shared" ref="P367:W367" si="542">IF(P$22=0,0,
(($Q$126+$Q$157+$Q$178)/$Q$78)*P$65)</f>
        <v>0</v>
      </c>
      <c r="Q367" s="183">
        <f t="shared" si="542"/>
        <v>0</v>
      </c>
      <c r="R367" s="183">
        <f t="shared" si="542"/>
        <v>0</v>
      </c>
      <c r="S367" s="183">
        <f t="shared" si="542"/>
        <v>0</v>
      </c>
      <c r="T367" s="183">
        <f t="shared" si="542"/>
        <v>0</v>
      </c>
      <c r="U367" s="183">
        <f t="shared" si="542"/>
        <v>0</v>
      </c>
      <c r="V367" s="183">
        <f t="shared" si="542"/>
        <v>0</v>
      </c>
      <c r="W367" s="183">
        <f t="shared" si="542"/>
        <v>0</v>
      </c>
      <c r="X367" s="108"/>
      <c r="Y367" s="190">
        <f t="shared" si="536"/>
        <v>0</v>
      </c>
      <c r="Z367" s="119"/>
      <c r="AA367" s="183">
        <f>IF(AA$22=0,0,
(($AC$126+$AC$157+$AC$178)/$AC$78)*AA$65)</f>
        <v>0</v>
      </c>
      <c r="AB367" s="183">
        <f t="shared" ref="AB367:AI367" si="543">IF(AB$22=0,0,
(($AC$126+$AC$157+$AC$178)/$AC$78)*AB$65)</f>
        <v>0</v>
      </c>
      <c r="AC367" s="183">
        <f t="shared" si="543"/>
        <v>0</v>
      </c>
      <c r="AD367" s="183">
        <f t="shared" si="543"/>
        <v>0</v>
      </c>
      <c r="AE367" s="183">
        <f t="shared" si="543"/>
        <v>0</v>
      </c>
      <c r="AF367" s="183">
        <f t="shared" si="543"/>
        <v>0</v>
      </c>
      <c r="AG367" s="183">
        <f t="shared" si="543"/>
        <v>0</v>
      </c>
      <c r="AH367" s="183">
        <f t="shared" si="543"/>
        <v>0</v>
      </c>
      <c r="AI367" s="183">
        <f t="shared" si="543"/>
        <v>0</v>
      </c>
      <c r="AJ367" s="1051"/>
      <c r="AK367" s="190">
        <f t="shared" si="538"/>
        <v>0</v>
      </c>
      <c r="AL367" s="119"/>
      <c r="AM367" s="183">
        <f>IF(AM$22=0,0,
(($AO$126+$AO$157+$AO$178)/$AO$78)*AM$65)</f>
        <v>0</v>
      </c>
      <c r="AN367" s="183">
        <f t="shared" ref="AN367:AU367" si="544">IF(AN$22=0,0,
(($AO$126+$AO$157+$AO$178)/$AO$78)*AN$65)</f>
        <v>0</v>
      </c>
      <c r="AO367" s="183">
        <f t="shared" si="544"/>
        <v>0</v>
      </c>
      <c r="AP367" s="183">
        <f t="shared" si="544"/>
        <v>0</v>
      </c>
      <c r="AQ367" s="183">
        <f t="shared" si="544"/>
        <v>0</v>
      </c>
      <c r="AR367" s="183">
        <f t="shared" si="544"/>
        <v>0</v>
      </c>
      <c r="AS367" s="183">
        <f t="shared" si="544"/>
        <v>0</v>
      </c>
      <c r="AT367" s="183">
        <f t="shared" si="544"/>
        <v>0</v>
      </c>
      <c r="AU367" s="183">
        <f t="shared" si="544"/>
        <v>0</v>
      </c>
      <c r="AV367" s="108"/>
      <c r="AW367" s="190">
        <f t="shared" si="540"/>
        <v>0</v>
      </c>
      <c r="AX367" s="119"/>
      <c r="AY367" s="183">
        <f>IF(AY$22=0,0,
(($BA$126+$BA$157+$BA$178)/$BA$78)*AY$65)</f>
        <v>0</v>
      </c>
      <c r="AZ367" s="183">
        <f t="shared" ref="AZ367:BF367" si="545">IF(AZ$22=0,0,
(($BA$126+$BA$157+$BA$178)/$BA$78)*AZ$65)</f>
        <v>0</v>
      </c>
      <c r="BA367" s="183">
        <f t="shared" si="545"/>
        <v>0</v>
      </c>
      <c r="BB367" s="183">
        <f t="shared" si="545"/>
        <v>0</v>
      </c>
      <c r="BC367" s="183">
        <f t="shared" si="545"/>
        <v>0</v>
      </c>
      <c r="BD367" s="183">
        <f t="shared" si="545"/>
        <v>0</v>
      </c>
      <c r="BE367" s="183">
        <f t="shared" si="545"/>
        <v>0</v>
      </c>
      <c r="BF367" s="183">
        <f t="shared" si="545"/>
        <v>0</v>
      </c>
      <c r="BG367" s="183">
        <f>IF(BG$22=0,0,
(($BA$126+$BA$157+$BA$178)/$BA$78)*BG$65)</f>
        <v>0</v>
      </c>
      <c r="BH367" s="1"/>
    </row>
    <row r="368" spans="1:60">
      <c r="A368" s="1040"/>
      <c r="B368" s="1109" t="s">
        <v>1221</v>
      </c>
      <c r="C368" s="1107" t="s">
        <v>104</v>
      </c>
      <c r="D368" s="645"/>
      <c r="E368" s="304" t="str">
        <f>$R$10</f>
        <v>verlichting</v>
      </c>
      <c r="F368" s="180"/>
      <c r="G368" s="180"/>
      <c r="H368" s="201" t="s">
        <v>1207</v>
      </c>
      <c r="I368" s="114"/>
      <c r="J368" s="190"/>
      <c r="K368" s="1092"/>
      <c r="L368" s="1092"/>
      <c r="M368" s="190">
        <f t="shared" si="534"/>
        <v>0</v>
      </c>
      <c r="N368" s="119"/>
      <c r="O368" s="183">
        <f>IF(OR(O$19=woning,O$19=woongebouw,O$22=0),0,O66*bibliotheek!$I$307)</f>
        <v>0</v>
      </c>
      <c r="P368" s="183">
        <f>IF(OR(P$19=woning,P$19=woongebouw,P$22=0),0,P66*bibliotheek!$I$307)</f>
        <v>0</v>
      </c>
      <c r="Q368" s="183">
        <f>IF(OR(Q$19=woning,Q$19=woongebouw,Q$22=0),0,Q66*bibliotheek!$I$307)</f>
        <v>0</v>
      </c>
      <c r="R368" s="183">
        <f>IF(OR(R$19=woning,R$19=woongebouw,R$22=0),0,R66*bibliotheek!$I$307)</f>
        <v>0</v>
      </c>
      <c r="S368" s="183">
        <f>IF(OR(S$19=woning,S$19=woongebouw,S$22=0),0,S66*bibliotheek!$I$307)</f>
        <v>0</v>
      </c>
      <c r="T368" s="183">
        <f>IF(OR(T$19=woning,T$19=woongebouw,T$22=0),0,T66*bibliotheek!$I$307)</f>
        <v>0</v>
      </c>
      <c r="U368" s="183">
        <f>IF(OR(U$19=woning,U$19=woongebouw,U$22=0),0,U66*bibliotheek!$I$307)</f>
        <v>0</v>
      </c>
      <c r="V368" s="183">
        <f>IF(OR(V$19=woning,V$19=woongebouw,V$22=0),0,V66*bibliotheek!$I$307)</f>
        <v>0</v>
      </c>
      <c r="W368" s="183">
        <f>IF(OR(W$19=woning,W$19=woongebouw,W$22=0),0,W66*bibliotheek!$I$307)</f>
        <v>0</v>
      </c>
      <c r="X368" s="108"/>
      <c r="Y368" s="190">
        <f t="shared" si="536"/>
        <v>0</v>
      </c>
      <c r="Z368" s="119"/>
      <c r="AA368" s="183">
        <f>IF(OR(AA$19=woning,AA$19=woongebouw,AA$22=0),0,AA66*bibliotheek!$I$307)</f>
        <v>0</v>
      </c>
      <c r="AB368" s="183">
        <f>IF(OR(AB$19=woning,AB$19=woongebouw,AB$22=0),0,AB66*bibliotheek!$I$307)</f>
        <v>0</v>
      </c>
      <c r="AC368" s="183">
        <f>IF(OR(AC$19=woning,AC$19=woongebouw,AC$22=0),0,AC66*bibliotheek!$I$307)</f>
        <v>0</v>
      </c>
      <c r="AD368" s="183">
        <f>IF(OR(AD$19=woning,AD$19=woongebouw,AD$22=0),0,AD66*bibliotheek!$I$307)</f>
        <v>0</v>
      </c>
      <c r="AE368" s="183">
        <f>IF(OR(AE$19=woning,AE$19=woongebouw,AE$22=0),0,AE66*bibliotheek!$I$307)</f>
        <v>0</v>
      </c>
      <c r="AF368" s="183">
        <f>IF(OR(AF$19=woning,AF$19=woongebouw,AF$22=0),0,AF66*bibliotheek!$I$307)</f>
        <v>0</v>
      </c>
      <c r="AG368" s="183">
        <f>IF(OR(AG$19=woning,AG$19=woongebouw,AG$22=0),0,AG66*bibliotheek!$I$307)</f>
        <v>0</v>
      </c>
      <c r="AH368" s="183">
        <f>IF(OR(AH$19=woning,AH$19=woongebouw,AH$22=0),0,AH66*bibliotheek!$I$307)</f>
        <v>0</v>
      </c>
      <c r="AI368" s="183">
        <f>IF(OR(AI$19=woning,AI$19=woongebouw,AI$22=0),0,AI66*bibliotheek!$I$307)</f>
        <v>0</v>
      </c>
      <c r="AJ368" s="1051"/>
      <c r="AK368" s="190">
        <f t="shared" si="538"/>
        <v>0</v>
      </c>
      <c r="AL368" s="119"/>
      <c r="AM368" s="183">
        <f>IF(OR(AM$19=woning,AM$19=woongebouw,AM$22=0),0,AM66*bibliotheek!$I$307)</f>
        <v>0</v>
      </c>
      <c r="AN368" s="183">
        <f>IF(OR(AN$19=woning,AN$19=woongebouw,AN$22=0),0,AN66*bibliotheek!$I$307)</f>
        <v>0</v>
      </c>
      <c r="AO368" s="183">
        <f>IF(OR(AO$19=woning,AO$19=woongebouw,AO$22=0),0,AO66*bibliotheek!$I$307)</f>
        <v>0</v>
      </c>
      <c r="AP368" s="183">
        <f>IF(OR(AP$19=woning,AP$19=woongebouw,AP$22=0),0,AP66*bibliotheek!$I$307)</f>
        <v>0</v>
      </c>
      <c r="AQ368" s="183">
        <f>IF(OR(AQ$19=woning,AQ$19=woongebouw,AQ$22=0),0,AQ66*bibliotheek!$I$307)</f>
        <v>0</v>
      </c>
      <c r="AR368" s="183">
        <f>IF(OR(AR$19=woning,AR$19=woongebouw,AR$22=0),0,AR66*bibliotheek!$I$307)</f>
        <v>0</v>
      </c>
      <c r="AS368" s="183">
        <f>IF(OR(AS$19=woning,AS$19=woongebouw,AS$22=0),0,AS66*bibliotheek!$I$307)</f>
        <v>0</v>
      </c>
      <c r="AT368" s="183">
        <f>IF(OR(AT$19=woning,AT$19=woongebouw,AT$22=0),0,AT66*bibliotheek!$I$307)</f>
        <v>0</v>
      </c>
      <c r="AU368" s="183">
        <f>IF(OR(AU$19=woning,AU$19=woongebouw,AU$22=0),0,AU66*bibliotheek!$I$307)</f>
        <v>0</v>
      </c>
      <c r="AV368" s="108"/>
      <c r="AW368" s="190">
        <f t="shared" si="540"/>
        <v>0</v>
      </c>
      <c r="AX368" s="119"/>
      <c r="AY368" s="183">
        <f>IF(OR(AY$19=woning,AY$19=woongebouw,AY$22=0),0,AY66*bibliotheek!$I$307)</f>
        <v>0</v>
      </c>
      <c r="AZ368" s="183">
        <f>IF(OR(AZ$19=woning,AZ$19=woongebouw,AZ$22=0),0,AZ66*bibliotheek!$I$307)</f>
        <v>0</v>
      </c>
      <c r="BA368" s="183">
        <f>IF(OR(BA$19=woning,BA$19=woongebouw,BA$22=0),0,BA66*bibliotheek!$I$307)</f>
        <v>0</v>
      </c>
      <c r="BB368" s="183">
        <f>IF(OR(BB$19=woning,BB$19=woongebouw,BB$22=0),0,BB66*bibliotheek!$I$307)</f>
        <v>0</v>
      </c>
      <c r="BC368" s="183">
        <f>IF(OR(BC$19=woning,BC$19=woongebouw,BC$22=0),0,BC66*bibliotheek!$I$307)</f>
        <v>0</v>
      </c>
      <c r="BD368" s="183">
        <f>IF(OR(BD$19=woning,BD$19=woongebouw,BD$22=0),0,BD66*bibliotheek!$I$307)</f>
        <v>0</v>
      </c>
      <c r="BE368" s="183">
        <f>IF(OR(BE$19=woning,BE$19=woongebouw,BE$22=0),0,BE66*bibliotheek!$I$307)</f>
        <v>0</v>
      </c>
      <c r="BF368" s="183">
        <f>IF(OR(BF$19=woning,BF$19=woongebouw,BF$22=0),0,BF66*bibliotheek!$I$307)</f>
        <v>0</v>
      </c>
      <c r="BG368" s="183">
        <f>IF(OR(BG$19=woning,BG$19=woongebouw,BG$22=0),0,BG66*bibliotheek!$I$307)</f>
        <v>0</v>
      </c>
      <c r="BH368" s="1"/>
    </row>
    <row r="369" spans="1:60">
      <c r="A369" s="1040"/>
      <c r="B369" s="1109" t="s">
        <v>1221</v>
      </c>
      <c r="C369" s="1107" t="s">
        <v>104</v>
      </c>
      <c r="D369" s="645"/>
      <c r="E369" s="304" t="str">
        <f>$S$10</f>
        <v>ventilatoren</v>
      </c>
      <c r="F369" s="180"/>
      <c r="G369" s="180"/>
      <c r="H369" s="201" t="s">
        <v>1207</v>
      </c>
      <c r="I369" s="114"/>
      <c r="J369" s="190"/>
      <c r="K369" s="1092"/>
      <c r="L369" s="1092"/>
      <c r="M369" s="190">
        <f t="shared" si="534"/>
        <v>0</v>
      </c>
      <c r="N369" s="119"/>
      <c r="O369" s="183">
        <f>IF(OR(O$22=0,$S$78=0),0,$S$178/$S$78*O$67)</f>
        <v>0</v>
      </c>
      <c r="P369" s="183">
        <f t="shared" ref="P369:W369" si="546">IF(OR(P$22=0,$S$78=0),0,$S$178/$S$78*P$67)</f>
        <v>0</v>
      </c>
      <c r="Q369" s="183">
        <f t="shared" si="546"/>
        <v>0</v>
      </c>
      <c r="R369" s="183">
        <f t="shared" si="546"/>
        <v>0</v>
      </c>
      <c r="S369" s="183">
        <f t="shared" si="546"/>
        <v>0</v>
      </c>
      <c r="T369" s="183">
        <f t="shared" si="546"/>
        <v>0</v>
      </c>
      <c r="U369" s="183">
        <f t="shared" si="546"/>
        <v>0</v>
      </c>
      <c r="V369" s="183">
        <f t="shared" si="546"/>
        <v>0</v>
      </c>
      <c r="W369" s="183">
        <f t="shared" si="546"/>
        <v>0</v>
      </c>
      <c r="X369" s="108"/>
      <c r="Y369" s="190">
        <f t="shared" si="536"/>
        <v>0</v>
      </c>
      <c r="Z369" s="119"/>
      <c r="AA369" s="183">
        <f>IF(OR(AA$22=0,$AE$78=0),0,$AE$178/$AE$78*AA$67)</f>
        <v>0</v>
      </c>
      <c r="AB369" s="183">
        <f t="shared" ref="AB369:AI369" si="547">IF(OR(AB$22=0,$AE$78=0),0,$AE$178/$AE$78*AB$67)</f>
        <v>0</v>
      </c>
      <c r="AC369" s="183">
        <f t="shared" si="547"/>
        <v>0</v>
      </c>
      <c r="AD369" s="183">
        <f t="shared" si="547"/>
        <v>0</v>
      </c>
      <c r="AE369" s="183">
        <f t="shared" si="547"/>
        <v>0</v>
      </c>
      <c r="AF369" s="183">
        <f t="shared" si="547"/>
        <v>0</v>
      </c>
      <c r="AG369" s="183">
        <f t="shared" si="547"/>
        <v>0</v>
      </c>
      <c r="AH369" s="183">
        <f t="shared" si="547"/>
        <v>0</v>
      </c>
      <c r="AI369" s="183">
        <f t="shared" si="547"/>
        <v>0</v>
      </c>
      <c r="AJ369" s="1051"/>
      <c r="AK369" s="190">
        <f t="shared" si="538"/>
        <v>0</v>
      </c>
      <c r="AL369" s="119"/>
      <c r="AM369" s="183">
        <f>IF(OR(AM$22=0,$AQ$78=0),0,$AQ$178/$AQ$78*AM$67)</f>
        <v>0</v>
      </c>
      <c r="AN369" s="183">
        <f t="shared" ref="AN369:AU369" si="548">IF(OR(AN$22=0,$AQ$78=0),0,$AQ$178/$AQ$78*AN$67)</f>
        <v>0</v>
      </c>
      <c r="AO369" s="183">
        <f t="shared" si="548"/>
        <v>0</v>
      </c>
      <c r="AP369" s="183">
        <f t="shared" si="548"/>
        <v>0</v>
      </c>
      <c r="AQ369" s="183">
        <f t="shared" si="548"/>
        <v>0</v>
      </c>
      <c r="AR369" s="183">
        <f t="shared" si="548"/>
        <v>0</v>
      </c>
      <c r="AS369" s="183">
        <f t="shared" si="548"/>
        <v>0</v>
      </c>
      <c r="AT369" s="183">
        <f t="shared" si="548"/>
        <v>0</v>
      </c>
      <c r="AU369" s="183">
        <f t="shared" si="548"/>
        <v>0</v>
      </c>
      <c r="AV369" s="108"/>
      <c r="AW369" s="190">
        <f t="shared" si="540"/>
        <v>0</v>
      </c>
      <c r="AX369" s="119"/>
      <c r="AY369" s="183">
        <f>IF(OR(AY$22=0,$BC$78=0),0,$BC$178/$BC$78*AY$67)</f>
        <v>0</v>
      </c>
      <c r="AZ369" s="183">
        <f t="shared" ref="AZ369:BF369" si="549">IF(OR(AZ$22=0,$BC$78=0),0,$BC$178/$BC$78*AZ$67)</f>
        <v>0</v>
      </c>
      <c r="BA369" s="183">
        <f t="shared" si="549"/>
        <v>0</v>
      </c>
      <c r="BB369" s="183">
        <f t="shared" si="549"/>
        <v>0</v>
      </c>
      <c r="BC369" s="183">
        <f t="shared" si="549"/>
        <v>0</v>
      </c>
      <c r="BD369" s="183">
        <f t="shared" si="549"/>
        <v>0</v>
      </c>
      <c r="BE369" s="183">
        <f t="shared" si="549"/>
        <v>0</v>
      </c>
      <c r="BF369" s="183">
        <f t="shared" si="549"/>
        <v>0</v>
      </c>
      <c r="BG369" s="183">
        <f>IF(OR(BG$22=0,$BC$78=0),0,$BC$178/$BC$78*BG$67)</f>
        <v>0</v>
      </c>
      <c r="BH369" s="1"/>
    </row>
    <row r="370" spans="1:60">
      <c r="A370" s="1040"/>
      <c r="B370" s="1109" t="s">
        <v>1221</v>
      </c>
      <c r="C370" s="1107" t="s">
        <v>104</v>
      </c>
      <c r="D370" s="645"/>
      <c r="E370" s="203" t="s">
        <v>232</v>
      </c>
      <c r="F370" s="203"/>
      <c r="G370" s="180"/>
      <c r="H370" s="201" t="s">
        <v>1207</v>
      </c>
      <c r="I370" s="114"/>
      <c r="J370" s="190"/>
      <c r="K370" s="1092"/>
      <c r="L370" s="1092"/>
      <c r="M370" s="190">
        <f t="shared" si="534"/>
        <v>0</v>
      </c>
      <c r="N370" s="119"/>
      <c r="O370" s="183">
        <f t="shared" ref="O370:W370" si="550">SUM(O365:O369)</f>
        <v>0</v>
      </c>
      <c r="P370" s="183">
        <f t="shared" si="550"/>
        <v>0</v>
      </c>
      <c r="Q370" s="183">
        <f t="shared" si="550"/>
        <v>0</v>
      </c>
      <c r="R370" s="183">
        <f t="shared" si="550"/>
        <v>0</v>
      </c>
      <c r="S370" s="183">
        <f t="shared" si="550"/>
        <v>0</v>
      </c>
      <c r="T370" s="183">
        <f t="shared" si="550"/>
        <v>0</v>
      </c>
      <c r="U370" s="183">
        <f t="shared" si="550"/>
        <v>0</v>
      </c>
      <c r="V370" s="183">
        <f t="shared" si="550"/>
        <v>0</v>
      </c>
      <c r="W370" s="183">
        <f t="shared" si="550"/>
        <v>0</v>
      </c>
      <c r="X370" s="108"/>
      <c r="Y370" s="190">
        <f t="shared" si="536"/>
        <v>0</v>
      </c>
      <c r="Z370" s="119"/>
      <c r="AA370" s="183">
        <f t="shared" ref="AA370:AI370" si="551">SUM(AA365:AA369)</f>
        <v>0</v>
      </c>
      <c r="AB370" s="183">
        <f t="shared" si="551"/>
        <v>0</v>
      </c>
      <c r="AC370" s="183">
        <f t="shared" si="551"/>
        <v>0</v>
      </c>
      <c r="AD370" s="183">
        <f t="shared" si="551"/>
        <v>0</v>
      </c>
      <c r="AE370" s="183">
        <f t="shared" si="551"/>
        <v>0</v>
      </c>
      <c r="AF370" s="183">
        <f t="shared" si="551"/>
        <v>0</v>
      </c>
      <c r="AG370" s="183">
        <f t="shared" si="551"/>
        <v>0</v>
      </c>
      <c r="AH370" s="183">
        <f t="shared" si="551"/>
        <v>0</v>
      </c>
      <c r="AI370" s="183">
        <f t="shared" si="551"/>
        <v>0</v>
      </c>
      <c r="AJ370" s="1051"/>
      <c r="AK370" s="190">
        <f t="shared" si="538"/>
        <v>0</v>
      </c>
      <c r="AL370" s="119"/>
      <c r="AM370" s="183">
        <f t="shared" ref="AM370:AU370" si="552">SUM(AM365:AM369)</f>
        <v>0</v>
      </c>
      <c r="AN370" s="183">
        <f t="shared" si="552"/>
        <v>0</v>
      </c>
      <c r="AO370" s="183">
        <f t="shared" si="552"/>
        <v>0</v>
      </c>
      <c r="AP370" s="183">
        <f t="shared" si="552"/>
        <v>0</v>
      </c>
      <c r="AQ370" s="183">
        <f t="shared" si="552"/>
        <v>0</v>
      </c>
      <c r="AR370" s="183">
        <f t="shared" si="552"/>
        <v>0</v>
      </c>
      <c r="AS370" s="183">
        <f t="shared" si="552"/>
        <v>0</v>
      </c>
      <c r="AT370" s="183">
        <f t="shared" si="552"/>
        <v>0</v>
      </c>
      <c r="AU370" s="183">
        <f t="shared" si="552"/>
        <v>0</v>
      </c>
      <c r="AV370" s="108"/>
      <c r="AW370" s="190">
        <f t="shared" si="540"/>
        <v>0</v>
      </c>
      <c r="AX370" s="119"/>
      <c r="AY370" s="183">
        <f t="shared" ref="AY370:BG370" si="553">SUM(AY365:AY369)</f>
        <v>0</v>
      </c>
      <c r="AZ370" s="183">
        <f t="shared" si="553"/>
        <v>0</v>
      </c>
      <c r="BA370" s="183">
        <f t="shared" si="553"/>
        <v>0</v>
      </c>
      <c r="BB370" s="183">
        <f t="shared" si="553"/>
        <v>0</v>
      </c>
      <c r="BC370" s="183">
        <f t="shared" si="553"/>
        <v>0</v>
      </c>
      <c r="BD370" s="183">
        <f t="shared" si="553"/>
        <v>0</v>
      </c>
      <c r="BE370" s="183">
        <f t="shared" si="553"/>
        <v>0</v>
      </c>
      <c r="BF370" s="183">
        <f t="shared" si="553"/>
        <v>0</v>
      </c>
      <c r="BG370" s="183">
        <f t="shared" si="553"/>
        <v>0</v>
      </c>
      <c r="BH370" s="1"/>
    </row>
    <row r="371" spans="1:60">
      <c r="A371" s="1040"/>
      <c r="B371" s="1109" t="s">
        <v>1221</v>
      </c>
      <c r="C371" s="1106" t="s">
        <v>96</v>
      </c>
      <c r="D371" s="645"/>
      <c r="E371" s="942" t="s">
        <v>1331</v>
      </c>
      <c r="F371" s="942"/>
      <c r="G371" s="942"/>
      <c r="H371" s="942"/>
      <c r="I371" s="129"/>
      <c r="J371" s="943"/>
      <c r="K371" s="126"/>
      <c r="L371" s="126"/>
      <c r="M371" s="944"/>
      <c r="N371" s="195"/>
      <c r="O371" s="258"/>
      <c r="P371" s="258"/>
      <c r="Q371" s="258"/>
      <c r="R371" s="258"/>
      <c r="S371" s="258"/>
      <c r="T371" s="258"/>
      <c r="U371" s="258"/>
      <c r="V371" s="258"/>
      <c r="W371" s="258"/>
      <c r="X371" s="82"/>
      <c r="Y371" s="944"/>
      <c r="Z371" s="195"/>
      <c r="AA371" s="258"/>
      <c r="AB371" s="258"/>
      <c r="AC371" s="258"/>
      <c r="AD371" s="258"/>
      <c r="AE371" s="258"/>
      <c r="AF371" s="258"/>
      <c r="AG371" s="258"/>
      <c r="AH371" s="258"/>
      <c r="AI371" s="258"/>
      <c r="AJ371" s="79"/>
      <c r="AK371" s="944"/>
      <c r="AL371" s="195"/>
      <c r="AM371" s="258"/>
      <c r="AN371" s="258"/>
      <c r="AO371" s="258"/>
      <c r="AP371" s="258"/>
      <c r="AQ371" s="258"/>
      <c r="AR371" s="258"/>
      <c r="AS371" s="258"/>
      <c r="AT371" s="258"/>
      <c r="AU371" s="258"/>
      <c r="AV371" s="82"/>
      <c r="AW371" s="944"/>
      <c r="AX371" s="195"/>
      <c r="AY371" s="258"/>
      <c r="AZ371" s="258"/>
      <c r="BA371" s="258"/>
      <c r="BB371" s="258"/>
      <c r="BC371" s="258"/>
      <c r="BD371" s="258"/>
      <c r="BE371" s="258"/>
      <c r="BF371" s="258"/>
      <c r="BG371" s="258"/>
      <c r="BH371" s="1"/>
    </row>
    <row r="372" spans="1:60">
      <c r="A372" s="1040"/>
      <c r="B372" s="1109" t="s">
        <v>1221</v>
      </c>
      <c r="C372" s="1107" t="s">
        <v>104</v>
      </c>
      <c r="D372" s="645"/>
      <c r="E372" s="203" t="s">
        <v>232</v>
      </c>
      <c r="F372" s="203"/>
      <c r="G372" s="180"/>
      <c r="H372" s="201" t="s">
        <v>1207</v>
      </c>
      <c r="I372" s="114"/>
      <c r="J372" s="190"/>
      <c r="K372" s="1092"/>
      <c r="L372" s="1092"/>
      <c r="M372" s="190" t="e">
        <f t="shared" si="534"/>
        <v>#DIV/0!</v>
      </c>
      <c r="N372" s="119"/>
      <c r="O372" s="183" t="e">
        <f>-$M$220*1000/O$31</f>
        <v>#DIV/0!</v>
      </c>
      <c r="P372" s="183" t="e">
        <f t="shared" ref="P372:W372" si="554">-$M$220*1000/P$31</f>
        <v>#DIV/0!</v>
      </c>
      <c r="Q372" s="183" t="e">
        <f t="shared" si="554"/>
        <v>#DIV/0!</v>
      </c>
      <c r="R372" s="183" t="e">
        <f t="shared" si="554"/>
        <v>#DIV/0!</v>
      </c>
      <c r="S372" s="183" t="e">
        <f t="shared" si="554"/>
        <v>#DIV/0!</v>
      </c>
      <c r="T372" s="183" t="e">
        <f t="shared" si="554"/>
        <v>#DIV/0!</v>
      </c>
      <c r="U372" s="183" t="e">
        <f t="shared" si="554"/>
        <v>#DIV/0!</v>
      </c>
      <c r="V372" s="183" t="e">
        <f t="shared" si="554"/>
        <v>#DIV/0!</v>
      </c>
      <c r="W372" s="183" t="e">
        <f t="shared" si="554"/>
        <v>#DIV/0!</v>
      </c>
      <c r="X372" s="108"/>
      <c r="Y372" s="190" t="e">
        <f t="shared" si="536"/>
        <v>#DIV/0!</v>
      </c>
      <c r="Z372" s="119"/>
      <c r="AA372" s="183" t="e">
        <f t="shared" ref="AA372:AI372" si="555">-$Y$220*1000/AA$31</f>
        <v>#DIV/0!</v>
      </c>
      <c r="AB372" s="183" t="e">
        <f t="shared" si="555"/>
        <v>#DIV/0!</v>
      </c>
      <c r="AC372" s="183" t="e">
        <f t="shared" si="555"/>
        <v>#DIV/0!</v>
      </c>
      <c r="AD372" s="183" t="e">
        <f t="shared" si="555"/>
        <v>#DIV/0!</v>
      </c>
      <c r="AE372" s="183" t="e">
        <f t="shared" si="555"/>
        <v>#DIV/0!</v>
      </c>
      <c r="AF372" s="183" t="e">
        <f t="shared" si="555"/>
        <v>#DIV/0!</v>
      </c>
      <c r="AG372" s="183" t="e">
        <f t="shared" si="555"/>
        <v>#DIV/0!</v>
      </c>
      <c r="AH372" s="183" t="e">
        <f t="shared" si="555"/>
        <v>#DIV/0!</v>
      </c>
      <c r="AI372" s="183" t="e">
        <f t="shared" si="555"/>
        <v>#DIV/0!</v>
      </c>
      <c r="AJ372" s="1051"/>
      <c r="AK372" s="190" t="e">
        <f t="shared" si="538"/>
        <v>#DIV/0!</v>
      </c>
      <c r="AL372" s="119"/>
      <c r="AM372" s="183" t="e">
        <f t="shared" ref="AM372:AU372" si="556">-$AK$220*1000/AM$31</f>
        <v>#DIV/0!</v>
      </c>
      <c r="AN372" s="183" t="e">
        <f t="shared" si="556"/>
        <v>#DIV/0!</v>
      </c>
      <c r="AO372" s="183" t="e">
        <f t="shared" si="556"/>
        <v>#DIV/0!</v>
      </c>
      <c r="AP372" s="183" t="e">
        <f t="shared" si="556"/>
        <v>#DIV/0!</v>
      </c>
      <c r="AQ372" s="183" t="e">
        <f t="shared" si="556"/>
        <v>#DIV/0!</v>
      </c>
      <c r="AR372" s="183" t="e">
        <f t="shared" si="556"/>
        <v>#DIV/0!</v>
      </c>
      <c r="AS372" s="183" t="e">
        <f t="shared" si="556"/>
        <v>#DIV/0!</v>
      </c>
      <c r="AT372" s="183" t="e">
        <f t="shared" si="556"/>
        <v>#DIV/0!</v>
      </c>
      <c r="AU372" s="183" t="e">
        <f t="shared" si="556"/>
        <v>#DIV/0!</v>
      </c>
      <c r="AV372" s="108"/>
      <c r="AW372" s="190" t="e">
        <f t="shared" si="540"/>
        <v>#DIV/0!</v>
      </c>
      <c r="AX372" s="119"/>
      <c r="AY372" s="183" t="e">
        <f t="shared" ref="AY372:BG372" si="557">-$AW$220*1000/AY$31</f>
        <v>#DIV/0!</v>
      </c>
      <c r="AZ372" s="183" t="e">
        <f t="shared" si="557"/>
        <v>#DIV/0!</v>
      </c>
      <c r="BA372" s="183" t="e">
        <f t="shared" si="557"/>
        <v>#DIV/0!</v>
      </c>
      <c r="BB372" s="183" t="e">
        <f t="shared" si="557"/>
        <v>#DIV/0!</v>
      </c>
      <c r="BC372" s="183" t="e">
        <f t="shared" si="557"/>
        <v>#DIV/0!</v>
      </c>
      <c r="BD372" s="183" t="e">
        <f t="shared" si="557"/>
        <v>#DIV/0!</v>
      </c>
      <c r="BE372" s="183" t="e">
        <f t="shared" si="557"/>
        <v>#DIV/0!</v>
      </c>
      <c r="BF372" s="183" t="e">
        <f t="shared" si="557"/>
        <v>#DIV/0!</v>
      </c>
      <c r="BG372" s="183" t="e">
        <f t="shared" si="557"/>
        <v>#DIV/0!</v>
      </c>
    </row>
    <row r="373" spans="1:60">
      <c r="A373" s="1040"/>
      <c r="B373" s="1109" t="s">
        <v>1221</v>
      </c>
      <c r="C373" s="1106" t="s">
        <v>96</v>
      </c>
      <c r="D373" s="645"/>
      <c r="E373" s="942" t="s">
        <v>1200</v>
      </c>
      <c r="F373" s="942"/>
      <c r="G373" s="942"/>
      <c r="H373" s="942"/>
      <c r="I373" s="129"/>
      <c r="J373" s="943"/>
      <c r="K373" s="126"/>
      <c r="L373" s="126"/>
      <c r="M373" s="944"/>
      <c r="N373" s="195"/>
      <c r="O373" s="258"/>
      <c r="P373" s="258"/>
      <c r="Q373" s="258"/>
      <c r="R373" s="258"/>
      <c r="S373" s="258"/>
      <c r="T373" s="258"/>
      <c r="U373" s="258"/>
      <c r="V373" s="258"/>
      <c r="W373" s="258"/>
      <c r="X373" s="82"/>
      <c r="Y373" s="944"/>
      <c r="Z373" s="195"/>
      <c r="AA373" s="258"/>
      <c r="AB373" s="258"/>
      <c r="AC373" s="258"/>
      <c r="AD373" s="258"/>
      <c r="AE373" s="258"/>
      <c r="AF373" s="258"/>
      <c r="AG373" s="258"/>
      <c r="AH373" s="258"/>
      <c r="AI373" s="258"/>
      <c r="AJ373" s="79"/>
      <c r="AK373" s="944"/>
      <c r="AL373" s="195"/>
      <c r="AM373" s="258"/>
      <c r="AN373" s="258"/>
      <c r="AO373" s="258"/>
      <c r="AP373" s="258"/>
      <c r="AQ373" s="258"/>
      <c r="AR373" s="258"/>
      <c r="AS373" s="258"/>
      <c r="AT373" s="258"/>
      <c r="AU373" s="258"/>
      <c r="AV373" s="82"/>
      <c r="AW373" s="944"/>
      <c r="AX373" s="195"/>
      <c r="AY373" s="258"/>
      <c r="AZ373" s="258"/>
      <c r="BA373" s="258"/>
      <c r="BB373" s="258"/>
      <c r="BC373" s="258"/>
      <c r="BD373" s="258"/>
      <c r="BE373" s="258"/>
      <c r="BF373" s="258"/>
      <c r="BG373" s="258"/>
      <c r="BH373" s="1"/>
    </row>
    <row r="374" spans="1:60">
      <c r="A374" s="1040"/>
      <c r="B374" s="1109" t="s">
        <v>1221</v>
      </c>
      <c r="C374" s="1107" t="s">
        <v>104</v>
      </c>
      <c r="D374" s="645"/>
      <c r="E374" s="203" t="s">
        <v>232</v>
      </c>
      <c r="F374" s="203"/>
      <c r="G374" s="180"/>
      <c r="H374" s="201" t="s">
        <v>1207</v>
      </c>
      <c r="I374" s="114"/>
      <c r="J374" s="190"/>
      <c r="K374" s="1092"/>
      <c r="L374" s="1092"/>
      <c r="M374" s="190" t="e">
        <f t="shared" si="534"/>
        <v>#DIV/0!</v>
      </c>
      <c r="N374" s="119"/>
      <c r="O374" s="183" t="e">
        <f>O370+O372</f>
        <v>#DIV/0!</v>
      </c>
      <c r="P374" s="183" t="e">
        <f t="shared" ref="P374:W374" si="558">P370+P372</f>
        <v>#DIV/0!</v>
      </c>
      <c r="Q374" s="183" t="e">
        <f t="shared" si="558"/>
        <v>#DIV/0!</v>
      </c>
      <c r="R374" s="183" t="e">
        <f t="shared" si="558"/>
        <v>#DIV/0!</v>
      </c>
      <c r="S374" s="183" t="e">
        <f t="shared" si="558"/>
        <v>#DIV/0!</v>
      </c>
      <c r="T374" s="183" t="e">
        <f t="shared" si="558"/>
        <v>#DIV/0!</v>
      </c>
      <c r="U374" s="183" t="e">
        <f t="shared" si="558"/>
        <v>#DIV/0!</v>
      </c>
      <c r="V374" s="183" t="e">
        <f t="shared" si="558"/>
        <v>#DIV/0!</v>
      </c>
      <c r="W374" s="183" t="e">
        <f t="shared" si="558"/>
        <v>#DIV/0!</v>
      </c>
      <c r="X374" s="108"/>
      <c r="Y374" s="190" t="e">
        <f t="shared" si="536"/>
        <v>#DIV/0!</v>
      </c>
      <c r="Z374" s="119"/>
      <c r="AA374" s="183" t="e">
        <f t="shared" ref="AA374:AI374" si="559">AA370+AA372</f>
        <v>#DIV/0!</v>
      </c>
      <c r="AB374" s="183" t="e">
        <f t="shared" si="559"/>
        <v>#DIV/0!</v>
      </c>
      <c r="AC374" s="183" t="e">
        <f t="shared" si="559"/>
        <v>#DIV/0!</v>
      </c>
      <c r="AD374" s="183" t="e">
        <f t="shared" si="559"/>
        <v>#DIV/0!</v>
      </c>
      <c r="AE374" s="183" t="e">
        <f t="shared" si="559"/>
        <v>#DIV/0!</v>
      </c>
      <c r="AF374" s="183" t="e">
        <f t="shared" si="559"/>
        <v>#DIV/0!</v>
      </c>
      <c r="AG374" s="183" t="e">
        <f t="shared" si="559"/>
        <v>#DIV/0!</v>
      </c>
      <c r="AH374" s="183" t="e">
        <f t="shared" si="559"/>
        <v>#DIV/0!</v>
      </c>
      <c r="AI374" s="183" t="e">
        <f t="shared" si="559"/>
        <v>#DIV/0!</v>
      </c>
      <c r="AJ374" s="1051"/>
      <c r="AK374" s="190" t="e">
        <f t="shared" si="538"/>
        <v>#DIV/0!</v>
      </c>
      <c r="AL374" s="119"/>
      <c r="AM374" s="183" t="e">
        <f t="shared" ref="AM374:AU374" si="560">AM370+AM372</f>
        <v>#DIV/0!</v>
      </c>
      <c r="AN374" s="183" t="e">
        <f t="shared" si="560"/>
        <v>#DIV/0!</v>
      </c>
      <c r="AO374" s="183" t="e">
        <f t="shared" si="560"/>
        <v>#DIV/0!</v>
      </c>
      <c r="AP374" s="183" t="e">
        <f t="shared" si="560"/>
        <v>#DIV/0!</v>
      </c>
      <c r="AQ374" s="183" t="e">
        <f t="shared" si="560"/>
        <v>#DIV/0!</v>
      </c>
      <c r="AR374" s="183" t="e">
        <f t="shared" si="560"/>
        <v>#DIV/0!</v>
      </c>
      <c r="AS374" s="183" t="e">
        <f t="shared" si="560"/>
        <v>#DIV/0!</v>
      </c>
      <c r="AT374" s="183" t="e">
        <f t="shared" si="560"/>
        <v>#DIV/0!</v>
      </c>
      <c r="AU374" s="183" t="e">
        <f t="shared" si="560"/>
        <v>#DIV/0!</v>
      </c>
      <c r="AV374" s="108"/>
      <c r="AW374" s="190" t="e">
        <f t="shared" si="540"/>
        <v>#DIV/0!</v>
      </c>
      <c r="AX374" s="119"/>
      <c r="AY374" s="183" t="e">
        <f t="shared" ref="AY374:BG374" si="561">AY370+AY372</f>
        <v>#DIV/0!</v>
      </c>
      <c r="AZ374" s="183" t="e">
        <f t="shared" si="561"/>
        <v>#DIV/0!</v>
      </c>
      <c r="BA374" s="183" t="e">
        <f t="shared" si="561"/>
        <v>#DIV/0!</v>
      </c>
      <c r="BB374" s="183" t="e">
        <f t="shared" si="561"/>
        <v>#DIV/0!</v>
      </c>
      <c r="BC374" s="183" t="e">
        <f t="shared" si="561"/>
        <v>#DIV/0!</v>
      </c>
      <c r="BD374" s="183" t="e">
        <f t="shared" si="561"/>
        <v>#DIV/0!</v>
      </c>
      <c r="BE374" s="183" t="e">
        <f t="shared" si="561"/>
        <v>#DIV/0!</v>
      </c>
      <c r="BF374" s="183" t="e">
        <f t="shared" si="561"/>
        <v>#DIV/0!</v>
      </c>
      <c r="BG374" s="183" t="e">
        <f t="shared" si="561"/>
        <v>#DIV/0!</v>
      </c>
      <c r="BH374" s="1"/>
    </row>
    <row r="375" spans="1:60">
      <c r="A375" s="1040"/>
      <c r="B375" s="1109" t="s">
        <v>1224</v>
      </c>
      <c r="C375" s="1106" t="s">
        <v>96</v>
      </c>
      <c r="D375" s="638"/>
      <c r="E375" s="79"/>
      <c r="F375" s="79"/>
      <c r="G375" s="79"/>
      <c r="H375" s="85"/>
      <c r="I375" s="79"/>
      <c r="J375" s="82"/>
      <c r="K375" s="79"/>
      <c r="L375" s="79"/>
      <c r="M375" s="108"/>
      <c r="N375" s="79"/>
      <c r="O375" s="108"/>
      <c r="P375" s="356"/>
      <c r="Q375" s="108"/>
      <c r="R375" s="108"/>
      <c r="S375" s="108"/>
      <c r="T375" s="108"/>
      <c r="U375" s="108"/>
      <c r="V375" s="108"/>
      <c r="W375" s="108"/>
      <c r="X375" s="82"/>
      <c r="Y375" s="82"/>
      <c r="Z375" s="79"/>
      <c r="AA375" s="82"/>
      <c r="AB375" s="82"/>
      <c r="AC375" s="82"/>
      <c r="AD375" s="82"/>
      <c r="AE375" s="82"/>
      <c r="AF375" s="82"/>
      <c r="AG375" s="82"/>
      <c r="AH375" s="82"/>
      <c r="AI375" s="82"/>
      <c r="AJ375" s="82"/>
      <c r="AK375" s="82"/>
      <c r="AL375" s="79"/>
      <c r="AM375" s="82"/>
      <c r="AN375" s="82"/>
      <c r="AO375" s="82"/>
      <c r="AP375" s="82"/>
      <c r="AQ375" s="82"/>
      <c r="AR375" s="82"/>
      <c r="AS375" s="82"/>
      <c r="AT375" s="82"/>
      <c r="AU375" s="82"/>
      <c r="AV375" s="82"/>
      <c r="AW375" s="82"/>
      <c r="AX375" s="79"/>
      <c r="AY375" s="82"/>
      <c r="AZ375" s="82"/>
      <c r="BA375" s="82"/>
      <c r="BB375" s="82"/>
      <c r="BC375" s="82"/>
      <c r="BD375" s="82"/>
      <c r="BE375" s="82"/>
      <c r="BF375" s="82"/>
      <c r="BG375" s="82"/>
      <c r="BH375" s="1"/>
    </row>
    <row r="376" spans="1:60" ht="21">
      <c r="A376" s="1040"/>
      <c r="B376" s="1109" t="s">
        <v>294</v>
      </c>
      <c r="C376" s="1107" t="s">
        <v>96</v>
      </c>
      <c r="D376" s="643" t="s">
        <v>84</v>
      </c>
      <c r="E376" s="1219" t="s">
        <v>82</v>
      </c>
      <c r="F376" s="480"/>
      <c r="G376" s="480"/>
      <c r="H376" s="481"/>
      <c r="I376" s="481"/>
      <c r="J376" s="482"/>
      <c r="K376" s="691"/>
      <c r="L376" s="691"/>
      <c r="M376" s="482"/>
      <c r="N376" s="482"/>
      <c r="O376" s="1167"/>
      <c r="P376" s="482"/>
      <c r="Q376" s="482"/>
      <c r="R376" s="482"/>
      <c r="S376" s="482"/>
      <c r="T376" s="482"/>
      <c r="U376" s="482"/>
      <c r="V376" s="482"/>
      <c r="W376" s="482"/>
      <c r="X376" s="482"/>
      <c r="Y376" s="482"/>
      <c r="Z376" s="482"/>
      <c r="AA376" s="482"/>
      <c r="AB376" s="482"/>
      <c r="AC376" s="482"/>
      <c r="AD376" s="482"/>
      <c r="AE376" s="482"/>
      <c r="AF376" s="482"/>
      <c r="AG376" s="482"/>
      <c r="AH376" s="482"/>
      <c r="AI376" s="482"/>
      <c r="AJ376" s="482"/>
      <c r="AK376" s="482"/>
      <c r="AL376" s="482"/>
      <c r="AM376" s="482"/>
      <c r="AN376" s="482"/>
      <c r="AO376" s="482"/>
      <c r="AP376" s="482"/>
      <c r="AQ376" s="482"/>
      <c r="AR376" s="482"/>
      <c r="AS376" s="482"/>
      <c r="AT376" s="482"/>
      <c r="AU376" s="482"/>
      <c r="AV376" s="482"/>
      <c r="AW376" s="482"/>
      <c r="AX376" s="482"/>
      <c r="AY376" s="483"/>
      <c r="AZ376" s="483"/>
      <c r="BA376" s="483"/>
      <c r="BB376" s="483"/>
      <c r="BC376" s="483"/>
      <c r="BD376" s="483"/>
      <c r="BE376" s="483"/>
      <c r="BF376" s="483"/>
      <c r="BG376" s="483"/>
      <c r="BH376" s="225"/>
    </row>
  </sheetData>
  <sheetProtection algorithmName="SHA-512" hashValue="iGP0Wz3hwUgt7L34WExRJFL23/0JY5Omulw4rGxYS0QFLLKItRzb1CFQtY/5Ee+DKHWI8gShpC1Qess8fiBdww==" saltValue="lqyXGK/H8cw9t+AJTDAMkg==" spinCount="100000" sheet="1" objects="1" scenarios="1" formatColumns="0" autoFilter="0"/>
  <autoFilter ref="B8:C376" xr:uid="{41D3E58C-B86B-4AE1-8380-FDD6F14E9537}">
    <filterColumn colId="1">
      <filters>
        <filter val="00. kop"/>
        <filter val="01. invoer"/>
        <filter val="04. resultaat"/>
      </filters>
    </filterColumn>
  </autoFilter>
  <dataConsolidate/>
  <mergeCells count="5">
    <mergeCell ref="E3:F3"/>
    <mergeCell ref="F4:H4"/>
    <mergeCell ref="B5:B7"/>
    <mergeCell ref="C5:C7"/>
    <mergeCell ref="E40:G40"/>
  </mergeCells>
  <conditionalFormatting sqref="C10:C24 B15:B24 B25:C42 B44:C360 B363:C376">
    <cfRule type="expression" dxfId="1696" priority="167">
      <formula>B10=""</formula>
    </cfRule>
  </conditionalFormatting>
  <conditionalFormatting sqref="E56">
    <cfRule type="expression" dxfId="1695" priority="121">
      <formula>$G$6=FALSE</formula>
    </cfRule>
  </conditionalFormatting>
  <conditionalFormatting sqref="F4:F6 H3">
    <cfRule type="expression" dxfId="1694" priority="213">
      <formula>F3=""</formula>
    </cfRule>
  </conditionalFormatting>
  <conditionalFormatting sqref="F5">
    <cfRule type="expression" dxfId="1693" priority="211">
      <formula>OR($F$5="",ISERROR(MATCH(F5,opwekking_elektriciteit,0))=TRUE)</formula>
    </cfRule>
  </conditionalFormatting>
  <conditionalFormatting sqref="F6">
    <cfRule type="expression" dxfId="1692" priority="103">
      <formula>OR($F$5="",ISERROR(MATCH(F6,rekenmethode_EP_MWA,0))=TRUE)</formula>
    </cfRule>
  </conditionalFormatting>
  <conditionalFormatting sqref="F2:H2">
    <cfRule type="expression" dxfId="1691" priority="219">
      <formula>$F$2&lt;&gt;""</formula>
    </cfRule>
  </conditionalFormatting>
  <conditionalFormatting sqref="F44:H44">
    <cfRule type="expression" dxfId="1690" priority="85">
      <formula>$F$6=EP</formula>
    </cfRule>
  </conditionalFormatting>
  <conditionalFormatting sqref="G61">
    <cfRule type="expression" dxfId="1689" priority="116">
      <formula>OR(G61="",ISERROR(MATCH(G61,beschikbare_fitformules_NTA8800,0))=TRUE)</formula>
    </cfRule>
  </conditionalFormatting>
  <conditionalFormatting sqref="G63">
    <cfRule type="expression" dxfId="1688" priority="113">
      <formula>OR(G63="",ISERROR(MATCH(G63,beschikbare_fitformules_NTA8800,0))=TRUE)</formula>
    </cfRule>
  </conditionalFormatting>
  <conditionalFormatting sqref="G328">
    <cfRule type="expression" dxfId="1687" priority="110">
      <formula>OR(G328="",ISERROR(MATCH(G328,beschikbare_fitformules_NTA8800,0))=TRUE)</formula>
    </cfRule>
  </conditionalFormatting>
  <conditionalFormatting sqref="H320:J320">
    <cfRule type="expression" dxfId="1686" priority="109">
      <formula>OR($F$5&lt;&gt;"NTA8800:2026",$F$6=MWA)</formula>
    </cfRule>
  </conditionalFormatting>
  <conditionalFormatting sqref="H363:J363">
    <cfRule type="expression" dxfId="1685" priority="1">
      <formula>OR($F$5&lt;&gt;"NTA8800:2026",$F$6=MWA)</formula>
    </cfRule>
  </conditionalFormatting>
  <conditionalFormatting sqref="J30:J31">
    <cfRule type="cellIs" dxfId="1684" priority="198" operator="greaterThan">
      <formula>0</formula>
    </cfRule>
  </conditionalFormatting>
  <conditionalFormatting sqref="J38:J40">
    <cfRule type="expression" dxfId="1683" priority="166">
      <formula>J38="OK"</formula>
    </cfRule>
  </conditionalFormatting>
  <conditionalFormatting sqref="J46:J47">
    <cfRule type="expression" dxfId="1682" priority="165">
      <formula>J46="OK"</formula>
    </cfRule>
  </conditionalFormatting>
  <conditionalFormatting sqref="J50">
    <cfRule type="expression" dxfId="1681" priority="20">
      <formula>J50="OK"</formula>
    </cfRule>
  </conditionalFormatting>
  <conditionalFormatting sqref="J52">
    <cfRule type="cellIs" dxfId="1680" priority="163" operator="equal">
      <formula>"nee"</formula>
    </cfRule>
  </conditionalFormatting>
  <conditionalFormatting sqref="J83">
    <cfRule type="cellIs" dxfId="1679" priority="199" operator="equal">
      <formula>"nee"</formula>
    </cfRule>
  </conditionalFormatting>
  <conditionalFormatting sqref="J144">
    <cfRule type="cellIs" dxfId="1678" priority="154" operator="equal">
      <formula>0</formula>
    </cfRule>
  </conditionalFormatting>
  <conditionalFormatting sqref="M30:M31">
    <cfRule type="cellIs" dxfId="1677" priority="197" operator="greaterThan">
      <formula>0</formula>
    </cfRule>
  </conditionalFormatting>
  <conditionalFormatting sqref="M50">
    <cfRule type="expression" dxfId="1676" priority="19">
      <formula>AND(M$22&gt;0,M50&lt;&gt;"ja",M50&lt;&gt;"nee")</formula>
    </cfRule>
    <cfRule type="expression" dxfId="1675" priority="18">
      <formula>M$22=0</formula>
    </cfRule>
  </conditionalFormatting>
  <conditionalFormatting sqref="M52">
    <cfRule type="cellIs" dxfId="1674" priority="84" operator="equal">
      <formula>"nee"</formula>
    </cfRule>
  </conditionalFormatting>
  <conditionalFormatting sqref="M83">
    <cfRule type="cellIs" dxfId="1673" priority="80" operator="equal">
      <formula>"nee"</formula>
    </cfRule>
  </conditionalFormatting>
  <conditionalFormatting sqref="M140:M147 Y140:Y147 AK140:AK147 AW140:AW147 M149:M157 Y149:Y157 AK149:AK157 AW149:AW157 M159:M161 Y159:Y161 AK159:AK161 AW159:AW161">
    <cfRule type="expression" dxfId="1672" priority="216">
      <formula>SUM(M$140:M$161)=0</formula>
    </cfRule>
  </conditionalFormatting>
  <conditionalFormatting sqref="M144 Y144 AK144 AW144 J147 M147 Y147 AK147 AW147 J151:J153 M151:M153 Y151:Y153 AK151:AK153 AW151:AW153 J155 M155 Y155 AK155 AW155 J157 M157 Y157 AK157 AW157 J161 M161 Y161 AK161 AW161">
    <cfRule type="cellIs" dxfId="1671" priority="158" operator="equal">
      <formula>0</formula>
    </cfRule>
  </conditionalFormatting>
  <conditionalFormatting sqref="M317 O317:X317 AJ317 AV317 BH317">
    <cfRule type="expression" dxfId="1670" priority="221">
      <formula>#REF!&gt;M317</formula>
    </cfRule>
  </conditionalFormatting>
  <conditionalFormatting sqref="O83 AA83 AM83 AY83">
    <cfRule type="expression" dxfId="1669" priority="162">
      <formula>OR(AND(O83="",O$22&gt;0),ISERROR(MATCH(O83,toestellen_RV_invoer,0)))</formula>
    </cfRule>
  </conditionalFormatting>
  <conditionalFormatting sqref="O90 Q90 AA90 AC90 AM90 AO90 AY90 BA90">
    <cfRule type="expression" dxfId="1668" priority="212">
      <formula>OR(AND(O$78&gt;0,O90=""),AND(O90&lt;&gt;"ja",O90&lt;&gt;"nee",O90&lt;&gt;""))</formula>
    </cfRule>
  </conditionalFormatting>
  <conditionalFormatting sqref="O135 Q135 AA135 AC135 AM135 AO135 AY135 BA135">
    <cfRule type="expression" dxfId="1667" priority="226">
      <formula>O$134=0</formula>
    </cfRule>
  </conditionalFormatting>
  <conditionalFormatting sqref="O90:Q91 AA90:AC91 AM90:AO91 AY90:BA91 O86:Q88 AA86:AC88 AM86:AO88 AY86:BA88 O93:Q95 AA93:AC95 AM93:AO95 AY93:BA95 O83:Q84 AA83:AC84 AM83:AO84 AY83:BA84 O97:Q99 AA97:AC99 AM97:AO99 AY97:BA99">
    <cfRule type="expression" dxfId="1666" priority="241">
      <formula>O$27=0</formula>
    </cfRule>
    <cfRule type="expression" dxfId="1665" priority="242">
      <formula>O$78=0</formula>
    </cfRule>
  </conditionalFormatting>
  <conditionalFormatting sqref="O104:Q104 AA104:AC104 AM104:AO104 AY104:BA104 AA140:AC140 AM140:AO140 AY140:BA140">
    <cfRule type="expression" dxfId="1664" priority="208">
      <formula>O$78=0</formula>
    </cfRule>
  </conditionalFormatting>
  <conditionalFormatting sqref="O109:Q109 AA109:AC109 AM109:AO109 O112:Q112 AA112:AC112 AM112:AO112 AY112:BA112 O119:Q119 AA119:AC119 AM119:AO119 AY119:BA119 O129:Q129 AA129:AC129 AM129:AO129 AY129:BA129 O135:Q135 AA135:AC135 AM135:AO135 AY135:BA135 O87 Q87 AA87 AC87 AM87 AO87 AY87 BA87 O94 Q94 AA94 AC94 AM94 AO94 AY94 BA94">
    <cfRule type="expression" dxfId="1663" priority="202">
      <formula>AND(O$78&gt;0,O87="")</formula>
    </cfRule>
  </conditionalFormatting>
  <conditionalFormatting sqref="O122:Q125 AA122:AC125 AM122:AO125 AY122:BA125 AA104:AC106 AM104:AO106 AY104:BA106 O105:Q106 O108:Q116 AA108:AC116 AM108:AO116 AY108:BA116 O118:Q119 AA118:AC120 AM118:AO120 AY118:BA120 P120:Q120 O128:Q130 AA128:AC130 AM128:AO130 AY128:BA130 O132:Q135 AA132:AC135 AM132:AO135 AY132:BA135">
    <cfRule type="expression" dxfId="1662" priority="155">
      <formula>OR(O$78=0,O$104="geen")</formula>
    </cfRule>
  </conditionalFormatting>
  <conditionalFormatting sqref="O123:Q123">
    <cfRule type="expression" dxfId="1661" priority="73">
      <formula>AND(O$78&gt;0,O123="")</formula>
    </cfRule>
  </conditionalFormatting>
  <conditionalFormatting sqref="O125:Q125">
    <cfRule type="expression" dxfId="1660" priority="76">
      <formula>AND(O$78&gt;0,O125="")</formula>
    </cfRule>
  </conditionalFormatting>
  <conditionalFormatting sqref="O140:Q140">
    <cfRule type="expression" dxfId="1659" priority="205">
      <formula>O$78=0</formula>
    </cfRule>
  </conditionalFormatting>
  <conditionalFormatting sqref="O146:Q146 AA146:AC146 AM146:AO146 AY146:BA146 O150:Q150 AA150:AC150 AM150:AO150 AY150:BA150 O160:Q160 AA160:AC160 AM160:AO160 AY160:BA160">
    <cfRule type="expression" dxfId="1658" priority="237">
      <formula>AND(O$78&gt;0,O$140&lt;&gt;"geen",O146="")</formula>
    </cfRule>
  </conditionalFormatting>
  <conditionalFormatting sqref="O153:Q157 AA153:AC157 AM153:AO157 AY153:BA157 O141:Q147 AA141:AC147 AM141:AO147 AY141:BA147 O149:Q151 AA149:AC151 AM149:AO151 AY149:BA151 O159:Q161 AA159:AC161 AM159:AO161 AY159:BA161">
    <cfRule type="expression" dxfId="1657" priority="153">
      <formula>OR(O$78=0,O$140="geen")</formula>
    </cfRule>
  </conditionalFormatting>
  <conditionalFormatting sqref="O154:Q154">
    <cfRule type="expression" dxfId="1656" priority="75">
      <formula>AND(O$78&gt;0,O$140&lt;&gt;"geen",O154="")</formula>
    </cfRule>
  </conditionalFormatting>
  <conditionalFormatting sqref="O156:Q156">
    <cfRule type="expression" dxfId="1655" priority="74">
      <formula>AND(O$78&gt;0,O$140&lt;&gt;"geen",O156="")</formula>
    </cfRule>
  </conditionalFormatting>
  <conditionalFormatting sqref="O166:Q168 AA166:AC168 AM166:AO168 AY166:BA168">
    <cfRule type="expression" dxfId="1654" priority="243">
      <formula>OR(O$27=0,O$132=0)</formula>
    </cfRule>
  </conditionalFormatting>
  <conditionalFormatting sqref="O167:Q167 AA167:AC167 AM167:AO167 AY167:BA167">
    <cfRule type="expression" dxfId="1653" priority="207">
      <formula>AND(O$132&gt;0,O167="")</formula>
    </cfRule>
  </conditionalFormatting>
  <conditionalFormatting sqref="O186:T188 T229:W231 AF229:AF231 AR229:AR231 BD229:BD231 AA230 AM230 AY230 O251:T258">
    <cfRule type="expression" dxfId="1652" priority="188">
      <formula>O$27=0</formula>
    </cfRule>
  </conditionalFormatting>
  <conditionalFormatting sqref="O17:W17">
    <cfRule type="expression" dxfId="1651" priority="101">
      <formula>AND(O17&lt;&gt;"",ISERROR(MATCH(O17,woningen_gebouwen_namen,0))=TRUE)</formula>
    </cfRule>
  </conditionalFormatting>
  <conditionalFormatting sqref="O20:W20">
    <cfRule type="expression" dxfId="1650" priority="196">
      <formula>OR(O$17="",AND(O$19&lt;&gt;woning,O$19&lt;&gt;woongebouw))</formula>
    </cfRule>
  </conditionalFormatting>
  <conditionalFormatting sqref="O21:W21">
    <cfRule type="expression" dxfId="1649" priority="102">
      <formula>AND(O21&lt;&gt;"",ISERROR(MATCH(O21,woningen_gebouwen_namen,0))=TRUE)</formula>
    </cfRule>
  </conditionalFormatting>
  <conditionalFormatting sqref="O22:W23 AA22:BG23">
    <cfRule type="expression" dxfId="1648" priority="184">
      <formula>O$17=""</formula>
    </cfRule>
  </conditionalFormatting>
  <conditionalFormatting sqref="O23:W23 AM23:AU23 AY23:BG23">
    <cfRule type="expression" dxfId="1647" priority="222">
      <formula>AND(O$17="",O23&gt;0)</formula>
    </cfRule>
    <cfRule type="expression" dxfId="1646" priority="223">
      <formula>AND(O$17&lt;&gt;"",O23="")</formula>
    </cfRule>
  </conditionalFormatting>
  <conditionalFormatting sqref="O28:W28">
    <cfRule type="expression" dxfId="1645" priority="100">
      <formula>AND(O28&lt;&gt;"",ISERROR(MATCH(O28,woningen_gebouwen_namen,0))=TRUE)</formula>
    </cfRule>
  </conditionalFormatting>
  <conditionalFormatting sqref="O37:W37">
    <cfRule type="expression" dxfId="1644" priority="91">
      <formula>AND(O37&lt;&gt;"",ISERROR(MATCH(O37,woningen_gebouwen_namen,0))=TRUE)</formula>
    </cfRule>
  </conditionalFormatting>
  <conditionalFormatting sqref="O38:W43">
    <cfRule type="expression" dxfId="1643" priority="11">
      <formula>OR(O$17="",O$22=0)</formula>
    </cfRule>
  </conditionalFormatting>
  <conditionalFormatting sqref="O40:W40 AA40:AI40 AM40:AU40 AY40:BG40">
    <cfRule type="expression" dxfId="1642" priority="224">
      <formula>OR(AND(O$17&lt;&gt;"",O$22&gt;0,O40=""),ISERROR(MATCH(O40,ventilatiesystemen_namen,0))=TRUE)</formula>
    </cfRule>
  </conditionalFormatting>
  <conditionalFormatting sqref="O41:W41 AA41:AI41 AM41:AU41 AY41:BG41">
    <cfRule type="expression" dxfId="1641" priority="240">
      <formula>OR(O$17="",O$22=0,LEFT(INDEX(ventilatiesystemen_code,MATCH(O$40,ventilatiesystemen_namen,0)),1)="A")</formula>
    </cfRule>
    <cfRule type="expression" dxfId="1640" priority="225">
      <formula>OR(AND(O$17&lt;&gt;"",O$22&gt;0,O41=""),ISERROR(MATCH(O41,ventilatoren_typen,0))=TRUE)</formula>
    </cfRule>
  </conditionalFormatting>
  <conditionalFormatting sqref="O42:W42 AA42:AI42 AM42:AU42 AY42:BG42">
    <cfRule type="expression" dxfId="1639" priority="156">
      <formula>OR(AND(O$17&lt;&gt;"",O$22&gt;0,O42=""),ISERROR(MATCH(O42,DWTW_namen,0))=TRUE)</formula>
    </cfRule>
  </conditionalFormatting>
  <conditionalFormatting sqref="O44:W44 AA44:AI44 AM44:AU44 AY44:BG44">
    <cfRule type="expression" dxfId="1638" priority="86">
      <formula>$F$6=EP</formula>
    </cfRule>
  </conditionalFormatting>
  <conditionalFormatting sqref="O44:W49 AY44:BG49 O24:W27 AM24:AU27 AY24:BG27 O29:W33 AA29:AI33 AM29:AU33 AY29:BG33 O52:W52 O54:W56 AM61:AU69 AY61:BG69 O71:W71 AM71:AU71 AY71:BG71 O73:W73 AM328:AU328 AY328:BG328">
    <cfRule type="expression" dxfId="1637" priority="104">
      <formula>OR(O$17="",O$22=0)</formula>
    </cfRule>
  </conditionalFormatting>
  <conditionalFormatting sqref="O45:W46 AA45:AI46 AM45:AU46 AY45:BG46">
    <cfRule type="expression" dxfId="1636" priority="164">
      <formula>OR(O$17="",O$26=0)</formula>
    </cfRule>
    <cfRule type="expression" dxfId="1635" priority="229">
      <formula>AND(O$17&lt;&gt;"",O$26&gt;0,O45="")</formula>
    </cfRule>
  </conditionalFormatting>
  <conditionalFormatting sqref="O46:W46 AA46:AI46 AM46:AU46 AY46:BG46">
    <cfRule type="expression" dxfId="1634" priority="231">
      <formula>AND(O46&lt;&gt;"",ISERROR(MATCH(O46,verlichtingsregeling_namen,0))=TRUE)</formula>
    </cfRule>
  </conditionalFormatting>
  <conditionalFormatting sqref="O47:W47 AA47:AI47 AM47:AU47 AY47:BG47">
    <cfRule type="expression" dxfId="1633" priority="174">
      <formula>OR(O$17="",O$24+O$25=0,AND(O$19&lt;&gt;woning,O$19&lt;&gt;woongebouw))</formula>
    </cfRule>
    <cfRule type="expression" dxfId="1632" priority="232">
      <formula>OR(AND(O$17&lt;&gt;"",O$22&gt;0,O47=""),AND(O47&lt;&gt;elektriciteit,O47&lt;&gt;aardgas))</formula>
    </cfRule>
  </conditionalFormatting>
  <conditionalFormatting sqref="O49:W49">
    <cfRule type="expression" dxfId="1631" priority="118">
      <formula>IF(AND($O$36&lt;&gt;"",$O$49=""),TRUE,FALSE)</formula>
    </cfRule>
  </conditionalFormatting>
  <conditionalFormatting sqref="O51:W51 O53:W53">
    <cfRule type="expression" dxfId="1630" priority="99">
      <formula>AND(O51&lt;&gt;"",ISERROR(MATCH(O51,woningen_gebouwen_namen,0))=TRUE)</formula>
    </cfRule>
  </conditionalFormatting>
  <conditionalFormatting sqref="O52:W52 AA52:AI52 AM52:AU52 AY52:BG52">
    <cfRule type="expression" dxfId="1629" priority="173">
      <formula>$O17=""</formula>
    </cfRule>
    <cfRule type="cellIs" dxfId="1628" priority="236" operator="equal">
      <formula>"nee"</formula>
    </cfRule>
  </conditionalFormatting>
  <conditionalFormatting sqref="O55:W55 AA55:AI55 AM55:AU55 AY55:BG55">
    <cfRule type="cellIs" dxfId="1627" priority="127" operator="equal">
      <formula>0</formula>
    </cfRule>
  </conditionalFormatting>
  <conditionalFormatting sqref="O56:W56 AA56:AI56 AM56:AU56 AY56:BG56">
    <cfRule type="expression" dxfId="1626" priority="246">
      <formula>AND(O$22&gt;0,O56="",$F$6=MWA)</formula>
    </cfRule>
    <cfRule type="expression" dxfId="1625" priority="247">
      <formula>AND(O$22&gt;0,O$56&gt;0,$F$6=MWA)</formula>
    </cfRule>
    <cfRule type="expression" dxfId="1624" priority="245">
      <formula>O$22=0</formula>
    </cfRule>
  </conditionalFormatting>
  <conditionalFormatting sqref="O60:W60">
    <cfRule type="expression" dxfId="1623" priority="98">
      <formula>AND(O60&lt;&gt;"",ISERROR(MATCH(O60,woningen_gebouwen_namen,0))=TRUE)</formula>
    </cfRule>
  </conditionalFormatting>
  <conditionalFormatting sqref="O61:W69">
    <cfRule type="expression" dxfId="1622" priority="114">
      <formula>OR(O$17="",O$22=0)</formula>
    </cfRule>
  </conditionalFormatting>
  <conditionalFormatting sqref="O70:W70">
    <cfRule type="expression" dxfId="1621" priority="97">
      <formula>AND(O70&lt;&gt;"",ISERROR(MATCH(O70,woningen_gebouwen_namen,0))=TRUE)</formula>
    </cfRule>
  </conditionalFormatting>
  <conditionalFormatting sqref="O71:W71 AM71:AU71 AY71:BG71 O73:W73">
    <cfRule type="expression" dxfId="1620" priority="157">
      <formula>AND(O$17&lt;&gt;"",O71="")</formula>
    </cfRule>
  </conditionalFormatting>
  <conditionalFormatting sqref="O72:W72">
    <cfRule type="expression" dxfId="1619" priority="96">
      <formula>AND(O72&lt;&gt;"",ISERROR(MATCH(O72,woningen_gebouwen_namen,0))=TRUE)</formula>
    </cfRule>
  </conditionalFormatting>
  <conditionalFormatting sqref="O78:W78">
    <cfRule type="expression" dxfId="1618" priority="206">
      <formula>O$27=0</formula>
    </cfRule>
  </conditionalFormatting>
  <conditionalFormatting sqref="O268:W268">
    <cfRule type="expression" dxfId="1617" priority="90">
      <formula>AND(O268&lt;&gt;"",ISERROR(MATCH(O268,woningen_gebouwen_namen,0))=TRUE)</formula>
    </cfRule>
  </conditionalFormatting>
  <conditionalFormatting sqref="O274:W274 O281:W281">
    <cfRule type="expression" dxfId="1616" priority="89">
      <formula>AND(O274&lt;&gt;"",ISERROR(MATCH(O274,woningen_gebouwen_namen,0))=TRUE)</formula>
    </cfRule>
  </conditionalFormatting>
  <conditionalFormatting sqref="O291:W291">
    <cfRule type="expression" dxfId="1615" priority="7">
      <formula>AND(O291&lt;&gt;"",ISERROR(MATCH(O291,woningen_gebouwen_namen,0))=TRUE)</formula>
    </cfRule>
  </conditionalFormatting>
  <conditionalFormatting sqref="O292:W292 AA292:AI292 AM292:AU292 AY292:BG292 AM364:AU372 O364:W374 AA364:AI374">
    <cfRule type="expression" dxfId="1614" priority="6">
      <formula>O$22=0</formula>
    </cfRule>
  </conditionalFormatting>
  <conditionalFormatting sqref="O293:W293 O297:W297">
    <cfRule type="expression" dxfId="1613" priority="95">
      <formula>AND(O293&lt;&gt;"",ISERROR(MATCH(O293,woningen_gebouwen_namen,0))=TRUE)</formula>
    </cfRule>
  </conditionalFormatting>
  <conditionalFormatting sqref="O305:W305 O312:W312 O314:W314 O316:W316">
    <cfRule type="expression" dxfId="1612" priority="94">
      <formula>AND(O305&lt;&gt;"",ISERROR(MATCH(O305,woningen_gebouwen_namen,0))=TRUE)</formula>
    </cfRule>
  </conditionalFormatting>
  <conditionalFormatting sqref="O321:W321">
    <cfRule type="expression" dxfId="1611" priority="88">
      <formula>AND(O321&lt;&gt;"",ISERROR(MATCH(O321,woningen_gebouwen_namen,0))=TRUE)</formula>
    </cfRule>
  </conditionalFormatting>
  <conditionalFormatting sqref="O323:W323 O327:W327 O332:W332 O335:W335 O338:W338">
    <cfRule type="expression" dxfId="1610" priority="93">
      <formula>AND(O323&lt;&gt;"",ISERROR(MATCH(O323,woningen_gebouwen_namen,0))=TRUE)</formula>
    </cfRule>
  </conditionalFormatting>
  <conditionalFormatting sqref="O328:W328">
    <cfRule type="expression" dxfId="1609" priority="111">
      <formula>OR(O$17="",O$22=0)</formula>
    </cfRule>
  </conditionalFormatting>
  <conditionalFormatting sqref="O329:W330">
    <cfRule type="expression" dxfId="1608" priority="217">
      <formula>O329&gt;O324</formula>
    </cfRule>
  </conditionalFormatting>
  <conditionalFormatting sqref="O331:W331 AA331:AI331 AM331:AU331 AY331:BG331">
    <cfRule type="expression" dxfId="1607" priority="119">
      <formula>$O$331&lt;$O$326</formula>
    </cfRule>
  </conditionalFormatting>
  <conditionalFormatting sqref="O333:W334 AA333:AI334 O317:W317 O329:W331 O339:W340 AY339:BG340 O269:W270 AA269:AI270 AA275:AI277 AM275:AU277 AY275:BG277 O282:W290 AA282:AI290 AK282:AK290 AM282:AU290 AW282:AW290 AY282:BG290 O298:W299 AA298:AI299 AM298:AU299 AY298:BG299 O304:W304 AA304:AI304 AY304:BG304 O306:W311 AA306:AI311 AY306:BG311 O313:W313 AA313:AI313 AY313:BG313 O315:W315 AA315:AI315 AY315:BG315 AA317:AI317 AY317:BG317 AA322:AI322 AY322:BG322 O324:W326 AA324:AI326 AY324:BG326 O345:W353 AY345:BG353 O355:W357 AA355:AI357 AM355:AU357">
    <cfRule type="expression" dxfId="1606" priority="239">
      <formula>O$22=0</formula>
    </cfRule>
  </conditionalFormatting>
  <conditionalFormatting sqref="O336:W337">
    <cfRule type="expression" dxfId="1605" priority="176">
      <formula>O$22=0</formula>
    </cfRule>
  </conditionalFormatting>
  <conditionalFormatting sqref="O337:W337">
    <cfRule type="expression" dxfId="1604" priority="143">
      <formula>AND(O337&lt;&gt;"nvt",O337&gt;O336)</formula>
    </cfRule>
    <cfRule type="expression" dxfId="1603" priority="144">
      <formula>AND(O337&lt;&gt;"nvt",O337&lt;=O336)</formula>
    </cfRule>
  </conditionalFormatting>
  <conditionalFormatting sqref="O340:W340">
    <cfRule type="expression" dxfId="1602" priority="141">
      <formula>AND(O340&lt;&gt;"nvt",O340&gt;O339)</formula>
    </cfRule>
    <cfRule type="expression" dxfId="1601" priority="142">
      <formula>AND(O340&lt;&gt;"nvt",O340&lt;=O339)</formula>
    </cfRule>
  </conditionalFormatting>
  <conditionalFormatting sqref="O344:W344">
    <cfRule type="expression" dxfId="1600" priority="87">
      <formula>AND(O344&lt;&gt;"",ISERROR(MATCH(O344,woningen_gebouwen_namen,0))=TRUE)</formula>
    </cfRule>
  </conditionalFormatting>
  <conditionalFormatting sqref="O354:W354 O358:W358">
    <cfRule type="expression" dxfId="1599" priority="92">
      <formula>AND(O354&lt;&gt;"",ISERROR(MATCH(O354,woningen_gebouwen_namen,0))=TRUE)</formula>
    </cfRule>
  </conditionalFormatting>
  <conditionalFormatting sqref="O364:W364">
    <cfRule type="expression" dxfId="1598" priority="70">
      <formula>AND(O364&lt;&gt;"",ISERROR(MATCH(O364,woningen_gebouwen_namen,0))=TRUE)</formula>
    </cfRule>
  </conditionalFormatting>
  <conditionalFormatting sqref="O371:W371 O373:W373">
    <cfRule type="expression" dxfId="1597" priority="71">
      <formula>AND(O371&lt;&gt;"",ISERROR(MATCH(O371,woningen_gebouwen_namen,0))=TRUE)</formula>
    </cfRule>
  </conditionalFormatting>
  <conditionalFormatting sqref="P83 AB83 AN83 AZ83">
    <cfRule type="expression" dxfId="1596" priority="200">
      <formula>OR(AND(P83="",P$22&gt;0),ISERROR(MATCH(P83,toestellen_KOEL_invoer,0)))</formula>
    </cfRule>
  </conditionalFormatting>
  <conditionalFormatting sqref="P84 AB84 AN84 AZ84 P86:P88 AB86:AB88 AN86:AN88 AZ86:AZ88 P90:P91 AB90:AB91 AN90:AN91 AZ90:AZ91 P93:P95 AB93:AB95 AN93:AN95 AZ93:AZ95 P97:P99 AB97:AB99 AN97:AN99 AZ97:AZ99">
    <cfRule type="expression" dxfId="1595" priority="148">
      <formula>P$83="geen"</formula>
    </cfRule>
  </conditionalFormatting>
  <conditionalFormatting sqref="Q83 AC83 AO83 BA83">
    <cfRule type="expression" dxfId="1594" priority="201">
      <formula>OR(AND(Q83="",Q$22&gt;0),ISERROR(MATCH(Q83,toestellen_TAP_invoer,0)))</formula>
    </cfRule>
  </conditionalFormatting>
  <conditionalFormatting sqref="Q90 AC90 AO90 BA90">
    <cfRule type="expression" dxfId="1593" priority="244">
      <formula>OR(AND(Q$22&gt;0,Q$78&gt;0,Q90=""),AND(Q90&lt;&gt;"ja",Q90&lt;&gt;"nee",Q90&lt;&gt;""))</formula>
    </cfRule>
  </conditionalFormatting>
  <conditionalFormatting sqref="T170:T171">
    <cfRule type="expression" dxfId="1592" priority="170">
      <formula>T$27=0</formula>
    </cfRule>
  </conditionalFormatting>
  <conditionalFormatting sqref="T173:T174">
    <cfRule type="expression" dxfId="1591" priority="169">
      <formula>T$27=0</formula>
    </cfRule>
  </conditionalFormatting>
  <conditionalFormatting sqref="T180">
    <cfRule type="expression" dxfId="1590" priority="168">
      <formula>T$27=0</formula>
    </cfRule>
  </conditionalFormatting>
  <conditionalFormatting sqref="T233">
    <cfRule type="expression" dxfId="1589" priority="171">
      <formula>T$27=0</formula>
    </cfRule>
  </conditionalFormatting>
  <conditionalFormatting sqref="T246">
    <cfRule type="expression" dxfId="1588" priority="192">
      <formula>T$27=0</formula>
    </cfRule>
  </conditionalFormatting>
  <conditionalFormatting sqref="T263:T264">
    <cfRule type="expression" dxfId="1587" priority="189">
      <formula>T$27=0</formula>
    </cfRule>
  </conditionalFormatting>
  <conditionalFormatting sqref="U169:W171">
    <cfRule type="expression" dxfId="1586" priority="204">
      <formula>U$27=0</formula>
    </cfRule>
  </conditionalFormatting>
  <conditionalFormatting sqref="Y50">
    <cfRule type="expression" dxfId="1585" priority="16">
      <formula>Y$22=0</formula>
    </cfRule>
    <cfRule type="expression" dxfId="1584" priority="17">
      <formula>AND(Y$22&gt;0,Y50&lt;&gt;"ja",Y50&lt;&gt;"nee")</formula>
    </cfRule>
  </conditionalFormatting>
  <conditionalFormatting sqref="Y52">
    <cfRule type="cellIs" dxfId="1583" priority="83" operator="equal">
      <formula>"nee"</formula>
    </cfRule>
  </conditionalFormatting>
  <conditionalFormatting sqref="Y83">
    <cfRule type="cellIs" dxfId="1582" priority="79" operator="equal">
      <formula>"nee"</formula>
    </cfRule>
  </conditionalFormatting>
  <conditionalFormatting sqref="Z38:AI39">
    <cfRule type="expression" dxfId="1581" priority="120">
      <formula>OR(Z$17="",Z$22=0)</formula>
    </cfRule>
  </conditionalFormatting>
  <conditionalFormatting sqref="AA49:AB49">
    <cfRule type="expression" dxfId="1580" priority="105">
      <formula>IF(AND($O$36&lt;&gt;"",$O$49=""),TRUE,FALSE)</formula>
    </cfRule>
  </conditionalFormatting>
  <conditionalFormatting sqref="AA123:AC123">
    <cfRule type="expression" dxfId="1579" priority="64">
      <formula>AND(AA$78&gt;0,AA123="")</formula>
    </cfRule>
  </conditionalFormatting>
  <conditionalFormatting sqref="AA125:AC125">
    <cfRule type="expression" dxfId="1578" priority="65">
      <formula>AND(AA$78&gt;0,AA125="")</formula>
    </cfRule>
  </conditionalFormatting>
  <conditionalFormatting sqref="AA154:AC154">
    <cfRule type="expression" dxfId="1577" priority="27">
      <formula>AND(AA$78&gt;0,AA$140&lt;&gt;"geen",AA154="")</formula>
    </cfRule>
  </conditionalFormatting>
  <conditionalFormatting sqref="AA156:AC156">
    <cfRule type="expression" dxfId="1576" priority="26">
      <formula>AND(AA$78&gt;0,AA$140&lt;&gt;"geen",AA156="")</formula>
    </cfRule>
  </conditionalFormatting>
  <conditionalFormatting sqref="AA251:AC251">
    <cfRule type="expression" dxfId="1575" priority="147">
      <formula>AA$27=0</formula>
    </cfRule>
  </conditionalFormatting>
  <conditionalFormatting sqref="AA229:AE229">
    <cfRule type="expression" dxfId="1574" priority="195">
      <formula>AA$27=0</formula>
    </cfRule>
  </conditionalFormatting>
  <conditionalFormatting sqref="AA258:AE258">
    <cfRule type="expression" dxfId="1573" priority="193">
      <formula>AA$27=0</formula>
    </cfRule>
  </conditionalFormatting>
  <conditionalFormatting sqref="AA17:AI17">
    <cfRule type="expression" dxfId="1572" priority="59">
      <formula>AND(AA17&lt;&gt;"",ISERROR(MATCH(AA17,woningen_gebouwen_namen,0))=TRUE)</formula>
    </cfRule>
  </conditionalFormatting>
  <conditionalFormatting sqref="AA20:AI20">
    <cfRule type="expression" dxfId="1571" priority="161">
      <formula>OR(AA$17="",AND(AA$19&lt;&gt;woning,AA$19&lt;&gt;woongebouw))</formula>
    </cfRule>
  </conditionalFormatting>
  <conditionalFormatting sqref="AA21:AI21">
    <cfRule type="expression" dxfId="1570" priority="56">
      <formula>AND(AA21&lt;&gt;"",ISERROR(MATCH(AA21,woningen_gebouwen_namen,0))=TRUE)</formula>
    </cfRule>
  </conditionalFormatting>
  <conditionalFormatting sqref="AA23:AI23">
    <cfRule type="expression" dxfId="1569" priority="235">
      <formula>AND(AA$17&lt;&gt;"",AA23="")</formula>
    </cfRule>
    <cfRule type="expression" dxfId="1568" priority="234">
      <formula>AND(AA$17="",AA23&gt;0)</formula>
    </cfRule>
  </conditionalFormatting>
  <conditionalFormatting sqref="AA24:AI27">
    <cfRule type="expression" dxfId="1567" priority="220">
      <formula>OR(AA$17="",AA$22=0)</formula>
    </cfRule>
  </conditionalFormatting>
  <conditionalFormatting sqref="AA28:AI28">
    <cfRule type="expression" dxfId="1566" priority="55">
      <formula>AND(AA28&lt;&gt;"",ISERROR(MATCH(AA28,woningen_gebouwen_namen,0))=TRUE)</formula>
    </cfRule>
  </conditionalFormatting>
  <conditionalFormatting sqref="AA37:AI37">
    <cfRule type="expression" dxfId="1565" priority="50">
      <formula>AND(AA37&lt;&gt;"",ISERROR(MATCH(AA37,woningen_gebouwen_namen,0))=TRUE)</formula>
    </cfRule>
  </conditionalFormatting>
  <conditionalFormatting sqref="AA39:AI39 O39:W39 AM39:AU39 AY39:BG39">
    <cfRule type="expression" dxfId="1564" priority="123">
      <formula>AND(O$17&lt;&gt;"",O$22&gt;0,O39&lt;&gt;"",ISERROR(MATCH(O39,isolatiepakketten_gebouwschil_namen,0))=TRUE)</formula>
    </cfRule>
  </conditionalFormatting>
  <conditionalFormatting sqref="AA40:AI43">
    <cfRule type="expression" dxfId="1563" priority="10">
      <formula>OR(AA$17="",AA$22=0)</formula>
    </cfRule>
  </conditionalFormatting>
  <conditionalFormatting sqref="AA44:AI49">
    <cfRule type="expression" dxfId="1562" priority="106">
      <formula>OR(AA$17="",AA$22=0)</formula>
    </cfRule>
  </conditionalFormatting>
  <conditionalFormatting sqref="AA49:AI49">
    <cfRule type="expression" dxfId="1561" priority="108">
      <formula>IF(AND($AA$36&lt;&gt;"",$AA$49=""),TRUE,FALSE)</formula>
    </cfRule>
  </conditionalFormatting>
  <conditionalFormatting sqref="AA51:AI51">
    <cfRule type="expression" dxfId="1560" priority="49">
      <formula>AND(AA51&lt;&gt;"",ISERROR(MATCH(AA51,woningen_gebouwen_namen,0))=TRUE)</formula>
    </cfRule>
  </conditionalFormatting>
  <conditionalFormatting sqref="AA53:AI53">
    <cfRule type="expression" dxfId="1559" priority="48">
      <formula>AND(AA53&lt;&gt;"",ISERROR(MATCH(AA53,woningen_gebouwen_namen,0))=TRUE)</formula>
    </cfRule>
  </conditionalFormatting>
  <conditionalFormatting sqref="AA60:AI60">
    <cfRule type="expression" dxfId="1558" priority="41">
      <formula>AND(AA60&lt;&gt;"",ISERROR(MATCH(AA60,woningen_gebouwen_namen,0))=TRUE)</formula>
    </cfRule>
  </conditionalFormatting>
  <conditionalFormatting sqref="AA61:AI69">
    <cfRule type="expression" dxfId="1557" priority="115">
      <formula>OR(AA$17="",AA$22=0)</formula>
    </cfRule>
  </conditionalFormatting>
  <conditionalFormatting sqref="AA70:AI70 AM70:AU70 AY70:BG70 AA72:AI72 AM72:AU72 AY72:BG72">
    <cfRule type="expression" dxfId="1556" priority="38">
      <formula>AND(AA70&lt;&gt;"",ISERROR(MATCH(AA70,woningen_gebouwen_namen,0))=TRUE)</formula>
    </cfRule>
  </conditionalFormatting>
  <conditionalFormatting sqref="AA71:AI71">
    <cfRule type="expression" dxfId="1555" priority="209">
      <formula>OR(AA$17="",AA$22=0)</formula>
    </cfRule>
    <cfRule type="expression" dxfId="1554" priority="210">
      <formula>AND(AA$17&lt;&gt;"",AA71="")</formula>
    </cfRule>
  </conditionalFormatting>
  <conditionalFormatting sqref="AA73:AI73">
    <cfRule type="expression" dxfId="1553" priority="2">
      <formula>OR(AA$17="",AA$22=0)</formula>
    </cfRule>
    <cfRule type="expression" dxfId="1552" priority="3">
      <formula>AND(AA$17&lt;&gt;"",AA73="")</formula>
    </cfRule>
  </conditionalFormatting>
  <conditionalFormatting sqref="AA78:AI78">
    <cfRule type="expression" dxfId="1551" priority="191">
      <formula>AA$27=0</formula>
    </cfRule>
  </conditionalFormatting>
  <conditionalFormatting sqref="AA268:AI268 AM268:AU268 AY268:BG268">
    <cfRule type="expression" dxfId="1550" priority="29">
      <formula>AND(AA268&lt;&gt;"",ISERROR(MATCH(AA268,woningen_gebouwen_namen,0))=TRUE)</formula>
    </cfRule>
  </conditionalFormatting>
  <conditionalFormatting sqref="AA274:AI274 AM274:AU274 AY274:BG274">
    <cfRule type="expression" dxfId="1549" priority="28">
      <formula>AND(AA274&lt;&gt;"",ISERROR(MATCH(AA274,woningen_gebouwen_namen,0))=TRUE)</formula>
    </cfRule>
  </conditionalFormatting>
  <conditionalFormatting sqref="AA281:AI281 AM281:AU281 AY281:BG281">
    <cfRule type="expression" dxfId="1548" priority="37">
      <formula>AND(AA281&lt;&gt;"",ISERROR(MATCH(AA281,woningen_gebouwen_namen,0))=TRUE)</formula>
    </cfRule>
  </conditionalFormatting>
  <conditionalFormatting sqref="AA291:AI291 AM291:AU291 AY291:BG291">
    <cfRule type="expression" dxfId="1547" priority="5">
      <formula>AND(AA291&lt;&gt;"",ISERROR(MATCH(AA291,woningen_gebouwen_namen,0))=TRUE)</formula>
    </cfRule>
  </conditionalFormatting>
  <conditionalFormatting sqref="AA293:AI293 AM293:AU293 AY293:BG293 AA297:AI297 AM297:AU297 AY297:BG297">
    <cfRule type="expression" dxfId="1546" priority="30">
      <formula>AND(AA293&lt;&gt;"",ISERROR(MATCH(AA293,woningen_gebouwen_namen,0))=TRUE)</formula>
    </cfRule>
  </conditionalFormatting>
  <conditionalFormatting sqref="AA305:AI305 AM305:AU305 AY305:BG305 AA312:AI312 AM312:AU312 AY312:BG312 AA314:AI314 AM314:AU314 AY314:BG314 AA316:AI316 AM316:AU316 AY316:BG316">
    <cfRule type="expression" dxfId="1545" priority="35">
      <formula>AND(AA305&lt;&gt;"",ISERROR(MATCH(AA305,woningen_gebouwen_namen,0))=TRUE)</formula>
    </cfRule>
  </conditionalFormatting>
  <conditionalFormatting sqref="AA321:AI321 AM321:AU321 AY321:BG321">
    <cfRule type="expression" dxfId="1544" priority="34">
      <formula>AND(AA321&lt;&gt;"",ISERROR(MATCH(AA321,woningen_gebouwen_namen,0))=TRUE)</formula>
    </cfRule>
  </conditionalFormatting>
  <conditionalFormatting sqref="AA323:AI323 AM323:AU323 AY323:BG323 AA327:AI327 AM327:AU327 AY327:BG327 AA332:AI332 AM332:AU332 AY332:BG332 AA335:AI335 AM335:AU335 AY335:BG335 AA338:AI338 AM338:AU338 AY338:BG338">
    <cfRule type="expression" dxfId="1543" priority="33">
      <formula>AND(AA323&lt;&gt;"",ISERROR(MATCH(AA323,woningen_gebouwen_namen,0))=TRUE)</formula>
    </cfRule>
  </conditionalFormatting>
  <conditionalFormatting sqref="AA328:AI328">
    <cfRule type="expression" dxfId="1542" priority="112">
      <formula>OR(AA$17="",AA$22=0)</formula>
    </cfRule>
  </conditionalFormatting>
  <conditionalFormatting sqref="AA329:AI331 AM329:AU331">
    <cfRule type="expression" dxfId="1541" priority="126">
      <formula>AA$22=0</formula>
    </cfRule>
  </conditionalFormatting>
  <conditionalFormatting sqref="AA337:AI337">
    <cfRule type="expression" dxfId="1540" priority="140">
      <formula>AND(AA337&lt;&gt;"nvt",AA337&lt;=AA336)</formula>
    </cfRule>
    <cfRule type="expression" dxfId="1539" priority="139">
      <formula>AND(AA337&lt;&gt;"nvt",AA337&gt;AA336)</formula>
    </cfRule>
  </conditionalFormatting>
  <conditionalFormatting sqref="AA340:AI340">
    <cfRule type="expression" dxfId="1538" priority="138">
      <formula>AND(AA340&lt;&gt;"nvt",AA340&lt;=AA339)</formula>
    </cfRule>
    <cfRule type="expression" dxfId="1537" priority="137">
      <formula>AND(AA340&lt;&gt;"nvt",AA340&gt;AA339)</formula>
    </cfRule>
  </conditionalFormatting>
  <conditionalFormatting sqref="AA344:AI344 AM344:AU344 AY344:BG344">
    <cfRule type="expression" dxfId="1536" priority="32">
      <formula>AND(AA344&lt;&gt;"",ISERROR(MATCH(AA344,woningen_gebouwen_namen,0))=TRUE)</formula>
    </cfRule>
  </conditionalFormatting>
  <conditionalFormatting sqref="AA345:AI353">
    <cfRule type="expression" dxfId="1535" priority="178">
      <formula>AA$22=0</formula>
    </cfRule>
  </conditionalFormatting>
  <conditionalFormatting sqref="AA354:AI354 AM354:AU354 AY354:BG354 AA358:AI358 AM358:AU358 AY358:BG358">
    <cfRule type="expression" dxfId="1534" priority="31">
      <formula>AND(AA354&lt;&gt;"",ISERROR(MATCH(AA354,woningen_gebouwen_namen,0))=TRUE)</formula>
    </cfRule>
  </conditionalFormatting>
  <conditionalFormatting sqref="AA359:AI360">
    <cfRule type="expression" dxfId="1533" priority="69">
      <formula>AA$22=0</formula>
    </cfRule>
  </conditionalFormatting>
  <conditionalFormatting sqref="AA364:AI364 AM364:AU364 AY364:BG364 O303:W303 AA303:AI303 AM303:AU303 AY303:BG303">
    <cfRule type="expression" dxfId="1532" priority="36">
      <formula>AND(O303&lt;&gt;"",ISERROR(MATCH(O303,woningen_gebouwen_namen,0))=TRUE)</formula>
    </cfRule>
  </conditionalFormatting>
  <conditionalFormatting sqref="AA371:AI371 AA373:AI373">
    <cfRule type="expression" dxfId="1531" priority="68">
      <formula>AND(AA371&lt;&gt;"",ISERROR(MATCH(AA371,woningen_gebouwen_namen,0))=TRUE)</formula>
    </cfRule>
  </conditionalFormatting>
  <conditionalFormatting sqref="AA329:AU330">
    <cfRule type="expression" dxfId="1530" priority="215">
      <formula>AA329&gt;AA324</formula>
    </cfRule>
  </conditionalFormatting>
  <conditionalFormatting sqref="AF263:AF264">
    <cfRule type="expression" dxfId="1529" priority="187">
      <formula>AF$27=0</formula>
    </cfRule>
  </conditionalFormatting>
  <conditionalFormatting sqref="AF251:AK258">
    <cfRule type="expression" dxfId="1528" priority="180">
      <formula>AF$27=0</formula>
    </cfRule>
  </conditionalFormatting>
  <conditionalFormatting sqref="AJ338 AV338">
    <cfRule type="expression" dxfId="1527" priority="132">
      <formula>AJ338&lt;AJ333</formula>
    </cfRule>
  </conditionalFormatting>
  <conditionalFormatting sqref="AK50">
    <cfRule type="expression" dxfId="1526" priority="14">
      <formula>AK$22=0</formula>
    </cfRule>
    <cfRule type="expression" dxfId="1525" priority="15">
      <formula>AND(AK$22&gt;0,AK50&lt;&gt;"ja",AK50&lt;&gt;"nee")</formula>
    </cfRule>
  </conditionalFormatting>
  <conditionalFormatting sqref="AK52">
    <cfRule type="cellIs" dxfId="1524" priority="82" operator="equal">
      <formula>"nee"</formula>
    </cfRule>
  </conditionalFormatting>
  <conditionalFormatting sqref="AK83">
    <cfRule type="cellIs" dxfId="1523" priority="78" operator="equal">
      <formula>"nee"</formula>
    </cfRule>
  </conditionalFormatting>
  <conditionalFormatting sqref="AM123:AO123">
    <cfRule type="expression" dxfId="1522" priority="62">
      <formula>AND(AM$78&gt;0,AM123="")</formula>
    </cfRule>
  </conditionalFormatting>
  <conditionalFormatting sqref="AM125:AO125">
    <cfRule type="expression" dxfId="1521" priority="63">
      <formula>AND(AM$78&gt;0,AM125="")</formula>
    </cfRule>
  </conditionalFormatting>
  <conditionalFormatting sqref="AM154:AO154">
    <cfRule type="expression" dxfId="1520" priority="25">
      <formula>AND(AM$78&gt;0,AM$140&lt;&gt;"geen",AM154="")</formula>
    </cfRule>
  </conditionalFormatting>
  <conditionalFormatting sqref="AM156:AO156">
    <cfRule type="expression" dxfId="1519" priority="24">
      <formula>AND(AM$78&gt;0,AM$140&lt;&gt;"geen",AM156="")</formula>
    </cfRule>
  </conditionalFormatting>
  <conditionalFormatting sqref="AM251:AO251">
    <cfRule type="expression" dxfId="1518" priority="146">
      <formula>AM$27=0</formula>
    </cfRule>
  </conditionalFormatting>
  <conditionalFormatting sqref="AM17:AU17">
    <cfRule type="expression" dxfId="1517" priority="58">
      <formula>AND(AM17&lt;&gt;"",ISERROR(MATCH(AM17,woningen_gebouwen_namen,0))=TRUE)</formula>
    </cfRule>
  </conditionalFormatting>
  <conditionalFormatting sqref="AM20:AU20">
    <cfRule type="expression" dxfId="1516" priority="160">
      <formula>OR(AM$17="",AND(AM$19&lt;&gt;woning,AM$19&lt;&gt;woongebouw))</formula>
    </cfRule>
  </conditionalFormatting>
  <conditionalFormatting sqref="AM21:AU21">
    <cfRule type="expression" dxfId="1515" priority="53">
      <formula>AND(AM21&lt;&gt;"",ISERROR(MATCH(AM21,woningen_gebouwen_namen,0))=TRUE)</formula>
    </cfRule>
  </conditionalFormatting>
  <conditionalFormatting sqref="AM28:AU28">
    <cfRule type="expression" dxfId="1514" priority="54">
      <formula>AND(AM28&lt;&gt;"",ISERROR(MATCH(AM28,woningen_gebouwen_namen,0))=TRUE)</formula>
    </cfRule>
  </conditionalFormatting>
  <conditionalFormatting sqref="AM37:AU37">
    <cfRule type="expression" dxfId="1513" priority="45">
      <formula>AND(AM37&lt;&gt;"",ISERROR(MATCH(AM37,woningen_gebouwen_namen,0))=TRUE)</formula>
    </cfRule>
  </conditionalFormatting>
  <conditionalFormatting sqref="AM38:AU43">
    <cfRule type="expression" dxfId="1512" priority="9">
      <formula>OR(AM$17="",AM$22=0)</formula>
    </cfRule>
  </conditionalFormatting>
  <conditionalFormatting sqref="AM44:AU44 AA44:AI44 O44:W44 AY44:BG44">
    <cfRule type="expression" dxfId="1511" priority="227">
      <formula>OR(O44&lt;0.5,O44&gt;2,AND(O$17&lt;&gt;"",O44=""))</formula>
    </cfRule>
  </conditionalFormatting>
  <conditionalFormatting sqref="AM44:AU49">
    <cfRule type="expression" dxfId="1510" priority="122">
      <formula>OR(AM$17="",AM$22=0)</formula>
    </cfRule>
  </conditionalFormatting>
  <conditionalFormatting sqref="AM48:AU48 AA48:AI48 O48:W48 AY48:BG48">
    <cfRule type="expression" dxfId="1509" priority="233">
      <formula>OR(O48&lt;0,O48&gt;1,AND(O$17&lt;&gt;"",O48=""))</formula>
    </cfRule>
  </conditionalFormatting>
  <conditionalFormatting sqref="AM49:AU49">
    <cfRule type="expression" dxfId="1508" priority="117">
      <formula>IF(AND($AM$36&lt;&gt;"",$AM$49=""),TRUE,FALSE)</formula>
    </cfRule>
  </conditionalFormatting>
  <conditionalFormatting sqref="AM51:AU51">
    <cfRule type="expression" dxfId="1507" priority="47">
      <formula>AND(AM51&lt;&gt;"",ISERROR(MATCH(AM51,woningen_gebouwen_namen,0))=TRUE)</formula>
    </cfRule>
  </conditionalFormatting>
  <conditionalFormatting sqref="AM53:AU53">
    <cfRule type="expression" dxfId="1506" priority="46">
      <formula>AND(AM53&lt;&gt;"",ISERROR(MATCH(AM53,woningen_gebouwen_namen,0))=TRUE)</formula>
    </cfRule>
  </conditionalFormatting>
  <conditionalFormatting sqref="AM60:AU60">
    <cfRule type="expression" dxfId="1505" priority="40">
      <formula>AND(AM60&lt;&gt;"",ISERROR(MATCH(AM60,woningen_gebouwen_namen,0))=TRUE)</formula>
    </cfRule>
  </conditionalFormatting>
  <conditionalFormatting sqref="AM73:AU73">
    <cfRule type="expression" dxfId="1504" priority="151">
      <formula>OR(AM$17="",AM$22=0)</formula>
    </cfRule>
    <cfRule type="expression" dxfId="1503" priority="152">
      <formula>AND(AM$17&lt;&gt;"",AM73="")</formula>
    </cfRule>
  </conditionalFormatting>
  <conditionalFormatting sqref="AM78:AU78 AY78:BG78 O240:T245 AM251:AU258 AW251:AW258 AY251:BD258">
    <cfRule type="expression" dxfId="1502" priority="190">
      <formula>O$27=0</formula>
    </cfRule>
  </conditionalFormatting>
  <conditionalFormatting sqref="AM269:AU270">
    <cfRule type="expression" dxfId="1501" priority="185">
      <formula>AM$22=0</formula>
    </cfRule>
  </conditionalFormatting>
  <conditionalFormatting sqref="AM333:AU334">
    <cfRule type="expression" dxfId="1500" priority="125">
      <formula>AM$22=0</formula>
    </cfRule>
  </conditionalFormatting>
  <conditionalFormatting sqref="AM334:AU334 AY334:BG334 O334:W334 AA334:AI334">
    <cfRule type="expression" dxfId="1499" priority="238">
      <formula>#REF!&lt;O$330</formula>
    </cfRule>
  </conditionalFormatting>
  <conditionalFormatting sqref="AM337:AU337">
    <cfRule type="expression" dxfId="1498" priority="136">
      <formula>AND(AM337&lt;&gt;"nvt",AM337&lt;=AM336)</formula>
    </cfRule>
    <cfRule type="expression" dxfId="1497" priority="135">
      <formula>AND(AM337&lt;&gt;"nvt",AM337&gt;AM336)</formula>
    </cfRule>
  </conditionalFormatting>
  <conditionalFormatting sqref="AM340:AU340">
    <cfRule type="expression" dxfId="1496" priority="134">
      <formula>AND(AM340&lt;&gt;"nvt",AM340&lt;=AM339)</formula>
    </cfRule>
    <cfRule type="expression" dxfId="1495" priority="133">
      <formula>AND(AM340&lt;&gt;"nvt",AM340&gt;AM339)</formula>
    </cfRule>
  </conditionalFormatting>
  <conditionalFormatting sqref="AM345:AU353">
    <cfRule type="expression" dxfId="1494" priority="177">
      <formula>AM$22=0</formula>
    </cfRule>
  </conditionalFormatting>
  <conditionalFormatting sqref="AM371:AU371 AM373:AU373">
    <cfRule type="expression" dxfId="1493" priority="67">
      <formula>AND(AM371&lt;&gt;"",ISERROR(MATCH(AM371,woningen_gebouwen_namen,0))=TRUE)</formula>
    </cfRule>
  </conditionalFormatting>
  <conditionalFormatting sqref="AM373:AU374 O294:W296 AA294:AI296 AM294:AU296 AY294:BG296 O359:W360 AM359:AU360 AY359:BG360">
    <cfRule type="expression" dxfId="1492" priority="72">
      <formula>O$22=0</formula>
    </cfRule>
  </conditionalFormatting>
  <conditionalFormatting sqref="AM374:AU374">
    <cfRule type="expression" dxfId="1491" priority="21">
      <formula>AM$22=0</formula>
    </cfRule>
  </conditionalFormatting>
  <conditionalFormatting sqref="AR263:AR264">
    <cfRule type="expression" dxfId="1490" priority="186">
      <formula>AR$27=0</formula>
    </cfRule>
  </conditionalFormatting>
  <conditionalFormatting sqref="AW50">
    <cfRule type="expression" dxfId="1489" priority="12">
      <formula>AW$22=0</formula>
    </cfRule>
    <cfRule type="expression" dxfId="1488" priority="13">
      <formula>AND(AW$22&gt;0,AW50&lt;&gt;"ja",AW50&lt;&gt;"nee")</formula>
    </cfRule>
  </conditionalFormatting>
  <conditionalFormatting sqref="AW52">
    <cfRule type="cellIs" dxfId="1487" priority="81" operator="equal">
      <formula>"nee"</formula>
    </cfRule>
  </conditionalFormatting>
  <conditionalFormatting sqref="AW83">
    <cfRule type="cellIs" dxfId="1486" priority="77" operator="equal">
      <formula>"nee"</formula>
    </cfRule>
  </conditionalFormatting>
  <conditionalFormatting sqref="AY109:BA109">
    <cfRule type="expression" dxfId="1485" priority="230">
      <formula>AND(AY$78&gt;0,AY109="")</formula>
    </cfRule>
  </conditionalFormatting>
  <conditionalFormatting sqref="AY123:BA123">
    <cfRule type="expression" dxfId="1484" priority="60">
      <formula>AND(AY$78&gt;0,AY123="")</formula>
    </cfRule>
  </conditionalFormatting>
  <conditionalFormatting sqref="AY125:BA125">
    <cfRule type="expression" dxfId="1483" priority="61">
      <formula>AND(AY$78&gt;0,AY125="")</formula>
    </cfRule>
  </conditionalFormatting>
  <conditionalFormatting sqref="AY154:BA154">
    <cfRule type="expression" dxfId="1482" priority="23">
      <formula>AND(AY$78&gt;0,AY$140&lt;&gt;"geen",AY154="")</formula>
    </cfRule>
  </conditionalFormatting>
  <conditionalFormatting sqref="AY156:BA156">
    <cfRule type="expression" dxfId="1481" priority="22">
      <formula>AND(AY$78&gt;0,AY$140&lt;&gt;"geen",AY156="")</formula>
    </cfRule>
  </conditionalFormatting>
  <conditionalFormatting sqref="AY251:BA251">
    <cfRule type="expression" dxfId="1480" priority="145">
      <formula>AY$27=0</formula>
    </cfRule>
  </conditionalFormatting>
  <conditionalFormatting sqref="AY229:BC229">
    <cfRule type="expression" dxfId="1479" priority="194">
      <formula>AY$27=0</formula>
    </cfRule>
  </conditionalFormatting>
  <conditionalFormatting sqref="AY17:BG17">
    <cfRule type="expression" dxfId="1478" priority="57">
      <formula>AND(AY17&lt;&gt;"",ISERROR(MATCH(AY17,woningen_gebouwen_namen,0))=TRUE)</formula>
    </cfRule>
  </conditionalFormatting>
  <conditionalFormatting sqref="AY20:BG20">
    <cfRule type="expression" dxfId="1477" priority="159">
      <formula>OR(AY$17="",AND(AY$19&lt;&gt;woning,AY$19&lt;&gt;woongebouw))</formula>
    </cfRule>
  </conditionalFormatting>
  <conditionalFormatting sqref="AY21:BG21">
    <cfRule type="expression" dxfId="1476" priority="52">
      <formula>AND(AY21&lt;&gt;"",ISERROR(MATCH(AY21,woningen_gebouwen_namen,0))=TRUE)</formula>
    </cfRule>
  </conditionalFormatting>
  <conditionalFormatting sqref="AY28:BG28">
    <cfRule type="expression" dxfId="1475" priority="51">
      <formula>AND(AY28&lt;&gt;"",ISERROR(MATCH(AY28,woningen_gebouwen_namen,0))=TRUE)</formula>
    </cfRule>
  </conditionalFormatting>
  <conditionalFormatting sqref="AY37:BG37">
    <cfRule type="expression" dxfId="1474" priority="44">
      <formula>AND(AY37&lt;&gt;"",ISERROR(MATCH(AY37,woningen_gebouwen_namen,0))=TRUE)</formula>
    </cfRule>
  </conditionalFormatting>
  <conditionalFormatting sqref="AY38:BG43">
    <cfRule type="expression" dxfId="1473" priority="8">
      <formula>OR(AY$17="",AY$22=0)</formula>
    </cfRule>
  </conditionalFormatting>
  <conditionalFormatting sqref="AY49:BG49">
    <cfRule type="expression" dxfId="1472" priority="107">
      <formula>IF(AND($AY$36&lt;&gt;"",$AY$49=""),TRUE,FALSE)</formula>
    </cfRule>
  </conditionalFormatting>
  <conditionalFormatting sqref="AY51:BG51">
    <cfRule type="expression" dxfId="1471" priority="43">
      <formula>AND(AY51&lt;&gt;"",ISERROR(MATCH(AY51,woningen_gebouwen_namen,0))=TRUE)</formula>
    </cfRule>
  </conditionalFormatting>
  <conditionalFormatting sqref="AY53:BG53">
    <cfRule type="expression" dxfId="1470" priority="42">
      <formula>AND(AY53&lt;&gt;"",ISERROR(MATCH(AY53,woningen_gebouwen_namen,0))=TRUE)</formula>
    </cfRule>
  </conditionalFormatting>
  <conditionalFormatting sqref="AY60:BG60">
    <cfRule type="expression" dxfId="1469" priority="39">
      <formula>AND(AY60&lt;&gt;"",ISERROR(MATCH(AY60,woningen_gebouwen_namen,0))=TRUE)</formula>
    </cfRule>
  </conditionalFormatting>
  <conditionalFormatting sqref="AY73:BG73">
    <cfRule type="expression" dxfId="1468" priority="149">
      <formula>OR(AY$17="",AY$22=0)</formula>
    </cfRule>
    <cfRule type="expression" dxfId="1467" priority="150">
      <formula>AND(AY$17&lt;&gt;"",AY73="")</formula>
    </cfRule>
  </conditionalFormatting>
  <conditionalFormatting sqref="AY269:BG270">
    <cfRule type="expression" dxfId="1466" priority="179">
      <formula>AY$22=0</formula>
    </cfRule>
  </conditionalFormatting>
  <conditionalFormatting sqref="AY329:BG330">
    <cfRule type="expression" dxfId="1465" priority="214">
      <formula>AY329&gt;AY324</formula>
    </cfRule>
  </conditionalFormatting>
  <conditionalFormatting sqref="AY329:BG331">
    <cfRule type="expression" dxfId="1464" priority="203">
      <formula>AY$22=0</formula>
    </cfRule>
  </conditionalFormatting>
  <conditionalFormatting sqref="AY333:BG334">
    <cfRule type="expression" dxfId="1463" priority="124">
      <formula>AY$22=0</formula>
    </cfRule>
  </conditionalFormatting>
  <conditionalFormatting sqref="AY336:BG337">
    <cfRule type="expression" dxfId="1462" priority="175">
      <formula>AY$22=0</formula>
    </cfRule>
  </conditionalFormatting>
  <conditionalFormatting sqref="AY337:BG337">
    <cfRule type="expression" dxfId="1461" priority="130">
      <formula>AND(AY337&lt;&gt;"nvt",AY337&gt;AY336)</formula>
    </cfRule>
    <cfRule type="expression" dxfId="1460" priority="131">
      <formula>AND(AY337&lt;&gt;"nvt",AY337&lt;=AY336)</formula>
    </cfRule>
  </conditionalFormatting>
  <conditionalFormatting sqref="AY340:BG340">
    <cfRule type="expression" dxfId="1459" priority="128">
      <formula>AND(AY340&lt;&gt;"nvt",AY340&gt;AY339)</formula>
    </cfRule>
    <cfRule type="expression" dxfId="1458" priority="129">
      <formula>AND(AY340&lt;&gt;"nvt",AY340&lt;=AY339)</formula>
    </cfRule>
  </conditionalFormatting>
  <conditionalFormatting sqref="AY355:BG357">
    <cfRule type="expression" dxfId="1457" priority="181">
      <formula>AY$22=0</formula>
    </cfRule>
  </conditionalFormatting>
  <conditionalFormatting sqref="AY364:BG374">
    <cfRule type="expression" dxfId="1456" priority="4">
      <formula>AY$22=0</formula>
    </cfRule>
  </conditionalFormatting>
  <conditionalFormatting sqref="AY371:BG371 AY373:BG373">
    <cfRule type="expression" dxfId="1455" priority="66">
      <formula>AND(AY371&lt;&gt;"",ISERROR(MATCH(AY371,woningen_gebouwen_namen,0))=TRUE)</formula>
    </cfRule>
  </conditionalFormatting>
  <conditionalFormatting sqref="BD180:BD181">
    <cfRule type="expression" dxfId="1454" priority="172">
      <formula>BD$27=0</formula>
    </cfRule>
  </conditionalFormatting>
  <conditionalFormatting sqref="BD263:BD264">
    <cfRule type="expression" dxfId="1453" priority="182">
      <formula>BD$27=0</formula>
    </cfRule>
  </conditionalFormatting>
  <conditionalFormatting sqref="BD331">
    <cfRule type="expression" dxfId="1452" priority="183">
      <formula>BD331&lt;BD326</formula>
    </cfRule>
  </conditionalFormatting>
  <conditionalFormatting sqref="BH229 BH233">
    <cfRule type="expression" dxfId="1451" priority="249">
      <formula>AND(BH229&lt;&gt;"-",BH229&gt;#REF!)</formula>
    </cfRule>
  </conditionalFormatting>
  <conditionalFormatting sqref="BH230 BH234">
    <cfRule type="expression" dxfId="1450" priority="248">
      <formula>AND(BH230&lt;&gt;"-",BH230&gt;BH232)</formula>
    </cfRule>
  </conditionalFormatting>
  <conditionalFormatting sqref="BH231 BH235">
    <cfRule type="expression" dxfId="1449" priority="218">
      <formula>AND(BH231&lt;&gt;"-",BH231&gt;BH232)</formula>
    </cfRule>
  </conditionalFormatting>
  <conditionalFormatting sqref="BH269">
    <cfRule type="expression" dxfId="1448" priority="228">
      <formula>AND(BH269&lt;&gt;"-",BH269&gt;#REF!)</formula>
    </cfRule>
  </conditionalFormatting>
  <dataValidations count="111">
    <dataValidation showInputMessage="1" showErrorMessage="1" sqref="G328" xr:uid="{8B637CB8-CB5A-4CAC-A898-2A1CF457236D}"/>
    <dataValidation allowBlank="1" showInputMessage="1" showErrorMessage="1" promptTitle="Batterij aanwezig?" prompt="Per locatie moet worden aangegeven of er een batterij aanwezig is voor de opslag van door PV opgewekte zonnestroom. Let op: voor de batterijcapaciteit is een ondergrens van minimaal 5kWh van toepassing om meegerekend te kunnen worden in de UMGO." sqref="D50" xr:uid="{154F3669-7BA3-43DB-8CAB-9C2D078252BA}"/>
    <dataValidation allowBlank="1" showInputMessage="1" showErrorMessage="1" promptTitle="vermeden fossiel zonder batterij" prompt="De bijdrage van de batterij wordt verrekend bij het primaire fossiele energiegebruik." sqref="D214" xr:uid="{7CB7F5D5-365D-4AFE-8871-DCEB0D0915E2}"/>
    <dataValidation type="decimal" allowBlank="1" showInputMessage="1" showErrorMessage="1" errorTitle="Bereik 50%-200%" error="De ingevoerde waarde valt buiten het bereik." sqref="O44:W44 AA44:AI44 AM44:AU44 AY44:BG44" xr:uid="{E70A9292-8818-41FB-86F6-872C0D74CB70}">
      <formula1>0.5</formula1>
      <formula2>2</formula2>
    </dataValidation>
    <dataValidation allowBlank="1" showInputMessage="1" showErrorMessage="1" promptTitle="Primair fossiel energiegebruik" prompt="Het primair fossiel energiegebruik in kWh_prim/m2.jaar per woningtype/gebouw, per energiepost en voor het totaal._x000a__x000a_Alleen het gebouwgebonden deel van de primaire fossiele energiegebruiken wordt meegenomen voor BENG 2." sqref="D280" xr:uid="{6DD6EB65-E5EC-4D5E-8029-407B5F416A3F}"/>
    <dataValidation allowBlank="1" showInputMessage="1" showErrorMessage="1" promptTitle="geëxporteerde elektriciteit" prompt="geproducreede elektriciteit MIN geproduceerde elektriciteit die gebruikt wordt ter dekking van het gebruik op eigen perceel_x000a__x000a_Volgens formule 5.26 in paragraaf 5.5.4 uit NTA 8800 2026." sqref="D202" xr:uid="{00E297EF-75B9-40D6-A1F4-F2BEF2EB9F5A}"/>
    <dataValidation allowBlank="1" showInputMessage="1" showErrorMessage="1" promptTitle="correctiepost waardering opslag" prompt="Correctiepost voor de (beleidsmatige) waardering van opslagsystemen voor hernieuwbare elektriciteit in kWh._x000a__x000a_Deze wordt zonder primaire energiefactor meegenomen in het primair energiegbruik._x000a__x000a_Volgens formule 5.14a in paragraaf 5.5.2 uit NTA 8800 2026." sqref="D201" xr:uid="{4EA063CA-F68E-4594-AF60-CB1B1143AFC9}"/>
    <dataValidation type="list" allowBlank="1" showInputMessage="1" showErrorMessage="1" promptTitle="Energiepakket / energiebehoefte" sqref="M50 Y50 AK50 AW50" xr:uid="{D4D15D2D-538E-4496-BED1-C25F068BD89D}">
      <formula1>"ja,nee"</formula1>
    </dataValidation>
    <dataValidation allowBlank="1" showInputMessage="1" showErrorMessage="1" promptTitle="direct gebruik elektriciteit PV" prompt="Volgens formule AB.65 in paragraaf AB.2.3.2. uit NTA 8800 2026." sqref="D205" xr:uid="{20503667-690E-4005-9242-D3FD2124BDD2}"/>
    <dataValidation allowBlank="1" showInputMessage="1" showErrorMessage="1" promptTitle="direct gebruik elektriciteit wkk" prompt="Volgens formule AB.66 in paragraaf AB.2.3.2. uit NTA 8800 2026." sqref="D208" xr:uid="{A70DC670-CC8E-4A0C-AF40-A68065E7B082}"/>
    <dataValidation allowBlank="1" showInputMessage="1" showErrorMessage="1" promptTitle="Primair energiegebruik" prompt="De Uniforme Maatlat rekent op onderwaarde. De EPG rekent echter op bovenwaarde. De berekende primaire energiebruiken in de EPG zijn daarom hoger." sqref="D174" xr:uid="{BCD7B3B2-8DF0-4BED-93F7-9DF399FAFB99}"/>
    <dataValidation type="decimal" allowBlank="1" showInputMessage="1" showErrorMessage="1" sqref="O153:P153 AA153:AB153 AM153:AN153 AY153:AZ153" xr:uid="{A2083DB4-1382-44D5-B2C7-0EA5FE7A132B}">
      <formula1>0</formula1>
      <formula2>2</formula2>
    </dataValidation>
    <dataValidation type="list" allowBlank="1" showInputMessage="1" showErrorMessage="1" sqref="F6" xr:uid="{590CE7F3-37DE-461C-AC53-F10E7EF019BF}">
      <formula1>rekenmethode_EP_MWA</formula1>
    </dataValidation>
    <dataValidation type="list" allowBlank="1" showInputMessage="1" showErrorMessage="1" sqref="AA42:AI42 AM42:AU42 AY42:BG42 O42:W42" xr:uid="{0010AFD6-83DF-4700-87C8-1181421EACB9}">
      <formula1>DWTW_namen</formula1>
    </dataValidation>
    <dataValidation type="list" showInputMessage="1" showErrorMessage="1" sqref="G61 G63" xr:uid="{3B17F284-47D6-4B02-9789-82D838F60CEA}">
      <formula1>beschikbare_fitformules_NTA8800</formula1>
    </dataValidation>
    <dataValidation allowBlank="1" showInputMessage="1" showErrorMessage="1" promptTitle="Specifieke interne warmtecapacit" prompt="450 kJ/m2K is een waarde die hoort bij zware gebouwen (steen, beton)_x000a__x000a_055 kJ/m2K hoort bij lichte gebouwen (hout-, staalskeletbouw) met gesloten plafonds." sqref="D49" xr:uid="{1F949966-0BE2-433C-BF05-202702785BBC}"/>
    <dataValidation type="list" allowBlank="1" showInputMessage="1" showErrorMessage="1" sqref="AA49:AI49 AY49:BG49 O49:W49 AM49:AU49" xr:uid="{2C4D04A3-7638-4F5D-8B3E-1E3BC96EF3FE}">
      <formula1>specifieke_interne_warmtecapaciteit</formula1>
    </dataValidation>
    <dataValidation allowBlank="1" showInputMessage="1" showErrorMessage="1" promptTitle="Renocatiestandaard utiliteit" prompt="De renovatiestandaard is een vrijwillige richtlijn voor de energieprestatie van utiliteitsgebouwen. Na 2030 wordt er een verplichte eindnorm bepaald waaraan de energieprestaties van alle gebouwen moeten voldoen in 2050." sqref="D334" xr:uid="{C20F8037-7AC8-485C-B5A5-C515B9EFC45C}"/>
    <dataValidation allowBlank="1" showInputMessage="1" showErrorMessage="1" promptTitle="Energiepakket / energiebehoefte" sqref="O38:W38 Y38:AI38 AY38:BG38 AW38 AK38 AM38:AU38" xr:uid="{02B35E64-DD8E-47A4-8455-2E7FC5639747}"/>
    <dataValidation type="list" allowBlank="1" showInputMessage="1" showErrorMessage="1" promptTitle="Energiepakket / energiebehoefte" sqref="AY39:BG39 AA39:AI39 AM39:AU39 O39:W39" xr:uid="{8A36E189-E3EE-4859-974D-B3429C73A006}">
      <formula1>isolatiepakketten_gebouwschil_namen</formula1>
    </dataValidation>
    <dataValidation allowBlank="1" showInputMessage="1" showErrorMessage="1" promptTitle="Correctie warmtebehoefte RV" prompt="In slecht geïsoleerde gebouwen berekent NTA8800 gemiddeld té hoge energiegebruiken voor ruimteverwarming._x000a_De correctie corrigeert de NTA berekening op basis van de gemiddelde U-waarde._x000a__x000a_&gt;&gt; energieprestatie-indicatoren zijn alleen geldig ZONDER correctie." sqref="D6" xr:uid="{02382F4A-F221-4DC4-9A30-7807AE9B2666}"/>
    <dataValidation type="whole" allowBlank="1" showInputMessage="1" showErrorMessage="1" errorTitle="Invoer valt buiten bereik" error="De ingevoerde waarde valt buiten het bereik." sqref="AY56:BG56 O56:W56 AA56:AI56 AM56:AU56" xr:uid="{05372F5E-21E5-4988-AE4E-14D404878E33}">
      <formula1>0</formula1>
      <formula2>1000</formula2>
    </dataValidation>
    <dataValidation allowBlank="1" showInputMessage="1" showErrorMessage="1" promptTitle="Indicatie warmtebehoefte RV" prompt="Indicatie warmtebehoefte ruimteverwarming (RV) NTA8800 cf. energieprestatie (EP) of cf. maatwerkadvies (MWA). Berekend met benaderingsformules op basis van bouwmassa, ventilatiesysteem, gebruiksfunctie, Ugemiddeld en de vormfactor." sqref="D55" xr:uid="{CB1784A6-46EF-4A0A-9C55-C9E44D1A5DED}"/>
    <dataValidation allowBlank="1" showInputMessage="1" showErrorMessage="1" promptTitle="Standaardwaarde" prompt="Deze standaard geeft aan wanneer een woning goed genoeg is geïsoleerd om aardgasvrij te worden. Hij is ontstaan uit het Klimaatakkoord._x000a_" sqref="D335" xr:uid="{0A3D48BD-E172-4E80-9C8A-E08DA6AD01D3}"/>
    <dataValidation allowBlank="1" showInputMessage="1" showErrorMessage="1" promptTitle="CO2 emissiecoëfficiënt" prompt="CO2 emissiecoëfficiënt energiedrager._x000a__x000a_Bij collectieve WKK met/zonder derving, geothermie, etc wordt de CO2 emissiecoëfficiënt uitgerekend cf. NEN7125_2017 paragraaf 7.3.4.5/6/9._x000a__x000a_Bij een EMG-verklaring wordt de waarde voor K_CO2 del overgenomen." sqref="D128" xr:uid="{EF63A3BC-8D6E-499A-A667-7D2AFC1E03F2}"/>
    <dataValidation allowBlank="1" showInputMessage="1" showErrorMessage="1" promptTitle="Elektriciteitsderving bij WKK" prompt="Bij WKK's waarbij de elektriciteitsproductie afneemt bij onttrekking van warmte, wordt de primaire energiefactor uitgerekend met de verhouding tussen elektriciteitsderving en thermische omzettingsgetal (Δε;chp;el / ε;chp;th)._x000a__x000a_NEN7125_2017 par 7.3.4.6" sqref="D113" xr:uid="{679AFDDF-8C9B-4A37-857E-042A554F893F}"/>
    <dataValidation allowBlank="1" showInputMessage="1" showErrorMessage="1" promptTitle="Primaire energiefactor" prompt="Primaire energiefactor energiedrager._x000a__x000a_Bij collectieve WKK met/zonder derving, geothermie, etc wordt de primaire energiefactor uitgerekend cf. NEN7125_2017 paragraaf 7.3.4.5/6/9._x000a__x000a_Bij een EMG-verklaring wordt de waarde voor fPdel overgenomen." sqref="D118" xr:uid="{D2CD708E-3005-4DBD-9116-0C81D3680947}"/>
    <dataValidation type="textLength" allowBlank="1" showInputMessage="1" showErrorMessage="1" errorTitle="Maximaal 65 karakters" error="Maximaal 65 karakters." sqref="F4" xr:uid="{1CCD2283-ADFC-4663-B737-289543F68B14}">
      <formula1>0</formula1>
      <formula2>65</formula2>
    </dataValidation>
    <dataValidation type="textLength" errorStyle="warning" allowBlank="1" showInputMessage="1" showErrorMessage="1" errorTitle="Maximaal 30 karakters" error="Maximaal 30 karakters" sqref="H3" xr:uid="{AEEAD0C1-4935-4A72-B9EE-DE3973684C5B}">
      <formula1>0</formula1>
      <formula2>40</formula2>
    </dataValidation>
    <dataValidation type="textLength" errorStyle="warning" allowBlank="1" showInputMessage="1" showErrorMessage="1" errorTitle="Maximaal 30 karakters" error="Maximaal 30 karakters" sqref="E3 F4" xr:uid="{87570CFF-AA85-4C3B-BAE3-3CD567E1C9AC}">
      <formula1>0</formula1>
      <formula2>30</formula2>
    </dataValidation>
    <dataValidation allowBlank="1" showInputMessage="1" showErrorMessage="1" promptTitle="Elektriciteit 'overig'" prompt="Elektriciteit 'overig' is het elektriciteitsgebruik voor hulpenergie installaties, verlichting, ventilatoren, apparatuur, mobiliteit, elektrisch koken, etcetera." sqref="D169" xr:uid="{E2E397D9-DFCA-4457-95F8-618C1F3F0599}"/>
    <dataValidation allowBlank="1" showInputMessage="1" showErrorMessage="1" promptTitle="Indicatie geïnstalleerd vermogen" prompt="Forfaitaire, conservatieve, waarden in NTA8800, par. 14.3, in W/m2:_x000a_- winkels: 30_x000a_- gezondheid met bed, logies, cellen: 17_x000a_- overige functies: 16_x000a__x000a_Gebruikelijk is 30% lager._x000a_Energiezuinig 50%-60% lager." sqref="D45" xr:uid="{ED5206A6-BE13-4A6B-92C3-23ECB60BF74B}"/>
    <dataValidation allowBlank="1" showInputMessage="1" showErrorMessage="1" promptTitle="Bijdrage zonthermisch MWh" prompt="Bijdrage zonthermisch = %bijdrage zonthermisch * (energiebehoefte + intern distributieverlies)_x000a__x000a_Het % bijdrage zonthermisch is verschillend voor RV en TAP en staat in de bibliotheek." sqref="D91" xr:uid="{07BF041D-CAB0-4FC7-8202-77108B84CEC8}"/>
    <dataValidation allowBlank="1" showInputMessage="1" showErrorMessage="1" promptTitle="Aandeel hernieuwbare energie" prompt="Let op: Groen = voldoet aan eis BENG3_x000a__x000a_Aandeel hernieuwbare energie._x000a__x000a_RERPrenTOT = EPrenTot / (EPTot + EPrenTot) * 100%_x000a__x000a_Cf. NTA8800 par. 5.3.1.3, formule 5.3" sqref="D331" xr:uid="{E6490F05-412F-4577-B3CE-E48884D376AD}"/>
    <dataValidation type="list" allowBlank="1" showInputMessage="1" showErrorMessage="1" sqref="O47:W47 AA47:AI47 AY47:BG47 AM47:AU47" xr:uid="{340CB5A9-A4D4-4C05-B337-E80744FC8337}">
      <formula1>"elektriciteit,aardgas"</formula1>
    </dataValidation>
    <dataValidation allowBlank="1" showInputMessage="1" showErrorMessage="1" promptTitle="Kookgas" prompt="Gasverbruik voor kookgas." sqref="D68" xr:uid="{69C7BF79-F1C4-4156-A8CE-07600560C849}"/>
    <dataValidation allowBlank="1" showInputMessage="1" showErrorMessage="1" promptTitle="Hernieuwbare 'primaire' energie" prompt="De totale hernieuwbare 'primaire' energie voor GEBOUWGEBONDEN energiegebruik is berekend cf. NTA8800._x000a__x000a_NTA8800 par. 5.6." sqref="D302" xr:uid="{8285C9EE-1224-4C6B-8E2A-7671A7CB94AF}"/>
    <dataValidation allowBlank="1" showInputMessage="1" showErrorMessage="1" promptTitle="Energieprestatie indicatoren" prompt="De energieprestatie indicatoren gaan alleen over GEBOUWGEBONDEN energiegebruik en zijn bepaald cf. paragraaf 5.3.1 van NTA 8800._x000a__x000a_" sqref="D320" xr:uid="{EF4927D9-BA87-40B6-8051-00DA5319CA71}"/>
    <dataValidation allowBlank="1" showInputMessage="1" showErrorMessage="1" promptTitle="Energielabel" prompt="Het energielabel wordt bepaald op basis van het gebouwgebonden primair energiegebruik in kWh/m2._x000a__x000a_Zie 'Regeling energieprestatie gebouwen', https://wetten.overheid.nl/BWBR0020921/2021-07-01" sqref="D333" xr:uid="{8BE061D1-248E-42DC-B7E4-EEB2F2A690CB}"/>
    <dataValidation allowBlank="1" showInputMessage="1" showErrorMessage="1" promptTitle="Besparing warmtevraag TAP (MWA)" prompt="Reductie (of toename) van de warmtevraag voor warmtapwater t.o.v. van de berekende warmtevraag cf. NTA 8800._x000a__x000a_Te denken valt aan waterbesparende kranen, lagere bezetting, bewust energiezuinig gedrag, et cetera." sqref="D44" xr:uid="{87BC251E-FB9A-4350-BFDC-B99257A06382}"/>
    <dataValidation allowBlank="1" showInputMessage="1" showErrorMessage="1" promptTitle="Woningen|utiliteitsgebouwen" prompt="De tabel geeft een terugkoppeling van de ingevoerde woningen en utileitsgebouwen in" sqref="D16" xr:uid="{92029397-F433-4582-AD50-EDD221CD9167}"/>
    <dataValidation allowBlank="1" showInputMessage="1" showErrorMessage="1" promptTitle="Resultaten" prompt="De tabel geeft een samenvatting van het primair energiegebruik, de CO2 emissie en het gasverbruik van de locatie(s) als gevolg van energetische keuzes in deze variant." sqref="D10" xr:uid="{60B33E21-3C8C-432F-B318-6F8822F8A3AB}"/>
    <dataValidation allowBlank="1" showInputMessage="1" showErrorMessage="1" promptTitle="Niet preferent toestel" prompt="Kenmerken wijzigen van het niet preferente toestel (niet preferent toestel bepaald door type installatie)._x000a_De kenmerken bepalen de te leveren warmte|koude door het niet preferente toestel, het finaal/primair energiegebruik en de CO2 emissie." sqref="D138" xr:uid="{21A3F25C-3814-49CF-B6BC-B525CF0279DB}"/>
    <dataValidation allowBlank="1" showInputMessage="1" showErrorMessage="1" promptTitle="Preferent toestel" prompt="Hier kunnen de kenmerken van het al eerder gekozen preferente toestel worden gewijzigd._x000a_De kenmerken bepalen welk deel van de te leveren warmte|koude door het preferente toestel geleverd wordt en hoeveel primair energiegebruik en CO2 emissie dat kost." sqref="D102" xr:uid="{507E4E6E-2B2A-4FB1-B58F-C7A1CDE37FA2}"/>
    <dataValidation allowBlank="1" showInputMessage="1" showErrorMessage="1" promptTitle="Te leveren warmte en koude" prompt="Aan het distributiesysteem te leveren warmte|koude wordt berekend op basis van de warmte- en koudevraag van woningen en utiliteitsgebouwen (energiebehoefte per energiepost), de verliezen door warmte-/koudedistributie en gebruik van thermische zonnewarmte." sqref="D96" xr:uid="{8FF40F65-E478-4BB8-BC34-C8202DEBE55D}"/>
    <dataValidation allowBlank="1" showInputMessage="1" showErrorMessage="1" promptTitle="Keuze preferent toestel" prompt="De keuze van het preferente toestel bepaalt welke forfaitaire waarden voor warmtedistributie, energiedragers en rendementen uit de bibliotheek worden opgehaald." sqref="D82" xr:uid="{319F634F-0C45-4D98-BEC6-AE525A9EB5EE}"/>
    <dataValidation allowBlank="1" showInputMessage="1" showErrorMessage="1" promptTitle="Installatie" prompt="De installatie voor verwarming, koeling en warmtapwater wordt vastgelegd door keuze voor het type preferent toestel, de warmteverliezen door interen en externe warmtedistributie en gebruik van thermische zonne-energie." sqref="D81" xr:uid="{6BBEE9E9-844B-4070-9279-E3316FD828D8}"/>
    <dataValidation allowBlank="1" showInputMessage="1" showErrorMessage="1" promptTitle="Thermische zonne-energie" prompt="Het thermisch zonne-energiesysteem levert een % van de warmtevraag inclusief intern distributieverlies._x000a__x000a_In de UMGO worden de volgende forfaitaire waarden aangehouden:_x000a_- ruimteverwarming: 15%;_x000a_- warmtapwater: 50%." sqref="D89" xr:uid="{61FDB023-F056-48F1-B112-3284BF6F714C}"/>
    <dataValidation allowBlank="1" showInputMessage="1" showErrorMessage="1" promptTitle="Energie niet voor verwarmen/koel" prompt="Elektra en gas NIET voor verwarmen/koelen._x000a_- gebouwgebonden (hulpenergie_x000a_   toestellen, verlichting,_x000a_   ventilatoren);_x000a_- niet gebouwgebonden (apparatuur_x000a_   (tv, computer, elektrisch koken,_x000a_   klusapparatuur, etc), mobiliteit);_x000a_-  kookgas" sqref="D164" xr:uid="{BDDB9042-E9D4-4E47-BFA9-5614B666B572}"/>
    <dataValidation type="decimal" allowBlank="1" showInputMessage="1" showErrorMessage="1" errorTitle="Bereik 0,0-0,5" error="De ingevoerde waarde valt buiten het bereik." sqref="O135:Q135 AA135:AC135 AY135:BA135 AM135:AO135" xr:uid="{BFE15FAC-A986-4E22-8CCC-50F59A8D0C72}">
      <formula1>0</formula1>
      <formula2>0.5</formula2>
    </dataValidation>
    <dataValidation type="decimal" allowBlank="1" showInputMessage="1" showErrorMessage="1" errorTitle="Bereik 0,0-1,0" error="De ingevoerde waarde valt buiten het bereik." sqref="AY167:BA167 AA129:AC129 AY129:BA129 O160:Q160 AA160:AC160 AY160:BA160 O167:Q167 AA167:AC167 P129:Q129 AM167:AO167 AM160:AO160 AM129:AO129" xr:uid="{1D50E927-E625-4330-B2C8-DBA3823EAA59}">
      <formula1>0</formula1>
      <formula2>1</formula2>
    </dataValidation>
    <dataValidation type="decimal" allowBlank="1" showInputMessage="1" showErrorMessage="1" errorTitle="Bereik 0,0-2,0" error="De ingevoerde waarde valt buiten het bereik." sqref="O119:Q119 AA119:AC119 AY119:BA119 O150:Q150 AA150:AC150 AY150:BA150 O129 AM150:AO150 AM119:AO119 O125:Q125 O123:Q123 O156:Q156 O154:Q154 AA125:AC125 AA123:AC123 AM125:AO125 AM123:AO123 AY125:BA125 AY123:BA123 AA156:AC156 AA154:AC154 AM156:AO156 AM154:AO154 AY156:BA156 AY154:BA154" xr:uid="{2E15C4DB-F966-4D1E-8F3C-3C6256109E34}">
      <formula1>0</formula1>
      <formula2>2</formula2>
    </dataValidation>
    <dataValidation type="decimal" allowBlank="1" showInputMessage="1" showErrorMessage="1" errorTitle="Bereik 0,10-1,00" error="De ingevoerde waarde valt buiten het bereik." sqref="O87 Q87 AA87 AC87 AY87 BA87 AM87 AO87" xr:uid="{54B783EE-E144-4F1F-AD5A-01B9DA67328A}">
      <formula1>0.1</formula1>
      <formula2>1</formula2>
    </dataValidation>
    <dataValidation type="decimal" operator="greaterThanOrEqual" allowBlank="1" showInputMessage="1" showErrorMessage="1" errorTitle="Bereik ≥0" error="De ingevoerde waarde valt buiten het bereik." promptTitle="Energiepakket / energiebehoefte" sqref="O73:W73 AM73:AU73 AY73:BG73 AA73:AI73" xr:uid="{C4B0500F-4812-4669-8717-EFC9CEF14B03}">
      <formula1>0</formula1>
    </dataValidation>
    <dataValidation type="decimal" operator="greaterThanOrEqual" allowBlank="1" showInputMessage="1" showErrorMessage="1" errorTitle="Bereik ≥0" error="De ingevoerde waarde valt buiten het bereik." sqref="BA94 O71:W71 AA71:AI71 O94 Q94 AA94 AC94 AM94 AO94 AY94 AY71:BG71 AM71:AU71" xr:uid="{528ED103-239D-4972-A087-BD7EF141C4A3}">
      <formula1>0</formula1>
    </dataValidation>
    <dataValidation type="decimal" allowBlank="1" showInputMessage="1" showErrorMessage="1" errorTitle="Bereik 0-30" error="De ingevoerde waarde valt buiten het bereik." sqref="O45:W45 AA45:AI45 AY45:BG45 AM45:AU45 O50:W50 AA50:AI50 AM50:AU50 AY50:BG50" xr:uid="{62CC3D70-336B-4B8D-B098-8A2D2CF5E34F}">
      <formula1>0</formula1>
      <formula2>30</formula2>
    </dataValidation>
    <dataValidation type="decimal" operator="greaterThanOrEqual" allowBlank="1" showInputMessage="1" showErrorMessage="1" errorTitle="Bereik ≥0" error="De ingevulde waarde valt buiten het bereik." sqref="O23:W23 AA23:AI23 AY23:BG23 AM23:AU23" xr:uid="{61A53D38-0706-4C8B-A389-AD4709ABA676}">
      <formula1>0</formula1>
    </dataValidation>
    <dataValidation type="decimal" allowBlank="1" showInputMessage="1" showErrorMessage="1" errorTitle="Bereik 0%-100%" error="De ingevoerde waarde valt buiten het bereik." sqref="AA48:AI48 O48:W48 AM48:AU48 AY48:BG48" xr:uid="{B4E122A0-F85B-4063-8544-DEA72FB2A653}">
      <formula1>0</formula1>
      <formula2>1</formula2>
    </dataValidation>
    <dataValidation type="decimal" allowBlank="1" showInputMessage="1" showErrorMessage="1" errorTitle="Bereik 0,1-15,0" error="De ingevoerde waarde valt buiten het bereik." sqref="AA112:AC112 AY112:BA112 AY146:BA146 O146:Q146 AA146:AC146 O112:Q112 AM146:AO146 AM112:AO112" xr:uid="{A05F3817-141D-4790-9698-61F2CA97C51D}">
      <formula1>0.1</formula1>
      <formula2>15</formula2>
    </dataValidation>
    <dataValidation type="decimal" allowBlank="1" showInputMessage="1" showErrorMessage="1" errorTitle="Bereik 0%-100%" error="De ingevoerde waarde is buiten het bereik." sqref="AY109:BA109 AA109:AC109 O109:Q109 AM109:AO109" xr:uid="{202E9D3F-AF0D-40FD-A775-2887EE916FE4}">
      <formula1>0</formula1>
      <formula2>1</formula2>
    </dataValidation>
    <dataValidation allowBlank="1" showInputMessage="1" showErrorMessage="1" promptTitle="Hernieuwbaar ext. warmte/koude" prompt="Ingezette hernieuwbare energie door externe warmte-/koudelevering._x000a__x000a_EPren;gen;out = Q[HCW];gen;out * fPren;d[hcw]X_x000a__x000a_X staat voor 'kwal' (kwalteitsverklaring) of 'forf' (forfaitair)._x000a__x000a_Cf. NTA8800 par. 5.6.2." sqref="D254" xr:uid="{48ED9D31-3C4E-49B6-AF3C-7204129256A6}"/>
    <dataValidation allowBlank="1" showInputMessage="1" showErrorMessage="1" promptTitle="primaire energie indicator" prompt="Let op: groen = voldoet aan eis BENG 2._x000a__x000a_Het totale gebouwgebonden primaire (vermeden) energiegebruik (voor woningen ZONDER verlichting) in kWh/m2._x000a__x000a_NTA8800, par. 5.3.1.2_x000a__x000a_" sqref="D330" xr:uid="{2AF5B4DD-D640-4877-B80B-D1B9A67FCD8E}"/>
    <dataValidation allowBlank="1" showInputMessage="1" showErrorMessage="1" promptTitle="energiebehoefte-indicator" prompt="Let op: groen = voldoet aan eis BENG 1_x000a__x000a_Warmtebehoefte ruimteverwarming + koudebehoefte voor koeling, berekend met ventilatiesysteem C1, in kWh/m2._x000a__x000a_NTA8800, par. 5.3.1.1_x000a__x000a_" sqref="D329" xr:uid="{62E5FE27-7452-4C00-A7D6-567A61C8BBFF}"/>
    <dataValidation allowBlank="1" showInputMessage="1" showErrorMessage="1" promptTitle="Energieprestaties" prompt="De berekende energieprestatie (bestaande bouw EN nieuwbouw) is afgezet tegen de BENG eisen voor NIEUWBOUW._x000a__x000a_GROEN: berekende waarde voldoet WEL aan de eis_x000a_ROOD: berekende waarde voldoet NIET aan de eis_x000a__x000a_" sqref="D327" xr:uid="{2CB30766-07FF-43F4-8ADF-353CD18D3B86}"/>
    <dataValidation allowBlank="1" showInputMessage="1" showErrorMessage="1" promptTitle="BENG eisen 2021" prompt="De BENG eisen zijn overgenomen van:_x000a__x000a_https://zoek.officielebekendmakingen.nl/stb-2019-501.html_x000a__x000a_" sqref="D323" xr:uid="{7991D8C0-C6C5-4C25-ABD7-2A34B8965E2C}"/>
    <dataValidation allowBlank="1" showInputMessage="1" showErrorMessage="1" promptTitle="Energiegebruik per energiepost" prompt="Per deellocatie is de energiebehoefte van alle woningen en gebouwen per energiepost gesommeerd." sqref="D78" xr:uid="{C6F0D7EC-C29E-41EA-8878-074AB303A9F3}"/>
    <dataValidation allowBlank="1" showInputMessage="1" showErrorMessage="1" promptTitle="Besparing elektr. apparatuur" prompt="Reductie van het niet gebouwgebonden elektriciteitsgebruik zoals dat in de onderstaande tabel is berekend._x000a__x000a_Een reductie van 100% betekent dat in de UMGO het niet gebouwgebonden elektriciteitsgebruik niet in de berekening wordt meegenomen." sqref="D48" xr:uid="{D10C23E6-DBB6-43FA-9C40-D5EB33A75FEA}"/>
    <dataValidation allowBlank="1" showInputMessage="1" showErrorMessage="1" promptTitle="Elektriciteitsgebruik overig" prompt="Het elektriciteitsgebruik binnen het gebouw, niet gerelateerd aan gebouwinstallaties (computers, printers, elektrisch koken, klusapparatuur et cetera)._x000a__x000a_Voor woningen zijn CBS cijfers gebruikt. Voor utiliteitsgebouwen tabel 7.3 uit NTA8800." sqref="D69" xr:uid="{4301F251-082F-4223-94F7-4E8204DE279D}"/>
    <dataValidation allowBlank="1" showInputMessage="1" showErrorMessage="1" promptTitle="Elektriciteitsvraag ventilatoren" prompt="De elektriciteitsvraag voor ventilatoren is afgeleid met gebouwen uit de energielabeldatabase (UT) en Voorbeeldgebouwen 2020. Na (her)berekenen met NTA8800 wordt de elektricitetsvraag berekend obv:_x000a_- ventilatiesysteem_x000a_- wissel-gelijkstroom/installatiejaar" sqref="D67" xr:uid="{174AB9EE-A2F3-48D2-8958-4A8B6B119BAE}"/>
    <dataValidation allowBlank="1" showInputMessage="1" showErrorMessage="1" promptTitle="Elektriciteitsvraag verlichting" prompt="De elektriciteitsvraag voor verlichting is afgeleid met gebouwen uit de energielabeldatabase (UT) en Voorbeeldgebouwen 2020. Na (her)berekenen met NTA8800 wordt de elektricitetsvraag berekend obv:_x000a_- geïnstalleerd vermogen in W/m2_x000a_- verlichtingsregeling" sqref="D66" xr:uid="{22DBE7C6-3787-49DA-A44A-F55A711C2D75}"/>
    <dataValidation allowBlank="1" showInputMessage="1" showErrorMessage="1" promptTitle="Koudebehoefte koeling" prompt="De koudebehoefte voor koeling is afgeleid met data van gebouwen uit de energielabeldatabase (UT) en Voorbeeldgebouwen 2020. Na (her)berekenen met NTA8800 is een verband afgeleid tussen koudebehoefte en:_x000a_- Als/Ag_x000a_- U gem_x000a_- vent.sys." sqref="D64" xr:uid="{010BAA5A-1836-414F-91A7-F60B001B7BB1}"/>
    <dataValidation allowBlank="1" showInputMessage="1" showErrorMessage="1" promptTitle="Warmtebehoefte ruimteverwarming" prompt="De warmtebehoefte voor verwarming is afgeleid met data van gebouwen uit de energielabeldatabase (UT) en Voorbeeldgebouwen 2020. Na (her)berekenen met NTA8800 is een verband afgeleid tussen warmtebehoefte en:_x000a_- Als/Ag_x000a_- U gem_x000a_- vent.sys." sqref="D62" xr:uid="{D1CA1B07-6328-445E-9CA3-1FCF6FAEBF71}"/>
    <dataValidation allowBlank="1" showInputMessage="1" showErrorMessage="1" promptTitle="Hernieuwbaar door vrije koeling" prompt="Geleverde energie door vrije koeling. Mits EER &gt;= 8 (anders EPren;gen;out = 0)_x000a__x000a_EPren;gen;out = QC;gen;out * fPren;rencold_x000a__x000a_Cf. NTA8800 par. 5.6.2.2_x000a_" sqref="D307 D252" xr:uid="{80D82FC0-E717-40B4-B46B-2D113D0973CF}"/>
    <dataValidation allowBlank="1" showInputMessage="1" showErrorMessage="1" promptTitle="Aandeel hernieuwb. prim energie" prompt="Aandeel hernieuwbare energie._x000a__x000a_RERPrenTOT = EPrenTot / (EPTot + EPrenTot) * 100%_x000a__x000a_Cf. NTA8800 par. 5.3.1.3, formule 5.3" sqref="D317" xr:uid="{46852D4B-832D-467E-871C-9969C7C03C03}"/>
    <dataValidation allowBlank="1" showInputMessage="1" showErrorMessage="1" promptTitle="Hernieuwb. abs. koel ext. warmte" prompt="Geleverde energie door absorptiekoeling op externe warmtelevering._x000a__x000a_EPren;gen;out = QC;gen;out * fPren;dhX_x000a__x000a_Waarbij de X in fPren;dhX staat voor 'kwal' (met) of 'forf' (zonder kwalteitsverklaring)._x000a__x000a_Cf. NTA8800 par. 5.6.2." sqref="D310 D255" xr:uid="{C86C04BE-5962-4CD0-8886-022406AEE5B7}"/>
    <dataValidation allowBlank="1" showInputMessage="1" showErrorMessage="1" promptTitle="Totaal hernieuwbare prim energie" prompt="Hernieuwbare 'primaire' energie van de woning of het gebouw." sqref="D315" xr:uid="{D49B612C-9FB6-403B-B8C5-959EE1494CD5}"/>
    <dataValidation allowBlank="1" showInputMessage="1" showErrorMessage="1" promptTitle="Hernieuwbaar opgewekte elek." prompt="Op het eigen perceel opgewekte primaire hernieuwbare elektriciteit._x000a__x000a_EPren;el = Eel;PV/PVT/wind * fPren;renelect_x000a__x000a_Cf. NTA8800 par. 5.6.2.4." sqref="D313 D257" xr:uid="{980696B0-F9C7-4386-9F6E-342BF0BC5EBB}"/>
    <dataValidation allowBlank="1" showInputMessage="1" showErrorMessage="1" promptTitle="Hernieuwbaar zonne-energie therm" prompt="Onder praktijkomstandigheden aangeleverde hoeveelheid hernieuwbare energie, door thermische zonne-energiesystemen (zonneboiler(combi)s op eigen perceel._x000a__x000a_EPren;sol;prac = QHW;sol;prac * fPren;renheat_x000a__x000a_Cf. NTA8800 par. 5.6.2._x000a_" sqref="D311 D256" xr:uid="{74B60797-BC18-4110-8492-20FF1E57AAB5}"/>
    <dataValidation allowBlank="1" showInputMessage="1" showErrorMessage="1" promptTitle="Hernieuwbaar ext. warmte/koude" prompt="Ingezette hernieuwbare energie door externe warmte-/koudelevering. Waarbij de X in fPren;d[hcw]X staat voor 'kwal' (met) of 'forf' (zonder kwalteitsverklaring)._x000a__x000a_EPren;gen;out = Q[HCW];gen;out * fPren;d[hcw]X_x000a__x000a_Cf. NTA8800 par. 5.6.2._x000a_" sqref="D309" xr:uid="{3E3C2266-5A25-4523-BB8B-73CAF1692AF1}"/>
    <dataValidation allowBlank="1" showInputMessage="1" showErrorMessage="1" promptTitle="Hernieuwbare energie biomassa" prompt="Ingezette hernieuwbare energie door biomassatoestel._x000a__x000a_EPren;gen;out = QHW;gen;out * fPren;bmX_x000a__x000a_Waarbij de X in fPren;bmX staat voor A, B of C afhankelijk van het type biomassa._x000a__x000a_Cf. NTA8800 par. 5.6.2._x000a_" sqref="D308 D253" xr:uid="{DAD476B7-BB83-44AB-A6A5-F9BCDD58B357}"/>
    <dataValidation allowBlank="1" showInputMessage="1" showErrorMessage="1" promptTitle="Hernieuwbare energie warmtepomp" prompt="Ingezette hernieuwbare energie door warmtepompen. Mits EN:_x000a_- COP (of eta) &gt;=1,0;_x000a_- bron is GEEN ventilatieretourlucht_x000a_- warmtepomp GEEN booster-wp._x000a__x000a_EPren;hp = QHW;gen;hp;out * (1-1/COP) * fPren;renheat_x000a__x000a_Cf. NTA8800 par. 5.6.2." sqref="D306 D251" xr:uid="{A34A9DF8-A9A3-4BCD-BF81-5C0D2E4E6068}"/>
    <dataValidation allowBlank="1" showInputMessage="1" showErrorMessage="1" promptTitle="Aantal toestellen" prompt="Voor toestellen met geografisch niveau:_x000a_- 'gebouw': aantal woningen en gebouwen in deellocatie._x000a_- 'gebied': totale gebruiksoppervlakte in deelgebied delen door gemiddeld maximaal te verwarmen/koelen oppervlak._x000a_- 'centraal': 1." sqref="D98" xr:uid="{FCAF1CD6-4DB3-4928-86E1-E16A0D51E985}"/>
    <dataValidation allowBlank="1" showInputMessage="1" showErrorMessage="1" promptTitle="Vermogen verwarming &amp; koeling" prompt="Een indicatie van het verwarmings- en koelvermogen op basis van formules NTA8800. Zie 'bibliotheek' voor meer details." sqref="D99" xr:uid="{67778F81-ED45-484F-95D6-3B92B6E69C2D}"/>
    <dataValidation type="list" allowBlank="1" showInputMessage="1" showErrorMessage="1" sqref="AM46:AU46 AA46:AI46 AY46:BG46 O46:W46" xr:uid="{D0CE9EB6-6EE7-4F5A-AAD4-84ABB6F954E1}">
      <formula1>verlichtingsregeling_namen</formula1>
    </dataValidation>
    <dataValidation type="list" allowBlank="1" showInputMessage="1" showErrorMessage="1" sqref="AM41:AU41 AA41:AI41 AY41:BG41 O41:W41" xr:uid="{296F365A-E385-40DB-9144-BCFAF448A107}">
      <formula1>ventilatoren_typen</formula1>
    </dataValidation>
    <dataValidation type="list" allowBlank="1" showInputMessage="1" showErrorMessage="1" sqref="O40:W40 AY40:BG40 AA40:AI40 AM40:AU40" xr:uid="{821890B1-0BE4-4C9C-9A92-EFBA345E79DB}">
      <formula1>ventilatiesystemen_namen</formula1>
    </dataValidation>
    <dataValidation allowBlank="1" showErrorMessage="1" promptTitle="Correctiefactor ruimteverwarming" prompt="Werkelijk energiegebruik voor ruimteverwarming wijkt vaak af van energiegebruik cf. EPG._x000a__x000a_Slecht geïsoleerde woningen verbruiken gemiddeld minder en goed geïsoleerde woningen verbruiken gemiddeld meer dan berekend._x000a__x000a_Deze correctiefactor verrekent dat." sqref="D56" xr:uid="{74828832-ACF5-4BD2-B9A8-8D463437F4CF}"/>
    <dataValidation type="list" allowBlank="1" showInputMessage="1" showErrorMessage="1" errorTitle="Toestel RV" error="Kies een beschikbaar toestel." sqref="Q90 AA90 AC90 AM90 AO90 AY90 BA90 O90" xr:uid="{B87A14DD-01E9-4D7D-A3B4-666C77614E75}">
      <formula1>"ja,nee"</formula1>
    </dataValidation>
    <dataValidation allowBlank="1" showInputMessage="1" showErrorMessage="1" promptTitle="Isolatiepakket gebouwschil" prompt="De aangeboden isolatiepakketten voor de gebouwschil bepalen de gemiddelde warmtedoorgangscoëfficiënt van de gebouwschil. In de bibliotheek zijn de Rc- en U-waarden per pakket en per bouwdeel aangegeven._x000a__x000a_Eigen pakketten zijn daaraan toe te voegen." sqref="D38" xr:uid="{0D27EC74-3890-43FF-8F4C-4768BA5A1F30}"/>
    <dataValidation allowBlank="1" showInputMessage="1" showErrorMessage="1" promptTitle="Warmtebehoefte warmtapwater" prompt="De energiebehoefte voor warmtapwatergebruik wordt berekend op basis van rekenregels in NTA8800 (paragraaf 13.2)." sqref="D65" xr:uid="{F432CCFF-2D3C-4A71-8B42-ED9CC3C1E099}"/>
    <dataValidation allowBlank="1" showInputMessage="1" showErrorMessage="1" promptTitle="Gegevensfilter en navigatie" prompt="&lt;-_x000a_Het gegevensfilter biedt de mogelijkheid om (delen van) tabellen in de UMGO te filteren._x000a__x000a_-&gt;_x000a_Navigatieknoppen naar andere tabbladen." sqref="D8" xr:uid="{C65752EC-E637-4577-A754-BABF252826C0}"/>
    <dataValidation allowBlank="1" showInputMessage="1" showErrorMessage="1" promptTitle="Distributieverlies binnen gebouw" prompt="Warmtedistributieverlies binnen woning|gebouw voor ruimteverwarming en warmtapwater, en afgifteverlies (radiator, vloerverwarming) voor ruimteverwarming._x000a_(Afgifteverlies voor warmtapwater zit verwerkt in het kengetal voor energiebehoefte warmtapwater.)" sqref="D85" xr:uid="{EF74D05B-BBE6-4578-8CE8-AC0AA7FA8EA6}"/>
    <dataValidation type="list" allowBlank="1" showInputMessage="1" showErrorMessage="1" sqref="Q83 AC83 AO83 BA83" xr:uid="{1633D825-82D9-4D2B-8B3E-A4D3666DA956}">
      <formula1>toestellen_TAP_invoer</formula1>
    </dataValidation>
    <dataValidation type="list" allowBlank="1" showInputMessage="1" showErrorMessage="1" sqref="P83 AN83 AB83 AZ83" xr:uid="{D31949FB-4286-4E27-873F-7F46CF0FD431}">
      <formula1>toestellen_KOEL_invoer</formula1>
    </dataValidation>
    <dataValidation type="list" allowBlank="1" showInputMessage="1" showErrorMessage="1" sqref="F5" xr:uid="{3E8F986A-82E9-48C7-BAE4-DD52A116841E}">
      <formula1>opwekking_elektriciteit</formula1>
    </dataValidation>
    <dataValidation allowBlank="1" showInputMessage="1" showErrorMessage="1" promptTitle="BENG-eisen" prompt="Als er meer dan één gebruiksfunctie is, dan is de eis gelijk aan het naar gebruiksoppervlakte gewogen gemiddelde over de verschillende functies." sqref="A315" xr:uid="{E354A4E0-3B37-4532-BED6-9EA6A5A15418}"/>
    <dataValidation allowBlank="1" showInputMessage="1" showErrorMessage="1" promptTitle="Regerenatie WKO" prompt="Indien regeneratie van de WKO wordt voorzien wordt het elektriciteitsverbruik voor regeneratie bepaald als volgt:_x000a_Elektriciteitsverbruik regeneratie = abs (hoeveelheid warmte uit aquifer – hoeveelheid koude uit aquifer) * specifiek vermogen regeneratie_x000a_" sqref="D132" xr:uid="{AF258814-E114-4F15-AE2C-761F2783F024}"/>
    <dataValidation type="whole" allowBlank="1" showInputMessage="1" showErrorMessage="1" sqref="AB151:AC151 AZ151:BA151 P151:Q151 AN151:AO151" xr:uid="{55BA3410-5FCF-4786-B399-17696C85F0BA}">
      <formula1>0</formula1>
      <formula2>1</formula2>
    </dataValidation>
    <dataValidation type="decimal" allowBlank="1" showInputMessage="1" showErrorMessage="1" sqref="AA151 O151 O155:Q155 AA155:AC155 AM155:AO155 AM151 AY151 AY155:BA155" xr:uid="{004F360C-8901-47F7-B560-BE33E6E988C2}">
      <formula1>0</formula1>
      <formula2>1</formula2>
    </dataValidation>
    <dataValidation allowBlank="1" showInputMessage="1" showErrorMessage="1" promptTitle="Primaire energiefactor" prompt="Het is mogelijk een eigen primaire energiefactor in te voeren. _x000a_Let op: Het verrekenen van aftapwarmte gaat via 'gederfde elektriciteit'." sqref="D149" xr:uid="{6B3AC93C-3EE3-408A-A8CB-EC88D7F15059}"/>
    <dataValidation allowBlank="1" showInputMessage="1" showErrorMessage="1" promptTitle="Opwekkingsrendement" prompt="Binnen de Uniforme Maatlat wordt het opwekkingsrendement op bovenwaarde gebruikt." sqref="D111" xr:uid="{914237C7-E803-4D71-89FB-919C653D35DC}"/>
    <dataValidation allowBlank="1" showInputMessage="1" showErrorMessage="1" promptTitle="Forfaitaire waarden PV" prompt="Forfaitaire waarde voor opbrengst van PV: 875 kWh/kWp._x000a_" sqref="D186" xr:uid="{218D49EA-CA34-470C-AFF2-E19DB2A1227F}"/>
    <dataValidation allowBlank="1" showInputMessage="1" showErrorMessage="1" promptTitle="Distributieverlies extern" prompt="Het warmteverlies bij warmtedistributie buiten het gebouw in MWh per woning en/of utiliteitsgebouw._x000a__x000a_Als hiervoor waarden beschikbaar zijn, kunnen de forfaitaire waarden uit het model worden overschreven." sqref="D92" xr:uid="{B1CD7447-6210-4136-A746-8C90F57700AE}"/>
    <dataValidation allowBlank="1" showInputMessage="1" showErrorMessage="1" promptTitle="Relatieve bijdrage per type" prompt="De relatieve bijdrage per energiepost (verwarming, warmtapwater, ..) wordt per type woning, woongebouw, utiliteitsgebouw bepaald op basis van de primaire energiegebruiken conform EPG/BENG." sqref="D275" xr:uid="{32F50969-62DD-49F7-AC09-02077F01BD19}"/>
    <dataValidation allowBlank="1" showInputMessage="1" showErrorMessage="1" promptTitle="Karakteristiek energiegebruik" prompt="Totaal naar primaire energie omgerekend fossiele brandstoffen voor gebouwgebonden energiegebruik (voor woningen ZONDER verlichting), verminderd met primair energiegebruik op eigen perceel geproduceerde energie._x000a__x000a_Cf. NTA8800 par. 5.5." sqref="D304" xr:uid="{84C3132C-24A9-479B-B9D7-0BB47C4898FF}"/>
    <dataValidation allowBlank="1" showInputMessage="1" showErrorMessage="1" promptTitle="PV" prompt="Opbrengst PV op gevel en dak in kWh per woning | utiliteitsgebouw." sqref="D73" xr:uid="{4F7B62EE-5D85-4AE8-9AA4-2B8CB738C328}"/>
    <dataValidation allowBlank="1" showInputMessage="1" showErrorMessage="1" promptTitle="Mobiliteit" prompt="Het geschatte elektriciteitsgebruik voor mobiliteit, bijvoorbeeld door elektrische auto's, kan worden ingevuld in kWh per woning of per utiliteitsgebouw." sqref="D71" xr:uid="{78FE3138-596E-45B5-B199-4B42D77185A1}"/>
    <dataValidation allowBlank="1" showInputMessage="1" showErrorMessage="1" promptTitle="Warmte-/koudebehoefte" prompt="De warmte- en koudebehoefte van de woning of het utiliteitsgebouw is gegeven in kWh/m2._x000a__x000a_Het is geen maat voor BENG 1, omdat het ventilatiesysteem voor BENG 1 per definitie C1 moet zijn. En dat is hier niet het geval." sqref="D267" xr:uid="{DC4EBE60-7653-4DD0-95CD-8EF6182F1A21}"/>
    <dataValidation allowBlank="1" showInputMessage="1" showErrorMessage="1" promptTitle="Primair totaal energiegebruik" prompt="Het primair totaal energiegebruik in kWh_prim/m2.jaar per woningtype, per energiepost en voor het totaal." sqref="D363" xr:uid="{E3FB493A-C0C7-4A95-A712-89BF63E0084A}"/>
    <dataValidation type="list" allowBlank="1" showInputMessage="1" showErrorMessage="1" errorTitle="Toestel RV" error="Kies een beschikbaar toestel." sqref="AA83 O83 AM83 AY83" xr:uid="{CE5FC301-58D1-49A6-8983-CEC4EC9D269A}">
      <formula1>toestellen_RV_invoer</formula1>
    </dataValidation>
    <dataValidation allowBlank="1" showInputMessage="1" showErrorMessage="1" promptTitle="CO2 emisse" prompt="De CO2 emissie in kg/m2.jaar per woningtype, per energiepost en voor het totaal._x000a__x000a_De CO2 emissie in ton/jaar per (deel)locatie, per energiepost en voor het totaal._x000a__x000a_" sqref="D343" xr:uid="{C46F4417-E657-4093-AEA7-8ADADD66A24A}"/>
  </dataValidations>
  <hyperlinks>
    <hyperlink ref="D323" r:id="rId1" tooltip="verwijzing naar Staatsblad 2019, 501 met BENG-eisen" xr:uid="{D7DE68E0-9487-46AD-88DC-876623DA2120}"/>
  </hyperlinks>
  <pageMargins left="0.23622047244094491" right="0.23622047244094491" top="0.74803149606299213" bottom="0.74803149606299213" header="0.31496062992125984" footer="0.31496062992125984"/>
  <pageSetup paperSize="9" scale="25" fitToHeight="0" orientation="landscape" r:id="rId2"/>
  <headerFooter alignWithMargins="0">
    <oddFooter>&amp;L_x000D_&amp;1#&amp;"Aptos"&amp;10&amp;K000000 Intern gebruik</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885EE-2D12-4D4C-A984-68C375723EF2}">
  <sheetPr codeName="Blad15" filterMode="1">
    <tabColor theme="6" tint="0.39997558519241921"/>
    <outlinePr showOutlineSymbols="0"/>
    <pageSetUpPr fitToPage="1"/>
  </sheetPr>
  <dimension ref="A1:BH376"/>
  <sheetViews>
    <sheetView showGridLines="0" showRowColHeaders="0" zoomScaleNormal="100" workbookViewId="0">
      <pane xSplit="11" ySplit="14" topLeftCell="AU15" activePane="bottomRight" state="frozen"/>
      <selection pane="topRight" activeCell="L1" sqref="L1"/>
      <selection pane="bottomLeft" activeCell="A15" sqref="A15"/>
      <selection pane="bottomRight" activeCell="E1" sqref="E1"/>
    </sheetView>
  </sheetViews>
  <sheetFormatPr defaultRowHeight="17.25"/>
  <cols>
    <col min="1" max="1" width="0.5703125" style="1047" customWidth="1"/>
    <col min="2" max="3" width="2.7109375" style="1113" customWidth="1"/>
    <col min="4" max="4" width="2.7109375" style="192" customWidth="1"/>
    <col min="5" max="5" width="26.7109375" customWidth="1"/>
    <col min="6" max="7" width="17.7109375" customWidth="1"/>
    <col min="8" max="8" width="24.140625" bestFit="1" customWidth="1"/>
    <col min="9" max="9" width="0.28515625" customWidth="1"/>
    <col min="10" max="10" width="16.7109375" customWidth="1"/>
    <col min="11" max="12" width="1.42578125" customWidth="1"/>
    <col min="13" max="13" width="15.7109375" customWidth="1"/>
    <col min="14" max="14" width="0.28515625" customWidth="1"/>
    <col min="15" max="15" width="12.5703125" customWidth="1"/>
    <col min="16" max="23" width="12.7109375" customWidth="1"/>
    <col min="24" max="24" width="2.7109375" customWidth="1"/>
    <col min="25" max="25" width="15.7109375" customWidth="1"/>
    <col min="26" max="26" width="0.28515625" customWidth="1"/>
    <col min="27" max="35" width="12.7109375" customWidth="1"/>
    <col min="36" max="36" width="2.7109375" customWidth="1"/>
    <col min="37" max="37" width="15.7109375" customWidth="1"/>
    <col min="38" max="38" width="0.28515625" customWidth="1"/>
    <col min="39" max="47" width="12.7109375" customWidth="1"/>
    <col min="48" max="48" width="2.7109375" customWidth="1"/>
    <col min="49" max="49" width="15.7109375" customWidth="1"/>
    <col min="50" max="50" width="0.28515625" customWidth="1"/>
    <col min="51" max="59" width="12.7109375" customWidth="1"/>
    <col min="60" max="60" width="1.140625" customWidth="1"/>
    <col min="61" max="65" width="9.140625" customWidth="1"/>
  </cols>
  <sheetData>
    <row r="1" spans="1:60" s="699" customFormat="1" ht="21">
      <c r="A1" s="1036"/>
      <c r="B1" s="989"/>
      <c r="C1" s="989"/>
      <c r="D1" s="694"/>
      <c r="E1" s="1216" t="str">
        <f>disclaimer!$E$7&amp;" - "&amp;"versie "&amp;TEXT(disclaimer!$E$8,"d mmm jjjj")</f>
        <v>Uniforme Maatlat Gebouwde Omgeving 5.3.0 - versie 7 aug 2026</v>
      </c>
      <c r="F1" s="697"/>
      <c r="G1" s="697"/>
      <c r="H1" s="696"/>
      <c r="I1" s="697"/>
      <c r="J1" s="695"/>
      <c r="K1" s="1049"/>
      <c r="L1" s="1049"/>
      <c r="M1" s="698"/>
      <c r="N1" s="698"/>
      <c r="O1" s="702"/>
      <c r="P1" s="698"/>
      <c r="Q1" s="698"/>
      <c r="R1" s="698"/>
      <c r="S1" s="698"/>
      <c r="T1" s="698"/>
      <c r="U1" s="698"/>
      <c r="V1" s="698"/>
      <c r="W1" s="698"/>
      <c r="X1" s="698"/>
      <c r="Y1" s="698"/>
      <c r="Z1" s="698"/>
      <c r="AA1" s="702"/>
      <c r="AB1" s="698"/>
      <c r="AC1" s="698"/>
      <c r="AD1" s="698"/>
      <c r="AE1" s="698"/>
      <c r="AF1" s="698"/>
      <c r="AG1" s="698"/>
      <c r="AH1" s="698"/>
      <c r="AI1" s="698"/>
      <c r="AJ1" s="698"/>
      <c r="AK1" s="698"/>
      <c r="AL1" s="698"/>
      <c r="AM1" s="702"/>
      <c r="AN1" s="698"/>
      <c r="AO1" s="698"/>
      <c r="AP1" s="698"/>
      <c r="AQ1" s="698"/>
      <c r="AR1" s="698"/>
      <c r="AS1" s="698"/>
      <c r="AT1" s="698"/>
      <c r="AU1" s="698"/>
      <c r="AV1" s="698"/>
      <c r="AW1" s="698"/>
      <c r="AX1" s="698"/>
      <c r="AY1" s="698"/>
      <c r="AZ1" s="698"/>
      <c r="BA1" s="698"/>
      <c r="BB1" s="698"/>
      <c r="BC1" s="698"/>
      <c r="BD1" s="698"/>
      <c r="BE1" s="698"/>
      <c r="BF1" s="698"/>
      <c r="BG1" s="698"/>
      <c r="BH1" s="698"/>
    </row>
    <row r="2" spans="1:60" s="764" customFormat="1" ht="26.25">
      <c r="A2" s="1037"/>
      <c r="B2" s="1101"/>
      <c r="C2" s="1101"/>
      <c r="D2" s="762"/>
      <c r="E2" s="1048" t="str">
        <f ca="1">IFERROR(MID(CELL("bestandsnaam",A1),SEARCH("]",CELL("bestandsnaam",A1),1)+1,99),"bestand nog niet opgeslagen")</f>
        <v>variant 6</v>
      </c>
      <c r="F2" s="763" t="str">
        <f>IF('woningen|utiliteit'!$G$2&lt;&gt;"","Controleer invoer gebouwen",IF(J52&lt;&gt;"ja","NB  Energiemaatregelen niet correct/volledig ingevuld",IF(J83&lt;&gt;"ja","NB  Vul alle installaties in","")))</f>
        <v/>
      </c>
      <c r="G2" s="763"/>
      <c r="H2" s="763"/>
      <c r="I2" s="710"/>
      <c r="J2" s="710"/>
      <c r="K2" s="1050"/>
      <c r="L2" s="1050"/>
      <c r="M2" s="767" t="s">
        <v>85</v>
      </c>
      <c r="N2" s="766"/>
      <c r="O2" s="771" t="s">
        <v>86</v>
      </c>
      <c r="P2" s="765"/>
      <c r="Q2" s="765"/>
      <c r="R2" s="765"/>
      <c r="S2" s="765"/>
      <c r="T2" s="765"/>
      <c r="U2" s="765"/>
      <c r="V2" s="765"/>
      <c r="W2" s="765"/>
      <c r="X2" s="765"/>
      <c r="Y2" s="767" t="s">
        <v>85</v>
      </c>
      <c r="Z2" s="766"/>
      <c r="AA2" s="771" t="s">
        <v>86</v>
      </c>
      <c r="AB2" s="765"/>
      <c r="AC2" s="765"/>
      <c r="AD2" s="765"/>
      <c r="AE2" s="765"/>
      <c r="AF2" s="765"/>
      <c r="AG2" s="765"/>
      <c r="AH2" s="765"/>
      <c r="AI2" s="765"/>
      <c r="AJ2" s="765"/>
      <c r="AK2" s="767" t="s">
        <v>85</v>
      </c>
      <c r="AL2" s="766"/>
      <c r="AM2" s="771" t="s">
        <v>86</v>
      </c>
      <c r="AN2" s="765"/>
      <c r="AO2" s="765"/>
      <c r="AP2" s="765"/>
      <c r="AQ2" s="765"/>
      <c r="AR2" s="765"/>
      <c r="AS2" s="765"/>
      <c r="AT2" s="765"/>
      <c r="AU2" s="765"/>
      <c r="AV2" s="765"/>
      <c r="AW2" s="767" t="s">
        <v>85</v>
      </c>
      <c r="AX2" s="766"/>
      <c r="AY2" s="771" t="s">
        <v>86</v>
      </c>
      <c r="AZ2" s="765"/>
      <c r="BA2" s="765"/>
      <c r="BB2" s="765"/>
      <c r="BC2" s="765"/>
      <c r="BD2" s="765"/>
      <c r="BE2" s="765"/>
      <c r="BF2" s="765"/>
      <c r="BG2" s="765"/>
      <c r="BH2" s="211"/>
    </row>
    <row r="3" spans="1:60">
      <c r="A3" s="1038"/>
      <c r="B3" s="990" t="s">
        <v>1118</v>
      </c>
      <c r="C3" s="990" t="s">
        <v>1118</v>
      </c>
      <c r="D3" s="638"/>
      <c r="E3" s="1261" t="str">
        <f>"project: "&amp;IF('woningen|utiliteit'!$F$3="","",'woningen|utiliteit'!$F$3)</f>
        <v xml:space="preserve">project: </v>
      </c>
      <c r="F3" s="1262"/>
      <c r="G3" s="713" t="s">
        <v>87</v>
      </c>
      <c r="H3" s="714"/>
      <c r="I3" s="79"/>
      <c r="K3" s="1050"/>
      <c r="L3" s="1050"/>
      <c r="M3" s="751" t="s">
        <v>88</v>
      </c>
      <c r="N3" s="752"/>
      <c r="O3" s="772" t="str">
        <f>IF(M22=0,"-",O104&amp;IF(O108=1,"","   |  "&amp;O140))</f>
        <v>-</v>
      </c>
      <c r="P3" s="753"/>
      <c r="Q3" s="754"/>
      <c r="R3" s="754"/>
      <c r="S3" s="754"/>
      <c r="T3" s="754"/>
      <c r="U3" s="754"/>
      <c r="V3" s="754"/>
      <c r="W3" s="754"/>
      <c r="X3" s="80"/>
      <c r="Y3" s="751" t="s">
        <v>88</v>
      </c>
      <c r="Z3" s="752"/>
      <c r="AA3" s="772" t="str">
        <f>IF(Y22=0,"-",AA104&amp;IF(AA108=1,"","   |  "&amp;AA140))</f>
        <v>-</v>
      </c>
      <c r="AB3" s="753"/>
      <c r="AC3" s="754"/>
      <c r="AD3" s="754"/>
      <c r="AE3" s="754"/>
      <c r="AF3" s="754"/>
      <c r="AG3" s="754"/>
      <c r="AH3" s="754"/>
      <c r="AI3" s="754"/>
      <c r="AJ3" s="80"/>
      <c r="AK3" s="751" t="s">
        <v>88</v>
      </c>
      <c r="AL3" s="752"/>
      <c r="AM3" s="772" t="str">
        <f>IF(AK22=0,"-",AM104&amp;IF(AM108=1,"","   |  "&amp;AM140))</f>
        <v>-</v>
      </c>
      <c r="AN3" s="753"/>
      <c r="AO3" s="754"/>
      <c r="AP3" s="754"/>
      <c r="AQ3" s="754"/>
      <c r="AR3" s="754"/>
      <c r="AS3" s="754"/>
      <c r="AT3" s="754"/>
      <c r="AU3" s="754"/>
      <c r="AV3" s="80"/>
      <c r="AW3" s="751" t="s">
        <v>88</v>
      </c>
      <c r="AX3" s="752"/>
      <c r="AY3" s="772" t="str">
        <f>IF(AW22=0,"-",AY104&amp;IF(AY108=1,"","   |  "&amp;AY140))</f>
        <v>-</v>
      </c>
      <c r="AZ3" s="753"/>
      <c r="BA3" s="754"/>
      <c r="BB3" s="754"/>
      <c r="BC3" s="754"/>
      <c r="BD3" s="754"/>
      <c r="BE3" s="754"/>
      <c r="BF3" s="754"/>
      <c r="BG3" s="754"/>
      <c r="BH3" s="211"/>
    </row>
    <row r="4" spans="1:60">
      <c r="A4" s="1038"/>
      <c r="B4" s="1102"/>
      <c r="C4" s="1102"/>
      <c r="D4" s="638"/>
      <c r="E4" s="715" t="s">
        <v>89</v>
      </c>
      <c r="F4" s="1263"/>
      <c r="G4" s="1263"/>
      <c r="H4" s="1264"/>
      <c r="I4" s="79"/>
      <c r="K4" s="1050"/>
      <c r="L4" s="1050"/>
      <c r="M4" s="755" t="s">
        <v>90</v>
      </c>
      <c r="N4" s="752"/>
      <c r="O4" s="773" t="str">
        <f>IF(M22=0,"-",P104&amp;IF(P108=1,"","   |  "&amp;P140))</f>
        <v>-</v>
      </c>
      <c r="P4" s="756"/>
      <c r="Q4" s="757"/>
      <c r="R4" s="754"/>
      <c r="S4" s="754"/>
      <c r="T4" s="754"/>
      <c r="U4" s="754"/>
      <c r="V4" s="754"/>
      <c r="W4" s="754"/>
      <c r="X4" s="80"/>
      <c r="Y4" s="755" t="s">
        <v>90</v>
      </c>
      <c r="Z4" s="752"/>
      <c r="AA4" s="773" t="str">
        <f>IF(Y22=0,"-",AB104&amp;IF(AB108=1,"","   |  "&amp;AB140))</f>
        <v>-</v>
      </c>
      <c r="AB4" s="756"/>
      <c r="AC4" s="757"/>
      <c r="AD4" s="754"/>
      <c r="AE4" s="754"/>
      <c r="AF4" s="754"/>
      <c r="AG4" s="754"/>
      <c r="AH4" s="754"/>
      <c r="AI4" s="754"/>
      <c r="AJ4" s="80"/>
      <c r="AK4" s="755" t="s">
        <v>90</v>
      </c>
      <c r="AL4" s="752"/>
      <c r="AM4" s="773" t="str">
        <f>IF(AK22=0,"-",AN104&amp;IF(AN108=1,"","   |  "&amp;AN140))</f>
        <v>-</v>
      </c>
      <c r="AN4" s="756"/>
      <c r="AO4" s="757"/>
      <c r="AP4" s="754"/>
      <c r="AQ4" s="754"/>
      <c r="AR4" s="754"/>
      <c r="AS4" s="754"/>
      <c r="AT4" s="754"/>
      <c r="AU4" s="754"/>
      <c r="AV4" s="80"/>
      <c r="AW4" s="755" t="s">
        <v>90</v>
      </c>
      <c r="AX4" s="752"/>
      <c r="AY4" s="773" t="str">
        <f>IF(AW22=0,"-",AZ104&amp;IF(AZ108=1,"","   |  "&amp;AZ140))</f>
        <v>-</v>
      </c>
      <c r="AZ4" s="756"/>
      <c r="BA4" s="757"/>
      <c r="BB4" s="754"/>
      <c r="BC4" s="754"/>
      <c r="BD4" s="754"/>
      <c r="BE4" s="754"/>
      <c r="BF4" s="754"/>
      <c r="BG4" s="754"/>
      <c r="BH4" s="211"/>
    </row>
    <row r="5" spans="1:60">
      <c r="A5" s="1038"/>
      <c r="B5" s="1265" t="s">
        <v>91</v>
      </c>
      <c r="C5" s="1265" t="s">
        <v>92</v>
      </c>
      <c r="D5" s="638"/>
      <c r="E5" s="1187" t="s">
        <v>1370</v>
      </c>
      <c r="F5" s="806" t="s">
        <v>1384</v>
      </c>
      <c r="G5" s="807">
        <f>HLOOKUP($F$5,bibliotheek!$E$304:$R$311,ROWS(bibliotheek!$E$304:$E$305),FALSE)</f>
        <v>1.45</v>
      </c>
      <c r="H5" s="808">
        <f>HLOOKUP($F$5,bibliotheek!$E$304:$R$311,ROWS(bibliotheek!$E$304:$E$311),FALSE)</f>
        <v>0.26800000000000002</v>
      </c>
      <c r="I5" s="79"/>
      <c r="J5" s="701"/>
      <c r="K5" s="80"/>
      <c r="L5" s="80"/>
      <c r="M5" s="751" t="s">
        <v>94</v>
      </c>
      <c r="N5" s="752"/>
      <c r="O5" s="772" t="str">
        <f>IF(M22=0,"-",Q104&amp;IF(Q108=1,"","   |  "&amp;Q140))</f>
        <v>-</v>
      </c>
      <c r="P5" s="754"/>
      <c r="Q5" s="754"/>
      <c r="R5" s="754"/>
      <c r="S5" s="754"/>
      <c r="T5" s="754"/>
      <c r="U5" s="754"/>
      <c r="V5" s="754"/>
      <c r="W5" s="754"/>
      <c r="X5" s="80"/>
      <c r="Y5" s="751" t="s">
        <v>94</v>
      </c>
      <c r="Z5" s="752"/>
      <c r="AA5" s="772" t="str">
        <f>IF(Y22=0,"-",AC104&amp;IF(AC108=1,"","   |  "&amp;AC140))</f>
        <v>-</v>
      </c>
      <c r="AB5" s="754"/>
      <c r="AC5" s="754"/>
      <c r="AD5" s="754"/>
      <c r="AE5" s="754"/>
      <c r="AF5" s="754"/>
      <c r="AG5" s="754"/>
      <c r="AH5" s="754"/>
      <c r="AI5" s="754"/>
      <c r="AJ5" s="80"/>
      <c r="AK5" s="751" t="s">
        <v>94</v>
      </c>
      <c r="AL5" s="752"/>
      <c r="AM5" s="772" t="str">
        <f>IF(AK22=0,"-",AO104&amp;IF(AO108=1,"","   |  "&amp;AO140))</f>
        <v>-</v>
      </c>
      <c r="AN5" s="754"/>
      <c r="AO5" s="754"/>
      <c r="AP5" s="754"/>
      <c r="AQ5" s="754"/>
      <c r="AR5" s="754"/>
      <c r="AS5" s="754"/>
      <c r="AT5" s="754"/>
      <c r="AU5" s="754"/>
      <c r="AV5" s="80"/>
      <c r="AW5" s="751" t="s">
        <v>94</v>
      </c>
      <c r="AX5" s="752"/>
      <c r="AY5" s="772" t="str">
        <f>IF(AW22=0,"-",BA104&amp;IF(BA108=1,"","   |  "&amp;BA140))</f>
        <v>-</v>
      </c>
      <c r="AZ5" s="754"/>
      <c r="BA5" s="754"/>
      <c r="BB5" s="754"/>
      <c r="BC5" s="754"/>
      <c r="BD5" s="754"/>
      <c r="BE5" s="754"/>
      <c r="BF5" s="754"/>
      <c r="BG5" s="754"/>
      <c r="BH5" s="211"/>
    </row>
    <row r="6" spans="1:60">
      <c r="A6" s="1038"/>
      <c r="B6" s="1265"/>
      <c r="C6" s="1265"/>
      <c r="D6" s="639" t="s">
        <v>45</v>
      </c>
      <c r="E6" s="716" t="s">
        <v>1162</v>
      </c>
      <c r="F6" s="806" t="s">
        <v>1119</v>
      </c>
      <c r="G6" s="957" t="str">
        <f>IF(F6=EP,"energieprestatieberekening","maatwerkadvies (geen resultaten EP)")</f>
        <v>energieprestatieberekening</v>
      </c>
      <c r="H6" s="935"/>
      <c r="I6" s="79"/>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1"/>
      <c r="AZ6" s="701"/>
      <c r="BA6" s="701"/>
      <c r="BB6" s="701"/>
      <c r="BC6" s="701"/>
      <c r="BD6" s="701"/>
      <c r="BE6" s="701"/>
      <c r="BF6" s="701"/>
      <c r="BG6" s="701"/>
      <c r="BH6" s="211"/>
    </row>
    <row r="7" spans="1:60" s="761" customFormat="1">
      <c r="A7" s="1039"/>
      <c r="B7" s="1265"/>
      <c r="C7" s="1265"/>
      <c r="D7" s="758"/>
      <c r="E7" s="759"/>
      <c r="F7" s="759"/>
      <c r="G7" s="759"/>
      <c r="H7" s="759"/>
      <c r="I7" s="759"/>
      <c r="J7" s="760"/>
      <c r="K7" s="760"/>
      <c r="L7" s="760"/>
      <c r="M7" s="759"/>
      <c r="N7" s="759"/>
      <c r="O7" s="858"/>
      <c r="P7" s="1168"/>
      <c r="Q7" s="759"/>
      <c r="R7" s="1168"/>
      <c r="S7" s="759"/>
      <c r="T7" s="758"/>
      <c r="U7" s="758"/>
      <c r="V7" s="758"/>
    </row>
    <row r="8" spans="1:60" ht="21">
      <c r="A8" s="1038"/>
      <c r="B8" s="1103"/>
      <c r="C8" s="1103"/>
      <c r="D8" s="639" t="s">
        <v>45</v>
      </c>
      <c r="E8" s="708"/>
      <c r="F8" s="1"/>
      <c r="G8" s="1"/>
      <c r="H8" s="1"/>
      <c r="I8" s="2"/>
      <c r="J8" s="709" t="s">
        <v>1167</v>
      </c>
      <c r="K8" s="710"/>
      <c r="L8" s="710"/>
      <c r="M8" s="709" t="s">
        <v>62</v>
      </c>
      <c r="N8" s="711"/>
      <c r="O8" s="711" t="str">
        <f>IF(M22=0,"[geen gebouwgegevens ingevoerd]",IF('woningen|utiliteit'!$L$17="","[geen naam locatie ingevoerd]",'woningen|utiliteit'!$L$17))</f>
        <v>[geen gebouwgegevens ingevoerd]</v>
      </c>
      <c r="P8" s="711"/>
      <c r="Q8" s="711"/>
      <c r="R8" s="711"/>
      <c r="S8" s="711"/>
      <c r="T8" s="712"/>
      <c r="U8" s="712"/>
      <c r="V8" s="711"/>
      <c r="W8" s="711"/>
      <c r="X8" s="710"/>
      <c r="Y8" s="709" t="s">
        <v>79</v>
      </c>
      <c r="Z8" s="711"/>
      <c r="AA8" s="711" t="str">
        <f>IF(Y22=0,"[geen gebouwgegevens ingevoerd]",IF('woningen|utiliteit'!$L$33="","[geen naam locatie ingevoerd]",'woningen|utiliteit'!$L$33))</f>
        <v>[geen gebouwgegevens ingevoerd]</v>
      </c>
      <c r="AB8" s="711"/>
      <c r="AC8" s="711"/>
      <c r="AD8" s="711"/>
      <c r="AE8" s="711"/>
      <c r="AF8" s="712"/>
      <c r="AG8" s="712"/>
      <c r="AH8" s="711"/>
      <c r="AI8" s="711"/>
      <c r="AJ8" s="710"/>
      <c r="AK8" s="709" t="s">
        <v>80</v>
      </c>
      <c r="AL8" s="711"/>
      <c r="AM8" s="711" t="str">
        <f>IF(AK22=0,"[geen gebouwgegevens ingevoerd]",IF('woningen|utiliteit'!$L$49="","[geen naam locatie ingevoerd]",'woningen|utiliteit'!$L$49))</f>
        <v>[geen gebouwgegevens ingevoerd]</v>
      </c>
      <c r="AN8" s="711"/>
      <c r="AO8" s="711"/>
      <c r="AP8" s="711"/>
      <c r="AQ8" s="711"/>
      <c r="AR8" s="712"/>
      <c r="AS8" s="712"/>
      <c r="AT8" s="711"/>
      <c r="AU8" s="711"/>
      <c r="AV8" s="710"/>
      <c r="AW8" s="709" t="s">
        <v>81</v>
      </c>
      <c r="AX8" s="711"/>
      <c r="AY8" s="711" t="str">
        <f>IF(AW22=0,"[geen gebouwgegevens ingevoerd]",IF('woningen|utiliteit'!$L$65="","[geen naam locatie ingevoerd]",'woningen|utiliteit'!$L$65))</f>
        <v>[geen gebouwgegevens ingevoerd]</v>
      </c>
      <c r="AZ8" s="178"/>
      <c r="BA8" s="178"/>
      <c r="BB8" s="178"/>
      <c r="BC8" s="178"/>
      <c r="BD8" s="179"/>
      <c r="BE8" s="179"/>
      <c r="BF8" s="178"/>
      <c r="BG8" s="178"/>
      <c r="BH8" s="1"/>
    </row>
    <row r="9" spans="1:60" s="591" customFormat="1" ht="5.25">
      <c r="A9" s="1104" t="s">
        <v>95</v>
      </c>
      <c r="B9" s="1104" t="s">
        <v>95</v>
      </c>
      <c r="C9" s="1105" t="s">
        <v>96</v>
      </c>
      <c r="D9" s="588"/>
      <c r="E9" s="589"/>
      <c r="F9" s="589"/>
      <c r="G9" s="589"/>
      <c r="H9" s="589"/>
      <c r="I9" s="589"/>
      <c r="J9" s="590"/>
      <c r="K9" s="590"/>
      <c r="L9" s="590"/>
      <c r="M9" s="589"/>
      <c r="N9" s="589"/>
      <c r="O9" s="589"/>
      <c r="P9" s="589"/>
      <c r="Q9" s="589"/>
      <c r="R9" s="589"/>
      <c r="S9" s="589"/>
      <c r="T9" s="588"/>
      <c r="U9" s="588"/>
      <c r="V9" s="588"/>
    </row>
    <row r="10" spans="1:60" ht="21">
      <c r="A10" s="1040"/>
      <c r="B10" s="1106" t="s">
        <v>95</v>
      </c>
      <c r="C10" s="1107" t="s">
        <v>96</v>
      </c>
      <c r="D10" s="639" t="s">
        <v>45</v>
      </c>
      <c r="E10" s="580" t="s">
        <v>1158</v>
      </c>
      <c r="F10" s="580"/>
      <c r="G10" s="580"/>
      <c r="H10" s="971" t="s">
        <v>1157</v>
      </c>
      <c r="I10" s="77"/>
      <c r="J10" s="176" t="str">
        <f>J$8</f>
        <v>alle locaties</v>
      </c>
      <c r="K10" s="126"/>
      <c r="L10" s="126"/>
      <c r="M10" s="176" t="str">
        <f>M$8</f>
        <v>locatie 1</v>
      </c>
      <c r="N10" s="182"/>
      <c r="O10" s="177" t="s">
        <v>88</v>
      </c>
      <c r="P10" s="177" t="s">
        <v>90</v>
      </c>
      <c r="Q10" s="177" t="s">
        <v>97</v>
      </c>
      <c r="R10" s="177" t="s">
        <v>98</v>
      </c>
      <c r="S10" s="177" t="s">
        <v>99</v>
      </c>
      <c r="T10" s="177" t="s">
        <v>100</v>
      </c>
      <c r="U10" s="177" t="s">
        <v>101</v>
      </c>
      <c r="V10" s="177" t="s">
        <v>102</v>
      </c>
      <c r="W10" s="177" t="s">
        <v>103</v>
      </c>
      <c r="X10" s="174"/>
      <c r="Y10" s="176" t="str">
        <f>Y8</f>
        <v>locatie 2</v>
      </c>
      <c r="Z10" s="182"/>
      <c r="AA10" s="177" t="str">
        <f>$O$10</f>
        <v>verwarming</v>
      </c>
      <c r="AB10" s="177" t="str">
        <f>$P$10</f>
        <v>koeling</v>
      </c>
      <c r="AC10" s="177" t="str">
        <f>$Q$10</f>
        <v>tapwater</v>
      </c>
      <c r="AD10" s="177" t="str">
        <f>$R$10</f>
        <v>verlichting</v>
      </c>
      <c r="AE10" s="177" t="str">
        <f>$S$10</f>
        <v>ventilatoren</v>
      </c>
      <c r="AF10" s="177" t="str">
        <f>$T$10</f>
        <v>kookgas</v>
      </c>
      <c r="AG10" s="177" t="str">
        <f>$U$10</f>
        <v>overig elektra</v>
      </c>
      <c r="AH10" s="177" t="str">
        <f>$V$10</f>
        <v>mobiliteit</v>
      </c>
      <c r="AI10" s="177" t="str">
        <f>$W$10</f>
        <v>zonnepanelen</v>
      </c>
      <c r="AJ10" s="174"/>
      <c r="AK10" s="176" t="str">
        <f>AK8</f>
        <v>locatie 3</v>
      </c>
      <c r="AL10" s="182"/>
      <c r="AM10" s="177" t="str">
        <f>$O$10</f>
        <v>verwarming</v>
      </c>
      <c r="AN10" s="177" t="str">
        <f>$P$10</f>
        <v>koeling</v>
      </c>
      <c r="AO10" s="177" t="str">
        <f>$Q$10</f>
        <v>tapwater</v>
      </c>
      <c r="AP10" s="177" t="str">
        <f>$R$10</f>
        <v>verlichting</v>
      </c>
      <c r="AQ10" s="177" t="str">
        <f>$S$10</f>
        <v>ventilatoren</v>
      </c>
      <c r="AR10" s="177" t="str">
        <f>$T$10</f>
        <v>kookgas</v>
      </c>
      <c r="AS10" s="177" t="str">
        <f>$U$10</f>
        <v>overig elektra</v>
      </c>
      <c r="AT10" s="177" t="str">
        <f>$V$10</f>
        <v>mobiliteit</v>
      </c>
      <c r="AU10" s="177" t="str">
        <f>$W$10</f>
        <v>zonnepanelen</v>
      </c>
      <c r="AV10" s="174"/>
      <c r="AW10" s="176" t="str">
        <f>AW8</f>
        <v>locatie 4</v>
      </c>
      <c r="AX10" s="182"/>
      <c r="AY10" s="177" t="str">
        <f>$O$10</f>
        <v>verwarming</v>
      </c>
      <c r="AZ10" s="177" t="str">
        <f>$P$10</f>
        <v>koeling</v>
      </c>
      <c r="BA10" s="177" t="str">
        <f>$Q$10</f>
        <v>tapwater</v>
      </c>
      <c r="BB10" s="177" t="str">
        <f>$R$10</f>
        <v>verlichting</v>
      </c>
      <c r="BC10" s="177" t="str">
        <f>$S$10</f>
        <v>ventilatoren</v>
      </c>
      <c r="BD10" s="177" t="str">
        <f>$T$10</f>
        <v>kookgas</v>
      </c>
      <c r="BE10" s="177" t="str">
        <f>$U$10</f>
        <v>overig elektra</v>
      </c>
      <c r="BF10" s="177" t="str">
        <f>$V$10</f>
        <v>mobiliteit</v>
      </c>
      <c r="BG10" s="177" t="str">
        <f>$W$10</f>
        <v>zonnepanelen</v>
      </c>
      <c r="BH10" s="1"/>
    </row>
    <row r="11" spans="1:60">
      <c r="A11" s="1040"/>
      <c r="B11" s="1106" t="s">
        <v>95</v>
      </c>
      <c r="C11" s="1107" t="s">
        <v>104</v>
      </c>
      <c r="D11" s="638"/>
      <c r="E11" s="180" t="s">
        <v>1220</v>
      </c>
      <c r="F11" s="180"/>
      <c r="G11" s="180"/>
      <c r="H11" s="181" t="s">
        <v>106</v>
      </c>
      <c r="I11" s="83"/>
      <c r="J11" s="202">
        <f>M11+Y11+AK11+AW11</f>
        <v>0</v>
      </c>
      <c r="K11" s="243"/>
      <c r="L11" s="243"/>
      <c r="M11" s="202">
        <f>SUM(N11:X11)</f>
        <v>0</v>
      </c>
      <c r="N11" s="84"/>
      <c r="O11" s="168">
        <f t="shared" ref="O11:W11" si="0">O120+O151+O174-O214</f>
        <v>0</v>
      </c>
      <c r="P11" s="168">
        <f t="shared" si="0"/>
        <v>0</v>
      </c>
      <c r="Q11" s="168">
        <f t="shared" si="0"/>
        <v>0</v>
      </c>
      <c r="R11" s="168">
        <f t="shared" si="0"/>
        <v>0</v>
      </c>
      <c r="S11" s="168">
        <f t="shared" si="0"/>
        <v>0</v>
      </c>
      <c r="T11" s="168">
        <f t="shared" si="0"/>
        <v>0</v>
      </c>
      <c r="U11" s="168">
        <f t="shared" si="0"/>
        <v>0</v>
      </c>
      <c r="V11" s="168">
        <f t="shared" si="0"/>
        <v>0</v>
      </c>
      <c r="W11" s="168">
        <f t="shared" si="0"/>
        <v>0</v>
      </c>
      <c r="X11" s="262"/>
      <c r="Y11" s="202">
        <f>SUM(Z11:AJ11)</f>
        <v>0</v>
      </c>
      <c r="Z11" s="84"/>
      <c r="AA11" s="168">
        <f t="shared" ref="AA11:AI11" si="1">AA120+AA151+AA174-AA214</f>
        <v>0</v>
      </c>
      <c r="AB11" s="168">
        <f t="shared" si="1"/>
        <v>0</v>
      </c>
      <c r="AC11" s="168">
        <f t="shared" si="1"/>
        <v>0</v>
      </c>
      <c r="AD11" s="168">
        <f t="shared" si="1"/>
        <v>0</v>
      </c>
      <c r="AE11" s="168">
        <f t="shared" si="1"/>
        <v>0</v>
      </c>
      <c r="AF11" s="168">
        <f t="shared" si="1"/>
        <v>0</v>
      </c>
      <c r="AG11" s="168">
        <f t="shared" si="1"/>
        <v>0</v>
      </c>
      <c r="AH11" s="168">
        <f t="shared" si="1"/>
        <v>0</v>
      </c>
      <c r="AI11" s="168">
        <f t="shared" si="1"/>
        <v>0</v>
      </c>
      <c r="AJ11" s="262"/>
      <c r="AK11" s="202">
        <f>SUM(AL11:AV11)</f>
        <v>0</v>
      </c>
      <c r="AL11" s="84"/>
      <c r="AM11" s="168">
        <f t="shared" ref="AM11:AU11" si="2">AM120+AM151+AM174-AM214</f>
        <v>0</v>
      </c>
      <c r="AN11" s="168">
        <f t="shared" si="2"/>
        <v>0</v>
      </c>
      <c r="AO11" s="168">
        <f t="shared" si="2"/>
        <v>0</v>
      </c>
      <c r="AP11" s="168">
        <f t="shared" si="2"/>
        <v>0</v>
      </c>
      <c r="AQ11" s="168">
        <f t="shared" si="2"/>
        <v>0</v>
      </c>
      <c r="AR11" s="168">
        <f t="shared" si="2"/>
        <v>0</v>
      </c>
      <c r="AS11" s="168">
        <f t="shared" si="2"/>
        <v>0</v>
      </c>
      <c r="AT11" s="168">
        <f t="shared" si="2"/>
        <v>0</v>
      </c>
      <c r="AU11" s="168">
        <f t="shared" si="2"/>
        <v>0</v>
      </c>
      <c r="AV11" s="262"/>
      <c r="AW11" s="202">
        <f>SUM(AX11:BH11)</f>
        <v>0</v>
      </c>
      <c r="AX11" s="84"/>
      <c r="AY11" s="168">
        <f t="shared" ref="AY11:BG11" si="3">AY120+AY151+AY174-AY214</f>
        <v>0</v>
      </c>
      <c r="AZ11" s="168">
        <f t="shared" si="3"/>
        <v>0</v>
      </c>
      <c r="BA11" s="168">
        <f t="shared" si="3"/>
        <v>0</v>
      </c>
      <c r="BB11" s="168">
        <f t="shared" si="3"/>
        <v>0</v>
      </c>
      <c r="BC11" s="168">
        <f t="shared" si="3"/>
        <v>0</v>
      </c>
      <c r="BD11" s="168">
        <f t="shared" si="3"/>
        <v>0</v>
      </c>
      <c r="BE11" s="168">
        <f t="shared" si="3"/>
        <v>0</v>
      </c>
      <c r="BF11" s="168">
        <f t="shared" si="3"/>
        <v>0</v>
      </c>
      <c r="BG11" s="168">
        <f t="shared" si="3"/>
        <v>0</v>
      </c>
      <c r="BH11" s="210"/>
    </row>
    <row r="12" spans="1:60">
      <c r="A12" s="1040"/>
      <c r="B12" s="1106" t="s">
        <v>95</v>
      </c>
      <c r="C12" s="1107" t="s">
        <v>104</v>
      </c>
      <c r="D12" s="638"/>
      <c r="E12" s="180" t="s">
        <v>107</v>
      </c>
      <c r="F12" s="180"/>
      <c r="G12" s="180"/>
      <c r="H12" s="181" t="s">
        <v>108</v>
      </c>
      <c r="I12" s="83"/>
      <c r="J12" s="202">
        <f>M12+Y12+AK12+AW12</f>
        <v>0</v>
      </c>
      <c r="K12" s="243"/>
      <c r="L12" s="243"/>
      <c r="M12" s="202">
        <f>SUM(N12:X12)</f>
        <v>0</v>
      </c>
      <c r="N12" s="84"/>
      <c r="O12" s="168">
        <f t="shared" ref="O12:V12" si="4">O130+O161+O181</f>
        <v>0</v>
      </c>
      <c r="P12" s="168">
        <f t="shared" si="4"/>
        <v>0</v>
      </c>
      <c r="Q12" s="168">
        <f t="shared" si="4"/>
        <v>0</v>
      </c>
      <c r="R12" s="168">
        <f t="shared" si="4"/>
        <v>0</v>
      </c>
      <c r="S12" s="168">
        <f t="shared" si="4"/>
        <v>0</v>
      </c>
      <c r="T12" s="168">
        <f t="shared" si="4"/>
        <v>0</v>
      </c>
      <c r="U12" s="168">
        <f t="shared" si="4"/>
        <v>0</v>
      </c>
      <c r="V12" s="168">
        <f t="shared" si="4"/>
        <v>0</v>
      </c>
      <c r="W12" s="168">
        <f>W130+W161+W181-W224</f>
        <v>0</v>
      </c>
      <c r="X12" s="262"/>
      <c r="Y12" s="202">
        <f>SUM(Z12:AJ12)</f>
        <v>0</v>
      </c>
      <c r="Z12" s="84"/>
      <c r="AA12" s="168">
        <f t="shared" ref="AA12:AH12" si="5">AA130+AA161+AA181</f>
        <v>0</v>
      </c>
      <c r="AB12" s="168">
        <f t="shared" si="5"/>
        <v>0</v>
      </c>
      <c r="AC12" s="168">
        <f t="shared" si="5"/>
        <v>0</v>
      </c>
      <c r="AD12" s="168">
        <f t="shared" si="5"/>
        <v>0</v>
      </c>
      <c r="AE12" s="168">
        <f t="shared" si="5"/>
        <v>0</v>
      </c>
      <c r="AF12" s="168">
        <f t="shared" si="5"/>
        <v>0</v>
      </c>
      <c r="AG12" s="168">
        <f t="shared" si="5"/>
        <v>0</v>
      </c>
      <c r="AH12" s="168">
        <f t="shared" si="5"/>
        <v>0</v>
      </c>
      <c r="AI12" s="168">
        <f>AI130+AI161+AI181-AI224</f>
        <v>0</v>
      </c>
      <c r="AJ12" s="262"/>
      <c r="AK12" s="202">
        <f>SUM(AL12:AV12)</f>
        <v>0</v>
      </c>
      <c r="AL12" s="84"/>
      <c r="AM12" s="168">
        <f t="shared" ref="AM12:AT12" si="6">AM130+AM161+AM181</f>
        <v>0</v>
      </c>
      <c r="AN12" s="168">
        <f t="shared" si="6"/>
        <v>0</v>
      </c>
      <c r="AO12" s="168">
        <f t="shared" si="6"/>
        <v>0</v>
      </c>
      <c r="AP12" s="168">
        <f t="shared" si="6"/>
        <v>0</v>
      </c>
      <c r="AQ12" s="168">
        <f t="shared" si="6"/>
        <v>0</v>
      </c>
      <c r="AR12" s="168">
        <f t="shared" si="6"/>
        <v>0</v>
      </c>
      <c r="AS12" s="168">
        <f t="shared" si="6"/>
        <v>0</v>
      </c>
      <c r="AT12" s="168">
        <f t="shared" si="6"/>
        <v>0</v>
      </c>
      <c r="AU12" s="168">
        <f>AU130+AU161+AU181-AU224</f>
        <v>0</v>
      </c>
      <c r="AV12" s="262"/>
      <c r="AW12" s="202">
        <f>SUM(AX12:BH12)</f>
        <v>0</v>
      </c>
      <c r="AX12" s="84"/>
      <c r="AY12" s="168">
        <f t="shared" ref="AY12:BF12" si="7">AY130+AY161+AY181</f>
        <v>0</v>
      </c>
      <c r="AZ12" s="168">
        <f t="shared" si="7"/>
        <v>0</v>
      </c>
      <c r="BA12" s="168">
        <f t="shared" si="7"/>
        <v>0</v>
      </c>
      <c r="BB12" s="168">
        <f t="shared" si="7"/>
        <v>0</v>
      </c>
      <c r="BC12" s="168">
        <f t="shared" si="7"/>
        <v>0</v>
      </c>
      <c r="BD12" s="168">
        <f t="shared" si="7"/>
        <v>0</v>
      </c>
      <c r="BE12" s="168">
        <f t="shared" si="7"/>
        <v>0</v>
      </c>
      <c r="BF12" s="168">
        <f t="shared" si="7"/>
        <v>0</v>
      </c>
      <c r="BG12" s="168">
        <f>BG130+BG161+BG181-BG224</f>
        <v>0</v>
      </c>
      <c r="BH12" s="210"/>
    </row>
    <row r="13" spans="1:60">
      <c r="A13" s="1040"/>
      <c r="B13" s="1106" t="s">
        <v>95</v>
      </c>
      <c r="C13" s="1107" t="s">
        <v>104</v>
      </c>
      <c r="D13" s="638"/>
      <c r="E13" s="180" t="s">
        <v>109</v>
      </c>
      <c r="F13" s="180"/>
      <c r="G13" s="180"/>
      <c r="H13" s="181" t="s">
        <v>110</v>
      </c>
      <c r="I13" s="83"/>
      <c r="J13" s="202">
        <f>M13+Y13+AK13+AW13</f>
        <v>0</v>
      </c>
      <c r="K13" s="243"/>
      <c r="L13" s="243"/>
      <c r="M13" s="202">
        <f>SUM(N13:X13)</f>
        <v>0</v>
      </c>
      <c r="N13" s="84"/>
      <c r="O13" s="168">
        <f t="shared" ref="O13:W13" si="8">O229*O27/1000</f>
        <v>0</v>
      </c>
      <c r="P13" s="168">
        <f t="shared" si="8"/>
        <v>0</v>
      </c>
      <c r="Q13" s="168">
        <f t="shared" si="8"/>
        <v>0</v>
      </c>
      <c r="R13" s="168">
        <f t="shared" si="8"/>
        <v>0</v>
      </c>
      <c r="S13" s="168">
        <f t="shared" si="8"/>
        <v>0</v>
      </c>
      <c r="T13" s="168">
        <f t="shared" si="8"/>
        <v>0</v>
      </c>
      <c r="U13" s="168">
        <f t="shared" si="8"/>
        <v>0</v>
      </c>
      <c r="V13" s="168">
        <f t="shared" si="8"/>
        <v>0</v>
      </c>
      <c r="W13" s="168">
        <f t="shared" si="8"/>
        <v>0</v>
      </c>
      <c r="X13" s="262"/>
      <c r="Y13" s="202">
        <f>SUM(Z13:AJ13)</f>
        <v>0</v>
      </c>
      <c r="Z13" s="84"/>
      <c r="AA13" s="168">
        <f t="shared" ref="AA13:AI13" si="9">AA229*AA27/1000</f>
        <v>0</v>
      </c>
      <c r="AB13" s="168">
        <f t="shared" si="9"/>
        <v>0</v>
      </c>
      <c r="AC13" s="168">
        <f t="shared" si="9"/>
        <v>0</v>
      </c>
      <c r="AD13" s="168">
        <f t="shared" si="9"/>
        <v>0</v>
      </c>
      <c r="AE13" s="168">
        <f t="shared" si="9"/>
        <v>0</v>
      </c>
      <c r="AF13" s="168">
        <f t="shared" si="9"/>
        <v>0</v>
      </c>
      <c r="AG13" s="168">
        <f t="shared" si="9"/>
        <v>0</v>
      </c>
      <c r="AH13" s="168">
        <f t="shared" si="9"/>
        <v>0</v>
      </c>
      <c r="AI13" s="168">
        <f t="shared" si="9"/>
        <v>0</v>
      </c>
      <c r="AJ13" s="262"/>
      <c r="AK13" s="202">
        <f>SUM(AL13:AV13)</f>
        <v>0</v>
      </c>
      <c r="AL13" s="84"/>
      <c r="AM13" s="168">
        <f t="shared" ref="AM13:AU13" si="10">AM229*AM27/1000</f>
        <v>0</v>
      </c>
      <c r="AN13" s="168">
        <f t="shared" si="10"/>
        <v>0</v>
      </c>
      <c r="AO13" s="168">
        <f t="shared" si="10"/>
        <v>0</v>
      </c>
      <c r="AP13" s="168">
        <f t="shared" si="10"/>
        <v>0</v>
      </c>
      <c r="AQ13" s="168">
        <f t="shared" si="10"/>
        <v>0</v>
      </c>
      <c r="AR13" s="168">
        <f t="shared" si="10"/>
        <v>0</v>
      </c>
      <c r="AS13" s="168">
        <f t="shared" si="10"/>
        <v>0</v>
      </c>
      <c r="AT13" s="168">
        <f t="shared" si="10"/>
        <v>0</v>
      </c>
      <c r="AU13" s="168">
        <f t="shared" si="10"/>
        <v>0</v>
      </c>
      <c r="AV13" s="262"/>
      <c r="AW13" s="202">
        <f>SUM(AX13:BH13)</f>
        <v>0</v>
      </c>
      <c r="AX13" s="84"/>
      <c r="AY13" s="168">
        <f t="shared" ref="AY13:BG13" si="11">AY229*AY27/1000</f>
        <v>0</v>
      </c>
      <c r="AZ13" s="168">
        <f t="shared" si="11"/>
        <v>0</v>
      </c>
      <c r="BA13" s="168">
        <f t="shared" si="11"/>
        <v>0</v>
      </c>
      <c r="BB13" s="168">
        <f t="shared" si="11"/>
        <v>0</v>
      </c>
      <c r="BC13" s="168">
        <f t="shared" si="11"/>
        <v>0</v>
      </c>
      <c r="BD13" s="168">
        <f t="shared" si="11"/>
        <v>0</v>
      </c>
      <c r="BE13" s="168">
        <f t="shared" si="11"/>
        <v>0</v>
      </c>
      <c r="BF13" s="168">
        <f t="shared" si="11"/>
        <v>0</v>
      </c>
      <c r="BG13" s="168">
        <f t="shared" si="11"/>
        <v>0</v>
      </c>
      <c r="BH13" s="212"/>
    </row>
    <row r="14" spans="1:60" s="707" customFormat="1" ht="5.25">
      <c r="A14" s="1012" t="s">
        <v>95</v>
      </c>
      <c r="B14" s="1108" t="s">
        <v>95</v>
      </c>
      <c r="C14" s="1104" t="s">
        <v>104</v>
      </c>
      <c r="D14" s="647"/>
      <c r="E14" s="704"/>
      <c r="F14" s="704"/>
      <c r="G14" s="704"/>
      <c r="H14" s="705"/>
      <c r="I14" s="704"/>
      <c r="J14" s="706"/>
      <c r="K14" s="704"/>
      <c r="L14" s="704"/>
      <c r="M14" s="706"/>
      <c r="N14" s="704"/>
      <c r="O14" s="706"/>
      <c r="P14" s="706"/>
      <c r="Q14" s="706"/>
      <c r="R14" s="706"/>
      <c r="S14" s="706"/>
      <c r="T14" s="706"/>
      <c r="U14" s="706"/>
      <c r="V14" s="706"/>
      <c r="W14" s="706"/>
      <c r="X14" s="706"/>
      <c r="Y14" s="706"/>
      <c r="Z14" s="704"/>
      <c r="AA14" s="706"/>
      <c r="AB14" s="706"/>
      <c r="AC14" s="706"/>
      <c r="AD14" s="706"/>
      <c r="AE14" s="706"/>
      <c r="AF14" s="706"/>
      <c r="AG14" s="706"/>
      <c r="AH14" s="706"/>
      <c r="AI14" s="706"/>
      <c r="AJ14" s="706"/>
      <c r="AK14" s="706"/>
      <c r="AL14" s="704"/>
      <c r="AM14" s="706"/>
      <c r="AN14" s="706"/>
      <c r="AO14" s="706"/>
      <c r="AP14" s="706"/>
      <c r="AQ14" s="706"/>
      <c r="AR14" s="706"/>
      <c r="AS14" s="706"/>
      <c r="AT14" s="706"/>
      <c r="AU14" s="706"/>
      <c r="AV14" s="706"/>
      <c r="AW14" s="706"/>
      <c r="AX14" s="704"/>
      <c r="AY14" s="706"/>
      <c r="AZ14" s="706"/>
      <c r="BA14" s="706"/>
      <c r="BB14" s="706"/>
      <c r="BC14" s="706"/>
      <c r="BD14" s="706"/>
      <c r="BE14" s="706"/>
      <c r="BF14" s="706"/>
      <c r="BG14" s="706"/>
      <c r="BH14" s="706"/>
    </row>
    <row r="15" spans="1:60" s="707" customFormat="1" ht="5.25">
      <c r="A15" s="1130"/>
      <c r="B15" s="1108" t="s">
        <v>111</v>
      </c>
      <c r="C15" s="1108" t="s">
        <v>96</v>
      </c>
      <c r="D15" s="647"/>
      <c r="E15" s="1131"/>
      <c r="F15" s="1131"/>
      <c r="G15" s="1131"/>
      <c r="H15" s="1132"/>
      <c r="I15" s="1131"/>
      <c r="J15" s="1133"/>
      <c r="K15" s="1131"/>
      <c r="L15" s="1131"/>
      <c r="M15" s="1133"/>
      <c r="N15" s="1131"/>
      <c r="O15" s="1133"/>
      <c r="P15" s="1133"/>
      <c r="Q15" s="1133"/>
      <c r="R15" s="1133"/>
      <c r="S15" s="1133"/>
      <c r="T15" s="1133"/>
      <c r="U15" s="1133"/>
      <c r="V15" s="1133"/>
      <c r="W15" s="1133"/>
      <c r="X15" s="1133"/>
      <c r="Y15" s="1133"/>
      <c r="Z15" s="1131"/>
      <c r="AA15" s="1133"/>
      <c r="AB15" s="1133"/>
      <c r="AC15" s="1133"/>
      <c r="AD15" s="1133"/>
      <c r="AE15" s="1133"/>
      <c r="AF15" s="1133"/>
      <c r="AG15" s="1133"/>
      <c r="AH15" s="1133"/>
      <c r="AI15" s="1133"/>
      <c r="AJ15" s="1133"/>
      <c r="AK15" s="1133"/>
      <c r="AL15" s="1131"/>
      <c r="AM15" s="1133"/>
      <c r="AN15" s="1133"/>
      <c r="AO15" s="1133"/>
      <c r="AP15" s="1133"/>
      <c r="AQ15" s="1133"/>
      <c r="AR15" s="1133"/>
      <c r="AS15" s="1133"/>
      <c r="AT15" s="1133"/>
      <c r="AU15" s="1133"/>
      <c r="AV15" s="1133"/>
      <c r="AW15" s="1133"/>
      <c r="AX15" s="1131"/>
      <c r="AY15" s="1133"/>
      <c r="AZ15" s="1133"/>
      <c r="BA15" s="1133"/>
      <c r="BB15" s="1133"/>
      <c r="BC15" s="1133"/>
      <c r="BD15" s="1133"/>
      <c r="BE15" s="1133"/>
      <c r="BF15" s="1133"/>
      <c r="BG15" s="1133"/>
      <c r="BH15" s="706"/>
    </row>
    <row r="16" spans="1:60" s="2" customFormat="1" ht="21">
      <c r="A16" s="1038"/>
      <c r="B16" s="1106" t="s">
        <v>111</v>
      </c>
      <c r="C16" s="1106" t="s">
        <v>96</v>
      </c>
      <c r="D16" s="639" t="s">
        <v>45</v>
      </c>
      <c r="E16" s="209" t="s">
        <v>112</v>
      </c>
      <c r="F16" s="209"/>
      <c r="G16" s="209"/>
      <c r="H16" s="209"/>
      <c r="I16" s="129"/>
      <c r="J16" s="256" t="str">
        <f>J$10</f>
        <v>alle locaties</v>
      </c>
      <c r="K16" s="126"/>
      <c r="L16" s="126"/>
      <c r="M16" s="257" t="str">
        <f>M$8</f>
        <v>locatie 1</v>
      </c>
      <c r="N16" s="193"/>
      <c r="O16" s="955" t="str">
        <f>$E16&amp;" per woning-/gebouwtype"</f>
        <v>woningen|utiliteitsgebouwen terugkoppeling invoer per woning-/gebouwtype</v>
      </c>
      <c r="P16" s="945"/>
      <c r="Q16" s="945"/>
      <c r="R16" s="945"/>
      <c r="S16" s="945"/>
      <c r="T16" s="945"/>
      <c r="U16" s="945"/>
      <c r="V16" s="945"/>
      <c r="W16" s="257"/>
      <c r="X16" s="174"/>
      <c r="Y16" s="257" t="str">
        <f>Y$10</f>
        <v>locatie 2</v>
      </c>
      <c r="Z16" s="193"/>
      <c r="AA16" s="955" t="str">
        <f>$E16&amp;" per woning-/gebouwtype"</f>
        <v>woningen|utiliteitsgebouwen terugkoppeling invoer per woning-/gebouwtype</v>
      </c>
      <c r="AB16" s="945"/>
      <c r="AC16" s="945"/>
      <c r="AD16" s="945"/>
      <c r="AE16" s="945"/>
      <c r="AF16" s="945"/>
      <c r="AG16" s="945"/>
      <c r="AH16" s="945"/>
      <c r="AI16" s="257"/>
      <c r="AJ16" s="174"/>
      <c r="AK16" s="257" t="str">
        <f>AK$10</f>
        <v>locatie 3</v>
      </c>
      <c r="AL16" s="193"/>
      <c r="AM16" s="955" t="str">
        <f>$E16&amp;" per woning-/gebouwtype"</f>
        <v>woningen|utiliteitsgebouwen terugkoppeling invoer per woning-/gebouwtype</v>
      </c>
      <c r="AN16" s="945"/>
      <c r="AO16" s="945"/>
      <c r="AP16" s="945"/>
      <c r="AQ16" s="945"/>
      <c r="AR16" s="945"/>
      <c r="AS16" s="945"/>
      <c r="AT16" s="945"/>
      <c r="AU16" s="257"/>
      <c r="AV16" s="174"/>
      <c r="AW16" s="257" t="str">
        <f>AW$10</f>
        <v>locatie 4</v>
      </c>
      <c r="AX16" s="193"/>
      <c r="AY16" s="955" t="str">
        <f>$E16&amp;" per woning-/gebouwtype"</f>
        <v>woningen|utiliteitsgebouwen terugkoppeling invoer per woning-/gebouwtype</v>
      </c>
      <c r="AZ16" s="945"/>
      <c r="BA16" s="945"/>
      <c r="BB16" s="945"/>
      <c r="BC16" s="945"/>
      <c r="BD16" s="945"/>
      <c r="BE16" s="945"/>
      <c r="BF16" s="945"/>
      <c r="BG16" s="257"/>
      <c r="BH16" s="1"/>
    </row>
    <row r="17" spans="1:60">
      <c r="A17" s="1040"/>
      <c r="B17" s="1106" t="s">
        <v>111</v>
      </c>
      <c r="C17" s="1106" t="s">
        <v>96</v>
      </c>
      <c r="D17" s="638"/>
      <c r="E17" s="942" t="s">
        <v>113</v>
      </c>
      <c r="F17" s="942"/>
      <c r="G17" s="942"/>
      <c r="H17" s="942" t="s">
        <v>65</v>
      </c>
      <c r="I17" s="129"/>
      <c r="J17" s="943"/>
      <c r="K17" s="126"/>
      <c r="L17" s="126"/>
      <c r="M17" s="944"/>
      <c r="N17" s="195"/>
      <c r="O17" s="258" t="str">
        <f>IF('woningen|utiliteit'!L18="","",'woningen|utiliteit'!L18)</f>
        <v/>
      </c>
      <c r="P17" s="258" t="str">
        <f>IF('woningen|utiliteit'!M18="","",'woningen|utiliteit'!M18)</f>
        <v/>
      </c>
      <c r="Q17" s="258" t="str">
        <f>IF('woningen|utiliteit'!N18="","",'woningen|utiliteit'!N18)</f>
        <v/>
      </c>
      <c r="R17" s="258" t="str">
        <f>IF('woningen|utiliteit'!O18="","",'woningen|utiliteit'!O18)</f>
        <v/>
      </c>
      <c r="S17" s="258" t="str">
        <f>IF('woningen|utiliteit'!P18="","",'woningen|utiliteit'!P18)</f>
        <v/>
      </c>
      <c r="T17" s="258" t="str">
        <f>IF('woningen|utiliteit'!Q18="","",'woningen|utiliteit'!Q18)</f>
        <v/>
      </c>
      <c r="U17" s="258" t="str">
        <f>IF('woningen|utiliteit'!R18="","",'woningen|utiliteit'!R18)</f>
        <v/>
      </c>
      <c r="V17" s="258" t="str">
        <f>IF('woningen|utiliteit'!S18="","",'woningen|utiliteit'!S18)</f>
        <v/>
      </c>
      <c r="W17" s="258" t="str">
        <f>IF('woningen|utiliteit'!T18="","",'woningen|utiliteit'!T18)</f>
        <v/>
      </c>
      <c r="X17" s="195"/>
      <c r="Y17" s="944"/>
      <c r="Z17" s="195"/>
      <c r="AA17" s="258" t="str">
        <f>IF('woningen|utiliteit'!L34="","",'woningen|utiliteit'!L34)</f>
        <v/>
      </c>
      <c r="AB17" s="258" t="str">
        <f>IF('woningen|utiliteit'!M34="","",'woningen|utiliteit'!M34)</f>
        <v/>
      </c>
      <c r="AC17" s="258" t="str">
        <f>IF('woningen|utiliteit'!N34="","",'woningen|utiliteit'!N34)</f>
        <v/>
      </c>
      <c r="AD17" s="258" t="str">
        <f>IF('woningen|utiliteit'!O34="","",'woningen|utiliteit'!O34)</f>
        <v/>
      </c>
      <c r="AE17" s="258" t="str">
        <f>IF('woningen|utiliteit'!P34="","",'woningen|utiliteit'!P34)</f>
        <v/>
      </c>
      <c r="AF17" s="258" t="str">
        <f>IF('woningen|utiliteit'!Q34="","",'woningen|utiliteit'!Q34)</f>
        <v/>
      </c>
      <c r="AG17" s="258" t="str">
        <f>IF('woningen|utiliteit'!R34="","",'woningen|utiliteit'!R34)</f>
        <v/>
      </c>
      <c r="AH17" s="258" t="str">
        <f>IF('woningen|utiliteit'!S34="","",'woningen|utiliteit'!S34)</f>
        <v/>
      </c>
      <c r="AI17" s="258" t="str">
        <f>IF('woningen|utiliteit'!T34="","",'woningen|utiliteit'!T34)</f>
        <v/>
      </c>
      <c r="AJ17" s="195"/>
      <c r="AK17" s="944"/>
      <c r="AL17" s="195"/>
      <c r="AM17" s="258" t="str">
        <f>IF('woningen|utiliteit'!L50="","",'woningen|utiliteit'!L50)</f>
        <v/>
      </c>
      <c r="AN17" s="258" t="str">
        <f>IF('woningen|utiliteit'!M50="","",'woningen|utiliteit'!M50)</f>
        <v/>
      </c>
      <c r="AO17" s="258" t="str">
        <f>IF('woningen|utiliteit'!N50="","",'woningen|utiliteit'!N50)</f>
        <v/>
      </c>
      <c r="AP17" s="258" t="str">
        <f>IF('woningen|utiliteit'!O50="","",'woningen|utiliteit'!O50)</f>
        <v/>
      </c>
      <c r="AQ17" s="258" t="str">
        <f>IF('woningen|utiliteit'!P50="","",'woningen|utiliteit'!P50)</f>
        <v/>
      </c>
      <c r="AR17" s="258" t="str">
        <f>IF('woningen|utiliteit'!Q50="","",'woningen|utiliteit'!Q50)</f>
        <v/>
      </c>
      <c r="AS17" s="258" t="str">
        <f>IF('woningen|utiliteit'!R50="","",'woningen|utiliteit'!R50)</f>
        <v/>
      </c>
      <c r="AT17" s="258" t="str">
        <f>IF('woningen|utiliteit'!S50="","",'woningen|utiliteit'!S50)</f>
        <v/>
      </c>
      <c r="AU17" s="258" t="str">
        <f>IF('woningen|utiliteit'!T50="","",'woningen|utiliteit'!T50)</f>
        <v/>
      </c>
      <c r="AV17" s="195"/>
      <c r="AW17" s="944"/>
      <c r="AX17" s="195"/>
      <c r="AY17" s="258" t="str">
        <f>IF('woningen|utiliteit'!L66="","",'woningen|utiliteit'!L66)</f>
        <v/>
      </c>
      <c r="AZ17" s="258" t="str">
        <f>IF('woningen|utiliteit'!M66="","",'woningen|utiliteit'!M66)</f>
        <v/>
      </c>
      <c r="BA17" s="258" t="str">
        <f>IF('woningen|utiliteit'!N66="","",'woningen|utiliteit'!N66)</f>
        <v/>
      </c>
      <c r="BB17" s="258" t="str">
        <f>IF('woningen|utiliteit'!O66="","",'woningen|utiliteit'!O66)</f>
        <v/>
      </c>
      <c r="BC17" s="258" t="str">
        <f>IF('woningen|utiliteit'!P66="","",'woningen|utiliteit'!P66)</f>
        <v/>
      </c>
      <c r="BD17" s="258" t="str">
        <f>IF('woningen|utiliteit'!Q66="","",'woningen|utiliteit'!Q66)</f>
        <v/>
      </c>
      <c r="BE17" s="258" t="str">
        <f>IF('woningen|utiliteit'!R66="","",'woningen|utiliteit'!R66)</f>
        <v/>
      </c>
      <c r="BF17" s="258" t="str">
        <f>IF('woningen|utiliteit'!S66="","",'woningen|utiliteit'!S66)</f>
        <v/>
      </c>
      <c r="BG17" s="258" t="str">
        <f>IF('woningen|utiliteit'!T66="","",'woningen|utiliteit'!T66)</f>
        <v/>
      </c>
      <c r="BH17" s="36"/>
    </row>
    <row r="18" spans="1:60" s="36" customFormat="1">
      <c r="A18" s="1040"/>
      <c r="B18" s="1107" t="s">
        <v>111</v>
      </c>
      <c r="C18" s="1107" t="s">
        <v>104</v>
      </c>
      <c r="D18" s="638"/>
      <c r="E18" s="236" t="s">
        <v>114</v>
      </c>
      <c r="F18" s="236"/>
      <c r="G18" s="236"/>
      <c r="H18" s="297" t="s">
        <v>65</v>
      </c>
      <c r="I18" s="621"/>
      <c r="J18" s="186"/>
      <c r="K18" s="1128"/>
      <c r="L18" s="1128"/>
      <c r="M18" s="186"/>
      <c r="N18" s="94"/>
      <c r="O18" s="1129" t="str">
        <f>IF('woningen|utiliteit'!L20="","",'woningen|utiliteit'!L20)</f>
        <v/>
      </c>
      <c r="P18" s="1129" t="str">
        <f>IF('woningen|utiliteit'!M20="","",'woningen|utiliteit'!M20)</f>
        <v/>
      </c>
      <c r="Q18" s="1129" t="str">
        <f>IF('woningen|utiliteit'!N20="","",'woningen|utiliteit'!N20)</f>
        <v/>
      </c>
      <c r="R18" s="1129" t="str">
        <f>IF('woningen|utiliteit'!O20="","",'woningen|utiliteit'!O20)</f>
        <v/>
      </c>
      <c r="S18" s="1129" t="str">
        <f>IF('woningen|utiliteit'!P20="","",'woningen|utiliteit'!P20)</f>
        <v/>
      </c>
      <c r="T18" s="1129" t="str">
        <f>IF('woningen|utiliteit'!Q20="","",'woningen|utiliteit'!Q20)</f>
        <v/>
      </c>
      <c r="U18" s="1129" t="str">
        <f>IF('woningen|utiliteit'!R20="","",'woningen|utiliteit'!R20)</f>
        <v/>
      </c>
      <c r="V18" s="1129" t="str">
        <f>IF('woningen|utiliteit'!S20="","",'woningen|utiliteit'!S20)</f>
        <v/>
      </c>
      <c r="W18" s="1129" t="str">
        <f>IF('woningen|utiliteit'!T20="","",'woningen|utiliteit'!T20)</f>
        <v/>
      </c>
      <c r="X18" s="87"/>
      <c r="Y18" s="186"/>
      <c r="Z18" s="94"/>
      <c r="AA18" s="1129" t="str">
        <f>IF('woningen|utiliteit'!L36="","",'woningen|utiliteit'!L36)</f>
        <v/>
      </c>
      <c r="AB18" s="1129" t="str">
        <f>IF('woningen|utiliteit'!M36="","",'woningen|utiliteit'!M36)</f>
        <v/>
      </c>
      <c r="AC18" s="1129" t="str">
        <f>IF('woningen|utiliteit'!N36="","",'woningen|utiliteit'!N36)</f>
        <v/>
      </c>
      <c r="AD18" s="1129" t="str">
        <f>IF('woningen|utiliteit'!O36="","",'woningen|utiliteit'!O36)</f>
        <v/>
      </c>
      <c r="AE18" s="1129" t="str">
        <f>IF('woningen|utiliteit'!P36="","",'woningen|utiliteit'!P36)</f>
        <v/>
      </c>
      <c r="AF18" s="1129" t="str">
        <f>IF('woningen|utiliteit'!Q36="","",'woningen|utiliteit'!Q36)</f>
        <v/>
      </c>
      <c r="AG18" s="1129" t="str">
        <f>IF('woningen|utiliteit'!R36="","",'woningen|utiliteit'!R36)</f>
        <v/>
      </c>
      <c r="AH18" s="1129" t="str">
        <f>IF('woningen|utiliteit'!S36="","",'woningen|utiliteit'!S36)</f>
        <v/>
      </c>
      <c r="AI18" s="1129" t="str">
        <f>IF('woningen|utiliteit'!T36="","",'woningen|utiliteit'!T36)</f>
        <v/>
      </c>
      <c r="AJ18" s="87"/>
      <c r="AK18" s="186"/>
      <c r="AL18" s="94"/>
      <c r="AM18" s="1129" t="str">
        <f>IF('woningen|utiliteit'!L52="","",'woningen|utiliteit'!L52)</f>
        <v/>
      </c>
      <c r="AN18" s="1129" t="str">
        <f>IF('woningen|utiliteit'!M52="","",'woningen|utiliteit'!M52)</f>
        <v/>
      </c>
      <c r="AO18" s="1129" t="str">
        <f>IF('woningen|utiliteit'!N52="","",'woningen|utiliteit'!N52)</f>
        <v/>
      </c>
      <c r="AP18" s="1129" t="str">
        <f>IF('woningen|utiliteit'!O52="","",'woningen|utiliteit'!O52)</f>
        <v/>
      </c>
      <c r="AQ18" s="1129" t="str">
        <f>IF('woningen|utiliteit'!P52="","",'woningen|utiliteit'!P52)</f>
        <v/>
      </c>
      <c r="AR18" s="1129" t="str">
        <f>IF('woningen|utiliteit'!Q52="","",'woningen|utiliteit'!Q52)</f>
        <v/>
      </c>
      <c r="AS18" s="1129" t="str">
        <f>IF('woningen|utiliteit'!R52="","",'woningen|utiliteit'!R52)</f>
        <v/>
      </c>
      <c r="AT18" s="1129" t="str">
        <f>IF('woningen|utiliteit'!S52="","",'woningen|utiliteit'!S52)</f>
        <v/>
      </c>
      <c r="AU18" s="1129" t="str">
        <f>IF('woningen|utiliteit'!T52="","",'woningen|utiliteit'!T52)</f>
        <v/>
      </c>
      <c r="AV18" s="87"/>
      <c r="AW18" s="186"/>
      <c r="AX18" s="94"/>
      <c r="AY18" s="1129" t="str">
        <f>IF('woningen|utiliteit'!L68="","",'woningen|utiliteit'!L68)</f>
        <v/>
      </c>
      <c r="AZ18" s="1129" t="str">
        <f>IF('woningen|utiliteit'!M68="","",'woningen|utiliteit'!M68)</f>
        <v/>
      </c>
      <c r="BA18" s="1129" t="str">
        <f>IF('woningen|utiliteit'!N68="","",'woningen|utiliteit'!N68)</f>
        <v/>
      </c>
      <c r="BB18" s="1129" t="str">
        <f>IF('woningen|utiliteit'!O68="","",'woningen|utiliteit'!O68)</f>
        <v/>
      </c>
      <c r="BC18" s="1129" t="str">
        <f>IF('woningen|utiliteit'!P68="","",'woningen|utiliteit'!P68)</f>
        <v/>
      </c>
      <c r="BD18" s="1129" t="str">
        <f>IF('woningen|utiliteit'!Q68="","",'woningen|utiliteit'!Q68)</f>
        <v/>
      </c>
      <c r="BE18" s="1129" t="str">
        <f>IF('woningen|utiliteit'!R68="","",'woningen|utiliteit'!R68)</f>
        <v/>
      </c>
      <c r="BF18" s="1129" t="str">
        <f>IF('woningen|utiliteit'!S68="","",'woningen|utiliteit'!S68)</f>
        <v/>
      </c>
      <c r="BG18" s="1129" t="str">
        <f>IF('woningen|utiliteit'!T68="","",'woningen|utiliteit'!T68)</f>
        <v/>
      </c>
      <c r="BH18" s="213"/>
    </row>
    <row r="19" spans="1:60" s="36" customFormat="1">
      <c r="A19" s="1040"/>
      <c r="B19" s="1106" t="s">
        <v>111</v>
      </c>
      <c r="C19" s="1107" t="s">
        <v>104</v>
      </c>
      <c r="D19" s="638"/>
      <c r="E19" s="254" t="s">
        <v>115</v>
      </c>
      <c r="F19" s="618"/>
      <c r="G19" s="618"/>
      <c r="H19" s="298" t="s">
        <v>65</v>
      </c>
      <c r="I19" s="86"/>
      <c r="J19" s="619"/>
      <c r="K19" s="93"/>
      <c r="L19" s="93"/>
      <c r="M19" s="619"/>
      <c r="N19" s="620"/>
      <c r="O19" s="539" t="str">
        <f>IF(O$17="","",HLOOKUP(O$17,woningen_gebouwen_gegevens,ROWS(bibliotheek!$E$20:$E$21),FALSE))</f>
        <v/>
      </c>
      <c r="P19" s="539" t="str">
        <f>IF(P$17="","",HLOOKUP(P$17,woningen_gebouwen_gegevens,ROWS(bibliotheek!$E$20:$E$21),FALSE))</f>
        <v/>
      </c>
      <c r="Q19" s="539" t="str">
        <f>IF(Q$17="","",HLOOKUP(Q$17,woningen_gebouwen_gegevens,ROWS(bibliotheek!$E$20:$E$21),FALSE))</f>
        <v/>
      </c>
      <c r="R19" s="539" t="str">
        <f>IF(R$17="","",HLOOKUP(R$17,woningen_gebouwen_gegevens,ROWS(bibliotheek!$E$20:$E$21),FALSE))</f>
        <v/>
      </c>
      <c r="S19" s="539" t="str">
        <f>IF(S$17="","",HLOOKUP(S$17,woningen_gebouwen_gegevens,ROWS(bibliotheek!$E$20:$E$21),FALSE))</f>
        <v/>
      </c>
      <c r="T19" s="539" t="str">
        <f>IF(T$17="","",HLOOKUP(T$17,woningen_gebouwen_gegevens,ROWS(bibliotheek!$E$20:$E$21),FALSE))</f>
        <v/>
      </c>
      <c r="U19" s="539" t="str">
        <f>IF(U$17="","",HLOOKUP(U$17,woningen_gebouwen_gegevens,ROWS(bibliotheek!$E$20:$E$21),FALSE))</f>
        <v/>
      </c>
      <c r="V19" s="539" t="str">
        <f>IF(V$17="","",HLOOKUP(V$17,woningen_gebouwen_gegevens,ROWS(bibliotheek!$E$20:$E$21),FALSE))</f>
        <v/>
      </c>
      <c r="W19" s="539" t="str">
        <f>IF(W$17="","",HLOOKUP(W$17,woningen_gebouwen_gegevens,ROWS(bibliotheek!$E$20:$E$21),FALSE))</f>
        <v/>
      </c>
      <c r="X19" s="322"/>
      <c r="Y19" s="148"/>
      <c r="Z19" s="323"/>
      <c r="AA19" s="385" t="str">
        <f>IF(AA$17="","",HLOOKUP(AA$17,woningen_gebouwen_gegevens,ROWS(bibliotheek!$E$20:$E$21),FALSE))</f>
        <v/>
      </c>
      <c r="AB19" s="385" t="str">
        <f>IF(AB$17="","",HLOOKUP(AB$17,woningen_gebouwen_gegevens,ROWS(bibliotheek!$E$20:$E$21),FALSE))</f>
        <v/>
      </c>
      <c r="AC19" s="385" t="str">
        <f>IF(AC$17="","",HLOOKUP(AC$17,woningen_gebouwen_gegevens,ROWS(bibliotheek!$E$20:$E$21),FALSE))</f>
        <v/>
      </c>
      <c r="AD19" s="385" t="str">
        <f>IF(AD$17="","",HLOOKUP(AD$17,woningen_gebouwen_gegevens,ROWS(bibliotheek!$E$20:$E$21),FALSE))</f>
        <v/>
      </c>
      <c r="AE19" s="385" t="str">
        <f>IF(AE$17="","",HLOOKUP(AE$17,woningen_gebouwen_gegevens,ROWS(bibliotheek!$E$20:$E$21),FALSE))</f>
        <v/>
      </c>
      <c r="AF19" s="385" t="str">
        <f>IF(AF$17="","",HLOOKUP(AF$17,woningen_gebouwen_gegevens,ROWS(bibliotheek!$E$20:$E$21),FALSE))</f>
        <v/>
      </c>
      <c r="AG19" s="385" t="str">
        <f>IF(AG$17="","",HLOOKUP(AG$17,woningen_gebouwen_gegevens,ROWS(bibliotheek!$E$20:$E$21),FALSE))</f>
        <v/>
      </c>
      <c r="AH19" s="385" t="str">
        <f>IF(AH$17="","",HLOOKUP(AH$17,woningen_gebouwen_gegevens,ROWS(bibliotheek!$E$20:$E$21),FALSE))</f>
        <v/>
      </c>
      <c r="AI19" s="385" t="str">
        <f>IF(AI$17="","",HLOOKUP(AI$17,woningen_gebouwen_gegevens,ROWS(bibliotheek!$E$20:$E$21),FALSE))</f>
        <v/>
      </c>
      <c r="AJ19" s="322"/>
      <c r="AK19" s="148"/>
      <c r="AL19" s="323"/>
      <c r="AM19" s="385" t="str">
        <f>IF(AM$17="","",HLOOKUP(AM$17,woningen_gebouwen_gegevens,ROWS(bibliotheek!$E$20:$E$21),FALSE))</f>
        <v/>
      </c>
      <c r="AN19" s="385" t="str">
        <f>IF(AN$17="","",HLOOKUP(AN$17,woningen_gebouwen_gegevens,ROWS(bibliotheek!$E$20:$E$21),FALSE))</f>
        <v/>
      </c>
      <c r="AO19" s="385" t="str">
        <f>IF(AO$17="","",HLOOKUP(AO$17,woningen_gebouwen_gegevens,ROWS(bibliotheek!$E$20:$E$21),FALSE))</f>
        <v/>
      </c>
      <c r="AP19" s="385" t="str">
        <f>IF(AP$17="","",HLOOKUP(AP$17,woningen_gebouwen_gegevens,ROWS(bibliotheek!$E$20:$E$21),FALSE))</f>
        <v/>
      </c>
      <c r="AQ19" s="385" t="str">
        <f>IF(AQ$17="","",HLOOKUP(AQ$17,woningen_gebouwen_gegevens,ROWS(bibliotheek!$E$20:$E$21),FALSE))</f>
        <v/>
      </c>
      <c r="AR19" s="385" t="str">
        <f>IF(AR$17="","",HLOOKUP(AR$17,woningen_gebouwen_gegevens,ROWS(bibliotheek!$E$20:$E$21),FALSE))</f>
        <v/>
      </c>
      <c r="AS19" s="385" t="str">
        <f>IF(AS$17="","",HLOOKUP(AS$17,woningen_gebouwen_gegevens,ROWS(bibliotheek!$E$20:$E$21),FALSE))</f>
        <v/>
      </c>
      <c r="AT19" s="385" t="str">
        <f>IF(AT$17="","",HLOOKUP(AT$17,woningen_gebouwen_gegevens,ROWS(bibliotheek!$E$20:$E$21),FALSE))</f>
        <v/>
      </c>
      <c r="AU19" s="385" t="str">
        <f>IF(AU$17="","",HLOOKUP(AU$17,woningen_gebouwen_gegevens,ROWS(bibliotheek!$E$20:$E$21),FALSE))</f>
        <v/>
      </c>
      <c r="AV19" s="322"/>
      <c r="AW19" s="148"/>
      <c r="AX19" s="323"/>
      <c r="AY19" s="385" t="str">
        <f>IF(AY$17="","",HLOOKUP(AY$17,woningen_gebouwen_gegevens,ROWS(bibliotheek!$E$20:$E$21),FALSE))</f>
        <v/>
      </c>
      <c r="AZ19" s="385" t="str">
        <f>IF(AZ$17="","",HLOOKUP(AZ$17,woningen_gebouwen_gegevens,ROWS(bibliotheek!$E$20:$E$21),FALSE))</f>
        <v/>
      </c>
      <c r="BA19" s="385" t="str">
        <f>IF(BA$17="","",HLOOKUP(BA$17,woningen_gebouwen_gegevens,ROWS(bibliotheek!$E$20:$E$21),FALSE))</f>
        <v/>
      </c>
      <c r="BB19" s="385" t="str">
        <f>IF(BB$17="","",HLOOKUP(BB$17,woningen_gebouwen_gegevens,ROWS(bibliotheek!$E$20:$E$21),FALSE))</f>
        <v/>
      </c>
      <c r="BC19" s="385" t="str">
        <f>IF(BC$17="","",HLOOKUP(BC$17,woningen_gebouwen_gegevens,ROWS(bibliotheek!$E$20:$E$21),FALSE))</f>
        <v/>
      </c>
      <c r="BD19" s="385" t="str">
        <f>IF(BD$17="","",HLOOKUP(BD$17,woningen_gebouwen_gegevens,ROWS(bibliotheek!$E$20:$E$21),FALSE))</f>
        <v/>
      </c>
      <c r="BE19" s="385" t="str">
        <f>IF(BE$17="","",HLOOKUP(BE$17,woningen_gebouwen_gegevens,ROWS(bibliotheek!$E$20:$E$21),FALSE))</f>
        <v/>
      </c>
      <c r="BF19" s="385" t="str">
        <f>IF(BF$17="","",HLOOKUP(BF$17,woningen_gebouwen_gegevens,ROWS(bibliotheek!$E$20:$E$21),FALSE))</f>
        <v/>
      </c>
      <c r="BG19" s="385" t="str">
        <f>IF(BG$17="","",HLOOKUP(BG$17,woningen_gebouwen_gegevens,ROWS(bibliotheek!$E$20:$E$21),FALSE))</f>
        <v/>
      </c>
      <c r="BH19" s="213"/>
    </row>
    <row r="20" spans="1:60">
      <c r="A20" s="1040"/>
      <c r="B20" s="1106" t="s">
        <v>111</v>
      </c>
      <c r="C20" s="1107" t="s">
        <v>104</v>
      </c>
      <c r="D20" s="638"/>
      <c r="E20" s="180" t="s">
        <v>116</v>
      </c>
      <c r="F20" s="180"/>
      <c r="G20" s="180"/>
      <c r="H20" s="181" t="s">
        <v>65</v>
      </c>
      <c r="I20" s="114"/>
      <c r="J20" s="624"/>
      <c r="K20" s="243"/>
      <c r="L20" s="243"/>
      <c r="M20" s="188"/>
      <c r="N20" s="89"/>
      <c r="O20" s="385" t="str">
        <f>IF(O$17="","",HLOOKUP(O$17,woningen_gebouwen_gegevens,ROWS(bibliotheek!$E$20:$E$22),FALSE))</f>
        <v/>
      </c>
      <c r="P20" s="385" t="str">
        <f>IF(P$17="","",HLOOKUP(P$17,woningen_gebouwen_gegevens,ROWS(bibliotheek!$E$20:$E$22),FALSE))</f>
        <v/>
      </c>
      <c r="Q20" s="385" t="str">
        <f>IF(Q$17="","",HLOOKUP(Q$17,woningen_gebouwen_gegevens,ROWS(bibliotheek!$E$20:$E$22),FALSE))</f>
        <v/>
      </c>
      <c r="R20" s="385" t="str">
        <f>IF(R$17="","",HLOOKUP(R$17,woningen_gebouwen_gegevens,ROWS(bibliotheek!$E$20:$E$22),FALSE))</f>
        <v/>
      </c>
      <c r="S20" s="385" t="str">
        <f>IF(S$17="","",HLOOKUP(S$17,woningen_gebouwen_gegevens,ROWS(bibliotheek!$E$20:$E$22),FALSE))</f>
        <v/>
      </c>
      <c r="T20" s="385" t="str">
        <f>IF(T$17="","",HLOOKUP(T$17,woningen_gebouwen_gegevens,ROWS(bibliotheek!$E$20:$E$22),FALSE))</f>
        <v/>
      </c>
      <c r="U20" s="385" t="str">
        <f>IF(U$17="","",HLOOKUP(U$17,woningen_gebouwen_gegevens,ROWS(bibliotheek!$E$20:$E$22),FALSE))</f>
        <v/>
      </c>
      <c r="V20" s="385" t="str">
        <f>IF(V$17="","",HLOOKUP(V$17,woningen_gebouwen_gegevens,ROWS(bibliotheek!$E$20:$E$22),FALSE))</f>
        <v/>
      </c>
      <c r="W20" s="385" t="str">
        <f>IF(W$17="","",HLOOKUP(W$17,woningen_gebouwen_gegevens,ROWS(bibliotheek!$E$20:$E$22),FALSE))</f>
        <v/>
      </c>
      <c r="X20" s="90"/>
      <c r="Y20" s="188"/>
      <c r="Z20" s="89"/>
      <c r="AA20" s="385" t="str">
        <f>IF(AA$17="","",HLOOKUP(AA$17,woningen_gebouwen_gegevens,ROWS(bibliotheek!$E$20:$E$22),FALSE))</f>
        <v/>
      </c>
      <c r="AB20" s="385" t="str">
        <f>IF(AB$17="","",HLOOKUP(AB$17,woningen_gebouwen_gegevens,ROWS(bibliotheek!$E$20:$E$22),FALSE))</f>
        <v/>
      </c>
      <c r="AC20" s="385" t="str">
        <f>IF(AC$17="","",HLOOKUP(AC$17,woningen_gebouwen_gegevens,ROWS(bibliotheek!$E$20:$E$22),FALSE))</f>
        <v/>
      </c>
      <c r="AD20" s="385" t="str">
        <f>IF(AD$17="","",HLOOKUP(AD$17,woningen_gebouwen_gegevens,ROWS(bibliotheek!$E$20:$E$22),FALSE))</f>
        <v/>
      </c>
      <c r="AE20" s="385" t="str">
        <f>IF(AE$17="","",HLOOKUP(AE$17,woningen_gebouwen_gegevens,ROWS(bibliotheek!$E$20:$E$22),FALSE))</f>
        <v/>
      </c>
      <c r="AF20" s="385" t="str">
        <f>IF(AF$17="","",HLOOKUP(AF$17,woningen_gebouwen_gegevens,ROWS(bibliotheek!$E$20:$E$22),FALSE))</f>
        <v/>
      </c>
      <c r="AG20" s="385" t="str">
        <f>IF(AG$17="","",HLOOKUP(AG$17,woningen_gebouwen_gegevens,ROWS(bibliotheek!$E$20:$E$22),FALSE))</f>
        <v/>
      </c>
      <c r="AH20" s="385" t="str">
        <f>IF(AH$17="","",HLOOKUP(AH$17,woningen_gebouwen_gegevens,ROWS(bibliotheek!$E$20:$E$22),FALSE))</f>
        <v/>
      </c>
      <c r="AI20" s="385" t="str">
        <f>IF(AI$17="","",HLOOKUP(AI$17,woningen_gebouwen_gegevens,ROWS(bibliotheek!$E$20:$E$22),FALSE))</f>
        <v/>
      </c>
      <c r="AJ20" s="90"/>
      <c r="AK20" s="188"/>
      <c r="AL20" s="89"/>
      <c r="AM20" s="385" t="str">
        <f>IF(AM$17="","",HLOOKUP(AM$17,woningen_gebouwen_gegevens,ROWS(bibliotheek!$E$20:$E$22),FALSE))</f>
        <v/>
      </c>
      <c r="AN20" s="385" t="str">
        <f>IF(AN$17="","",HLOOKUP(AN$17,woningen_gebouwen_gegevens,ROWS(bibliotheek!$E$20:$E$22),FALSE))</f>
        <v/>
      </c>
      <c r="AO20" s="385" t="str">
        <f>IF(AO$17="","",HLOOKUP(AO$17,woningen_gebouwen_gegevens,ROWS(bibliotheek!$E$20:$E$22),FALSE))</f>
        <v/>
      </c>
      <c r="AP20" s="385" t="str">
        <f>IF(AP$17="","",HLOOKUP(AP$17,woningen_gebouwen_gegevens,ROWS(bibliotheek!$E$20:$E$22),FALSE))</f>
        <v/>
      </c>
      <c r="AQ20" s="385" t="str">
        <f>IF(AQ$17="","",HLOOKUP(AQ$17,woningen_gebouwen_gegevens,ROWS(bibliotheek!$E$20:$E$22),FALSE))</f>
        <v/>
      </c>
      <c r="AR20" s="385" t="str">
        <f>IF(AR$17="","",HLOOKUP(AR$17,woningen_gebouwen_gegevens,ROWS(bibliotheek!$E$20:$E$22),FALSE))</f>
        <v/>
      </c>
      <c r="AS20" s="385" t="str">
        <f>IF(AS$17="","",HLOOKUP(AS$17,woningen_gebouwen_gegevens,ROWS(bibliotheek!$E$20:$E$22),FALSE))</f>
        <v/>
      </c>
      <c r="AT20" s="385" t="str">
        <f>IF(AT$17="","",HLOOKUP(AT$17,woningen_gebouwen_gegevens,ROWS(bibliotheek!$E$20:$E$22),FALSE))</f>
        <v/>
      </c>
      <c r="AU20" s="385" t="str">
        <f>IF(AU$17="","",HLOOKUP(AU$17,woningen_gebouwen_gegevens,ROWS(bibliotheek!$E$20:$E$22),FALSE))</f>
        <v/>
      </c>
      <c r="AV20" s="90"/>
      <c r="AW20" s="188"/>
      <c r="AX20" s="89"/>
      <c r="AY20" s="385" t="str">
        <f>IF(AY$17="","",HLOOKUP(AY$17,woningen_gebouwen_gegevens,ROWS(bibliotheek!$E$20:$E$22),FALSE))</f>
        <v/>
      </c>
      <c r="AZ20" s="385" t="str">
        <f>IF(AZ$17="","",HLOOKUP(AZ$17,woningen_gebouwen_gegevens,ROWS(bibliotheek!$E$20:$E$22),FALSE))</f>
        <v/>
      </c>
      <c r="BA20" s="385" t="str">
        <f>IF(BA$17="","",HLOOKUP(BA$17,woningen_gebouwen_gegevens,ROWS(bibliotheek!$E$20:$E$22),FALSE))</f>
        <v/>
      </c>
      <c r="BB20" s="385" t="str">
        <f>IF(BB$17="","",HLOOKUP(BB$17,woningen_gebouwen_gegevens,ROWS(bibliotheek!$E$20:$E$22),FALSE))</f>
        <v/>
      </c>
      <c r="BC20" s="385" t="str">
        <f>IF(BC$17="","",HLOOKUP(BC$17,woningen_gebouwen_gegevens,ROWS(bibliotheek!$E$20:$E$22),FALSE))</f>
        <v/>
      </c>
      <c r="BD20" s="385" t="str">
        <f>IF(BD$17="","",HLOOKUP(BD$17,woningen_gebouwen_gegevens,ROWS(bibliotheek!$E$20:$E$22),FALSE))</f>
        <v/>
      </c>
      <c r="BE20" s="385" t="str">
        <f>IF(BE$17="","",HLOOKUP(BE$17,woningen_gebouwen_gegevens,ROWS(bibliotheek!$E$20:$E$22),FALSE))</f>
        <v/>
      </c>
      <c r="BF20" s="385" t="str">
        <f>IF(BF$17="","",HLOOKUP(BF$17,woningen_gebouwen_gegevens,ROWS(bibliotheek!$E$20:$E$22),FALSE))</f>
        <v/>
      </c>
      <c r="BG20" s="385" t="str">
        <f>IF(BG$17="","",HLOOKUP(BG$17,woningen_gebouwen_gegevens,ROWS(bibliotheek!$E$20:$E$22),FALSE))</f>
        <v/>
      </c>
      <c r="BH20" s="214"/>
    </row>
    <row r="21" spans="1:60">
      <c r="A21" s="1040"/>
      <c r="B21" s="1106" t="s">
        <v>111</v>
      </c>
      <c r="C21" s="1106" t="s">
        <v>96</v>
      </c>
      <c r="D21" s="638"/>
      <c r="E21" s="942" t="s">
        <v>117</v>
      </c>
      <c r="F21" s="942"/>
      <c r="G21" s="942"/>
      <c r="H21" s="942"/>
      <c r="I21" s="129"/>
      <c r="J21" s="943"/>
      <c r="K21" s="126"/>
      <c r="L21" s="126"/>
      <c r="M21" s="944"/>
      <c r="N21" s="193"/>
      <c r="O21" s="258" t="str">
        <f>O$17</f>
        <v/>
      </c>
      <c r="P21" s="258" t="str">
        <f t="shared" ref="P21:W21" si="12">P$17</f>
        <v/>
      </c>
      <c r="Q21" s="258" t="str">
        <f t="shared" si="12"/>
        <v/>
      </c>
      <c r="R21" s="258" t="str">
        <f t="shared" si="12"/>
        <v/>
      </c>
      <c r="S21" s="258" t="str">
        <f t="shared" si="12"/>
        <v/>
      </c>
      <c r="T21" s="258" t="str">
        <f t="shared" si="12"/>
        <v/>
      </c>
      <c r="U21" s="258" t="str">
        <f t="shared" si="12"/>
        <v/>
      </c>
      <c r="V21" s="258" t="str">
        <f t="shared" si="12"/>
        <v/>
      </c>
      <c r="W21" s="258" t="str">
        <f t="shared" si="12"/>
        <v/>
      </c>
      <c r="X21" s="195"/>
      <c r="Y21" s="944"/>
      <c r="Z21" s="195"/>
      <c r="AA21" s="258" t="str">
        <f>IF('woningen|utiliteit'!X22="","",'woningen|utiliteit'!X22)</f>
        <v/>
      </c>
      <c r="AB21" s="258" t="str">
        <f>IF('woningen|utiliteit'!Y22="","",'woningen|utiliteit'!Y22)</f>
        <v/>
      </c>
      <c r="AC21" s="258" t="str">
        <f>IF('woningen|utiliteit'!Z22="","",'woningen|utiliteit'!Z22)</f>
        <v/>
      </c>
      <c r="AD21" s="258" t="str">
        <f>IF('woningen|utiliteit'!AA22="","",'woningen|utiliteit'!AA22)</f>
        <v/>
      </c>
      <c r="AE21" s="258" t="str">
        <f>IF('woningen|utiliteit'!AB22="","",'woningen|utiliteit'!AB22)</f>
        <v/>
      </c>
      <c r="AF21" s="258" t="str">
        <f>IF('woningen|utiliteit'!AC22="","",'woningen|utiliteit'!AC22)</f>
        <v/>
      </c>
      <c r="AG21" s="258" t="str">
        <f>IF('woningen|utiliteit'!AD22="","",'woningen|utiliteit'!AD22)</f>
        <v/>
      </c>
      <c r="AH21" s="258" t="str">
        <f>IF('woningen|utiliteit'!AE22="","",'woningen|utiliteit'!AE22)</f>
        <v/>
      </c>
      <c r="AI21" s="258" t="str">
        <f>IF('woningen|utiliteit'!AF22="","",'woningen|utiliteit'!AF22)</f>
        <v/>
      </c>
      <c r="AJ21" s="195"/>
      <c r="AK21" s="944"/>
      <c r="AL21" s="195"/>
      <c r="AM21" s="258" t="str">
        <f>IF('woningen|utiliteit'!AJ22="","",'woningen|utiliteit'!AJ22)</f>
        <v/>
      </c>
      <c r="AN21" s="258" t="str">
        <f>IF('woningen|utiliteit'!AK22="","",'woningen|utiliteit'!AK22)</f>
        <v/>
      </c>
      <c r="AO21" s="258" t="str">
        <f>IF('woningen|utiliteit'!AL22="","",'woningen|utiliteit'!AL22)</f>
        <v/>
      </c>
      <c r="AP21" s="258" t="str">
        <f>IF('woningen|utiliteit'!AM22="","",'woningen|utiliteit'!AM22)</f>
        <v/>
      </c>
      <c r="AQ21" s="258" t="str">
        <f>IF('woningen|utiliteit'!AN22="","",'woningen|utiliteit'!AN22)</f>
        <v/>
      </c>
      <c r="AR21" s="258" t="str">
        <f>IF('woningen|utiliteit'!AO22="","",'woningen|utiliteit'!AO22)</f>
        <v/>
      </c>
      <c r="AS21" s="258" t="str">
        <f>IF('woningen|utiliteit'!AP22="","",'woningen|utiliteit'!AP22)</f>
        <v/>
      </c>
      <c r="AT21" s="258" t="str">
        <f>IF('woningen|utiliteit'!AQ22="","",'woningen|utiliteit'!AQ22)</f>
        <v/>
      </c>
      <c r="AU21" s="258" t="str">
        <f>IF('woningen|utiliteit'!AR22="","",'woningen|utiliteit'!AR22)</f>
        <v/>
      </c>
      <c r="AV21" s="195"/>
      <c r="AW21" s="944"/>
      <c r="AX21" s="195"/>
      <c r="AY21" s="258" t="str">
        <f>IF('woningen|utiliteit'!AV22="","",'woningen|utiliteit'!AV22)</f>
        <v/>
      </c>
      <c r="AZ21" s="258" t="str">
        <f>IF('woningen|utiliteit'!AW22="","",'woningen|utiliteit'!AW22)</f>
        <v/>
      </c>
      <c r="BA21" s="258" t="str">
        <f>IF('woningen|utiliteit'!AX22="","",'woningen|utiliteit'!AX22)</f>
        <v/>
      </c>
      <c r="BB21" s="258" t="str">
        <f>IF('woningen|utiliteit'!AY22="","",'woningen|utiliteit'!AY22)</f>
        <v/>
      </c>
      <c r="BC21" s="258" t="str">
        <f>IF('woningen|utiliteit'!AZ22="","",'woningen|utiliteit'!AZ22)</f>
        <v/>
      </c>
      <c r="BD21" s="258" t="str">
        <f>IF('woningen|utiliteit'!BA22="","",'woningen|utiliteit'!BA22)</f>
        <v/>
      </c>
      <c r="BE21" s="258" t="str">
        <f>IF('woningen|utiliteit'!BB22="","",'woningen|utiliteit'!BB22)</f>
        <v/>
      </c>
      <c r="BF21" s="258" t="str">
        <f>IF('woningen|utiliteit'!BC22="","",'woningen|utiliteit'!BC22)</f>
        <v/>
      </c>
      <c r="BG21" s="258" t="str">
        <f>IF('woningen|utiliteit'!BD22="","",'woningen|utiliteit'!BD22)</f>
        <v/>
      </c>
      <c r="BH21" s="36"/>
    </row>
    <row r="22" spans="1:60">
      <c r="A22" s="1040"/>
      <c r="B22" s="1106" t="s">
        <v>111</v>
      </c>
      <c r="C22" s="1107" t="s">
        <v>118</v>
      </c>
      <c r="D22" s="638"/>
      <c r="E22" s="254" t="s">
        <v>119</v>
      </c>
      <c r="F22" s="254"/>
      <c r="G22" s="254"/>
      <c r="H22" s="298" t="s">
        <v>120</v>
      </c>
      <c r="I22" s="116"/>
      <c r="J22" s="185">
        <f>M22+Y22+AK22+AW22</f>
        <v>0</v>
      </c>
      <c r="K22" s="1051"/>
      <c r="L22" s="1051"/>
      <c r="M22" s="400">
        <f>SUM(N22:X22)</f>
        <v>0</v>
      </c>
      <c r="N22" s="91"/>
      <c r="O22" s="538">
        <f>IF('woningen|utiliteit'!L18="",0,IF(O23&lt;&gt;"",O23,'woningen|utiliteit'!L21))</f>
        <v>0</v>
      </c>
      <c r="P22" s="538">
        <f>IF('woningen|utiliteit'!M18="",0,IF(P23&lt;&gt;"",P23,'woningen|utiliteit'!M21))</f>
        <v>0</v>
      </c>
      <c r="Q22" s="539">
        <f>IF('woningen|utiliteit'!N18="",0,IF(Q23&lt;&gt;"",Q23,'woningen|utiliteit'!N21))</f>
        <v>0</v>
      </c>
      <c r="R22" s="539">
        <f>IF('woningen|utiliteit'!O18="",0,IF(R23&lt;&gt;"",R23,'woningen|utiliteit'!O21))</f>
        <v>0</v>
      </c>
      <c r="S22" s="539">
        <f>IF('woningen|utiliteit'!P18="",0,IF(S23&lt;&gt;"",S23,'woningen|utiliteit'!P21))</f>
        <v>0</v>
      </c>
      <c r="T22" s="539">
        <f>IF('woningen|utiliteit'!Q18="",0,IF(T23&lt;&gt;"",T23,'woningen|utiliteit'!Q21))</f>
        <v>0</v>
      </c>
      <c r="U22" s="539">
        <f>IF('woningen|utiliteit'!R18="",0,IF(U23&lt;&gt;"",U23,'woningen|utiliteit'!R21))</f>
        <v>0</v>
      </c>
      <c r="V22" s="539">
        <f>IF('woningen|utiliteit'!S18="",0,IF(V23&lt;&gt;"",V23,'woningen|utiliteit'!S21))</f>
        <v>0</v>
      </c>
      <c r="W22" s="538">
        <f>IF('woningen|utiliteit'!T18="",0,IF(W23&lt;&gt;"",W23,'woningen|utiliteit'!T21))</f>
        <v>0</v>
      </c>
      <c r="X22" s="92"/>
      <c r="Y22" s="189">
        <f>SUM(Z22:AJ22)</f>
        <v>0</v>
      </c>
      <c r="Z22" s="91"/>
      <c r="AA22" s="538">
        <f>IF('woningen|utiliteit'!L34="",0,IF(AA23&lt;&gt;"",AA23,'woningen|utiliteit'!L37))</f>
        <v>0</v>
      </c>
      <c r="AB22" s="538">
        <f>IF('woningen|utiliteit'!M34="",0,IF(AB23&lt;&gt;"",AB23,'woningen|utiliteit'!M37))</f>
        <v>0</v>
      </c>
      <c r="AC22" s="539">
        <f>IF('woningen|utiliteit'!N34="",0,IF(AC23&lt;&gt;"",AC23,'woningen|utiliteit'!N37))</f>
        <v>0</v>
      </c>
      <c r="AD22" s="539">
        <f>IF('woningen|utiliteit'!O34="",0,IF(AD23&lt;&gt;"",AD23,'woningen|utiliteit'!O37))</f>
        <v>0</v>
      </c>
      <c r="AE22" s="539">
        <f>IF('woningen|utiliteit'!P34="",0,IF(AE23&lt;&gt;"",AE23,'woningen|utiliteit'!P37))</f>
        <v>0</v>
      </c>
      <c r="AF22" s="539">
        <f>IF('woningen|utiliteit'!Q34="",0,IF(AF23&lt;&gt;"",AF23,'woningen|utiliteit'!Q37))</f>
        <v>0</v>
      </c>
      <c r="AG22" s="539">
        <f>IF('woningen|utiliteit'!R34="",0,IF(AG23&lt;&gt;"",AG23,'woningen|utiliteit'!R37))</f>
        <v>0</v>
      </c>
      <c r="AH22" s="539">
        <f>IF('woningen|utiliteit'!S34="",0,IF(AH23&lt;&gt;"",AH23,'woningen|utiliteit'!S37))</f>
        <v>0</v>
      </c>
      <c r="AI22" s="538">
        <f>IF('woningen|utiliteit'!T34="",0,IF(AI23&lt;&gt;"",AI23,'woningen|utiliteit'!T37))</f>
        <v>0</v>
      </c>
      <c r="AJ22" s="92"/>
      <c r="AK22" s="189">
        <f>SUM(AL22:AV22)</f>
        <v>0</v>
      </c>
      <c r="AL22" s="91"/>
      <c r="AM22" s="538">
        <f>IF('woningen|utiliteit'!L50="",0,IF(AM23&lt;&gt;"",AM23,'woningen|utiliteit'!L53))</f>
        <v>0</v>
      </c>
      <c r="AN22" s="538">
        <f>IF('woningen|utiliteit'!M50="",0,IF(AN23&lt;&gt;"",AN23,'woningen|utiliteit'!M53))</f>
        <v>0</v>
      </c>
      <c r="AO22" s="539">
        <f>IF('woningen|utiliteit'!N50="",0,IF(AO23&lt;&gt;"",AO23,'woningen|utiliteit'!N53))</f>
        <v>0</v>
      </c>
      <c r="AP22" s="539">
        <f>IF('woningen|utiliteit'!O50="",0,IF(AP23&lt;&gt;"",AP23,'woningen|utiliteit'!O53))</f>
        <v>0</v>
      </c>
      <c r="AQ22" s="539">
        <f>IF('woningen|utiliteit'!P50="",0,IF(AQ23&lt;&gt;"",AQ23,'woningen|utiliteit'!P53))</f>
        <v>0</v>
      </c>
      <c r="AR22" s="539">
        <f>IF('woningen|utiliteit'!Q50="",0,IF(AR23&lt;&gt;"",AR23,'woningen|utiliteit'!Q53))</f>
        <v>0</v>
      </c>
      <c r="AS22" s="539">
        <f>IF('woningen|utiliteit'!R50="",0,IF(AS23&lt;&gt;"",AS23,'woningen|utiliteit'!R53))</f>
        <v>0</v>
      </c>
      <c r="AT22" s="539">
        <f>IF('woningen|utiliteit'!S50="",0,IF(AT23&lt;&gt;"",AT23,'woningen|utiliteit'!S53))</f>
        <v>0</v>
      </c>
      <c r="AU22" s="538">
        <f>IF('woningen|utiliteit'!T50="",0,IF(AU23&lt;&gt;"",AU23,'woningen|utiliteit'!T53))</f>
        <v>0</v>
      </c>
      <c r="AV22" s="92"/>
      <c r="AW22" s="189">
        <f>SUM(AX22:BH22)</f>
        <v>0</v>
      </c>
      <c r="AX22" s="91"/>
      <c r="AY22" s="538">
        <f>IF('woningen|utiliteit'!L66="",0,IF(AY23&lt;&gt;"",AY23,'woningen|utiliteit'!L69))</f>
        <v>0</v>
      </c>
      <c r="AZ22" s="538">
        <f>IF('woningen|utiliteit'!M66="",0,IF(AZ23&lt;&gt;"",AZ23,'woningen|utiliteit'!M69))</f>
        <v>0</v>
      </c>
      <c r="BA22" s="539">
        <f>IF('woningen|utiliteit'!N66="",0,IF(BA23&lt;&gt;"",BA23,'woningen|utiliteit'!N69))</f>
        <v>0</v>
      </c>
      <c r="BB22" s="539">
        <f>IF('woningen|utiliteit'!O66="",0,IF(BB23&lt;&gt;"",BB23,'woningen|utiliteit'!O69))</f>
        <v>0</v>
      </c>
      <c r="BC22" s="539">
        <f>IF('woningen|utiliteit'!P66="",0,IF(BC23&lt;&gt;"",BC23,'woningen|utiliteit'!P69))</f>
        <v>0</v>
      </c>
      <c r="BD22" s="539">
        <f>IF('woningen|utiliteit'!Q66="",0,IF(BD23&lt;&gt;"",BD23,'woningen|utiliteit'!Q69))</f>
        <v>0</v>
      </c>
      <c r="BE22" s="539">
        <f>IF('woningen|utiliteit'!R66="",0,IF(BE23&lt;&gt;"",BE23,'woningen|utiliteit'!R69))</f>
        <v>0</v>
      </c>
      <c r="BF22" s="539">
        <f>IF('woningen|utiliteit'!S66="",0,IF(BF23&lt;&gt;"",BF23,'woningen|utiliteit'!S69))</f>
        <v>0</v>
      </c>
      <c r="BG22" s="538">
        <f>IF('woningen|utiliteit'!T66="",0,IF(BG23&lt;&gt;"",BG23,'woningen|utiliteit'!T69))</f>
        <v>0</v>
      </c>
      <c r="BH22" s="213"/>
    </row>
    <row r="23" spans="1:60">
      <c r="A23" s="1040"/>
      <c r="B23" s="1106" t="s">
        <v>111</v>
      </c>
      <c r="C23" s="1107" t="s">
        <v>118</v>
      </c>
      <c r="D23" s="638"/>
      <c r="E23" s="1218" t="s">
        <v>77</v>
      </c>
      <c r="F23" s="255"/>
      <c r="G23" s="255"/>
      <c r="H23" s="297"/>
      <c r="I23" s="86"/>
      <c r="J23" s="299"/>
      <c r="K23" s="93"/>
      <c r="L23" s="93"/>
      <c r="M23" s="398"/>
      <c r="N23" s="94"/>
      <c r="O23" s="263"/>
      <c r="P23" s="263"/>
      <c r="Q23" s="263"/>
      <c r="R23" s="263"/>
      <c r="S23" s="263"/>
      <c r="T23" s="263"/>
      <c r="U23" s="263"/>
      <c r="V23" s="263"/>
      <c r="W23" s="263"/>
      <c r="X23" s="87"/>
      <c r="Y23" s="197"/>
      <c r="Z23" s="94"/>
      <c r="AA23" s="263"/>
      <c r="AB23" s="263"/>
      <c r="AC23" s="263"/>
      <c r="AD23" s="263"/>
      <c r="AE23" s="263"/>
      <c r="AF23" s="263"/>
      <c r="AG23" s="263"/>
      <c r="AH23" s="263"/>
      <c r="AI23" s="263"/>
      <c r="AJ23" s="87"/>
      <c r="AK23" s="197"/>
      <c r="AL23" s="94"/>
      <c r="AM23" s="263"/>
      <c r="AN23" s="263"/>
      <c r="AO23" s="263"/>
      <c r="AP23" s="263"/>
      <c r="AQ23" s="263"/>
      <c r="AR23" s="263"/>
      <c r="AS23" s="263"/>
      <c r="AT23" s="263"/>
      <c r="AU23" s="263"/>
      <c r="AV23" s="87"/>
      <c r="AW23" s="197"/>
      <c r="AX23" s="94"/>
      <c r="AY23" s="263"/>
      <c r="AZ23" s="263"/>
      <c r="BA23" s="263"/>
      <c r="BB23" s="263"/>
      <c r="BC23" s="263"/>
      <c r="BD23" s="263"/>
      <c r="BE23" s="263"/>
      <c r="BF23" s="263"/>
      <c r="BG23" s="263"/>
      <c r="BH23" s="174"/>
    </row>
    <row r="24" spans="1:60">
      <c r="A24" s="1040"/>
      <c r="B24" s="1106" t="s">
        <v>111</v>
      </c>
      <c r="C24" s="1107" t="s">
        <v>104</v>
      </c>
      <c r="D24" s="638"/>
      <c r="E24" s="254" t="s">
        <v>121</v>
      </c>
      <c r="F24" s="180"/>
      <c r="G24" s="180"/>
      <c r="H24" s="150" t="s">
        <v>72</v>
      </c>
      <c r="I24" s="95"/>
      <c r="J24" s="185">
        <f>M24+Y24+AK24+AW24</f>
        <v>0</v>
      </c>
      <c r="K24" s="1051"/>
      <c r="L24" s="1051"/>
      <c r="M24" s="206">
        <f>SUM(N24:X24)</f>
        <v>0</v>
      </c>
      <c r="N24" s="96"/>
      <c r="O24" s="540">
        <f t="shared" ref="O24:W24" si="13">IF(O$19=woning,O$22,0)</f>
        <v>0</v>
      </c>
      <c r="P24" s="540">
        <f t="shared" si="13"/>
        <v>0</v>
      </c>
      <c r="Q24" s="540">
        <f t="shared" si="13"/>
        <v>0</v>
      </c>
      <c r="R24" s="540">
        <f t="shared" si="13"/>
        <v>0</v>
      </c>
      <c r="S24" s="540">
        <f t="shared" si="13"/>
        <v>0</v>
      </c>
      <c r="T24" s="540">
        <f t="shared" si="13"/>
        <v>0</v>
      </c>
      <c r="U24" s="540">
        <f t="shared" si="13"/>
        <v>0</v>
      </c>
      <c r="V24" s="540">
        <f t="shared" si="13"/>
        <v>0</v>
      </c>
      <c r="W24" s="540">
        <f t="shared" si="13"/>
        <v>0</v>
      </c>
      <c r="X24" s="97"/>
      <c r="Y24" s="400">
        <f>SUM(Z24:AJ24)</f>
        <v>0</v>
      </c>
      <c r="Z24" s="96"/>
      <c r="AA24" s="540">
        <f t="shared" ref="AA24:AI24" si="14">IF(AA$19=woning,AA$22,0)</f>
        <v>0</v>
      </c>
      <c r="AB24" s="540">
        <f t="shared" si="14"/>
        <v>0</v>
      </c>
      <c r="AC24" s="540">
        <f t="shared" si="14"/>
        <v>0</v>
      </c>
      <c r="AD24" s="540">
        <f t="shared" si="14"/>
        <v>0</v>
      </c>
      <c r="AE24" s="540">
        <f t="shared" si="14"/>
        <v>0</v>
      </c>
      <c r="AF24" s="540">
        <f t="shared" si="14"/>
        <v>0</v>
      </c>
      <c r="AG24" s="540">
        <f t="shared" si="14"/>
        <v>0</v>
      </c>
      <c r="AH24" s="540">
        <f t="shared" si="14"/>
        <v>0</v>
      </c>
      <c r="AI24" s="540">
        <f t="shared" si="14"/>
        <v>0</v>
      </c>
      <c r="AJ24" s="97"/>
      <c r="AK24" s="189">
        <f>SUM(AL24:AV24)</f>
        <v>0</v>
      </c>
      <c r="AL24" s="96"/>
      <c r="AM24" s="540">
        <f>IF(AM$19=woning,AM$22,0)</f>
        <v>0</v>
      </c>
      <c r="AN24" s="540">
        <f t="shared" ref="AN24:AU24" si="15">IF(AN$19=woning,AN$22,0)</f>
        <v>0</v>
      </c>
      <c r="AO24" s="540">
        <f t="shared" si="15"/>
        <v>0</v>
      </c>
      <c r="AP24" s="540">
        <f t="shared" si="15"/>
        <v>0</v>
      </c>
      <c r="AQ24" s="540">
        <f t="shared" si="15"/>
        <v>0</v>
      </c>
      <c r="AR24" s="540">
        <f t="shared" si="15"/>
        <v>0</v>
      </c>
      <c r="AS24" s="540">
        <f t="shared" si="15"/>
        <v>0</v>
      </c>
      <c r="AT24" s="540">
        <f t="shared" si="15"/>
        <v>0</v>
      </c>
      <c r="AU24" s="540">
        <f t="shared" si="15"/>
        <v>0</v>
      </c>
      <c r="AV24" s="97"/>
      <c r="AW24" s="400">
        <f>SUM(AX24:BH24)</f>
        <v>0</v>
      </c>
      <c r="AX24" s="96"/>
      <c r="AY24" s="540">
        <f t="shared" ref="AY24:BG24" si="16">IF(AY$19=woning,AY$22,0)</f>
        <v>0</v>
      </c>
      <c r="AZ24" s="540">
        <f t="shared" si="16"/>
        <v>0</v>
      </c>
      <c r="BA24" s="540">
        <f t="shared" si="16"/>
        <v>0</v>
      </c>
      <c r="BB24" s="540">
        <f t="shared" si="16"/>
        <v>0</v>
      </c>
      <c r="BC24" s="540">
        <f t="shared" si="16"/>
        <v>0</v>
      </c>
      <c r="BD24" s="540">
        <f t="shared" si="16"/>
        <v>0</v>
      </c>
      <c r="BE24" s="540">
        <f t="shared" si="16"/>
        <v>0</v>
      </c>
      <c r="BF24" s="540">
        <f t="shared" si="16"/>
        <v>0</v>
      </c>
      <c r="BG24" s="540">
        <f t="shared" si="16"/>
        <v>0</v>
      </c>
      <c r="BH24" s="174"/>
    </row>
    <row r="25" spans="1:60">
      <c r="A25" s="1040"/>
      <c r="B25" s="1106" t="s">
        <v>111</v>
      </c>
      <c r="C25" s="1107" t="s">
        <v>104</v>
      </c>
      <c r="D25" s="638"/>
      <c r="E25" s="254" t="s">
        <v>122</v>
      </c>
      <c r="F25" s="180"/>
      <c r="G25" s="180"/>
      <c r="H25" s="150" t="s">
        <v>72</v>
      </c>
      <c r="I25" s="95"/>
      <c r="J25" s="185">
        <f>M25+Y25+AK25+AW25</f>
        <v>0</v>
      </c>
      <c r="K25" s="1051"/>
      <c r="L25" s="1051"/>
      <c r="M25" s="206">
        <f>SUM(N25:X25)</f>
        <v>0</v>
      </c>
      <c r="N25" s="96"/>
      <c r="O25" s="540">
        <f t="shared" ref="O25:W25" si="17">IF(O$19=woongebouw,O$22,0)</f>
        <v>0</v>
      </c>
      <c r="P25" s="540">
        <f t="shared" si="17"/>
        <v>0</v>
      </c>
      <c r="Q25" s="540">
        <f t="shared" si="17"/>
        <v>0</v>
      </c>
      <c r="R25" s="540">
        <f t="shared" si="17"/>
        <v>0</v>
      </c>
      <c r="S25" s="540">
        <f t="shared" si="17"/>
        <v>0</v>
      </c>
      <c r="T25" s="540">
        <f t="shared" si="17"/>
        <v>0</v>
      </c>
      <c r="U25" s="540">
        <f t="shared" si="17"/>
        <v>0</v>
      </c>
      <c r="V25" s="540">
        <f t="shared" si="17"/>
        <v>0</v>
      </c>
      <c r="W25" s="540">
        <f t="shared" si="17"/>
        <v>0</v>
      </c>
      <c r="X25" s="97"/>
      <c r="Y25" s="400">
        <f>SUM(Z25:AJ25)</f>
        <v>0</v>
      </c>
      <c r="Z25" s="96"/>
      <c r="AA25" s="540">
        <f t="shared" ref="AA25:AI25" si="18">IF(AA$19=woongebouw,AA$22,0)</f>
        <v>0</v>
      </c>
      <c r="AB25" s="540">
        <f t="shared" si="18"/>
        <v>0</v>
      </c>
      <c r="AC25" s="540">
        <f t="shared" si="18"/>
        <v>0</v>
      </c>
      <c r="AD25" s="540">
        <f t="shared" si="18"/>
        <v>0</v>
      </c>
      <c r="AE25" s="540">
        <f t="shared" si="18"/>
        <v>0</v>
      </c>
      <c r="AF25" s="540">
        <f t="shared" si="18"/>
        <v>0</v>
      </c>
      <c r="AG25" s="540">
        <f t="shared" si="18"/>
        <v>0</v>
      </c>
      <c r="AH25" s="540">
        <f t="shared" si="18"/>
        <v>0</v>
      </c>
      <c r="AI25" s="540">
        <f t="shared" si="18"/>
        <v>0</v>
      </c>
      <c r="AJ25" s="97"/>
      <c r="AK25" s="189">
        <f>SUM(AL25:AV25)</f>
        <v>0</v>
      </c>
      <c r="AL25" s="96"/>
      <c r="AM25" s="540">
        <f>IF(AM$19=woongebouw,AM$22,0)</f>
        <v>0</v>
      </c>
      <c r="AN25" s="540">
        <f t="shared" ref="AN25:AU25" si="19">IF(AN$19=woongebouw,AN$22,0)</f>
        <v>0</v>
      </c>
      <c r="AO25" s="540">
        <f t="shared" si="19"/>
        <v>0</v>
      </c>
      <c r="AP25" s="540">
        <f t="shared" si="19"/>
        <v>0</v>
      </c>
      <c r="AQ25" s="540">
        <f t="shared" si="19"/>
        <v>0</v>
      </c>
      <c r="AR25" s="540">
        <f t="shared" si="19"/>
        <v>0</v>
      </c>
      <c r="AS25" s="540">
        <f t="shared" si="19"/>
        <v>0</v>
      </c>
      <c r="AT25" s="540">
        <f t="shared" si="19"/>
        <v>0</v>
      </c>
      <c r="AU25" s="540">
        <f t="shared" si="19"/>
        <v>0</v>
      </c>
      <c r="AV25" s="97"/>
      <c r="AW25" s="400">
        <f>SUM(AX25:BH25)</f>
        <v>0</v>
      </c>
      <c r="AX25" s="96"/>
      <c r="AY25" s="540">
        <f t="shared" ref="AY25:BG25" si="20">IF(AY$19=woongebouw,AY$22,0)</f>
        <v>0</v>
      </c>
      <c r="AZ25" s="540">
        <f t="shared" si="20"/>
        <v>0</v>
      </c>
      <c r="BA25" s="540">
        <f t="shared" si="20"/>
        <v>0</v>
      </c>
      <c r="BB25" s="540">
        <f t="shared" si="20"/>
        <v>0</v>
      </c>
      <c r="BC25" s="540">
        <f t="shared" si="20"/>
        <v>0</v>
      </c>
      <c r="BD25" s="540">
        <f t="shared" si="20"/>
        <v>0</v>
      </c>
      <c r="BE25" s="540">
        <f t="shared" si="20"/>
        <v>0</v>
      </c>
      <c r="BF25" s="540">
        <f t="shared" si="20"/>
        <v>0</v>
      </c>
      <c r="BG25" s="540">
        <f t="shared" si="20"/>
        <v>0</v>
      </c>
      <c r="BH25" s="174"/>
    </row>
    <row r="26" spans="1:60">
      <c r="A26" s="1040"/>
      <c r="B26" s="1106" t="s">
        <v>111</v>
      </c>
      <c r="C26" s="1107" t="s">
        <v>104</v>
      </c>
      <c r="D26" s="638"/>
      <c r="E26" s="254" t="s">
        <v>73</v>
      </c>
      <c r="F26" s="180"/>
      <c r="G26" s="180"/>
      <c r="H26" s="150" t="s">
        <v>74</v>
      </c>
      <c r="I26" s="95"/>
      <c r="J26" s="185">
        <f>M26+Y26+AK26+AW26</f>
        <v>0</v>
      </c>
      <c r="K26" s="1051"/>
      <c r="L26" s="1051"/>
      <c r="M26" s="399">
        <f>SUM(N26:X26)</f>
        <v>0</v>
      </c>
      <c r="N26" s="96"/>
      <c r="O26" s="540">
        <f>O22-O25-O24</f>
        <v>0</v>
      </c>
      <c r="P26" s="540">
        <f t="shared" ref="P26:W26" si="21">P22-P25-P24</f>
        <v>0</v>
      </c>
      <c r="Q26" s="540">
        <f t="shared" si="21"/>
        <v>0</v>
      </c>
      <c r="R26" s="540">
        <f t="shared" si="21"/>
        <v>0</v>
      </c>
      <c r="S26" s="540">
        <f t="shared" si="21"/>
        <v>0</v>
      </c>
      <c r="T26" s="540">
        <f t="shared" si="21"/>
        <v>0</v>
      </c>
      <c r="U26" s="540">
        <f t="shared" si="21"/>
        <v>0</v>
      </c>
      <c r="V26" s="540">
        <f t="shared" si="21"/>
        <v>0</v>
      </c>
      <c r="W26" s="540">
        <f t="shared" si="21"/>
        <v>0</v>
      </c>
      <c r="X26" s="97"/>
      <c r="Y26" s="206">
        <f>SUM(Z26:AJ26)</f>
        <v>0</v>
      </c>
      <c r="Z26" s="96"/>
      <c r="AA26" s="540">
        <f t="shared" ref="AA26:AI26" si="22">AA22-AA25-AA24</f>
        <v>0</v>
      </c>
      <c r="AB26" s="540">
        <f t="shared" si="22"/>
        <v>0</v>
      </c>
      <c r="AC26" s="540">
        <f t="shared" si="22"/>
        <v>0</v>
      </c>
      <c r="AD26" s="540">
        <f t="shared" si="22"/>
        <v>0</v>
      </c>
      <c r="AE26" s="540">
        <f t="shared" si="22"/>
        <v>0</v>
      </c>
      <c r="AF26" s="540">
        <f t="shared" si="22"/>
        <v>0</v>
      </c>
      <c r="AG26" s="540">
        <f t="shared" si="22"/>
        <v>0</v>
      </c>
      <c r="AH26" s="540">
        <f t="shared" si="22"/>
        <v>0</v>
      </c>
      <c r="AI26" s="540">
        <f t="shared" si="22"/>
        <v>0</v>
      </c>
      <c r="AJ26" s="97"/>
      <c r="AK26" s="400">
        <f>SUM(AL26:AV26)</f>
        <v>0</v>
      </c>
      <c r="AL26" s="96"/>
      <c r="AM26" s="540">
        <f t="shared" ref="AM26:AU26" si="23">AM22-AM25-AM24</f>
        <v>0</v>
      </c>
      <c r="AN26" s="540">
        <f t="shared" si="23"/>
        <v>0</v>
      </c>
      <c r="AO26" s="540">
        <f t="shared" si="23"/>
        <v>0</v>
      </c>
      <c r="AP26" s="540">
        <f t="shared" si="23"/>
        <v>0</v>
      </c>
      <c r="AQ26" s="540">
        <f t="shared" si="23"/>
        <v>0</v>
      </c>
      <c r="AR26" s="540">
        <f t="shared" si="23"/>
        <v>0</v>
      </c>
      <c r="AS26" s="540">
        <f t="shared" si="23"/>
        <v>0</v>
      </c>
      <c r="AT26" s="540">
        <f t="shared" si="23"/>
        <v>0</v>
      </c>
      <c r="AU26" s="540">
        <f t="shared" si="23"/>
        <v>0</v>
      </c>
      <c r="AV26" s="97"/>
      <c r="AW26" s="206">
        <f>SUM(AX26:BH26)</f>
        <v>0</v>
      </c>
      <c r="AX26" s="96"/>
      <c r="AY26" s="540">
        <f t="shared" ref="AY26:BG26" si="24">AY22-AY25-AY24</f>
        <v>0</v>
      </c>
      <c r="AZ26" s="540">
        <f t="shared" si="24"/>
        <v>0</v>
      </c>
      <c r="BA26" s="540">
        <f t="shared" si="24"/>
        <v>0</v>
      </c>
      <c r="BB26" s="540">
        <f t="shared" si="24"/>
        <v>0</v>
      </c>
      <c r="BC26" s="540">
        <f t="shared" si="24"/>
        <v>0</v>
      </c>
      <c r="BD26" s="540">
        <f t="shared" si="24"/>
        <v>0</v>
      </c>
      <c r="BE26" s="540">
        <f t="shared" si="24"/>
        <v>0</v>
      </c>
      <c r="BF26" s="540">
        <f t="shared" si="24"/>
        <v>0</v>
      </c>
      <c r="BG26" s="540">
        <f t="shared" si="24"/>
        <v>0</v>
      </c>
      <c r="BH26" s="174"/>
    </row>
    <row r="27" spans="1:60">
      <c r="A27" s="1040"/>
      <c r="B27" s="1106" t="s">
        <v>111</v>
      </c>
      <c r="C27" s="1107" t="s">
        <v>104</v>
      </c>
      <c r="D27" s="638"/>
      <c r="E27" s="180" t="s">
        <v>123</v>
      </c>
      <c r="F27" s="180"/>
      <c r="G27" s="180"/>
      <c r="H27" s="150" t="s">
        <v>59</v>
      </c>
      <c r="I27" s="95"/>
      <c r="J27" s="559"/>
      <c r="K27" s="1052"/>
      <c r="L27" s="1052"/>
      <c r="M27" s="559">
        <f>SUM(M24:M26)</f>
        <v>0</v>
      </c>
      <c r="N27" s="96"/>
      <c r="O27" s="540">
        <f>$M22</f>
        <v>0</v>
      </c>
      <c r="P27" s="540">
        <f t="shared" ref="P27:W27" si="25">$M22</f>
        <v>0</v>
      </c>
      <c r="Q27" s="540">
        <f t="shared" si="25"/>
        <v>0</v>
      </c>
      <c r="R27" s="540">
        <f t="shared" si="25"/>
        <v>0</v>
      </c>
      <c r="S27" s="540">
        <f t="shared" si="25"/>
        <v>0</v>
      </c>
      <c r="T27" s="540">
        <f t="shared" si="25"/>
        <v>0</v>
      </c>
      <c r="U27" s="540">
        <f t="shared" si="25"/>
        <v>0</v>
      </c>
      <c r="V27" s="540">
        <f t="shared" si="25"/>
        <v>0</v>
      </c>
      <c r="W27" s="540">
        <f t="shared" si="25"/>
        <v>0</v>
      </c>
      <c r="X27" s="97"/>
      <c r="Y27" s="559">
        <f>SUM(Y24:Y26)</f>
        <v>0</v>
      </c>
      <c r="Z27" s="96"/>
      <c r="AA27" s="540">
        <f>$Y22</f>
        <v>0</v>
      </c>
      <c r="AB27" s="540">
        <f t="shared" ref="AB27:AI27" si="26">$Y22</f>
        <v>0</v>
      </c>
      <c r="AC27" s="540">
        <f t="shared" si="26"/>
        <v>0</v>
      </c>
      <c r="AD27" s="540">
        <f t="shared" si="26"/>
        <v>0</v>
      </c>
      <c r="AE27" s="540">
        <f t="shared" si="26"/>
        <v>0</v>
      </c>
      <c r="AF27" s="540">
        <f t="shared" si="26"/>
        <v>0</v>
      </c>
      <c r="AG27" s="540">
        <f t="shared" si="26"/>
        <v>0</v>
      </c>
      <c r="AH27" s="540">
        <f t="shared" si="26"/>
        <v>0</v>
      </c>
      <c r="AI27" s="540">
        <f t="shared" si="26"/>
        <v>0</v>
      </c>
      <c r="AJ27" s="97"/>
      <c r="AK27" s="559">
        <f>SUM(AK24:AK26)</f>
        <v>0</v>
      </c>
      <c r="AL27" s="96"/>
      <c r="AM27" s="540">
        <f t="shared" ref="AM27:AU27" si="27">$AK22</f>
        <v>0</v>
      </c>
      <c r="AN27" s="540">
        <f t="shared" si="27"/>
        <v>0</v>
      </c>
      <c r="AO27" s="540">
        <f t="shared" si="27"/>
        <v>0</v>
      </c>
      <c r="AP27" s="540">
        <f t="shared" si="27"/>
        <v>0</v>
      </c>
      <c r="AQ27" s="540">
        <f t="shared" si="27"/>
        <v>0</v>
      </c>
      <c r="AR27" s="540">
        <f t="shared" si="27"/>
        <v>0</v>
      </c>
      <c r="AS27" s="540">
        <f t="shared" si="27"/>
        <v>0</v>
      </c>
      <c r="AT27" s="540">
        <f t="shared" si="27"/>
        <v>0</v>
      </c>
      <c r="AU27" s="540">
        <f t="shared" si="27"/>
        <v>0</v>
      </c>
      <c r="AV27" s="97"/>
      <c r="AW27" s="559"/>
      <c r="AX27" s="559">
        <f>SUM(AX24:AX26)</f>
        <v>0</v>
      </c>
      <c r="AY27" s="540">
        <f>$AW22</f>
        <v>0</v>
      </c>
      <c r="AZ27" s="540">
        <f t="shared" ref="AZ27:BG27" si="28">$AW22</f>
        <v>0</v>
      </c>
      <c r="BA27" s="540">
        <f t="shared" si="28"/>
        <v>0</v>
      </c>
      <c r="BB27" s="540">
        <f t="shared" si="28"/>
        <v>0</v>
      </c>
      <c r="BC27" s="540">
        <f t="shared" si="28"/>
        <v>0</v>
      </c>
      <c r="BD27" s="540">
        <f t="shared" si="28"/>
        <v>0</v>
      </c>
      <c r="BE27" s="540">
        <f t="shared" si="28"/>
        <v>0</v>
      </c>
      <c r="BF27" s="540">
        <f t="shared" si="28"/>
        <v>0</v>
      </c>
      <c r="BG27" s="540">
        <f t="shared" si="28"/>
        <v>0</v>
      </c>
      <c r="BH27" s="174"/>
    </row>
    <row r="28" spans="1:60">
      <c r="A28" s="1040"/>
      <c r="B28" s="1106" t="s">
        <v>111</v>
      </c>
      <c r="C28" s="1106" t="s">
        <v>96</v>
      </c>
      <c r="D28" s="638"/>
      <c r="E28" s="942" t="s">
        <v>124</v>
      </c>
      <c r="F28" s="942"/>
      <c r="G28" s="942"/>
      <c r="H28" s="942"/>
      <c r="I28" s="129"/>
      <c r="J28" s="943"/>
      <c r="K28" s="126"/>
      <c r="L28" s="126"/>
      <c r="M28" s="944"/>
      <c r="N28" s="195"/>
      <c r="O28" s="258" t="str">
        <f>O$17</f>
        <v/>
      </c>
      <c r="P28" s="258" t="str">
        <f t="shared" ref="P28:W28" si="29">P$17</f>
        <v/>
      </c>
      <c r="Q28" s="258" t="str">
        <f t="shared" si="29"/>
        <v/>
      </c>
      <c r="R28" s="258" t="str">
        <f t="shared" si="29"/>
        <v/>
      </c>
      <c r="S28" s="258" t="str">
        <f t="shared" si="29"/>
        <v/>
      </c>
      <c r="T28" s="258" t="str">
        <f t="shared" si="29"/>
        <v/>
      </c>
      <c r="U28" s="258" t="str">
        <f t="shared" si="29"/>
        <v/>
      </c>
      <c r="V28" s="258" t="str">
        <f t="shared" si="29"/>
        <v/>
      </c>
      <c r="W28" s="258" t="str">
        <f t="shared" si="29"/>
        <v/>
      </c>
      <c r="X28" s="195"/>
      <c r="Y28" s="944"/>
      <c r="Z28" s="195"/>
      <c r="AA28" s="258" t="str">
        <f>IF('woningen|utiliteit'!X31="","",'woningen|utiliteit'!X31)</f>
        <v/>
      </c>
      <c r="AB28" s="258" t="str">
        <f>IF('woningen|utiliteit'!Y31="","",'woningen|utiliteit'!Y31)</f>
        <v/>
      </c>
      <c r="AC28" s="258" t="str">
        <f>IF('woningen|utiliteit'!Z31="","",'woningen|utiliteit'!Z31)</f>
        <v/>
      </c>
      <c r="AD28" s="258" t="str">
        <f>IF('woningen|utiliteit'!AA31="","",'woningen|utiliteit'!AA31)</f>
        <v/>
      </c>
      <c r="AE28" s="258" t="str">
        <f>IF('woningen|utiliteit'!AB31="","",'woningen|utiliteit'!AB31)</f>
        <v/>
      </c>
      <c r="AF28" s="258" t="str">
        <f>IF('woningen|utiliteit'!AC31="","",'woningen|utiliteit'!AC31)</f>
        <v/>
      </c>
      <c r="AG28" s="258" t="str">
        <f>IF('woningen|utiliteit'!AD31="","",'woningen|utiliteit'!AD31)</f>
        <v/>
      </c>
      <c r="AH28" s="258" t="str">
        <f>IF('woningen|utiliteit'!AE31="","",'woningen|utiliteit'!AE31)</f>
        <v/>
      </c>
      <c r="AI28" s="258" t="str">
        <f>IF('woningen|utiliteit'!AF31="","",'woningen|utiliteit'!AF31)</f>
        <v/>
      </c>
      <c r="AJ28" s="195"/>
      <c r="AK28" s="944"/>
      <c r="AL28" s="195"/>
      <c r="AM28" s="258" t="str">
        <f>IF('woningen|utiliteit'!AJ31="","",'woningen|utiliteit'!AJ31)</f>
        <v/>
      </c>
      <c r="AN28" s="258" t="str">
        <f>IF('woningen|utiliteit'!AK31="","",'woningen|utiliteit'!AK31)</f>
        <v/>
      </c>
      <c r="AO28" s="258" t="str">
        <f>IF('woningen|utiliteit'!AL31="","",'woningen|utiliteit'!AL31)</f>
        <v/>
      </c>
      <c r="AP28" s="258" t="str">
        <f>IF('woningen|utiliteit'!AM31="","",'woningen|utiliteit'!AM31)</f>
        <v/>
      </c>
      <c r="AQ28" s="258" t="str">
        <f>IF('woningen|utiliteit'!AN31="","",'woningen|utiliteit'!AN31)</f>
        <v/>
      </c>
      <c r="AR28" s="258" t="str">
        <f>IF('woningen|utiliteit'!AO31="","",'woningen|utiliteit'!AO31)</f>
        <v/>
      </c>
      <c r="AS28" s="258" t="str">
        <f>IF('woningen|utiliteit'!AP31="","",'woningen|utiliteit'!AP31)</f>
        <v/>
      </c>
      <c r="AT28" s="258" t="str">
        <f>IF('woningen|utiliteit'!AQ31="","",'woningen|utiliteit'!AQ31)</f>
        <v/>
      </c>
      <c r="AU28" s="258" t="str">
        <f>IF('woningen|utiliteit'!AR31="","",'woningen|utiliteit'!AR31)</f>
        <v/>
      </c>
      <c r="AV28" s="195"/>
      <c r="AW28" s="944"/>
      <c r="AX28" s="195"/>
      <c r="AY28" s="258" t="str">
        <f>IF('woningen|utiliteit'!AV31="","",'woningen|utiliteit'!AV31)</f>
        <v/>
      </c>
      <c r="AZ28" s="258" t="str">
        <f>IF('woningen|utiliteit'!AW31="","",'woningen|utiliteit'!AW31)</f>
        <v/>
      </c>
      <c r="BA28" s="258" t="str">
        <f>IF('woningen|utiliteit'!AX31="","",'woningen|utiliteit'!AX31)</f>
        <v/>
      </c>
      <c r="BB28" s="258" t="str">
        <f>IF('woningen|utiliteit'!AY31="","",'woningen|utiliteit'!AY31)</f>
        <v/>
      </c>
      <c r="BC28" s="258" t="str">
        <f>IF('woningen|utiliteit'!AZ31="","",'woningen|utiliteit'!AZ31)</f>
        <v/>
      </c>
      <c r="BD28" s="258" t="str">
        <f>IF('woningen|utiliteit'!BA31="","",'woningen|utiliteit'!BA31)</f>
        <v/>
      </c>
      <c r="BE28" s="258" t="str">
        <f>IF('woningen|utiliteit'!BB31="","",'woningen|utiliteit'!BB31)</f>
        <v/>
      </c>
      <c r="BF28" s="258" t="str">
        <f>IF('woningen|utiliteit'!BC31="","",'woningen|utiliteit'!BC31)</f>
        <v/>
      </c>
      <c r="BG28" s="258" t="str">
        <f>IF('woningen|utiliteit'!BD31="","",'woningen|utiliteit'!BD31)</f>
        <v/>
      </c>
      <c r="BH28" s="36"/>
    </row>
    <row r="29" spans="1:60">
      <c r="A29" s="1040"/>
      <c r="B29" s="1106" t="s">
        <v>111</v>
      </c>
      <c r="C29" s="1107" t="s">
        <v>104</v>
      </c>
      <c r="D29" s="638"/>
      <c r="E29" s="254" t="s">
        <v>75</v>
      </c>
      <c r="F29" s="180" t="s">
        <v>125</v>
      </c>
      <c r="G29" s="180"/>
      <c r="H29" s="181" t="s">
        <v>76</v>
      </c>
      <c r="I29" s="79"/>
      <c r="J29" s="187">
        <f>M29+Y29+AK29+AW29</f>
        <v>0</v>
      </c>
      <c r="K29" s="243"/>
      <c r="L29" s="243"/>
      <c r="M29" s="187">
        <f>SUMPRODUCT(N$22:X$22,N29:X29)</f>
        <v>0</v>
      </c>
      <c r="N29" s="89"/>
      <c r="O29" s="385">
        <f>IF(O$17="",0,'woningen|utiliteit'!L24)</f>
        <v>0</v>
      </c>
      <c r="P29" s="385">
        <f>IF(P$17="",0,'woningen|utiliteit'!M24)</f>
        <v>0</v>
      </c>
      <c r="Q29" s="385">
        <f>IF(Q$17="",0,'woningen|utiliteit'!N24)</f>
        <v>0</v>
      </c>
      <c r="R29" s="385">
        <f>IF(R$17="",0,'woningen|utiliteit'!O24)</f>
        <v>0</v>
      </c>
      <c r="S29" s="385">
        <f>IF(S$17="",0,'woningen|utiliteit'!P24)</f>
        <v>0</v>
      </c>
      <c r="T29" s="385">
        <f>IF(T$17="",0,'woningen|utiliteit'!Q24)</f>
        <v>0</v>
      </c>
      <c r="U29" s="385">
        <f>IF(U$17="",0,'woningen|utiliteit'!R24)</f>
        <v>0</v>
      </c>
      <c r="V29" s="385">
        <f>IF(V$17="",0,'woningen|utiliteit'!S24)</f>
        <v>0</v>
      </c>
      <c r="W29" s="385">
        <f>IF(W$17="",0,'woningen|utiliteit'!T24)</f>
        <v>0</v>
      </c>
      <c r="X29" s="98"/>
      <c r="Y29" s="187">
        <f>SUMPRODUCT(Z$22:AJ$22,Z29:AJ29)</f>
        <v>0</v>
      </c>
      <c r="Z29" s="119"/>
      <c r="AA29" s="385">
        <f>IF(AA$17="",0,'woningen|utiliteit'!L40)</f>
        <v>0</v>
      </c>
      <c r="AB29" s="385">
        <f>IF(AB$17="",0,'woningen|utiliteit'!M40)</f>
        <v>0</v>
      </c>
      <c r="AC29" s="385">
        <f>IF(AC$17="",0,'woningen|utiliteit'!N40)</f>
        <v>0</v>
      </c>
      <c r="AD29" s="385">
        <f>IF(AD$17="",0,'woningen|utiliteit'!O40)</f>
        <v>0</v>
      </c>
      <c r="AE29" s="385">
        <f>IF(AE$17="",0,'woningen|utiliteit'!P40)</f>
        <v>0</v>
      </c>
      <c r="AF29" s="385">
        <f>IF(AF$17="",0,'woningen|utiliteit'!Q40)</f>
        <v>0</v>
      </c>
      <c r="AG29" s="385">
        <f>IF(AG$17="",0,'woningen|utiliteit'!R40)</f>
        <v>0</v>
      </c>
      <c r="AH29" s="385">
        <f>IF(AH$17="",0,'woningen|utiliteit'!S40)</f>
        <v>0</v>
      </c>
      <c r="AI29" s="385">
        <f>IF(AI$17="",0,'woningen|utiliteit'!T40)</f>
        <v>0</v>
      </c>
      <c r="AJ29" s="98"/>
      <c r="AK29" s="187">
        <f>SUMPRODUCT(AL$22:AV$22,AL29:AV29)</f>
        <v>0</v>
      </c>
      <c r="AL29" s="119"/>
      <c r="AM29" s="385">
        <f>IF(AM$17="",0,'woningen|utiliteit'!L56)</f>
        <v>0</v>
      </c>
      <c r="AN29" s="385">
        <f>IF(AN$17="",0,'woningen|utiliteit'!M56)</f>
        <v>0</v>
      </c>
      <c r="AO29" s="385">
        <f>IF(AO$17="",0,'woningen|utiliteit'!N56)</f>
        <v>0</v>
      </c>
      <c r="AP29" s="385">
        <f>IF(AP$17="",0,'woningen|utiliteit'!O56)</f>
        <v>0</v>
      </c>
      <c r="AQ29" s="385">
        <f>IF(AQ$17="",0,'woningen|utiliteit'!P56)</f>
        <v>0</v>
      </c>
      <c r="AR29" s="385">
        <f>IF(AR$17="",0,'woningen|utiliteit'!Q56)</f>
        <v>0</v>
      </c>
      <c r="AS29" s="385">
        <f>IF(AS$17="",0,'woningen|utiliteit'!R56)</f>
        <v>0</v>
      </c>
      <c r="AT29" s="385">
        <f>IF(AT$17="",0,'woningen|utiliteit'!S56)</f>
        <v>0</v>
      </c>
      <c r="AU29" s="385">
        <f>IF(AU$17="",0,'woningen|utiliteit'!T56)</f>
        <v>0</v>
      </c>
      <c r="AV29" s="98"/>
      <c r="AW29" s="187">
        <f>SUMPRODUCT(AX$22:BH$22,AX29:BH29)</f>
        <v>0</v>
      </c>
      <c r="AX29" s="119"/>
      <c r="AY29" s="385">
        <f>IF(AY$17="",0,'woningen|utiliteit'!L72)</f>
        <v>0</v>
      </c>
      <c r="AZ29" s="385">
        <f>IF(AZ$17="",0,'woningen|utiliteit'!M72)</f>
        <v>0</v>
      </c>
      <c r="BA29" s="385">
        <f>IF(BA$17="",0,'woningen|utiliteit'!N72)</f>
        <v>0</v>
      </c>
      <c r="BB29" s="385">
        <f>IF(BB$17="",0,'woningen|utiliteit'!O72)</f>
        <v>0</v>
      </c>
      <c r="BC29" s="385">
        <f>IF(BC$17="",0,'woningen|utiliteit'!P72)</f>
        <v>0</v>
      </c>
      <c r="BD29" s="385">
        <f>IF(BD$17="",0,'woningen|utiliteit'!Q72)</f>
        <v>0</v>
      </c>
      <c r="BE29" s="385">
        <f>IF(BE$17="",0,'woningen|utiliteit'!R72)</f>
        <v>0</v>
      </c>
      <c r="BF29" s="385">
        <f>IF(BF$17="",0,'woningen|utiliteit'!S72)</f>
        <v>0</v>
      </c>
      <c r="BG29" s="385">
        <f>IF(BG$17="",0,'woningen|utiliteit'!T72)</f>
        <v>0</v>
      </c>
      <c r="BH29" s="174"/>
    </row>
    <row r="30" spans="1:60">
      <c r="A30" s="1041"/>
      <c r="B30" s="1106" t="s">
        <v>111</v>
      </c>
      <c r="C30" s="1107" t="s">
        <v>104</v>
      </c>
      <c r="D30" s="638"/>
      <c r="E30" s="595"/>
      <c r="F30" s="180" t="s">
        <v>126</v>
      </c>
      <c r="G30" s="180"/>
      <c r="H30" s="181" t="s">
        <v>127</v>
      </c>
      <c r="I30" s="99"/>
      <c r="J30" s="187"/>
      <c r="K30" s="1053"/>
      <c r="L30" s="1053"/>
      <c r="M30" s="622"/>
      <c r="N30" s="623"/>
      <c r="O30" s="557">
        <f>O22*O29</f>
        <v>0</v>
      </c>
      <c r="P30" s="557">
        <f t="shared" ref="P30:W30" si="30">P22*P29</f>
        <v>0</v>
      </c>
      <c r="Q30" s="557">
        <f t="shared" si="30"/>
        <v>0</v>
      </c>
      <c r="R30" s="557">
        <f t="shared" si="30"/>
        <v>0</v>
      </c>
      <c r="S30" s="557">
        <f t="shared" si="30"/>
        <v>0</v>
      </c>
      <c r="T30" s="557">
        <f>T22*T29</f>
        <v>0</v>
      </c>
      <c r="U30" s="557">
        <f t="shared" si="30"/>
        <v>0</v>
      </c>
      <c r="V30" s="557">
        <f t="shared" si="30"/>
        <v>0</v>
      </c>
      <c r="W30" s="557">
        <f t="shared" si="30"/>
        <v>0</v>
      </c>
      <c r="X30" s="101"/>
      <c r="Y30" s="622"/>
      <c r="Z30" s="937"/>
      <c r="AA30" s="557">
        <f t="shared" ref="AA30:AI30" si="31">AA22*AA29</f>
        <v>0</v>
      </c>
      <c r="AB30" s="557">
        <f t="shared" si="31"/>
        <v>0</v>
      </c>
      <c r="AC30" s="557">
        <f t="shared" si="31"/>
        <v>0</v>
      </c>
      <c r="AD30" s="557">
        <f t="shared" si="31"/>
        <v>0</v>
      </c>
      <c r="AE30" s="557">
        <f t="shared" si="31"/>
        <v>0</v>
      </c>
      <c r="AF30" s="557">
        <f t="shared" si="31"/>
        <v>0</v>
      </c>
      <c r="AG30" s="557">
        <f t="shared" si="31"/>
        <v>0</v>
      </c>
      <c r="AH30" s="557">
        <f t="shared" si="31"/>
        <v>0</v>
      </c>
      <c r="AI30" s="557">
        <f t="shared" si="31"/>
        <v>0</v>
      </c>
      <c r="AJ30" s="101"/>
      <c r="AK30" s="622"/>
      <c r="AL30" s="937"/>
      <c r="AM30" s="557">
        <f t="shared" ref="AM30:AU30" si="32">AM22*AM29</f>
        <v>0</v>
      </c>
      <c r="AN30" s="557">
        <f t="shared" si="32"/>
        <v>0</v>
      </c>
      <c r="AO30" s="557">
        <f t="shared" si="32"/>
        <v>0</v>
      </c>
      <c r="AP30" s="557">
        <f t="shared" si="32"/>
        <v>0</v>
      </c>
      <c r="AQ30" s="557">
        <f t="shared" si="32"/>
        <v>0</v>
      </c>
      <c r="AR30" s="557">
        <f t="shared" si="32"/>
        <v>0</v>
      </c>
      <c r="AS30" s="557">
        <f t="shared" si="32"/>
        <v>0</v>
      </c>
      <c r="AT30" s="557">
        <f t="shared" si="32"/>
        <v>0</v>
      </c>
      <c r="AU30" s="557">
        <f t="shared" si="32"/>
        <v>0</v>
      </c>
      <c r="AV30" s="101"/>
      <c r="AW30" s="622"/>
      <c r="AX30" s="937"/>
      <c r="AY30" s="557">
        <f t="shared" ref="AY30:BG30" si="33">AY22*AY29</f>
        <v>0</v>
      </c>
      <c r="AZ30" s="557">
        <f t="shared" si="33"/>
        <v>0</v>
      </c>
      <c r="BA30" s="557">
        <f t="shared" si="33"/>
        <v>0</v>
      </c>
      <c r="BB30" s="557">
        <f t="shared" si="33"/>
        <v>0</v>
      </c>
      <c r="BC30" s="557">
        <f t="shared" si="33"/>
        <v>0</v>
      </c>
      <c r="BD30" s="557">
        <f t="shared" si="33"/>
        <v>0</v>
      </c>
      <c r="BE30" s="557">
        <f t="shared" si="33"/>
        <v>0</v>
      </c>
      <c r="BF30" s="557">
        <f t="shared" si="33"/>
        <v>0</v>
      </c>
      <c r="BG30" s="557">
        <f t="shared" si="33"/>
        <v>0</v>
      </c>
      <c r="BH30" s="174"/>
    </row>
    <row r="31" spans="1:60">
      <c r="A31" s="1041"/>
      <c r="B31" s="1106" t="s">
        <v>111</v>
      </c>
      <c r="C31" s="1107" t="s">
        <v>104</v>
      </c>
      <c r="D31" s="638"/>
      <c r="E31" s="255"/>
      <c r="F31" s="180" t="s">
        <v>128</v>
      </c>
      <c r="G31" s="180"/>
      <c r="H31" s="181" t="s">
        <v>127</v>
      </c>
      <c r="I31" s="99"/>
      <c r="J31" s="187"/>
      <c r="K31" s="1053"/>
      <c r="L31" s="1053"/>
      <c r="M31" s="187"/>
      <c r="N31" s="100"/>
      <c r="O31" s="385">
        <f>SUMPRODUCT($N22:$X22,$N29:$X29)</f>
        <v>0</v>
      </c>
      <c r="P31" s="385">
        <f t="shared" ref="P31:W31" si="34">SUMPRODUCT($N22:$X22,$N29:$X29)</f>
        <v>0</v>
      </c>
      <c r="Q31" s="385">
        <f t="shared" si="34"/>
        <v>0</v>
      </c>
      <c r="R31" s="385">
        <f t="shared" si="34"/>
        <v>0</v>
      </c>
      <c r="S31" s="385">
        <f t="shared" si="34"/>
        <v>0</v>
      </c>
      <c r="T31" s="385">
        <f t="shared" si="34"/>
        <v>0</v>
      </c>
      <c r="U31" s="385">
        <f t="shared" si="34"/>
        <v>0</v>
      </c>
      <c r="V31" s="385">
        <f t="shared" si="34"/>
        <v>0</v>
      </c>
      <c r="W31" s="385">
        <f t="shared" si="34"/>
        <v>0</v>
      </c>
      <c r="X31" s="101"/>
      <c r="Y31" s="187"/>
      <c r="Z31" s="100"/>
      <c r="AA31" s="385">
        <f t="shared" ref="AA31:AI31" si="35">SUMPRODUCT($Z$22:$AJ$22,$Z$29:$AJ$29)</f>
        <v>0</v>
      </c>
      <c r="AB31" s="385">
        <f t="shared" si="35"/>
        <v>0</v>
      </c>
      <c r="AC31" s="385">
        <f t="shared" si="35"/>
        <v>0</v>
      </c>
      <c r="AD31" s="385">
        <f t="shared" si="35"/>
        <v>0</v>
      </c>
      <c r="AE31" s="385">
        <f t="shared" si="35"/>
        <v>0</v>
      </c>
      <c r="AF31" s="385">
        <f t="shared" si="35"/>
        <v>0</v>
      </c>
      <c r="AG31" s="385">
        <f t="shared" si="35"/>
        <v>0</v>
      </c>
      <c r="AH31" s="385">
        <f t="shared" si="35"/>
        <v>0</v>
      </c>
      <c r="AI31" s="385">
        <f t="shared" si="35"/>
        <v>0</v>
      </c>
      <c r="AJ31" s="101"/>
      <c r="AK31" s="187"/>
      <c r="AL31" s="100"/>
      <c r="AM31" s="385">
        <f>SUMPRODUCT($AL$22:$AV$22,$AL$29:$AV$29)</f>
        <v>0</v>
      </c>
      <c r="AN31" s="385">
        <f t="shared" ref="AN31:AU31" si="36">SUMPRODUCT($AL$22:$AV$22,$AL$29:$AV$29)</f>
        <v>0</v>
      </c>
      <c r="AO31" s="385">
        <f t="shared" si="36"/>
        <v>0</v>
      </c>
      <c r="AP31" s="385">
        <f t="shared" si="36"/>
        <v>0</v>
      </c>
      <c r="AQ31" s="385">
        <f t="shared" si="36"/>
        <v>0</v>
      </c>
      <c r="AR31" s="385">
        <f t="shared" si="36"/>
        <v>0</v>
      </c>
      <c r="AS31" s="385">
        <f t="shared" si="36"/>
        <v>0</v>
      </c>
      <c r="AT31" s="385">
        <f t="shared" si="36"/>
        <v>0</v>
      </c>
      <c r="AU31" s="385">
        <f t="shared" si="36"/>
        <v>0</v>
      </c>
      <c r="AV31" s="101"/>
      <c r="AW31" s="187"/>
      <c r="AX31" s="100"/>
      <c r="AY31" s="385">
        <f>SUMPRODUCT($AX$22:$BH$22,$AX$29:$BH$29)</f>
        <v>0</v>
      </c>
      <c r="AZ31" s="385">
        <f t="shared" ref="AZ31:BG31" si="37">SUMPRODUCT($AX$22:$BH$22,$AX$29:$BH$29)</f>
        <v>0</v>
      </c>
      <c r="BA31" s="385">
        <f t="shared" si="37"/>
        <v>0</v>
      </c>
      <c r="BB31" s="385">
        <f t="shared" si="37"/>
        <v>0</v>
      </c>
      <c r="BC31" s="385">
        <f t="shared" si="37"/>
        <v>0</v>
      </c>
      <c r="BD31" s="385">
        <f t="shared" si="37"/>
        <v>0</v>
      </c>
      <c r="BE31" s="385">
        <f t="shared" si="37"/>
        <v>0</v>
      </c>
      <c r="BF31" s="385">
        <f t="shared" si="37"/>
        <v>0</v>
      </c>
      <c r="BG31" s="385">
        <f t="shared" si="37"/>
        <v>0</v>
      </c>
      <c r="BH31" s="174"/>
    </row>
    <row r="32" spans="1:60">
      <c r="A32" s="1041"/>
      <c r="B32" s="1106" t="s">
        <v>111</v>
      </c>
      <c r="C32" s="1107" t="s">
        <v>104</v>
      </c>
      <c r="D32" s="638"/>
      <c r="E32" s="180" t="s">
        <v>129</v>
      </c>
      <c r="F32" s="180"/>
      <c r="G32" s="180"/>
      <c r="H32" s="181" t="s">
        <v>130</v>
      </c>
      <c r="I32" s="79"/>
      <c r="J32" s="187"/>
      <c r="K32" s="243"/>
      <c r="L32" s="243"/>
      <c r="M32" s="187"/>
      <c r="N32" s="89"/>
      <c r="O32" s="151" t="str">
        <f>IF('woningen|utiliteit'!L28="","",'woningen|utiliteit'!L28)</f>
        <v/>
      </c>
      <c r="P32" s="151" t="str">
        <f>IF('woningen|utiliteit'!M28="","",'woningen|utiliteit'!M28)</f>
        <v/>
      </c>
      <c r="Q32" s="151" t="str">
        <f>IF('woningen|utiliteit'!N28="","",'woningen|utiliteit'!N28)</f>
        <v/>
      </c>
      <c r="R32" s="151" t="str">
        <f>IF('woningen|utiliteit'!O28="","",'woningen|utiliteit'!O28)</f>
        <v/>
      </c>
      <c r="S32" s="151" t="str">
        <f>IF('woningen|utiliteit'!P28="","",'woningen|utiliteit'!P28)</f>
        <v/>
      </c>
      <c r="T32" s="151" t="str">
        <f>IF('woningen|utiliteit'!Q28="","",'woningen|utiliteit'!Q28)</f>
        <v/>
      </c>
      <c r="U32" s="151" t="str">
        <f>IF('woningen|utiliteit'!R28="","",'woningen|utiliteit'!R28)</f>
        <v/>
      </c>
      <c r="V32" s="151" t="str">
        <f>IF('woningen|utiliteit'!S28="","",'woningen|utiliteit'!S28)</f>
        <v/>
      </c>
      <c r="W32" s="151" t="str">
        <f>IF('woningen|utiliteit'!T28="","",'woningen|utiliteit'!T28)</f>
        <v/>
      </c>
      <c r="X32" s="98"/>
      <c r="Y32" s="187"/>
      <c r="Z32" s="89"/>
      <c r="AA32" s="151" t="str">
        <f>IF('woningen|utiliteit'!L44="","",'woningen|utiliteit'!L44)</f>
        <v/>
      </c>
      <c r="AB32" s="151" t="str">
        <f>IF('woningen|utiliteit'!M44="","",'woningen|utiliteit'!M44)</f>
        <v/>
      </c>
      <c r="AC32" s="151" t="str">
        <f>IF('woningen|utiliteit'!N44="","",'woningen|utiliteit'!N44)</f>
        <v/>
      </c>
      <c r="AD32" s="151" t="str">
        <f>IF('woningen|utiliteit'!O44="","",'woningen|utiliteit'!O44)</f>
        <v/>
      </c>
      <c r="AE32" s="151" t="str">
        <f>IF('woningen|utiliteit'!P44="","",'woningen|utiliteit'!P44)</f>
        <v/>
      </c>
      <c r="AF32" s="151" t="str">
        <f>IF('woningen|utiliteit'!Q44="","",'woningen|utiliteit'!Q44)</f>
        <v/>
      </c>
      <c r="AG32" s="151" t="str">
        <f>IF('woningen|utiliteit'!R44="","",'woningen|utiliteit'!R44)</f>
        <v/>
      </c>
      <c r="AH32" s="151" t="str">
        <f>IF('woningen|utiliteit'!S44="","",'woningen|utiliteit'!S44)</f>
        <v/>
      </c>
      <c r="AI32" s="151" t="str">
        <f>IF('woningen|utiliteit'!T44="","",'woningen|utiliteit'!T44)</f>
        <v/>
      </c>
      <c r="AJ32" s="98"/>
      <c r="AK32" s="187"/>
      <c r="AL32" s="89"/>
      <c r="AM32" s="151" t="str">
        <f>IF('woningen|utiliteit'!L60="","",'woningen|utiliteit'!L60)</f>
        <v/>
      </c>
      <c r="AN32" s="151" t="str">
        <f>IF('woningen|utiliteit'!M60="","",'woningen|utiliteit'!M60)</f>
        <v/>
      </c>
      <c r="AO32" s="151" t="str">
        <f>IF('woningen|utiliteit'!N60="","",'woningen|utiliteit'!N60)</f>
        <v/>
      </c>
      <c r="AP32" s="151" t="str">
        <f>IF('woningen|utiliteit'!O60="","",'woningen|utiliteit'!O60)</f>
        <v/>
      </c>
      <c r="AQ32" s="151" t="str">
        <f>IF('woningen|utiliteit'!P60="","",'woningen|utiliteit'!P60)</f>
        <v/>
      </c>
      <c r="AR32" s="151" t="str">
        <f>IF('woningen|utiliteit'!Q60="","",'woningen|utiliteit'!Q60)</f>
        <v/>
      </c>
      <c r="AS32" s="151" t="str">
        <f>IF('woningen|utiliteit'!R60="","",'woningen|utiliteit'!R60)</f>
        <v/>
      </c>
      <c r="AT32" s="151" t="str">
        <f>IF('woningen|utiliteit'!S60="","",'woningen|utiliteit'!S60)</f>
        <v/>
      </c>
      <c r="AU32" s="151" t="str">
        <f>IF('woningen|utiliteit'!T60="","",'woningen|utiliteit'!T60)</f>
        <v/>
      </c>
      <c r="AV32" s="98"/>
      <c r="AW32" s="187"/>
      <c r="AX32" s="89"/>
      <c r="AY32" s="151" t="str">
        <f>IF('woningen|utiliteit'!L76="","",'woningen|utiliteit'!L76)</f>
        <v/>
      </c>
      <c r="AZ32" s="151" t="str">
        <f>IF('woningen|utiliteit'!M76="","",'woningen|utiliteit'!M76)</f>
        <v/>
      </c>
      <c r="BA32" s="151" t="str">
        <f>IF('woningen|utiliteit'!N76="","",'woningen|utiliteit'!N76)</f>
        <v/>
      </c>
      <c r="BB32" s="151" t="str">
        <f>IF('woningen|utiliteit'!O76="","",'woningen|utiliteit'!O76)</f>
        <v/>
      </c>
      <c r="BC32" s="151" t="str">
        <f>IF('woningen|utiliteit'!P76="","",'woningen|utiliteit'!P76)</f>
        <v/>
      </c>
      <c r="BD32" s="151" t="str">
        <f>IF('woningen|utiliteit'!Q76="","",'woningen|utiliteit'!Q76)</f>
        <v/>
      </c>
      <c r="BE32" s="151" t="str">
        <f>IF('woningen|utiliteit'!R76="","",'woningen|utiliteit'!R76)</f>
        <v/>
      </c>
      <c r="BF32" s="151" t="str">
        <f>IF('woningen|utiliteit'!S76="","",'woningen|utiliteit'!S76)</f>
        <v/>
      </c>
      <c r="BG32" s="151" t="str">
        <f>IF('woningen|utiliteit'!T76="","",'woningen|utiliteit'!T76)</f>
        <v/>
      </c>
      <c r="BH32" s="174"/>
    </row>
    <row r="33" spans="1:60">
      <c r="A33" s="1041"/>
      <c r="B33" s="1106" t="s">
        <v>111</v>
      </c>
      <c r="C33" s="1107" t="s">
        <v>104</v>
      </c>
      <c r="D33" s="638"/>
      <c r="E33" s="180" t="s">
        <v>131</v>
      </c>
      <c r="F33" s="180"/>
      <c r="G33" s="180"/>
      <c r="H33" s="181" t="s">
        <v>130</v>
      </c>
      <c r="I33" s="79"/>
      <c r="J33" s="187"/>
      <c r="K33" s="243"/>
      <c r="L33" s="243"/>
      <c r="M33" s="187"/>
      <c r="N33" s="89"/>
      <c r="O33" s="151" t="str">
        <f>IF(O$17="","",HLOOKUP(O$17,woningen_gebouwen_gegevens,ROWS(bibliotheek!$E$20:$E$34),FALSE))</f>
        <v/>
      </c>
      <c r="P33" s="151" t="str">
        <f>IF(P$17="","",HLOOKUP(P$17,woningen_gebouwen_gegevens,ROWS(bibliotheek!$E$20:$E$34),FALSE))</f>
        <v/>
      </c>
      <c r="Q33" s="151" t="str">
        <f>IF(Q$17="","",HLOOKUP(Q$17,woningen_gebouwen_gegevens,ROWS(bibliotheek!$E$20:$E$34),FALSE))</f>
        <v/>
      </c>
      <c r="R33" s="151" t="str">
        <f>IF(R$17="","",HLOOKUP(R$17,woningen_gebouwen_gegevens,ROWS(bibliotheek!$E$20:$E$34),FALSE))</f>
        <v/>
      </c>
      <c r="S33" s="151" t="str">
        <f>IF(S$17="","",HLOOKUP(S$17,woningen_gebouwen_gegevens,ROWS(bibliotheek!$E$20:$E$34),FALSE))</f>
        <v/>
      </c>
      <c r="T33" s="151" t="str">
        <f>IF(T$17="","",HLOOKUP(T$17,woningen_gebouwen_gegevens,ROWS(bibliotheek!$E$20:$E$34),FALSE))</f>
        <v/>
      </c>
      <c r="U33" s="151" t="str">
        <f>IF(U$17="","",HLOOKUP(U$17,woningen_gebouwen_gegevens,ROWS(bibliotheek!$E$20:$E$34),FALSE))</f>
        <v/>
      </c>
      <c r="V33" s="151" t="str">
        <f>IF(V$17="","",HLOOKUP(V$17,woningen_gebouwen_gegevens,ROWS(bibliotheek!$E$20:$E$34),FALSE))</f>
        <v/>
      </c>
      <c r="W33" s="151" t="str">
        <f>IF(W$17="","",HLOOKUP(W$17,woningen_gebouwen_gegevens,ROWS(bibliotheek!$E$20:$E$34),FALSE))</f>
        <v/>
      </c>
      <c r="X33" s="98"/>
      <c r="Y33" s="187"/>
      <c r="Z33" s="89"/>
      <c r="AA33" s="151" t="str">
        <f>IF(AA$17="","",HLOOKUP(AA$17,woningen_gebouwen_gegevens,ROWS(bibliotheek!$E$20:$E$34),FALSE))</f>
        <v/>
      </c>
      <c r="AB33" s="151" t="str">
        <f>IF(AB$17="","",HLOOKUP(AB$17,woningen_gebouwen_gegevens,ROWS(bibliotheek!$E$20:$E$34),FALSE))</f>
        <v/>
      </c>
      <c r="AC33" s="151" t="str">
        <f>IF(AC$17="","",HLOOKUP(AC$17,woningen_gebouwen_gegevens,ROWS(bibliotheek!$E$20:$E$34),FALSE))</f>
        <v/>
      </c>
      <c r="AD33" s="151" t="str">
        <f>IF(AD$17="","",HLOOKUP(AD$17,woningen_gebouwen_gegevens,ROWS(bibliotheek!$E$20:$E$34),FALSE))</f>
        <v/>
      </c>
      <c r="AE33" s="151" t="str">
        <f>IF(AE$17="","",HLOOKUP(AE$17,woningen_gebouwen_gegevens,ROWS(bibliotheek!$E$20:$E$34),FALSE))</f>
        <v/>
      </c>
      <c r="AF33" s="151" t="str">
        <f>IF(AF$17="","",HLOOKUP(AF$17,woningen_gebouwen_gegevens,ROWS(bibliotheek!$E$20:$E$34),FALSE))</f>
        <v/>
      </c>
      <c r="AG33" s="151" t="str">
        <f>IF(AG$17="","",HLOOKUP(AG$17,woningen_gebouwen_gegevens,ROWS(bibliotheek!$E$20:$E$34),FALSE))</f>
        <v/>
      </c>
      <c r="AH33" s="151" t="str">
        <f>IF(AH$17="","",HLOOKUP(AH$17,woningen_gebouwen_gegevens,ROWS(bibliotheek!$E$20:$E$34),FALSE))</f>
        <v/>
      </c>
      <c r="AI33" s="151" t="str">
        <f>IF(AI$17="","",HLOOKUP(AI$17,woningen_gebouwen_gegevens,ROWS(bibliotheek!$E$20:$E$34),FALSE))</f>
        <v/>
      </c>
      <c r="AJ33" s="98"/>
      <c r="AK33" s="187"/>
      <c r="AL33" s="89"/>
      <c r="AM33" s="151" t="str">
        <f>IF(AM$17="","",HLOOKUP(AM$17,woningen_gebouwen_gegevens,ROWS(bibliotheek!$E$20:$E$34),FALSE))</f>
        <v/>
      </c>
      <c r="AN33" s="151" t="str">
        <f>IF(AN$17="","",HLOOKUP(AN$17,woningen_gebouwen_gegevens,ROWS(bibliotheek!$E$20:$E$34),FALSE))</f>
        <v/>
      </c>
      <c r="AO33" s="151" t="str">
        <f>IF(AO$17="","",HLOOKUP(AO$17,woningen_gebouwen_gegevens,ROWS(bibliotheek!$E$20:$E$34),FALSE))</f>
        <v/>
      </c>
      <c r="AP33" s="151" t="str">
        <f>IF(AP$17="","",HLOOKUP(AP$17,woningen_gebouwen_gegevens,ROWS(bibliotheek!$E$20:$E$34),FALSE))</f>
        <v/>
      </c>
      <c r="AQ33" s="151" t="str">
        <f>IF(AQ$17="","",HLOOKUP(AQ$17,woningen_gebouwen_gegevens,ROWS(bibliotheek!$E$20:$E$34),FALSE))</f>
        <v/>
      </c>
      <c r="AR33" s="151" t="str">
        <f>IF(AR$17="","",HLOOKUP(AR$17,woningen_gebouwen_gegevens,ROWS(bibliotheek!$E$20:$E$34),FALSE))</f>
        <v/>
      </c>
      <c r="AS33" s="151" t="str">
        <f>IF(AS$17="","",HLOOKUP(AS$17,woningen_gebouwen_gegevens,ROWS(bibliotheek!$E$20:$E$34),FALSE))</f>
        <v/>
      </c>
      <c r="AT33" s="151" t="str">
        <f>IF(AT$17="","",HLOOKUP(AT$17,woningen_gebouwen_gegevens,ROWS(bibliotheek!$E$20:$E$34),FALSE))</f>
        <v/>
      </c>
      <c r="AU33" s="151" t="str">
        <f>IF(AU$17="","",HLOOKUP(AU$17,woningen_gebouwen_gegevens,ROWS(bibliotheek!$E$20:$E$34),FALSE))</f>
        <v/>
      </c>
      <c r="AV33" s="98"/>
      <c r="AW33" s="187"/>
      <c r="AX33" s="89"/>
      <c r="AY33" s="151" t="str">
        <f>IF(AY$17="","",HLOOKUP(AY$17,woningen_gebouwen_gegevens,ROWS(bibliotheek!$E$20:$E$34),FALSE))</f>
        <v/>
      </c>
      <c r="AZ33" s="151" t="str">
        <f>IF(AZ$17="","",HLOOKUP(AZ$17,woningen_gebouwen_gegevens,ROWS(bibliotheek!$E$20:$E$34),FALSE))</f>
        <v/>
      </c>
      <c r="BA33" s="151" t="str">
        <f>IF(BA$17="","",HLOOKUP(BA$17,woningen_gebouwen_gegevens,ROWS(bibliotheek!$E$20:$E$34),FALSE))</f>
        <v/>
      </c>
      <c r="BB33" s="151" t="str">
        <f>IF(BB$17="","",HLOOKUP(BB$17,woningen_gebouwen_gegevens,ROWS(bibliotheek!$E$20:$E$34),FALSE))</f>
        <v/>
      </c>
      <c r="BC33" s="151" t="str">
        <f>IF(BC$17="","",HLOOKUP(BC$17,woningen_gebouwen_gegevens,ROWS(bibliotheek!$E$20:$E$34),FALSE))</f>
        <v/>
      </c>
      <c r="BD33" s="151" t="str">
        <f>IF(BD$17="","",HLOOKUP(BD$17,woningen_gebouwen_gegevens,ROWS(bibliotheek!$E$20:$E$34),FALSE))</f>
        <v/>
      </c>
      <c r="BE33" s="151" t="str">
        <f>IF(BE$17="","",HLOOKUP(BE$17,woningen_gebouwen_gegevens,ROWS(bibliotheek!$E$20:$E$34),FALSE))</f>
        <v/>
      </c>
      <c r="BF33" s="151" t="str">
        <f>IF(BF$17="","",HLOOKUP(BF$17,woningen_gebouwen_gegevens,ROWS(bibliotheek!$E$20:$E$34),FALSE))</f>
        <v/>
      </c>
      <c r="BG33" s="151" t="str">
        <f>IF(BG$17="","",HLOOKUP(BG$17,woningen_gebouwen_gegevens,ROWS(bibliotheek!$E$20:$E$34),FALSE))</f>
        <v/>
      </c>
      <c r="BH33" s="174"/>
    </row>
    <row r="34" spans="1:60">
      <c r="A34" s="1041"/>
      <c r="B34" s="1106" t="s">
        <v>111</v>
      </c>
      <c r="C34" s="1107" t="s">
        <v>104</v>
      </c>
      <c r="D34" s="638"/>
      <c r="E34" s="79"/>
      <c r="F34" s="79"/>
      <c r="G34" s="79"/>
      <c r="H34" s="85"/>
      <c r="I34" s="79"/>
      <c r="J34" s="82"/>
      <c r="K34" s="79"/>
      <c r="L34" s="79"/>
      <c r="M34" s="82"/>
      <c r="N34" s="82"/>
      <c r="O34" s="82"/>
      <c r="P34" s="82"/>
      <c r="Q34" s="82"/>
      <c r="R34" s="82"/>
      <c r="S34" s="82"/>
      <c r="T34" s="82"/>
      <c r="U34" s="82"/>
      <c r="V34" s="82"/>
      <c r="W34" s="82"/>
      <c r="X34" s="82"/>
      <c r="Y34" s="82"/>
      <c r="Z34" s="79"/>
      <c r="AA34" s="82"/>
      <c r="AB34" s="82"/>
      <c r="AC34" s="82"/>
      <c r="AD34" s="82"/>
      <c r="AE34" s="82"/>
      <c r="AF34" s="82"/>
      <c r="AG34" s="82"/>
      <c r="AH34" s="82"/>
      <c r="AI34" s="82"/>
      <c r="AJ34" s="82"/>
      <c r="AK34" s="82"/>
      <c r="AL34" s="79"/>
      <c r="AM34" s="82"/>
      <c r="AN34" s="82"/>
      <c r="AO34" s="82"/>
      <c r="AP34" s="82"/>
      <c r="AQ34" s="82"/>
      <c r="AR34" s="82"/>
      <c r="AS34" s="82"/>
      <c r="AT34" s="82"/>
      <c r="AU34" s="82"/>
      <c r="AV34" s="82"/>
      <c r="AW34" s="82"/>
      <c r="AX34" s="79"/>
      <c r="AY34" s="82"/>
      <c r="AZ34" s="82"/>
      <c r="BA34" s="82"/>
      <c r="BB34" s="82"/>
      <c r="BC34" s="82"/>
      <c r="BD34" s="82"/>
      <c r="BE34" s="82"/>
      <c r="BF34" s="82"/>
      <c r="BG34" s="82"/>
      <c r="BH34" s="1"/>
    </row>
    <row r="35" spans="1:60">
      <c r="A35" s="1041"/>
      <c r="B35" s="1109" t="s">
        <v>132</v>
      </c>
      <c r="C35" s="1107" t="s">
        <v>96</v>
      </c>
      <c r="D35" s="638"/>
      <c r="E35" s="79"/>
      <c r="F35" s="79"/>
      <c r="G35" s="79"/>
      <c r="H35" s="85"/>
      <c r="I35" s="79"/>
      <c r="J35" s="82"/>
      <c r="K35" s="79"/>
      <c r="L35" s="79"/>
      <c r="M35" s="82"/>
      <c r="N35" s="82"/>
      <c r="O35" s="82"/>
      <c r="P35" s="82"/>
      <c r="Q35" s="82"/>
      <c r="R35" s="82"/>
      <c r="S35" s="82"/>
      <c r="T35" s="82"/>
      <c r="U35" s="82"/>
      <c r="V35" s="82"/>
      <c r="W35" s="82"/>
      <c r="X35" s="82"/>
      <c r="Y35" s="82"/>
      <c r="Z35" s="79"/>
      <c r="AA35" s="82"/>
      <c r="AB35" s="82"/>
      <c r="AC35" s="82"/>
      <c r="AD35" s="82"/>
      <c r="AE35" s="82"/>
      <c r="AF35" s="82"/>
      <c r="AG35" s="82"/>
      <c r="AH35" s="82"/>
      <c r="AI35" s="82"/>
      <c r="AJ35" s="82"/>
      <c r="AK35" s="82"/>
      <c r="AL35" s="79"/>
      <c r="AM35" s="82"/>
      <c r="AN35" s="82"/>
      <c r="AO35" s="82"/>
      <c r="AP35" s="82"/>
      <c r="AQ35" s="82"/>
      <c r="AR35" s="82"/>
      <c r="AS35" s="82"/>
      <c r="AT35" s="82"/>
      <c r="AU35" s="82"/>
      <c r="AV35" s="82"/>
      <c r="AW35" s="82"/>
      <c r="AX35" s="79"/>
      <c r="AY35" s="82"/>
      <c r="AZ35" s="82"/>
      <c r="BA35" s="82"/>
      <c r="BB35" s="82"/>
      <c r="BC35" s="82"/>
      <c r="BD35" s="82"/>
      <c r="BE35" s="82"/>
      <c r="BF35" s="82"/>
      <c r="BG35" s="82"/>
      <c r="BH35" s="1"/>
    </row>
    <row r="36" spans="1:60" s="2" customFormat="1" ht="21">
      <c r="A36" s="1042"/>
      <c r="B36" s="1109" t="s">
        <v>132</v>
      </c>
      <c r="C36" s="1106" t="s">
        <v>96</v>
      </c>
      <c r="D36" s="640"/>
      <c r="E36" s="209" t="s">
        <v>133</v>
      </c>
      <c r="F36" s="209"/>
      <c r="G36" s="209"/>
      <c r="H36" s="209"/>
      <c r="I36" s="129"/>
      <c r="J36" s="257" t="str">
        <f>J$8</f>
        <v>alle locaties</v>
      </c>
      <c r="K36" s="126"/>
      <c r="L36" s="126"/>
      <c r="M36" s="257" t="str">
        <f>M$8</f>
        <v>locatie 1</v>
      </c>
      <c r="N36" s="193"/>
      <c r="O36" s="955" t="str">
        <f>$E36&amp;" per woning-/gebouwtype"</f>
        <v>energiemaatregelen met effect op energiebehoefte per woning-/gebouwtype</v>
      </c>
      <c r="P36" s="945"/>
      <c r="Q36" s="945"/>
      <c r="R36" s="945"/>
      <c r="S36" s="945"/>
      <c r="T36" s="945"/>
      <c r="U36" s="945"/>
      <c r="V36" s="945"/>
      <c r="W36" s="257"/>
      <c r="X36" s="174"/>
      <c r="Y36" s="257" t="str">
        <f>Y$10</f>
        <v>locatie 2</v>
      </c>
      <c r="Z36" s="193"/>
      <c r="AA36" s="955" t="str">
        <f>$E36&amp;" per woning-/gebouwtype"</f>
        <v>energiemaatregelen met effect op energiebehoefte per woning-/gebouwtype</v>
      </c>
      <c r="AB36" s="945"/>
      <c r="AC36" s="945"/>
      <c r="AD36" s="945"/>
      <c r="AE36" s="945"/>
      <c r="AF36" s="945"/>
      <c r="AG36" s="945"/>
      <c r="AH36" s="945"/>
      <c r="AI36" s="257"/>
      <c r="AJ36" s="174"/>
      <c r="AK36" s="257" t="str">
        <f>AK$10</f>
        <v>locatie 3</v>
      </c>
      <c r="AL36" s="193"/>
      <c r="AM36" s="955" t="str">
        <f>$E36&amp;" per woning-/gebouwtype"</f>
        <v>energiemaatregelen met effect op energiebehoefte per woning-/gebouwtype</v>
      </c>
      <c r="AN36" s="945"/>
      <c r="AO36" s="945"/>
      <c r="AP36" s="945"/>
      <c r="AQ36" s="945"/>
      <c r="AR36" s="945"/>
      <c r="AS36" s="945"/>
      <c r="AT36" s="945"/>
      <c r="AU36" s="257"/>
      <c r="AV36" s="174"/>
      <c r="AW36" s="257" t="str">
        <f>AW$10</f>
        <v>locatie 4</v>
      </c>
      <c r="AX36" s="193"/>
      <c r="AY36" s="955" t="str">
        <f>$E36&amp;" per woning-/gebouwtype"</f>
        <v>energiemaatregelen met effect op energiebehoefte per woning-/gebouwtype</v>
      </c>
      <c r="AZ36" s="945"/>
      <c r="BA36" s="945"/>
      <c r="BB36" s="945"/>
      <c r="BC36" s="945"/>
      <c r="BD36" s="945"/>
      <c r="BE36" s="945"/>
      <c r="BF36" s="945"/>
      <c r="BG36" s="257"/>
      <c r="BH36" s="1"/>
    </row>
    <row r="37" spans="1:60">
      <c r="A37" s="1041"/>
      <c r="B37" s="1109" t="s">
        <v>132</v>
      </c>
      <c r="C37" s="1107" t="s">
        <v>118</v>
      </c>
      <c r="D37" s="638"/>
      <c r="E37" s="942" t="s">
        <v>134</v>
      </c>
      <c r="F37" s="942"/>
      <c r="G37" s="942"/>
      <c r="H37" s="942"/>
      <c r="I37" s="129"/>
      <c r="J37" s="943"/>
      <c r="K37" s="126"/>
      <c r="L37" s="126"/>
      <c r="M37" s="944"/>
      <c r="N37" s="195"/>
      <c r="O37" s="258" t="str">
        <f>O$17</f>
        <v/>
      </c>
      <c r="P37" s="258" t="str">
        <f t="shared" ref="P37:W37" si="38">P$17</f>
        <v/>
      </c>
      <c r="Q37" s="258" t="str">
        <f t="shared" si="38"/>
        <v/>
      </c>
      <c r="R37" s="258" t="str">
        <f t="shared" si="38"/>
        <v/>
      </c>
      <c r="S37" s="258" t="str">
        <f t="shared" si="38"/>
        <v/>
      </c>
      <c r="T37" s="258" t="str">
        <f t="shared" si="38"/>
        <v/>
      </c>
      <c r="U37" s="258" t="str">
        <f t="shared" si="38"/>
        <v/>
      </c>
      <c r="V37" s="258" t="str">
        <f t="shared" si="38"/>
        <v/>
      </c>
      <c r="W37" s="258" t="str">
        <f t="shared" si="38"/>
        <v/>
      </c>
      <c r="X37" s="195"/>
      <c r="Y37" s="944"/>
      <c r="Z37" s="195"/>
      <c r="AA37" s="258" t="str">
        <f>AA$17</f>
        <v/>
      </c>
      <c r="AB37" s="258" t="str">
        <f t="shared" ref="AB37:AI37" si="39">AB$17</f>
        <v/>
      </c>
      <c r="AC37" s="258" t="str">
        <f t="shared" si="39"/>
        <v/>
      </c>
      <c r="AD37" s="258" t="str">
        <f t="shared" si="39"/>
        <v/>
      </c>
      <c r="AE37" s="258" t="str">
        <f t="shared" si="39"/>
        <v/>
      </c>
      <c r="AF37" s="258" t="str">
        <f t="shared" si="39"/>
        <v/>
      </c>
      <c r="AG37" s="258" t="str">
        <f t="shared" si="39"/>
        <v/>
      </c>
      <c r="AH37" s="258" t="str">
        <f t="shared" si="39"/>
        <v/>
      </c>
      <c r="AI37" s="258" t="str">
        <f t="shared" si="39"/>
        <v/>
      </c>
      <c r="AJ37" s="195"/>
      <c r="AK37" s="944"/>
      <c r="AL37" s="195"/>
      <c r="AM37" s="258" t="str">
        <f>AM$17</f>
        <v/>
      </c>
      <c r="AN37" s="258" t="str">
        <f t="shared" ref="AN37:AU37" si="40">AN$17</f>
        <v/>
      </c>
      <c r="AO37" s="258" t="str">
        <f t="shared" si="40"/>
        <v/>
      </c>
      <c r="AP37" s="258" t="str">
        <f t="shared" si="40"/>
        <v/>
      </c>
      <c r="AQ37" s="258" t="str">
        <f t="shared" si="40"/>
        <v/>
      </c>
      <c r="AR37" s="258" t="str">
        <f t="shared" si="40"/>
        <v/>
      </c>
      <c r="AS37" s="258" t="str">
        <f t="shared" si="40"/>
        <v/>
      </c>
      <c r="AT37" s="258" t="str">
        <f t="shared" si="40"/>
        <v/>
      </c>
      <c r="AU37" s="258" t="str">
        <f t="shared" si="40"/>
        <v/>
      </c>
      <c r="AV37" s="195"/>
      <c r="AW37" s="944"/>
      <c r="AX37" s="195"/>
      <c r="AY37" s="258" t="str">
        <f>AY$17</f>
        <v/>
      </c>
      <c r="AZ37" s="258" t="str">
        <f t="shared" ref="AZ37:BG37" si="41">AZ$17</f>
        <v/>
      </c>
      <c r="BA37" s="258" t="str">
        <f t="shared" si="41"/>
        <v/>
      </c>
      <c r="BB37" s="258" t="str">
        <f t="shared" si="41"/>
        <v/>
      </c>
      <c r="BC37" s="258" t="str">
        <f t="shared" si="41"/>
        <v/>
      </c>
      <c r="BD37" s="258" t="str">
        <f t="shared" si="41"/>
        <v/>
      </c>
      <c r="BE37" s="258" t="str">
        <f t="shared" si="41"/>
        <v/>
      </c>
      <c r="BF37" s="258" t="str">
        <f t="shared" si="41"/>
        <v/>
      </c>
      <c r="BG37" s="258" t="str">
        <f t="shared" si="41"/>
        <v/>
      </c>
      <c r="BH37" s="36"/>
    </row>
    <row r="38" spans="1:60" s="2" customFormat="1">
      <c r="A38" s="1042"/>
      <c r="B38" s="1110" t="s">
        <v>132</v>
      </c>
      <c r="C38" s="1106" t="s">
        <v>118</v>
      </c>
      <c r="D38" s="645" t="s">
        <v>45</v>
      </c>
      <c r="E38" s="254" t="s">
        <v>135</v>
      </c>
      <c r="F38" s="254"/>
      <c r="G38" s="254"/>
      <c r="H38" s="181" t="s">
        <v>65</v>
      </c>
      <c r="I38" s="171"/>
      <c r="J38" s="1124"/>
      <c r="K38" s="79"/>
      <c r="L38" s="79"/>
      <c r="M38" s="554"/>
      <c r="N38" s="1120"/>
      <c r="O38" s="151" t="str">
        <f t="shared" ref="O38:W38" si="42">IF(O$17="","",IF(AND(O39&lt;&gt;"",
ISERROR(MATCH(O39,isolatiepakketten_gebouwschil_namen,0))=FALSE),O39,
INDEX(referentiepakketten_bij_gebouwen,MATCH(O$17,woningen_gebouwen_namen,0))))</f>
        <v/>
      </c>
      <c r="P38" s="151" t="str">
        <f t="shared" si="42"/>
        <v/>
      </c>
      <c r="Q38" s="151" t="str">
        <f t="shared" si="42"/>
        <v/>
      </c>
      <c r="R38" s="151" t="str">
        <f t="shared" si="42"/>
        <v/>
      </c>
      <c r="S38" s="151" t="str">
        <f t="shared" si="42"/>
        <v/>
      </c>
      <c r="T38" s="151" t="str">
        <f t="shared" si="42"/>
        <v/>
      </c>
      <c r="U38" s="151" t="str">
        <f t="shared" si="42"/>
        <v/>
      </c>
      <c r="V38" s="151" t="str">
        <f t="shared" si="42"/>
        <v/>
      </c>
      <c r="W38" s="151" t="str">
        <f t="shared" si="42"/>
        <v/>
      </c>
      <c r="X38" s="1120"/>
      <c r="Y38" s="554"/>
      <c r="Z38" s="1120"/>
      <c r="AA38" s="151" t="str">
        <f t="shared" ref="AA38:AI38" si="43">IF(AA$17="","",IF(AND(AA39&lt;&gt;"",
ISERROR(MATCH(AA39,isolatiepakketten_gebouwschil_namen,0))=FALSE),AA39,
INDEX(referentiepakketten_bij_gebouwen,MATCH(AA$17,woningen_gebouwen_namen,0))))</f>
        <v/>
      </c>
      <c r="AB38" s="151" t="str">
        <f t="shared" si="43"/>
        <v/>
      </c>
      <c r="AC38" s="151" t="str">
        <f t="shared" si="43"/>
        <v/>
      </c>
      <c r="AD38" s="151" t="str">
        <f t="shared" si="43"/>
        <v/>
      </c>
      <c r="AE38" s="151" t="str">
        <f t="shared" si="43"/>
        <v/>
      </c>
      <c r="AF38" s="151" t="str">
        <f t="shared" si="43"/>
        <v/>
      </c>
      <c r="AG38" s="151" t="str">
        <f t="shared" si="43"/>
        <v/>
      </c>
      <c r="AH38" s="151" t="str">
        <f t="shared" si="43"/>
        <v/>
      </c>
      <c r="AI38" s="151" t="str">
        <f t="shared" si="43"/>
        <v/>
      </c>
      <c r="AJ38" s="1120"/>
      <c r="AK38" s="554"/>
      <c r="AL38" s="195"/>
      <c r="AM38" s="151" t="str">
        <f t="shared" ref="AM38:AU38" si="44">IF(AM$17="","",IF(AND(AM39&lt;&gt;"",
ISERROR(MATCH(AM39,isolatiepakketten_gebouwschil_namen,0))=FALSE),AM39,
INDEX(referentiepakketten_bij_gebouwen,MATCH(AM$17,woningen_gebouwen_namen,0))))</f>
        <v/>
      </c>
      <c r="AN38" s="151" t="str">
        <f t="shared" si="44"/>
        <v/>
      </c>
      <c r="AO38" s="151" t="str">
        <f t="shared" si="44"/>
        <v/>
      </c>
      <c r="AP38" s="151" t="str">
        <f t="shared" si="44"/>
        <v/>
      </c>
      <c r="AQ38" s="151" t="str">
        <f t="shared" si="44"/>
        <v/>
      </c>
      <c r="AR38" s="151" t="str">
        <f t="shared" si="44"/>
        <v/>
      </c>
      <c r="AS38" s="151" t="str">
        <f t="shared" si="44"/>
        <v/>
      </c>
      <c r="AT38" s="151" t="str">
        <f t="shared" si="44"/>
        <v/>
      </c>
      <c r="AU38" s="151" t="str">
        <f t="shared" si="44"/>
        <v/>
      </c>
      <c r="AV38" s="195"/>
      <c r="AW38" s="554"/>
      <c r="AX38" s="195"/>
      <c r="AY38" s="151" t="str">
        <f t="shared" ref="AY38:BG38" si="45">IF(AY$17="","",IF(AND(AY39&lt;&gt;"",
ISERROR(MATCH(AY39,isolatiepakketten_gebouwschil_namen,0))=FALSE),AY39,
INDEX(referentiepakketten_bij_gebouwen,MATCH(AY$17,woningen_gebouwen_namen,0))))</f>
        <v/>
      </c>
      <c r="AZ38" s="151" t="str">
        <f t="shared" si="45"/>
        <v/>
      </c>
      <c r="BA38" s="151" t="str">
        <f t="shared" si="45"/>
        <v/>
      </c>
      <c r="BB38" s="151" t="str">
        <f t="shared" si="45"/>
        <v/>
      </c>
      <c r="BC38" s="151" t="str">
        <f t="shared" si="45"/>
        <v/>
      </c>
      <c r="BD38" s="151" t="str">
        <f t="shared" si="45"/>
        <v/>
      </c>
      <c r="BE38" s="151" t="str">
        <f t="shared" si="45"/>
        <v/>
      </c>
      <c r="BF38" s="151" t="str">
        <f t="shared" si="45"/>
        <v/>
      </c>
      <c r="BG38" s="151" t="str">
        <f t="shared" si="45"/>
        <v/>
      </c>
      <c r="BH38" s="215"/>
    </row>
    <row r="39" spans="1:60">
      <c r="A39" s="1041"/>
      <c r="B39" s="1109" t="s">
        <v>132</v>
      </c>
      <c r="C39" s="1106" t="s">
        <v>118</v>
      </c>
      <c r="D39" s="638"/>
      <c r="E39" s="1218" t="s">
        <v>951</v>
      </c>
      <c r="F39" s="236"/>
      <c r="G39" s="236"/>
      <c r="H39" s="150" t="s">
        <v>65</v>
      </c>
      <c r="I39" s="171"/>
      <c r="J39" s="616"/>
      <c r="K39" s="79"/>
      <c r="L39" s="79"/>
      <c r="M39" s="184"/>
      <c r="N39" s="195"/>
      <c r="O39" s="871"/>
      <c r="P39" s="871"/>
      <c r="Q39" s="871"/>
      <c r="R39" s="871"/>
      <c r="S39" s="871"/>
      <c r="T39" s="871"/>
      <c r="U39" s="871"/>
      <c r="V39" s="871"/>
      <c r="W39" s="871"/>
      <c r="X39" s="195"/>
      <c r="Y39" s="184"/>
      <c r="Z39" s="195"/>
      <c r="AA39" s="871"/>
      <c r="AB39" s="871"/>
      <c r="AC39" s="871"/>
      <c r="AD39" s="871"/>
      <c r="AE39" s="871"/>
      <c r="AF39" s="871"/>
      <c r="AG39" s="871"/>
      <c r="AH39" s="871"/>
      <c r="AI39" s="871"/>
      <c r="AJ39" s="195"/>
      <c r="AK39" s="184"/>
      <c r="AL39" s="195"/>
      <c r="AM39" s="871"/>
      <c r="AN39" s="871"/>
      <c r="AO39" s="871"/>
      <c r="AP39" s="871"/>
      <c r="AQ39" s="871"/>
      <c r="AR39" s="871"/>
      <c r="AS39" s="871"/>
      <c r="AT39" s="871"/>
      <c r="AU39" s="871"/>
      <c r="AV39" s="195"/>
      <c r="AW39" s="184"/>
      <c r="AX39" s="195"/>
      <c r="AY39" s="871"/>
      <c r="AZ39" s="871"/>
      <c r="BA39" s="871"/>
      <c r="BB39" s="871"/>
      <c r="BC39" s="871"/>
      <c r="BD39" s="871"/>
      <c r="BE39" s="871"/>
      <c r="BF39" s="871"/>
      <c r="BG39" s="871"/>
      <c r="BH39" s="215"/>
    </row>
    <row r="40" spans="1:60" s="36" customFormat="1" ht="17.25" customHeight="1">
      <c r="A40" s="1043"/>
      <c r="B40" s="1109" t="s">
        <v>132</v>
      </c>
      <c r="C40" s="1107" t="s">
        <v>118</v>
      </c>
      <c r="D40" s="642"/>
      <c r="E40" s="1266" t="s">
        <v>1291</v>
      </c>
      <c r="F40" s="1266"/>
      <c r="G40" s="1266"/>
      <c r="H40" s="150" t="s">
        <v>65</v>
      </c>
      <c r="I40" s="102"/>
      <c r="J40" s="616"/>
      <c r="K40" s="86"/>
      <c r="L40" s="86"/>
      <c r="M40" s="184"/>
      <c r="N40" s="88"/>
      <c r="O40" s="738" t="s">
        <v>1294</v>
      </c>
      <c r="P40" s="738" t="s">
        <v>1294</v>
      </c>
      <c r="Q40" s="738" t="s">
        <v>1294</v>
      </c>
      <c r="R40" s="738" t="s">
        <v>1294</v>
      </c>
      <c r="S40" s="738" t="s">
        <v>1294</v>
      </c>
      <c r="T40" s="738" t="s">
        <v>1294</v>
      </c>
      <c r="U40" s="738" t="s">
        <v>1294</v>
      </c>
      <c r="V40" s="738" t="s">
        <v>1294</v>
      </c>
      <c r="W40" s="738" t="s">
        <v>1294</v>
      </c>
      <c r="X40" s="659"/>
      <c r="Y40" s="184"/>
      <c r="Z40" s="660"/>
      <c r="AA40" s="738" t="s">
        <v>1294</v>
      </c>
      <c r="AB40" s="738" t="s">
        <v>1294</v>
      </c>
      <c r="AC40" s="738" t="s">
        <v>1294</v>
      </c>
      <c r="AD40" s="738" t="s">
        <v>1294</v>
      </c>
      <c r="AE40" s="738" t="s">
        <v>1294</v>
      </c>
      <c r="AF40" s="738" t="s">
        <v>1294</v>
      </c>
      <c r="AG40" s="738" t="s">
        <v>1294</v>
      </c>
      <c r="AH40" s="738" t="s">
        <v>1294</v>
      </c>
      <c r="AI40" s="738" t="s">
        <v>1294</v>
      </c>
      <c r="AJ40" s="659"/>
      <c r="AK40" s="184"/>
      <c r="AL40" s="661"/>
      <c r="AM40" s="738" t="s">
        <v>1294</v>
      </c>
      <c r="AN40" s="738" t="s">
        <v>1294</v>
      </c>
      <c r="AO40" s="738" t="s">
        <v>1294</v>
      </c>
      <c r="AP40" s="738" t="s">
        <v>1294</v>
      </c>
      <c r="AQ40" s="738" t="s">
        <v>1294</v>
      </c>
      <c r="AR40" s="738" t="s">
        <v>1294</v>
      </c>
      <c r="AS40" s="738" t="s">
        <v>1294</v>
      </c>
      <c r="AT40" s="738" t="s">
        <v>1294</v>
      </c>
      <c r="AU40" s="738" t="s">
        <v>1294</v>
      </c>
      <c r="AV40" s="659"/>
      <c r="AW40" s="184"/>
      <c r="AX40" s="661"/>
      <c r="AY40" s="738" t="s">
        <v>1294</v>
      </c>
      <c r="AZ40" s="738" t="s">
        <v>1294</v>
      </c>
      <c r="BA40" s="738" t="s">
        <v>1294</v>
      </c>
      <c r="BB40" s="738" t="s">
        <v>1294</v>
      </c>
      <c r="BC40" s="738" t="s">
        <v>1294</v>
      </c>
      <c r="BD40" s="738" t="s">
        <v>1294</v>
      </c>
      <c r="BE40" s="738" t="s">
        <v>1294</v>
      </c>
      <c r="BF40" s="738" t="s">
        <v>1294</v>
      </c>
      <c r="BG40" s="738" t="s">
        <v>1294</v>
      </c>
      <c r="BH40" s="217"/>
    </row>
    <row r="41" spans="1:60" ht="25.5">
      <c r="A41" s="1043"/>
      <c r="B41" s="1109" t="s">
        <v>132</v>
      </c>
      <c r="C41" s="1106" t="s">
        <v>118</v>
      </c>
      <c r="D41" s="642"/>
      <c r="E41" s="149" t="s">
        <v>137</v>
      </c>
      <c r="F41" s="149"/>
      <c r="G41" s="149"/>
      <c r="H41" s="150" t="s">
        <v>65</v>
      </c>
      <c r="I41" s="102"/>
      <c r="J41" s="184"/>
      <c r="K41" s="86"/>
      <c r="L41" s="86"/>
      <c r="M41" s="184"/>
      <c r="N41" s="88"/>
      <c r="O41" s="738" t="s">
        <v>138</v>
      </c>
      <c r="P41" s="738" t="s">
        <v>138</v>
      </c>
      <c r="Q41" s="738" t="s">
        <v>138</v>
      </c>
      <c r="R41" s="738" t="s">
        <v>138</v>
      </c>
      <c r="S41" s="738" t="s">
        <v>138</v>
      </c>
      <c r="T41" s="738" t="s">
        <v>138</v>
      </c>
      <c r="U41" s="738" t="s">
        <v>138</v>
      </c>
      <c r="V41" s="738" t="s">
        <v>138</v>
      </c>
      <c r="W41" s="738" t="s">
        <v>138</v>
      </c>
      <c r="X41" s="659"/>
      <c r="Y41" s="184"/>
      <c r="Z41" s="195"/>
      <c r="AA41" s="738" t="s">
        <v>138</v>
      </c>
      <c r="AB41" s="738" t="s">
        <v>138</v>
      </c>
      <c r="AC41" s="738" t="s">
        <v>138</v>
      </c>
      <c r="AD41" s="738" t="s">
        <v>138</v>
      </c>
      <c r="AE41" s="738" t="s">
        <v>138</v>
      </c>
      <c r="AF41" s="738" t="s">
        <v>138</v>
      </c>
      <c r="AG41" s="738" t="s">
        <v>138</v>
      </c>
      <c r="AH41" s="738" t="s">
        <v>138</v>
      </c>
      <c r="AI41" s="738" t="s">
        <v>138</v>
      </c>
      <c r="AJ41" s="659"/>
      <c r="AK41" s="184"/>
      <c r="AL41" s="661"/>
      <c r="AM41" s="738" t="s">
        <v>138</v>
      </c>
      <c r="AN41" s="738" t="s">
        <v>138</v>
      </c>
      <c r="AO41" s="738" t="s">
        <v>138</v>
      </c>
      <c r="AP41" s="738" t="s">
        <v>138</v>
      </c>
      <c r="AQ41" s="738" t="s">
        <v>138</v>
      </c>
      <c r="AR41" s="738" t="s">
        <v>138</v>
      </c>
      <c r="AS41" s="738" t="s">
        <v>138</v>
      </c>
      <c r="AT41" s="738" t="s">
        <v>138</v>
      </c>
      <c r="AU41" s="738" t="s">
        <v>138</v>
      </c>
      <c r="AV41" s="659"/>
      <c r="AW41" s="184"/>
      <c r="AX41" s="661"/>
      <c r="AY41" s="738" t="s">
        <v>138</v>
      </c>
      <c r="AZ41" s="738" t="s">
        <v>138</v>
      </c>
      <c r="BA41" s="738" t="s">
        <v>138</v>
      </c>
      <c r="BB41" s="738" t="s">
        <v>138</v>
      </c>
      <c r="BC41" s="738" t="s">
        <v>138</v>
      </c>
      <c r="BD41" s="738" t="s">
        <v>138</v>
      </c>
      <c r="BE41" s="738" t="s">
        <v>138</v>
      </c>
      <c r="BF41" s="738" t="s">
        <v>138</v>
      </c>
      <c r="BG41" s="738" t="s">
        <v>138</v>
      </c>
      <c r="BH41" s="217"/>
    </row>
    <row r="42" spans="1:60">
      <c r="A42" s="1043"/>
      <c r="B42" s="1109" t="s">
        <v>132</v>
      </c>
      <c r="C42" s="1106" t="s">
        <v>118</v>
      </c>
      <c r="D42" s="642"/>
      <c r="E42" s="149" t="s">
        <v>1126</v>
      </c>
      <c r="F42" s="149"/>
      <c r="G42" s="149"/>
      <c r="H42" s="150" t="s">
        <v>65</v>
      </c>
      <c r="I42" s="102"/>
      <c r="J42" s="184"/>
      <c r="K42" s="86"/>
      <c r="L42" s="86"/>
      <c r="M42" s="184"/>
      <c r="N42" s="88"/>
      <c r="O42" s="738" t="s">
        <v>166</v>
      </c>
      <c r="P42" s="738" t="s">
        <v>166</v>
      </c>
      <c r="Q42" s="738" t="s">
        <v>166</v>
      </c>
      <c r="R42" s="738" t="s">
        <v>166</v>
      </c>
      <c r="S42" s="738" t="s">
        <v>166</v>
      </c>
      <c r="T42" s="738" t="s">
        <v>166</v>
      </c>
      <c r="U42" s="738" t="s">
        <v>166</v>
      </c>
      <c r="V42" s="738" t="s">
        <v>166</v>
      </c>
      <c r="W42" s="738" t="s">
        <v>166</v>
      </c>
      <c r="X42" s="659"/>
      <c r="Y42" s="184"/>
      <c r="Z42" s="195"/>
      <c r="AA42" s="738" t="s">
        <v>166</v>
      </c>
      <c r="AB42" s="738" t="s">
        <v>166</v>
      </c>
      <c r="AC42" s="738" t="s">
        <v>166</v>
      </c>
      <c r="AD42" s="738" t="s">
        <v>166</v>
      </c>
      <c r="AE42" s="738" t="s">
        <v>166</v>
      </c>
      <c r="AF42" s="738" t="s">
        <v>166</v>
      </c>
      <c r="AG42" s="738" t="s">
        <v>166</v>
      </c>
      <c r="AH42" s="738" t="s">
        <v>166</v>
      </c>
      <c r="AI42" s="738" t="s">
        <v>166</v>
      </c>
      <c r="AJ42" s="659"/>
      <c r="AK42" s="184"/>
      <c r="AL42" s="661"/>
      <c r="AM42" s="738" t="s">
        <v>166</v>
      </c>
      <c r="AN42" s="738" t="s">
        <v>166</v>
      </c>
      <c r="AO42" s="738" t="s">
        <v>166</v>
      </c>
      <c r="AP42" s="738" t="s">
        <v>166</v>
      </c>
      <c r="AQ42" s="738" t="s">
        <v>166</v>
      </c>
      <c r="AR42" s="738" t="s">
        <v>166</v>
      </c>
      <c r="AS42" s="738" t="s">
        <v>166</v>
      </c>
      <c r="AT42" s="738" t="s">
        <v>166</v>
      </c>
      <c r="AU42" s="738" t="s">
        <v>166</v>
      </c>
      <c r="AV42" s="659"/>
      <c r="AW42" s="184"/>
      <c r="AX42" s="661"/>
      <c r="AY42" s="738" t="s">
        <v>166</v>
      </c>
      <c r="AZ42" s="738" t="s">
        <v>166</v>
      </c>
      <c r="BA42" s="738" t="s">
        <v>166</v>
      </c>
      <c r="BB42" s="738" t="s">
        <v>166</v>
      </c>
      <c r="BC42" s="738" t="s">
        <v>166</v>
      </c>
      <c r="BD42" s="738" t="s">
        <v>166</v>
      </c>
      <c r="BE42" s="738" t="s">
        <v>166</v>
      </c>
      <c r="BF42" s="738" t="s">
        <v>166</v>
      </c>
      <c r="BG42" s="738" t="s">
        <v>166</v>
      </c>
      <c r="BH42" s="217"/>
    </row>
    <row r="43" spans="1:60" s="2" customFormat="1" hidden="1">
      <c r="A43" s="1044"/>
      <c r="B43" s="1110" t="s">
        <v>132</v>
      </c>
      <c r="C43" s="1106" t="s">
        <v>181</v>
      </c>
      <c r="D43" s="639"/>
      <c r="E43" s="255" t="s">
        <v>1304</v>
      </c>
      <c r="F43" s="180"/>
      <c r="G43" s="180"/>
      <c r="H43" s="181" t="s">
        <v>65</v>
      </c>
      <c r="I43" s="171"/>
      <c r="J43" s="554"/>
      <c r="K43" s="79"/>
      <c r="L43" s="79"/>
      <c r="M43" s="554"/>
      <c r="N43" s="89"/>
      <c r="O43" s="1182"/>
      <c r="P43" s="1182"/>
      <c r="Q43" s="1182"/>
      <c r="R43" s="1182"/>
      <c r="S43" s="1182"/>
      <c r="T43" s="1182"/>
      <c r="U43" s="1182"/>
      <c r="V43" s="1182"/>
      <c r="W43" s="1182"/>
      <c r="X43" s="658"/>
      <c r="Y43" s="554"/>
      <c r="Z43" s="1120"/>
      <c r="AA43" s="1182"/>
      <c r="AB43" s="1182"/>
      <c r="AC43" s="1182"/>
      <c r="AD43" s="1182"/>
      <c r="AE43" s="1182"/>
      <c r="AF43" s="1182"/>
      <c r="AG43" s="1182"/>
      <c r="AH43" s="1182"/>
      <c r="AI43" s="1182"/>
      <c r="AJ43" s="658"/>
      <c r="AK43" s="554"/>
      <c r="AL43" s="662"/>
      <c r="AM43" s="1182"/>
      <c r="AN43" s="1182"/>
      <c r="AO43" s="1182"/>
      <c r="AP43" s="1182"/>
      <c r="AQ43" s="1182"/>
      <c r="AR43" s="1182"/>
      <c r="AS43" s="1182"/>
      <c r="AT43" s="1182"/>
      <c r="AU43" s="1182"/>
      <c r="AV43" s="658"/>
      <c r="AW43" s="554"/>
      <c r="AX43" s="662"/>
      <c r="AY43" s="1182"/>
      <c r="AZ43" s="1182"/>
      <c r="BA43" s="1182"/>
      <c r="BB43" s="1182"/>
      <c r="BC43" s="1182"/>
      <c r="BD43" s="1182"/>
      <c r="BE43" s="1182"/>
      <c r="BF43" s="1182"/>
      <c r="BG43" s="1182"/>
      <c r="BH43" s="216"/>
    </row>
    <row r="44" spans="1:60" s="2" customFormat="1">
      <c r="A44" s="1044"/>
      <c r="B44" s="1110" t="s">
        <v>132</v>
      </c>
      <c r="C44" s="1106" t="s">
        <v>118</v>
      </c>
      <c r="D44" s="645" t="s">
        <v>45</v>
      </c>
      <c r="E44" s="1220" t="s">
        <v>1378</v>
      </c>
      <c r="F44" s="180"/>
      <c r="G44" s="180"/>
      <c r="H44" s="181" t="s">
        <v>1165</v>
      </c>
      <c r="I44" s="171"/>
      <c r="J44" s="554"/>
      <c r="K44" s="79"/>
      <c r="L44" s="79"/>
      <c r="M44" s="554"/>
      <c r="N44" s="89"/>
      <c r="O44" s="739">
        <v>1</v>
      </c>
      <c r="P44" s="739">
        <v>1</v>
      </c>
      <c r="Q44" s="739">
        <v>1</v>
      </c>
      <c r="R44" s="739">
        <v>1</v>
      </c>
      <c r="S44" s="739">
        <v>1</v>
      </c>
      <c r="T44" s="739">
        <v>1</v>
      </c>
      <c r="U44" s="739">
        <v>1</v>
      </c>
      <c r="V44" s="739">
        <v>1</v>
      </c>
      <c r="W44" s="739">
        <v>1</v>
      </c>
      <c r="X44" s="658"/>
      <c r="Y44" s="554"/>
      <c r="Z44" s="1120"/>
      <c r="AA44" s="739">
        <v>1</v>
      </c>
      <c r="AB44" s="739">
        <v>1</v>
      </c>
      <c r="AC44" s="739">
        <v>1</v>
      </c>
      <c r="AD44" s="739">
        <v>1</v>
      </c>
      <c r="AE44" s="739">
        <v>1</v>
      </c>
      <c r="AF44" s="739">
        <v>1</v>
      </c>
      <c r="AG44" s="739">
        <v>1</v>
      </c>
      <c r="AH44" s="739">
        <v>1</v>
      </c>
      <c r="AI44" s="739">
        <v>1</v>
      </c>
      <c r="AJ44" s="658"/>
      <c r="AK44" s="554"/>
      <c r="AL44" s="662"/>
      <c r="AM44" s="739">
        <v>1</v>
      </c>
      <c r="AN44" s="739">
        <v>1</v>
      </c>
      <c r="AO44" s="739">
        <v>1</v>
      </c>
      <c r="AP44" s="739">
        <v>1</v>
      </c>
      <c r="AQ44" s="739">
        <v>1</v>
      </c>
      <c r="AR44" s="739">
        <v>1</v>
      </c>
      <c r="AS44" s="739">
        <v>1</v>
      </c>
      <c r="AT44" s="739">
        <v>1</v>
      </c>
      <c r="AU44" s="739">
        <v>1</v>
      </c>
      <c r="AV44" s="658"/>
      <c r="AW44" s="554"/>
      <c r="AX44" s="662"/>
      <c r="AY44" s="739">
        <v>1</v>
      </c>
      <c r="AZ44" s="739">
        <v>1</v>
      </c>
      <c r="BA44" s="739">
        <v>1</v>
      </c>
      <c r="BB44" s="739">
        <v>1</v>
      </c>
      <c r="BC44" s="739">
        <v>1</v>
      </c>
      <c r="BD44" s="739">
        <v>1</v>
      </c>
      <c r="BE44" s="739">
        <v>1</v>
      </c>
      <c r="BF44" s="739">
        <v>1</v>
      </c>
      <c r="BG44" s="739">
        <v>1</v>
      </c>
      <c r="BH44" s="216"/>
    </row>
    <row r="45" spans="1:60" s="2" customFormat="1">
      <c r="A45" s="1044"/>
      <c r="B45" s="1110" t="s">
        <v>132</v>
      </c>
      <c r="C45" s="1106" t="s">
        <v>118</v>
      </c>
      <c r="D45" s="645" t="s">
        <v>45</v>
      </c>
      <c r="E45" s="180" t="s">
        <v>140</v>
      </c>
      <c r="F45" s="180"/>
      <c r="G45" s="180"/>
      <c r="H45" s="181" t="s">
        <v>141</v>
      </c>
      <c r="I45" s="171"/>
      <c r="J45" s="202"/>
      <c r="K45" s="243"/>
      <c r="L45" s="243"/>
      <c r="M45" s="202"/>
      <c r="N45" s="89"/>
      <c r="O45" s="740"/>
      <c r="P45" s="740"/>
      <c r="Q45" s="740"/>
      <c r="R45" s="740"/>
      <c r="S45" s="740"/>
      <c r="T45" s="740"/>
      <c r="U45" s="740"/>
      <c r="V45" s="740"/>
      <c r="W45" s="740"/>
      <c r="X45" s="663"/>
      <c r="Y45" s="202"/>
      <c r="Z45" s="362"/>
      <c r="AA45" s="740"/>
      <c r="AB45" s="740"/>
      <c r="AC45" s="740"/>
      <c r="AD45" s="740"/>
      <c r="AE45" s="740"/>
      <c r="AF45" s="740"/>
      <c r="AG45" s="740"/>
      <c r="AH45" s="740"/>
      <c r="AI45" s="740"/>
      <c r="AJ45" s="663"/>
      <c r="AK45" s="202"/>
      <c r="AL45" s="664"/>
      <c r="AM45" s="740"/>
      <c r="AN45" s="740"/>
      <c r="AO45" s="740"/>
      <c r="AP45" s="740"/>
      <c r="AQ45" s="740"/>
      <c r="AR45" s="740"/>
      <c r="AS45" s="740"/>
      <c r="AT45" s="740"/>
      <c r="AU45" s="740"/>
      <c r="AV45" s="663"/>
      <c r="AW45" s="202"/>
      <c r="AX45" s="664"/>
      <c r="AY45" s="740"/>
      <c r="AZ45" s="740"/>
      <c r="BA45" s="740"/>
      <c r="BB45" s="740"/>
      <c r="BC45" s="740"/>
      <c r="BD45" s="740"/>
      <c r="BE45" s="740"/>
      <c r="BF45" s="740"/>
      <c r="BG45" s="740"/>
      <c r="BH45" s="216"/>
    </row>
    <row r="46" spans="1:60">
      <c r="A46" s="1043"/>
      <c r="B46" s="1109" t="s">
        <v>132</v>
      </c>
      <c r="C46" s="1106" t="s">
        <v>118</v>
      </c>
      <c r="D46" s="642"/>
      <c r="E46" s="149" t="s">
        <v>142</v>
      </c>
      <c r="F46" s="149"/>
      <c r="G46" s="149"/>
      <c r="H46" s="150" t="s">
        <v>65</v>
      </c>
      <c r="I46" s="102"/>
      <c r="J46" s="616"/>
      <c r="K46" s="86"/>
      <c r="L46" s="86"/>
      <c r="M46" s="184"/>
      <c r="N46" s="88"/>
      <c r="O46" s="738"/>
      <c r="P46" s="738"/>
      <c r="Q46" s="738"/>
      <c r="R46" s="738"/>
      <c r="S46" s="738"/>
      <c r="T46" s="738"/>
      <c r="U46" s="738"/>
      <c r="V46" s="738"/>
      <c r="W46" s="738"/>
      <c r="X46" s="659"/>
      <c r="Y46" s="184"/>
      <c r="Z46" s="195"/>
      <c r="AA46" s="738"/>
      <c r="AB46" s="738"/>
      <c r="AC46" s="738"/>
      <c r="AD46" s="738"/>
      <c r="AE46" s="738"/>
      <c r="AF46" s="738"/>
      <c r="AG46" s="738"/>
      <c r="AH46" s="738"/>
      <c r="AI46" s="738"/>
      <c r="AJ46" s="659"/>
      <c r="AK46" s="184"/>
      <c r="AL46" s="661"/>
      <c r="AM46" s="738"/>
      <c r="AN46" s="738"/>
      <c r="AO46" s="738"/>
      <c r="AP46" s="738"/>
      <c r="AQ46" s="738"/>
      <c r="AR46" s="738"/>
      <c r="AS46" s="738"/>
      <c r="AT46" s="738"/>
      <c r="AU46" s="738"/>
      <c r="AV46" s="659"/>
      <c r="AW46" s="184"/>
      <c r="AX46" s="661"/>
      <c r="AY46" s="738"/>
      <c r="AZ46" s="738"/>
      <c r="BA46" s="738"/>
      <c r="BB46" s="738"/>
      <c r="BC46" s="738"/>
      <c r="BD46" s="738"/>
      <c r="BE46" s="738"/>
      <c r="BF46" s="738"/>
      <c r="BG46" s="738"/>
      <c r="BH46" s="217"/>
    </row>
    <row r="47" spans="1:60" s="2" customFormat="1">
      <c r="A47" s="1044"/>
      <c r="B47" s="1110" t="s">
        <v>132</v>
      </c>
      <c r="C47" s="1106" t="s">
        <v>118</v>
      </c>
      <c r="D47" s="639"/>
      <c r="E47" s="180" t="s">
        <v>144</v>
      </c>
      <c r="F47" s="180"/>
      <c r="G47" s="180"/>
      <c r="H47" s="181" t="s">
        <v>65</v>
      </c>
      <c r="I47" s="171"/>
      <c r="J47" s="1124"/>
      <c r="K47" s="79"/>
      <c r="L47" s="79"/>
      <c r="M47" s="554"/>
      <c r="N47" s="89"/>
      <c r="O47" s="1084" t="s">
        <v>145</v>
      </c>
      <c r="P47" s="1084" t="s">
        <v>145</v>
      </c>
      <c r="Q47" s="1084" t="s">
        <v>145</v>
      </c>
      <c r="R47" s="1084" t="s">
        <v>145</v>
      </c>
      <c r="S47" s="1084" t="s">
        <v>145</v>
      </c>
      <c r="T47" s="1084" t="s">
        <v>145</v>
      </c>
      <c r="U47" s="1084" t="s">
        <v>145</v>
      </c>
      <c r="V47" s="1084" t="s">
        <v>145</v>
      </c>
      <c r="W47" s="1084" t="s">
        <v>145</v>
      </c>
      <c r="X47" s="658"/>
      <c r="Y47" s="554"/>
      <c r="Z47" s="1120"/>
      <c r="AA47" s="1084" t="s">
        <v>145</v>
      </c>
      <c r="AB47" s="1084" t="s">
        <v>145</v>
      </c>
      <c r="AC47" s="1084" t="s">
        <v>145</v>
      </c>
      <c r="AD47" s="1084" t="s">
        <v>145</v>
      </c>
      <c r="AE47" s="1084" t="s">
        <v>145</v>
      </c>
      <c r="AF47" s="1084" t="s">
        <v>145</v>
      </c>
      <c r="AG47" s="1084" t="s">
        <v>145</v>
      </c>
      <c r="AH47" s="1084" t="s">
        <v>145</v>
      </c>
      <c r="AI47" s="1084" t="s">
        <v>145</v>
      </c>
      <c r="AJ47" s="658"/>
      <c r="AK47" s="554"/>
      <c r="AL47" s="662"/>
      <c r="AM47" s="1084" t="s">
        <v>145</v>
      </c>
      <c r="AN47" s="1084" t="s">
        <v>145</v>
      </c>
      <c r="AO47" s="1084" t="s">
        <v>145</v>
      </c>
      <c r="AP47" s="1084" t="s">
        <v>145</v>
      </c>
      <c r="AQ47" s="1084" t="s">
        <v>145</v>
      </c>
      <c r="AR47" s="1084" t="s">
        <v>145</v>
      </c>
      <c r="AS47" s="1084" t="s">
        <v>145</v>
      </c>
      <c r="AT47" s="1084" t="s">
        <v>145</v>
      </c>
      <c r="AU47" s="1084" t="s">
        <v>145</v>
      </c>
      <c r="AV47" s="658"/>
      <c r="AW47" s="554"/>
      <c r="AX47" s="662"/>
      <c r="AY47" s="1084" t="s">
        <v>145</v>
      </c>
      <c r="AZ47" s="1084" t="s">
        <v>145</v>
      </c>
      <c r="BA47" s="1084" t="s">
        <v>145</v>
      </c>
      <c r="BB47" s="1084" t="s">
        <v>145</v>
      </c>
      <c r="BC47" s="1084" t="s">
        <v>145</v>
      </c>
      <c r="BD47" s="1084" t="s">
        <v>145</v>
      </c>
      <c r="BE47" s="1084" t="s">
        <v>145</v>
      </c>
      <c r="BF47" s="1084" t="s">
        <v>145</v>
      </c>
      <c r="BG47" s="1084" t="s">
        <v>145</v>
      </c>
      <c r="BH47" s="216"/>
    </row>
    <row r="48" spans="1:60" s="2" customFormat="1">
      <c r="A48" s="1044"/>
      <c r="B48" s="1110" t="s">
        <v>132</v>
      </c>
      <c r="C48" s="1106" t="s">
        <v>118</v>
      </c>
      <c r="D48" s="645" t="s">
        <v>45</v>
      </c>
      <c r="E48" s="180" t="s">
        <v>146</v>
      </c>
      <c r="F48" s="180"/>
      <c r="G48" s="180"/>
      <c r="H48" s="181" t="s">
        <v>139</v>
      </c>
      <c r="I48" s="171"/>
      <c r="J48" s="554"/>
      <c r="K48" s="79"/>
      <c r="L48" s="79"/>
      <c r="M48" s="554"/>
      <c r="N48" s="89"/>
      <c r="O48" s="739">
        <v>0</v>
      </c>
      <c r="P48" s="739">
        <v>0</v>
      </c>
      <c r="Q48" s="739">
        <v>0</v>
      </c>
      <c r="R48" s="739">
        <v>0</v>
      </c>
      <c r="S48" s="739">
        <v>0</v>
      </c>
      <c r="T48" s="739">
        <v>0</v>
      </c>
      <c r="U48" s="739">
        <v>0</v>
      </c>
      <c r="V48" s="739">
        <v>0</v>
      </c>
      <c r="W48" s="739">
        <v>0</v>
      </c>
      <c r="X48" s="658"/>
      <c r="Y48" s="554"/>
      <c r="Z48" s="1120"/>
      <c r="AA48" s="739">
        <v>0</v>
      </c>
      <c r="AB48" s="739">
        <v>0</v>
      </c>
      <c r="AC48" s="739">
        <v>0</v>
      </c>
      <c r="AD48" s="739">
        <v>0</v>
      </c>
      <c r="AE48" s="739">
        <v>0</v>
      </c>
      <c r="AF48" s="739">
        <v>0</v>
      </c>
      <c r="AG48" s="739">
        <v>0</v>
      </c>
      <c r="AH48" s="739">
        <v>0</v>
      </c>
      <c r="AI48" s="739">
        <v>0</v>
      </c>
      <c r="AJ48" s="658"/>
      <c r="AK48" s="554"/>
      <c r="AL48" s="662"/>
      <c r="AM48" s="739">
        <v>0</v>
      </c>
      <c r="AN48" s="739">
        <v>0</v>
      </c>
      <c r="AO48" s="739">
        <v>0</v>
      </c>
      <c r="AP48" s="739">
        <v>0</v>
      </c>
      <c r="AQ48" s="739">
        <v>0</v>
      </c>
      <c r="AR48" s="739">
        <v>0</v>
      </c>
      <c r="AS48" s="739">
        <v>0</v>
      </c>
      <c r="AT48" s="739">
        <v>0</v>
      </c>
      <c r="AU48" s="739">
        <v>0</v>
      </c>
      <c r="AV48" s="658"/>
      <c r="AW48" s="554"/>
      <c r="AX48" s="662"/>
      <c r="AY48" s="739">
        <v>0</v>
      </c>
      <c r="AZ48" s="739">
        <v>0</v>
      </c>
      <c r="BA48" s="739">
        <v>0</v>
      </c>
      <c r="BB48" s="739">
        <v>0</v>
      </c>
      <c r="BC48" s="739">
        <v>0</v>
      </c>
      <c r="BD48" s="739">
        <v>0</v>
      </c>
      <c r="BE48" s="739">
        <v>0</v>
      </c>
      <c r="BF48" s="739">
        <v>0</v>
      </c>
      <c r="BG48" s="739">
        <v>0</v>
      </c>
      <c r="BH48" s="216"/>
    </row>
    <row r="49" spans="1:60" s="2" customFormat="1">
      <c r="A49" s="1044"/>
      <c r="B49" s="1110" t="s">
        <v>132</v>
      </c>
      <c r="C49" s="1106" t="s">
        <v>118</v>
      </c>
      <c r="D49" s="645" t="s">
        <v>45</v>
      </c>
      <c r="E49" s="595" t="s">
        <v>1055</v>
      </c>
      <c r="F49" s="595"/>
      <c r="G49" s="595"/>
      <c r="H49" s="1013" t="s">
        <v>1056</v>
      </c>
      <c r="I49" s="171"/>
      <c r="J49" s="769"/>
      <c r="K49" s="79"/>
      <c r="L49" s="79"/>
      <c r="M49" s="769"/>
      <c r="N49" s="243"/>
      <c r="O49" s="1125">
        <v>450</v>
      </c>
      <c r="P49" s="1125">
        <v>450</v>
      </c>
      <c r="Q49" s="1125">
        <v>450</v>
      </c>
      <c r="R49" s="1125">
        <v>450</v>
      </c>
      <c r="S49" s="1125">
        <v>450</v>
      </c>
      <c r="T49" s="1125">
        <v>450</v>
      </c>
      <c r="U49" s="1125">
        <v>450</v>
      </c>
      <c r="V49" s="1125">
        <v>450</v>
      </c>
      <c r="W49" s="1125">
        <v>450</v>
      </c>
      <c r="X49" s="658"/>
      <c r="Y49" s="769"/>
      <c r="Z49" s="1120"/>
      <c r="AA49" s="1125">
        <v>450</v>
      </c>
      <c r="AB49" s="1125">
        <v>450</v>
      </c>
      <c r="AC49" s="1125">
        <v>450</v>
      </c>
      <c r="AD49" s="1125">
        <v>450</v>
      </c>
      <c r="AE49" s="1125">
        <v>450</v>
      </c>
      <c r="AF49" s="1125">
        <v>450</v>
      </c>
      <c r="AG49" s="1125">
        <v>450</v>
      </c>
      <c r="AH49" s="1125">
        <v>450</v>
      </c>
      <c r="AI49" s="1125">
        <v>450</v>
      </c>
      <c r="AJ49" s="658"/>
      <c r="AK49" s="769"/>
      <c r="AL49" s="658"/>
      <c r="AM49" s="1125">
        <v>450</v>
      </c>
      <c r="AN49" s="1125">
        <v>450</v>
      </c>
      <c r="AO49" s="1125">
        <v>450</v>
      </c>
      <c r="AP49" s="1125">
        <v>450</v>
      </c>
      <c r="AQ49" s="1125">
        <v>450</v>
      </c>
      <c r="AR49" s="1125">
        <v>450</v>
      </c>
      <c r="AS49" s="1125">
        <v>450</v>
      </c>
      <c r="AT49" s="1125">
        <v>450</v>
      </c>
      <c r="AU49" s="1125">
        <v>450</v>
      </c>
      <c r="AV49" s="658"/>
      <c r="AW49" s="769"/>
      <c r="AX49" s="658"/>
      <c r="AY49" s="1125">
        <v>450</v>
      </c>
      <c r="AZ49" s="1125">
        <v>450</v>
      </c>
      <c r="BA49" s="1125">
        <v>450</v>
      </c>
      <c r="BB49" s="1125">
        <v>450</v>
      </c>
      <c r="BC49" s="1125">
        <v>450</v>
      </c>
      <c r="BD49" s="1125"/>
      <c r="BE49" s="1125"/>
      <c r="BF49" s="1125"/>
      <c r="BG49" s="1125"/>
      <c r="BH49" s="216"/>
    </row>
    <row r="50" spans="1:60" s="2" customFormat="1">
      <c r="A50" s="1044"/>
      <c r="B50" s="1110" t="s">
        <v>132</v>
      </c>
      <c r="C50" s="1106" t="s">
        <v>118</v>
      </c>
      <c r="D50" s="645" t="s">
        <v>45</v>
      </c>
      <c r="E50" s="1162" t="s">
        <v>1280</v>
      </c>
      <c r="F50" s="180"/>
      <c r="G50" s="180"/>
      <c r="H50" s="181" t="s">
        <v>65</v>
      </c>
      <c r="I50" s="171"/>
      <c r="J50" s="1124"/>
      <c r="K50" s="79"/>
      <c r="L50" s="79"/>
      <c r="M50" s="1084" t="s">
        <v>174</v>
      </c>
      <c r="N50" s="89"/>
      <c r="O50" s="1085"/>
      <c r="P50" s="1085"/>
      <c r="Q50" s="1085"/>
      <c r="R50" s="1085"/>
      <c r="S50" s="1085"/>
      <c r="T50" s="1085"/>
      <c r="U50" s="1085"/>
      <c r="V50" s="1085"/>
      <c r="W50" s="1085"/>
      <c r="X50" s="658"/>
      <c r="Y50" s="1084" t="s">
        <v>174</v>
      </c>
      <c r="Z50" s="89"/>
      <c r="AA50" s="1085"/>
      <c r="AB50" s="1085"/>
      <c r="AC50" s="1085"/>
      <c r="AD50" s="1085"/>
      <c r="AE50" s="1085"/>
      <c r="AF50" s="1085"/>
      <c r="AG50" s="1085"/>
      <c r="AH50" s="1085"/>
      <c r="AI50" s="1085"/>
      <c r="AJ50" s="658"/>
      <c r="AK50" s="1084" t="s">
        <v>174</v>
      </c>
      <c r="AL50" s="89"/>
      <c r="AM50" s="1085"/>
      <c r="AN50" s="1085"/>
      <c r="AO50" s="1085"/>
      <c r="AP50" s="1085"/>
      <c r="AQ50" s="1085"/>
      <c r="AR50" s="1085"/>
      <c r="AS50" s="1085"/>
      <c r="AT50" s="1085"/>
      <c r="AU50" s="1085"/>
      <c r="AV50" s="658"/>
      <c r="AW50" s="1084" t="s">
        <v>174</v>
      </c>
      <c r="AX50" s="89"/>
      <c r="AY50" s="1085"/>
      <c r="AZ50" s="1085"/>
      <c r="BA50" s="1085"/>
      <c r="BB50" s="1085"/>
      <c r="BC50" s="1085"/>
      <c r="BD50" s="1085"/>
      <c r="BE50" s="1085"/>
      <c r="BF50" s="1085"/>
      <c r="BG50" s="1085"/>
      <c r="BH50" s="216"/>
    </row>
    <row r="51" spans="1:60" s="2" customFormat="1">
      <c r="A51" s="1042"/>
      <c r="B51" s="1110" t="s">
        <v>147</v>
      </c>
      <c r="C51" s="1106" t="s">
        <v>96</v>
      </c>
      <c r="D51" s="640"/>
      <c r="E51" s="942" t="s">
        <v>148</v>
      </c>
      <c r="F51" s="942"/>
      <c r="G51" s="942"/>
      <c r="H51" s="942"/>
      <c r="I51" s="129"/>
      <c r="J51" s="943"/>
      <c r="K51" s="126"/>
      <c r="L51" s="126"/>
      <c r="M51" s="944"/>
      <c r="N51" s="153"/>
      <c r="O51" s="258" t="str">
        <f>O$17</f>
        <v/>
      </c>
      <c r="P51" s="258" t="str">
        <f t="shared" ref="P51:W51" si="46">P$17</f>
        <v/>
      </c>
      <c r="Q51" s="258" t="str">
        <f t="shared" si="46"/>
        <v/>
      </c>
      <c r="R51" s="258" t="str">
        <f t="shared" si="46"/>
        <v/>
      </c>
      <c r="S51" s="258" t="str">
        <f t="shared" si="46"/>
        <v/>
      </c>
      <c r="T51" s="258" t="str">
        <f t="shared" si="46"/>
        <v/>
      </c>
      <c r="U51" s="258" t="str">
        <f t="shared" si="46"/>
        <v/>
      </c>
      <c r="V51" s="258" t="str">
        <f t="shared" si="46"/>
        <v/>
      </c>
      <c r="W51" s="258" t="str">
        <f t="shared" si="46"/>
        <v/>
      </c>
      <c r="X51" s="1126"/>
      <c r="Y51" s="944"/>
      <c r="Z51" s="1120"/>
      <c r="AA51" s="258" t="str">
        <f>AA$17</f>
        <v/>
      </c>
      <c r="AB51" s="258" t="str">
        <f t="shared" ref="AB51:AI51" si="47">AB$17</f>
        <v/>
      </c>
      <c r="AC51" s="258" t="str">
        <f t="shared" si="47"/>
        <v/>
      </c>
      <c r="AD51" s="258" t="str">
        <f t="shared" si="47"/>
        <v/>
      </c>
      <c r="AE51" s="258" t="str">
        <f t="shared" si="47"/>
        <v/>
      </c>
      <c r="AF51" s="258" t="str">
        <f t="shared" si="47"/>
        <v/>
      </c>
      <c r="AG51" s="258" t="str">
        <f t="shared" si="47"/>
        <v/>
      </c>
      <c r="AH51" s="258" t="str">
        <f t="shared" si="47"/>
        <v/>
      </c>
      <c r="AI51" s="258" t="str">
        <f t="shared" si="47"/>
        <v/>
      </c>
      <c r="AJ51" s="1126"/>
      <c r="AK51" s="944"/>
      <c r="AL51" s="1120"/>
      <c r="AM51" s="258" t="str">
        <f>AM$17</f>
        <v/>
      </c>
      <c r="AN51" s="258" t="str">
        <f t="shared" ref="AN51:AU51" si="48">AN$17</f>
        <v/>
      </c>
      <c r="AO51" s="258" t="str">
        <f t="shared" si="48"/>
        <v/>
      </c>
      <c r="AP51" s="258" t="str">
        <f t="shared" si="48"/>
        <v/>
      </c>
      <c r="AQ51" s="258" t="str">
        <f t="shared" si="48"/>
        <v/>
      </c>
      <c r="AR51" s="258" t="str">
        <f t="shared" si="48"/>
        <v/>
      </c>
      <c r="AS51" s="258" t="str">
        <f t="shared" si="48"/>
        <v/>
      </c>
      <c r="AT51" s="258" t="str">
        <f t="shared" si="48"/>
        <v/>
      </c>
      <c r="AU51" s="258" t="str">
        <f t="shared" si="48"/>
        <v/>
      </c>
      <c r="AV51" s="1126"/>
      <c r="AW51" s="944"/>
      <c r="AX51" s="1120"/>
      <c r="AY51" s="258" t="str">
        <f>AY$17</f>
        <v/>
      </c>
      <c r="AZ51" s="258" t="str">
        <f t="shared" ref="AZ51:BG51" si="49">AZ$17</f>
        <v/>
      </c>
      <c r="BA51" s="258" t="str">
        <f t="shared" si="49"/>
        <v/>
      </c>
      <c r="BB51" s="258" t="str">
        <f t="shared" si="49"/>
        <v/>
      </c>
      <c r="BC51" s="258" t="str">
        <f t="shared" si="49"/>
        <v/>
      </c>
      <c r="BD51" s="258" t="str">
        <f t="shared" si="49"/>
        <v/>
      </c>
      <c r="BE51" s="258" t="str">
        <f t="shared" si="49"/>
        <v/>
      </c>
      <c r="BF51" s="258" t="str">
        <f t="shared" si="49"/>
        <v/>
      </c>
      <c r="BG51" s="258" t="str">
        <f t="shared" si="49"/>
        <v/>
      </c>
      <c r="BH51" s="174"/>
    </row>
    <row r="52" spans="1:60" s="2" customFormat="1">
      <c r="A52" s="1044"/>
      <c r="B52" s="1110" t="s">
        <v>132</v>
      </c>
      <c r="C52" s="1106" t="s">
        <v>118</v>
      </c>
      <c r="D52" s="639"/>
      <c r="E52" s="180" t="s">
        <v>149</v>
      </c>
      <c r="F52" s="180"/>
      <c r="G52" s="180"/>
      <c r="H52" s="181" t="s">
        <v>65</v>
      </c>
      <c r="I52" s="104"/>
      <c r="J52" s="1222" t="str">
        <f>IF(COUNTIF(N52:X52,"nee")&gt;0,"nee: locatie 1",
IF(COUNTIF(Z52:AJ52,"nee")&gt;0,"nee: locatie 2",
IF(COUNTIF(AL52:AV52,"nee")&gt;0,"nee: locatie 3",
IF(COUNTIF(AX52:BH52,"nee")&gt;0,"nee: locatie 4",
"ja"))))</f>
        <v>ja</v>
      </c>
      <c r="K52" s="1054"/>
      <c r="L52" s="1054"/>
      <c r="M52" s="1222" t="str">
        <f>IF(COUNTIF(N52:X52,"nee")&gt;0,"nee","ja")</f>
        <v>ja</v>
      </c>
      <c r="N52" s="1127"/>
      <c r="O52" s="665" t="str">
        <f t="shared" ref="O52:W52" si="50">IF(OR(O$17="",O$22=0),"",IF(OR(O$38="",O$40="",AND(O$40&lt;&gt;ventilatie_A,O$41=""),AND(O49=""),O$44="",AND(O$19&lt;&gt;woning,O$19&lt;&gt;woongebouw,O$45=""),AND(O$19&lt;&gt;woning,O$19&lt;&gt;woongebouw,O$46=""),AND(OR(O$19=woning,O$19=woongebouw),O$47=""),O$48=""),"nee","ja"))</f>
        <v/>
      </c>
      <c r="P52" s="665" t="str">
        <f t="shared" si="50"/>
        <v/>
      </c>
      <c r="Q52" s="665" t="str">
        <f t="shared" si="50"/>
        <v/>
      </c>
      <c r="R52" s="665" t="str">
        <f t="shared" si="50"/>
        <v/>
      </c>
      <c r="S52" s="665" t="str">
        <f t="shared" si="50"/>
        <v/>
      </c>
      <c r="T52" s="665" t="str">
        <f t="shared" si="50"/>
        <v/>
      </c>
      <c r="U52" s="665" t="str">
        <f t="shared" si="50"/>
        <v/>
      </c>
      <c r="V52" s="665" t="str">
        <f t="shared" si="50"/>
        <v/>
      </c>
      <c r="W52" s="665" t="str">
        <f t="shared" si="50"/>
        <v/>
      </c>
      <c r="X52" s="666"/>
      <c r="Y52" s="1222" t="str">
        <f>IF(COUNTIF(Z52:AJ52,"nee")&gt;0,"nee","ja")</f>
        <v>ja</v>
      </c>
      <c r="Z52" s="1120"/>
      <c r="AA52" s="665" t="str">
        <f t="shared" ref="AA52:AI52" si="51">IF(OR(AA$17="",AA$22=0),"",IF(OR(AA$38="",AA$40="",AND(AA$40&lt;&gt;ventilatie_A,AA$41=""),AND(AA$49=""),AA$44="",AND(AA$19&lt;&gt;woning,AA$19&lt;&gt;woongebouw,AA$45=""),AND(AA$19&lt;&gt;woning,AA$19&lt;&gt;woongebouw,AA$46=""),AND(OR(AA$19=woning,AA$19=woongebouw),AA$47=""),AA$48=""),"nee","ja"))</f>
        <v/>
      </c>
      <c r="AB52" s="665" t="str">
        <f t="shared" si="51"/>
        <v/>
      </c>
      <c r="AC52" s="665" t="str">
        <f t="shared" si="51"/>
        <v/>
      </c>
      <c r="AD52" s="665" t="str">
        <f t="shared" si="51"/>
        <v/>
      </c>
      <c r="AE52" s="665" t="str">
        <f t="shared" si="51"/>
        <v/>
      </c>
      <c r="AF52" s="665" t="str">
        <f t="shared" si="51"/>
        <v/>
      </c>
      <c r="AG52" s="665" t="str">
        <f t="shared" si="51"/>
        <v/>
      </c>
      <c r="AH52" s="665" t="str">
        <f t="shared" si="51"/>
        <v/>
      </c>
      <c r="AI52" s="665" t="str">
        <f t="shared" si="51"/>
        <v/>
      </c>
      <c r="AJ52" s="666"/>
      <c r="AK52" s="1222" t="str">
        <f>IF(COUNTIF(AL52:AV52,"nee")&gt;0,"nee","ja")</f>
        <v>ja</v>
      </c>
      <c r="AL52" s="667"/>
      <c r="AM52" s="665" t="str">
        <f t="shared" ref="AM52:AU52" si="52">IF(OR(AM$17="",AM$22=0),"",IF(OR(AM$38="",AM$40="",AND(AM$40&lt;&gt;ventilatie_A,AM$41=""),AND(AM$49=""),AM$44="",AND(AM$19&lt;&gt;woning,AM$19&lt;&gt;woongebouw,AM$45=""),AND(AM$19&lt;&gt;woning,AM$19&lt;&gt;woongebouw,AM$46=""),AND(OR(AM$19=woning,AM$19=woongebouw),AM$47=""),AM$48=""),"nee","ja"))</f>
        <v/>
      </c>
      <c r="AN52" s="665" t="str">
        <f t="shared" si="52"/>
        <v/>
      </c>
      <c r="AO52" s="665" t="str">
        <f t="shared" si="52"/>
        <v/>
      </c>
      <c r="AP52" s="665" t="str">
        <f t="shared" si="52"/>
        <v/>
      </c>
      <c r="AQ52" s="665" t="str">
        <f t="shared" si="52"/>
        <v/>
      </c>
      <c r="AR52" s="665" t="str">
        <f t="shared" si="52"/>
        <v/>
      </c>
      <c r="AS52" s="665" t="str">
        <f t="shared" si="52"/>
        <v/>
      </c>
      <c r="AT52" s="665" t="str">
        <f t="shared" si="52"/>
        <v/>
      </c>
      <c r="AU52" s="665" t="str">
        <f t="shared" si="52"/>
        <v/>
      </c>
      <c r="AV52" s="666"/>
      <c r="AW52" s="1222" t="str">
        <f>IF(COUNTIF(AX52:BH52,"nee")&gt;0,"nee","ja")</f>
        <v>ja</v>
      </c>
      <c r="AX52" s="667"/>
      <c r="AY52" s="665" t="str">
        <f t="shared" ref="AY52:BG52" si="53">IF(OR(AY$17="",AY$22=0),"",IF(OR(AY$38="",AY$40="",AND(AY$40&lt;&gt;ventilatie_A,AY$41=""),AND(AY$49=""),AY$44="",AND(AY$19&lt;&gt;woning,AY$19&lt;&gt;woongebouw,AY$45=""),AND(AY$19&lt;&gt;woning,AY$19&lt;&gt;woongebouw,AY$46=""),AND(OR(AY$19=woning,AY$19=woongebouw),AY$47=""),AY$48=""),"nee","ja"))</f>
        <v/>
      </c>
      <c r="AZ52" s="665" t="str">
        <f t="shared" si="53"/>
        <v/>
      </c>
      <c r="BA52" s="665" t="str">
        <f t="shared" si="53"/>
        <v/>
      </c>
      <c r="BB52" s="665" t="str">
        <f t="shared" si="53"/>
        <v/>
      </c>
      <c r="BC52" s="665" t="str">
        <f t="shared" si="53"/>
        <v/>
      </c>
      <c r="BD52" s="665" t="str">
        <f t="shared" si="53"/>
        <v/>
      </c>
      <c r="BE52" s="665" t="str">
        <f t="shared" si="53"/>
        <v/>
      </c>
      <c r="BF52" s="665" t="str">
        <f t="shared" si="53"/>
        <v/>
      </c>
      <c r="BG52" s="665" t="str">
        <f t="shared" si="53"/>
        <v/>
      </c>
      <c r="BH52" s="216"/>
    </row>
    <row r="53" spans="1:60" s="2" customFormat="1">
      <c r="A53" s="1042"/>
      <c r="B53" s="1110" t="s">
        <v>147</v>
      </c>
      <c r="C53" s="1106" t="s">
        <v>96</v>
      </c>
      <c r="D53" s="640"/>
      <c r="E53" s="942" t="s">
        <v>150</v>
      </c>
      <c r="F53" s="942"/>
      <c r="G53" s="942"/>
      <c r="H53" s="942"/>
      <c r="I53" s="129"/>
      <c r="J53" s="943"/>
      <c r="K53" s="126"/>
      <c r="L53" s="126"/>
      <c r="M53" s="944"/>
      <c r="N53" s="153"/>
      <c r="O53" s="258" t="str">
        <f>O$17</f>
        <v/>
      </c>
      <c r="P53" s="258" t="str">
        <f t="shared" ref="P53:W53" si="54">P$17</f>
        <v/>
      </c>
      <c r="Q53" s="258" t="str">
        <f t="shared" si="54"/>
        <v/>
      </c>
      <c r="R53" s="258" t="str">
        <f t="shared" si="54"/>
        <v/>
      </c>
      <c r="S53" s="258" t="str">
        <f t="shared" si="54"/>
        <v/>
      </c>
      <c r="T53" s="258" t="str">
        <f t="shared" si="54"/>
        <v/>
      </c>
      <c r="U53" s="258" t="str">
        <f t="shared" si="54"/>
        <v/>
      </c>
      <c r="V53" s="258" t="str">
        <f t="shared" si="54"/>
        <v/>
      </c>
      <c r="W53" s="258" t="str">
        <f t="shared" si="54"/>
        <v/>
      </c>
      <c r="X53" s="153"/>
      <c r="Y53" s="944"/>
      <c r="Z53" s="1120"/>
      <c r="AA53" s="258" t="str">
        <f>AA$17</f>
        <v/>
      </c>
      <c r="AB53" s="258" t="str">
        <f t="shared" ref="AB53:AI53" si="55">AB$17</f>
        <v/>
      </c>
      <c r="AC53" s="258" t="str">
        <f t="shared" si="55"/>
        <v/>
      </c>
      <c r="AD53" s="258" t="str">
        <f t="shared" si="55"/>
        <v/>
      </c>
      <c r="AE53" s="258" t="str">
        <f t="shared" si="55"/>
        <v/>
      </c>
      <c r="AF53" s="258" t="str">
        <f t="shared" si="55"/>
        <v/>
      </c>
      <c r="AG53" s="258" t="str">
        <f t="shared" si="55"/>
        <v/>
      </c>
      <c r="AH53" s="258" t="str">
        <f t="shared" si="55"/>
        <v/>
      </c>
      <c r="AI53" s="258" t="str">
        <f t="shared" si="55"/>
        <v/>
      </c>
      <c r="AJ53" s="1126"/>
      <c r="AK53" s="944"/>
      <c r="AL53" s="1120"/>
      <c r="AM53" s="258" t="str">
        <f>AM$17</f>
        <v/>
      </c>
      <c r="AN53" s="258" t="str">
        <f t="shared" ref="AN53:AU53" si="56">AN$17</f>
        <v/>
      </c>
      <c r="AO53" s="258" t="str">
        <f t="shared" si="56"/>
        <v/>
      </c>
      <c r="AP53" s="258" t="str">
        <f t="shared" si="56"/>
        <v/>
      </c>
      <c r="AQ53" s="258" t="str">
        <f t="shared" si="56"/>
        <v/>
      </c>
      <c r="AR53" s="258" t="str">
        <f t="shared" si="56"/>
        <v/>
      </c>
      <c r="AS53" s="258" t="str">
        <f t="shared" si="56"/>
        <v/>
      </c>
      <c r="AT53" s="258" t="str">
        <f t="shared" si="56"/>
        <v/>
      </c>
      <c r="AU53" s="258" t="str">
        <f t="shared" si="56"/>
        <v/>
      </c>
      <c r="AV53" s="1126"/>
      <c r="AW53" s="944"/>
      <c r="AX53" s="1120"/>
      <c r="AY53" s="258" t="str">
        <f>AY$17</f>
        <v/>
      </c>
      <c r="AZ53" s="258" t="str">
        <f t="shared" ref="AZ53:BG53" si="57">AZ$17</f>
        <v/>
      </c>
      <c r="BA53" s="258" t="str">
        <f t="shared" si="57"/>
        <v/>
      </c>
      <c r="BB53" s="258" t="str">
        <f t="shared" si="57"/>
        <v/>
      </c>
      <c r="BC53" s="258" t="str">
        <f t="shared" si="57"/>
        <v/>
      </c>
      <c r="BD53" s="258" t="str">
        <f t="shared" si="57"/>
        <v/>
      </c>
      <c r="BE53" s="258" t="str">
        <f t="shared" si="57"/>
        <v/>
      </c>
      <c r="BF53" s="258" t="str">
        <f t="shared" si="57"/>
        <v/>
      </c>
      <c r="BG53" s="258" t="str">
        <f t="shared" si="57"/>
        <v/>
      </c>
      <c r="BH53" s="174"/>
    </row>
    <row r="54" spans="1:60" s="2" customFormat="1">
      <c r="A54" s="1044"/>
      <c r="B54" s="1110" t="s">
        <v>132</v>
      </c>
      <c r="C54" s="1106" t="s">
        <v>118</v>
      </c>
      <c r="D54" s="639"/>
      <c r="E54" s="180" t="s">
        <v>151</v>
      </c>
      <c r="F54" s="180"/>
      <c r="G54" s="180"/>
      <c r="H54" s="181" t="s">
        <v>152</v>
      </c>
      <c r="I54" s="104"/>
      <c r="J54" s="554"/>
      <c r="K54" s="1055"/>
      <c r="L54" s="1055"/>
      <c r="M54" s="554"/>
      <c r="N54" s="89"/>
      <c r="O54" s="872" t="str">
        <f ca="1">IF(OR(O$17="",O$38=""),"",
SUMPRODUCT(
OFFSET(bibliotheek!$H$26,0,MATCH(O$17,woningen_gebouwen_namen,0)-1,ROWS(bibliotheek!$I$26:$I$31),1),
OFFSET(bibliotheek!$H$47,0,MATCH(O$38,isolatiepakketten_gebouwschil_namen,0)-1,ROWS(bibliotheek!$I$26:$I$31),1)) /
HLOOKUP(O$17,woningen_gebouwen_gegevens,ROWS(bibliotheek!$E$20:$E$32),FALSE))</f>
        <v/>
      </c>
      <c r="P54" s="872" t="str">
        <f ca="1">IF(OR(P$17="",P$38=""),"",
SUMPRODUCT(
OFFSET(bibliotheek!$H$26,0,MATCH(P$17,woningen_gebouwen_namen,0)-1,ROWS(bibliotheek!$I$26:$I$31),1),
OFFSET(bibliotheek!$H$47,0,MATCH(P$38,isolatiepakketten_gebouwschil_namen,0)-1,ROWS(bibliotheek!$I$26:$I$31),1)) /
HLOOKUP(P$17,woningen_gebouwen_gegevens,ROWS(bibliotheek!$E$20:$E$32),FALSE))</f>
        <v/>
      </c>
      <c r="Q54" s="872" t="str">
        <f ca="1">IF(OR(Q$17="",Q$38=""),"",
SUMPRODUCT(
OFFSET(bibliotheek!$H$26,0,MATCH(Q$17,woningen_gebouwen_namen,0)-1,ROWS(bibliotheek!$I$26:$I$31),1),
OFFSET(bibliotheek!$H$47,0,MATCH(Q$38,isolatiepakketten_gebouwschil_namen,0)-1,ROWS(bibliotheek!$I$26:$I$31),1)) /
HLOOKUP(Q$17,woningen_gebouwen_gegevens,ROWS(bibliotheek!$E$20:$E$32),FALSE))</f>
        <v/>
      </c>
      <c r="R54" s="872" t="str">
        <f ca="1">IF(OR(R$17="",R$38=""),"",
SUMPRODUCT(
OFFSET(bibliotheek!$H$26,0,MATCH(R$17,woningen_gebouwen_namen,0)-1,ROWS(bibliotheek!$I$26:$I$31),1),
OFFSET(bibliotheek!$H$47,0,MATCH(R$38,isolatiepakketten_gebouwschil_namen,0)-1,ROWS(bibliotheek!$I$26:$I$31),1)) /
HLOOKUP(R$17,woningen_gebouwen_gegevens,ROWS(bibliotheek!$E$20:$E$32),FALSE))</f>
        <v/>
      </c>
      <c r="S54" s="872" t="str">
        <f ca="1">IF(OR(S$17="",S$38=""),"",
SUMPRODUCT(
OFFSET(bibliotheek!$H$26,0,MATCH(S$17,woningen_gebouwen_namen,0)-1,ROWS(bibliotheek!$I$26:$I$31),1),
OFFSET(bibliotheek!$H$47,0,MATCH(S$38,isolatiepakketten_gebouwschil_namen,0)-1,ROWS(bibliotheek!$I$26:$I$31),1)) /
HLOOKUP(S$17,woningen_gebouwen_gegevens,ROWS(bibliotheek!$E$20:$E$32),FALSE))</f>
        <v/>
      </c>
      <c r="T54" s="872" t="str">
        <f ca="1">IF(OR(T$17="",T$38=""),"",
SUMPRODUCT(
OFFSET(bibliotheek!$H$26,0,MATCH(T$17,woningen_gebouwen_namen,0)-1,ROWS(bibliotheek!$I$26:$I$31),1),
OFFSET(bibliotheek!$H$47,0,MATCH(T$38,isolatiepakketten_gebouwschil_namen,0)-1,ROWS(bibliotheek!$I$26:$I$31),1)) /
HLOOKUP(T$17,woningen_gebouwen_gegevens,ROWS(bibliotheek!$E$20:$E$32),FALSE))</f>
        <v/>
      </c>
      <c r="U54" s="872" t="str">
        <f ca="1">IF(OR(U$17="",U$38=""),"",
SUMPRODUCT(
OFFSET(bibliotheek!$H$26,0,MATCH(U$17,woningen_gebouwen_namen,0)-1,ROWS(bibliotheek!$I$26:$I$31),1),
OFFSET(bibliotheek!$H$47,0,MATCH(U$38,isolatiepakketten_gebouwschil_namen,0)-1,ROWS(bibliotheek!$I$26:$I$31),1)) /
HLOOKUP(U$17,woningen_gebouwen_gegevens,ROWS(bibliotheek!$E$20:$E$32),FALSE))</f>
        <v/>
      </c>
      <c r="V54" s="872" t="str">
        <f ca="1">IF(OR(V$17="",V$38=""),"",
SUMPRODUCT(
OFFSET(bibliotheek!$H$26,0,MATCH(V$17,woningen_gebouwen_namen,0)-1,ROWS(bibliotheek!$I$26:$I$31),1),
OFFSET(bibliotheek!$H$47,0,MATCH(V$38,isolatiepakketten_gebouwschil_namen,0)-1,ROWS(bibliotheek!$I$26:$I$31),1)) /
HLOOKUP(V$17,woningen_gebouwen_gegevens,ROWS(bibliotheek!$E$20:$E$32),FALSE))</f>
        <v/>
      </c>
      <c r="W54" s="872" t="str">
        <f ca="1">IF(OR(W$17="",W$38=""),"",
SUMPRODUCT(
OFFSET(bibliotheek!$H$26,0,MATCH(W$17,woningen_gebouwen_namen,0)-1,ROWS(bibliotheek!$I$26:$I$31),1),
OFFSET(bibliotheek!$H$47,0,MATCH(W$38,isolatiepakketten_gebouwschil_namen,0)-1,ROWS(bibliotheek!$I$26:$I$31),1)) /
HLOOKUP(W$17,woningen_gebouwen_gegevens,ROWS(bibliotheek!$E$20:$E$32),FALSE))</f>
        <v/>
      </c>
      <c r="X54" s="172"/>
      <c r="Y54" s="554"/>
      <c r="Z54" s="1120"/>
      <c r="AA54" s="196" t="str">
        <f ca="1">IF(OR(AA$17="",AA$38=""),"",
SUMPRODUCT(
OFFSET(bibliotheek!$H$26,0,MATCH(AA$17,woningen_gebouwen_namen,0)-1,ROWS(bibliotheek!$I$26:$I$31),1),
OFFSET(bibliotheek!$H$47,0,MATCH(AA$38,isolatiepakketten_gebouwschil_namen,0)-1,ROWS(bibliotheek!$I$26:$I$31),1)) /
HLOOKUP(AA$17,woningen_gebouwen_gegevens,ROWS(bibliotheek!$E$20:$E$32),FALSE))</f>
        <v/>
      </c>
      <c r="AB54" s="196" t="str">
        <f ca="1">IF(OR(AB$17="",AB$38=""),"",
SUMPRODUCT(
OFFSET(bibliotheek!$H$26,0,MATCH(AB$17,woningen_gebouwen_namen,0)-1,ROWS(bibliotheek!$I$26:$I$31),1),
OFFSET(bibliotheek!$H$47,0,MATCH(AB$38,isolatiepakketten_gebouwschil_namen,0)-1,ROWS(bibliotheek!$I$26:$I$31),1)) /
HLOOKUP(AB$17,woningen_gebouwen_gegevens,ROWS(bibliotheek!$E$20:$E$32),FALSE))</f>
        <v/>
      </c>
      <c r="AC54" s="196" t="str">
        <f ca="1">IF(OR(AC$17="",AC$38=""),"",
SUMPRODUCT(
OFFSET(bibliotheek!$H$26,0,MATCH(AC$17,woningen_gebouwen_namen,0)-1,ROWS(bibliotheek!$I$26:$I$31),1),
OFFSET(bibliotheek!$H$47,0,MATCH(AC$38,isolatiepakketten_gebouwschil_namen,0)-1,ROWS(bibliotheek!$I$26:$I$31),1)) /
HLOOKUP(AC$17,woningen_gebouwen_gegevens,ROWS(bibliotheek!$E$20:$E$32),FALSE))</f>
        <v/>
      </c>
      <c r="AD54" s="196" t="str">
        <f ca="1">IF(OR(AD$17="",AD$38=""),"",
SUMPRODUCT(
OFFSET(bibliotheek!$H$26,0,MATCH(AD$17,woningen_gebouwen_namen,0)-1,ROWS(bibliotheek!$I$26:$I$31),1),
OFFSET(bibliotheek!$H$47,0,MATCH(AD$38,isolatiepakketten_gebouwschil_namen,0)-1,ROWS(bibliotheek!$I$26:$I$31),1)) /
HLOOKUP(AD$17,woningen_gebouwen_gegevens,ROWS(bibliotheek!$E$20:$E$32),FALSE))</f>
        <v/>
      </c>
      <c r="AE54" s="196" t="str">
        <f ca="1">IF(OR(AE$17="",AE$38=""),"",
SUMPRODUCT(
OFFSET(bibliotheek!$H$26,0,MATCH(AE$17,woningen_gebouwen_namen,0)-1,ROWS(bibliotheek!$I$26:$I$31),1),
OFFSET(bibliotheek!$H$47,0,MATCH(AE$38,isolatiepakketten_gebouwschil_namen,0)-1,ROWS(bibliotheek!$I$26:$I$31),1)) /
HLOOKUP(AE$17,woningen_gebouwen_gegevens,ROWS(bibliotheek!$E$20:$E$32),FALSE))</f>
        <v/>
      </c>
      <c r="AF54" s="196" t="str">
        <f ca="1">IF(OR(AF$17="",AF$38=""),"",
SUMPRODUCT(
OFFSET(bibliotheek!$H$26,0,MATCH(AF$17,woningen_gebouwen_namen,0)-1,ROWS(bibliotheek!$I$26:$I$31),1),
OFFSET(bibliotheek!$H$47,0,MATCH(AF$38,isolatiepakketten_gebouwschil_namen,0)-1,ROWS(bibliotheek!$I$26:$I$31),1)) /
HLOOKUP(AF$17,woningen_gebouwen_gegevens,ROWS(bibliotheek!$E$20:$E$32),FALSE))</f>
        <v/>
      </c>
      <c r="AG54" s="196" t="str">
        <f ca="1">IF(OR(AG$17="",AG$38=""),"",
SUMPRODUCT(
OFFSET(bibliotheek!$H$26,0,MATCH(AG$17,woningen_gebouwen_namen,0)-1,ROWS(bibliotheek!$I$26:$I$31),1),
OFFSET(bibliotheek!$H$47,0,MATCH(AG$38,isolatiepakketten_gebouwschil_namen,0)-1,ROWS(bibliotheek!$I$26:$I$31),1)) /
HLOOKUP(AG$17,woningen_gebouwen_gegevens,ROWS(bibliotheek!$E$20:$E$32),FALSE))</f>
        <v/>
      </c>
      <c r="AH54" s="196" t="str">
        <f ca="1">IF(OR(AH$17="",AH$38=""),"",
SUMPRODUCT(
OFFSET(bibliotheek!$H$26,0,MATCH(AH$17,woningen_gebouwen_namen,0)-1,ROWS(bibliotheek!$I$26:$I$31),1),
OFFSET(bibliotheek!$H$47,0,MATCH(AH$38,isolatiepakketten_gebouwschil_namen,0)-1,ROWS(bibliotheek!$I$26:$I$31),1)) /
HLOOKUP(AH$17,woningen_gebouwen_gegevens,ROWS(bibliotheek!$E$20:$E$32),FALSE))</f>
        <v/>
      </c>
      <c r="AI54" s="196" t="str">
        <f ca="1">IF(OR(AI$17="",AI$38=""),"",
SUMPRODUCT(
OFFSET(bibliotheek!$H$26,0,MATCH(AI$17,woningen_gebouwen_namen,0)-1,ROWS(bibliotheek!$I$26:$I$31),1),
OFFSET(bibliotheek!$H$47,0,MATCH(AI$38,isolatiepakketten_gebouwschil_namen,0)-1,ROWS(bibliotheek!$I$26:$I$31),1)) /
HLOOKUP(AI$17,woningen_gebouwen_gegevens,ROWS(bibliotheek!$E$20:$E$32),FALSE))</f>
        <v/>
      </c>
      <c r="AJ54" s="172"/>
      <c r="AK54" s="554"/>
      <c r="AL54" s="173"/>
      <c r="AM54" s="196" t="str">
        <f ca="1">IF(OR(AM$17="",AM$38=""),"",
SUMPRODUCT(
OFFSET(bibliotheek!$H$26,0,MATCH(AM$17,woningen_gebouwen_namen,0)-1,ROWS(bibliotheek!$I$26:$I$31),1),
OFFSET(bibliotheek!$H$47,0,MATCH(AM$38,isolatiepakketten_gebouwschil_namen,0)-1,ROWS(bibliotheek!$I$26:$I$31),1)) /
HLOOKUP(AM$17,woningen_gebouwen_gegevens,ROWS(bibliotheek!$E$20:$E$32),FALSE))</f>
        <v/>
      </c>
      <c r="AN54" s="196" t="str">
        <f ca="1">IF(OR(AN$17="",AN$38=""),"",
SUMPRODUCT(
OFFSET(bibliotheek!$H$26,0,MATCH(AN$17,woningen_gebouwen_namen,0)-1,ROWS(bibliotheek!$I$26:$I$31),1),
OFFSET(bibliotheek!$H$47,0,MATCH(AN$38,isolatiepakketten_gebouwschil_namen,0)-1,ROWS(bibliotheek!$I$26:$I$31),1)) /
HLOOKUP(AN$17,woningen_gebouwen_gegevens,ROWS(bibliotheek!$E$20:$E$32),FALSE))</f>
        <v/>
      </c>
      <c r="AO54" s="196" t="str">
        <f ca="1">IF(OR(AO$17="",AO$38=""),"",
SUMPRODUCT(
OFFSET(bibliotheek!$H$26,0,MATCH(AO$17,woningen_gebouwen_namen,0)-1,ROWS(bibliotheek!$I$26:$I$31),1),
OFFSET(bibliotheek!$H$47,0,MATCH(AO$38,isolatiepakketten_gebouwschil_namen,0)-1,ROWS(bibliotheek!$I$26:$I$31),1)) /
HLOOKUP(AO$17,woningen_gebouwen_gegevens,ROWS(bibliotheek!$E$20:$E$32),FALSE))</f>
        <v/>
      </c>
      <c r="AP54" s="196" t="str">
        <f ca="1">IF(OR(AP$17="",AP$38=""),"",
SUMPRODUCT(
OFFSET(bibliotheek!$H$26,0,MATCH(AP$17,woningen_gebouwen_namen,0)-1,ROWS(bibliotheek!$I$26:$I$31),1),
OFFSET(bibliotheek!$H$47,0,MATCH(AP$38,isolatiepakketten_gebouwschil_namen,0)-1,ROWS(bibliotheek!$I$26:$I$31),1)) /
HLOOKUP(AP$17,woningen_gebouwen_gegevens,ROWS(bibliotheek!$E$20:$E$32),FALSE))</f>
        <v/>
      </c>
      <c r="AQ54" s="196" t="str">
        <f ca="1">IF(OR(AQ$17="",AQ$38=""),"",
SUMPRODUCT(
OFFSET(bibliotheek!$H$26,0,MATCH(AQ$17,woningen_gebouwen_namen,0)-1,ROWS(bibliotheek!$I$26:$I$31),1),
OFFSET(bibliotheek!$H$47,0,MATCH(AQ$38,isolatiepakketten_gebouwschil_namen,0)-1,ROWS(bibliotheek!$I$26:$I$31),1)) /
HLOOKUP(AQ$17,woningen_gebouwen_gegevens,ROWS(bibliotheek!$E$20:$E$32),FALSE))</f>
        <v/>
      </c>
      <c r="AR54" s="196" t="str">
        <f ca="1">IF(OR(AR$17="",AR$38=""),"",
SUMPRODUCT(
OFFSET(bibliotheek!$H$26,0,MATCH(AR$17,woningen_gebouwen_namen,0)-1,ROWS(bibliotheek!$I$26:$I$31),1),
OFFSET(bibliotheek!$H$47,0,MATCH(AR$38,isolatiepakketten_gebouwschil_namen,0)-1,ROWS(bibliotheek!$I$26:$I$31),1)) /
HLOOKUP(AR$17,woningen_gebouwen_gegevens,ROWS(bibliotheek!$E$20:$E$32),FALSE))</f>
        <v/>
      </c>
      <c r="AS54" s="196" t="str">
        <f ca="1">IF(OR(AS$17="",AS$38=""),"",
SUMPRODUCT(
OFFSET(bibliotheek!$H$26,0,MATCH(AS$17,woningen_gebouwen_namen,0)-1,ROWS(bibliotheek!$I$26:$I$31),1),
OFFSET(bibliotheek!$H$47,0,MATCH(AS$38,isolatiepakketten_gebouwschil_namen,0)-1,ROWS(bibliotheek!$I$26:$I$31),1)) /
HLOOKUP(AS$17,woningen_gebouwen_gegevens,ROWS(bibliotheek!$E$20:$E$32),FALSE))</f>
        <v/>
      </c>
      <c r="AT54" s="196" t="str">
        <f ca="1">IF(OR(AT$17="",AT$38=""),"",
SUMPRODUCT(
OFFSET(bibliotheek!$H$26,0,MATCH(AT$17,woningen_gebouwen_namen,0)-1,ROWS(bibliotheek!$I$26:$I$31),1),
OFFSET(bibliotheek!$H$47,0,MATCH(AT$38,isolatiepakketten_gebouwschil_namen,0)-1,ROWS(bibliotheek!$I$26:$I$31),1)) /
HLOOKUP(AT$17,woningen_gebouwen_gegevens,ROWS(bibliotheek!$E$20:$E$32),FALSE))</f>
        <v/>
      </c>
      <c r="AU54" s="196" t="str">
        <f ca="1">IF(OR(AU$17="",AU$38=""),"",
SUMPRODUCT(
OFFSET(bibliotheek!$H$26,0,MATCH(AU$17,woningen_gebouwen_namen,0)-1,ROWS(bibliotheek!$I$26:$I$31),1),
OFFSET(bibliotheek!$H$47,0,MATCH(AU$38,isolatiepakketten_gebouwschil_namen,0)-1,ROWS(bibliotheek!$I$26:$I$31),1)) /
HLOOKUP(AU$17,woningen_gebouwen_gegevens,ROWS(bibliotheek!$E$20:$E$32),FALSE))</f>
        <v/>
      </c>
      <c r="AV54" s="172"/>
      <c r="AW54" s="554"/>
      <c r="AX54" s="173"/>
      <c r="AY54" s="196" t="str">
        <f ca="1">IF(OR(AY$17="",AY$38=""),"",
SUMPRODUCT(
OFFSET(bibliotheek!$H$26,0,MATCH(AY$17,woningen_gebouwen_namen,0)-1,ROWS(bibliotheek!$I$26:$I$31),1),
OFFSET(bibliotheek!$H$47,0,MATCH(AY$38,isolatiepakketten_gebouwschil_namen,0)-1,ROWS(bibliotheek!$I$26:$I$31),1)) /
HLOOKUP(AY$17,woningen_gebouwen_gegevens,ROWS(bibliotheek!$E$20:$E$32),FALSE))</f>
        <v/>
      </c>
      <c r="AZ54" s="196" t="str">
        <f ca="1">IF(OR(AZ$17="",AZ$38=""),"",
SUMPRODUCT(
OFFSET(bibliotheek!$H$26,0,MATCH(AZ$17,woningen_gebouwen_namen,0)-1,ROWS(bibliotheek!$I$26:$I$31),1),
OFFSET(bibliotheek!$H$47,0,MATCH(AZ$38,isolatiepakketten_gebouwschil_namen,0)-1,ROWS(bibliotheek!$I$26:$I$31),1)) /
HLOOKUP(AZ$17,woningen_gebouwen_gegevens,ROWS(bibliotheek!$E$20:$E$32),FALSE))</f>
        <v/>
      </c>
      <c r="BA54" s="196" t="str">
        <f ca="1">IF(OR(BA$17="",BA$38=""),"",
SUMPRODUCT(
OFFSET(bibliotheek!$H$26,0,MATCH(BA$17,woningen_gebouwen_namen,0)-1,ROWS(bibliotheek!$I$26:$I$31),1),
OFFSET(bibliotheek!$H$47,0,MATCH(BA$38,isolatiepakketten_gebouwschil_namen,0)-1,ROWS(bibliotheek!$I$26:$I$31),1)) /
HLOOKUP(BA$17,woningen_gebouwen_gegevens,ROWS(bibliotheek!$E$20:$E$32),FALSE))</f>
        <v/>
      </c>
      <c r="BB54" s="196" t="str">
        <f ca="1">IF(OR(BB$17="",BB$38=""),"",
SUMPRODUCT(
OFFSET(bibliotheek!$H$26,0,MATCH(BB$17,woningen_gebouwen_namen,0)-1,ROWS(bibliotheek!$I$26:$I$31),1),
OFFSET(bibliotheek!$H$47,0,MATCH(BB$38,isolatiepakketten_gebouwschil_namen,0)-1,ROWS(bibliotheek!$I$26:$I$31),1)) /
HLOOKUP(BB$17,woningen_gebouwen_gegevens,ROWS(bibliotheek!$E$20:$E$32),FALSE))</f>
        <v/>
      </c>
      <c r="BC54" s="196" t="str">
        <f ca="1">IF(OR(BC$17="",BC$38=""),"",
SUMPRODUCT(
OFFSET(bibliotheek!$H$26,0,MATCH(BC$17,woningen_gebouwen_namen,0)-1,ROWS(bibliotheek!$I$26:$I$31),1),
OFFSET(bibliotheek!$H$47,0,MATCH(BC$38,isolatiepakketten_gebouwschil_namen,0)-1,ROWS(bibliotheek!$I$26:$I$31),1)) /
HLOOKUP(BC$17,woningen_gebouwen_gegevens,ROWS(bibliotheek!$E$20:$E$32),FALSE))</f>
        <v/>
      </c>
      <c r="BD54" s="196" t="str">
        <f ca="1">IF(OR(BD$17="",BD$38=""),"",
SUMPRODUCT(
OFFSET(bibliotheek!$H$26,0,MATCH(BD$17,woningen_gebouwen_namen,0)-1,ROWS(bibliotheek!$I$26:$I$31),1),
OFFSET(bibliotheek!$H$47,0,MATCH(BD$38,isolatiepakketten_gebouwschil_namen,0)-1,ROWS(bibliotheek!$I$26:$I$31),1)) /
HLOOKUP(BD$17,woningen_gebouwen_gegevens,ROWS(bibliotheek!$E$20:$E$32),FALSE))</f>
        <v/>
      </c>
      <c r="BE54" s="196" t="str">
        <f ca="1">IF(OR(BE$17="",BE$38=""),"",
SUMPRODUCT(
OFFSET(bibliotheek!$H$26,0,MATCH(BE$17,woningen_gebouwen_namen,0)-1,ROWS(bibliotheek!$I$26:$I$31),1),
OFFSET(bibliotheek!$H$47,0,MATCH(BE$38,isolatiepakketten_gebouwschil_namen,0)-1,ROWS(bibliotheek!$I$26:$I$31),1)) /
HLOOKUP(BE$17,woningen_gebouwen_gegevens,ROWS(bibliotheek!$E$20:$E$32),FALSE))</f>
        <v/>
      </c>
      <c r="BF54" s="196" t="str">
        <f ca="1">IF(OR(BF$17="",BF$38=""),"",
SUMPRODUCT(
OFFSET(bibliotheek!$H$26,0,MATCH(BF$17,woningen_gebouwen_namen,0)-1,ROWS(bibliotheek!$I$26:$I$31),1),
OFFSET(bibliotheek!$H$47,0,MATCH(BF$38,isolatiepakketten_gebouwschil_namen,0)-1,ROWS(bibliotheek!$I$26:$I$31),1)) /
HLOOKUP(BF$17,woningen_gebouwen_gegevens,ROWS(bibliotheek!$E$20:$E$32),FALSE))</f>
        <v/>
      </c>
      <c r="BG54" s="196" t="str">
        <f ca="1">IF(OR(BG$17="",BG$38=""),"",
SUMPRODUCT(
OFFSET(bibliotheek!$H$26,0,MATCH(BG$17,woningen_gebouwen_namen,0)-1,ROWS(bibliotheek!$I$26:$I$31),1),
OFFSET(bibliotheek!$H$47,0,MATCH(BG$38,isolatiepakketten_gebouwschil_namen,0)-1,ROWS(bibliotheek!$I$26:$I$31),1)) /
HLOOKUP(BG$17,woningen_gebouwen_gegevens,ROWS(bibliotheek!$E$20:$E$32),FALSE))</f>
        <v/>
      </c>
      <c r="BH54" s="216"/>
    </row>
    <row r="55" spans="1:60" s="2" customFormat="1">
      <c r="A55" s="1044"/>
      <c r="B55" s="1110" t="s">
        <v>132</v>
      </c>
      <c r="C55" s="1106" t="s">
        <v>118</v>
      </c>
      <c r="D55" s="639" t="s">
        <v>45</v>
      </c>
      <c r="E55" s="254" t="s">
        <v>1149</v>
      </c>
      <c r="F55" s="254"/>
      <c r="G55" s="180"/>
      <c r="H55" s="291" t="s">
        <v>154</v>
      </c>
      <c r="I55" s="104"/>
      <c r="J55" s="768"/>
      <c r="K55" s="1055"/>
      <c r="L55" s="1055"/>
      <c r="M55" s="873"/>
      <c r="N55" s="91"/>
      <c r="O55" s="929">
        <f t="shared" ref="O55:W55" si="58">IFERROR(IF(AND($F$6=MWA,O56&lt;&gt;""),O56,
IF(OR(O$17="",O$38="",O$40=""),0,MAX(warmtebehoefte_verwarming_ondergrens,
HLOOKUP(O$61,fitcurves_NTA8800,MATCH(fit_a0,parameters_fitformule,0),FALSE)
+HLOOKUP(O$61,fitcurves_NTA8800,MATCH(fit_a1,parameters_fitformule,0),FALSE)
*O$54*O$32^HLOOKUP(O$61,fitcurves_NTA8800,MATCH(fit_n1,parameters_fitformule,0),FALSE)
))),0)</f>
        <v>0</v>
      </c>
      <c r="P55" s="929">
        <f t="shared" si="58"/>
        <v>0</v>
      </c>
      <c r="Q55" s="929">
        <f t="shared" si="58"/>
        <v>0</v>
      </c>
      <c r="R55" s="929">
        <f t="shared" si="58"/>
        <v>0</v>
      </c>
      <c r="S55" s="929">
        <f t="shared" si="58"/>
        <v>0</v>
      </c>
      <c r="T55" s="929">
        <f t="shared" si="58"/>
        <v>0</v>
      </c>
      <c r="U55" s="929">
        <f t="shared" si="58"/>
        <v>0</v>
      </c>
      <c r="V55" s="929">
        <f t="shared" si="58"/>
        <v>0</v>
      </c>
      <c r="W55" s="929">
        <f t="shared" si="58"/>
        <v>0</v>
      </c>
      <c r="X55" s="930"/>
      <c r="Y55" s="931"/>
      <c r="Z55" s="932"/>
      <c r="AA55" s="933">
        <f t="shared" ref="AA55:AI55" si="59">IFERROR(IF(AND($F$6=MWA,AA56&lt;&gt;""),AA56,
IF(OR(AA$17="",AA$38="",AA$40=""),0,MAX(warmtebehoefte_verwarming_ondergrens,
HLOOKUP(AA$61,fitcurves_NTA8800,MATCH(fit_a0,parameters_fitformule,0),FALSE)
+HLOOKUP(AA$61,fitcurves_NTA8800,MATCH(fit_a1,parameters_fitformule,0),FALSE)
*AA$54*AA$32^HLOOKUP(AA$61,fitcurves_NTA8800,MATCH(fit_n1,parameters_fitformule,0),FALSE)
))),0)</f>
        <v>0</v>
      </c>
      <c r="AB55" s="933">
        <f t="shared" si="59"/>
        <v>0</v>
      </c>
      <c r="AC55" s="933">
        <f t="shared" si="59"/>
        <v>0</v>
      </c>
      <c r="AD55" s="933">
        <f t="shared" si="59"/>
        <v>0</v>
      </c>
      <c r="AE55" s="933">
        <f t="shared" si="59"/>
        <v>0</v>
      </c>
      <c r="AF55" s="933">
        <f t="shared" si="59"/>
        <v>0</v>
      </c>
      <c r="AG55" s="933">
        <f t="shared" si="59"/>
        <v>0</v>
      </c>
      <c r="AH55" s="933">
        <f t="shared" si="59"/>
        <v>0</v>
      </c>
      <c r="AI55" s="933">
        <f t="shared" si="59"/>
        <v>0</v>
      </c>
      <c r="AJ55" s="930"/>
      <c r="AK55" s="931"/>
      <c r="AL55" s="932"/>
      <c r="AM55" s="933">
        <f t="shared" ref="AM55:AU55" si="60">IFERROR(IF(AND($F$6=MWA,AM56&lt;&gt;""),AM56,
IF(OR(AM$17="",AM$38="",AM$40=""),0,MAX(warmtebehoefte_verwarming_ondergrens,
HLOOKUP(AM$61,fitcurves_NTA8800,MATCH(fit_a0,parameters_fitformule,0),FALSE)
+HLOOKUP(AM$61,fitcurves_NTA8800,MATCH(fit_a1,parameters_fitformule,0),FALSE)
*AM$54*AM$32^HLOOKUP(AM$61,fitcurves_NTA8800,MATCH(fit_n1,parameters_fitformule,0),FALSE)
))),0)</f>
        <v>0</v>
      </c>
      <c r="AN55" s="933">
        <f t="shared" si="60"/>
        <v>0</v>
      </c>
      <c r="AO55" s="933">
        <f t="shared" si="60"/>
        <v>0</v>
      </c>
      <c r="AP55" s="933">
        <f t="shared" si="60"/>
        <v>0</v>
      </c>
      <c r="AQ55" s="933">
        <f t="shared" si="60"/>
        <v>0</v>
      </c>
      <c r="AR55" s="933">
        <f t="shared" si="60"/>
        <v>0</v>
      </c>
      <c r="AS55" s="933">
        <f t="shared" si="60"/>
        <v>0</v>
      </c>
      <c r="AT55" s="933">
        <f t="shared" si="60"/>
        <v>0</v>
      </c>
      <c r="AU55" s="933">
        <f t="shared" si="60"/>
        <v>0</v>
      </c>
      <c r="AV55" s="930"/>
      <c r="AW55" s="931"/>
      <c r="AX55" s="932"/>
      <c r="AY55" s="933">
        <f t="shared" ref="AY55:BG55" si="61">IFERROR(IF(AND($F$6=MWA,AY56&lt;&gt;""),AY56,
IF(OR(AY$17="",AY$38="",AY$40=""),0,MAX(warmtebehoefte_verwarming_ondergrens,
HLOOKUP(AY$61,fitcurves_NTA8800,MATCH(fit_a0,parameters_fitformule,0),FALSE)
+HLOOKUP(AY$61,fitcurves_NTA8800,MATCH(fit_a1,parameters_fitformule,0),FALSE)
*AY$54*AY$32^HLOOKUP(AY$61,fitcurves_NTA8800,MATCH(fit_n1,parameters_fitformule,0),FALSE)
))),0)</f>
        <v>0</v>
      </c>
      <c r="AZ55" s="933">
        <f t="shared" si="61"/>
        <v>0</v>
      </c>
      <c r="BA55" s="933">
        <f t="shared" si="61"/>
        <v>0</v>
      </c>
      <c r="BB55" s="933">
        <f t="shared" si="61"/>
        <v>0</v>
      </c>
      <c r="BC55" s="933">
        <f t="shared" si="61"/>
        <v>0</v>
      </c>
      <c r="BD55" s="933">
        <f t="shared" si="61"/>
        <v>0</v>
      </c>
      <c r="BE55" s="933">
        <f t="shared" si="61"/>
        <v>0</v>
      </c>
      <c r="BF55" s="933">
        <f t="shared" si="61"/>
        <v>0</v>
      </c>
      <c r="BG55" s="933">
        <f t="shared" si="61"/>
        <v>0</v>
      </c>
      <c r="BH55" s="216"/>
    </row>
    <row r="56" spans="1:60" s="2" customFormat="1">
      <c r="A56" s="1044"/>
      <c r="B56" s="1110" t="s">
        <v>132</v>
      </c>
      <c r="C56" s="1106" t="s">
        <v>118</v>
      </c>
      <c r="D56" s="639"/>
      <c r="E56" s="1221" t="s">
        <v>1185</v>
      </c>
      <c r="F56" s="595"/>
      <c r="G56" s="595"/>
      <c r="H56" s="291" t="s">
        <v>154</v>
      </c>
      <c r="I56" s="104"/>
      <c r="J56" s="769"/>
      <c r="K56" s="1055"/>
      <c r="L56" s="1055"/>
      <c r="M56" s="770"/>
      <c r="N56" s="243"/>
      <c r="O56" s="958"/>
      <c r="P56" s="958"/>
      <c r="Q56" s="958"/>
      <c r="R56" s="958"/>
      <c r="S56" s="958"/>
      <c r="T56" s="958"/>
      <c r="U56" s="958"/>
      <c r="V56" s="958"/>
      <c r="W56" s="958"/>
      <c r="X56" s="172"/>
      <c r="Y56" s="770"/>
      <c r="Z56" s="243"/>
      <c r="AA56" s="958"/>
      <c r="AB56" s="958"/>
      <c r="AC56" s="958"/>
      <c r="AD56" s="958"/>
      <c r="AE56" s="958"/>
      <c r="AF56" s="958"/>
      <c r="AG56" s="958"/>
      <c r="AH56" s="958"/>
      <c r="AI56" s="958"/>
      <c r="AJ56" s="172"/>
      <c r="AK56" s="770"/>
      <c r="AL56" s="243"/>
      <c r="AM56" s="958"/>
      <c r="AN56" s="958"/>
      <c r="AO56" s="958"/>
      <c r="AP56" s="958"/>
      <c r="AQ56" s="958"/>
      <c r="AR56" s="958"/>
      <c r="AS56" s="958"/>
      <c r="AT56" s="958"/>
      <c r="AU56" s="958"/>
      <c r="AV56" s="172"/>
      <c r="AW56" s="770"/>
      <c r="AX56" s="243"/>
      <c r="AY56" s="958"/>
      <c r="AZ56" s="958"/>
      <c r="BA56" s="958"/>
      <c r="BB56" s="958"/>
      <c r="BC56" s="958"/>
      <c r="BD56" s="958"/>
      <c r="BE56" s="958"/>
      <c r="BF56" s="958"/>
      <c r="BG56" s="958"/>
      <c r="BH56" s="216"/>
    </row>
    <row r="57" spans="1:60">
      <c r="A57" s="1041"/>
      <c r="B57" s="1109" t="s">
        <v>147</v>
      </c>
      <c r="C57" s="1107" t="s">
        <v>96</v>
      </c>
      <c r="D57" s="638"/>
      <c r="E57" s="79"/>
      <c r="F57" s="79"/>
      <c r="G57" s="79"/>
      <c r="H57" s="85"/>
      <c r="I57" s="104"/>
      <c r="J57" s="82"/>
      <c r="K57" s="1055"/>
      <c r="L57" s="1055"/>
      <c r="M57" s="82"/>
      <c r="N57" s="82"/>
      <c r="O57" s="82"/>
      <c r="P57" s="82"/>
      <c r="Q57" s="82"/>
      <c r="R57" s="82"/>
      <c r="S57" s="82"/>
      <c r="T57" s="82"/>
      <c r="U57" s="82"/>
      <c r="V57" s="82"/>
      <c r="W57" s="82"/>
      <c r="X57" s="82"/>
      <c r="Y57" s="82"/>
      <c r="Z57" s="79"/>
      <c r="AA57" s="82"/>
      <c r="AB57" s="82"/>
      <c r="AC57" s="82"/>
      <c r="AD57" s="82"/>
      <c r="AE57" s="82"/>
      <c r="AF57" s="82"/>
      <c r="AG57" s="82"/>
      <c r="AH57" s="82"/>
      <c r="AI57" s="82"/>
      <c r="AJ57" s="82"/>
      <c r="AK57" s="82"/>
      <c r="AL57" s="79"/>
      <c r="AM57" s="82"/>
      <c r="AN57" s="82"/>
      <c r="AO57" s="82"/>
      <c r="AP57" s="82"/>
      <c r="AQ57" s="82"/>
      <c r="AR57" s="82"/>
      <c r="AS57" s="82"/>
      <c r="AT57" s="82"/>
      <c r="AU57" s="82"/>
      <c r="AV57" s="82"/>
      <c r="AW57" s="82"/>
      <c r="AX57" s="79"/>
      <c r="AY57" s="82"/>
      <c r="AZ57" s="82"/>
      <c r="BA57" s="82"/>
      <c r="BB57" s="82"/>
      <c r="BC57" s="82"/>
      <c r="BD57" s="82"/>
      <c r="BE57" s="82"/>
      <c r="BF57" s="82"/>
      <c r="BG57" s="82"/>
      <c r="BH57" s="1"/>
    </row>
    <row r="58" spans="1:60">
      <c r="A58" s="1041"/>
      <c r="B58" s="1109" t="s">
        <v>147</v>
      </c>
      <c r="C58" s="1106" t="s">
        <v>96</v>
      </c>
      <c r="D58" s="638"/>
      <c r="E58" s="230"/>
      <c r="F58" s="79"/>
      <c r="G58" s="79"/>
      <c r="H58" s="85"/>
      <c r="I58" s="79"/>
      <c r="J58" s="82"/>
      <c r="K58" s="79"/>
      <c r="L58" s="79"/>
      <c r="M58" s="82"/>
      <c r="N58" s="82"/>
      <c r="O58" s="82"/>
      <c r="P58" s="82"/>
      <c r="Q58" s="82"/>
      <c r="R58" s="82"/>
      <c r="S58" s="82"/>
      <c r="T58" s="82"/>
      <c r="U58" s="82"/>
      <c r="V58" s="82"/>
      <c r="W58" s="82"/>
      <c r="X58" s="82"/>
      <c r="Y58" s="82"/>
      <c r="Z58" s="79"/>
      <c r="AA58" s="82"/>
      <c r="AB58" s="82"/>
      <c r="AC58" s="82"/>
      <c r="AD58" s="82"/>
      <c r="AE58" s="82"/>
      <c r="AF58" s="82"/>
      <c r="AG58" s="82"/>
      <c r="AH58" s="82"/>
      <c r="AI58" s="82"/>
      <c r="AJ58" s="82"/>
      <c r="AK58" s="82"/>
      <c r="AL58" s="79"/>
      <c r="AM58" s="82"/>
      <c r="AN58" s="82"/>
      <c r="AO58" s="82"/>
      <c r="AP58" s="82"/>
      <c r="AQ58" s="82"/>
      <c r="AR58" s="82"/>
      <c r="AS58" s="82"/>
      <c r="AT58" s="82"/>
      <c r="AU58" s="82"/>
      <c r="AV58" s="82"/>
      <c r="AW58" s="82"/>
      <c r="AX58" s="79"/>
      <c r="AY58" s="82"/>
      <c r="AZ58" s="82"/>
      <c r="BA58" s="82"/>
      <c r="BB58" s="82"/>
      <c r="BC58" s="82"/>
      <c r="BD58" s="82"/>
      <c r="BE58" s="82"/>
      <c r="BF58" s="82"/>
      <c r="BG58" s="82"/>
      <c r="BH58" s="1"/>
    </row>
    <row r="59" spans="1:60" s="2" customFormat="1" ht="21">
      <c r="A59" s="1042"/>
      <c r="B59" s="1109" t="s">
        <v>147</v>
      </c>
      <c r="C59" s="1106" t="s">
        <v>96</v>
      </c>
      <c r="D59" s="640"/>
      <c r="E59" s="209" t="s">
        <v>1150</v>
      </c>
      <c r="F59" s="209"/>
      <c r="G59" s="209"/>
      <c r="H59" s="209"/>
      <c r="I59" s="129"/>
      <c r="J59" s="256" t="str">
        <f>"MWh "&amp;J$8</f>
        <v>MWh alle locaties</v>
      </c>
      <c r="K59" s="126"/>
      <c r="L59" s="126"/>
      <c r="M59" s="256" t="str">
        <f>"MWh "&amp;M$8</f>
        <v>MWh locatie 1</v>
      </c>
      <c r="N59" s="193"/>
      <c r="O59" s="955" t="str">
        <f>$E59&amp;" per woning-/gebouwtype"</f>
        <v>indicatie energiebehoefte per woning | utiliteitsgebouw per woning-/gebouwtype</v>
      </c>
      <c r="P59" s="945"/>
      <c r="Q59" s="945"/>
      <c r="R59" s="945"/>
      <c r="S59" s="945"/>
      <c r="T59" s="945"/>
      <c r="U59" s="945"/>
      <c r="V59" s="945"/>
      <c r="W59" s="257"/>
      <c r="X59" s="174"/>
      <c r="Y59" s="257" t="str">
        <f>Y$10&amp;" MWh"</f>
        <v>locatie 2 MWh</v>
      </c>
      <c r="Z59" s="193"/>
      <c r="AA59" s="955" t="str">
        <f>$E59&amp;" per woning-/gebouwtype"</f>
        <v>indicatie energiebehoefte per woning | utiliteitsgebouw per woning-/gebouwtype</v>
      </c>
      <c r="AB59" s="945"/>
      <c r="AC59" s="945"/>
      <c r="AD59" s="945"/>
      <c r="AE59" s="945"/>
      <c r="AF59" s="945"/>
      <c r="AG59" s="945"/>
      <c r="AH59" s="945"/>
      <c r="AI59" s="257"/>
      <c r="AJ59" s="174"/>
      <c r="AK59" s="257" t="str">
        <f>AK$10&amp;" MWh"</f>
        <v>locatie 3 MWh</v>
      </c>
      <c r="AL59" s="193"/>
      <c r="AM59" s="955" t="str">
        <f>$E59&amp;" per woning-/gebouwtype"</f>
        <v>indicatie energiebehoefte per woning | utiliteitsgebouw per woning-/gebouwtype</v>
      </c>
      <c r="AN59" s="945"/>
      <c r="AO59" s="945"/>
      <c r="AP59" s="945"/>
      <c r="AQ59" s="945"/>
      <c r="AR59" s="945"/>
      <c r="AS59" s="945"/>
      <c r="AT59" s="945"/>
      <c r="AU59" s="257"/>
      <c r="AV59" s="174"/>
      <c r="AW59" s="257" t="str">
        <f>AW$10&amp;" MWh"</f>
        <v>locatie 4 MWh</v>
      </c>
      <c r="AX59" s="193"/>
      <c r="AY59" s="955" t="str">
        <f>$E59&amp;" per woning-/gebouwtype"</f>
        <v>indicatie energiebehoefte per woning | utiliteitsgebouw per woning-/gebouwtype</v>
      </c>
      <c r="AZ59" s="945"/>
      <c r="BA59" s="945"/>
      <c r="BB59" s="945"/>
      <c r="BC59" s="945"/>
      <c r="BD59" s="945"/>
      <c r="BE59" s="945"/>
      <c r="BF59" s="945"/>
      <c r="BG59" s="257"/>
      <c r="BH59" s="1"/>
    </row>
    <row r="60" spans="1:60">
      <c r="A60" s="1041"/>
      <c r="B60" s="1109" t="s">
        <v>147</v>
      </c>
      <c r="C60" s="1106" t="s">
        <v>96</v>
      </c>
      <c r="D60" s="640"/>
      <c r="E60" s="942" t="s">
        <v>153</v>
      </c>
      <c r="F60" s="942"/>
      <c r="G60" s="942"/>
      <c r="H60" s="942"/>
      <c r="I60" s="129"/>
      <c r="J60" s="943"/>
      <c r="K60" s="126"/>
      <c r="L60" s="126"/>
      <c r="M60" s="944"/>
      <c r="N60" s="153"/>
      <c r="O60" s="258" t="str">
        <f>O$17</f>
        <v/>
      </c>
      <c r="P60" s="258" t="str">
        <f t="shared" ref="P60:W60" si="62">P$17</f>
        <v/>
      </c>
      <c r="Q60" s="258" t="str">
        <f t="shared" si="62"/>
        <v/>
      </c>
      <c r="R60" s="258" t="str">
        <f t="shared" si="62"/>
        <v/>
      </c>
      <c r="S60" s="258" t="str">
        <f t="shared" si="62"/>
        <v/>
      </c>
      <c r="T60" s="258" t="str">
        <f t="shared" si="62"/>
        <v/>
      </c>
      <c r="U60" s="258" t="str">
        <f t="shared" si="62"/>
        <v/>
      </c>
      <c r="V60" s="258" t="str">
        <f t="shared" si="62"/>
        <v/>
      </c>
      <c r="W60" s="258" t="str">
        <f t="shared" si="62"/>
        <v/>
      </c>
      <c r="X60" s="146"/>
      <c r="Y60" s="944"/>
      <c r="Z60" s="145"/>
      <c r="AA60" s="258" t="str">
        <f>AA$17</f>
        <v/>
      </c>
      <c r="AB60" s="258" t="str">
        <f t="shared" ref="AB60:AI60" si="63">AB$17</f>
        <v/>
      </c>
      <c r="AC60" s="258" t="str">
        <f t="shared" si="63"/>
        <v/>
      </c>
      <c r="AD60" s="258" t="str">
        <f t="shared" si="63"/>
        <v/>
      </c>
      <c r="AE60" s="258" t="str">
        <f t="shared" si="63"/>
        <v/>
      </c>
      <c r="AF60" s="258" t="str">
        <f t="shared" si="63"/>
        <v/>
      </c>
      <c r="AG60" s="258" t="str">
        <f t="shared" si="63"/>
        <v/>
      </c>
      <c r="AH60" s="258" t="str">
        <f t="shared" si="63"/>
        <v/>
      </c>
      <c r="AI60" s="258" t="str">
        <f t="shared" si="63"/>
        <v/>
      </c>
      <c r="AJ60" s="146"/>
      <c r="AK60" s="944"/>
      <c r="AL60" s="145"/>
      <c r="AM60" s="258" t="str">
        <f>AM$17</f>
        <v/>
      </c>
      <c r="AN60" s="258" t="str">
        <f t="shared" ref="AN60:AU60" si="64">AN$17</f>
        <v/>
      </c>
      <c r="AO60" s="258" t="str">
        <f t="shared" si="64"/>
        <v/>
      </c>
      <c r="AP60" s="258" t="str">
        <f t="shared" si="64"/>
        <v/>
      </c>
      <c r="AQ60" s="258" t="str">
        <f t="shared" si="64"/>
        <v/>
      </c>
      <c r="AR60" s="258" t="str">
        <f t="shared" si="64"/>
        <v/>
      </c>
      <c r="AS60" s="258" t="str">
        <f t="shared" si="64"/>
        <v/>
      </c>
      <c r="AT60" s="258" t="str">
        <f t="shared" si="64"/>
        <v/>
      </c>
      <c r="AU60" s="258" t="str">
        <f t="shared" si="64"/>
        <v/>
      </c>
      <c r="AV60" s="146"/>
      <c r="AW60" s="944"/>
      <c r="AX60" s="145"/>
      <c r="AY60" s="258" t="str">
        <f>AY$17</f>
        <v/>
      </c>
      <c r="AZ60" s="258" t="str">
        <f t="shared" ref="AZ60:BG60" si="65">AZ$17</f>
        <v/>
      </c>
      <c r="BA60" s="258" t="str">
        <f t="shared" si="65"/>
        <v/>
      </c>
      <c r="BB60" s="258" t="str">
        <f t="shared" si="65"/>
        <v/>
      </c>
      <c r="BC60" s="258" t="str">
        <f t="shared" si="65"/>
        <v/>
      </c>
      <c r="BD60" s="258" t="str">
        <f t="shared" si="65"/>
        <v/>
      </c>
      <c r="BE60" s="258" t="str">
        <f t="shared" si="65"/>
        <v/>
      </c>
      <c r="BF60" s="258" t="str">
        <f t="shared" si="65"/>
        <v/>
      </c>
      <c r="BG60" s="258" t="str">
        <f t="shared" si="65"/>
        <v/>
      </c>
      <c r="BH60" s="218"/>
    </row>
    <row r="61" spans="1:60" s="671" customFormat="1" ht="25.5" hidden="1">
      <c r="A61" s="1045"/>
      <c r="B61" s="1109" t="s">
        <v>147</v>
      </c>
      <c r="C61" s="1106" t="s">
        <v>262</v>
      </c>
      <c r="D61" s="946"/>
      <c r="E61" s="947" t="s">
        <v>1151</v>
      </c>
      <c r="F61" s="948"/>
      <c r="G61" s="949" t="s">
        <v>803</v>
      </c>
      <c r="H61" s="950" t="s">
        <v>65</v>
      </c>
      <c r="I61" s="951"/>
      <c r="J61" s="952"/>
      <c r="K61" s="953"/>
      <c r="L61" s="953"/>
      <c r="M61" s="952"/>
      <c r="N61" s="954" t="s">
        <v>84</v>
      </c>
      <c r="O61" s="934" t="e">
        <f t="shared" ref="O61:W61" si="66">$F$6
&amp;INDEX(gebruiksfuncties_fitcurve_NTA8800,MATCH(O$19,gebruiksfuncties_namen,0))
&amp;INDEX(ventilatiesystemen_code,MATCH(O$40,ventilatiesystemen_namen,0))
&amp;O$49
&amp;$G61</f>
        <v>#N/A</v>
      </c>
      <c r="P61" s="934" t="e">
        <f t="shared" si="66"/>
        <v>#N/A</v>
      </c>
      <c r="Q61" s="934" t="e">
        <f t="shared" si="66"/>
        <v>#N/A</v>
      </c>
      <c r="R61" s="934" t="e">
        <f t="shared" si="66"/>
        <v>#N/A</v>
      </c>
      <c r="S61" s="934" t="e">
        <f t="shared" si="66"/>
        <v>#N/A</v>
      </c>
      <c r="T61" s="934" t="e">
        <f t="shared" si="66"/>
        <v>#N/A</v>
      </c>
      <c r="U61" s="934" t="e">
        <f t="shared" si="66"/>
        <v>#N/A</v>
      </c>
      <c r="V61" s="934" t="e">
        <f t="shared" si="66"/>
        <v>#N/A</v>
      </c>
      <c r="W61" s="934" t="e">
        <f t="shared" si="66"/>
        <v>#N/A</v>
      </c>
      <c r="X61" s="953"/>
      <c r="Y61" s="952"/>
      <c r="Z61" s="954" t="s">
        <v>84</v>
      </c>
      <c r="AA61" s="934" t="e">
        <f>$F$6
&amp;INDEX(gebruiksfuncties_fitcurve_NTA8800,MATCH(AA$19,gebruiksfuncties_namen,0))
&amp;INDEX(ventilatiesystemen_code,MATCH(AA$40,ventilatiesystemen_namen,0))
&amp;AA$49
&amp;$G61</f>
        <v>#N/A</v>
      </c>
      <c r="AB61" s="934" t="e">
        <f t="shared" ref="AB61:AI61" si="67">$F$6
&amp;INDEX(gebruiksfuncties_fitcurve_NTA8800,MATCH(AB$19,gebruiksfuncties_namen,0))
&amp;INDEX(ventilatiesystemen_code,MATCH(AB$40,ventilatiesystemen_namen,0))
&amp;AB$49
&amp;$G61</f>
        <v>#N/A</v>
      </c>
      <c r="AC61" s="934" t="e">
        <f t="shared" si="67"/>
        <v>#N/A</v>
      </c>
      <c r="AD61" s="934" t="e">
        <f t="shared" si="67"/>
        <v>#N/A</v>
      </c>
      <c r="AE61" s="934" t="e">
        <f t="shared" si="67"/>
        <v>#N/A</v>
      </c>
      <c r="AF61" s="934" t="e">
        <f t="shared" si="67"/>
        <v>#N/A</v>
      </c>
      <c r="AG61" s="934" t="e">
        <f t="shared" si="67"/>
        <v>#N/A</v>
      </c>
      <c r="AH61" s="934" t="e">
        <f t="shared" si="67"/>
        <v>#N/A</v>
      </c>
      <c r="AI61" s="934" t="e">
        <f t="shared" si="67"/>
        <v>#N/A</v>
      </c>
      <c r="AJ61" s="953"/>
      <c r="AK61" s="952"/>
      <c r="AL61" s="954" t="s">
        <v>84</v>
      </c>
      <c r="AM61" s="934" t="e">
        <f t="shared" ref="AM61:AU61" si="68">$F$6
&amp;INDEX(gebruiksfuncties_fitcurve_NTA8800,MATCH(AM$19,gebruiksfuncties_namen,0))
&amp;INDEX(ventilatiesystemen_code,MATCH(AM$40,ventilatiesystemen_namen,0))
&amp;AM$49
&amp;$G61</f>
        <v>#N/A</v>
      </c>
      <c r="AN61" s="934" t="e">
        <f t="shared" si="68"/>
        <v>#N/A</v>
      </c>
      <c r="AO61" s="934" t="e">
        <f t="shared" si="68"/>
        <v>#N/A</v>
      </c>
      <c r="AP61" s="934" t="e">
        <f t="shared" si="68"/>
        <v>#N/A</v>
      </c>
      <c r="AQ61" s="934" t="e">
        <f t="shared" si="68"/>
        <v>#N/A</v>
      </c>
      <c r="AR61" s="934" t="e">
        <f t="shared" si="68"/>
        <v>#N/A</v>
      </c>
      <c r="AS61" s="934" t="e">
        <f t="shared" si="68"/>
        <v>#N/A</v>
      </c>
      <c r="AT61" s="934" t="e">
        <f t="shared" si="68"/>
        <v>#N/A</v>
      </c>
      <c r="AU61" s="934" t="e">
        <f t="shared" si="68"/>
        <v>#N/A</v>
      </c>
      <c r="AV61" s="953"/>
      <c r="AW61" s="952"/>
      <c r="AX61" s="954" t="s">
        <v>84</v>
      </c>
      <c r="AY61" s="934" t="e">
        <f t="shared" ref="AY61:BG61" si="69">$F$6
&amp;INDEX(gebruiksfuncties_fitcurve_NTA8800,MATCH(AY$19,gebruiksfuncties_namen,0))
&amp;INDEX(ventilatiesystemen_code,MATCH(AY$40,ventilatiesystemen_namen,0))
&amp;AY$49
&amp;$G61</f>
        <v>#N/A</v>
      </c>
      <c r="AZ61" s="934" t="e">
        <f t="shared" si="69"/>
        <v>#N/A</v>
      </c>
      <c r="BA61" s="934" t="e">
        <f t="shared" si="69"/>
        <v>#N/A</v>
      </c>
      <c r="BB61" s="934" t="e">
        <f t="shared" si="69"/>
        <v>#N/A</v>
      </c>
      <c r="BC61" s="934" t="e">
        <f t="shared" si="69"/>
        <v>#N/A</v>
      </c>
      <c r="BD61" s="934" t="e">
        <f t="shared" si="69"/>
        <v>#N/A</v>
      </c>
      <c r="BE61" s="934" t="e">
        <f t="shared" si="69"/>
        <v>#N/A</v>
      </c>
      <c r="BF61" s="934" t="e">
        <f t="shared" si="69"/>
        <v>#N/A</v>
      </c>
      <c r="BG61" s="934" t="e">
        <f t="shared" si="69"/>
        <v>#N/A</v>
      </c>
      <c r="BH61" s="223"/>
    </row>
    <row r="62" spans="1:60">
      <c r="A62" s="1041"/>
      <c r="B62" s="1109" t="s">
        <v>147</v>
      </c>
      <c r="C62" s="1107" t="s">
        <v>104</v>
      </c>
      <c r="D62" s="641" t="s">
        <v>45</v>
      </c>
      <c r="E62" s="413" t="str">
        <f>$O$10</f>
        <v>verwarming</v>
      </c>
      <c r="F62" s="296"/>
      <c r="G62" s="296"/>
      <c r="H62" s="295" t="s">
        <v>154</v>
      </c>
      <c r="I62" s="259"/>
      <c r="J62" s="261">
        <f t="shared" ref="J62:J69" si="70">M62+Y62+AK62+AW62</f>
        <v>0</v>
      </c>
      <c r="K62" s="126"/>
      <c r="L62" s="126"/>
      <c r="M62" s="261">
        <f t="shared" ref="M62:M69" si="71">SUMPRODUCT(N$22:X$22,N$29:X$29,N62:X62)/1000</f>
        <v>0</v>
      </c>
      <c r="N62" s="259"/>
      <c r="O62" s="260">
        <f t="shared" ref="O62:W62" si="72">IFERROR(IF(OR(O$17="",O$38="",O$40=""),0,MAX(warmtebehoefte_verwarming_ondergrens,O55)),0)</f>
        <v>0</v>
      </c>
      <c r="P62" s="260">
        <f t="shared" si="72"/>
        <v>0</v>
      </c>
      <c r="Q62" s="260">
        <f t="shared" si="72"/>
        <v>0</v>
      </c>
      <c r="R62" s="260">
        <f t="shared" si="72"/>
        <v>0</v>
      </c>
      <c r="S62" s="260">
        <f t="shared" si="72"/>
        <v>0</v>
      </c>
      <c r="T62" s="260">
        <f t="shared" si="72"/>
        <v>0</v>
      </c>
      <c r="U62" s="260">
        <f t="shared" si="72"/>
        <v>0</v>
      </c>
      <c r="V62" s="260">
        <f t="shared" si="72"/>
        <v>0</v>
      </c>
      <c r="W62" s="260">
        <f t="shared" si="72"/>
        <v>0</v>
      </c>
      <c r="X62" s="126"/>
      <c r="Y62" s="261">
        <f>SUMPRODUCT(Z$22:AJ$22,Z$29:AJ$29,Z62:AJ62)/1000</f>
        <v>0</v>
      </c>
      <c r="Z62" s="259"/>
      <c r="AA62" s="260">
        <f>IFERROR(IF(OR(AA$17="",AA$38="",AA$40=""),0,MAX(warmtebehoefte_verwarming_ondergrens,AA55)),0)</f>
        <v>0</v>
      </c>
      <c r="AB62" s="260">
        <f t="shared" ref="AB62:AI62" si="73">IFERROR(IF(OR(AB$17="",AB$38="",AB$40=""),0,MAX(warmtebehoefte_verwarming_ondergrens,AB55)),0)</f>
        <v>0</v>
      </c>
      <c r="AC62" s="260">
        <f t="shared" si="73"/>
        <v>0</v>
      </c>
      <c r="AD62" s="260">
        <f t="shared" si="73"/>
        <v>0</v>
      </c>
      <c r="AE62" s="260">
        <f t="shared" si="73"/>
        <v>0</v>
      </c>
      <c r="AF62" s="260">
        <f t="shared" si="73"/>
        <v>0</v>
      </c>
      <c r="AG62" s="260">
        <f t="shared" si="73"/>
        <v>0</v>
      </c>
      <c r="AH62" s="260">
        <f t="shared" si="73"/>
        <v>0</v>
      </c>
      <c r="AI62" s="260">
        <f t="shared" si="73"/>
        <v>0</v>
      </c>
      <c r="AJ62" s="126"/>
      <c r="AK62" s="261">
        <f>SUMPRODUCT(AL$22:AV$22,AL$29:AV$29,AL62:AV62)/1000</f>
        <v>0</v>
      </c>
      <c r="AL62" s="259"/>
      <c r="AM62" s="260">
        <f t="shared" ref="AM62:AU62" si="74">IFERROR(IF(OR(AM$17="",AM$38="",AM$40=""),0,MAX(warmtebehoefte_verwarming_ondergrens,AM55)),0)</f>
        <v>0</v>
      </c>
      <c r="AN62" s="260">
        <f t="shared" si="74"/>
        <v>0</v>
      </c>
      <c r="AO62" s="260">
        <f t="shared" si="74"/>
        <v>0</v>
      </c>
      <c r="AP62" s="260">
        <f t="shared" si="74"/>
        <v>0</v>
      </c>
      <c r="AQ62" s="260">
        <f t="shared" si="74"/>
        <v>0</v>
      </c>
      <c r="AR62" s="260">
        <f t="shared" si="74"/>
        <v>0</v>
      </c>
      <c r="AS62" s="260">
        <f t="shared" si="74"/>
        <v>0</v>
      </c>
      <c r="AT62" s="260">
        <f t="shared" si="74"/>
        <v>0</v>
      </c>
      <c r="AU62" s="260">
        <f t="shared" si="74"/>
        <v>0</v>
      </c>
      <c r="AV62" s="126"/>
      <c r="AW62" s="261">
        <f>SUMPRODUCT(AX$22:BH$22,AX$29:BH$29,AX62:BH62)/1000</f>
        <v>0</v>
      </c>
      <c r="AX62" s="259"/>
      <c r="AY62" s="260">
        <f t="shared" ref="AY62:BG62" si="75">IFERROR(IF(OR(AY$17="",AY$38="",AY$40=""),0,MAX(warmtebehoefte_verwarming_ondergrens,AY55)),0)</f>
        <v>0</v>
      </c>
      <c r="AZ62" s="260">
        <f t="shared" si="75"/>
        <v>0</v>
      </c>
      <c r="BA62" s="260">
        <f t="shared" si="75"/>
        <v>0</v>
      </c>
      <c r="BB62" s="260">
        <f t="shared" si="75"/>
        <v>0</v>
      </c>
      <c r="BC62" s="260">
        <f t="shared" si="75"/>
        <v>0</v>
      </c>
      <c r="BD62" s="260">
        <f t="shared" si="75"/>
        <v>0</v>
      </c>
      <c r="BE62" s="260">
        <f t="shared" si="75"/>
        <v>0</v>
      </c>
      <c r="BF62" s="260">
        <f t="shared" si="75"/>
        <v>0</v>
      </c>
      <c r="BG62" s="260">
        <f t="shared" si="75"/>
        <v>0</v>
      </c>
      <c r="BH62" s="210"/>
    </row>
    <row r="63" spans="1:60" s="671" customFormat="1" ht="25.5" hidden="1">
      <c r="A63" s="1045"/>
      <c r="B63" s="1109" t="s">
        <v>147</v>
      </c>
      <c r="C63" s="1106" t="s">
        <v>262</v>
      </c>
      <c r="D63" s="946"/>
      <c r="E63" s="947" t="s">
        <v>1152</v>
      </c>
      <c r="F63" s="948"/>
      <c r="G63" s="949" t="s">
        <v>804</v>
      </c>
      <c r="H63" s="950" t="s">
        <v>65</v>
      </c>
      <c r="I63" s="951"/>
      <c r="J63" s="952"/>
      <c r="K63" s="953"/>
      <c r="L63" s="953"/>
      <c r="M63" s="952"/>
      <c r="N63" s="954" t="s">
        <v>84</v>
      </c>
      <c r="O63" s="934" t="e">
        <f t="shared" ref="O63:W63" si="76">$F$6
&amp;INDEX(gebruiksfuncties_fitcurve_NTA8800,MATCH(O$19,gebruiksfuncties_namen,0))
&amp;INDEX(ventilatiesystemen_code,MATCH(O$40,ventilatiesystemen_namen,0))
&amp;O$49
&amp;$G63</f>
        <v>#N/A</v>
      </c>
      <c r="P63" s="934" t="e">
        <f t="shared" si="76"/>
        <v>#N/A</v>
      </c>
      <c r="Q63" s="934" t="e">
        <f t="shared" si="76"/>
        <v>#N/A</v>
      </c>
      <c r="R63" s="934" t="e">
        <f t="shared" si="76"/>
        <v>#N/A</v>
      </c>
      <c r="S63" s="934" t="e">
        <f t="shared" si="76"/>
        <v>#N/A</v>
      </c>
      <c r="T63" s="934" t="e">
        <f t="shared" si="76"/>
        <v>#N/A</v>
      </c>
      <c r="U63" s="934" t="e">
        <f t="shared" si="76"/>
        <v>#N/A</v>
      </c>
      <c r="V63" s="934" t="e">
        <f t="shared" si="76"/>
        <v>#N/A</v>
      </c>
      <c r="W63" s="934" t="e">
        <f t="shared" si="76"/>
        <v>#N/A</v>
      </c>
      <c r="X63" s="953"/>
      <c r="Y63" s="952"/>
      <c r="Z63" s="954" t="s">
        <v>84</v>
      </c>
      <c r="AA63" s="934" t="e">
        <f t="shared" ref="AA63:AI63" si="77">$F$6
&amp;INDEX(gebruiksfuncties_fitcurve_NTA8800,MATCH(AA$19,gebruiksfuncties_namen,0))
&amp;INDEX(ventilatiesystemen_code,MATCH(AA$40,ventilatiesystemen_namen,0))
&amp;AA$49
&amp;$G63</f>
        <v>#N/A</v>
      </c>
      <c r="AB63" s="934" t="e">
        <f t="shared" si="77"/>
        <v>#N/A</v>
      </c>
      <c r="AC63" s="934" t="e">
        <f t="shared" si="77"/>
        <v>#N/A</v>
      </c>
      <c r="AD63" s="934" t="e">
        <f t="shared" si="77"/>
        <v>#N/A</v>
      </c>
      <c r="AE63" s="934" t="e">
        <f t="shared" si="77"/>
        <v>#N/A</v>
      </c>
      <c r="AF63" s="934" t="e">
        <f t="shared" si="77"/>
        <v>#N/A</v>
      </c>
      <c r="AG63" s="934" t="e">
        <f t="shared" si="77"/>
        <v>#N/A</v>
      </c>
      <c r="AH63" s="934" t="e">
        <f t="shared" si="77"/>
        <v>#N/A</v>
      </c>
      <c r="AI63" s="934" t="e">
        <f t="shared" si="77"/>
        <v>#N/A</v>
      </c>
      <c r="AJ63" s="953"/>
      <c r="AK63" s="952"/>
      <c r="AL63" s="954" t="s">
        <v>84</v>
      </c>
      <c r="AM63" s="934" t="e">
        <f t="shared" ref="AM63:AU63" si="78">$F$6
&amp;INDEX(gebruiksfuncties_fitcurve_NTA8800,MATCH(AM$19,gebruiksfuncties_namen,0))
&amp;INDEX(ventilatiesystemen_code,MATCH(AM$40,ventilatiesystemen_namen,0))
&amp;AM$49
&amp;$G63</f>
        <v>#N/A</v>
      </c>
      <c r="AN63" s="934" t="e">
        <f t="shared" si="78"/>
        <v>#N/A</v>
      </c>
      <c r="AO63" s="934" t="e">
        <f t="shared" si="78"/>
        <v>#N/A</v>
      </c>
      <c r="AP63" s="934" t="e">
        <f t="shared" si="78"/>
        <v>#N/A</v>
      </c>
      <c r="AQ63" s="934" t="e">
        <f t="shared" si="78"/>
        <v>#N/A</v>
      </c>
      <c r="AR63" s="934" t="e">
        <f t="shared" si="78"/>
        <v>#N/A</v>
      </c>
      <c r="AS63" s="934" t="e">
        <f t="shared" si="78"/>
        <v>#N/A</v>
      </c>
      <c r="AT63" s="934" t="e">
        <f t="shared" si="78"/>
        <v>#N/A</v>
      </c>
      <c r="AU63" s="934" t="e">
        <f t="shared" si="78"/>
        <v>#N/A</v>
      </c>
      <c r="AV63" s="953"/>
      <c r="AW63" s="952"/>
      <c r="AX63" s="954" t="s">
        <v>84</v>
      </c>
      <c r="AY63" s="934" t="e">
        <f t="shared" ref="AY63:BG63" si="79">$F$6
&amp;INDEX(gebruiksfuncties_fitcurve_NTA8800,MATCH(AY$19,gebruiksfuncties_namen,0))
&amp;INDEX(ventilatiesystemen_code,MATCH(AY$40,ventilatiesystemen_namen,0))
&amp;AY$49
&amp;$G63</f>
        <v>#N/A</v>
      </c>
      <c r="AZ63" s="934" t="e">
        <f t="shared" si="79"/>
        <v>#N/A</v>
      </c>
      <c r="BA63" s="934" t="e">
        <f t="shared" si="79"/>
        <v>#N/A</v>
      </c>
      <c r="BB63" s="934" t="e">
        <f t="shared" si="79"/>
        <v>#N/A</v>
      </c>
      <c r="BC63" s="934" t="e">
        <f t="shared" si="79"/>
        <v>#N/A</v>
      </c>
      <c r="BD63" s="934" t="e">
        <f t="shared" si="79"/>
        <v>#N/A</v>
      </c>
      <c r="BE63" s="934" t="e">
        <f t="shared" si="79"/>
        <v>#N/A</v>
      </c>
      <c r="BF63" s="934" t="e">
        <f t="shared" si="79"/>
        <v>#N/A</v>
      </c>
      <c r="BG63" s="934" t="e">
        <f t="shared" si="79"/>
        <v>#N/A</v>
      </c>
      <c r="BH63" s="223"/>
    </row>
    <row r="64" spans="1:60">
      <c r="A64" s="1041"/>
      <c r="B64" s="1109" t="s">
        <v>147</v>
      </c>
      <c r="C64" s="1107" t="s">
        <v>104</v>
      </c>
      <c r="D64" s="641" t="s">
        <v>45</v>
      </c>
      <c r="E64" s="295" t="str">
        <f>$P$10</f>
        <v>koeling</v>
      </c>
      <c r="F64" s="296"/>
      <c r="G64" s="296"/>
      <c r="H64" s="295" t="s">
        <v>154</v>
      </c>
      <c r="I64" s="259"/>
      <c r="J64" s="261">
        <f t="shared" si="70"/>
        <v>0</v>
      </c>
      <c r="K64" s="126"/>
      <c r="L64" s="126"/>
      <c r="M64" s="261">
        <f t="shared" si="71"/>
        <v>0</v>
      </c>
      <c r="N64" s="259"/>
      <c r="O64" s="260">
        <f>IFERROR(IF(OR(O$17="",O$38="",O$40=""),0,MAX(koudebehoefte_koeling_ondergrens,
HLOOKUP(O$63,fitcurves_NTA8800,MATCH(fit_a0,parameters_fitformule,0),FALSE)
+HLOOKUP(O$63,fitcurves_NTA8800,MATCH(fit_a1,parameters_fitformule,0),FALSE)
*(O$33*O$29)^HLOOKUP(O$63,fitcurves_NTA8800,MATCH(fit_n1,parameters_fitformule,0),FALSE)
+HLOOKUP(O$63,fitcurves_NTA8800,MATCH(fit_a2,parameters_fitformule,0),FALSE)
*O$32^HLOOKUP(O$63,fitcurves_NTA8800,MATCH(fit_n2,parameters_fitformule,0),FALSE)
+HLOOKUP(O$63,fitcurves_NTA8800,MATCH(fit_a3,parameters_fitformule,0),FALSE)
*O$54^HLOOKUP(O$63,fitcurves_NTA8800,MATCH(fit_n3,parameters_fitformule,0),FALSE)
+HLOOKUP(O$63,fitcurves_NTA8800,MATCH(fit_a4,parameters_fitformule,0),FALSE)
*O$33^HLOOKUP(O$63,fitcurves_NTA8800,MATCH(fit_n4,parameters_fitformule,0),FALSE)
)),0)</f>
        <v>0</v>
      </c>
      <c r="P64" s="260">
        <f t="shared" ref="P64:W64" si="80">IFERROR(IF(OR(P$17="",P$38="",P$40=""),0,MAX(koudebehoefte_koeling_ondergrens,
HLOOKUP(P$63,fitcurves_NTA8800,MATCH(fit_a0,parameters_fitformule,0),FALSE)
+HLOOKUP(P$63,fitcurves_NTA8800,MATCH(fit_a1,parameters_fitformule,0),FALSE)
*(P$33*P$29)^HLOOKUP(P$63,fitcurves_NTA8800,MATCH(fit_n1,parameters_fitformule,0),FALSE)
+HLOOKUP(P$63,fitcurves_NTA8800,MATCH(fit_a2,parameters_fitformule,0),FALSE)
*P$32^HLOOKUP(P$63,fitcurves_NTA8800,MATCH(fit_n2,parameters_fitformule,0),FALSE)
+HLOOKUP(P$63,fitcurves_NTA8800,MATCH(fit_a3,parameters_fitformule,0),FALSE)
*P$54^HLOOKUP(P$63,fitcurves_NTA8800,MATCH(fit_n3,parameters_fitformule,0),FALSE)
+HLOOKUP(P$63,fitcurves_NTA8800,MATCH(fit_a4,parameters_fitformule,0),FALSE)
*P$33^HLOOKUP(P$63,fitcurves_NTA8800,MATCH(fit_n4,parameters_fitformule,0),FALSE)
)),0)</f>
        <v>0</v>
      </c>
      <c r="Q64" s="260">
        <f t="shared" si="80"/>
        <v>0</v>
      </c>
      <c r="R64" s="260">
        <f t="shared" si="80"/>
        <v>0</v>
      </c>
      <c r="S64" s="260">
        <f t="shared" si="80"/>
        <v>0</v>
      </c>
      <c r="T64" s="260">
        <f t="shared" si="80"/>
        <v>0</v>
      </c>
      <c r="U64" s="260">
        <f t="shared" si="80"/>
        <v>0</v>
      </c>
      <c r="V64" s="260">
        <f t="shared" si="80"/>
        <v>0</v>
      </c>
      <c r="W64" s="260">
        <f t="shared" si="80"/>
        <v>0</v>
      </c>
      <c r="X64" s="126"/>
      <c r="Y64" s="261">
        <f t="shared" ref="Y64:Y69" si="81">SUMPRODUCT(Z$22:AJ$22,Z$29:AJ$29,Z64:AJ64)/1000</f>
        <v>0</v>
      </c>
      <c r="Z64" s="259"/>
      <c r="AA64" s="260">
        <f t="shared" ref="AA64:AI64" si="82">IFERROR(IF(OR(AA$17="",AA$38="",AA$40=""),0,MAX(koudebehoefte_koeling_ondergrens,
HLOOKUP(AA$63,fitcurves_NTA8800,MATCH(fit_a0,parameters_fitformule,0),FALSE)
+HLOOKUP(AA$63,fitcurves_NTA8800,MATCH(fit_a1,parameters_fitformule,0),FALSE)
*(AA$33*AA$29)^HLOOKUP(AA$63,fitcurves_NTA8800,MATCH(fit_n1,parameters_fitformule,0),FALSE)
+HLOOKUP(AA$63,fitcurves_NTA8800,MATCH(fit_a2,parameters_fitformule,0),FALSE)
*AA$32^HLOOKUP(AA$63,fitcurves_NTA8800,MATCH(fit_n2,parameters_fitformule,0),FALSE)
+HLOOKUP(AA$63,fitcurves_NTA8800,MATCH(fit_a3,parameters_fitformule,0),FALSE)
*AA$54^HLOOKUP(AA$63,fitcurves_NTA8800,MATCH(fit_n3,parameters_fitformule,0),FALSE)
+HLOOKUP(AA$63,fitcurves_NTA8800,MATCH(fit_a4,parameters_fitformule,0),FALSE)
*AA$33^HLOOKUP(AA$63,fitcurves_NTA8800,MATCH(fit_n4,parameters_fitformule,0),FALSE)
)),0)</f>
        <v>0</v>
      </c>
      <c r="AB64" s="260">
        <f t="shared" si="82"/>
        <v>0</v>
      </c>
      <c r="AC64" s="260">
        <f t="shared" si="82"/>
        <v>0</v>
      </c>
      <c r="AD64" s="260">
        <f t="shared" si="82"/>
        <v>0</v>
      </c>
      <c r="AE64" s="260">
        <f t="shared" si="82"/>
        <v>0</v>
      </c>
      <c r="AF64" s="260">
        <f t="shared" si="82"/>
        <v>0</v>
      </c>
      <c r="AG64" s="260">
        <f t="shared" si="82"/>
        <v>0</v>
      </c>
      <c r="AH64" s="260">
        <f t="shared" si="82"/>
        <v>0</v>
      </c>
      <c r="AI64" s="260">
        <f t="shared" si="82"/>
        <v>0</v>
      </c>
      <c r="AJ64" s="126"/>
      <c r="AK64" s="261">
        <f t="shared" ref="AK64:AK69" si="83">SUMPRODUCT(AL$22:AV$22,AL$29:AV$29,AL64:AV64)/1000</f>
        <v>0</v>
      </c>
      <c r="AL64" s="259"/>
      <c r="AM64" s="260">
        <f t="shared" ref="AM64:AU64" si="84">IFERROR(IF(OR(AM$17="",AM$38="",AM$40=""),0,MAX(koudebehoefte_koeling_ondergrens,
HLOOKUP(AM$63,fitcurves_NTA8800,MATCH(fit_a0,parameters_fitformule,0),FALSE)
+HLOOKUP(AM$63,fitcurves_NTA8800,MATCH(fit_a1,parameters_fitformule,0),FALSE)
*(AM$33*AM$29)^HLOOKUP(AM$63,fitcurves_NTA8800,MATCH(fit_n1,parameters_fitformule,0),FALSE)
+HLOOKUP(AM$63,fitcurves_NTA8800,MATCH(fit_a2,parameters_fitformule,0),FALSE)
*AM$32^HLOOKUP(AM$63,fitcurves_NTA8800,MATCH(fit_n2,parameters_fitformule,0),FALSE)
+HLOOKUP(AM$63,fitcurves_NTA8800,MATCH(fit_a3,parameters_fitformule,0),FALSE)
*AM$54^HLOOKUP(AM$63,fitcurves_NTA8800,MATCH(fit_n3,parameters_fitformule,0),FALSE)
+HLOOKUP(AM$63,fitcurves_NTA8800,MATCH(fit_a4,parameters_fitformule,0),FALSE)
*AM$33^HLOOKUP(AM$63,fitcurves_NTA8800,MATCH(fit_n4,parameters_fitformule,0),FALSE)
)),0)</f>
        <v>0</v>
      </c>
      <c r="AN64" s="260">
        <f t="shared" si="84"/>
        <v>0</v>
      </c>
      <c r="AO64" s="260">
        <f t="shared" si="84"/>
        <v>0</v>
      </c>
      <c r="AP64" s="260">
        <f t="shared" si="84"/>
        <v>0</v>
      </c>
      <c r="AQ64" s="260">
        <f t="shared" si="84"/>
        <v>0</v>
      </c>
      <c r="AR64" s="260">
        <f t="shared" si="84"/>
        <v>0</v>
      </c>
      <c r="AS64" s="260">
        <f t="shared" si="84"/>
        <v>0</v>
      </c>
      <c r="AT64" s="260">
        <f t="shared" si="84"/>
        <v>0</v>
      </c>
      <c r="AU64" s="260">
        <f t="shared" si="84"/>
        <v>0</v>
      </c>
      <c r="AV64" s="126"/>
      <c r="AW64" s="261">
        <f t="shared" ref="AW64:AW69" si="85">SUMPRODUCT(AX$22:BH$22,AX$29:BH$29,AX64:BH64)/1000</f>
        <v>0</v>
      </c>
      <c r="AX64" s="259"/>
      <c r="AY64" s="260">
        <f t="shared" ref="AY64:BG64" si="86">IFERROR(IF(OR(AY$17="",AY$38="",AY$40=""),0,MAX(koudebehoefte_koeling_ondergrens,
HLOOKUP(AY$63,fitcurves_NTA8800,MATCH(fit_a0,parameters_fitformule,0),FALSE)
+HLOOKUP(AY$63,fitcurves_NTA8800,MATCH(fit_a1,parameters_fitformule,0),FALSE)
*(AY$33*AY$29)^HLOOKUP(AY$63,fitcurves_NTA8800,MATCH(fit_n1,parameters_fitformule,0),FALSE)
+HLOOKUP(AY$63,fitcurves_NTA8800,MATCH(fit_a2,parameters_fitformule,0),FALSE)
*AY$32^HLOOKUP(AY$63,fitcurves_NTA8800,MATCH(fit_n2,parameters_fitformule,0),FALSE)
+HLOOKUP(AY$63,fitcurves_NTA8800,MATCH(fit_a3,parameters_fitformule,0),FALSE)
*AY$54^HLOOKUP(AY$63,fitcurves_NTA8800,MATCH(fit_n3,parameters_fitformule,0),FALSE)
+HLOOKUP(AY$63,fitcurves_NTA8800,MATCH(fit_a4,parameters_fitformule,0),FALSE)
*AY$33^HLOOKUP(AY$63,fitcurves_NTA8800,MATCH(fit_n4,parameters_fitformule,0),FALSE)
)),0)</f>
        <v>0</v>
      </c>
      <c r="AZ64" s="260">
        <f t="shared" si="86"/>
        <v>0</v>
      </c>
      <c r="BA64" s="260">
        <f t="shared" si="86"/>
        <v>0</v>
      </c>
      <c r="BB64" s="260">
        <f t="shared" si="86"/>
        <v>0</v>
      </c>
      <c r="BC64" s="260">
        <f t="shared" si="86"/>
        <v>0</v>
      </c>
      <c r="BD64" s="260">
        <f t="shared" si="86"/>
        <v>0</v>
      </c>
      <c r="BE64" s="260">
        <f t="shared" si="86"/>
        <v>0</v>
      </c>
      <c r="BF64" s="260">
        <f t="shared" si="86"/>
        <v>0</v>
      </c>
      <c r="BG64" s="260">
        <f t="shared" si="86"/>
        <v>0</v>
      </c>
      <c r="BH64" s="210"/>
    </row>
    <row r="65" spans="1:60">
      <c r="A65" s="1041"/>
      <c r="B65" s="1109" t="s">
        <v>147</v>
      </c>
      <c r="C65" s="1107" t="s">
        <v>104</v>
      </c>
      <c r="D65" s="641" t="s">
        <v>45</v>
      </c>
      <c r="E65" s="295" t="str">
        <f>$Q$10</f>
        <v>tapwater</v>
      </c>
      <c r="F65" s="296"/>
      <c r="G65" s="296"/>
      <c r="H65" s="295" t="s">
        <v>154</v>
      </c>
      <c r="I65" s="259"/>
      <c r="J65" s="261">
        <f t="shared" si="70"/>
        <v>0</v>
      </c>
      <c r="K65" s="126"/>
      <c r="L65" s="126"/>
      <c r="M65" s="261">
        <f t="shared" si="71"/>
        <v>0</v>
      </c>
      <c r="N65" s="259"/>
      <c r="O65" s="260">
        <f t="shared" ref="O65:W65" si="87">(1-O$43)*IF(OR(O$17="",O$29=0),0,IF($F$6=EP,1,INDEX(factor_warmtapwaterbehoefte_MWA,MATCH(O$19,gebruiksfuncties_namen_MWA_warmtapwater,0)))*
IF(OR(O$19=woning,O$19=woongebouw),IF(O$29&gt;100,1.28+0.01*O$29,MAX(1,2.28-1.28/70*(100-O$29)))*856/O$29,
INDEX(warmtapwater_specifieke_warmtebehoefte_waarden,MATCH(O$19,warmtapwater_specifieke_warmtebehoefte_gebruiksfuncties,0)))*IF($F$6=EP,1,O$44))</f>
        <v>0</v>
      </c>
      <c r="P65" s="260">
        <f t="shared" si="87"/>
        <v>0</v>
      </c>
      <c r="Q65" s="260">
        <f t="shared" si="87"/>
        <v>0</v>
      </c>
      <c r="R65" s="260">
        <f t="shared" si="87"/>
        <v>0</v>
      </c>
      <c r="S65" s="260">
        <f t="shared" si="87"/>
        <v>0</v>
      </c>
      <c r="T65" s="260">
        <f t="shared" si="87"/>
        <v>0</v>
      </c>
      <c r="U65" s="260">
        <f t="shared" si="87"/>
        <v>0</v>
      </c>
      <c r="V65" s="260">
        <f t="shared" si="87"/>
        <v>0</v>
      </c>
      <c r="W65" s="260">
        <f t="shared" si="87"/>
        <v>0</v>
      </c>
      <c r="X65" s="126"/>
      <c r="Y65" s="261">
        <f t="shared" si="81"/>
        <v>0</v>
      </c>
      <c r="Z65" s="259"/>
      <c r="AA65" s="260">
        <f t="shared" ref="AA65:AI65" si="88">(1-AA$43)*IF(OR(AA$17="",AA$29=0),0,IF($F$6=EP,1,INDEX(factor_warmtapwaterbehoefte_MWA,MATCH(AA$19,gebruiksfuncties_namen_MWA_warmtapwater,0)))*
IF(OR(AA$19=woning,AA$19=woongebouw),IF(AA$29&gt;100,1.28+0.01*AA$29,MAX(1,2.28-1.28/70*(100-AA$29)))*856/AA$29,
INDEX(warmtapwater_specifieke_warmtebehoefte_waarden,MATCH(AA$19,warmtapwater_specifieke_warmtebehoefte_gebruiksfuncties,0)))*IF($F$6=EP,1,AA$44))</f>
        <v>0</v>
      </c>
      <c r="AB65" s="260">
        <f t="shared" si="88"/>
        <v>0</v>
      </c>
      <c r="AC65" s="260">
        <f t="shared" si="88"/>
        <v>0</v>
      </c>
      <c r="AD65" s="260">
        <f t="shared" si="88"/>
        <v>0</v>
      </c>
      <c r="AE65" s="260">
        <f t="shared" si="88"/>
        <v>0</v>
      </c>
      <c r="AF65" s="260">
        <f t="shared" si="88"/>
        <v>0</v>
      </c>
      <c r="AG65" s="260">
        <f t="shared" si="88"/>
        <v>0</v>
      </c>
      <c r="AH65" s="260">
        <f t="shared" si="88"/>
        <v>0</v>
      </c>
      <c r="AI65" s="260">
        <f t="shared" si="88"/>
        <v>0</v>
      </c>
      <c r="AJ65" s="126"/>
      <c r="AK65" s="261">
        <f t="shared" si="83"/>
        <v>0</v>
      </c>
      <c r="AL65" s="259"/>
      <c r="AM65" s="260">
        <f t="shared" ref="AM65:AU65" si="89">(1-AM$43)*IF(OR(AM$17="",AM$29=0),0,IF($F$6=EP,1,INDEX(factor_warmtapwaterbehoefte_MWA,MATCH(AM$19,gebruiksfuncties_namen_MWA_warmtapwater,0)))*
IF(OR(AM$19=woning,AM$19=woongebouw),IF(AM$29&gt;100,1.28+0.01*AM$29,MAX(1,2.28-1.28/70*(100-AM$29)))*856/AM$29,
INDEX(warmtapwater_specifieke_warmtebehoefte_waarden,MATCH(AM$19,warmtapwater_specifieke_warmtebehoefte_gebruiksfuncties,0)))*IF($F$6=EP,1,AM$44))</f>
        <v>0</v>
      </c>
      <c r="AN65" s="260">
        <f t="shared" si="89"/>
        <v>0</v>
      </c>
      <c r="AO65" s="260">
        <f t="shared" si="89"/>
        <v>0</v>
      </c>
      <c r="AP65" s="260">
        <f t="shared" si="89"/>
        <v>0</v>
      </c>
      <c r="AQ65" s="260">
        <f t="shared" si="89"/>
        <v>0</v>
      </c>
      <c r="AR65" s="260">
        <f t="shared" si="89"/>
        <v>0</v>
      </c>
      <c r="AS65" s="260">
        <f t="shared" si="89"/>
        <v>0</v>
      </c>
      <c r="AT65" s="260">
        <f t="shared" si="89"/>
        <v>0</v>
      </c>
      <c r="AU65" s="260">
        <f t="shared" si="89"/>
        <v>0</v>
      </c>
      <c r="AV65" s="126"/>
      <c r="AW65" s="261">
        <f t="shared" si="85"/>
        <v>0</v>
      </c>
      <c r="AX65" s="259"/>
      <c r="AY65" s="260">
        <f t="shared" ref="AY65:BG65" si="90">(1-AY$43)*IF(OR(AY$17="",AY$29=0),0,IF($F$6=EP,1,INDEX(factor_warmtapwaterbehoefte_MWA,MATCH(AY$19,gebruiksfuncties_namen_MWA_warmtapwater,0)))*
IF(OR(AY$19=woning,AY$19=woongebouw),IF(AY$29&gt;100,1.28+0.01*AY$29,MAX(1,2.28-1.28/70*(100-AY$29)))*856/AY$29,
INDEX(warmtapwater_specifieke_warmtebehoefte_waarden,MATCH(AY$19,warmtapwater_specifieke_warmtebehoefte_gebruiksfuncties,0)))*IF($F$6=EP,1,AY$44))</f>
        <v>0</v>
      </c>
      <c r="AZ65" s="260">
        <f t="shared" si="90"/>
        <v>0</v>
      </c>
      <c r="BA65" s="260">
        <f t="shared" si="90"/>
        <v>0</v>
      </c>
      <c r="BB65" s="260">
        <f t="shared" si="90"/>
        <v>0</v>
      </c>
      <c r="BC65" s="260">
        <f t="shared" si="90"/>
        <v>0</v>
      </c>
      <c r="BD65" s="260">
        <f t="shared" si="90"/>
        <v>0</v>
      </c>
      <c r="BE65" s="260">
        <f t="shared" si="90"/>
        <v>0</v>
      </c>
      <c r="BF65" s="260">
        <f t="shared" si="90"/>
        <v>0</v>
      </c>
      <c r="BG65" s="260">
        <f t="shared" si="90"/>
        <v>0</v>
      </c>
      <c r="BH65" s="210"/>
    </row>
    <row r="66" spans="1:60">
      <c r="A66" s="1041"/>
      <c r="B66" s="1109" t="s">
        <v>147</v>
      </c>
      <c r="C66" s="1107" t="s">
        <v>104</v>
      </c>
      <c r="D66" s="641" t="s">
        <v>45</v>
      </c>
      <c r="E66" s="295" t="str">
        <f>$R$10</f>
        <v>verlichting</v>
      </c>
      <c r="F66" s="296"/>
      <c r="G66" s="296"/>
      <c r="H66" s="295" t="s">
        <v>154</v>
      </c>
      <c r="I66" s="259"/>
      <c r="J66" s="261">
        <f t="shared" si="70"/>
        <v>0</v>
      </c>
      <c r="K66" s="126"/>
      <c r="L66" s="126"/>
      <c r="M66" s="261">
        <f t="shared" si="71"/>
        <v>0</v>
      </c>
      <c r="N66" s="259"/>
      <c r="O66" s="260">
        <f t="shared" ref="O66:W66" si="91">IF(OR(O$17="",AND(O$19&lt;&gt;woning,O$19&lt;&gt;woongebouw,O$46="")),0,
(INDEX(verlichting_parameters_a,MATCH(O$19,verlichting_parameters_gebruiksfuncties,0))+
INDEX(verlichting_parameters_b,MATCH(O$19,verlichting_parameters_gebruiksfuncties,0))*IF(O$45="",INDEX(verlichting_vermogen_forfaitair,MATCH(O$19,verlichting_parameters_gebruiksfuncties,0)),O$45))*
IF(OR(O$19=woning,O$19=woongebouw),1,INDEX(verlichtingsregeling_waarden,MATCH(O$46,verlichtingsregeling_kopregel,0))))</f>
        <v>0</v>
      </c>
      <c r="P66" s="260">
        <f t="shared" si="91"/>
        <v>0</v>
      </c>
      <c r="Q66" s="260">
        <f t="shared" si="91"/>
        <v>0</v>
      </c>
      <c r="R66" s="260">
        <f t="shared" si="91"/>
        <v>0</v>
      </c>
      <c r="S66" s="260">
        <f t="shared" si="91"/>
        <v>0</v>
      </c>
      <c r="T66" s="260">
        <f t="shared" si="91"/>
        <v>0</v>
      </c>
      <c r="U66" s="260">
        <f t="shared" si="91"/>
        <v>0</v>
      </c>
      <c r="V66" s="260">
        <f t="shared" si="91"/>
        <v>0</v>
      </c>
      <c r="W66" s="260">
        <f t="shared" si="91"/>
        <v>0</v>
      </c>
      <c r="X66" s="126"/>
      <c r="Y66" s="261">
        <f t="shared" si="81"/>
        <v>0</v>
      </c>
      <c r="Z66" s="259"/>
      <c r="AA66" s="260">
        <f t="shared" ref="AA66:AI66" si="92">IF(OR(AA$17="",AND(AA$19&lt;&gt;woning,AA$19&lt;&gt;woongebouw,AA$46="")),0,
(INDEX(verlichting_parameters_a,MATCH(AA$19,verlichting_parameters_gebruiksfuncties,0))+
INDEX(verlichting_parameters_b,MATCH(AA$19,verlichting_parameters_gebruiksfuncties,0))*IF(AA$45="",INDEX(verlichting_vermogen_forfaitair,MATCH(AA$19,verlichting_parameters_gebruiksfuncties,0)),AA$45))*
IF(OR(AA$19=woning,AA$19=woongebouw),1,INDEX(verlichtingsregeling_waarden,MATCH(AA$46,verlichtingsregeling_kopregel,0))))</f>
        <v>0</v>
      </c>
      <c r="AB66" s="260">
        <f t="shared" si="92"/>
        <v>0</v>
      </c>
      <c r="AC66" s="260">
        <f t="shared" si="92"/>
        <v>0</v>
      </c>
      <c r="AD66" s="260">
        <f t="shared" si="92"/>
        <v>0</v>
      </c>
      <c r="AE66" s="260">
        <f t="shared" si="92"/>
        <v>0</v>
      </c>
      <c r="AF66" s="260">
        <f t="shared" si="92"/>
        <v>0</v>
      </c>
      <c r="AG66" s="260">
        <f t="shared" si="92"/>
        <v>0</v>
      </c>
      <c r="AH66" s="260">
        <f t="shared" si="92"/>
        <v>0</v>
      </c>
      <c r="AI66" s="260">
        <f t="shared" si="92"/>
        <v>0</v>
      </c>
      <c r="AJ66" s="126"/>
      <c r="AK66" s="261">
        <f t="shared" si="83"/>
        <v>0</v>
      </c>
      <c r="AL66" s="259"/>
      <c r="AM66" s="260">
        <f t="shared" ref="AM66:AU66" si="93">IF(OR(AM$17="",AND(AM$19&lt;&gt;woning,AM$19&lt;&gt;woongebouw,AM$46="")),0,
(INDEX(verlichting_parameters_a,MATCH(AM$19,verlichting_parameters_gebruiksfuncties,0))+
INDEX(verlichting_parameters_b,MATCH(AM$19,verlichting_parameters_gebruiksfuncties,0))*IF(AM$45="",INDEX(verlichting_vermogen_forfaitair,MATCH(AM$19,verlichting_parameters_gebruiksfuncties,0)),AM$45))*
IF(OR(AM$19=woning,AM$19=woongebouw),1,INDEX(verlichtingsregeling_waarden,MATCH(AM$46,verlichtingsregeling_kopregel,0))))</f>
        <v>0</v>
      </c>
      <c r="AN66" s="260">
        <f t="shared" si="93"/>
        <v>0</v>
      </c>
      <c r="AO66" s="260">
        <f t="shared" si="93"/>
        <v>0</v>
      </c>
      <c r="AP66" s="260">
        <f t="shared" si="93"/>
        <v>0</v>
      </c>
      <c r="AQ66" s="260">
        <f t="shared" si="93"/>
        <v>0</v>
      </c>
      <c r="AR66" s="260">
        <f t="shared" si="93"/>
        <v>0</v>
      </c>
      <c r="AS66" s="260">
        <f t="shared" si="93"/>
        <v>0</v>
      </c>
      <c r="AT66" s="260">
        <f t="shared" si="93"/>
        <v>0</v>
      </c>
      <c r="AU66" s="260">
        <f t="shared" si="93"/>
        <v>0</v>
      </c>
      <c r="AV66" s="126"/>
      <c r="AW66" s="261">
        <f t="shared" si="85"/>
        <v>0</v>
      </c>
      <c r="AX66" s="259"/>
      <c r="AY66" s="260">
        <f t="shared" ref="AY66:BG66" si="94">IF(OR(AY$17="",AND(AY$19&lt;&gt;woning,AY$19&lt;&gt;woongebouw,AY$46="")),0,
(INDEX(verlichting_parameters_a,MATCH(AY$19,verlichting_parameters_gebruiksfuncties,0))+
INDEX(verlichting_parameters_b,MATCH(AY$19,verlichting_parameters_gebruiksfuncties,0))*IF(AY$45="",INDEX(verlichting_vermogen_forfaitair,MATCH(AY$19,verlichting_parameters_gebruiksfuncties,0)),AY$45))*
IF(OR(AY$19=woning,AY$19=woongebouw),1,INDEX(verlichtingsregeling_waarden,MATCH(AY$46,verlichtingsregeling_kopregel,0))))</f>
        <v>0</v>
      </c>
      <c r="AZ66" s="260">
        <f t="shared" si="94"/>
        <v>0</v>
      </c>
      <c r="BA66" s="260">
        <f t="shared" si="94"/>
        <v>0</v>
      </c>
      <c r="BB66" s="260">
        <f t="shared" si="94"/>
        <v>0</v>
      </c>
      <c r="BC66" s="260">
        <f t="shared" si="94"/>
        <v>0</v>
      </c>
      <c r="BD66" s="260">
        <f t="shared" si="94"/>
        <v>0</v>
      </c>
      <c r="BE66" s="260">
        <f t="shared" si="94"/>
        <v>0</v>
      </c>
      <c r="BF66" s="260">
        <f t="shared" si="94"/>
        <v>0</v>
      </c>
      <c r="BG66" s="260">
        <f t="shared" si="94"/>
        <v>0</v>
      </c>
      <c r="BH66" s="210"/>
    </row>
    <row r="67" spans="1:60">
      <c r="A67" s="1041"/>
      <c r="B67" s="1109" t="s">
        <v>147</v>
      </c>
      <c r="C67" s="1107" t="s">
        <v>104</v>
      </c>
      <c r="D67" s="641" t="s">
        <v>45</v>
      </c>
      <c r="E67" s="295" t="str">
        <f>$S$10</f>
        <v>ventilatoren</v>
      </c>
      <c r="F67" s="296"/>
      <c r="G67" s="296"/>
      <c r="H67" s="295" t="s">
        <v>154</v>
      </c>
      <c r="I67" s="259"/>
      <c r="J67" s="261">
        <f t="shared" si="70"/>
        <v>0</v>
      </c>
      <c r="K67" s="126"/>
      <c r="L67" s="126"/>
      <c r="M67" s="261">
        <f t="shared" si="71"/>
        <v>0</v>
      </c>
      <c r="N67" s="259"/>
      <c r="O67" s="260">
        <f t="shared" ref="O67:W67" si="95">IFERROR(IF(OR(O$17="",O$40=""),0,
IF(LEFT(INDEX(ventilatiesystemen_code,MATCH(O$40,ventilatiesystemen_namen,0)),1)="A",0,
IF(LEFT(INDEX(ventilatiesystemen_code,MATCH(O$40,ventilatiesystemen_namen,0)),1)="C",VLOOKUP(O$41,ventilatorenergie_ventilatiesysteem_B_C,MATCH(O$19,ventilatorenergie_ventilatiesysteem_B_C_kopregel,0),FALSE),
VLOOKUP(O$41,ventilatorenergie_ventilatiesysteem_D,MATCH(O$19,ventilatorenergie_ventilatiesysteem_D_kopregel,0),FALSE)  ))),0)</f>
        <v>0</v>
      </c>
      <c r="P67" s="260">
        <f t="shared" si="95"/>
        <v>0</v>
      </c>
      <c r="Q67" s="260">
        <f t="shared" si="95"/>
        <v>0</v>
      </c>
      <c r="R67" s="260">
        <f t="shared" si="95"/>
        <v>0</v>
      </c>
      <c r="S67" s="260">
        <f t="shared" si="95"/>
        <v>0</v>
      </c>
      <c r="T67" s="260">
        <f t="shared" si="95"/>
        <v>0</v>
      </c>
      <c r="U67" s="260">
        <f t="shared" si="95"/>
        <v>0</v>
      </c>
      <c r="V67" s="260">
        <f t="shared" si="95"/>
        <v>0</v>
      </c>
      <c r="W67" s="260">
        <f t="shared" si="95"/>
        <v>0</v>
      </c>
      <c r="X67" s="126"/>
      <c r="Y67" s="261">
        <f t="shared" si="81"/>
        <v>0</v>
      </c>
      <c r="Z67" s="259"/>
      <c r="AA67" s="260">
        <f t="shared" ref="AA67:AI67" si="96">IFERROR(IF(OR(AA$17="",AA$40=""),0,
IF(LEFT(INDEX(ventilatiesystemen_code,MATCH(AA$40,ventilatiesystemen_namen,0)),1)="A",0,
IF(LEFT(INDEX(ventilatiesystemen_code,MATCH(AA$40,ventilatiesystemen_namen,0)),1)="C",VLOOKUP(AA$41,ventilatorenergie_ventilatiesysteem_B_C,MATCH(AA$19,ventilatorenergie_ventilatiesysteem_B_C_kopregel,0),FALSE),
VLOOKUP(AA$41,ventilatorenergie_ventilatiesysteem_D,MATCH(AA$19,ventilatorenergie_ventilatiesysteem_D_kopregel,0),FALSE)  ))),0)</f>
        <v>0</v>
      </c>
      <c r="AB67" s="260">
        <f t="shared" si="96"/>
        <v>0</v>
      </c>
      <c r="AC67" s="260">
        <f t="shared" si="96"/>
        <v>0</v>
      </c>
      <c r="AD67" s="260">
        <f t="shared" si="96"/>
        <v>0</v>
      </c>
      <c r="AE67" s="260">
        <f t="shared" si="96"/>
        <v>0</v>
      </c>
      <c r="AF67" s="260">
        <f t="shared" si="96"/>
        <v>0</v>
      </c>
      <c r="AG67" s="260">
        <f t="shared" si="96"/>
        <v>0</v>
      </c>
      <c r="AH67" s="260">
        <f t="shared" si="96"/>
        <v>0</v>
      </c>
      <c r="AI67" s="260">
        <f t="shared" si="96"/>
        <v>0</v>
      </c>
      <c r="AJ67" s="126"/>
      <c r="AK67" s="261">
        <f t="shared" si="83"/>
        <v>0</v>
      </c>
      <c r="AL67" s="259"/>
      <c r="AM67" s="260">
        <f t="shared" ref="AM67:AU67" si="97">IFERROR(IF(OR(AM$17="",AM$40=""),0,
IF(LEFT(INDEX(ventilatiesystemen_code,MATCH(AM$40,ventilatiesystemen_namen,0)),1)="A",0,
IF(LEFT(INDEX(ventilatiesystemen_code,MATCH(AM$40,ventilatiesystemen_namen,0)),1)="C",VLOOKUP(AM$41,ventilatorenergie_ventilatiesysteem_B_C,MATCH(AM$19,ventilatorenergie_ventilatiesysteem_B_C_kopregel,0),FALSE),
VLOOKUP(AM$41,ventilatorenergie_ventilatiesysteem_D,MATCH(AM$19,ventilatorenergie_ventilatiesysteem_D_kopregel,0),FALSE)  ))),0)</f>
        <v>0</v>
      </c>
      <c r="AN67" s="260">
        <f t="shared" si="97"/>
        <v>0</v>
      </c>
      <c r="AO67" s="260">
        <f t="shared" si="97"/>
        <v>0</v>
      </c>
      <c r="AP67" s="260">
        <f t="shared" si="97"/>
        <v>0</v>
      </c>
      <c r="AQ67" s="260">
        <f t="shared" si="97"/>
        <v>0</v>
      </c>
      <c r="AR67" s="260">
        <f t="shared" si="97"/>
        <v>0</v>
      </c>
      <c r="AS67" s="260">
        <f t="shared" si="97"/>
        <v>0</v>
      </c>
      <c r="AT67" s="260">
        <f t="shared" si="97"/>
        <v>0</v>
      </c>
      <c r="AU67" s="260">
        <f t="shared" si="97"/>
        <v>0</v>
      </c>
      <c r="AV67" s="126"/>
      <c r="AW67" s="261">
        <f t="shared" si="85"/>
        <v>0</v>
      </c>
      <c r="AX67" s="259"/>
      <c r="AY67" s="260">
        <f t="shared" ref="AY67:BG67" si="98">IFERROR(IF(OR(AY$17="",AY$40=""),0,
IF(LEFT(INDEX(ventilatiesystemen_code,MATCH(AY$40,ventilatiesystemen_namen,0)),1)="A",0,
IF(LEFT(INDEX(ventilatiesystemen_code,MATCH(AY$40,ventilatiesystemen_namen,0)),1)="C",VLOOKUP(AY$41,ventilatorenergie_ventilatiesysteem_B_C,MATCH(AY$19,ventilatorenergie_ventilatiesysteem_B_C_kopregel,0),FALSE),
VLOOKUP(AY$41,ventilatorenergie_ventilatiesysteem_D,MATCH(AY$19,ventilatorenergie_ventilatiesysteem_D_kopregel,0),FALSE)  ))),0)</f>
        <v>0</v>
      </c>
      <c r="AZ67" s="260">
        <f t="shared" si="98"/>
        <v>0</v>
      </c>
      <c r="BA67" s="260">
        <f t="shared" si="98"/>
        <v>0</v>
      </c>
      <c r="BB67" s="260">
        <f t="shared" si="98"/>
        <v>0</v>
      </c>
      <c r="BC67" s="260">
        <f t="shared" si="98"/>
        <v>0</v>
      </c>
      <c r="BD67" s="260">
        <f t="shared" si="98"/>
        <v>0</v>
      </c>
      <c r="BE67" s="260">
        <f t="shared" si="98"/>
        <v>0</v>
      </c>
      <c r="BF67" s="260">
        <f t="shared" si="98"/>
        <v>0</v>
      </c>
      <c r="BG67" s="260">
        <f t="shared" si="98"/>
        <v>0</v>
      </c>
      <c r="BH67" s="210"/>
    </row>
    <row r="68" spans="1:60">
      <c r="A68" s="1041"/>
      <c r="B68" s="1109" t="s">
        <v>147</v>
      </c>
      <c r="C68" s="1107" t="s">
        <v>104</v>
      </c>
      <c r="D68" s="641" t="s">
        <v>45</v>
      </c>
      <c r="E68" s="413" t="str">
        <f>$T$10</f>
        <v>kookgas</v>
      </c>
      <c r="F68" s="296"/>
      <c r="G68" s="296"/>
      <c r="H68" s="295" t="s">
        <v>154</v>
      </c>
      <c r="I68" s="259"/>
      <c r="J68" s="261">
        <f t="shared" si="70"/>
        <v>0</v>
      </c>
      <c r="K68" s="126"/>
      <c r="L68" s="126"/>
      <c r="M68" s="261">
        <f t="shared" si="71"/>
        <v>0</v>
      </c>
      <c r="N68" s="259"/>
      <c r="O68" s="260">
        <f t="shared" ref="O68:W68" si="99">IF(OR(O$17="",O$29=0,O$47=elektriciteit,AND(O$19&lt;&gt;woning,O$19&lt;&gt;woongebouw)),0,koken_gas/O$29)</f>
        <v>0</v>
      </c>
      <c r="P68" s="260">
        <f t="shared" si="99"/>
        <v>0</v>
      </c>
      <c r="Q68" s="260">
        <f t="shared" si="99"/>
        <v>0</v>
      </c>
      <c r="R68" s="260">
        <f t="shared" si="99"/>
        <v>0</v>
      </c>
      <c r="S68" s="260">
        <f t="shared" si="99"/>
        <v>0</v>
      </c>
      <c r="T68" s="260">
        <f t="shared" si="99"/>
        <v>0</v>
      </c>
      <c r="U68" s="260">
        <f t="shared" si="99"/>
        <v>0</v>
      </c>
      <c r="V68" s="260">
        <f t="shared" si="99"/>
        <v>0</v>
      </c>
      <c r="W68" s="260">
        <f t="shared" si="99"/>
        <v>0</v>
      </c>
      <c r="X68" s="126"/>
      <c r="Y68" s="261">
        <f t="shared" si="81"/>
        <v>0</v>
      </c>
      <c r="Z68" s="259"/>
      <c r="AA68" s="260">
        <f t="shared" ref="AA68:AI68" si="100">IF(OR(AA$17="",AA$29=0,AA$47=elektriciteit,AND(AA$19&lt;&gt;woning,AA$19&lt;&gt;woongebouw)),0,koken_gas/AA$29)</f>
        <v>0</v>
      </c>
      <c r="AB68" s="260">
        <f t="shared" si="100"/>
        <v>0</v>
      </c>
      <c r="AC68" s="260">
        <f t="shared" si="100"/>
        <v>0</v>
      </c>
      <c r="AD68" s="260">
        <f t="shared" si="100"/>
        <v>0</v>
      </c>
      <c r="AE68" s="260">
        <f t="shared" si="100"/>
        <v>0</v>
      </c>
      <c r="AF68" s="260">
        <f t="shared" si="100"/>
        <v>0</v>
      </c>
      <c r="AG68" s="260">
        <f t="shared" si="100"/>
        <v>0</v>
      </c>
      <c r="AH68" s="260">
        <f t="shared" si="100"/>
        <v>0</v>
      </c>
      <c r="AI68" s="260">
        <f t="shared" si="100"/>
        <v>0</v>
      </c>
      <c r="AJ68" s="126"/>
      <c r="AK68" s="261">
        <f t="shared" si="83"/>
        <v>0</v>
      </c>
      <c r="AL68" s="259"/>
      <c r="AM68" s="260">
        <f t="shared" ref="AM68:AU68" si="101">IF(OR(AM$17="",AM$29=0,AM$47=elektriciteit,AND(AM$19&lt;&gt;woning,AM$19&lt;&gt;woongebouw)),0,koken_gas/AM$29)</f>
        <v>0</v>
      </c>
      <c r="AN68" s="260">
        <f t="shared" si="101"/>
        <v>0</v>
      </c>
      <c r="AO68" s="260">
        <f t="shared" si="101"/>
        <v>0</v>
      </c>
      <c r="AP68" s="260">
        <f t="shared" si="101"/>
        <v>0</v>
      </c>
      <c r="AQ68" s="260">
        <f t="shared" si="101"/>
        <v>0</v>
      </c>
      <c r="AR68" s="260">
        <f t="shared" si="101"/>
        <v>0</v>
      </c>
      <c r="AS68" s="260">
        <f t="shared" si="101"/>
        <v>0</v>
      </c>
      <c r="AT68" s="260">
        <f t="shared" si="101"/>
        <v>0</v>
      </c>
      <c r="AU68" s="260">
        <f t="shared" si="101"/>
        <v>0</v>
      </c>
      <c r="AV68" s="126"/>
      <c r="AW68" s="261">
        <f t="shared" si="85"/>
        <v>0</v>
      </c>
      <c r="AX68" s="259"/>
      <c r="AY68" s="260">
        <f t="shared" ref="AY68:BG68" si="102">IF(OR(AY$17="",AY$29=0,AY$47=elektriciteit,AND(AY$19&lt;&gt;woning,AY$19&lt;&gt;woongebouw)),0,koken_gas/AY$29)</f>
        <v>0</v>
      </c>
      <c r="AZ68" s="260">
        <f t="shared" si="102"/>
        <v>0</v>
      </c>
      <c r="BA68" s="260">
        <f t="shared" si="102"/>
        <v>0</v>
      </c>
      <c r="BB68" s="260">
        <f t="shared" si="102"/>
        <v>0</v>
      </c>
      <c r="BC68" s="260">
        <f t="shared" si="102"/>
        <v>0</v>
      </c>
      <c r="BD68" s="260">
        <f t="shared" si="102"/>
        <v>0</v>
      </c>
      <c r="BE68" s="260">
        <f t="shared" si="102"/>
        <v>0</v>
      </c>
      <c r="BF68" s="260">
        <f t="shared" si="102"/>
        <v>0</v>
      </c>
      <c r="BG68" s="260">
        <f t="shared" si="102"/>
        <v>0</v>
      </c>
      <c r="BH68" s="210"/>
    </row>
    <row r="69" spans="1:60">
      <c r="A69" s="1041"/>
      <c r="B69" s="1109" t="s">
        <v>147</v>
      </c>
      <c r="C69" s="1107" t="s">
        <v>104</v>
      </c>
      <c r="D69" s="641" t="s">
        <v>45</v>
      </c>
      <c r="E69" s="295" t="str">
        <f>$U$10</f>
        <v>overig elektra</v>
      </c>
      <c r="F69" s="296"/>
      <c r="G69" s="296"/>
      <c r="H69" s="295" t="s">
        <v>154</v>
      </c>
      <c r="I69" s="259"/>
      <c r="J69" s="261">
        <f t="shared" si="70"/>
        <v>0</v>
      </c>
      <c r="K69" s="126"/>
      <c r="L69" s="126"/>
      <c r="M69" s="261">
        <f t="shared" si="71"/>
        <v>0</v>
      </c>
      <c r="N69" s="259"/>
      <c r="O69" s="260">
        <f t="shared" ref="O69:W69" si="103">IF(O$17="",0,
IF(OR(O$19=woning,O$19=woongebouw),(1-O$48)*niet_gebouwgebonden_elektriciteitgebruik_woningen_per_m2+IF(O$47=elektriciteit,koken_elektriciteit/O$29,0),
(1-O$48)*INDEX(specifiek_niet_gebouwgebonden_elektriciteitsgebruik_waarden,MATCH(O$19,specifiek_niet_gebouwgebonden_elektriciteitsgebruik_gebruiksfuncties,0))))</f>
        <v>0</v>
      </c>
      <c r="P69" s="260">
        <f t="shared" si="103"/>
        <v>0</v>
      </c>
      <c r="Q69" s="260">
        <f t="shared" si="103"/>
        <v>0</v>
      </c>
      <c r="R69" s="260">
        <f t="shared" si="103"/>
        <v>0</v>
      </c>
      <c r="S69" s="260">
        <f t="shared" si="103"/>
        <v>0</v>
      </c>
      <c r="T69" s="260">
        <f t="shared" si="103"/>
        <v>0</v>
      </c>
      <c r="U69" s="260">
        <f t="shared" si="103"/>
        <v>0</v>
      </c>
      <c r="V69" s="260">
        <f t="shared" si="103"/>
        <v>0</v>
      </c>
      <c r="W69" s="260">
        <f t="shared" si="103"/>
        <v>0</v>
      </c>
      <c r="X69" s="126"/>
      <c r="Y69" s="261">
        <f t="shared" si="81"/>
        <v>0</v>
      </c>
      <c r="Z69" s="259"/>
      <c r="AA69" s="260">
        <f t="shared" ref="AA69:AI69" si="104">IF(AA$17="",0,
IF(OR(AA$19=woning,AA$19=woongebouw),(1-AA$48)*niet_gebouwgebonden_elektriciteitgebruik_woningen_per_m2+IF(AA$47=elektriciteit,koken_elektriciteit/AA$29,0),
(1-AA$48)*INDEX(specifiek_niet_gebouwgebonden_elektriciteitsgebruik_waarden,MATCH(AA$19,specifiek_niet_gebouwgebonden_elektriciteitsgebruik_gebruiksfuncties,0))))</f>
        <v>0</v>
      </c>
      <c r="AB69" s="260">
        <f t="shared" si="104"/>
        <v>0</v>
      </c>
      <c r="AC69" s="260">
        <f t="shared" si="104"/>
        <v>0</v>
      </c>
      <c r="AD69" s="260">
        <f t="shared" si="104"/>
        <v>0</v>
      </c>
      <c r="AE69" s="260">
        <f t="shared" si="104"/>
        <v>0</v>
      </c>
      <c r="AF69" s="260">
        <f t="shared" si="104"/>
        <v>0</v>
      </c>
      <c r="AG69" s="260">
        <f t="shared" si="104"/>
        <v>0</v>
      </c>
      <c r="AH69" s="260">
        <f t="shared" si="104"/>
        <v>0</v>
      </c>
      <c r="AI69" s="260">
        <f t="shared" si="104"/>
        <v>0</v>
      </c>
      <c r="AJ69" s="126"/>
      <c r="AK69" s="261">
        <f t="shared" si="83"/>
        <v>0</v>
      </c>
      <c r="AL69" s="259"/>
      <c r="AM69" s="260">
        <f t="shared" ref="AM69:AU69" si="105">IF(AM$17="",0,
IF(OR(AM$19=woning,AM$19=woongebouw),(1-AM$48)*niet_gebouwgebonden_elektriciteitgebruik_woningen_per_m2+IF(AM$47=elektriciteit,koken_elektriciteit/AM$29,0),
(1-AM$48)*INDEX(specifiek_niet_gebouwgebonden_elektriciteitsgebruik_waarden,MATCH(AM$19,specifiek_niet_gebouwgebonden_elektriciteitsgebruik_gebruiksfuncties,0))))</f>
        <v>0</v>
      </c>
      <c r="AN69" s="260">
        <f t="shared" si="105"/>
        <v>0</v>
      </c>
      <c r="AO69" s="260">
        <f t="shared" si="105"/>
        <v>0</v>
      </c>
      <c r="AP69" s="260">
        <f t="shared" si="105"/>
        <v>0</v>
      </c>
      <c r="AQ69" s="260">
        <f t="shared" si="105"/>
        <v>0</v>
      </c>
      <c r="AR69" s="260">
        <f t="shared" si="105"/>
        <v>0</v>
      </c>
      <c r="AS69" s="260">
        <f t="shared" si="105"/>
        <v>0</v>
      </c>
      <c r="AT69" s="260">
        <f t="shared" si="105"/>
        <v>0</v>
      </c>
      <c r="AU69" s="260">
        <f t="shared" si="105"/>
        <v>0</v>
      </c>
      <c r="AV69" s="126"/>
      <c r="AW69" s="261">
        <f t="shared" si="85"/>
        <v>0</v>
      </c>
      <c r="AX69" s="259"/>
      <c r="AY69" s="260">
        <f t="shared" ref="AY69:BG69" si="106">IF(AY$17="",0,
IF(OR(AY$19=woning,AY$19=woongebouw),(1-AY$48)*niet_gebouwgebonden_elektriciteitgebruik_woningen_per_m2+IF(AY$47=elektriciteit,koken_elektriciteit/AY$29,0),
(1-AY$48)*INDEX(specifiek_niet_gebouwgebonden_elektriciteitsgebruik_waarden,MATCH(AY$19,specifiek_niet_gebouwgebonden_elektriciteitsgebruik_gebruiksfuncties,0))))</f>
        <v>0</v>
      </c>
      <c r="AZ69" s="260">
        <f t="shared" si="106"/>
        <v>0</v>
      </c>
      <c r="BA69" s="260">
        <f t="shared" si="106"/>
        <v>0</v>
      </c>
      <c r="BB69" s="260">
        <f t="shared" si="106"/>
        <v>0</v>
      </c>
      <c r="BC69" s="260">
        <f t="shared" si="106"/>
        <v>0</v>
      </c>
      <c r="BD69" s="260">
        <f t="shared" si="106"/>
        <v>0</v>
      </c>
      <c r="BE69" s="260">
        <f t="shared" si="106"/>
        <v>0</v>
      </c>
      <c r="BF69" s="260">
        <f t="shared" si="106"/>
        <v>0</v>
      </c>
      <c r="BG69" s="260">
        <f t="shared" si="106"/>
        <v>0</v>
      </c>
      <c r="BH69" s="210"/>
    </row>
    <row r="70" spans="1:60">
      <c r="A70" s="1041"/>
      <c r="B70" s="1109" t="s">
        <v>147</v>
      </c>
      <c r="C70" s="1106" t="s">
        <v>96</v>
      </c>
      <c r="D70" s="641"/>
      <c r="E70" s="942" t="s">
        <v>155</v>
      </c>
      <c r="F70" s="942"/>
      <c r="G70" s="942"/>
      <c r="H70" s="942"/>
      <c r="I70" s="129"/>
      <c r="J70" s="943"/>
      <c r="K70" s="126"/>
      <c r="L70" s="126"/>
      <c r="M70" s="944"/>
      <c r="N70" s="145"/>
      <c r="O70" s="258" t="str">
        <f>O$17</f>
        <v/>
      </c>
      <c r="P70" s="258" t="str">
        <f t="shared" ref="P70:W70" si="107">P$17</f>
        <v/>
      </c>
      <c r="Q70" s="258" t="str">
        <f t="shared" si="107"/>
        <v/>
      </c>
      <c r="R70" s="258" t="str">
        <f t="shared" si="107"/>
        <v/>
      </c>
      <c r="S70" s="258" t="str">
        <f t="shared" si="107"/>
        <v/>
      </c>
      <c r="T70" s="258" t="str">
        <f t="shared" si="107"/>
        <v/>
      </c>
      <c r="U70" s="258" t="str">
        <f t="shared" si="107"/>
        <v/>
      </c>
      <c r="V70" s="258" t="str">
        <f t="shared" si="107"/>
        <v/>
      </c>
      <c r="W70" s="258" t="str">
        <f t="shared" si="107"/>
        <v/>
      </c>
      <c r="X70" s="146"/>
      <c r="Y70" s="944"/>
      <c r="Z70" s="145"/>
      <c r="AA70" s="258" t="str">
        <f>AA$17</f>
        <v/>
      </c>
      <c r="AB70" s="258" t="str">
        <f t="shared" ref="AB70:AI70" si="108">AB$17</f>
        <v/>
      </c>
      <c r="AC70" s="258" t="str">
        <f t="shared" si="108"/>
        <v/>
      </c>
      <c r="AD70" s="258" t="str">
        <f t="shared" si="108"/>
        <v/>
      </c>
      <c r="AE70" s="258" t="str">
        <f t="shared" si="108"/>
        <v/>
      </c>
      <c r="AF70" s="258" t="str">
        <f t="shared" si="108"/>
        <v/>
      </c>
      <c r="AG70" s="258" t="str">
        <f t="shared" si="108"/>
        <v/>
      </c>
      <c r="AH70" s="258" t="str">
        <f t="shared" si="108"/>
        <v/>
      </c>
      <c r="AI70" s="258" t="str">
        <f t="shared" si="108"/>
        <v/>
      </c>
      <c r="AJ70" s="146"/>
      <c r="AK70" s="944"/>
      <c r="AL70" s="145"/>
      <c r="AM70" s="258" t="str">
        <f>AM$17</f>
        <v/>
      </c>
      <c r="AN70" s="258" t="str">
        <f t="shared" ref="AN70:AU70" si="109">AN$17</f>
        <v/>
      </c>
      <c r="AO70" s="258" t="str">
        <f t="shared" si="109"/>
        <v/>
      </c>
      <c r="AP70" s="258" t="str">
        <f t="shared" si="109"/>
        <v/>
      </c>
      <c r="AQ70" s="258" t="str">
        <f t="shared" si="109"/>
        <v/>
      </c>
      <c r="AR70" s="258" t="str">
        <f t="shared" si="109"/>
        <v/>
      </c>
      <c r="AS70" s="258" t="str">
        <f t="shared" si="109"/>
        <v/>
      </c>
      <c r="AT70" s="258" t="str">
        <f t="shared" si="109"/>
        <v/>
      </c>
      <c r="AU70" s="258" t="str">
        <f t="shared" si="109"/>
        <v/>
      </c>
      <c r="AV70" s="146"/>
      <c r="AW70" s="944"/>
      <c r="AX70" s="145"/>
      <c r="AY70" s="258" t="str">
        <f>AY$17</f>
        <v/>
      </c>
      <c r="AZ70" s="258" t="str">
        <f t="shared" ref="AZ70:BG70" si="110">AZ$17</f>
        <v/>
      </c>
      <c r="BA70" s="258" t="str">
        <f t="shared" si="110"/>
        <v/>
      </c>
      <c r="BB70" s="258" t="str">
        <f t="shared" si="110"/>
        <v/>
      </c>
      <c r="BC70" s="258" t="str">
        <f t="shared" si="110"/>
        <v/>
      </c>
      <c r="BD70" s="258" t="str">
        <f t="shared" si="110"/>
        <v/>
      </c>
      <c r="BE70" s="258" t="str">
        <f t="shared" si="110"/>
        <v/>
      </c>
      <c r="BF70" s="258" t="str">
        <f t="shared" si="110"/>
        <v/>
      </c>
      <c r="BG70" s="258" t="str">
        <f t="shared" si="110"/>
        <v/>
      </c>
      <c r="BH70" s="218"/>
    </row>
    <row r="71" spans="1:60">
      <c r="A71" s="1041"/>
      <c r="B71" s="1109" t="s">
        <v>147</v>
      </c>
      <c r="C71" s="1107" t="s">
        <v>118</v>
      </c>
      <c r="D71" s="641" t="s">
        <v>45</v>
      </c>
      <c r="E71" s="295" t="str">
        <f>$V$10</f>
        <v>mobiliteit</v>
      </c>
      <c r="F71" s="296"/>
      <c r="G71" s="296"/>
      <c r="H71" s="295" t="s">
        <v>156</v>
      </c>
      <c r="I71" s="259"/>
      <c r="J71" s="261">
        <f>M71+Y71+AK71+AW71</f>
        <v>0</v>
      </c>
      <c r="K71" s="126"/>
      <c r="L71" s="126"/>
      <c r="M71" s="261">
        <f>SUMPRODUCT(N$22:X$22,N71:X71)/1000</f>
        <v>0</v>
      </c>
      <c r="N71" s="259"/>
      <c r="O71" s="381"/>
      <c r="P71" s="381"/>
      <c r="Q71" s="381"/>
      <c r="R71" s="381"/>
      <c r="S71" s="381"/>
      <c r="T71" s="381"/>
      <c r="U71" s="381"/>
      <c r="V71" s="381"/>
      <c r="W71" s="381"/>
      <c r="X71" s="126"/>
      <c r="Y71" s="261">
        <f>SUMPRODUCT(Z$22:AJ$22,Z71:AJ71)/1000</f>
        <v>0</v>
      </c>
      <c r="Z71" s="259"/>
      <c r="AA71" s="381"/>
      <c r="AB71" s="381"/>
      <c r="AC71" s="381"/>
      <c r="AD71" s="381"/>
      <c r="AE71" s="381"/>
      <c r="AF71" s="381"/>
      <c r="AG71" s="381"/>
      <c r="AH71" s="381"/>
      <c r="AI71" s="381"/>
      <c r="AJ71" s="126"/>
      <c r="AK71" s="261">
        <f>SUMPRODUCT(AL$22:AV$22,AL71:AV71)/1000</f>
        <v>0</v>
      </c>
      <c r="AL71" s="259"/>
      <c r="AM71" s="381"/>
      <c r="AN71" s="381"/>
      <c r="AO71" s="381"/>
      <c r="AP71" s="381"/>
      <c r="AQ71" s="381"/>
      <c r="AR71" s="381"/>
      <c r="AS71" s="381"/>
      <c r="AT71" s="381"/>
      <c r="AU71" s="381"/>
      <c r="AV71" s="126"/>
      <c r="AW71" s="261">
        <f>SUMPRODUCT(AX$22:BH$22,AX71:BH71)/1000</f>
        <v>0</v>
      </c>
      <c r="AX71" s="259"/>
      <c r="AY71" s="381"/>
      <c r="AZ71" s="381"/>
      <c r="BA71" s="381"/>
      <c r="BB71" s="381"/>
      <c r="BC71" s="381"/>
      <c r="BD71" s="381"/>
      <c r="BE71" s="381"/>
      <c r="BF71" s="381"/>
      <c r="BG71" s="381"/>
      <c r="BH71" s="210"/>
    </row>
    <row r="72" spans="1:60">
      <c r="A72" s="1040"/>
      <c r="B72" s="1109" t="s">
        <v>147</v>
      </c>
      <c r="C72" s="1106" t="s">
        <v>96</v>
      </c>
      <c r="D72" s="641"/>
      <c r="E72" s="942" t="s">
        <v>157</v>
      </c>
      <c r="F72" s="942"/>
      <c r="G72" s="942"/>
      <c r="H72" s="942"/>
      <c r="I72" s="129"/>
      <c r="J72" s="943"/>
      <c r="K72" s="126"/>
      <c r="L72" s="126"/>
      <c r="M72" s="944"/>
      <c r="N72" s="145"/>
      <c r="O72" s="258" t="str">
        <f>O$17</f>
        <v/>
      </c>
      <c r="P72" s="258" t="str">
        <f t="shared" ref="P72:W72" si="111">P$17</f>
        <v/>
      </c>
      <c r="Q72" s="258" t="str">
        <f t="shared" si="111"/>
        <v/>
      </c>
      <c r="R72" s="258" t="str">
        <f t="shared" si="111"/>
        <v/>
      </c>
      <c r="S72" s="258" t="str">
        <f t="shared" si="111"/>
        <v/>
      </c>
      <c r="T72" s="258" t="str">
        <f t="shared" si="111"/>
        <v/>
      </c>
      <c r="U72" s="258" t="str">
        <f t="shared" si="111"/>
        <v/>
      </c>
      <c r="V72" s="258" t="str">
        <f t="shared" si="111"/>
        <v/>
      </c>
      <c r="W72" s="258" t="str">
        <f t="shared" si="111"/>
        <v/>
      </c>
      <c r="X72" s="146"/>
      <c r="Y72" s="944"/>
      <c r="Z72" s="145"/>
      <c r="AA72" s="258" t="str">
        <f>AA$17</f>
        <v/>
      </c>
      <c r="AB72" s="258" t="str">
        <f t="shared" ref="AB72:AI72" si="112">AB$17</f>
        <v/>
      </c>
      <c r="AC72" s="258" t="str">
        <f t="shared" si="112"/>
        <v/>
      </c>
      <c r="AD72" s="258" t="str">
        <f t="shared" si="112"/>
        <v/>
      </c>
      <c r="AE72" s="258" t="str">
        <f t="shared" si="112"/>
        <v/>
      </c>
      <c r="AF72" s="258" t="str">
        <f t="shared" si="112"/>
        <v/>
      </c>
      <c r="AG72" s="258" t="str">
        <f t="shared" si="112"/>
        <v/>
      </c>
      <c r="AH72" s="258" t="str">
        <f t="shared" si="112"/>
        <v/>
      </c>
      <c r="AI72" s="258" t="str">
        <f t="shared" si="112"/>
        <v/>
      </c>
      <c r="AJ72" s="146"/>
      <c r="AK72" s="944"/>
      <c r="AL72" s="145"/>
      <c r="AM72" s="258" t="str">
        <f>AM$17</f>
        <v/>
      </c>
      <c r="AN72" s="258" t="str">
        <f t="shared" ref="AN72:AU72" si="113">AN$17</f>
        <v/>
      </c>
      <c r="AO72" s="258" t="str">
        <f t="shared" si="113"/>
        <v/>
      </c>
      <c r="AP72" s="258" t="str">
        <f t="shared" si="113"/>
        <v/>
      </c>
      <c r="AQ72" s="258" t="str">
        <f t="shared" si="113"/>
        <v/>
      </c>
      <c r="AR72" s="258" t="str">
        <f t="shared" si="113"/>
        <v/>
      </c>
      <c r="AS72" s="258" t="str">
        <f t="shared" si="113"/>
        <v/>
      </c>
      <c r="AT72" s="258" t="str">
        <f t="shared" si="113"/>
        <v/>
      </c>
      <c r="AU72" s="258" t="str">
        <f t="shared" si="113"/>
        <v/>
      </c>
      <c r="AV72" s="146"/>
      <c r="AW72" s="944"/>
      <c r="AX72" s="145"/>
      <c r="AY72" s="258" t="str">
        <f>AY$17</f>
        <v/>
      </c>
      <c r="AZ72" s="258" t="str">
        <f t="shared" ref="AZ72:BG72" si="114">AZ$17</f>
        <v/>
      </c>
      <c r="BA72" s="258" t="str">
        <f t="shared" si="114"/>
        <v/>
      </c>
      <c r="BB72" s="258" t="str">
        <f t="shared" si="114"/>
        <v/>
      </c>
      <c r="BC72" s="258" t="str">
        <f t="shared" si="114"/>
        <v/>
      </c>
      <c r="BD72" s="258" t="str">
        <f t="shared" si="114"/>
        <v/>
      </c>
      <c r="BE72" s="258" t="str">
        <f t="shared" si="114"/>
        <v/>
      </c>
      <c r="BF72" s="258" t="str">
        <f t="shared" si="114"/>
        <v/>
      </c>
      <c r="BG72" s="258" t="str">
        <f t="shared" si="114"/>
        <v/>
      </c>
      <c r="BH72" s="218"/>
    </row>
    <row r="73" spans="1:60">
      <c r="A73" s="1040"/>
      <c r="B73" s="1109" t="s">
        <v>147</v>
      </c>
      <c r="C73" s="1107" t="s">
        <v>118</v>
      </c>
      <c r="D73" s="641" t="s">
        <v>45</v>
      </c>
      <c r="E73" s="295" t="s">
        <v>1367</v>
      </c>
      <c r="F73" s="296"/>
      <c r="G73" s="296"/>
      <c r="H73" s="295" t="s">
        <v>156</v>
      </c>
      <c r="I73" s="259"/>
      <c r="J73" s="261">
        <f>M73+Y73+AK73+AW73</f>
        <v>0</v>
      </c>
      <c r="K73" s="126"/>
      <c r="L73" s="126"/>
      <c r="M73" s="261">
        <f>SUMPRODUCT(N$22:X$22,N73:X73)/1000</f>
        <v>0</v>
      </c>
      <c r="N73" s="259"/>
      <c r="O73" s="381"/>
      <c r="P73" s="381"/>
      <c r="Q73" s="381"/>
      <c r="R73" s="381"/>
      <c r="S73" s="381"/>
      <c r="T73" s="381"/>
      <c r="U73" s="381"/>
      <c r="V73" s="381"/>
      <c r="W73" s="381"/>
      <c r="X73" s="126"/>
      <c r="Y73" s="261">
        <f>SUMPRODUCT(Z$22:AJ$22,Z73:AJ73)/1000</f>
        <v>0</v>
      </c>
      <c r="Z73" s="259"/>
      <c r="AA73" s="381"/>
      <c r="AB73" s="381"/>
      <c r="AC73" s="381"/>
      <c r="AD73" s="381"/>
      <c r="AE73" s="381"/>
      <c r="AF73" s="381"/>
      <c r="AG73" s="381"/>
      <c r="AH73" s="381"/>
      <c r="AI73" s="381"/>
      <c r="AJ73" s="126"/>
      <c r="AK73" s="261">
        <f>SUMPRODUCT(AL$22:AV$22,AL73:AV73)/1000</f>
        <v>0</v>
      </c>
      <c r="AL73" s="259"/>
      <c r="AM73" s="381"/>
      <c r="AN73" s="381"/>
      <c r="AO73" s="381"/>
      <c r="AP73" s="381"/>
      <c r="AQ73" s="381"/>
      <c r="AR73" s="381"/>
      <c r="AS73" s="381"/>
      <c r="AT73" s="381"/>
      <c r="AU73" s="381"/>
      <c r="AV73" s="126"/>
      <c r="AW73" s="261">
        <f>SUMPRODUCT(AX$22:BH$22,AX73:BH73)/1000</f>
        <v>0</v>
      </c>
      <c r="AX73" s="259"/>
      <c r="AY73" s="381"/>
      <c r="AZ73" s="381"/>
      <c r="BA73" s="381"/>
      <c r="BB73" s="381"/>
      <c r="BC73" s="381"/>
      <c r="BD73" s="381"/>
      <c r="BE73" s="381"/>
      <c r="BF73" s="381"/>
      <c r="BG73" s="381"/>
      <c r="BH73" s="210"/>
    </row>
    <row r="74" spans="1:60">
      <c r="A74" s="1040"/>
      <c r="B74" s="1109" t="s">
        <v>147</v>
      </c>
      <c r="C74" s="1107" t="s">
        <v>118</v>
      </c>
      <c r="D74" s="638"/>
      <c r="E74" s="79"/>
      <c r="F74" s="79"/>
      <c r="G74" s="79"/>
      <c r="H74" s="85"/>
      <c r="I74" s="79"/>
      <c r="J74" s="82"/>
      <c r="K74" s="79"/>
      <c r="L74" s="79"/>
      <c r="M74" s="82"/>
      <c r="N74" s="79"/>
      <c r="O74" s="82"/>
      <c r="P74" s="82"/>
      <c r="Q74" s="105"/>
      <c r="R74" s="105"/>
      <c r="S74" s="105"/>
      <c r="T74" s="105"/>
      <c r="U74" s="105"/>
      <c r="V74" s="105"/>
      <c r="W74" s="105"/>
      <c r="X74" s="82"/>
      <c r="Y74" s="82"/>
      <c r="Z74" s="79"/>
      <c r="AA74" s="105"/>
      <c r="AB74" s="82"/>
      <c r="AC74" s="105"/>
      <c r="AD74" s="105"/>
      <c r="AE74" s="105"/>
      <c r="AF74" s="105"/>
      <c r="AG74" s="105"/>
      <c r="AH74" s="105"/>
      <c r="AI74" s="105"/>
      <c r="AJ74" s="82"/>
      <c r="AK74" s="82"/>
      <c r="AL74" s="79"/>
      <c r="AM74" s="105"/>
      <c r="AN74" s="82"/>
      <c r="AO74" s="105"/>
      <c r="AP74" s="105"/>
      <c r="AQ74" s="105"/>
      <c r="AR74" s="105"/>
      <c r="AS74" s="105"/>
      <c r="AT74" s="105"/>
      <c r="AU74" s="105"/>
      <c r="AV74" s="82"/>
      <c r="AW74" s="82"/>
      <c r="AX74" s="79"/>
      <c r="AY74" s="82"/>
      <c r="AZ74" s="82"/>
      <c r="BA74" s="82"/>
      <c r="BB74" s="82"/>
      <c r="BC74" s="82"/>
      <c r="BD74" s="82"/>
      <c r="BE74" s="82"/>
      <c r="BF74" s="82"/>
      <c r="BG74" s="82"/>
      <c r="BH74" s="1"/>
    </row>
    <row r="75" spans="1:60">
      <c r="A75" s="1040"/>
      <c r="B75" s="1109" t="s">
        <v>147</v>
      </c>
      <c r="C75" s="1107" t="s">
        <v>96</v>
      </c>
      <c r="D75" s="638"/>
      <c r="E75" s="79"/>
      <c r="F75" s="79"/>
      <c r="G75" s="79"/>
      <c r="H75" s="85"/>
      <c r="I75" s="79"/>
      <c r="J75" s="82"/>
      <c r="K75" s="79"/>
      <c r="L75" s="79"/>
      <c r="M75" s="82"/>
      <c r="N75" s="79"/>
      <c r="O75" s="105"/>
      <c r="P75" s="82"/>
      <c r="Q75" s="105"/>
      <c r="R75" s="105"/>
      <c r="S75" s="105"/>
      <c r="T75" s="105"/>
      <c r="U75" s="105"/>
      <c r="V75" s="105"/>
      <c r="W75" s="105"/>
      <c r="X75" s="82"/>
      <c r="Y75" s="82"/>
      <c r="Z75" s="79"/>
      <c r="AA75" s="105"/>
      <c r="AB75" s="82"/>
      <c r="AC75" s="105"/>
      <c r="AD75" s="105"/>
      <c r="AE75" s="105"/>
      <c r="AF75" s="105"/>
      <c r="AG75" s="105"/>
      <c r="AH75" s="105"/>
      <c r="AI75" s="105"/>
      <c r="AJ75" s="82"/>
      <c r="AK75" s="82"/>
      <c r="AL75" s="79"/>
      <c r="AM75" s="105"/>
      <c r="AN75" s="82"/>
      <c r="AO75" s="105"/>
      <c r="AP75" s="105"/>
      <c r="AQ75" s="105"/>
      <c r="AR75" s="105"/>
      <c r="AS75" s="105"/>
      <c r="AT75" s="105"/>
      <c r="AU75" s="105"/>
      <c r="AV75" s="82"/>
      <c r="AW75" s="82"/>
      <c r="AX75" s="79"/>
      <c r="AY75" s="82"/>
      <c r="AZ75" s="82"/>
      <c r="BA75" s="82"/>
      <c r="BB75" s="82"/>
      <c r="BC75" s="82"/>
      <c r="BD75" s="82"/>
      <c r="BE75" s="82"/>
      <c r="BF75" s="82"/>
      <c r="BG75" s="82"/>
      <c r="BH75" s="1"/>
    </row>
    <row r="76" spans="1:60" ht="21">
      <c r="A76" s="1040"/>
      <c r="B76" s="1109" t="s">
        <v>147</v>
      </c>
      <c r="C76" s="1106" t="s">
        <v>96</v>
      </c>
      <c r="D76" s="643"/>
      <c r="E76" s="199" t="s">
        <v>1168</v>
      </c>
      <c r="F76" s="199"/>
      <c r="G76" s="199"/>
      <c r="H76" s="199"/>
      <c r="I76" s="77"/>
      <c r="J76" s="200" t="str">
        <f>J$10</f>
        <v>alle locaties</v>
      </c>
      <c r="K76" s="126"/>
      <c r="L76" s="126"/>
      <c r="M76" s="200" t="str">
        <f>M$10</f>
        <v>locatie 1</v>
      </c>
      <c r="N76" s="182"/>
      <c r="O76" s="966" t="str">
        <f>$E76&amp;" per energiepost"</f>
        <v>energiebehoefte per energiepost</v>
      </c>
      <c r="P76" s="941"/>
      <c r="Q76" s="941"/>
      <c r="R76" s="941"/>
      <c r="S76" s="941"/>
      <c r="T76" s="941"/>
      <c r="U76" s="941"/>
      <c r="V76" s="941"/>
      <c r="W76" s="956"/>
      <c r="X76" s="174"/>
      <c r="Y76" s="176" t="str">
        <f>Y$10&amp;" MWh"</f>
        <v>locatie 2 MWh</v>
      </c>
      <c r="Z76" s="182"/>
      <c r="AA76" s="177" t="str">
        <f t="shared" ref="AA76:AI76" si="115">AA$10</f>
        <v>verwarming</v>
      </c>
      <c r="AB76" s="177" t="str">
        <f t="shared" si="115"/>
        <v>koeling</v>
      </c>
      <c r="AC76" s="177" t="str">
        <f t="shared" si="115"/>
        <v>tapwater</v>
      </c>
      <c r="AD76" s="177" t="str">
        <f t="shared" si="115"/>
        <v>verlichting</v>
      </c>
      <c r="AE76" s="177" t="str">
        <f t="shared" si="115"/>
        <v>ventilatoren</v>
      </c>
      <c r="AF76" s="177" t="str">
        <f t="shared" si="115"/>
        <v>kookgas</v>
      </c>
      <c r="AG76" s="177" t="str">
        <f t="shared" si="115"/>
        <v>overig elektra</v>
      </c>
      <c r="AH76" s="177" t="str">
        <f t="shared" si="115"/>
        <v>mobiliteit</v>
      </c>
      <c r="AI76" s="177" t="str">
        <f t="shared" si="115"/>
        <v>zonnepanelen</v>
      </c>
      <c r="AJ76" s="174"/>
      <c r="AK76" s="176" t="str">
        <f>AK$10&amp;" MWh"</f>
        <v>locatie 3 MWh</v>
      </c>
      <c r="AL76" s="182"/>
      <c r="AM76" s="177" t="str">
        <f>AM$10</f>
        <v>verwarming</v>
      </c>
      <c r="AN76" s="177" t="str">
        <f t="shared" ref="AN76:AU76" si="116">AN$10</f>
        <v>koeling</v>
      </c>
      <c r="AO76" s="177" t="str">
        <f t="shared" si="116"/>
        <v>tapwater</v>
      </c>
      <c r="AP76" s="177" t="str">
        <f t="shared" si="116"/>
        <v>verlichting</v>
      </c>
      <c r="AQ76" s="177" t="str">
        <f t="shared" si="116"/>
        <v>ventilatoren</v>
      </c>
      <c r="AR76" s="177" t="str">
        <f t="shared" si="116"/>
        <v>kookgas</v>
      </c>
      <c r="AS76" s="177" t="str">
        <f t="shared" si="116"/>
        <v>overig elektra</v>
      </c>
      <c r="AT76" s="177" t="str">
        <f t="shared" si="116"/>
        <v>mobiliteit</v>
      </c>
      <c r="AU76" s="177" t="str">
        <f t="shared" si="116"/>
        <v>zonnepanelen</v>
      </c>
      <c r="AV76" s="174"/>
      <c r="AW76" s="176" t="str">
        <f>AW$10&amp;" MWh"</f>
        <v>locatie 4 MWh</v>
      </c>
      <c r="AX76" s="182"/>
      <c r="AY76" s="177" t="str">
        <f>AY$10</f>
        <v>verwarming</v>
      </c>
      <c r="AZ76" s="177" t="str">
        <f t="shared" ref="AZ76:BG76" si="117">AZ$10</f>
        <v>koeling</v>
      </c>
      <c r="BA76" s="177" t="str">
        <f t="shared" si="117"/>
        <v>tapwater</v>
      </c>
      <c r="BB76" s="177" t="str">
        <f t="shared" si="117"/>
        <v>verlichting</v>
      </c>
      <c r="BC76" s="177" t="str">
        <f t="shared" si="117"/>
        <v>ventilatoren</v>
      </c>
      <c r="BD76" s="177" t="str">
        <f t="shared" si="117"/>
        <v>kookgas</v>
      </c>
      <c r="BE76" s="177" t="str">
        <f t="shared" si="117"/>
        <v>overig elektra</v>
      </c>
      <c r="BF76" s="177" t="str">
        <f t="shared" si="117"/>
        <v>mobiliteit</v>
      </c>
      <c r="BG76" s="177" t="str">
        <f t="shared" si="117"/>
        <v>zonnepanelen</v>
      </c>
      <c r="BH76" s="1"/>
    </row>
    <row r="77" spans="1:60">
      <c r="A77" s="1040"/>
      <c r="B77" s="1109" t="s">
        <v>147</v>
      </c>
      <c r="C77" s="1106" t="s">
        <v>96</v>
      </c>
      <c r="D77" s="641"/>
      <c r="E77" s="940" t="s">
        <v>158</v>
      </c>
      <c r="F77" s="940"/>
      <c r="G77" s="940"/>
      <c r="H77" s="940"/>
      <c r="I77" s="77"/>
      <c r="J77" s="939"/>
      <c r="K77" s="126"/>
      <c r="L77" s="126"/>
      <c r="M77" s="938"/>
      <c r="N77" s="182"/>
      <c r="O77" s="177" t="str">
        <f t="shared" ref="O77:W77" si="118">O$10</f>
        <v>verwarming</v>
      </c>
      <c r="P77" s="177" t="str">
        <f t="shared" si="118"/>
        <v>koeling</v>
      </c>
      <c r="Q77" s="177" t="str">
        <f t="shared" si="118"/>
        <v>tapwater</v>
      </c>
      <c r="R77" s="177" t="str">
        <f t="shared" si="118"/>
        <v>verlichting</v>
      </c>
      <c r="S77" s="177" t="str">
        <f t="shared" si="118"/>
        <v>ventilatoren</v>
      </c>
      <c r="T77" s="177" t="str">
        <f t="shared" si="118"/>
        <v>kookgas</v>
      </c>
      <c r="U77" s="177" t="str">
        <f t="shared" si="118"/>
        <v>overig elektra</v>
      </c>
      <c r="V77" s="177" t="str">
        <f t="shared" si="118"/>
        <v>mobiliteit</v>
      </c>
      <c r="W77" s="177" t="str">
        <f t="shared" si="118"/>
        <v>zonnepanelen</v>
      </c>
      <c r="X77" s="147"/>
      <c r="Y77" s="125"/>
      <c r="Z77" s="125"/>
      <c r="AA77" s="125"/>
      <c r="AB77" s="125"/>
      <c r="AC77" s="125"/>
      <c r="AD77" s="125"/>
      <c r="AE77" s="125"/>
      <c r="AF77" s="125"/>
      <c r="AG77" s="125"/>
      <c r="AH77" s="125"/>
      <c r="AI77" s="125"/>
      <c r="AJ77" s="147"/>
      <c r="AK77" s="125"/>
      <c r="AL77" s="125"/>
      <c r="AM77" s="125"/>
      <c r="AN77" s="125"/>
      <c r="AO77" s="125"/>
      <c r="AP77" s="125"/>
      <c r="AQ77" s="125"/>
      <c r="AR77" s="125"/>
      <c r="AS77" s="125"/>
      <c r="AT77" s="125"/>
      <c r="AU77" s="125"/>
      <c r="AV77" s="147"/>
      <c r="AW77" s="125"/>
      <c r="AX77" s="125"/>
      <c r="AY77" s="125"/>
      <c r="AZ77" s="125"/>
      <c r="BA77" s="125"/>
      <c r="BB77" s="125"/>
      <c r="BC77" s="125"/>
      <c r="BD77" s="125"/>
      <c r="BE77" s="125"/>
      <c r="BF77" s="125"/>
      <c r="BG77" s="125"/>
      <c r="BH77" s="218"/>
    </row>
    <row r="78" spans="1:60">
      <c r="A78" s="1040"/>
      <c r="B78" s="1109" t="s">
        <v>147</v>
      </c>
      <c r="C78" s="1107" t="s">
        <v>104</v>
      </c>
      <c r="D78" s="641" t="s">
        <v>45</v>
      </c>
      <c r="E78" s="295" t="s">
        <v>159</v>
      </c>
      <c r="F78" s="296"/>
      <c r="G78" s="296"/>
      <c r="H78" s="295" t="s">
        <v>160</v>
      </c>
      <c r="I78" s="259"/>
      <c r="J78" s="261">
        <f>M78+Y78+AK78+AW78</f>
        <v>0</v>
      </c>
      <c r="K78" s="126"/>
      <c r="L78" s="126"/>
      <c r="M78" s="261">
        <f>SUM(N78:X78)</f>
        <v>0</v>
      </c>
      <c r="N78" s="259"/>
      <c r="O78" s="260">
        <f>SUMPRODUCT(N22:X22,N29:X29,N62:X62)/1000</f>
        <v>0</v>
      </c>
      <c r="P78" s="260">
        <f>SUMPRODUCT(N22:X22,N29:X29,N64:X64)/1000</f>
        <v>0</v>
      </c>
      <c r="Q78" s="260">
        <f>SUMPRODUCT(N22:X22,N29:X29,N65:X65)/1000</f>
        <v>0</v>
      </c>
      <c r="R78" s="260">
        <f>SUMPRODUCT(N22:X22,N29:X29,N66:X66)/1000</f>
        <v>0</v>
      </c>
      <c r="S78" s="260">
        <f>SUMPRODUCT(N22:X22,N29:X29,N67:X67)/1000</f>
        <v>0</v>
      </c>
      <c r="T78" s="260">
        <f>SUMPRODUCT(N22:X22,N29:X29,N68:X68)/1000</f>
        <v>0</v>
      </c>
      <c r="U78" s="260">
        <f>SUMPRODUCT(N22:X22,N29:X29,N69:X69)/1000</f>
        <v>0</v>
      </c>
      <c r="V78" s="260">
        <f>SUMPRODUCT(N22:X22,N71:X71)/1000</f>
        <v>0</v>
      </c>
      <c r="W78" s="260">
        <f>-SUMPRODUCT(N22:X22,N73:X73)/1000</f>
        <v>0</v>
      </c>
      <c r="X78" s="126"/>
      <c r="Y78" s="261">
        <f>SUM(Z78:AJ78)</f>
        <v>0</v>
      </c>
      <c r="Z78" s="259"/>
      <c r="AA78" s="260">
        <f>SUMPRODUCT(Z22:AJ22,Z29:AJ29,Z62:AJ62)/1000</f>
        <v>0</v>
      </c>
      <c r="AB78" s="260">
        <f>SUMPRODUCT(Z22:AJ22,Z29:AJ29,Z64:AJ64)/1000</f>
        <v>0</v>
      </c>
      <c r="AC78" s="260">
        <f>SUMPRODUCT(Z22:AJ22,Z29:AJ29,Z65:AJ65)/1000</f>
        <v>0</v>
      </c>
      <c r="AD78" s="260">
        <f>SUMPRODUCT(Z22:AJ22,Z29:AJ29,Z66:AJ66)/1000</f>
        <v>0</v>
      </c>
      <c r="AE78" s="260">
        <f>SUMPRODUCT(Z22:AJ22,Z29:AJ29,Z67:AJ67)/1000</f>
        <v>0</v>
      </c>
      <c r="AF78" s="260">
        <f>SUMPRODUCT(Z22:AJ22,Z29:AJ29,Z68:AJ68)/1000</f>
        <v>0</v>
      </c>
      <c r="AG78" s="260">
        <f>SUMPRODUCT(Z22:AJ22,Z29:AJ29,Z69:AJ69)/1000</f>
        <v>0</v>
      </c>
      <c r="AH78" s="260">
        <f>SUMPRODUCT(Z22:AJ22,Z71:AJ71)/1000</f>
        <v>0</v>
      </c>
      <c r="AI78" s="260">
        <f>-SUMPRODUCT(Z22:AJ22,Z73:AJ73)/1000</f>
        <v>0</v>
      </c>
      <c r="AJ78" s="126"/>
      <c r="AK78" s="261">
        <f>SUM(AL78:AV78)</f>
        <v>0</v>
      </c>
      <c r="AL78" s="259"/>
      <c r="AM78" s="260">
        <f>SUMPRODUCT(AL22:AV22,AL29:AV29,AL62:AV62)/1000</f>
        <v>0</v>
      </c>
      <c r="AN78" s="260">
        <f>SUMPRODUCT(AL22:AV22,AL29:AV29,AL64:AV64)/1000</f>
        <v>0</v>
      </c>
      <c r="AO78" s="260">
        <f>SUMPRODUCT(AL22:AV22,AL29:AV29,AL65:AV65)/1000</f>
        <v>0</v>
      </c>
      <c r="AP78" s="260">
        <f>SUMPRODUCT(AL22:AV22,AL29:AV29,AL66:AV66)/1000</f>
        <v>0</v>
      </c>
      <c r="AQ78" s="260">
        <f>SUMPRODUCT(AL22:AV22,AL29:AV29,AL67:AV67)/1000</f>
        <v>0</v>
      </c>
      <c r="AR78" s="260">
        <f>SUMPRODUCT(AL22:AV22,AL29:AV29,AL68:AV68)/1000</f>
        <v>0</v>
      </c>
      <c r="AS78" s="260">
        <f>SUMPRODUCT(AL22:AV22,AL29:AV29,AL69:AV69)/1000</f>
        <v>0</v>
      </c>
      <c r="AT78" s="260">
        <f>SUMPRODUCT(AL22:AV22,AL71:AV71)/1000</f>
        <v>0</v>
      </c>
      <c r="AU78" s="260">
        <f>-SUMPRODUCT(AL22:AV22,AL73:AV73)/1000</f>
        <v>0</v>
      </c>
      <c r="AV78" s="126"/>
      <c r="AW78" s="261">
        <f>SUM(AX78:BH78)</f>
        <v>0</v>
      </c>
      <c r="AX78" s="259"/>
      <c r="AY78" s="260">
        <f>SUMPRODUCT(AX22:BH22,AX29:BH29,AX62:BH62)/1000</f>
        <v>0</v>
      </c>
      <c r="AZ78" s="260">
        <f>SUMPRODUCT(AX22:BH22,AX29:BH29,AX64:BH64)/1000</f>
        <v>0</v>
      </c>
      <c r="BA78" s="260">
        <f>SUMPRODUCT(AX22:BH22,AX29:BH29,AX65:BH65)/1000</f>
        <v>0</v>
      </c>
      <c r="BB78" s="260">
        <f>SUMPRODUCT(AX22:BH22,AX29:BH29,AX66:BH66)/1000</f>
        <v>0</v>
      </c>
      <c r="BC78" s="260">
        <f>SUMPRODUCT(AX22:BH22,AX29:BH29,AX67:BH67)/1000</f>
        <v>0</v>
      </c>
      <c r="BD78" s="260">
        <f>SUMPRODUCT(AX22:BH22,AX29:BH29,AX68:BH68)/1000</f>
        <v>0</v>
      </c>
      <c r="BE78" s="260">
        <f>SUMPRODUCT(AX22:BH22,AX29:BH29,AX69:BH69)/1000</f>
        <v>0</v>
      </c>
      <c r="BF78" s="260">
        <f>SUMPRODUCT(AX22:BH22,AX71:BH71)/1000</f>
        <v>0</v>
      </c>
      <c r="BG78" s="260">
        <f>-SUMPRODUCT(AX22:BH22,AX73:BH73)/1000</f>
        <v>0</v>
      </c>
      <c r="BH78" s="210"/>
    </row>
    <row r="79" spans="1:60">
      <c r="A79" s="1040"/>
      <c r="B79" s="1109" t="s">
        <v>147</v>
      </c>
      <c r="C79" s="1106" t="s">
        <v>96</v>
      </c>
      <c r="D79" s="638"/>
      <c r="E79" s="79"/>
      <c r="F79" s="79"/>
      <c r="G79" s="79"/>
      <c r="H79" s="85"/>
      <c r="I79" s="79"/>
      <c r="J79" s="82"/>
      <c r="K79" s="79"/>
      <c r="L79" s="79"/>
      <c r="M79" s="82"/>
      <c r="N79" s="79"/>
      <c r="O79" s="82"/>
      <c r="P79" s="82"/>
      <c r="Q79" s="82"/>
      <c r="R79" s="82"/>
      <c r="S79" s="82"/>
      <c r="T79" s="82"/>
      <c r="U79" s="82"/>
      <c r="V79" s="82"/>
      <c r="W79" s="82"/>
      <c r="X79" s="82"/>
      <c r="Y79" s="82"/>
      <c r="Z79" s="79"/>
      <c r="AA79" s="108"/>
      <c r="AB79" s="82"/>
      <c r="AC79" s="108"/>
      <c r="AD79" s="82"/>
      <c r="AE79" s="82"/>
      <c r="AF79" s="82"/>
      <c r="AG79" s="82"/>
      <c r="AH79" s="82"/>
      <c r="AI79" s="82"/>
      <c r="AJ79" s="82"/>
      <c r="AK79" s="82"/>
      <c r="AL79" s="79"/>
      <c r="AM79" s="82"/>
      <c r="AN79" s="82"/>
      <c r="AO79" s="82"/>
      <c r="AP79" s="82"/>
      <c r="AQ79" s="82"/>
      <c r="AR79" s="82"/>
      <c r="AS79" s="82"/>
      <c r="AT79" s="82"/>
      <c r="AU79" s="82"/>
      <c r="AV79" s="82"/>
      <c r="AW79" s="82"/>
      <c r="AX79" s="79"/>
      <c r="AY79" s="82"/>
      <c r="AZ79" s="82"/>
      <c r="BA79" s="82"/>
      <c r="BB79" s="82"/>
      <c r="BC79" s="82"/>
      <c r="BD79" s="82"/>
      <c r="BE79" s="82"/>
      <c r="BF79" s="82"/>
      <c r="BG79" s="82"/>
      <c r="BH79" s="1"/>
    </row>
    <row r="80" spans="1:60">
      <c r="A80" s="1040"/>
      <c r="B80" s="1109" t="s">
        <v>161</v>
      </c>
      <c r="C80" s="1107" t="s">
        <v>96</v>
      </c>
      <c r="D80" s="638"/>
      <c r="E80" s="79"/>
      <c r="F80" s="79"/>
      <c r="G80" s="79"/>
      <c r="H80" s="85"/>
      <c r="I80" s="79"/>
      <c r="J80" s="82"/>
      <c r="K80" s="79"/>
      <c r="L80" s="79"/>
      <c r="M80" s="82"/>
      <c r="N80" s="79"/>
      <c r="O80" s="82"/>
      <c r="P80" s="82"/>
      <c r="Q80" s="82"/>
      <c r="R80" s="82"/>
      <c r="S80" s="82"/>
      <c r="T80" s="82"/>
      <c r="U80" s="82"/>
      <c r="V80" s="82"/>
      <c r="W80" s="82"/>
      <c r="X80" s="82"/>
      <c r="Y80" s="82"/>
      <c r="Z80" s="79"/>
      <c r="AA80" s="108"/>
      <c r="AB80" s="108"/>
      <c r="AC80" s="82"/>
      <c r="AD80" s="82"/>
      <c r="AE80" s="82"/>
      <c r="AF80" s="82"/>
      <c r="AG80" s="82"/>
      <c r="AH80" s="82"/>
      <c r="AI80" s="82"/>
      <c r="AJ80" s="82"/>
      <c r="AK80" s="82"/>
      <c r="AL80" s="79"/>
      <c r="AM80" s="82"/>
      <c r="AN80" s="82"/>
      <c r="AO80" s="82"/>
      <c r="AP80" s="82"/>
      <c r="AQ80" s="82"/>
      <c r="AR80" s="82"/>
      <c r="AS80" s="82"/>
      <c r="AT80" s="82"/>
      <c r="AU80" s="82"/>
      <c r="AV80" s="82"/>
      <c r="AW80" s="82"/>
      <c r="AX80" s="79"/>
      <c r="AY80" s="82"/>
      <c r="AZ80" s="82"/>
      <c r="BA80" s="82"/>
      <c r="BB80" s="82"/>
      <c r="BC80" s="82"/>
      <c r="BD80" s="82"/>
      <c r="BE80" s="82"/>
      <c r="BF80" s="82"/>
      <c r="BG80" s="82"/>
      <c r="BH80" s="1"/>
    </row>
    <row r="81" spans="1:60" ht="21">
      <c r="A81" s="1040"/>
      <c r="B81" s="1109" t="s">
        <v>161</v>
      </c>
      <c r="C81" s="1106" t="s">
        <v>96</v>
      </c>
      <c r="D81" s="641" t="s">
        <v>45</v>
      </c>
      <c r="E81" s="199" t="s">
        <v>162</v>
      </c>
      <c r="F81" s="199"/>
      <c r="G81" s="199"/>
      <c r="H81" s="199"/>
      <c r="I81" s="77"/>
      <c r="J81" s="200" t="str">
        <f>J$10</f>
        <v>alle locaties</v>
      </c>
      <c r="K81" s="126"/>
      <c r="L81" s="126"/>
      <c r="M81" s="200" t="str">
        <f>M$10</f>
        <v>locatie 1</v>
      </c>
      <c r="N81" s="182"/>
      <c r="O81" s="966" t="str">
        <f>$E81&amp;" per energiepost"</f>
        <v>installatie systeem per energiepost</v>
      </c>
      <c r="P81" s="941"/>
      <c r="Q81" s="941"/>
      <c r="R81" s="941"/>
      <c r="S81" s="941"/>
      <c r="T81" s="941"/>
      <c r="U81" s="941"/>
      <c r="V81" s="941"/>
      <c r="W81" s="956"/>
      <c r="X81" s="174"/>
      <c r="Y81" s="176"/>
      <c r="Z81" s="182"/>
      <c r="AA81" s="966" t="str">
        <f>$E81&amp;" per energiepost"</f>
        <v>installatie systeem per energiepost</v>
      </c>
      <c r="AB81" s="941"/>
      <c r="AC81" s="941"/>
      <c r="AD81" s="941"/>
      <c r="AE81" s="941"/>
      <c r="AF81" s="941"/>
      <c r="AG81" s="941"/>
      <c r="AH81" s="941"/>
      <c r="AI81" s="956"/>
      <c r="AJ81" s="174"/>
      <c r="AK81" s="176"/>
      <c r="AL81" s="182"/>
      <c r="AM81" s="966" t="str">
        <f>$E81&amp;" per energiepost"</f>
        <v>installatie systeem per energiepost</v>
      </c>
      <c r="AN81" s="941"/>
      <c r="AO81" s="941"/>
      <c r="AP81" s="941"/>
      <c r="AQ81" s="941"/>
      <c r="AR81" s="941"/>
      <c r="AS81" s="941"/>
      <c r="AT81" s="941"/>
      <c r="AU81" s="956"/>
      <c r="AV81" s="174"/>
      <c r="AW81" s="176"/>
      <c r="AX81" s="182"/>
      <c r="AY81" s="966" t="str">
        <f>$E81&amp;" per energiepost"</f>
        <v>installatie systeem per energiepost</v>
      </c>
      <c r="AZ81" s="941"/>
      <c r="BA81" s="941"/>
      <c r="BB81" s="941"/>
      <c r="BC81" s="941"/>
      <c r="BD81" s="941"/>
      <c r="BE81" s="941"/>
      <c r="BF81" s="941"/>
      <c r="BG81" s="956"/>
      <c r="BH81" s="1"/>
    </row>
    <row r="82" spans="1:60">
      <c r="A82" s="1040"/>
      <c r="B82" s="1109" t="s">
        <v>161</v>
      </c>
      <c r="C82" s="1106" t="s">
        <v>96</v>
      </c>
      <c r="D82" s="641" t="s">
        <v>45</v>
      </c>
      <c r="E82" s="940" t="s">
        <v>163</v>
      </c>
      <c r="F82" s="940"/>
      <c r="G82" s="940"/>
      <c r="H82" s="940"/>
      <c r="I82" s="77"/>
      <c r="J82" s="939"/>
      <c r="K82" s="126"/>
      <c r="L82" s="126"/>
      <c r="M82" s="938"/>
      <c r="N82" s="125"/>
      <c r="O82" s="177" t="str">
        <f>O$10</f>
        <v>verwarming</v>
      </c>
      <c r="P82" s="177" t="str">
        <f>P$10</f>
        <v>koeling</v>
      </c>
      <c r="Q82" s="177" t="str">
        <f>Q$10</f>
        <v>tapwater</v>
      </c>
      <c r="R82" s="177"/>
      <c r="S82" s="177"/>
      <c r="T82" s="177"/>
      <c r="U82" s="177"/>
      <c r="V82" s="177"/>
      <c r="W82" s="177"/>
      <c r="X82" s="147"/>
      <c r="Y82" s="938"/>
      <c r="Z82" s="125"/>
      <c r="AA82" s="177" t="str">
        <f>AA$10</f>
        <v>verwarming</v>
      </c>
      <c r="AB82" s="177" t="str">
        <f>AB$10</f>
        <v>koeling</v>
      </c>
      <c r="AC82" s="177" t="str">
        <f>AC$10</f>
        <v>tapwater</v>
      </c>
      <c r="AD82" s="177"/>
      <c r="AE82" s="177"/>
      <c r="AF82" s="177"/>
      <c r="AG82" s="177"/>
      <c r="AH82" s="177"/>
      <c r="AI82" s="177"/>
      <c r="AJ82" s="147"/>
      <c r="AK82" s="938"/>
      <c r="AL82" s="125"/>
      <c r="AM82" s="177" t="str">
        <f>AM$10</f>
        <v>verwarming</v>
      </c>
      <c r="AN82" s="177" t="str">
        <f>AN$10</f>
        <v>koeling</v>
      </c>
      <c r="AO82" s="177" t="str">
        <f>AO$10</f>
        <v>tapwater</v>
      </c>
      <c r="AP82" s="177"/>
      <c r="AQ82" s="177"/>
      <c r="AR82" s="177"/>
      <c r="AS82" s="177"/>
      <c r="AT82" s="177"/>
      <c r="AU82" s="177"/>
      <c r="AV82" s="147"/>
      <c r="AW82" s="938"/>
      <c r="AX82" s="125"/>
      <c r="AY82" s="177" t="str">
        <f>AY$10</f>
        <v>verwarming</v>
      </c>
      <c r="AZ82" s="177" t="str">
        <f>AZ$10</f>
        <v>koeling</v>
      </c>
      <c r="BA82" s="177" t="str">
        <f>BA$10</f>
        <v>tapwater</v>
      </c>
      <c r="BB82" s="177"/>
      <c r="BC82" s="177"/>
      <c r="BD82" s="177"/>
      <c r="BE82" s="177"/>
      <c r="BF82" s="177"/>
      <c r="BG82" s="177"/>
      <c r="BH82" s="218"/>
    </row>
    <row r="83" spans="1:60" ht="38.25">
      <c r="A83" s="1040"/>
      <c r="B83" s="1109" t="s">
        <v>161</v>
      </c>
      <c r="C83" s="1107" t="s">
        <v>118</v>
      </c>
      <c r="D83" s="638"/>
      <c r="E83" s="150" t="s">
        <v>164</v>
      </c>
      <c r="F83" s="294"/>
      <c r="G83" s="294"/>
      <c r="H83" s="150" t="s">
        <v>65</v>
      </c>
      <c r="I83" s="155"/>
      <c r="J83" s="268" t="str">
        <f>IF(AND(M$29&gt;0,COUNTBLANK(O83:Q83)&gt;0),"kies installatie locatie 1",
IF(AND(Y$29&gt;0,COUNTBLANK(AA83:AC83)&gt;0),"kies installatie locatie 2",
IF(AND(AK$29&gt;0,COUNTBLANK(AM83:AO83)&gt;0),"kies installatie locatie 3",
IF(AND(AW$29&gt;0,COUNTBLANK(AY83:BA83)&gt;0),"kies installatie locatie 4",
"ja"))))</f>
        <v>ja</v>
      </c>
      <c r="K83" s="1056"/>
      <c r="L83" s="1056"/>
      <c r="M83" s="268" t="str" cm="1">
        <f t="array" ref="M83">IF(M78=0,"",IF(SUMPRODUCT((O78:Q78&gt;0)*1,(O83:Q83="")*1)&gt;0,"nee","ja"))</f>
        <v/>
      </c>
      <c r="N83" s="120"/>
      <c r="O83" s="859" t="s">
        <v>473</v>
      </c>
      <c r="P83" s="859" t="s">
        <v>166</v>
      </c>
      <c r="Q83" s="859" t="s">
        <v>473</v>
      </c>
      <c r="R83" s="156"/>
      <c r="S83" s="156"/>
      <c r="T83" s="156"/>
      <c r="U83" s="156"/>
      <c r="V83" s="156"/>
      <c r="W83" s="156"/>
      <c r="X83" s="147"/>
      <c r="Y83" s="268" t="str" cm="1">
        <f t="array" ref="Y83">IF(Y78=0,"",IF(SUMPRODUCT((AA78:AC78&gt;0)*1,(AA83:AC83="")*1)&gt;0,"nee","ja"))</f>
        <v/>
      </c>
      <c r="Z83" s="120"/>
      <c r="AA83" s="859" t="s">
        <v>473</v>
      </c>
      <c r="AB83" s="859" t="s">
        <v>166</v>
      </c>
      <c r="AC83" s="859" t="s">
        <v>473</v>
      </c>
      <c r="AD83" s="156"/>
      <c r="AE83" s="156"/>
      <c r="AF83" s="156"/>
      <c r="AG83" s="156"/>
      <c r="AH83" s="156"/>
      <c r="AI83" s="156"/>
      <c r="AJ83" s="147"/>
      <c r="AK83" s="268" t="str" cm="1">
        <f t="array" ref="AK83">IF(AK78=0,"",IF(SUMPRODUCT((AM78:AO78&gt;0)*1,(AM83:AO83="")*1)&gt;0,"nee","ja"))</f>
        <v/>
      </c>
      <c r="AL83" s="120"/>
      <c r="AM83" s="859" t="s">
        <v>473</v>
      </c>
      <c r="AN83" s="859" t="s">
        <v>166</v>
      </c>
      <c r="AO83" s="859" t="s">
        <v>473</v>
      </c>
      <c r="AP83" s="156"/>
      <c r="AQ83" s="156"/>
      <c r="AR83" s="156"/>
      <c r="AS83" s="156"/>
      <c r="AT83" s="156"/>
      <c r="AU83" s="156"/>
      <c r="AV83" s="147"/>
      <c r="AW83" s="268" t="str" cm="1">
        <f t="array" ref="AW83">IF(AW78=0,"",IF(SUMPRODUCT((AY78:BA78&gt;0)*1,(AY83:BA83="")*1)&gt;0,"nee","ja"))</f>
        <v/>
      </c>
      <c r="AX83" s="125"/>
      <c r="AY83" s="859" t="s">
        <v>473</v>
      </c>
      <c r="AZ83" s="859" t="s">
        <v>166</v>
      </c>
      <c r="BA83" s="859" t="s">
        <v>473</v>
      </c>
      <c r="BB83" s="156"/>
      <c r="BC83" s="156"/>
      <c r="BD83" s="156"/>
      <c r="BE83" s="156"/>
      <c r="BF83" s="156"/>
      <c r="BG83" s="156"/>
      <c r="BH83" s="218"/>
    </row>
    <row r="84" spans="1:60">
      <c r="A84" s="1040"/>
      <c r="B84" s="1109" t="s">
        <v>161</v>
      </c>
      <c r="C84" s="1107" t="s">
        <v>118</v>
      </c>
      <c r="D84" s="638"/>
      <c r="E84" s="181" t="str">
        <f>bibliotheek!$E$85</f>
        <v>geografisch niveau installatie [keuzelijst]</v>
      </c>
      <c r="F84" s="180"/>
      <c r="G84" s="180"/>
      <c r="H84" s="181" t="s">
        <v>65</v>
      </c>
      <c r="I84" s="129"/>
      <c r="J84" s="190"/>
      <c r="K84" s="107"/>
      <c r="L84" s="107"/>
      <c r="M84" s="190"/>
      <c r="N84" s="114"/>
      <c r="O84" s="285" t="str">
        <f>HLOOKUP(IF(O$83="",referentie_verwarming,O$83),toestellen_RV,ROWS(bibliotheek!$E$83:$E$85),FALSE)</f>
        <v>gebouw</v>
      </c>
      <c r="P84" s="285" t="str">
        <f>HLOOKUP(IF(P$83="",referentie_koeling,P$83),toestellen_KOEL,ROWS(bibliotheek!$E$190:$E$192),FALSE)</f>
        <v>gebouw</v>
      </c>
      <c r="Q84" s="285" t="str">
        <f>HLOOKUP(IF(Q$83="",referentie_warmtapwater,Q$83),toestellen_TAP,ROWS(bibliotheek!$E$139:$E$141),FALSE)</f>
        <v>gebouw</v>
      </c>
      <c r="R84" s="159"/>
      <c r="S84" s="159"/>
      <c r="T84" s="159"/>
      <c r="U84" s="159"/>
      <c r="V84" s="159"/>
      <c r="W84" s="159"/>
      <c r="X84" s="147"/>
      <c r="Y84" s="128"/>
      <c r="Z84" s="114"/>
      <c r="AA84" s="285" t="str">
        <f>HLOOKUP(IF(AA$83="",referentie_verwarming,AA$83),toestellen_RV,ROWS(bibliotheek!$E$83:$E$85),FALSE)</f>
        <v>gebouw</v>
      </c>
      <c r="AB84" s="285" t="str">
        <f>HLOOKUP(IF(AB$83="",referentie_koeling,AB$83),toestellen_KOEL,ROWS(bibliotheek!$E$190:$E$192),FALSE)</f>
        <v>gebouw</v>
      </c>
      <c r="AC84" s="285" t="str">
        <f>HLOOKUP(IF(AC$83="",referentie_warmtapwater,AC$83),toestellen_TAP,ROWS(bibliotheek!$E$139:$E$141),FALSE)</f>
        <v>gebouw</v>
      </c>
      <c r="AD84" s="159"/>
      <c r="AE84" s="159"/>
      <c r="AF84" s="159"/>
      <c r="AG84" s="159"/>
      <c r="AH84" s="159"/>
      <c r="AI84" s="159"/>
      <c r="AJ84" s="147"/>
      <c r="AK84" s="128"/>
      <c r="AL84" s="120"/>
      <c r="AM84" s="285" t="str">
        <f>HLOOKUP(IF(AM$83="",referentie_verwarming,AM$83),toestellen_RV,ROWS(bibliotheek!$E$83:$E$85),FALSE)</f>
        <v>gebouw</v>
      </c>
      <c r="AN84" s="285" t="str">
        <f>HLOOKUP(IF(AN$83="",referentie_koeling,AN$83),toestellen_KOEL,ROWS(bibliotheek!$E$190:$E$192),FALSE)</f>
        <v>gebouw</v>
      </c>
      <c r="AO84" s="285" t="str">
        <f>HLOOKUP(IF(AO$83="",referentie_warmtapwater,AO$83),toestellen_TAP,ROWS(bibliotheek!$E$139:$E$141),FALSE)</f>
        <v>gebouw</v>
      </c>
      <c r="AP84" s="159"/>
      <c r="AQ84" s="159"/>
      <c r="AR84" s="159"/>
      <c r="AS84" s="159"/>
      <c r="AT84" s="159"/>
      <c r="AU84" s="159"/>
      <c r="AV84" s="147"/>
      <c r="AW84" s="128"/>
      <c r="AX84" s="125"/>
      <c r="AY84" s="285" t="str">
        <f>HLOOKUP(IF(AY$83="",referentie_verwarming,AY$83),toestellen_RV,ROWS(bibliotheek!$E$83:$E$85),FALSE)</f>
        <v>gebouw</v>
      </c>
      <c r="AZ84" s="285" t="str">
        <f>HLOOKUP(IF(AZ$83="",referentie_koeling,AZ$83),toestellen_KOEL,ROWS(bibliotheek!$E$190:$E$192),FALSE)</f>
        <v>gebouw</v>
      </c>
      <c r="BA84" s="285" t="str">
        <f>HLOOKUP(IF(BA$83="",referentie_warmtapwater,BA$83),toestellen_TAP,ROWS(bibliotheek!$E$139:$E$141),FALSE)</f>
        <v>gebouw</v>
      </c>
      <c r="BB84" s="159"/>
      <c r="BC84" s="159"/>
      <c r="BD84" s="159"/>
      <c r="BE84" s="159"/>
      <c r="BF84" s="159"/>
      <c r="BG84" s="159"/>
      <c r="BH84" s="174"/>
    </row>
    <row r="85" spans="1:60">
      <c r="A85" s="1040"/>
      <c r="B85" s="1109" t="s">
        <v>161</v>
      </c>
      <c r="C85" s="1106" t="s">
        <v>96</v>
      </c>
      <c r="D85" s="641" t="s">
        <v>45</v>
      </c>
      <c r="E85" s="940" t="s">
        <v>169</v>
      </c>
      <c r="F85" s="940"/>
      <c r="G85" s="940"/>
      <c r="H85" s="940"/>
      <c r="I85" s="77"/>
      <c r="J85" s="939"/>
      <c r="K85" s="126"/>
      <c r="L85" s="126"/>
      <c r="M85" s="938"/>
      <c r="N85" s="125"/>
      <c r="O85" s="177" t="str">
        <f>O$10</f>
        <v>verwarming</v>
      </c>
      <c r="P85" s="177" t="str">
        <f>P$10</f>
        <v>koeling</v>
      </c>
      <c r="Q85" s="177" t="str">
        <f>Q$10</f>
        <v>tapwater</v>
      </c>
      <c r="R85" s="177"/>
      <c r="S85" s="177"/>
      <c r="T85" s="177"/>
      <c r="U85" s="177"/>
      <c r="V85" s="177"/>
      <c r="W85" s="177"/>
      <c r="X85" s="147"/>
      <c r="Y85" s="938"/>
      <c r="Z85" s="125"/>
      <c r="AA85" s="177" t="str">
        <f>AA$10</f>
        <v>verwarming</v>
      </c>
      <c r="AB85" s="177" t="str">
        <f>AB$10</f>
        <v>koeling</v>
      </c>
      <c r="AC85" s="177" t="str">
        <f>AC$10</f>
        <v>tapwater</v>
      </c>
      <c r="AD85" s="177"/>
      <c r="AE85" s="177"/>
      <c r="AF85" s="177"/>
      <c r="AG85" s="177"/>
      <c r="AH85" s="177"/>
      <c r="AI85" s="177"/>
      <c r="AJ85" s="147"/>
      <c r="AK85" s="938"/>
      <c r="AL85" s="125"/>
      <c r="AM85" s="177" t="str">
        <f>AM$10</f>
        <v>verwarming</v>
      </c>
      <c r="AN85" s="177" t="str">
        <f>AN$10</f>
        <v>koeling</v>
      </c>
      <c r="AO85" s="177" t="str">
        <f>AO$10</f>
        <v>tapwater</v>
      </c>
      <c r="AP85" s="177"/>
      <c r="AQ85" s="177"/>
      <c r="AR85" s="177"/>
      <c r="AS85" s="177"/>
      <c r="AT85" s="177"/>
      <c r="AU85" s="177"/>
      <c r="AV85" s="147"/>
      <c r="AW85" s="938"/>
      <c r="AX85" s="125"/>
      <c r="AY85" s="177" t="str">
        <f>AY$10</f>
        <v>verwarming</v>
      </c>
      <c r="AZ85" s="177" t="str">
        <f>AZ$10</f>
        <v>koeling</v>
      </c>
      <c r="BA85" s="177" t="str">
        <f>BA$10</f>
        <v>tapwater</v>
      </c>
      <c r="BB85" s="177"/>
      <c r="BC85" s="177"/>
      <c r="BD85" s="177"/>
      <c r="BE85" s="177"/>
      <c r="BF85" s="177"/>
      <c r="BG85" s="177"/>
      <c r="BH85" s="174"/>
    </row>
    <row r="86" spans="1:60">
      <c r="A86" s="1040"/>
      <c r="B86" s="1109" t="s">
        <v>161</v>
      </c>
      <c r="C86" s="1106" t="s">
        <v>118</v>
      </c>
      <c r="D86" s="638"/>
      <c r="E86" s="291" t="s">
        <v>170</v>
      </c>
      <c r="F86" s="254"/>
      <c r="G86" s="254"/>
      <c r="H86" s="291" t="s">
        <v>65</v>
      </c>
      <c r="I86" s="134"/>
      <c r="J86" s="189"/>
      <c r="K86" s="107"/>
      <c r="L86" s="107"/>
      <c r="M86" s="189"/>
      <c r="N86" s="116"/>
      <c r="O86" s="384">
        <f>IF(O87&lt;&gt;"",O87,HLOOKUP(IF(O$83="",referentie_verwarming,O$83),toestellen_RV,ROWS(bibliotheek!$E$83:$E$90),FALSE))</f>
        <v>1</v>
      </c>
      <c r="P86" s="138">
        <v>1</v>
      </c>
      <c r="Q86" s="384">
        <f>IF(Q87&lt;&gt;"",Q87,HLOOKUP(IF(Q$83="",referentie_warmtapwater,Q$83),toestellen_TAP,ROWS(bibliotheek!$E$139:$E$146),FALSE))</f>
        <v>0.85</v>
      </c>
      <c r="R86" s="139"/>
      <c r="S86" s="139"/>
      <c r="T86" s="139"/>
      <c r="U86" s="139"/>
      <c r="V86" s="139"/>
      <c r="W86" s="139"/>
      <c r="X86" s="76"/>
      <c r="Y86" s="133"/>
      <c r="Z86" s="134"/>
      <c r="AA86" s="384">
        <f>IF(AA87&lt;&gt;"",AA87,HLOOKUP(IF(AA$83="",referentie_verwarming,AA$83),toestellen_RV,ROWS(bibliotheek!$E$83:$E$90),FALSE))</f>
        <v>1</v>
      </c>
      <c r="AB86" s="138">
        <f>1</f>
        <v>1</v>
      </c>
      <c r="AC86" s="384">
        <f>IF(AC87&lt;&gt;"",AC87,HLOOKUP(IF(AC$83="",referentie_warmtapwater,AC$83),toestellen_TAP,ROWS(bibliotheek!$E$139:$E$146),FALSE))</f>
        <v>0.85</v>
      </c>
      <c r="AD86" s="139"/>
      <c r="AE86" s="139"/>
      <c r="AF86" s="139"/>
      <c r="AG86" s="139"/>
      <c r="AH86" s="139"/>
      <c r="AI86" s="139"/>
      <c r="AJ86" s="76"/>
      <c r="AK86" s="133"/>
      <c r="AL86" s="134"/>
      <c r="AM86" s="384">
        <f>IF(AM87&lt;&gt;"",AM87,HLOOKUP(IF(AM$83="",referentie_verwarming,AM$83),toestellen_RV,ROWS(bibliotheek!$E$83:$E$90),FALSE))</f>
        <v>1</v>
      </c>
      <c r="AN86" s="138">
        <f>1</f>
        <v>1</v>
      </c>
      <c r="AO86" s="384">
        <f>IF(AO87&lt;&gt;"",AO87,HLOOKUP(IF(AO$83="",referentie_warmtapwater,AO$83),toestellen_TAP,ROWS(bibliotheek!$E$139:$E$146),FALSE))</f>
        <v>0.85</v>
      </c>
      <c r="AP86" s="139"/>
      <c r="AQ86" s="139"/>
      <c r="AR86" s="139"/>
      <c r="AS86" s="139"/>
      <c r="AT86" s="139"/>
      <c r="AU86" s="139"/>
      <c r="AV86" s="76"/>
      <c r="AW86" s="133"/>
      <c r="AX86" s="134"/>
      <c r="AY86" s="384">
        <f>IF(AY87&lt;&gt;"",AY87,HLOOKUP(IF(AY$83="",referentie_verwarming,AY$83),toestellen_RV,ROWS(bibliotheek!$E$83:$E$90),FALSE))</f>
        <v>1</v>
      </c>
      <c r="AZ86" s="138">
        <f>1</f>
        <v>1</v>
      </c>
      <c r="BA86" s="384">
        <f>IF(BA87&lt;&gt;"",BA87,HLOOKUP(IF(BA$83="",referentie_warmtapwater,BA$83),toestellen_TAP,ROWS(bibliotheek!$E$139:$E$146),FALSE))</f>
        <v>0.85</v>
      </c>
      <c r="BB86" s="160"/>
      <c r="BC86" s="160"/>
      <c r="BD86" s="160"/>
      <c r="BE86" s="160"/>
      <c r="BF86" s="160"/>
      <c r="BG86" s="160"/>
      <c r="BH86" s="210"/>
    </row>
    <row r="87" spans="1:60">
      <c r="A87" s="1040"/>
      <c r="B87" s="1109" t="s">
        <v>161</v>
      </c>
      <c r="C87" s="1106" t="s">
        <v>118</v>
      </c>
      <c r="D87" s="638"/>
      <c r="E87" s="1218" t="s">
        <v>171</v>
      </c>
      <c r="F87" s="255"/>
      <c r="G87" s="255"/>
      <c r="H87" s="292" t="s">
        <v>65</v>
      </c>
      <c r="I87" s="136"/>
      <c r="J87" s="299"/>
      <c r="K87" s="107"/>
      <c r="L87" s="107"/>
      <c r="M87" s="198"/>
      <c r="N87" s="161"/>
      <c r="O87" s="275"/>
      <c r="P87" s="280"/>
      <c r="Q87" s="275"/>
      <c r="R87" s="162"/>
      <c r="S87" s="162"/>
      <c r="T87" s="162"/>
      <c r="U87" s="162"/>
      <c r="V87" s="162"/>
      <c r="W87" s="162"/>
      <c r="X87" s="110"/>
      <c r="Y87" s="286"/>
      <c r="Z87" s="161"/>
      <c r="AA87" s="275"/>
      <c r="AB87" s="280"/>
      <c r="AC87" s="275"/>
      <c r="AD87" s="162"/>
      <c r="AE87" s="162"/>
      <c r="AF87" s="162"/>
      <c r="AG87" s="162"/>
      <c r="AH87" s="162"/>
      <c r="AI87" s="162"/>
      <c r="AJ87" s="110"/>
      <c r="AK87" s="286"/>
      <c r="AL87" s="161"/>
      <c r="AM87" s="275"/>
      <c r="AN87" s="280"/>
      <c r="AO87" s="275"/>
      <c r="AP87" s="162"/>
      <c r="AQ87" s="162"/>
      <c r="AR87" s="162"/>
      <c r="AS87" s="162"/>
      <c r="AT87" s="162"/>
      <c r="AU87" s="162"/>
      <c r="AV87" s="110"/>
      <c r="AW87" s="286"/>
      <c r="AX87" s="161"/>
      <c r="AY87" s="275"/>
      <c r="AZ87" s="280"/>
      <c r="BA87" s="275"/>
      <c r="BB87" s="162"/>
      <c r="BC87" s="162"/>
      <c r="BD87" s="162"/>
      <c r="BE87" s="162"/>
      <c r="BF87" s="162"/>
      <c r="BG87" s="162"/>
      <c r="BH87" s="210"/>
    </row>
    <row r="88" spans="1:60">
      <c r="A88" s="1040"/>
      <c r="B88" s="1109" t="s">
        <v>161</v>
      </c>
      <c r="C88" s="1106" t="s">
        <v>118</v>
      </c>
      <c r="D88" s="641"/>
      <c r="E88" s="181" t="s">
        <v>172</v>
      </c>
      <c r="F88" s="180"/>
      <c r="G88" s="180"/>
      <c r="H88" s="181" t="s">
        <v>160</v>
      </c>
      <c r="I88" s="129"/>
      <c r="J88" s="190"/>
      <c r="K88" s="107"/>
      <c r="L88" s="107"/>
      <c r="M88" s="190"/>
      <c r="N88" s="114"/>
      <c r="O88" s="208">
        <f>IF(O$78=0,0,O$78/O$86-O$78)</f>
        <v>0</v>
      </c>
      <c r="P88" s="208">
        <f>IF(P$78=0,0,P$78/P$86-P$78)</f>
        <v>0</v>
      </c>
      <c r="Q88" s="208">
        <f>IF(Q$78=0,0,Q$78/Q$86-Q$78)</f>
        <v>0</v>
      </c>
      <c r="R88" s="130"/>
      <c r="S88" s="130"/>
      <c r="T88" s="130"/>
      <c r="U88" s="130"/>
      <c r="V88" s="130"/>
      <c r="W88" s="130"/>
      <c r="X88" s="110"/>
      <c r="Y88" s="132"/>
      <c r="Z88" s="114"/>
      <c r="AA88" s="208">
        <f>IF(AA$78=0,0,AA$78/AA$86-AA$78)</f>
        <v>0</v>
      </c>
      <c r="AB88" s="208">
        <f>IF(AB$78=0,0,AB$78/AB$86-AB$78)</f>
        <v>0</v>
      </c>
      <c r="AC88" s="208">
        <f>IF(AC$78=0,0,AC$78/AC$86-AC$78)</f>
        <v>0</v>
      </c>
      <c r="AD88" s="130"/>
      <c r="AE88" s="130"/>
      <c r="AF88" s="130"/>
      <c r="AG88" s="130"/>
      <c r="AH88" s="130"/>
      <c r="AI88" s="130"/>
      <c r="AJ88" s="110"/>
      <c r="AK88" s="132"/>
      <c r="AL88" s="114"/>
      <c r="AM88" s="208">
        <f>IF(AM$78=0,0,AM$78/AM$86-AM$78)</f>
        <v>0</v>
      </c>
      <c r="AN88" s="208">
        <f>IF(AN$78=0,0,AN$78/AN$86-AN$78)</f>
        <v>0</v>
      </c>
      <c r="AO88" s="208">
        <f>IF(AO$78=0,0,AO$78/AO$86-AO$78)</f>
        <v>0</v>
      </c>
      <c r="AP88" s="130"/>
      <c r="AQ88" s="130"/>
      <c r="AR88" s="130"/>
      <c r="AS88" s="130"/>
      <c r="AT88" s="130"/>
      <c r="AU88" s="130"/>
      <c r="AV88" s="110"/>
      <c r="AW88" s="132"/>
      <c r="AX88" s="114"/>
      <c r="AY88" s="208">
        <f>IF(AY$78=0,0,AY$78/AY$86-AY$78)</f>
        <v>0</v>
      </c>
      <c r="AZ88" s="208">
        <f>IF(AZ$78=0,0,AZ$78/AZ$86-AZ$78)</f>
        <v>0</v>
      </c>
      <c r="BA88" s="208">
        <f>IF(BA$78=0,0,BA$78/BA$86-BA$78)</f>
        <v>0</v>
      </c>
      <c r="BB88" s="130"/>
      <c r="BC88" s="130"/>
      <c r="BD88" s="130"/>
      <c r="BE88" s="130"/>
      <c r="BF88" s="130"/>
      <c r="BG88" s="130"/>
      <c r="BH88" s="210"/>
    </row>
    <row r="89" spans="1:60">
      <c r="A89" s="1040"/>
      <c r="B89" s="1109" t="s">
        <v>161</v>
      </c>
      <c r="C89" s="1106" t="s">
        <v>96</v>
      </c>
      <c r="D89" s="641" t="s">
        <v>45</v>
      </c>
      <c r="E89" s="940" t="s">
        <v>173</v>
      </c>
      <c r="F89" s="940"/>
      <c r="G89" s="940"/>
      <c r="H89" s="940"/>
      <c r="I89" s="77"/>
      <c r="J89" s="939"/>
      <c r="K89" s="126"/>
      <c r="L89" s="126"/>
      <c r="M89" s="938"/>
      <c r="N89" s="125"/>
      <c r="O89" s="177" t="str">
        <f>O$10</f>
        <v>verwarming</v>
      </c>
      <c r="P89" s="177" t="str">
        <f>P$10</f>
        <v>koeling</v>
      </c>
      <c r="Q89" s="177" t="str">
        <f>Q$10</f>
        <v>tapwater</v>
      </c>
      <c r="R89" s="177"/>
      <c r="S89" s="177"/>
      <c r="T89" s="177"/>
      <c r="U89" s="177"/>
      <c r="V89" s="177"/>
      <c r="W89" s="177"/>
      <c r="X89" s="143"/>
      <c r="Y89" s="938"/>
      <c r="Z89" s="125"/>
      <c r="AA89" s="177" t="str">
        <f>AA$10</f>
        <v>verwarming</v>
      </c>
      <c r="AB89" s="177" t="str">
        <f>AB$10</f>
        <v>koeling</v>
      </c>
      <c r="AC89" s="177" t="str">
        <f>AC$10</f>
        <v>tapwater</v>
      </c>
      <c r="AD89" s="177"/>
      <c r="AE89" s="177"/>
      <c r="AF89" s="177"/>
      <c r="AG89" s="177"/>
      <c r="AH89" s="177"/>
      <c r="AI89" s="177"/>
      <c r="AJ89" s="143"/>
      <c r="AK89" s="938"/>
      <c r="AL89" s="125"/>
      <c r="AM89" s="177" t="str">
        <f>AM$10</f>
        <v>verwarming</v>
      </c>
      <c r="AN89" s="177" t="str">
        <f>AN$10</f>
        <v>koeling</v>
      </c>
      <c r="AO89" s="177" t="str">
        <f>AO$10</f>
        <v>tapwater</v>
      </c>
      <c r="AP89" s="177"/>
      <c r="AQ89" s="177"/>
      <c r="AR89" s="177"/>
      <c r="AS89" s="177"/>
      <c r="AT89" s="177"/>
      <c r="AU89" s="177"/>
      <c r="AV89" s="143"/>
      <c r="AW89" s="938"/>
      <c r="AX89" s="125"/>
      <c r="AY89" s="177" t="str">
        <f>AY$10</f>
        <v>verwarming</v>
      </c>
      <c r="AZ89" s="177" t="str">
        <f>AZ$10</f>
        <v>koeling</v>
      </c>
      <c r="BA89" s="177" t="str">
        <f>BA$10</f>
        <v>tapwater</v>
      </c>
      <c r="BB89" s="177"/>
      <c r="BC89" s="177"/>
      <c r="BD89" s="177"/>
      <c r="BE89" s="177"/>
      <c r="BF89" s="177"/>
      <c r="BG89" s="177"/>
      <c r="BH89" s="174"/>
    </row>
    <row r="90" spans="1:60">
      <c r="A90" s="1040"/>
      <c r="B90" s="1109" t="s">
        <v>161</v>
      </c>
      <c r="C90" s="1106" t="s">
        <v>118</v>
      </c>
      <c r="D90" s="638"/>
      <c r="E90" s="181" t="s">
        <v>173</v>
      </c>
      <c r="F90" s="180"/>
      <c r="G90" s="180"/>
      <c r="H90" s="181" t="s">
        <v>65</v>
      </c>
      <c r="I90" s="129"/>
      <c r="J90" s="190"/>
      <c r="K90" s="107"/>
      <c r="L90" s="107"/>
      <c r="M90" s="190"/>
      <c r="N90" s="114"/>
      <c r="O90" s="860" t="s">
        <v>174</v>
      </c>
      <c r="P90" s="158"/>
      <c r="Q90" s="860" t="s">
        <v>174</v>
      </c>
      <c r="R90" s="159"/>
      <c r="S90" s="159"/>
      <c r="T90" s="159"/>
      <c r="U90" s="159"/>
      <c r="V90" s="159"/>
      <c r="W90" s="159"/>
      <c r="X90" s="76"/>
      <c r="Y90" s="128"/>
      <c r="Z90" s="114"/>
      <c r="AA90" s="860" t="s">
        <v>174</v>
      </c>
      <c r="AB90" s="158"/>
      <c r="AC90" s="860" t="s">
        <v>174</v>
      </c>
      <c r="AD90" s="159"/>
      <c r="AE90" s="159"/>
      <c r="AF90" s="159"/>
      <c r="AG90" s="159"/>
      <c r="AH90" s="159"/>
      <c r="AI90" s="159"/>
      <c r="AJ90" s="76"/>
      <c r="AK90" s="128"/>
      <c r="AL90" s="114"/>
      <c r="AM90" s="860" t="s">
        <v>174</v>
      </c>
      <c r="AN90" s="158"/>
      <c r="AO90" s="860" t="s">
        <v>174</v>
      </c>
      <c r="AP90" s="159"/>
      <c r="AQ90" s="159"/>
      <c r="AR90" s="159"/>
      <c r="AS90" s="159"/>
      <c r="AT90" s="159"/>
      <c r="AU90" s="159"/>
      <c r="AV90" s="76"/>
      <c r="AW90" s="128"/>
      <c r="AX90" s="114"/>
      <c r="AY90" s="860" t="s">
        <v>174</v>
      </c>
      <c r="AZ90" s="158"/>
      <c r="BA90" s="860" t="s">
        <v>174</v>
      </c>
      <c r="BB90" s="159"/>
      <c r="BC90" s="159"/>
      <c r="BD90" s="159"/>
      <c r="BE90" s="159"/>
      <c r="BF90" s="159"/>
      <c r="BG90" s="159"/>
      <c r="BH90" s="174"/>
    </row>
    <row r="91" spans="1:60">
      <c r="A91" s="1040"/>
      <c r="B91" s="1109" t="s">
        <v>161</v>
      </c>
      <c r="C91" s="1106" t="s">
        <v>118</v>
      </c>
      <c r="D91" s="641" t="s">
        <v>45</v>
      </c>
      <c r="E91" s="181" t="s">
        <v>175</v>
      </c>
      <c r="F91" s="180"/>
      <c r="G91" s="180"/>
      <c r="H91" s="181" t="s">
        <v>160</v>
      </c>
      <c r="I91" s="129"/>
      <c r="J91" s="190"/>
      <c r="K91" s="107"/>
      <c r="L91" s="107"/>
      <c r="M91" s="190"/>
      <c r="N91" s="114"/>
      <c r="O91" s="168">
        <f>IF(O90="nee",0,(O78+O88)*bijdrage_thermische_zonne_energie_RV)</f>
        <v>0</v>
      </c>
      <c r="P91" s="168"/>
      <c r="Q91" s="168">
        <f>IF(Q90="nee",0,(Q78+Q88)*bijdrage_thermische_zonne_energie_TAP)</f>
        <v>0</v>
      </c>
      <c r="R91" s="130"/>
      <c r="S91" s="130"/>
      <c r="T91" s="130"/>
      <c r="U91" s="130"/>
      <c r="V91" s="130"/>
      <c r="W91" s="130"/>
      <c r="X91" s="592"/>
      <c r="Y91" s="130"/>
      <c r="Z91" s="89"/>
      <c r="AA91" s="168">
        <f>IF(AA90="nee",0,(AA78+AA88)*bijdrage_thermische_zonne_energie_RV)</f>
        <v>0</v>
      </c>
      <c r="AB91" s="168"/>
      <c r="AC91" s="168">
        <f>IF(AC90="nee",0,(AC78+AC88)*bijdrage_thermische_zonne_energie_TAP)</f>
        <v>0</v>
      </c>
      <c r="AD91" s="130"/>
      <c r="AE91" s="130"/>
      <c r="AF91" s="130"/>
      <c r="AG91" s="130"/>
      <c r="AH91" s="130"/>
      <c r="AI91" s="130"/>
      <c r="AJ91" s="592"/>
      <c r="AK91" s="130"/>
      <c r="AL91" s="593"/>
      <c r="AM91" s="168">
        <f>IF(AM90="nee",0,(AM78+AM88)*bijdrage_thermische_zonne_energie_RV)</f>
        <v>0</v>
      </c>
      <c r="AN91" s="168"/>
      <c r="AO91" s="168">
        <f>IF(AO90="nee",0,(AO78+AO88)*bijdrage_thermische_zonne_energie_TAP)</f>
        <v>0</v>
      </c>
      <c r="AP91" s="130"/>
      <c r="AQ91" s="130"/>
      <c r="AR91" s="130"/>
      <c r="AS91" s="130"/>
      <c r="AT91" s="130"/>
      <c r="AU91" s="130"/>
      <c r="AV91" s="592"/>
      <c r="AW91" s="130"/>
      <c r="AX91" s="594"/>
      <c r="AY91" s="168">
        <f>IF(AY90="nee",0,(AY78+AY88)*bijdrage_thermische_zonne_energie_RV)</f>
        <v>0</v>
      </c>
      <c r="AZ91" s="168"/>
      <c r="BA91" s="168">
        <f>IF(BA90="nee",0,(BA78+BA88)*bijdrage_thermische_zonne_energie_TAP)</f>
        <v>0</v>
      </c>
      <c r="BB91" s="159"/>
      <c r="BC91" s="159"/>
      <c r="BD91" s="159"/>
      <c r="BE91" s="159"/>
      <c r="BF91" s="159"/>
      <c r="BG91" s="159"/>
      <c r="BH91" s="174"/>
    </row>
    <row r="92" spans="1:60">
      <c r="A92" s="1040"/>
      <c r="B92" s="1109" t="s">
        <v>161</v>
      </c>
      <c r="C92" s="1106" t="s">
        <v>96</v>
      </c>
      <c r="D92" s="641" t="s">
        <v>45</v>
      </c>
      <c r="E92" s="940" t="s">
        <v>176</v>
      </c>
      <c r="F92" s="940"/>
      <c r="G92" s="940"/>
      <c r="H92" s="940"/>
      <c r="I92" s="77"/>
      <c r="J92" s="939"/>
      <c r="K92" s="126"/>
      <c r="L92" s="126"/>
      <c r="M92" s="938"/>
      <c r="N92" s="125"/>
      <c r="O92" s="177" t="str">
        <f>O$10</f>
        <v>verwarming</v>
      </c>
      <c r="P92" s="177" t="str">
        <f>P$10</f>
        <v>koeling</v>
      </c>
      <c r="Q92" s="177" t="str">
        <f>Q$10</f>
        <v>tapwater</v>
      </c>
      <c r="R92" s="177"/>
      <c r="S92" s="177"/>
      <c r="T92" s="177"/>
      <c r="U92" s="177"/>
      <c r="V92" s="177"/>
      <c r="W92" s="177"/>
      <c r="X92" s="167"/>
      <c r="Y92" s="938"/>
      <c r="Z92" s="125"/>
      <c r="AA92" s="177" t="str">
        <f>AA$10</f>
        <v>verwarming</v>
      </c>
      <c r="AB92" s="177" t="str">
        <f>AB$10</f>
        <v>koeling</v>
      </c>
      <c r="AC92" s="177" t="str">
        <f>AC$10</f>
        <v>tapwater</v>
      </c>
      <c r="AD92" s="177"/>
      <c r="AE92" s="177"/>
      <c r="AF92" s="177"/>
      <c r="AG92" s="177"/>
      <c r="AH92" s="177"/>
      <c r="AI92" s="177"/>
      <c r="AJ92" s="167"/>
      <c r="AK92" s="938"/>
      <c r="AL92" s="125"/>
      <c r="AM92" s="177" t="str">
        <f>AM$10</f>
        <v>verwarming</v>
      </c>
      <c r="AN92" s="177" t="str">
        <f>AN$10</f>
        <v>koeling</v>
      </c>
      <c r="AO92" s="177" t="str">
        <f>AO$10</f>
        <v>tapwater</v>
      </c>
      <c r="AP92" s="177"/>
      <c r="AQ92" s="177"/>
      <c r="AR92" s="177"/>
      <c r="AS92" s="177"/>
      <c r="AT92" s="177"/>
      <c r="AU92" s="177"/>
      <c r="AV92" s="167"/>
      <c r="AW92" s="938"/>
      <c r="AX92" s="125"/>
      <c r="AY92" s="177" t="str">
        <f>AY$10</f>
        <v>verwarming</v>
      </c>
      <c r="AZ92" s="177" t="str">
        <f>AZ$10</f>
        <v>koeling</v>
      </c>
      <c r="BA92" s="177" t="str">
        <f>BA$10</f>
        <v>tapwater</v>
      </c>
      <c r="BB92" s="177"/>
      <c r="BC92" s="177"/>
      <c r="BD92" s="177"/>
      <c r="BE92" s="177"/>
      <c r="BF92" s="177"/>
      <c r="BG92" s="177"/>
      <c r="BH92" s="174"/>
    </row>
    <row r="93" spans="1:60">
      <c r="A93" s="1040"/>
      <c r="B93" s="1109" t="s">
        <v>161</v>
      </c>
      <c r="C93" s="1106" t="s">
        <v>118</v>
      </c>
      <c r="D93" s="638"/>
      <c r="E93" s="291" t="s">
        <v>177</v>
      </c>
      <c r="F93" s="254"/>
      <c r="G93" s="254"/>
      <c r="H93" s="291" t="s">
        <v>178</v>
      </c>
      <c r="I93" s="134"/>
      <c r="J93" s="189"/>
      <c r="K93" s="107"/>
      <c r="L93" s="107"/>
      <c r="M93" s="189"/>
      <c r="N93" s="116"/>
      <c r="O93" s="541">
        <f>IF(M22=0,0,IF(O94&lt;&gt;"",O94,
(HLOOKUP(O83,toestellen_RV,ROWS(bibliotheek!$E$83:$E$92),FALSE)*M24+
HLOOKUP(O83,toestellen_RV,ROWS(bibliotheek!$E$83:$E$93),FALSE)*M25+
HLOOKUP(O83,toestellen_RV,ROWS(bibliotheek!$E$83:$E$94),FALSE)*M26)/M22))</f>
        <v>0</v>
      </c>
      <c r="P93" s="415"/>
      <c r="Q93" s="541">
        <f>IF(M22=0,0,IF(Q94&lt;&gt;"",Q94,
(HLOOKUP(Q83,toestellen_TAP,ROWS(bibliotheek!$E$139:$E$148),FALSE)*M24+
HLOOKUP(Q83,toestellen_TAP,ROWS(bibliotheek!$E$139:$E$149),FALSE)*M25+
HLOOKUP(Q83,toestellen_TAP,ROWS(bibliotheek!$E$139:$E$150),FALSE)*M26)/M22))</f>
        <v>0</v>
      </c>
      <c r="R93" s="160"/>
      <c r="S93" s="160"/>
      <c r="T93" s="160"/>
      <c r="U93" s="160"/>
      <c r="V93" s="160"/>
      <c r="W93" s="160"/>
      <c r="X93" s="112"/>
      <c r="Y93" s="160"/>
      <c r="Z93" s="416"/>
      <c r="AA93" s="541">
        <f>IF(Y22=0,0,IF(AA94&lt;&gt;"",AA94,
(HLOOKUP(AA83,toestellen_RV,ROWS(bibliotheek!$E$83:$E$92),FALSE)*Y24+
HLOOKUP(AA83,toestellen_RV,ROWS(bibliotheek!$E$83:$E$93),FALSE)*Y25+
HLOOKUP(AA83,toestellen_RV,ROWS(bibliotheek!$E$83:$E$94),FALSE)*Y26)/Y22))</f>
        <v>0</v>
      </c>
      <c r="AB93" s="415"/>
      <c r="AC93" s="541">
        <f>IF(Y22=0,0,IF(AC94&lt;&gt;"",AC94,
(HLOOKUP(AC83,toestellen_TAP,ROWS(bibliotheek!$E$139:$E$148),FALSE)*Y24+
HLOOKUP(AC83,toestellen_TAP,ROWS(bibliotheek!$E$139:$E$149),FALSE)*Y25+
HLOOKUP(AC83,toestellen_TAP,ROWS(bibliotheek!$E$139:$E$150),FALSE)*Y26)/Y22))</f>
        <v>0</v>
      </c>
      <c r="AD93" s="160"/>
      <c r="AE93" s="160"/>
      <c r="AF93" s="160"/>
      <c r="AG93" s="160"/>
      <c r="AH93" s="160"/>
      <c r="AI93" s="160"/>
      <c r="AJ93" s="112"/>
      <c r="AK93" s="160"/>
      <c r="AL93" s="416"/>
      <c r="AM93" s="541">
        <f>IF(AK22=0,0,IF(AM94&lt;&gt;"",AM94,
(HLOOKUP(AM83,toestellen_RV,ROWS(bibliotheek!$E$83:$E$92),FALSE)*AK24+
HLOOKUP(AM83,toestellen_RV,ROWS(bibliotheek!$E$83:$E$93),FALSE)*AK25+
HLOOKUP(AM83,toestellen_RV,ROWS(bibliotheek!$E$83:$E$94),FALSE)*AK26)/AK22))</f>
        <v>0</v>
      </c>
      <c r="AN93" s="415"/>
      <c r="AO93" s="541">
        <f>IF(AK22=0,0,IF(AO94&lt;&gt;"",AO94,
(HLOOKUP(AO83,toestellen_TAP,ROWS(bibliotheek!$E$139:$E$148),FALSE)*AK24+
HLOOKUP(AO83,toestellen_TAP,ROWS(bibliotheek!$E$139:$E$149),FALSE)*AK25+
HLOOKUP(AO83,toestellen_TAP,ROWS(bibliotheek!$E$139:$E$150),FALSE)*AK26)/AK22))</f>
        <v>0</v>
      </c>
      <c r="AP93" s="160"/>
      <c r="AQ93" s="160"/>
      <c r="AR93" s="160"/>
      <c r="AS93" s="160"/>
      <c r="AT93" s="160"/>
      <c r="AU93" s="160"/>
      <c r="AV93" s="112"/>
      <c r="AW93" s="160"/>
      <c r="AX93" s="416"/>
      <c r="AY93" s="541">
        <f>IF(AW22=0,0,IF(AY94&lt;&gt;"",AY94,
(HLOOKUP(AY83,toestellen_RV,ROWS(bibliotheek!$E$83:$E$92),FALSE)*AW24+
HLOOKUP(AY83,toestellen_RV,ROWS(bibliotheek!$E$83:$E$93),FALSE)*AW25+
HLOOKUP(AY83,toestellen_RV,ROWS(bibliotheek!$E$83:$E$94),FALSE)*AW26)/AW22))</f>
        <v>0</v>
      </c>
      <c r="AZ93" s="415"/>
      <c r="BA93" s="541">
        <f>IF(AW22=0,0,IF(BA94&lt;&gt;"",BA94,
(HLOOKUP(BA83,toestellen_TAP,ROWS(bibliotheek!$E$139:$E$148),FALSE)*AW24+
HLOOKUP(BA83,toestellen_TAP,ROWS(bibliotheek!$E$139:$E$149),FALSE)*AW25+
HLOOKUP(BA83,toestellen_TAP,ROWS(bibliotheek!$E$139:$E$150),FALSE)*AW26)/AW22))</f>
        <v>0</v>
      </c>
      <c r="BB93" s="160"/>
      <c r="BC93" s="160"/>
      <c r="BD93" s="160"/>
      <c r="BE93" s="160"/>
      <c r="BF93" s="160"/>
      <c r="BG93" s="160"/>
      <c r="BH93" s="210"/>
    </row>
    <row r="94" spans="1:60">
      <c r="A94" s="1040"/>
      <c r="B94" s="1109" t="s">
        <v>161</v>
      </c>
      <c r="C94" s="1106" t="s">
        <v>118</v>
      </c>
      <c r="D94" s="638"/>
      <c r="E94" s="1218" t="s">
        <v>1388</v>
      </c>
      <c r="F94" s="255"/>
      <c r="G94" s="255"/>
      <c r="H94" s="292" t="s">
        <v>178</v>
      </c>
      <c r="I94" s="136"/>
      <c r="J94" s="299"/>
      <c r="K94" s="107"/>
      <c r="L94" s="107"/>
      <c r="M94" s="198"/>
      <c r="N94" s="161"/>
      <c r="O94" s="276"/>
      <c r="P94" s="281"/>
      <c r="Q94" s="276"/>
      <c r="R94" s="163"/>
      <c r="S94" s="163"/>
      <c r="T94" s="163"/>
      <c r="U94" s="163"/>
      <c r="V94" s="163"/>
      <c r="W94" s="163"/>
      <c r="X94" s="110"/>
      <c r="Y94" s="386"/>
      <c r="Z94" s="308"/>
      <c r="AA94" s="276"/>
      <c r="AB94" s="281"/>
      <c r="AC94" s="276"/>
      <c r="AD94" s="163"/>
      <c r="AE94" s="163"/>
      <c r="AF94" s="163"/>
      <c r="AG94" s="163"/>
      <c r="AH94" s="163"/>
      <c r="AI94" s="163"/>
      <c r="AJ94" s="110"/>
      <c r="AK94" s="386"/>
      <c r="AL94" s="308"/>
      <c r="AM94" s="276"/>
      <c r="AN94" s="281"/>
      <c r="AO94" s="276"/>
      <c r="AP94" s="163"/>
      <c r="AQ94" s="163"/>
      <c r="AR94" s="163"/>
      <c r="AS94" s="163"/>
      <c r="AT94" s="163"/>
      <c r="AU94" s="163"/>
      <c r="AV94" s="110"/>
      <c r="AW94" s="386"/>
      <c r="AX94" s="308"/>
      <c r="AY94" s="276"/>
      <c r="AZ94" s="281"/>
      <c r="BA94" s="276"/>
      <c r="BB94" s="164"/>
      <c r="BC94" s="164"/>
      <c r="BD94" s="164"/>
      <c r="BE94" s="164"/>
      <c r="BF94" s="164"/>
      <c r="BG94" s="164"/>
      <c r="BH94" s="210"/>
    </row>
    <row r="95" spans="1:60">
      <c r="A95" s="1040"/>
      <c r="B95" s="1109" t="s">
        <v>161</v>
      </c>
      <c r="C95" s="1106" t="s">
        <v>118</v>
      </c>
      <c r="D95" s="638"/>
      <c r="E95" s="181" t="s">
        <v>179</v>
      </c>
      <c r="F95" s="180"/>
      <c r="G95" s="180"/>
      <c r="H95" s="181" t="s">
        <v>160</v>
      </c>
      <c r="I95" s="129"/>
      <c r="J95" s="190"/>
      <c r="K95" s="107"/>
      <c r="L95" s="107"/>
      <c r="M95" s="190"/>
      <c r="N95" s="89"/>
      <c r="O95" s="208">
        <f>O$93*M$22</f>
        <v>0</v>
      </c>
      <c r="P95" s="130"/>
      <c r="Q95" s="208">
        <f>Q$93*M$22</f>
        <v>0</v>
      </c>
      <c r="R95" s="130"/>
      <c r="S95" s="130"/>
      <c r="T95" s="130"/>
      <c r="U95" s="130"/>
      <c r="V95" s="130"/>
      <c r="W95" s="130"/>
      <c r="X95" s="110"/>
      <c r="Y95" s="132"/>
      <c r="Z95" s="114"/>
      <c r="AA95" s="208">
        <f>AA$93*Y$22</f>
        <v>0</v>
      </c>
      <c r="AB95" s="130"/>
      <c r="AC95" s="208">
        <f>AC$93*Y$22</f>
        <v>0</v>
      </c>
      <c r="AD95" s="130"/>
      <c r="AE95" s="130"/>
      <c r="AF95" s="130"/>
      <c r="AG95" s="130"/>
      <c r="AH95" s="130"/>
      <c r="AI95" s="130"/>
      <c r="AJ95" s="110"/>
      <c r="AK95" s="132"/>
      <c r="AL95" s="114"/>
      <c r="AM95" s="208">
        <f>AM$93*AK$22</f>
        <v>0</v>
      </c>
      <c r="AN95" s="130"/>
      <c r="AO95" s="208">
        <f>AO$93*AK$22</f>
        <v>0</v>
      </c>
      <c r="AP95" s="130"/>
      <c r="AQ95" s="130"/>
      <c r="AR95" s="130"/>
      <c r="AS95" s="130"/>
      <c r="AT95" s="130"/>
      <c r="AU95" s="130"/>
      <c r="AV95" s="110"/>
      <c r="AW95" s="132"/>
      <c r="AX95" s="114"/>
      <c r="AY95" s="208">
        <f>AY$93*AW$22</f>
        <v>0</v>
      </c>
      <c r="AZ95" s="130"/>
      <c r="BA95" s="208">
        <f>BA$93*AW$22</f>
        <v>0</v>
      </c>
      <c r="BB95" s="130"/>
      <c r="BC95" s="130"/>
      <c r="BD95" s="130"/>
      <c r="BE95" s="130"/>
      <c r="BF95" s="130"/>
      <c r="BG95" s="130"/>
      <c r="BH95" s="210"/>
    </row>
    <row r="96" spans="1:60">
      <c r="A96" s="1040"/>
      <c r="B96" s="1109" t="s">
        <v>161</v>
      </c>
      <c r="C96" s="1106" t="s">
        <v>96</v>
      </c>
      <c r="D96" s="641" t="s">
        <v>45</v>
      </c>
      <c r="E96" s="940" t="s">
        <v>180</v>
      </c>
      <c r="F96" s="940"/>
      <c r="G96" s="940"/>
      <c r="H96" s="940"/>
      <c r="I96" s="77"/>
      <c r="J96" s="939"/>
      <c r="K96" s="126"/>
      <c r="L96" s="126"/>
      <c r="M96" s="938"/>
      <c r="N96" s="125"/>
      <c r="O96" s="177" t="str">
        <f>O$10</f>
        <v>verwarming</v>
      </c>
      <c r="P96" s="177" t="str">
        <f>P$10</f>
        <v>koeling</v>
      </c>
      <c r="Q96" s="177" t="str">
        <f>Q$10</f>
        <v>tapwater</v>
      </c>
      <c r="R96" s="177"/>
      <c r="S96" s="177"/>
      <c r="T96" s="177"/>
      <c r="U96" s="177"/>
      <c r="V96" s="177"/>
      <c r="W96" s="177"/>
      <c r="X96" s="167"/>
      <c r="Y96" s="938"/>
      <c r="Z96" s="125"/>
      <c r="AA96" s="177" t="str">
        <f>AA$10</f>
        <v>verwarming</v>
      </c>
      <c r="AB96" s="177" t="str">
        <f>AB$10</f>
        <v>koeling</v>
      </c>
      <c r="AC96" s="177" t="str">
        <f>AC$10</f>
        <v>tapwater</v>
      </c>
      <c r="AD96" s="177"/>
      <c r="AE96" s="177"/>
      <c r="AF96" s="177"/>
      <c r="AG96" s="177"/>
      <c r="AH96" s="177"/>
      <c r="AI96" s="177"/>
      <c r="AJ96" s="167"/>
      <c r="AK96" s="938"/>
      <c r="AL96" s="125"/>
      <c r="AM96" s="177" t="str">
        <f>AM$10</f>
        <v>verwarming</v>
      </c>
      <c r="AN96" s="177" t="str">
        <f>AN$10</f>
        <v>koeling</v>
      </c>
      <c r="AO96" s="177" t="str">
        <f>AO$10</f>
        <v>tapwater</v>
      </c>
      <c r="AP96" s="177"/>
      <c r="AQ96" s="177"/>
      <c r="AR96" s="177"/>
      <c r="AS96" s="177"/>
      <c r="AT96" s="177"/>
      <c r="AU96" s="177"/>
      <c r="AV96" s="167"/>
      <c r="AW96" s="938"/>
      <c r="AX96" s="125"/>
      <c r="AY96" s="177" t="str">
        <f>AY$10</f>
        <v>verwarming</v>
      </c>
      <c r="AZ96" s="177" t="str">
        <f>AZ$10</f>
        <v>koeling</v>
      </c>
      <c r="BA96" s="177" t="str">
        <f>BA$10</f>
        <v>tapwater</v>
      </c>
      <c r="BB96" s="177"/>
      <c r="BC96" s="177"/>
      <c r="BD96" s="177"/>
      <c r="BE96" s="177"/>
      <c r="BF96" s="177"/>
      <c r="BG96" s="177"/>
      <c r="BH96" s="174"/>
    </row>
    <row r="97" spans="1:60" hidden="1">
      <c r="A97" s="1040"/>
      <c r="B97" s="1109" t="s">
        <v>161</v>
      </c>
      <c r="C97" s="1106" t="s">
        <v>181</v>
      </c>
      <c r="D97" s="638"/>
      <c r="E97" s="181" t="s">
        <v>182</v>
      </c>
      <c r="F97" s="180"/>
      <c r="G97" s="180"/>
      <c r="H97" s="181" t="s">
        <v>160</v>
      </c>
      <c r="I97" s="129"/>
      <c r="J97" s="190"/>
      <c r="K97" s="107"/>
      <c r="L97" s="107"/>
      <c r="M97" s="190"/>
      <c r="N97" s="114"/>
      <c r="O97" s="208">
        <f>IF(O$83="geen",0,O78+O88-O91+O95)</f>
        <v>0</v>
      </c>
      <c r="P97" s="208">
        <f>IF(P$83="geen",0,P78+P88-P91+P95)</f>
        <v>0</v>
      </c>
      <c r="Q97" s="208">
        <f>IF(Q$83="geen",0,Q78+Q88-Q91+Q95)</f>
        <v>0</v>
      </c>
      <c r="R97" s="130"/>
      <c r="S97" s="130"/>
      <c r="T97" s="130"/>
      <c r="U97" s="130"/>
      <c r="V97" s="130"/>
      <c r="W97" s="130"/>
      <c r="X97" s="110"/>
      <c r="Y97" s="132"/>
      <c r="Z97" s="114"/>
      <c r="AA97" s="208">
        <f>IF(AA$83="geen",0,AA78+AA88-AA91+AA95)</f>
        <v>0</v>
      </c>
      <c r="AB97" s="208">
        <f>IF(AB$83="geen",0,AB78+AB88-AB91+AB95)</f>
        <v>0</v>
      </c>
      <c r="AC97" s="208">
        <f>IF(AC$83="geen",0,AC78+AC88-AC91+AC95)</f>
        <v>0</v>
      </c>
      <c r="AD97" s="130"/>
      <c r="AE97" s="130"/>
      <c r="AF97" s="130"/>
      <c r="AG97" s="130"/>
      <c r="AH97" s="130"/>
      <c r="AI97" s="130"/>
      <c r="AJ97" s="110"/>
      <c r="AK97" s="132"/>
      <c r="AL97" s="114"/>
      <c r="AM97" s="208">
        <f>IF(AM$83="geen",0,AM78+AM88-AM91+AM95)</f>
        <v>0</v>
      </c>
      <c r="AN97" s="208">
        <f>IF(AN$83="geen",0,AN78+AN88-AN91+AN95)</f>
        <v>0</v>
      </c>
      <c r="AO97" s="208">
        <f>IF(AO$83="geen",0,AO78+AO88-AO91+AO95)</f>
        <v>0</v>
      </c>
      <c r="AP97" s="130"/>
      <c r="AQ97" s="130"/>
      <c r="AR97" s="130"/>
      <c r="AS97" s="130"/>
      <c r="AT97" s="130"/>
      <c r="AU97" s="130"/>
      <c r="AV97" s="110"/>
      <c r="AW97" s="132"/>
      <c r="AX97" s="114"/>
      <c r="AY97" s="208">
        <f>IF(AY$83="geen",0,AY78+AY88-AY91+AY95)</f>
        <v>0</v>
      </c>
      <c r="AZ97" s="208">
        <f>IF(AZ$83="geen",0,AZ78+AZ88-AZ91+AZ95)</f>
        <v>0</v>
      </c>
      <c r="BA97" s="208">
        <f>IF(BA$83="geen",0,BA78+BA88-BA91+BA95)</f>
        <v>0</v>
      </c>
      <c r="BB97" s="130"/>
      <c r="BC97" s="130"/>
      <c r="BD97" s="130"/>
      <c r="BE97" s="130"/>
      <c r="BF97" s="130"/>
      <c r="BG97" s="130"/>
      <c r="BH97" s="210"/>
    </row>
    <row r="98" spans="1:60" hidden="1">
      <c r="A98" s="1040"/>
      <c r="B98" s="1109" t="s">
        <v>161</v>
      </c>
      <c r="C98" s="1106" t="s">
        <v>181</v>
      </c>
      <c r="D98" s="641" t="s">
        <v>45</v>
      </c>
      <c r="E98" s="181" t="s">
        <v>183</v>
      </c>
      <c r="F98" s="180"/>
      <c r="G98" s="180"/>
      <c r="H98" s="181" t="s">
        <v>184</v>
      </c>
      <c r="I98" s="129"/>
      <c r="J98" s="190"/>
      <c r="K98" s="107"/>
      <c r="L98" s="107"/>
      <c r="M98" s="190"/>
      <c r="N98" s="114"/>
      <c r="O98" s="542">
        <f>IF(OR(O83="geen",O97=0),0,IF(O84=gebouw,O$27,1))</f>
        <v>0</v>
      </c>
      <c r="P98" s="542">
        <f>IF(OR(P83="geen",P97=0),0,IF(P84=gebouw,P$27,1))</f>
        <v>0</v>
      </c>
      <c r="Q98" s="542" t="s">
        <v>65</v>
      </c>
      <c r="R98" s="128"/>
      <c r="S98" s="128"/>
      <c r="T98" s="128"/>
      <c r="U98" s="128"/>
      <c r="V98" s="128"/>
      <c r="W98" s="128"/>
      <c r="X98" s="417"/>
      <c r="Y98" s="132"/>
      <c r="Z98" s="119"/>
      <c r="AA98" s="542">
        <f>IF(OR(AA83="geen",AA97=0),0,IF(AA84=gebouw,AA$27,1))</f>
        <v>0</v>
      </c>
      <c r="AB98" s="542">
        <f>IF(OR(AB83="geen",AB97=0),0,IF(AB84=gebouw,AB$27,1))</f>
        <v>0</v>
      </c>
      <c r="AC98" s="542" t="s">
        <v>65</v>
      </c>
      <c r="AD98" s="128"/>
      <c r="AE98" s="128"/>
      <c r="AF98" s="128"/>
      <c r="AG98" s="128"/>
      <c r="AH98" s="128"/>
      <c r="AI98" s="128"/>
      <c r="AJ98" s="417"/>
      <c r="AK98" s="132"/>
      <c r="AL98" s="119"/>
      <c r="AM98" s="542">
        <f>IF(OR(AM83="geen",AM97=0),0,IF(AM84=gebouw,AM$27,1))</f>
        <v>0</v>
      </c>
      <c r="AN98" s="542">
        <f>IF(OR(AN83="geen",AN97=0),0,IF(AN84=gebouw,AN$27,1))</f>
        <v>0</v>
      </c>
      <c r="AO98" s="542" t="s">
        <v>65</v>
      </c>
      <c r="AP98" s="128"/>
      <c r="AQ98" s="128"/>
      <c r="AR98" s="128"/>
      <c r="AS98" s="128"/>
      <c r="AT98" s="128"/>
      <c r="AU98" s="128"/>
      <c r="AV98" s="417"/>
      <c r="AW98" s="132"/>
      <c r="AX98" s="119"/>
      <c r="AY98" s="542">
        <f>IF(OR(AY83="geen",AY97=0),0,IF(AY84=gebouw,AY$27,1))</f>
        <v>0</v>
      </c>
      <c r="AZ98" s="542">
        <f>IF(OR(AZ83="geen",AZ97=0),0,IF(AZ84=gebouw,AZ$27,1))</f>
        <v>0</v>
      </c>
      <c r="BA98" s="542" t="s">
        <v>65</v>
      </c>
      <c r="BB98" s="130"/>
      <c r="BC98" s="130"/>
      <c r="BD98" s="130"/>
      <c r="BE98" s="130"/>
      <c r="BF98" s="130"/>
      <c r="BG98" s="130"/>
      <c r="BH98" s="210"/>
    </row>
    <row r="99" spans="1:60" hidden="1">
      <c r="A99" s="1040"/>
      <c r="B99" s="1109" t="s">
        <v>161</v>
      </c>
      <c r="C99" s="1106" t="s">
        <v>181</v>
      </c>
      <c r="D99" s="641" t="s">
        <v>45</v>
      </c>
      <c r="E99" s="181" t="s">
        <v>185</v>
      </c>
      <c r="F99" s="180"/>
      <c r="G99" s="180"/>
      <c r="H99" s="181" t="s">
        <v>186</v>
      </c>
      <c r="I99" s="129"/>
      <c r="J99" s="190"/>
      <c r="K99" s="107"/>
      <c r="L99" s="107"/>
      <c r="M99" s="190"/>
      <c r="N99" s="114"/>
      <c r="O99" s="542">
        <f>MROUND(((bibliotheek!$I$124*(O97*1000))/(0.001*bibliotheek!$I$125)*((bibliotheek!$I$126-bibliotheek!$I$128)/(bibliotheek!$I$126-bibliotheek!$I$127))+(O29^0.5*4*3+O29)*bibliotheek!$I$129)/1000,50)</f>
        <v>0</v>
      </c>
      <c r="P99" s="542">
        <f>IF(P83="geen",0,MROUND((P97*1000)*bibliotheek!$I$216,1))</f>
        <v>0</v>
      </c>
      <c r="Q99" s="542" t="s">
        <v>65</v>
      </c>
      <c r="R99" s="128"/>
      <c r="S99" s="128"/>
      <c r="T99" s="128"/>
      <c r="U99" s="128"/>
      <c r="V99" s="128"/>
      <c r="W99" s="128"/>
      <c r="X99" s="417"/>
      <c r="Y99" s="132"/>
      <c r="Z99" s="119"/>
      <c r="AA99" s="542">
        <f>MROUND(((bibliotheek!$I$124*(AA97*1000))/(0.001*bibliotheek!$I$125)*((bibliotheek!$I$126-bibliotheek!$I$128)/(bibliotheek!$I$126-bibliotheek!$I$127))+(AA29^0.5*4*3+AA29)*bibliotheek!$I$129)/1000,50)</f>
        <v>0</v>
      </c>
      <c r="AB99" s="542">
        <f>IF(AB83="geen",0,MROUND((AB97*1000)*bibliotheek!$I$216,1))</f>
        <v>0</v>
      </c>
      <c r="AC99" s="542" t="s">
        <v>65</v>
      </c>
      <c r="AD99" s="128"/>
      <c r="AE99" s="128"/>
      <c r="AF99" s="128"/>
      <c r="AG99" s="128"/>
      <c r="AH99" s="128"/>
      <c r="AI99" s="128"/>
      <c r="AJ99" s="417"/>
      <c r="AK99" s="132"/>
      <c r="AL99" s="119"/>
      <c r="AM99" s="542">
        <f>MROUND(((bibliotheek!$I$124*(AM97*1000))/(0.001*bibliotheek!$I$125)*((bibliotheek!$I$126-bibliotheek!$I$128)/(bibliotheek!$I$126-bibliotheek!$I$127))+(AM29^0.5*4*3+AM29)*bibliotheek!$I$129)/1000,50)</f>
        <v>0</v>
      </c>
      <c r="AN99" s="542">
        <f>IF(AN83="geen",0,MROUND((AN97*1000)*bibliotheek!$I$216,1))</f>
        <v>0</v>
      </c>
      <c r="AO99" s="542" t="s">
        <v>65</v>
      </c>
      <c r="AP99" s="128"/>
      <c r="AQ99" s="128"/>
      <c r="AR99" s="128"/>
      <c r="AS99" s="128"/>
      <c r="AT99" s="128"/>
      <c r="AU99" s="128"/>
      <c r="AV99" s="417"/>
      <c r="AW99" s="132"/>
      <c r="AX99" s="119"/>
      <c r="AY99" s="542">
        <f>MROUND(((bibliotheek!$I$124*(AY97*1000))/(0.001*bibliotheek!$I$125)*((bibliotheek!$I$126-bibliotheek!$I$128)/(bibliotheek!$I$126-bibliotheek!$I$127))+(AY29^0.5*4*3+AY29)*bibliotheek!$I$129)/1000,50)</f>
        <v>0</v>
      </c>
      <c r="AZ99" s="542">
        <f>IF(AZ83="geen",0,MROUND((AZ97*1000)*bibliotheek!$I$216,1))</f>
        <v>0</v>
      </c>
      <c r="BA99" s="542" t="s">
        <v>65</v>
      </c>
      <c r="BB99" s="130"/>
      <c r="BC99" s="130"/>
      <c r="BD99" s="130"/>
      <c r="BE99" s="130"/>
      <c r="BF99" s="130"/>
      <c r="BG99" s="130"/>
      <c r="BH99" s="210"/>
    </row>
    <row r="100" spans="1:60" hidden="1">
      <c r="A100" s="1040"/>
      <c r="B100" s="1109" t="s">
        <v>161</v>
      </c>
      <c r="C100" s="1107" t="s">
        <v>181</v>
      </c>
      <c r="D100" s="638"/>
      <c r="E100" s="79"/>
      <c r="F100" s="79"/>
      <c r="G100" s="79"/>
      <c r="H100" s="85"/>
      <c r="I100" s="79"/>
      <c r="J100" s="82"/>
      <c r="K100" s="79"/>
      <c r="L100" s="79"/>
      <c r="M100" s="82"/>
      <c r="N100" s="79"/>
      <c r="O100" s="82"/>
      <c r="P100" s="82"/>
      <c r="Q100" s="82"/>
      <c r="R100" s="82"/>
      <c r="S100" s="82"/>
      <c r="T100" s="82"/>
      <c r="U100" s="82"/>
      <c r="V100" s="82"/>
      <c r="W100" s="82"/>
      <c r="X100" s="82"/>
      <c r="Y100" s="82"/>
      <c r="Z100" s="79"/>
      <c r="AA100" s="108"/>
      <c r="AB100" s="105"/>
      <c r="AC100" s="108"/>
      <c r="AD100" s="82"/>
      <c r="AE100" s="82"/>
      <c r="AF100" s="82"/>
      <c r="AG100" s="82"/>
      <c r="AH100" s="82"/>
      <c r="AI100" s="82"/>
      <c r="AJ100" s="82"/>
      <c r="AK100" s="82"/>
      <c r="AL100" s="79"/>
      <c r="AM100" s="82"/>
      <c r="AN100" s="105"/>
      <c r="AO100" s="82"/>
      <c r="AP100" s="82"/>
      <c r="AQ100" s="82"/>
      <c r="AR100" s="82"/>
      <c r="AS100" s="82"/>
      <c r="AT100" s="82"/>
      <c r="AU100" s="82"/>
      <c r="AV100" s="82"/>
      <c r="AW100" s="82"/>
      <c r="AX100" s="79"/>
      <c r="AY100" s="82"/>
      <c r="AZ100" s="105"/>
      <c r="BA100" s="82"/>
      <c r="BB100" s="82"/>
      <c r="BC100" s="82"/>
      <c r="BD100" s="82"/>
      <c r="BE100" s="82"/>
      <c r="BF100" s="82"/>
      <c r="BG100" s="82"/>
      <c r="BH100" s="1"/>
    </row>
    <row r="101" spans="1:60">
      <c r="A101" s="1040"/>
      <c r="B101" s="1109" t="s">
        <v>187</v>
      </c>
      <c r="C101" s="1107" t="s">
        <v>96</v>
      </c>
      <c r="D101" s="638"/>
      <c r="E101" s="79"/>
      <c r="F101" s="79"/>
      <c r="G101" s="79"/>
      <c r="H101" s="85"/>
      <c r="I101" s="79"/>
      <c r="J101" s="82"/>
      <c r="K101" s="79"/>
      <c r="L101" s="79"/>
      <c r="M101" s="82"/>
      <c r="N101" s="79"/>
      <c r="O101" s="1018"/>
      <c r="P101" s="1019"/>
      <c r="Q101" s="1019"/>
      <c r="R101" s="82"/>
      <c r="S101" s="82"/>
      <c r="T101" s="82"/>
      <c r="U101" s="82"/>
      <c r="V101" s="82"/>
      <c r="W101" s="82"/>
      <c r="X101" s="82"/>
      <c r="Y101" s="82"/>
      <c r="Z101" s="79"/>
      <c r="AA101" s="82"/>
      <c r="AB101" s="82"/>
      <c r="AC101" s="82"/>
      <c r="AD101" s="82"/>
      <c r="AE101" s="82"/>
      <c r="AF101" s="82"/>
      <c r="AG101" s="82"/>
      <c r="AH101" s="82"/>
      <c r="AI101" s="82"/>
      <c r="AJ101" s="82"/>
      <c r="AK101" s="82"/>
      <c r="AL101" s="79"/>
      <c r="AM101" s="82"/>
      <c r="AN101" s="82"/>
      <c r="AO101" s="82"/>
      <c r="AP101" s="82"/>
      <c r="AQ101" s="82"/>
      <c r="AR101" s="82"/>
      <c r="AS101" s="82"/>
      <c r="AT101" s="82"/>
      <c r="AU101" s="82"/>
      <c r="AV101" s="82"/>
      <c r="AW101" s="82"/>
      <c r="AX101" s="79"/>
      <c r="AY101" s="82"/>
      <c r="AZ101" s="82"/>
      <c r="BA101" s="82"/>
      <c r="BB101" s="82"/>
      <c r="BC101" s="82"/>
      <c r="BD101" s="82"/>
      <c r="BE101" s="82"/>
      <c r="BF101" s="82"/>
      <c r="BG101" s="82"/>
      <c r="BH101" s="1"/>
    </row>
    <row r="102" spans="1:60" ht="21">
      <c r="A102" s="1040"/>
      <c r="B102" s="1109" t="s">
        <v>187</v>
      </c>
      <c r="C102" s="1106" t="s">
        <v>96</v>
      </c>
      <c r="D102" s="641" t="s">
        <v>45</v>
      </c>
      <c r="E102" s="199" t="s">
        <v>188</v>
      </c>
      <c r="F102" s="199"/>
      <c r="G102" s="199"/>
      <c r="H102" s="199"/>
      <c r="I102" s="77"/>
      <c r="J102" s="200" t="str">
        <f>J$10</f>
        <v>alle locaties</v>
      </c>
      <c r="K102" s="126"/>
      <c r="L102" s="126"/>
      <c r="M102" s="200" t="str">
        <f>M$10</f>
        <v>locatie 1</v>
      </c>
      <c r="N102" s="182"/>
      <c r="O102" s="966" t="str">
        <f>$E102&amp;" per energiepost"</f>
        <v>installatie preferent toestel per energiepost</v>
      </c>
      <c r="P102" s="941"/>
      <c r="Q102" s="941"/>
      <c r="R102" s="941"/>
      <c r="S102" s="941"/>
      <c r="T102" s="941"/>
      <c r="U102" s="941"/>
      <c r="V102" s="941"/>
      <c r="W102" s="956"/>
      <c r="X102" s="174"/>
      <c r="Y102" s="176" t="str">
        <f>Y$10</f>
        <v>locatie 2</v>
      </c>
      <c r="Z102" s="182"/>
      <c r="AA102" s="966" t="str">
        <f>$E102&amp;" per energiepost"</f>
        <v>installatie preferent toestel per energiepost</v>
      </c>
      <c r="AB102" s="941"/>
      <c r="AC102" s="941"/>
      <c r="AD102" s="941"/>
      <c r="AE102" s="941"/>
      <c r="AF102" s="941"/>
      <c r="AG102" s="941"/>
      <c r="AH102" s="941"/>
      <c r="AI102" s="956"/>
      <c r="AJ102" s="174"/>
      <c r="AK102" s="176" t="str">
        <f>AK$10</f>
        <v>locatie 3</v>
      </c>
      <c r="AL102" s="182"/>
      <c r="AM102" s="966" t="str">
        <f>$E102&amp;" per energiepost"</f>
        <v>installatie preferent toestel per energiepost</v>
      </c>
      <c r="AN102" s="941"/>
      <c r="AO102" s="941"/>
      <c r="AP102" s="941"/>
      <c r="AQ102" s="941"/>
      <c r="AR102" s="941"/>
      <c r="AS102" s="941"/>
      <c r="AT102" s="941"/>
      <c r="AU102" s="956"/>
      <c r="AV102" s="174"/>
      <c r="AW102" s="176" t="str">
        <f>AW$10</f>
        <v>locatie 4</v>
      </c>
      <c r="AX102" s="182"/>
      <c r="AY102" s="966" t="str">
        <f>$E102&amp;" per energiepost"</f>
        <v>installatie preferent toestel per energiepost</v>
      </c>
      <c r="AZ102" s="941"/>
      <c r="BA102" s="941"/>
      <c r="BB102" s="941"/>
      <c r="BC102" s="941"/>
      <c r="BD102" s="941"/>
      <c r="BE102" s="941"/>
      <c r="BF102" s="941"/>
      <c r="BG102" s="956"/>
      <c r="BH102" s="1"/>
    </row>
    <row r="103" spans="1:60">
      <c r="A103" s="1040"/>
      <c r="B103" s="1109" t="s">
        <v>187</v>
      </c>
      <c r="C103" s="1106" t="s">
        <v>96</v>
      </c>
      <c r="D103" s="641"/>
      <c r="E103" s="940" t="s">
        <v>189</v>
      </c>
      <c r="F103" s="940"/>
      <c r="G103" s="940"/>
      <c r="H103" s="940"/>
      <c r="I103" s="77"/>
      <c r="J103" s="939"/>
      <c r="K103" s="126"/>
      <c r="L103" s="126"/>
      <c r="M103" s="938"/>
      <c r="N103" s="125"/>
      <c r="O103" s="177" t="str">
        <f>O$10</f>
        <v>verwarming</v>
      </c>
      <c r="P103" s="177" t="str">
        <f>P$10</f>
        <v>koeling</v>
      </c>
      <c r="Q103" s="177" t="str">
        <f>Q$10</f>
        <v>tapwater</v>
      </c>
      <c r="R103" s="177"/>
      <c r="S103" s="177"/>
      <c r="T103" s="177"/>
      <c r="U103" s="177"/>
      <c r="V103" s="177"/>
      <c r="W103" s="177"/>
      <c r="X103" s="147"/>
      <c r="Y103" s="938"/>
      <c r="Z103" s="125"/>
      <c r="AA103" s="177" t="str">
        <f>AA$10</f>
        <v>verwarming</v>
      </c>
      <c r="AB103" s="177" t="str">
        <f>AB$10</f>
        <v>koeling</v>
      </c>
      <c r="AC103" s="177" t="str">
        <f>AC$10</f>
        <v>tapwater</v>
      </c>
      <c r="AD103" s="177"/>
      <c r="AE103" s="177"/>
      <c r="AF103" s="177"/>
      <c r="AG103" s="177"/>
      <c r="AH103" s="177"/>
      <c r="AI103" s="177"/>
      <c r="AJ103" s="147"/>
      <c r="AK103" s="938"/>
      <c r="AL103" s="125"/>
      <c r="AM103" s="177" t="str">
        <f>AM$10</f>
        <v>verwarming</v>
      </c>
      <c r="AN103" s="177" t="str">
        <f>AN$10</f>
        <v>koeling</v>
      </c>
      <c r="AO103" s="177" t="str">
        <f>AO$10</f>
        <v>tapwater</v>
      </c>
      <c r="AP103" s="177"/>
      <c r="AQ103" s="177"/>
      <c r="AR103" s="177"/>
      <c r="AS103" s="177"/>
      <c r="AT103" s="177"/>
      <c r="AU103" s="177"/>
      <c r="AV103" s="147"/>
      <c r="AW103" s="938"/>
      <c r="AX103" s="125"/>
      <c r="AY103" s="177" t="str">
        <f>AY$10</f>
        <v>verwarming</v>
      </c>
      <c r="AZ103" s="177" t="str">
        <f>AZ$10</f>
        <v>koeling</v>
      </c>
      <c r="BA103" s="177" t="str">
        <f>BA$10</f>
        <v>tapwater</v>
      </c>
      <c r="BB103" s="177"/>
      <c r="BC103" s="177"/>
      <c r="BD103" s="177"/>
      <c r="BE103" s="177"/>
      <c r="BF103" s="177"/>
      <c r="BG103" s="177"/>
      <c r="BH103" s="218"/>
    </row>
    <row r="104" spans="1:60" ht="38.25">
      <c r="A104" s="1040"/>
      <c r="B104" s="1109" t="s">
        <v>187</v>
      </c>
      <c r="C104" s="1107" t="s">
        <v>118</v>
      </c>
      <c r="D104" s="638"/>
      <c r="E104" s="150" t="s">
        <v>164</v>
      </c>
      <c r="F104" s="294"/>
      <c r="G104" s="294"/>
      <c r="H104" s="150" t="s">
        <v>65</v>
      </c>
      <c r="I104" s="155"/>
      <c r="J104" s="268"/>
      <c r="K104" s="1056"/>
      <c r="L104" s="1056"/>
      <c r="M104" s="268"/>
      <c r="N104" s="120"/>
      <c r="O104" s="324" t="str">
        <f>O83</f>
        <v>ind WP, ind bodem, elek bijstook</v>
      </c>
      <c r="P104" s="324" t="str">
        <f>P83</f>
        <v>geen</v>
      </c>
      <c r="Q104" s="324" t="str">
        <f>Q83</f>
        <v>ind WP, ind bodem, elek bijstook</v>
      </c>
      <c r="R104" s="156"/>
      <c r="S104" s="156"/>
      <c r="T104" s="156"/>
      <c r="U104" s="156"/>
      <c r="V104" s="156"/>
      <c r="W104" s="156"/>
      <c r="X104" s="157"/>
      <c r="Y104" s="268"/>
      <c r="Z104" s="120"/>
      <c r="AA104" s="324" t="str">
        <f>AA83</f>
        <v>ind WP, ind bodem, elek bijstook</v>
      </c>
      <c r="AB104" s="324" t="str">
        <f>AB83</f>
        <v>geen</v>
      </c>
      <c r="AC104" s="324" t="str">
        <f>AC83</f>
        <v>ind WP, ind bodem, elek bijstook</v>
      </c>
      <c r="AD104" s="156"/>
      <c r="AE104" s="156"/>
      <c r="AF104" s="156"/>
      <c r="AG104" s="156"/>
      <c r="AH104" s="156"/>
      <c r="AI104" s="156"/>
      <c r="AJ104" s="157"/>
      <c r="AK104" s="268"/>
      <c r="AL104" s="120"/>
      <c r="AM104" s="324" t="str">
        <f>AM83</f>
        <v>ind WP, ind bodem, elek bijstook</v>
      </c>
      <c r="AN104" s="324" t="str">
        <f>AN83</f>
        <v>geen</v>
      </c>
      <c r="AO104" s="324" t="str">
        <f>AO83</f>
        <v>ind WP, ind bodem, elek bijstook</v>
      </c>
      <c r="AP104" s="156"/>
      <c r="AQ104" s="156"/>
      <c r="AR104" s="156"/>
      <c r="AS104" s="156"/>
      <c r="AT104" s="156"/>
      <c r="AU104" s="156"/>
      <c r="AV104" s="157"/>
      <c r="AW104" s="268"/>
      <c r="AX104" s="120"/>
      <c r="AY104" s="324" t="str">
        <f>AY83</f>
        <v>ind WP, ind bodem, elek bijstook</v>
      </c>
      <c r="AZ104" s="324" t="str">
        <f>AZ83</f>
        <v>geen</v>
      </c>
      <c r="BA104" s="324" t="str">
        <f>BA83</f>
        <v>ind WP, ind bodem, elek bijstook</v>
      </c>
      <c r="BB104" s="156"/>
      <c r="BC104" s="156"/>
      <c r="BD104" s="156"/>
      <c r="BE104" s="156"/>
      <c r="BF104" s="156"/>
      <c r="BG104" s="156"/>
      <c r="BH104" s="218"/>
    </row>
    <row r="105" spans="1:60" s="36" customFormat="1" ht="80.25" hidden="1" customHeight="1">
      <c r="A105" s="1040"/>
      <c r="B105" s="1109" t="s">
        <v>187</v>
      </c>
      <c r="C105" s="1107" t="s">
        <v>181</v>
      </c>
      <c r="D105" s="638"/>
      <c r="E105" s="150" t="s">
        <v>190</v>
      </c>
      <c r="F105" s="149"/>
      <c r="G105" s="149"/>
      <c r="H105" s="150" t="s">
        <v>65</v>
      </c>
      <c r="I105" s="277"/>
      <c r="J105" s="287"/>
      <c r="K105" s="1057"/>
      <c r="L105" s="1057"/>
      <c r="M105" s="287"/>
      <c r="N105" s="194"/>
      <c r="O105" s="324" t="str">
        <f>HLOOKUP(IF(O$83="",referentie_verwarming,O$83),toestellen_RV,ROWS(bibliotheek!$E$83:$E$96),FALSE)</f>
        <v>elektriciteit</v>
      </c>
      <c r="P105" s="324" t="str">
        <f>HLOOKUP(IF(P$83="",referentie_koeling,P$83),toestellen_KOEL,ROWS(bibliotheek!$E$190:$E$197),FALSE)</f>
        <v>nvt</v>
      </c>
      <c r="Q105" s="324" t="str">
        <f>HLOOKUP(IF(Q$83="",referentie_warmtapwater,Q$83),toestellen_TAP,ROWS(bibliotheek!$E$139:$E$152),FALSE)</f>
        <v>elektriciteit</v>
      </c>
      <c r="R105" s="278"/>
      <c r="S105" s="278"/>
      <c r="T105" s="278"/>
      <c r="U105" s="278"/>
      <c r="V105" s="278"/>
      <c r="W105" s="278"/>
      <c r="X105" s="279"/>
      <c r="Y105" s="287"/>
      <c r="Z105" s="194"/>
      <c r="AA105" s="324" t="str">
        <f>HLOOKUP(IF(AA$83="",referentie_verwarming,AA$83),toestellen_RV,ROWS(bibliotheek!$E$83:$E$96),FALSE)</f>
        <v>elektriciteit</v>
      </c>
      <c r="AB105" s="324" t="str">
        <f>HLOOKUP(IF(AB$83="",referentie_koeling,AB$83),toestellen_KOEL,ROWS(bibliotheek!$E$190:$E$197),FALSE)</f>
        <v>nvt</v>
      </c>
      <c r="AC105" s="324" t="str">
        <f>HLOOKUP(IF(AC$83="",referentie_warmtapwater,AC$83),toestellen_TAP,ROWS(bibliotheek!$E$139:$E$152),FALSE)</f>
        <v>elektriciteit</v>
      </c>
      <c r="AD105" s="278"/>
      <c r="AE105" s="278"/>
      <c r="AF105" s="278"/>
      <c r="AG105" s="278"/>
      <c r="AH105" s="278"/>
      <c r="AI105" s="278"/>
      <c r="AJ105" s="279"/>
      <c r="AK105" s="287"/>
      <c r="AL105" s="194"/>
      <c r="AM105" s="324" t="str">
        <f>HLOOKUP(IF(AM$83="",referentie_verwarming,AM$83),toestellen_RV,ROWS(bibliotheek!$E$83:$E$96),FALSE)</f>
        <v>elektriciteit</v>
      </c>
      <c r="AN105" s="324" t="str">
        <f>HLOOKUP(IF(AN$83="",referentie_koeling,AN$83),toestellen_KOEL,ROWS(bibliotheek!$E$190:$E$197),FALSE)</f>
        <v>nvt</v>
      </c>
      <c r="AO105" s="324" t="str">
        <f>HLOOKUP(IF(AO$83="",referentie_warmtapwater,AO$83),toestellen_TAP,ROWS(bibliotheek!$E$139:$E$152),FALSE)</f>
        <v>elektriciteit</v>
      </c>
      <c r="AP105" s="278"/>
      <c r="AQ105" s="278"/>
      <c r="AR105" s="278"/>
      <c r="AS105" s="278"/>
      <c r="AT105" s="278"/>
      <c r="AU105" s="278"/>
      <c r="AV105" s="279"/>
      <c r="AW105" s="287"/>
      <c r="AX105" s="194"/>
      <c r="AY105" s="324" t="str">
        <f>HLOOKUP(IF(AY$83="",referentie_verwarming,AY$83),toestellen_RV,ROWS(bibliotheek!$E$83:$E$96),FALSE)</f>
        <v>elektriciteit</v>
      </c>
      <c r="AZ105" s="324" t="str">
        <f>HLOOKUP(IF(AZ$83="",referentie_koeling,AZ$83),toestellen_KOEL,ROWS(bibliotheek!$E$190:$E$197),FALSE)</f>
        <v>nvt</v>
      </c>
      <c r="BA105" s="324" t="str">
        <f>HLOOKUP(IF(BA$83="",referentie_warmtapwater,BA$83),toestellen_TAP,ROWS(bibliotheek!$E$139:$E$152),FALSE)</f>
        <v>elektriciteit</v>
      </c>
      <c r="BB105" s="278"/>
      <c r="BC105" s="278"/>
      <c r="BD105" s="278"/>
      <c r="BE105" s="278"/>
      <c r="BF105" s="278"/>
      <c r="BG105" s="278"/>
      <c r="BH105" s="223"/>
    </row>
    <row r="106" spans="1:60" hidden="1">
      <c r="A106" s="1040"/>
      <c r="B106" s="1109" t="s">
        <v>187</v>
      </c>
      <c r="C106" s="1106" t="s">
        <v>181</v>
      </c>
      <c r="D106" s="638"/>
      <c r="E106" s="181" t="s">
        <v>191</v>
      </c>
      <c r="F106" s="180"/>
      <c r="G106" s="180"/>
      <c r="H106" s="181" t="s">
        <v>65</v>
      </c>
      <c r="I106" s="129"/>
      <c r="J106" s="190"/>
      <c r="K106" s="1058"/>
      <c r="L106" s="1058"/>
      <c r="M106" s="190"/>
      <c r="N106" s="114"/>
      <c r="O106" s="543" t="str">
        <f>INDEX(energiedragers_index_fPren,MATCH(O105,energiedragers_namen,0))</f>
        <v>nren</v>
      </c>
      <c r="P106" s="543" t="str">
        <f>INDEX(energiedragers_index_fPren,MATCH(P105,energiedragers_namen,0))</f>
        <v>nren</v>
      </c>
      <c r="Q106" s="543" t="str">
        <f>INDEX(energiedragers_index_fPren,MATCH(Q105,energiedragers_namen,0))</f>
        <v>nren</v>
      </c>
      <c r="R106" s="165"/>
      <c r="S106" s="165"/>
      <c r="T106" s="165"/>
      <c r="U106" s="165"/>
      <c r="V106" s="165"/>
      <c r="W106" s="165"/>
      <c r="X106" s="166"/>
      <c r="Y106" s="190"/>
      <c r="Z106" s="114"/>
      <c r="AA106" s="543" t="str">
        <f>INDEX(energiedragers_index_fPren,MATCH(AA105,energiedragers_namen,0))</f>
        <v>nren</v>
      </c>
      <c r="AB106" s="543" t="str">
        <f>INDEX(energiedragers_index_fPren,MATCH(AB105,energiedragers_namen,0))</f>
        <v>nren</v>
      </c>
      <c r="AC106" s="543" t="str">
        <f>INDEX(energiedragers_index_fPren,MATCH(AC105,energiedragers_namen,0))</f>
        <v>nren</v>
      </c>
      <c r="AD106" s="165"/>
      <c r="AE106" s="165"/>
      <c r="AF106" s="165"/>
      <c r="AG106" s="165"/>
      <c r="AH106" s="165"/>
      <c r="AI106" s="165"/>
      <c r="AJ106" s="166"/>
      <c r="AK106" s="190"/>
      <c r="AL106" s="114"/>
      <c r="AM106" s="543" t="str">
        <f>INDEX(energiedragers_index_fPren,MATCH(AM105,energiedragers_namen,0))</f>
        <v>nren</v>
      </c>
      <c r="AN106" s="543" t="str">
        <f>INDEX(energiedragers_index_fPren,MATCH(AN105,energiedragers_namen,0))</f>
        <v>nren</v>
      </c>
      <c r="AO106" s="543" t="str">
        <f>INDEX(energiedragers_index_fPren,MATCH(AO105,energiedragers_namen,0))</f>
        <v>nren</v>
      </c>
      <c r="AP106" s="165"/>
      <c r="AQ106" s="165"/>
      <c r="AR106" s="165"/>
      <c r="AS106" s="165"/>
      <c r="AT106" s="165"/>
      <c r="AU106" s="165"/>
      <c r="AV106" s="166"/>
      <c r="AW106" s="190"/>
      <c r="AX106" s="114"/>
      <c r="AY106" s="543" t="str">
        <f>INDEX(energiedragers_index_fPren,MATCH(AY105,energiedragers_namen,0))</f>
        <v>nren</v>
      </c>
      <c r="AZ106" s="543" t="str">
        <f>INDEX(energiedragers_index_fPren,MATCH(AZ105,energiedragers_namen,0))</f>
        <v>nren</v>
      </c>
      <c r="BA106" s="543" t="str">
        <f>INDEX(energiedragers_index_fPren,MATCH(BA105,energiedragers_namen,0))</f>
        <v>nren</v>
      </c>
      <c r="BB106" s="165"/>
      <c r="BC106" s="165"/>
      <c r="BD106" s="165"/>
      <c r="BE106" s="165"/>
      <c r="BF106" s="165"/>
      <c r="BG106" s="165"/>
      <c r="BH106" s="219"/>
    </row>
    <row r="107" spans="1:60">
      <c r="A107" s="1040"/>
      <c r="B107" s="1109" t="s">
        <v>187</v>
      </c>
      <c r="C107" s="1106" t="s">
        <v>96</v>
      </c>
      <c r="D107" s="638"/>
      <c r="E107" s="940" t="s">
        <v>192</v>
      </c>
      <c r="F107" s="940"/>
      <c r="G107" s="940"/>
      <c r="H107" s="940"/>
      <c r="I107" s="77"/>
      <c r="J107" s="939"/>
      <c r="K107" s="126"/>
      <c r="L107" s="126"/>
      <c r="M107" s="938"/>
      <c r="N107" s="125"/>
      <c r="O107" s="177" t="str">
        <f>O$10</f>
        <v>verwarming</v>
      </c>
      <c r="P107" s="177" t="str">
        <f>P$10</f>
        <v>koeling</v>
      </c>
      <c r="Q107" s="177" t="str">
        <f>Q$10</f>
        <v>tapwater</v>
      </c>
      <c r="R107" s="177"/>
      <c r="S107" s="177"/>
      <c r="T107" s="177"/>
      <c r="U107" s="177"/>
      <c r="V107" s="177"/>
      <c r="W107" s="177"/>
      <c r="X107" s="127"/>
      <c r="Y107" s="938"/>
      <c r="Z107" s="125"/>
      <c r="AA107" s="177" t="str">
        <f>AA$10</f>
        <v>verwarming</v>
      </c>
      <c r="AB107" s="177" t="str">
        <f>AB$10</f>
        <v>koeling</v>
      </c>
      <c r="AC107" s="177" t="str">
        <f>AC$10</f>
        <v>tapwater</v>
      </c>
      <c r="AD107" s="177"/>
      <c r="AE107" s="177"/>
      <c r="AF107" s="177"/>
      <c r="AG107" s="177"/>
      <c r="AH107" s="177"/>
      <c r="AI107" s="177"/>
      <c r="AJ107" s="127"/>
      <c r="AK107" s="938"/>
      <c r="AL107" s="125"/>
      <c r="AM107" s="177" t="str">
        <f>AM$10</f>
        <v>verwarming</v>
      </c>
      <c r="AN107" s="177" t="str">
        <f>AN$10</f>
        <v>koeling</v>
      </c>
      <c r="AO107" s="177" t="str">
        <f>AO$10</f>
        <v>tapwater</v>
      </c>
      <c r="AP107" s="177"/>
      <c r="AQ107" s="177"/>
      <c r="AR107" s="177"/>
      <c r="AS107" s="177"/>
      <c r="AT107" s="177"/>
      <c r="AU107" s="177"/>
      <c r="AV107" s="127"/>
      <c r="AW107" s="938"/>
      <c r="AX107" s="125"/>
      <c r="AY107" s="177" t="str">
        <f>AY$10</f>
        <v>verwarming</v>
      </c>
      <c r="AZ107" s="177" t="str">
        <f>AZ$10</f>
        <v>koeling</v>
      </c>
      <c r="BA107" s="177" t="str">
        <f>BA$10</f>
        <v>tapwater</v>
      </c>
      <c r="BB107" s="177"/>
      <c r="BC107" s="177"/>
      <c r="BD107" s="177"/>
      <c r="BE107" s="177"/>
      <c r="BF107" s="177"/>
      <c r="BG107" s="177"/>
      <c r="BH107" s="218"/>
    </row>
    <row r="108" spans="1:60">
      <c r="A108" s="1040"/>
      <c r="B108" s="1109" t="s">
        <v>187</v>
      </c>
      <c r="C108" s="1107" t="s">
        <v>118</v>
      </c>
      <c r="D108" s="638"/>
      <c r="E108" s="291" t="s">
        <v>193</v>
      </c>
      <c r="F108" s="254"/>
      <c r="G108" s="254"/>
      <c r="H108" s="291" t="s">
        <v>139</v>
      </c>
      <c r="I108" s="77"/>
      <c r="J108" s="189"/>
      <c r="K108" s="107"/>
      <c r="L108" s="107"/>
      <c r="M108" s="189"/>
      <c r="N108" s="79"/>
      <c r="O108" s="544">
        <f>IF(HLOOKUP(IF(O$83="",referentie_verwarming,O$83),toestellen_RV,ROWS(bibliotheek!$E$83:$E$98),FALSE)=1,1,IF(O109&lt;&gt;"",O109,HLOOKUP(IF(O$83="",referentie_verwarming,O$83),toestellen_RV,ROWS(bibliotheek!$E$83:$E$98),FALSE)))</f>
        <v>0.9</v>
      </c>
      <c r="P108" s="544">
        <f>IF(HLOOKUP(IF(P$83="",referentie_koeling,P$83),toestellen_KOEL,ROWS(bibliotheek!$E$190:$E$199),FALSE)=1,1,IF(P109&lt;&gt;"",P109,HLOOKUP(IF(P$83="",referentie_koeling,P$83),toestellen_KOEL,ROWS(bibliotheek!$E$190:$E$199),FALSE)))</f>
        <v>1</v>
      </c>
      <c r="Q108" s="544">
        <f>IF(HLOOKUP(IF(Q$83="",referentie_warmtapwater,Q$83),toestellen_TAP,ROWS(bibliotheek!$E$139:$E$154),FALSE)=1,1,IF(Q109&lt;&gt;"",Q109,HLOOKUP(IF(Q$83="",referentie_warmtapwater,Q$83),toestellen_TAP,ROWS(bibliotheek!$E$139:$E$154),FALSE)))</f>
        <v>0.9</v>
      </c>
      <c r="R108" s="135"/>
      <c r="S108" s="135"/>
      <c r="T108" s="135"/>
      <c r="U108" s="135"/>
      <c r="V108" s="135"/>
      <c r="W108" s="135"/>
      <c r="X108" s="76"/>
      <c r="Y108" s="189"/>
      <c r="Z108" s="79"/>
      <c r="AA108" s="544">
        <f>IF(HLOOKUP(IF(AA$83="",referentie_verwarming,AA$83),toestellen_RV,ROWS(bibliotheek!$E$83:$E$98),FALSE)=1,1,IF(AA109&lt;&gt;"",AA109,HLOOKUP(IF(AA$83="",referentie_verwarming,AA$83),toestellen_RV,ROWS(bibliotheek!$E$83:$E$98),FALSE)))</f>
        <v>0.9</v>
      </c>
      <c r="AB108" s="544">
        <f>IF(HLOOKUP(IF(AB$83="",referentie_koeling,AB$83),toestellen_KOEL,ROWS(bibliotheek!$E$190:$E$199),FALSE)=1,1,IF(AB109&lt;&gt;"",AB109,HLOOKUP(IF(AB$83="",referentie_koeling,AB$83),toestellen_KOEL,ROWS(bibliotheek!$E$190:$E$199),FALSE)))</f>
        <v>1</v>
      </c>
      <c r="AC108" s="544">
        <f>IF(HLOOKUP(IF(AC$83="",referentie_warmtapwater,AC$83),toestellen_TAP,ROWS(bibliotheek!$E$139:$E$154),FALSE)=1,1,IF(AC109&lt;&gt;"",AC109,HLOOKUP(IF(AC$83="",referentie_warmtapwater,AC$83),toestellen_TAP,ROWS(bibliotheek!$E$139:$E$154),FALSE)))</f>
        <v>0.9</v>
      </c>
      <c r="AD108" s="135"/>
      <c r="AE108" s="135"/>
      <c r="AF108" s="135"/>
      <c r="AG108" s="135"/>
      <c r="AH108" s="135"/>
      <c r="AI108" s="135"/>
      <c r="AJ108" s="76"/>
      <c r="AK108" s="189"/>
      <c r="AL108" s="79"/>
      <c r="AM108" s="544">
        <f>IF(HLOOKUP(IF(AM$83="",referentie_verwarming,AM$83),toestellen_RV,ROWS(bibliotheek!$E$83:$E$98),FALSE)=1,1,IF(AM109&lt;&gt;"",AM109,HLOOKUP(IF(AM$83="",referentie_verwarming,AM$83),toestellen_RV,ROWS(bibliotheek!$E$83:$E$98),FALSE)))</f>
        <v>0.9</v>
      </c>
      <c r="AN108" s="544">
        <f>IF(HLOOKUP(IF(AN$83="",referentie_koeling,AN$83),toestellen_KOEL,ROWS(bibliotheek!$E$190:$E$199),FALSE)=1,1,IF(AN109&lt;&gt;"",AN109,HLOOKUP(IF(AN$83="",referentie_koeling,AN$83),toestellen_KOEL,ROWS(bibliotheek!$E$190:$E$199),FALSE)))</f>
        <v>1</v>
      </c>
      <c r="AO108" s="544">
        <f>IF(HLOOKUP(IF(AO$83="",referentie_warmtapwater,AO$83),toestellen_TAP,ROWS(bibliotheek!$E$139:$E$154),FALSE)=1,1,IF(AO109&lt;&gt;"",AO109,HLOOKUP(IF(AO$83="",referentie_warmtapwater,AO$83),toestellen_TAP,ROWS(bibliotheek!$E$139:$E$154),FALSE)))</f>
        <v>0.9</v>
      </c>
      <c r="AP108" s="135"/>
      <c r="AQ108" s="135"/>
      <c r="AR108" s="135"/>
      <c r="AS108" s="135"/>
      <c r="AT108" s="135"/>
      <c r="AU108" s="135"/>
      <c r="AV108" s="76"/>
      <c r="AW108" s="189"/>
      <c r="AX108" s="79"/>
      <c r="AY108" s="544">
        <f>IF(HLOOKUP(IF(AY$83="",referentie_verwarming,AY$83),toestellen_RV,ROWS(bibliotheek!$E$83:$E$98),FALSE)=1,1,IF(AY109&lt;&gt;"",AY109,HLOOKUP(IF(AY$83="",referentie_verwarming,AY$83),toestellen_RV,ROWS(bibliotheek!$E$83:$E$98),FALSE)))</f>
        <v>0.9</v>
      </c>
      <c r="AZ108" s="544">
        <f>IF(HLOOKUP(IF(AZ$83="",referentie_koeling,AZ$83),toestellen_KOEL,ROWS(bibliotheek!$E$190:$E$199),FALSE)=1,1,IF(AZ109&lt;&gt;"",AZ109,HLOOKUP(IF(AZ$83="",referentie_koeling,AZ$83),toestellen_KOEL,ROWS(bibliotheek!$E$190:$E$199),FALSE)))</f>
        <v>1</v>
      </c>
      <c r="BA108" s="544">
        <f>IF(HLOOKUP(IF(BA$83="",referentie_warmtapwater,BA$83),toestellen_TAP,ROWS(bibliotheek!$E$139:$E$154),FALSE)=1,1,IF(BA109&lt;&gt;"",BA109,HLOOKUP(IF(BA$83="",referentie_warmtapwater,BA$83),toestellen_TAP,ROWS(bibliotheek!$E$139:$E$154),FALSE)))</f>
        <v>0.9</v>
      </c>
      <c r="BB108" s="135"/>
      <c r="BC108" s="135"/>
      <c r="BD108" s="135"/>
      <c r="BE108" s="135"/>
      <c r="BF108" s="135"/>
      <c r="BG108" s="135"/>
      <c r="BH108" s="174"/>
    </row>
    <row r="109" spans="1:60">
      <c r="A109" s="1040"/>
      <c r="B109" s="1109" t="s">
        <v>187</v>
      </c>
      <c r="C109" s="1107" t="s">
        <v>118</v>
      </c>
      <c r="D109" s="638"/>
      <c r="E109" s="1218" t="s">
        <v>194</v>
      </c>
      <c r="F109" s="255"/>
      <c r="G109" s="255"/>
      <c r="H109" s="292"/>
      <c r="I109" s="77"/>
      <c r="J109" s="299"/>
      <c r="K109" s="107"/>
      <c r="L109" s="107"/>
      <c r="M109" s="198"/>
      <c r="N109" s="79"/>
      <c r="O109" s="282"/>
      <c r="P109" s="282"/>
      <c r="Q109" s="282"/>
      <c r="R109" s="137"/>
      <c r="S109" s="137"/>
      <c r="T109" s="137"/>
      <c r="U109" s="137"/>
      <c r="V109" s="137"/>
      <c r="W109" s="137"/>
      <c r="X109" s="76"/>
      <c r="Y109" s="198"/>
      <c r="Z109" s="79"/>
      <c r="AA109" s="282"/>
      <c r="AB109" s="282"/>
      <c r="AC109" s="282"/>
      <c r="AD109" s="137"/>
      <c r="AE109" s="137"/>
      <c r="AF109" s="137"/>
      <c r="AG109" s="137"/>
      <c r="AH109" s="137"/>
      <c r="AI109" s="137"/>
      <c r="AJ109" s="76"/>
      <c r="AK109" s="198"/>
      <c r="AL109" s="79"/>
      <c r="AM109" s="282"/>
      <c r="AN109" s="282"/>
      <c r="AO109" s="282"/>
      <c r="AP109" s="137"/>
      <c r="AQ109" s="137"/>
      <c r="AR109" s="137"/>
      <c r="AS109" s="137"/>
      <c r="AT109" s="137"/>
      <c r="AU109" s="137"/>
      <c r="AV109" s="76"/>
      <c r="AW109" s="198"/>
      <c r="AX109" s="79"/>
      <c r="AY109" s="282"/>
      <c r="AZ109" s="282"/>
      <c r="BA109" s="282"/>
      <c r="BB109" s="137"/>
      <c r="BC109" s="137"/>
      <c r="BD109" s="137"/>
      <c r="BE109" s="137"/>
      <c r="BF109" s="137"/>
      <c r="BG109" s="137"/>
      <c r="BH109" s="220"/>
    </row>
    <row r="110" spans="1:60" hidden="1">
      <c r="A110" s="1046"/>
      <c r="B110" s="1109" t="s">
        <v>187</v>
      </c>
      <c r="C110" s="1111" t="s">
        <v>181</v>
      </c>
      <c r="D110" s="643"/>
      <c r="E110" s="201" t="s">
        <v>195</v>
      </c>
      <c r="F110" s="245"/>
      <c r="G110" s="245"/>
      <c r="H110" s="201" t="s">
        <v>160</v>
      </c>
      <c r="I110" s="107"/>
      <c r="J110" s="202">
        <f>M110+Y110+AK110+AW110</f>
        <v>0</v>
      </c>
      <c r="K110" s="1059"/>
      <c r="L110" s="1059"/>
      <c r="M110" s="202">
        <f>SUM(O110:X110)</f>
        <v>0</v>
      </c>
      <c r="N110" s="243"/>
      <c r="O110" s="168">
        <f>O$97*O108</f>
        <v>0</v>
      </c>
      <c r="P110" s="168">
        <f>P$97*P108</f>
        <v>0</v>
      </c>
      <c r="Q110" s="168">
        <f>Q$97*Q108</f>
        <v>0</v>
      </c>
      <c r="R110" s="130"/>
      <c r="S110" s="130"/>
      <c r="T110" s="130"/>
      <c r="U110" s="130"/>
      <c r="V110" s="130"/>
      <c r="W110" s="130"/>
      <c r="X110" s="110"/>
      <c r="Y110" s="202">
        <f>SUM(AA110:AJ110)</f>
        <v>0</v>
      </c>
      <c r="Z110" s="243"/>
      <c r="AA110" s="168">
        <f>AA$97*AA108</f>
        <v>0</v>
      </c>
      <c r="AB110" s="168">
        <f>AB$97*AB108</f>
        <v>0</v>
      </c>
      <c r="AC110" s="168">
        <f>AC$97*AC108</f>
        <v>0</v>
      </c>
      <c r="AD110" s="130"/>
      <c r="AE110" s="130"/>
      <c r="AF110" s="130"/>
      <c r="AG110" s="130"/>
      <c r="AH110" s="130"/>
      <c r="AI110" s="130"/>
      <c r="AJ110" s="110"/>
      <c r="AK110" s="202">
        <f>SUM(AM110:AV110)</f>
        <v>0</v>
      </c>
      <c r="AL110" s="243"/>
      <c r="AM110" s="168">
        <f>AM$97*AM108</f>
        <v>0</v>
      </c>
      <c r="AN110" s="168">
        <f>AN$97*AN108</f>
        <v>0</v>
      </c>
      <c r="AO110" s="168">
        <f>AO$97*AO108</f>
        <v>0</v>
      </c>
      <c r="AP110" s="130"/>
      <c r="AQ110" s="130"/>
      <c r="AR110" s="130"/>
      <c r="AS110" s="130"/>
      <c r="AT110" s="130"/>
      <c r="AU110" s="130"/>
      <c r="AV110" s="110"/>
      <c r="AW110" s="202">
        <f>SUM(AY110:BH110)</f>
        <v>0</v>
      </c>
      <c r="AX110" s="243"/>
      <c r="AY110" s="168">
        <f>AY$97*AY108</f>
        <v>0</v>
      </c>
      <c r="AZ110" s="168">
        <f>AZ$97*AZ108</f>
        <v>0</v>
      </c>
      <c r="BA110" s="168">
        <f>BA$97*BA108</f>
        <v>0</v>
      </c>
      <c r="BB110" s="130"/>
      <c r="BC110" s="130"/>
      <c r="BD110" s="130"/>
      <c r="BE110" s="130"/>
      <c r="BF110" s="130"/>
      <c r="BG110" s="130"/>
      <c r="BH110" s="174"/>
    </row>
    <row r="111" spans="1:60">
      <c r="A111" s="1040"/>
      <c r="B111" s="1109" t="s">
        <v>187</v>
      </c>
      <c r="C111" s="1107" t="s">
        <v>118</v>
      </c>
      <c r="D111" s="641" t="s">
        <v>45</v>
      </c>
      <c r="E111" s="291" t="s">
        <v>196</v>
      </c>
      <c r="F111" s="254"/>
      <c r="G111" s="254"/>
      <c r="H111" s="291" t="s">
        <v>65</v>
      </c>
      <c r="I111" s="77"/>
      <c r="J111" s="288"/>
      <c r="K111" s="1060"/>
      <c r="L111" s="1060"/>
      <c r="M111" s="288"/>
      <c r="N111" s="244"/>
      <c r="O111" s="377">
        <f>IF(O112&lt;&gt;"",O112,HLOOKUP(IF(O$83="",referentie_verwarming,O$83),toestellen_RV,ROWS(bibliotheek!$E$83:$E$99),FALSE))</f>
        <v>4.55</v>
      </c>
      <c r="P111" s="377">
        <f>IF(P112&lt;&gt;"",P112,HLOOKUP(IF(P$83="",referentie_koeling,P$83),toestellen_KOEL,ROWS(bibliotheek!$E$190:$E$200),FALSE))</f>
        <v>0</v>
      </c>
      <c r="Q111" s="377">
        <f>IF(Q112&lt;&gt;"",Q112,HLOOKUP(IF(Q$83="",referentie_warmtapwater,Q$83),toestellen_TAP,ROWS(bibliotheek!$E$139:$E$155),FALSE))</f>
        <v>2.4</v>
      </c>
      <c r="R111" s="141"/>
      <c r="S111" s="141"/>
      <c r="T111" s="141"/>
      <c r="U111" s="141"/>
      <c r="V111" s="141"/>
      <c r="W111" s="141"/>
      <c r="X111" s="348"/>
      <c r="Y111" s="288"/>
      <c r="Z111" s="244"/>
      <c r="AA111" s="377">
        <f>IF(AA112&lt;&gt;"",AA112,HLOOKUP(IF(AA$83="",referentie_verwarming,AA$83),toestellen_RV,ROWS(bibliotheek!$E$83:$E$99),FALSE))</f>
        <v>4.55</v>
      </c>
      <c r="AB111" s="377">
        <f>IF(AB112&lt;&gt;"",AB112,HLOOKUP(IF(AB$83="",referentie_koeling,AB$83),toestellen_KOEL,ROWS(bibliotheek!$E$190:$E$200),FALSE))</f>
        <v>0</v>
      </c>
      <c r="AC111" s="377">
        <f>IF(AC112&lt;&gt;"",AC112,HLOOKUP(IF(AC$83="",referentie_warmtapwater,AC$83),toestellen_TAP,ROWS(bibliotheek!$E$139:$E$155),FALSE))</f>
        <v>2.4</v>
      </c>
      <c r="AD111" s="141"/>
      <c r="AE111" s="141"/>
      <c r="AF111" s="141"/>
      <c r="AG111" s="141"/>
      <c r="AH111" s="141"/>
      <c r="AI111" s="141"/>
      <c r="AJ111" s="348"/>
      <c r="AK111" s="288"/>
      <c r="AL111" s="244"/>
      <c r="AM111" s="377">
        <f>IF(AM112&lt;&gt;"",AM112,HLOOKUP(IF(AM$83="",referentie_verwarming,AM$83),toestellen_RV,ROWS(bibliotheek!$E$83:$E$99),FALSE))</f>
        <v>4.55</v>
      </c>
      <c r="AN111" s="377">
        <f>IF(AN112&lt;&gt;"",AN112,HLOOKUP(IF(AN$83="",referentie_koeling,AN$83),toestellen_KOEL,ROWS(bibliotheek!$E$190:$E$200),FALSE))</f>
        <v>0</v>
      </c>
      <c r="AO111" s="377">
        <f>IF(AO112&lt;&gt;"",AO112,HLOOKUP(IF(AO$83="",referentie_warmtapwater,AO$83),toestellen_TAP,ROWS(bibliotheek!$E$139:$E$155),FALSE))</f>
        <v>2.4</v>
      </c>
      <c r="AP111" s="141"/>
      <c r="AQ111" s="141"/>
      <c r="AR111" s="141"/>
      <c r="AS111" s="141"/>
      <c r="AT111" s="141"/>
      <c r="AU111" s="141"/>
      <c r="AV111" s="348"/>
      <c r="AW111" s="288"/>
      <c r="AX111" s="244"/>
      <c r="AY111" s="377">
        <f>IF(AY112&lt;&gt;"",AY112,HLOOKUP(IF(AY$83="",referentie_verwarming,AY$83),toestellen_RV,ROWS(bibliotheek!$E$83:$E$99),FALSE))</f>
        <v>4.55</v>
      </c>
      <c r="AZ111" s="377">
        <f>IF(AZ112&lt;&gt;"",AZ112,HLOOKUP(IF(AZ$83="",referentie_koeling,AZ$83),toestellen_KOEL,ROWS(bibliotheek!$E$190:$E$200),FALSE))</f>
        <v>0</v>
      </c>
      <c r="BA111" s="377">
        <f>IF(BA112&lt;&gt;"",BA112,HLOOKUP(IF(BA$83="",referentie_warmtapwater,BA$83),toestellen_TAP,ROWS(bibliotheek!$E$139:$E$155),FALSE))</f>
        <v>2.4</v>
      </c>
      <c r="BB111" s="141"/>
      <c r="BC111" s="141"/>
      <c r="BD111" s="141"/>
      <c r="BE111" s="141"/>
      <c r="BF111" s="141"/>
      <c r="BG111" s="141"/>
      <c r="BH111" s="174"/>
    </row>
    <row r="112" spans="1:60">
      <c r="A112" s="1040"/>
      <c r="B112" s="1109" t="s">
        <v>187</v>
      </c>
      <c r="C112" s="1107" t="s">
        <v>118</v>
      </c>
      <c r="D112" s="638"/>
      <c r="E112" s="1218" t="s">
        <v>197</v>
      </c>
      <c r="F112" s="292"/>
      <c r="G112" s="292"/>
      <c r="H112" s="292"/>
      <c r="I112" s="77"/>
      <c r="J112" s="299"/>
      <c r="K112" s="1060"/>
      <c r="L112" s="1060"/>
      <c r="M112" s="198"/>
      <c r="N112" s="244"/>
      <c r="O112" s="354"/>
      <c r="P112" s="354"/>
      <c r="Q112" s="354"/>
      <c r="R112" s="414"/>
      <c r="S112" s="414"/>
      <c r="T112" s="414"/>
      <c r="U112" s="414"/>
      <c r="V112" s="414"/>
      <c r="W112" s="414"/>
      <c r="X112" s="380"/>
      <c r="Y112" s="198"/>
      <c r="Z112" s="244"/>
      <c r="AA112" s="354"/>
      <c r="AB112" s="354"/>
      <c r="AC112" s="354"/>
      <c r="AD112" s="414"/>
      <c r="AE112" s="414"/>
      <c r="AF112" s="414"/>
      <c r="AG112" s="414"/>
      <c r="AH112" s="414"/>
      <c r="AI112" s="414"/>
      <c r="AJ112" s="380"/>
      <c r="AK112" s="198"/>
      <c r="AL112" s="244"/>
      <c r="AM112" s="354"/>
      <c r="AN112" s="354"/>
      <c r="AO112" s="354"/>
      <c r="AP112" s="414"/>
      <c r="AQ112" s="414"/>
      <c r="AR112" s="414"/>
      <c r="AS112" s="414"/>
      <c r="AT112" s="414"/>
      <c r="AU112" s="414"/>
      <c r="AV112" s="380"/>
      <c r="AW112" s="198"/>
      <c r="AX112" s="244"/>
      <c r="AY112" s="354"/>
      <c r="AZ112" s="354"/>
      <c r="BA112" s="354"/>
      <c r="BB112" s="414"/>
      <c r="BC112" s="414"/>
      <c r="BD112" s="414"/>
      <c r="BE112" s="414"/>
      <c r="BF112" s="414"/>
      <c r="BG112" s="414"/>
      <c r="BH112" s="220"/>
    </row>
    <row r="113" spans="1:60" hidden="1">
      <c r="A113" s="1040"/>
      <c r="B113" s="1109" t="s">
        <v>187</v>
      </c>
      <c r="C113" s="1107" t="s">
        <v>181</v>
      </c>
      <c r="D113" s="641" t="s">
        <v>45</v>
      </c>
      <c r="E113" s="181" t="s">
        <v>198</v>
      </c>
      <c r="F113" s="180"/>
      <c r="G113" s="180"/>
      <c r="H113" s="181" t="s">
        <v>65</v>
      </c>
      <c r="I113" s="77"/>
      <c r="J113" s="190"/>
      <c r="K113" s="107"/>
      <c r="L113" s="107"/>
      <c r="M113" s="190"/>
      <c r="N113" s="79"/>
      <c r="O113" s="228">
        <f>INDEX(installaties_RV_verlies_elek_prod_aftapwarmte,MATCH(IF(O104="",referentie_verwarming,O104),toestellen_RV_kopregel,0))</f>
        <v>0</v>
      </c>
      <c r="P113" s="625"/>
      <c r="Q113" s="228">
        <f>INDEX(installaties_TAP_verlies_elek_prod_aftapwarmte,MATCH(IF(Q104="",referentie_verwarming,Q104),toestellen_TAP_kopregel,0))</f>
        <v>0</v>
      </c>
      <c r="R113" s="625"/>
      <c r="S113" s="625"/>
      <c r="T113" s="625"/>
      <c r="U113" s="625"/>
      <c r="V113" s="625"/>
      <c r="W113" s="625"/>
      <c r="X113" s="626"/>
      <c r="Y113" s="357"/>
      <c r="Z113" s="627"/>
      <c r="AA113" s="228">
        <f>INDEX(installaties_RV_verlies_elek_prod_aftapwarmte,MATCH(IF(AA104="",referentie_verwarming,AA104),toestellen_RV_kopregel,0))</f>
        <v>0</v>
      </c>
      <c r="AB113" s="625"/>
      <c r="AC113" s="228">
        <f>INDEX(installaties_TAP_verlies_elek_prod_aftapwarmte,MATCH(IF(AC104="",referentie_verwarming,AC104),toestellen_TAP_kopregel,0))</f>
        <v>0</v>
      </c>
      <c r="AD113" s="625"/>
      <c r="AE113" s="625"/>
      <c r="AF113" s="625"/>
      <c r="AG113" s="625"/>
      <c r="AH113" s="625"/>
      <c r="AI113" s="625"/>
      <c r="AJ113" s="626"/>
      <c r="AK113" s="357"/>
      <c r="AL113" s="627"/>
      <c r="AM113" s="228">
        <f>INDEX(installaties_RV_verlies_elek_prod_aftapwarmte,MATCH(IF(AM104="",referentie_verwarming,AM104),toestellen_RV_kopregel,0))</f>
        <v>0</v>
      </c>
      <c r="AN113" s="625"/>
      <c r="AO113" s="228">
        <f>INDEX(installaties_TAP_verlies_elek_prod_aftapwarmte,MATCH(IF(AO104="",referentie_verwarming,AO104),toestellen_TAP_kopregel,0))</f>
        <v>0</v>
      </c>
      <c r="AP113" s="625"/>
      <c r="AQ113" s="625"/>
      <c r="AR113" s="625"/>
      <c r="AS113" s="625"/>
      <c r="AT113" s="625"/>
      <c r="AU113" s="625"/>
      <c r="AV113" s="626"/>
      <c r="AW113" s="357"/>
      <c r="AX113" s="627"/>
      <c r="AY113" s="228">
        <f>INDEX(installaties_RV_verlies_elek_prod_aftapwarmte,MATCH(IF(AY104="",referentie_verwarming,AY104),toestellen_RV_kopregel,0))</f>
        <v>0</v>
      </c>
      <c r="AZ113" s="625"/>
      <c r="BA113" s="228">
        <f>INDEX(installaties_TAP_verlies_elek_prod_aftapwarmte,MATCH(IF(BA104="",referentie_verwarming,BA104),toestellen_TAP_kopregel,0))</f>
        <v>0</v>
      </c>
      <c r="BB113" s="131"/>
      <c r="BC113" s="131"/>
      <c r="BD113" s="131"/>
      <c r="BE113" s="131"/>
      <c r="BF113" s="131"/>
      <c r="BG113" s="131"/>
      <c r="BH113" s="210"/>
    </row>
    <row r="114" spans="1:60" hidden="1">
      <c r="A114" s="1040"/>
      <c r="B114" s="1109" t="s">
        <v>187</v>
      </c>
      <c r="C114" s="1107" t="s">
        <v>181</v>
      </c>
      <c r="D114" s="638"/>
      <c r="E114" s="181" t="s">
        <v>199</v>
      </c>
      <c r="F114" s="180"/>
      <c r="G114" s="180"/>
      <c r="H114" s="181" t="s">
        <v>65</v>
      </c>
      <c r="I114" s="77"/>
      <c r="J114" s="190"/>
      <c r="K114" s="107"/>
      <c r="L114" s="107"/>
      <c r="M114" s="190"/>
      <c r="N114" s="79"/>
      <c r="O114" s="228">
        <f>HLOOKUP(IF(O$83="",referentie_verwarming,O$83),toestellen_RV,ROWS(bibliotheek!$E$83:$E$100),FALSE)</f>
        <v>0</v>
      </c>
      <c r="P114" s="625"/>
      <c r="Q114" s="228">
        <f>HLOOKUP(IF(Q$83="",referentie_warmtapwater,Q$83),toestellen_TAP,ROWS(bibliotheek!$E$139:$E$156),FALSE)</f>
        <v>0</v>
      </c>
      <c r="R114" s="625"/>
      <c r="S114" s="625"/>
      <c r="T114" s="625"/>
      <c r="U114" s="625"/>
      <c r="V114" s="625"/>
      <c r="W114" s="625"/>
      <c r="X114" s="626"/>
      <c r="Y114" s="357"/>
      <c r="Z114" s="627"/>
      <c r="AA114" s="228">
        <f>HLOOKUP(IF(AA$83="",referentie_verwarming,AA$83),toestellen_RV,ROWS(bibliotheek!$E$83:$E$100),FALSE)</f>
        <v>0</v>
      </c>
      <c r="AB114" s="625"/>
      <c r="AC114" s="228">
        <f>HLOOKUP(IF(AC$83="",referentie_warmtapwater,AC$83),toestellen_TAP,ROWS(bibliotheek!$E$139:$E$156),FALSE)</f>
        <v>0</v>
      </c>
      <c r="AD114" s="625"/>
      <c r="AE114" s="625"/>
      <c r="AF114" s="625"/>
      <c r="AG114" s="625"/>
      <c r="AH114" s="625"/>
      <c r="AI114" s="625"/>
      <c r="AJ114" s="626"/>
      <c r="AK114" s="357"/>
      <c r="AL114" s="627"/>
      <c r="AM114" s="228">
        <f>HLOOKUP(IF(AM$83="",referentie_verwarming,AM$83),toestellen_RV,ROWS(bibliotheek!$E$83:$E$100),FALSE)</f>
        <v>0</v>
      </c>
      <c r="AN114" s="625"/>
      <c r="AO114" s="228">
        <f>HLOOKUP(IF(AO$83="",referentie_warmtapwater,AO$83),toestellen_TAP,ROWS(bibliotheek!$E$139:$E$156),FALSE)</f>
        <v>0</v>
      </c>
      <c r="AP114" s="625"/>
      <c r="AQ114" s="625"/>
      <c r="AR114" s="625"/>
      <c r="AS114" s="625"/>
      <c r="AT114" s="625"/>
      <c r="AU114" s="625"/>
      <c r="AV114" s="626"/>
      <c r="AW114" s="357"/>
      <c r="AX114" s="627"/>
      <c r="AY114" s="228">
        <f>HLOOKUP(IF(AY$83="",referentie_verwarming,AY$83),toestellen_RV,ROWS(bibliotheek!$E$83:$E$100),FALSE)</f>
        <v>0</v>
      </c>
      <c r="AZ114" s="625"/>
      <c r="BA114" s="228">
        <f>HLOOKUP(IF(BA$83="",referentie_warmtapwater,BA$83),toestellen_TAP,ROWS(bibliotheek!$E$139:$E$156),FALSE)</f>
        <v>0</v>
      </c>
      <c r="BB114" s="131"/>
      <c r="BC114" s="131"/>
      <c r="BD114" s="131"/>
      <c r="BE114" s="131"/>
      <c r="BF114" s="131"/>
      <c r="BG114" s="131"/>
      <c r="BH114" s="210"/>
    </row>
    <row r="115" spans="1:60" hidden="1">
      <c r="A115" s="1040"/>
      <c r="B115" s="1109" t="s">
        <v>187</v>
      </c>
      <c r="C115" s="1107" t="s">
        <v>181</v>
      </c>
      <c r="D115" s="638"/>
      <c r="E115" s="181" t="s">
        <v>200</v>
      </c>
      <c r="F115" s="180"/>
      <c r="G115" s="180"/>
      <c r="H115" s="181" t="s">
        <v>160</v>
      </c>
      <c r="I115" s="77"/>
      <c r="J115" s="202">
        <f>M115+Y115+AK115+AW115</f>
        <v>0</v>
      </c>
      <c r="K115" s="1059"/>
      <c r="L115" s="1059"/>
      <c r="M115" s="202">
        <f>SUM(O115:X115)</f>
        <v>0</v>
      </c>
      <c r="N115" s="243"/>
      <c r="O115" s="168">
        <f>IF(HLOOKUP(IF(O$83="",referentie_verwarming,O$83),toestellen_RV,ROWS(bibliotheek!$E$83:$E$88),FALSE)=1,O$97*O$108*((O$111-1)/O$111),0)</f>
        <v>0</v>
      </c>
      <c r="P115" s="168">
        <f>IF(HLOOKUP(IF(P$83="",referentie_koeling,P$83),toestellen_KOEL,ROWS(bibliotheek!$E$190:$E$194),FALSE)=1,P$97*P$108*((P$111-1)/P$111),0)</f>
        <v>0</v>
      </c>
      <c r="Q115" s="168">
        <f>IF(HLOOKUP(IF(Q$83="",referentie_warmtapwater,Q$83),toestellen_TAP,ROWS(bibliotheek!$E$139:$E$144),FALSE)=1,Q$97*Q$108*((Q$111-1)/Q$111),0)</f>
        <v>0</v>
      </c>
      <c r="R115" s="130"/>
      <c r="S115" s="130"/>
      <c r="T115" s="130"/>
      <c r="U115" s="130"/>
      <c r="V115" s="130"/>
      <c r="W115" s="130"/>
      <c r="X115" s="110"/>
      <c r="Y115" s="202">
        <f>SUM(AA115:AJ115)</f>
        <v>0</v>
      </c>
      <c r="Z115" s="243"/>
      <c r="AA115" s="168">
        <f>IF(HLOOKUP(IF(AA$83="",referentie_verwarming,AA$83),toestellen_RV,ROWS(bibliotheek!$E$83:$E$88),FALSE)=1,AA$97*AA$108*((AA$111-1)/AA$111),0)</f>
        <v>0</v>
      </c>
      <c r="AB115" s="168">
        <f>IF(HLOOKUP(IF(AB$83="",referentie_koeling,AB$83),toestellen_KOEL,ROWS(bibliotheek!$E$190:$E$194),FALSE)=1,AB$97*AB$108*((AB$111-1)/AB$111),0)</f>
        <v>0</v>
      </c>
      <c r="AC115" s="168">
        <f>IF(HLOOKUP(IF(AC$83="",referentie_warmtapwater,AC$83),toestellen_TAP,ROWS(bibliotheek!$E$139:$E$144),FALSE)=1,AC$97*AC$108*((AC$111-1)/AC$111),0)</f>
        <v>0</v>
      </c>
      <c r="AD115" s="130"/>
      <c r="AE115" s="130"/>
      <c r="AF115" s="130"/>
      <c r="AG115" s="130"/>
      <c r="AH115" s="130"/>
      <c r="AI115" s="130"/>
      <c r="AJ115" s="110"/>
      <c r="AK115" s="202">
        <f>SUM(AM115:AV115)</f>
        <v>0</v>
      </c>
      <c r="AL115" s="243"/>
      <c r="AM115" s="168">
        <f>IF(HLOOKUP(IF(AM$83="",referentie_verwarming,AM$83),toestellen_RV,ROWS(bibliotheek!$E$83:$E$88),FALSE)=1,AM$97*AM$108*((AM$111-1)/AM$111),0)</f>
        <v>0</v>
      </c>
      <c r="AN115" s="168">
        <f>IF(HLOOKUP(IF(AN$83="",referentie_koeling,AN$83),toestellen_KOEL,ROWS(bibliotheek!$E$190:$E$194),FALSE)=1,AN$97*AN$108*((AN$111-1)/AN$111),0)</f>
        <v>0</v>
      </c>
      <c r="AO115" s="168">
        <f>IF(HLOOKUP(IF(AO$83="",referentie_warmtapwater,AO$83),toestellen_TAP,ROWS(bibliotheek!$E$139:$E$144),FALSE)=1,AO$97*AO$108*((AO$111-1)/AO$111),0)</f>
        <v>0</v>
      </c>
      <c r="AP115" s="130"/>
      <c r="AQ115" s="130"/>
      <c r="AR115" s="130"/>
      <c r="AS115" s="130"/>
      <c r="AT115" s="130"/>
      <c r="AU115" s="130"/>
      <c r="AV115" s="110"/>
      <c r="AW115" s="202">
        <f>SUM(AY115:BH115)</f>
        <v>0</v>
      </c>
      <c r="AX115" s="243"/>
      <c r="AY115" s="168">
        <f>IF(HLOOKUP(IF(AY$83="",referentie_verwarming,AY$83),toestellen_RV,ROWS(bibliotheek!$E$83:$E$88),FALSE)=1,AY$97*AY$108*((AY$111-1)/AY$111),0)</f>
        <v>0</v>
      </c>
      <c r="AZ115" s="168">
        <f>IF(HLOOKUP(IF(AZ$83="",referentie_koeling,AZ$83),toestellen_KOEL,ROWS(bibliotheek!$E$190:$E$194),FALSE)=1,AZ$97*AZ$108*((AZ$111-1)/AZ$111),0)</f>
        <v>0</v>
      </c>
      <c r="BA115" s="168">
        <f>IF(HLOOKUP(IF(BA$83="",referentie_warmtapwater,BA$83),toestellen_TAP,ROWS(bibliotheek!$E$139:$E$144),FALSE)=1,BA$97*BA$108*((BA$111-1)/BA$111),0)</f>
        <v>0</v>
      </c>
      <c r="BB115" s="130"/>
      <c r="BC115" s="130"/>
      <c r="BD115" s="130"/>
      <c r="BE115" s="130"/>
      <c r="BF115" s="130"/>
      <c r="BG115" s="130"/>
      <c r="BH115" s="210"/>
    </row>
    <row r="116" spans="1:60" hidden="1">
      <c r="A116" s="1040"/>
      <c r="B116" s="1109" t="s">
        <v>187</v>
      </c>
      <c r="C116" s="1107" t="s">
        <v>181</v>
      </c>
      <c r="D116" s="638"/>
      <c r="E116" s="181" t="s">
        <v>201</v>
      </c>
      <c r="F116" s="180"/>
      <c r="G116" s="180"/>
      <c r="H116" s="181" t="s">
        <v>202</v>
      </c>
      <c r="I116" s="77"/>
      <c r="J116" s="202">
        <f>M116+Y116+AK116+AW116</f>
        <v>0</v>
      </c>
      <c r="K116" s="1059"/>
      <c r="L116" s="1059"/>
      <c r="M116" s="202">
        <f>SUM(O116:X116)</f>
        <v>0</v>
      </c>
      <c r="N116" s="243"/>
      <c r="O116" s="168">
        <f>IF(O$111=0,0,O$110/O$111)</f>
        <v>0</v>
      </c>
      <c r="P116" s="168">
        <f>IF(P$111=0,0,P$110/P$111)</f>
        <v>0</v>
      </c>
      <c r="Q116" s="168">
        <f>IF(Q$111=0,0,Q$110/Q$111)</f>
        <v>0</v>
      </c>
      <c r="R116" s="130"/>
      <c r="S116" s="130"/>
      <c r="T116" s="130"/>
      <c r="U116" s="130"/>
      <c r="V116" s="130"/>
      <c r="W116" s="130"/>
      <c r="X116" s="110"/>
      <c r="Y116" s="202">
        <f>SUM(AA116:AJ116)</f>
        <v>0</v>
      </c>
      <c r="Z116" s="243"/>
      <c r="AA116" s="168">
        <f>IF(AA$111=0,0,AA$110/AA$111)</f>
        <v>0</v>
      </c>
      <c r="AB116" s="168">
        <f>IF(AB$111=0,0,AB$110/AB$111)</f>
        <v>0</v>
      </c>
      <c r="AC116" s="168">
        <f>IF(AC$111=0,0,AC$110/AC$111)</f>
        <v>0</v>
      </c>
      <c r="AD116" s="130"/>
      <c r="AE116" s="130"/>
      <c r="AF116" s="130"/>
      <c r="AG116" s="130"/>
      <c r="AH116" s="130"/>
      <c r="AI116" s="130"/>
      <c r="AJ116" s="110"/>
      <c r="AK116" s="202">
        <f>SUM(AM116:AV116)</f>
        <v>0</v>
      </c>
      <c r="AL116" s="243"/>
      <c r="AM116" s="168">
        <f>IF(AM$111=0,0,AM$110/AM$111)</f>
        <v>0</v>
      </c>
      <c r="AN116" s="168">
        <f>IF(AN$111=0,0,AN$110/AN$111)</f>
        <v>0</v>
      </c>
      <c r="AO116" s="168">
        <f>IF(AO$111=0,0,AO$110/AO$111)</f>
        <v>0</v>
      </c>
      <c r="AP116" s="130"/>
      <c r="AQ116" s="130"/>
      <c r="AR116" s="130"/>
      <c r="AS116" s="130"/>
      <c r="AT116" s="130"/>
      <c r="AU116" s="130"/>
      <c r="AV116" s="110"/>
      <c r="AW116" s="202">
        <f>SUM(AY116:BH116)</f>
        <v>0</v>
      </c>
      <c r="AX116" s="243"/>
      <c r="AY116" s="168">
        <f>IF(AY$111=0,0,AY$110/AY$111)</f>
        <v>0</v>
      </c>
      <c r="AZ116" s="168">
        <f>IF(AZ$111=0,0,AZ$110/AZ$111)</f>
        <v>0</v>
      </c>
      <c r="BA116" s="168">
        <f>IF(BA$111=0,0,BA$110/BA$111)</f>
        <v>0</v>
      </c>
      <c r="BB116" s="130"/>
      <c r="BC116" s="130"/>
      <c r="BD116" s="130"/>
      <c r="BE116" s="130"/>
      <c r="BF116" s="130"/>
      <c r="BG116" s="130"/>
      <c r="BH116" s="210"/>
    </row>
    <row r="117" spans="1:60">
      <c r="A117" s="1040"/>
      <c r="B117" s="1109" t="s">
        <v>187</v>
      </c>
      <c r="C117" s="1106" t="s">
        <v>96</v>
      </c>
      <c r="D117" s="641"/>
      <c r="E117" s="940" t="s">
        <v>1220</v>
      </c>
      <c r="F117" s="940"/>
      <c r="G117" s="940"/>
      <c r="H117" s="993"/>
      <c r="I117" s="77"/>
      <c r="J117" s="939"/>
      <c r="K117" s="126"/>
      <c r="L117" s="126"/>
      <c r="M117" s="938"/>
      <c r="N117" s="143"/>
      <c r="O117" s="177" t="str">
        <f>O$10</f>
        <v>verwarming</v>
      </c>
      <c r="P117" s="177" t="str">
        <f>P$10</f>
        <v>koeling</v>
      </c>
      <c r="Q117" s="177" t="str">
        <f>Q$10</f>
        <v>tapwater</v>
      </c>
      <c r="R117" s="177"/>
      <c r="S117" s="177"/>
      <c r="T117" s="177"/>
      <c r="U117" s="177"/>
      <c r="V117" s="177"/>
      <c r="W117" s="177"/>
      <c r="X117" s="144"/>
      <c r="Y117" s="938"/>
      <c r="Z117" s="143"/>
      <c r="AA117" s="177" t="str">
        <f>AA$10</f>
        <v>verwarming</v>
      </c>
      <c r="AB117" s="177" t="str">
        <f>AB$10</f>
        <v>koeling</v>
      </c>
      <c r="AC117" s="177" t="str">
        <f>AC$10</f>
        <v>tapwater</v>
      </c>
      <c r="AD117" s="177"/>
      <c r="AE117" s="177"/>
      <c r="AF117" s="177"/>
      <c r="AG117" s="177"/>
      <c r="AH117" s="177"/>
      <c r="AI117" s="177"/>
      <c r="AJ117" s="144"/>
      <c r="AK117" s="938"/>
      <c r="AL117" s="143"/>
      <c r="AM117" s="177" t="str">
        <f>AM$10</f>
        <v>verwarming</v>
      </c>
      <c r="AN117" s="177" t="str">
        <f>AN$10</f>
        <v>koeling</v>
      </c>
      <c r="AO117" s="177" t="str">
        <f>AO$10</f>
        <v>tapwater</v>
      </c>
      <c r="AP117" s="177"/>
      <c r="AQ117" s="177"/>
      <c r="AR117" s="177"/>
      <c r="AS117" s="177"/>
      <c r="AT117" s="177"/>
      <c r="AU117" s="177"/>
      <c r="AV117" s="144"/>
      <c r="AW117" s="938"/>
      <c r="AX117" s="143"/>
      <c r="AY117" s="177" t="str">
        <f>AY$10</f>
        <v>verwarming</v>
      </c>
      <c r="AZ117" s="177" t="str">
        <f>AZ$10</f>
        <v>koeling</v>
      </c>
      <c r="BA117" s="177" t="str">
        <f>BA$10</f>
        <v>tapwater</v>
      </c>
      <c r="BB117" s="177"/>
      <c r="BC117" s="177"/>
      <c r="BD117" s="177"/>
      <c r="BE117" s="177"/>
      <c r="BF117" s="177"/>
      <c r="BG117" s="177"/>
      <c r="BH117" s="218"/>
    </row>
    <row r="118" spans="1:60" hidden="1">
      <c r="A118" s="1040"/>
      <c r="B118" s="1109" t="s">
        <v>187</v>
      </c>
      <c r="C118" s="1107" t="s">
        <v>203</v>
      </c>
      <c r="D118" s="641" t="s">
        <v>45</v>
      </c>
      <c r="E118" s="1171" t="s">
        <v>1348</v>
      </c>
      <c r="F118" s="254"/>
      <c r="G118" s="254"/>
      <c r="H118" s="291" t="s">
        <v>204</v>
      </c>
      <c r="I118" s="77"/>
      <c r="J118" s="189"/>
      <c r="K118" s="107"/>
      <c r="L118" s="107"/>
      <c r="M118" s="189"/>
      <c r="N118" s="79"/>
      <c r="O118" s="377">
        <f>IF(O119&lt;&gt;"",O119,
IF(O$105=elektriciteit,$G$5,
INDEX(energiedragers_primaire_energiefactor,MATCH(O105,energiedragers_kopregel,0))
*IF(O113=0,1,
$G$5*INDEX(installaties_RV_verlies_elek_prod_aftapwarmte,MATCH(O104,toestellen_RV_kopregel,0)))))</f>
        <v>1.45</v>
      </c>
      <c r="P118" s="377">
        <f>IF(P119&lt;&gt;"",P119,IF(HLOOKUP(P105,ENERGIEDRAGERS,ROWS(bibliotheek!$E$259:$E$260),FALSE)=0,$G$5,HLOOKUP(P105,ENERGIEDRAGERS,ROWS(bibliotheek!$E$259:$E$261),FALSE)))</f>
        <v>1.45</v>
      </c>
      <c r="Q118" s="377">
        <f>IF(Q119&lt;&gt;"",Q119,
IF(Q$105=elektriciteit,$G$5,
INDEX(energiedragers_primaire_energiefactor,MATCH(Q105,energiedragers_kopregel,0))
*IF(Q113=0,1,
$G$5*INDEX(installaties_TAP_verlies_elek_prod_aftapwarmte,MATCH(Q104,toestellen_TAP_kopregel,0)))))</f>
        <v>1.45</v>
      </c>
      <c r="R118" s="141"/>
      <c r="S118" s="141"/>
      <c r="T118" s="141"/>
      <c r="U118" s="141"/>
      <c r="V118" s="141"/>
      <c r="W118" s="141"/>
      <c r="X118" s="348"/>
      <c r="Y118" s="289"/>
      <c r="Z118" s="627"/>
      <c r="AA118" s="377">
        <f>IF(AA119&lt;&gt;"",AA119,
IF(AA$105=elektriciteit,$G$5,
INDEX(energiedragers_primaire_energiefactor,MATCH(AA105,energiedragers_kopregel,0))
*IF(AA113=0,1,
$G$5*INDEX(installaties_RV_verlies_elek_prod_aftapwarmte,MATCH(AA104,toestellen_RV_kopregel,0)))))</f>
        <v>1.45</v>
      </c>
      <c r="AB118" s="377">
        <f>IF(AB119&lt;&gt;"",AB119,IF(HLOOKUP(AB105,ENERGIEDRAGERS,ROWS(bibliotheek!$E$259:$E$260),FALSE)=0,$G$5,HLOOKUP(AB105,ENERGIEDRAGERS,ROWS(bibliotheek!$E$259:$E$261),FALSE)))</f>
        <v>1.45</v>
      </c>
      <c r="AC118" s="377">
        <f>IF(AC119&lt;&gt;"",AC119,
IF(AC$105=elektriciteit,$G$5,
INDEX(energiedragers_primaire_energiefactor,MATCH(AC105,energiedragers_kopregel,0))
*IF(AC113=0,1,
$G$5*INDEX(installaties_TAP_verlies_elek_prod_aftapwarmte,MATCH(AC104,toestellen_TAP_kopregel,0)))))</f>
        <v>1.45</v>
      </c>
      <c r="AD118" s="141"/>
      <c r="AE118" s="141"/>
      <c r="AF118" s="141"/>
      <c r="AG118" s="141"/>
      <c r="AH118" s="141"/>
      <c r="AI118" s="141"/>
      <c r="AJ118" s="348"/>
      <c r="AK118" s="289"/>
      <c r="AL118" s="627"/>
      <c r="AM118" s="377">
        <f>IF(AM119&lt;&gt;"",AM119,
IF(AM$105=elektriciteit,$G$5,
INDEX(energiedragers_primaire_energiefactor,MATCH(AM105,energiedragers_kopregel,0))
*IF(AM113=0,1,
$G$5*INDEX(installaties_RV_verlies_elek_prod_aftapwarmte,MATCH(AM104,toestellen_RV_kopregel,0)))))</f>
        <v>1.45</v>
      </c>
      <c r="AN118" s="377">
        <f>IF(AN119&lt;&gt;"",AN119,IF(HLOOKUP(AN105,ENERGIEDRAGERS,ROWS(bibliotheek!$E$259:$E$260),FALSE)=0,$G$5,HLOOKUP(AN105,ENERGIEDRAGERS,ROWS(bibliotheek!$E$259:$E$261),FALSE)))</f>
        <v>1.45</v>
      </c>
      <c r="AO118" s="377">
        <f>IF(AO119&lt;&gt;"",AO119,
IF(AO$105=elektriciteit,$G$5,
INDEX(energiedragers_primaire_energiefactor,MATCH(AO105,energiedragers_kopregel,0))
*IF(AO113=0,1,
$G$5*INDEX(installaties_TAP_verlies_elek_prod_aftapwarmte,MATCH(AO104,toestellen_TAP_kopregel,0)))))</f>
        <v>1.45</v>
      </c>
      <c r="AP118" s="141"/>
      <c r="AQ118" s="141"/>
      <c r="AR118" s="141"/>
      <c r="AS118" s="141"/>
      <c r="AT118" s="141"/>
      <c r="AU118" s="141"/>
      <c r="AV118" s="348"/>
      <c r="AW118" s="289"/>
      <c r="AX118" s="627"/>
      <c r="AY118" s="377">
        <f>IF(AY119&lt;&gt;"",AY119,
IF(AY$105=elektriciteit,$G$5,
INDEX(energiedragers_primaire_energiefactor,MATCH(AY105,energiedragers_kopregel,0))
*IF(AY113=0,1,
$G$5*INDEX(installaties_RV_verlies_elek_prod_aftapwarmte,MATCH(AY104,toestellen_RV_kopregel,0)))))</f>
        <v>1.45</v>
      </c>
      <c r="AZ118" s="377">
        <f>IF(AZ119&lt;&gt;"",AZ119,IF(HLOOKUP(AZ105,ENERGIEDRAGERS,ROWS(bibliotheek!$E$259:$E$260),FALSE)=0,$G$5,HLOOKUP(AZ105,ENERGIEDRAGERS,ROWS(bibliotheek!$E$259:$E$261),FALSE)))</f>
        <v>1.45</v>
      </c>
      <c r="BA118" s="377">
        <f>IF(BA119&lt;&gt;"",BA119,
IF(BA$105=elektriciteit,$G$5,
INDEX(energiedragers_primaire_energiefactor,MATCH(BA105,energiedragers_kopregel,0))
*IF(BA113=0,1,
$G$5*INDEX(installaties_TAP_verlies_elek_prod_aftapwarmte,MATCH(BA104,toestellen_TAP_kopregel,0)))))</f>
        <v>1.45</v>
      </c>
      <c r="BB118" s="139"/>
      <c r="BC118" s="139"/>
      <c r="BD118" s="139"/>
      <c r="BE118" s="139"/>
      <c r="BF118" s="139"/>
      <c r="BG118" s="139"/>
      <c r="BH118" s="174"/>
    </row>
    <row r="119" spans="1:60" hidden="1">
      <c r="A119" s="1040"/>
      <c r="B119" s="1109" t="s">
        <v>187</v>
      </c>
      <c r="C119" s="1107" t="s">
        <v>203</v>
      </c>
      <c r="D119" s="641"/>
      <c r="E119" s="346" t="s">
        <v>205</v>
      </c>
      <c r="F119" s="255"/>
      <c r="G119" s="255"/>
      <c r="H119" s="292"/>
      <c r="I119" s="77"/>
      <c r="J119" s="299"/>
      <c r="K119" s="107"/>
      <c r="L119" s="107"/>
      <c r="M119" s="198"/>
      <c r="N119" s="79"/>
      <c r="O119" s="275"/>
      <c r="P119" s="617"/>
      <c r="Q119" s="275"/>
      <c r="R119" s="140"/>
      <c r="S119" s="140"/>
      <c r="T119" s="140"/>
      <c r="U119" s="140"/>
      <c r="V119" s="140"/>
      <c r="W119" s="140"/>
      <c r="X119" s="76"/>
      <c r="Y119" s="198"/>
      <c r="Z119" s="79"/>
      <c r="AA119" s="275"/>
      <c r="AB119" s="617"/>
      <c r="AC119" s="275"/>
      <c r="AD119" s="140"/>
      <c r="AE119" s="140"/>
      <c r="AF119" s="140"/>
      <c r="AG119" s="140"/>
      <c r="AH119" s="140"/>
      <c r="AI119" s="140"/>
      <c r="AJ119" s="76"/>
      <c r="AK119" s="198"/>
      <c r="AL119" s="79"/>
      <c r="AM119" s="275"/>
      <c r="AN119" s="617"/>
      <c r="AO119" s="275"/>
      <c r="AP119" s="140"/>
      <c r="AQ119" s="140"/>
      <c r="AR119" s="140"/>
      <c r="AS119" s="140"/>
      <c r="AT119" s="140"/>
      <c r="AU119" s="140"/>
      <c r="AV119" s="76"/>
      <c r="AW119" s="198"/>
      <c r="AX119" s="79"/>
      <c r="AY119" s="275"/>
      <c r="AZ119" s="617"/>
      <c r="BA119" s="275"/>
      <c r="BB119" s="140"/>
      <c r="BC119" s="140"/>
      <c r="BD119" s="140"/>
      <c r="BE119" s="140"/>
      <c r="BF119" s="140"/>
      <c r="BG119" s="140"/>
      <c r="BH119" s="174"/>
    </row>
    <row r="120" spans="1:60">
      <c r="A120" s="1040"/>
      <c r="B120" s="1109" t="s">
        <v>187</v>
      </c>
      <c r="C120" s="1107" t="s">
        <v>104</v>
      </c>
      <c r="D120" s="641"/>
      <c r="E120" s="291" t="s">
        <v>232</v>
      </c>
      <c r="F120" s="181"/>
      <c r="G120" s="181"/>
      <c r="H120" s="181" t="s">
        <v>106</v>
      </c>
      <c r="I120" s="77"/>
      <c r="J120" s="202">
        <f>M120+Y120+AK120+AW120</f>
        <v>0</v>
      </c>
      <c r="K120" s="1061"/>
      <c r="L120" s="1061"/>
      <c r="M120" s="202">
        <f>SUM(O120:X120)</f>
        <v>0</v>
      </c>
      <c r="N120" s="243"/>
      <c r="O120" s="168">
        <f>O$116*O$118</f>
        <v>0</v>
      </c>
      <c r="P120" s="168">
        <f>P$116*P$118</f>
        <v>0</v>
      </c>
      <c r="Q120" s="168">
        <f>Q$116*Q$118</f>
        <v>0</v>
      </c>
      <c r="R120" s="130"/>
      <c r="S120" s="130"/>
      <c r="T120" s="130"/>
      <c r="U120" s="130"/>
      <c r="V120" s="130"/>
      <c r="W120" s="130"/>
      <c r="X120" s="110"/>
      <c r="Y120" s="202">
        <f>SUM(AA120:AJ120)</f>
        <v>0</v>
      </c>
      <c r="Z120" s="243"/>
      <c r="AA120" s="168">
        <f>AA$116*AA$118</f>
        <v>0</v>
      </c>
      <c r="AB120" s="168">
        <f>AB$116*AB$118</f>
        <v>0</v>
      </c>
      <c r="AC120" s="168">
        <f>AC$116*AC$118</f>
        <v>0</v>
      </c>
      <c r="AD120" s="130"/>
      <c r="AE120" s="130"/>
      <c r="AF120" s="130"/>
      <c r="AG120" s="130"/>
      <c r="AH120" s="130"/>
      <c r="AI120" s="130"/>
      <c r="AJ120" s="110"/>
      <c r="AK120" s="202">
        <f>SUM(AM120:AV120)</f>
        <v>0</v>
      </c>
      <c r="AL120" s="243"/>
      <c r="AM120" s="168">
        <f>AM$116*AM$118</f>
        <v>0</v>
      </c>
      <c r="AN120" s="168">
        <f>AN$116*AN$118</f>
        <v>0</v>
      </c>
      <c r="AO120" s="168">
        <f>AO$116*AO$118</f>
        <v>0</v>
      </c>
      <c r="AP120" s="130"/>
      <c r="AQ120" s="130"/>
      <c r="AR120" s="130"/>
      <c r="AS120" s="130"/>
      <c r="AT120" s="130"/>
      <c r="AU120" s="130"/>
      <c r="AV120" s="110"/>
      <c r="AW120" s="202">
        <f>SUM(AY120:BH120)</f>
        <v>0</v>
      </c>
      <c r="AX120" s="243"/>
      <c r="AY120" s="168">
        <f>AY$116*AY$118</f>
        <v>0</v>
      </c>
      <c r="AZ120" s="168">
        <f>AZ$116*AZ$118</f>
        <v>0</v>
      </c>
      <c r="BA120" s="168">
        <f>BA$116*BA$118</f>
        <v>0</v>
      </c>
      <c r="BB120" s="130"/>
      <c r="BC120" s="130"/>
      <c r="BD120" s="130"/>
      <c r="BE120" s="130"/>
      <c r="BF120" s="130"/>
      <c r="BG120" s="130"/>
      <c r="BH120" s="210"/>
    </row>
    <row r="121" spans="1:60">
      <c r="A121" s="1040"/>
      <c r="B121" s="1109" t="s">
        <v>187</v>
      </c>
      <c r="C121" s="1106" t="s">
        <v>96</v>
      </c>
      <c r="D121" s="641"/>
      <c r="E121" s="940" t="s">
        <v>1200</v>
      </c>
      <c r="F121" s="940"/>
      <c r="G121" s="940"/>
      <c r="H121" s="993"/>
      <c r="I121" s="77"/>
      <c r="J121" s="939"/>
      <c r="K121" s="126"/>
      <c r="L121" s="126"/>
      <c r="M121" s="1025"/>
      <c r="N121" s="143"/>
      <c r="O121" s="1026" t="str">
        <f>O$10</f>
        <v>verwarming</v>
      </c>
      <c r="P121" s="1026" t="str">
        <f>P$10</f>
        <v>koeling</v>
      </c>
      <c r="Q121" s="1026" t="str">
        <f>Q$10</f>
        <v>tapwater</v>
      </c>
      <c r="R121" s="1026"/>
      <c r="S121" s="1026"/>
      <c r="T121" s="1026"/>
      <c r="U121" s="1026"/>
      <c r="V121" s="1026"/>
      <c r="W121" s="1026"/>
      <c r="X121" s="110"/>
      <c r="Y121" s="1025"/>
      <c r="Z121" s="143"/>
      <c r="AA121" s="1026" t="str">
        <f>AA$10</f>
        <v>verwarming</v>
      </c>
      <c r="AB121" s="1026" t="str">
        <f>AB$10</f>
        <v>koeling</v>
      </c>
      <c r="AC121" s="1026" t="str">
        <f>AC$10</f>
        <v>tapwater</v>
      </c>
      <c r="AD121" s="1026"/>
      <c r="AE121" s="1026"/>
      <c r="AF121" s="1026"/>
      <c r="AG121" s="1026"/>
      <c r="AH121" s="1026"/>
      <c r="AI121" s="1026"/>
      <c r="AJ121" s="110"/>
      <c r="AK121" s="1025"/>
      <c r="AL121" s="143"/>
      <c r="AM121" s="1026" t="str">
        <f>AM$10</f>
        <v>verwarming</v>
      </c>
      <c r="AN121" s="1026" t="str">
        <f>AN$10</f>
        <v>koeling</v>
      </c>
      <c r="AO121" s="1026" t="str">
        <f>AO$10</f>
        <v>tapwater</v>
      </c>
      <c r="AP121" s="1026"/>
      <c r="AQ121" s="1026"/>
      <c r="AR121" s="1026"/>
      <c r="AS121" s="1026"/>
      <c r="AT121" s="1026"/>
      <c r="AU121" s="1026"/>
      <c r="AV121" s="110"/>
      <c r="AW121" s="1025"/>
      <c r="AX121" s="143"/>
      <c r="AY121" s="1026" t="str">
        <f>AY$10</f>
        <v>verwarming</v>
      </c>
      <c r="AZ121" s="1026" t="str">
        <f>AZ$10</f>
        <v>koeling</v>
      </c>
      <c r="BA121" s="1026" t="str">
        <f>BA$10</f>
        <v>tapwater</v>
      </c>
      <c r="BB121" s="1026"/>
      <c r="BC121" s="1026"/>
      <c r="BD121" s="1026"/>
      <c r="BE121" s="1026"/>
      <c r="BF121" s="1026"/>
      <c r="BG121" s="1026"/>
      <c r="BH121" s="210"/>
    </row>
    <row r="122" spans="1:60" hidden="1">
      <c r="A122" s="1040"/>
      <c r="B122" s="1109" t="s">
        <v>187</v>
      </c>
      <c r="C122" s="1107" t="s">
        <v>203</v>
      </c>
      <c r="D122" s="641"/>
      <c r="E122" s="1171" t="s">
        <v>1349</v>
      </c>
      <c r="F122" s="254"/>
      <c r="G122" s="254"/>
      <c r="H122" s="1034" t="s">
        <v>1206</v>
      </c>
      <c r="I122" s="77"/>
      <c r="J122" s="189"/>
      <c r="K122" s="107"/>
      <c r="L122" s="107"/>
      <c r="M122" s="190"/>
      <c r="N122" s="114"/>
      <c r="O122" s="228">
        <f>IF(O123&lt;&gt;"",O123,
INDEX(primaire_totale_energiefactor,MATCH(O105,energiedragers_kopregel,0))
*IF(O113=0,1,
$G$5*INDEX(installaties_RV_verlies_elek_prod_aftapwarmte,MATCH(O104,toestellen_RV_kopregel,0))))</f>
        <v>1.35</v>
      </c>
      <c r="P122" s="228">
        <f>IF(P123&lt;&gt;"",P123,
IF(HLOOKUP(P105,ENERGIEDRAGERS,ROWS(bibliotheek!$E$259:$E$262),FALSE)=0,$G$5,
HLOOKUP(P105,ENERGIEDRAGERS,ROWS(bibliotheek!$E$259:$E$262),FALSE)))</f>
        <v>1.45</v>
      </c>
      <c r="Q122" s="228">
        <f>IF(Q123&lt;&gt;"",Q123,
INDEX(primaire_totale_energiefactor,MATCH(Q105,energiedragers_kopregel,0))
*IF(Q113=0,1,
$G$5*INDEX(installaties_RV_verlies_elek_prod_aftapwarmte,MATCH(Q104,toestellen_RV_kopregel,0))))</f>
        <v>1.35</v>
      </c>
      <c r="R122" s="625"/>
      <c r="S122" s="625"/>
      <c r="T122" s="625"/>
      <c r="U122" s="625"/>
      <c r="V122" s="625"/>
      <c r="W122" s="625"/>
      <c r="X122" s="110"/>
      <c r="Y122" s="202"/>
      <c r="Z122" s="89"/>
      <c r="AA122" s="228">
        <f>IF(AA123&lt;&gt;"",AA123,
INDEX(primaire_totale_energiefactor,MATCH(AA105,energiedragers_kopregel,0))
*IF(AA113=0,1,
$G$5*INDEX(installaties_RV_verlies_elek_prod_aftapwarmte,MATCH(AA104,toestellen_RV_kopregel,0))))</f>
        <v>1.35</v>
      </c>
      <c r="AB122" s="228">
        <f>IF(AB123&lt;&gt;"",AB123,
IF(HLOOKUP(AB105,ENERGIEDRAGERS,ROWS(bibliotheek!$E$259:$E$262),FALSE)=0,$G$5,
HLOOKUP(AB105,ENERGIEDRAGERS,ROWS(bibliotheek!$E$259:$E$262),FALSE)))</f>
        <v>1.45</v>
      </c>
      <c r="AC122" s="228">
        <f>IF(AC123&lt;&gt;"",AC123,
INDEX(primaire_totale_energiefactor,MATCH(AC105,energiedragers_kopregel,0))
*IF(AC113=0,1,
$G$5*INDEX(installaties_RV_verlies_elek_prod_aftapwarmte,MATCH(AC104,toestellen_RV_kopregel,0))))</f>
        <v>1.35</v>
      </c>
      <c r="AD122" s="130"/>
      <c r="AE122" s="130"/>
      <c r="AF122" s="130"/>
      <c r="AG122" s="130"/>
      <c r="AH122" s="130"/>
      <c r="AI122" s="130"/>
      <c r="AJ122" s="110"/>
      <c r="AK122" s="202"/>
      <c r="AL122" s="89"/>
      <c r="AM122" s="228">
        <f>IF(AM123&lt;&gt;"",AM123,
INDEX(primaire_totale_energiefactor,MATCH(AM105,energiedragers_kopregel,0))
*IF(AM113=0,1,
$G$5*INDEX(installaties_RV_verlies_elek_prod_aftapwarmte,MATCH(AM104,toestellen_RV_kopregel,0))))</f>
        <v>1.35</v>
      </c>
      <c r="AN122" s="228">
        <f>IF(AN123&lt;&gt;"",AN123,
IF(HLOOKUP(AN105,ENERGIEDRAGERS,ROWS(bibliotheek!$E$259:$E$262),FALSE)=0,$G$5,
HLOOKUP(AN105,ENERGIEDRAGERS,ROWS(bibliotheek!$E$259:$E$262),FALSE)))</f>
        <v>1.45</v>
      </c>
      <c r="AO122" s="228">
        <f>IF(AO123&lt;&gt;"",AO123,
INDEX(primaire_totale_energiefactor,MATCH(AO105,energiedragers_kopregel,0))
*IF(AO113=0,1,
$G$5*INDEX(installaties_RV_verlies_elek_prod_aftapwarmte,MATCH(AO104,toestellen_RV_kopregel,0))))</f>
        <v>1.35</v>
      </c>
      <c r="AP122" s="130"/>
      <c r="AQ122" s="130"/>
      <c r="AR122" s="130"/>
      <c r="AS122" s="130"/>
      <c r="AT122" s="130"/>
      <c r="AU122" s="130"/>
      <c r="AV122" s="110"/>
      <c r="AW122" s="202"/>
      <c r="AX122" s="89"/>
      <c r="AY122" s="228">
        <f>IF(AY123&lt;&gt;"",AY123,
INDEX(primaire_totale_energiefactor,MATCH(AY105,energiedragers_kopregel,0))
*IF(AY113=0,1,
$G$5*INDEX(installaties_RV_verlies_elek_prod_aftapwarmte,MATCH(AY104,toestellen_RV_kopregel,0))))</f>
        <v>1.35</v>
      </c>
      <c r="AZ122" s="228">
        <f>IF(AZ123&lt;&gt;"",AZ123,
IF(HLOOKUP(AZ105,ENERGIEDRAGERS,ROWS(bibliotheek!$E$259:$E$262),FALSE)=0,$G$5,
HLOOKUP(AZ105,ENERGIEDRAGERS,ROWS(bibliotheek!$E$259:$E$262),FALSE)))</f>
        <v>1.45</v>
      </c>
      <c r="BA122" s="228">
        <f>IF(BA123&lt;&gt;"",BA123,
INDEX(primaire_totale_energiefactor,MATCH(BA105,energiedragers_kopregel,0))
*IF(BA113=0,1,
$G$5*INDEX(installaties_RV_verlies_elek_prod_aftapwarmte,MATCH(BA104,toestellen_RV_kopregel,0))))</f>
        <v>1.35</v>
      </c>
      <c r="BB122" s="130"/>
      <c r="BC122" s="130"/>
      <c r="BD122" s="130"/>
      <c r="BE122" s="130"/>
      <c r="BF122" s="130"/>
      <c r="BG122" s="130"/>
      <c r="BH122" s="210"/>
    </row>
    <row r="123" spans="1:60" hidden="1">
      <c r="A123" s="1040"/>
      <c r="B123" s="1109" t="s">
        <v>187</v>
      </c>
      <c r="C123" s="1107" t="s">
        <v>203</v>
      </c>
      <c r="D123" s="641"/>
      <c r="E123" s="346" t="s">
        <v>205</v>
      </c>
      <c r="F123" s="255"/>
      <c r="G123" s="255"/>
      <c r="H123" s="292"/>
      <c r="I123" s="77"/>
      <c r="J123" s="299"/>
      <c r="K123" s="107"/>
      <c r="L123" s="107"/>
      <c r="M123" s="190"/>
      <c r="N123" s="114"/>
      <c r="O123" s="1029"/>
      <c r="P123" s="1030"/>
      <c r="Q123" s="1029"/>
      <c r="R123" s="131"/>
      <c r="S123" s="131"/>
      <c r="T123" s="131"/>
      <c r="U123" s="131"/>
      <c r="V123" s="131"/>
      <c r="W123" s="131"/>
      <c r="X123" s="110"/>
      <c r="Y123" s="202"/>
      <c r="Z123" s="89"/>
      <c r="AA123" s="1029"/>
      <c r="AB123" s="1030"/>
      <c r="AC123" s="1029"/>
      <c r="AD123" s="130"/>
      <c r="AE123" s="130"/>
      <c r="AF123" s="130"/>
      <c r="AG123" s="130"/>
      <c r="AH123" s="130"/>
      <c r="AI123" s="130"/>
      <c r="AJ123" s="110"/>
      <c r="AK123" s="202"/>
      <c r="AL123" s="89"/>
      <c r="AM123" s="1029"/>
      <c r="AN123" s="1030"/>
      <c r="AO123" s="1029"/>
      <c r="AP123" s="130"/>
      <c r="AQ123" s="130"/>
      <c r="AR123" s="130"/>
      <c r="AS123" s="130"/>
      <c r="AT123" s="130"/>
      <c r="AU123" s="130"/>
      <c r="AV123" s="110"/>
      <c r="AW123" s="202"/>
      <c r="AX123" s="89"/>
      <c r="AY123" s="1029"/>
      <c r="AZ123" s="1030"/>
      <c r="BA123" s="1029"/>
      <c r="BB123" s="130"/>
      <c r="BC123" s="130"/>
      <c r="BD123" s="130"/>
      <c r="BE123" s="130"/>
      <c r="BF123" s="130"/>
      <c r="BG123" s="130"/>
      <c r="BH123" s="210"/>
    </row>
    <row r="124" spans="1:60" hidden="1">
      <c r="A124" s="1040"/>
      <c r="B124" s="1109" t="s">
        <v>187</v>
      </c>
      <c r="C124" s="1107" t="s">
        <v>203</v>
      </c>
      <c r="D124" s="641"/>
      <c r="E124" s="291" t="s">
        <v>1314</v>
      </c>
      <c r="F124" s="595"/>
      <c r="G124" s="595"/>
      <c r="H124" s="1013" t="s">
        <v>65</v>
      </c>
      <c r="I124" s="77"/>
      <c r="J124" s="1015"/>
      <c r="K124" s="107"/>
      <c r="L124" s="107"/>
      <c r="M124" s="190"/>
      <c r="N124" s="114"/>
      <c r="O124" s="228">
        <f>IF(O125&lt;&gt;"",O125,
INDEX(weegfactor_primaire_totale_energiefactor,MATCH(O105,energiedragers_kopregel,0))
*IF(O113=0,1,
$G$5*INDEX(installaties_RV_verlies_elek_prod_aftapwarmte,MATCH(O104,toestellen_RV_kopregel,0))))</f>
        <v>1</v>
      </c>
      <c r="P124" s="228">
        <f>IF(P125&lt;&gt;"",P125,
IF(HLOOKUP(P105,ENERGIEDRAGERS,ROWS(bibliotheek!$E$259:$E$263),FALSE)=0,$G$5,
HLOOKUP(P105,ENERGIEDRAGERS,ROWS(bibliotheek!$E$259:$E$263),FALSE)))</f>
        <v>1.45</v>
      </c>
      <c r="Q124" s="228">
        <f>IF(Q125&lt;&gt;"",Q125,
INDEX(weegfactor_primaire_totale_energiefactor,MATCH(Q105,energiedragers_kopregel,0))
*IF(Q113=0,1,
$G$5*INDEX(installaties_RV_verlies_elek_prod_aftapwarmte,MATCH(Q104,toestellen_RV_kopregel,0))))</f>
        <v>1</v>
      </c>
      <c r="R124" s="625"/>
      <c r="S124" s="625"/>
      <c r="T124" s="625"/>
      <c r="U124" s="625"/>
      <c r="V124" s="625"/>
      <c r="W124" s="625"/>
      <c r="X124" s="110"/>
      <c r="Y124" s="202"/>
      <c r="Z124" s="89"/>
      <c r="AA124" s="228">
        <f>IF(AA125&lt;&gt;"",AA125,
INDEX(weegfactor_primaire_totale_energiefactor,MATCH(AA105,energiedragers_kopregel,0))
*IF(AA113=0,1,
$G$5*INDEX(installaties_RV_verlies_elek_prod_aftapwarmte,MATCH(AA104,toestellen_RV_kopregel,0))))</f>
        <v>1</v>
      </c>
      <c r="AB124" s="228">
        <f>IF(AB125&lt;&gt;"",AB125,
IF(HLOOKUP(AB105,ENERGIEDRAGERS,ROWS(bibliotheek!$E$259:$E$263),FALSE)=0,$G$5,
HLOOKUP(AB105,ENERGIEDRAGERS,ROWS(bibliotheek!$E$259:$E$263),FALSE)))</f>
        <v>1.45</v>
      </c>
      <c r="AC124" s="228">
        <f>IF(AC125&lt;&gt;"",AC125,
INDEX(weegfactor_primaire_totale_energiefactor,MATCH(AC105,energiedragers_kopregel,0))
*IF(AC113=0,1,
$G$5*INDEX(installaties_RV_verlies_elek_prod_aftapwarmte,MATCH(AC104,toestellen_RV_kopregel,0))))</f>
        <v>1</v>
      </c>
      <c r="AD124" s="130"/>
      <c r="AE124" s="130"/>
      <c r="AF124" s="130"/>
      <c r="AG124" s="130"/>
      <c r="AH124" s="130"/>
      <c r="AI124" s="130"/>
      <c r="AJ124" s="110"/>
      <c r="AK124" s="202"/>
      <c r="AL124" s="89"/>
      <c r="AM124" s="228">
        <f>IF(AM125&lt;&gt;"",AM125,
INDEX(weegfactor_primaire_totale_energiefactor,MATCH(AM105,energiedragers_kopregel,0))
*IF(AM113=0,1,
$G$5*INDEX(installaties_RV_verlies_elek_prod_aftapwarmte,MATCH(AM104,toestellen_RV_kopregel,0))))</f>
        <v>1</v>
      </c>
      <c r="AN124" s="228">
        <f>IF(AN125&lt;&gt;"",AN125,
IF(HLOOKUP(AN105,ENERGIEDRAGERS,ROWS(bibliotheek!$E$259:$E$263),FALSE)=0,$G$5,
HLOOKUP(AN105,ENERGIEDRAGERS,ROWS(bibliotheek!$E$259:$E$263),FALSE)))</f>
        <v>1.45</v>
      </c>
      <c r="AO124" s="228">
        <f>IF(AO125&lt;&gt;"",AO125,
INDEX(weegfactor_primaire_totale_energiefactor,MATCH(AO105,energiedragers_kopregel,0))
*IF(AO113=0,1,
$G$5*INDEX(installaties_RV_verlies_elek_prod_aftapwarmte,MATCH(AO104,toestellen_RV_kopregel,0))))</f>
        <v>1</v>
      </c>
      <c r="AP124" s="130"/>
      <c r="AQ124" s="130"/>
      <c r="AR124" s="130"/>
      <c r="AS124" s="130"/>
      <c r="AT124" s="130"/>
      <c r="AU124" s="130"/>
      <c r="AV124" s="110"/>
      <c r="AW124" s="202"/>
      <c r="AX124" s="89"/>
      <c r="AY124" s="228">
        <f>IF(AY125&lt;&gt;"",AY125,
INDEX(weegfactor_primaire_totale_energiefactor,MATCH(AY105,energiedragers_kopregel,0))
*IF(AY113=0,1,
$G$5*INDEX(installaties_RV_verlies_elek_prod_aftapwarmte,MATCH(AY104,toestellen_RV_kopregel,0))))</f>
        <v>1</v>
      </c>
      <c r="AZ124" s="228">
        <f>IF(AZ125&lt;&gt;"",AZ125,
IF(HLOOKUP(AZ105,ENERGIEDRAGERS,ROWS(bibliotheek!$E$259:$E$263),FALSE)=0,$G$5,
HLOOKUP(AZ105,ENERGIEDRAGERS,ROWS(bibliotheek!$E$259:$E$263),FALSE)))</f>
        <v>1.45</v>
      </c>
      <c r="BA124" s="228">
        <f>IF(BA125&lt;&gt;"",BA125,
INDEX(weegfactor_primaire_totale_energiefactor,MATCH(BA105,energiedragers_kopregel,0))
*IF(BA113=0,1,
$G$5*INDEX(installaties_RV_verlies_elek_prod_aftapwarmte,MATCH(BA104,toestellen_RV_kopregel,0))))</f>
        <v>1</v>
      </c>
      <c r="BB124" s="130"/>
      <c r="BC124" s="130"/>
      <c r="BD124" s="130"/>
      <c r="BE124" s="130"/>
      <c r="BF124" s="130"/>
      <c r="BG124" s="130"/>
      <c r="BH124" s="210"/>
    </row>
    <row r="125" spans="1:60" hidden="1">
      <c r="A125" s="1040"/>
      <c r="B125" s="1109" t="s">
        <v>187</v>
      </c>
      <c r="C125" s="1107" t="s">
        <v>203</v>
      </c>
      <c r="D125" s="641"/>
      <c r="E125" s="346" t="s">
        <v>205</v>
      </c>
      <c r="F125" s="255"/>
      <c r="G125" s="255"/>
      <c r="H125" s="292"/>
      <c r="I125" s="77"/>
      <c r="J125" s="299"/>
      <c r="K125" s="107"/>
      <c r="L125" s="107"/>
      <c r="M125" s="190"/>
      <c r="N125" s="114"/>
      <c r="O125" s="1029"/>
      <c r="P125" s="1030"/>
      <c r="Q125" s="1029"/>
      <c r="R125" s="131"/>
      <c r="S125" s="131"/>
      <c r="T125" s="131"/>
      <c r="U125" s="131"/>
      <c r="V125" s="131"/>
      <c r="W125" s="131"/>
      <c r="X125" s="110"/>
      <c r="Y125" s="202"/>
      <c r="Z125" s="89"/>
      <c r="AA125" s="1029"/>
      <c r="AB125" s="1030"/>
      <c r="AC125" s="1029"/>
      <c r="AD125" s="130"/>
      <c r="AE125" s="130"/>
      <c r="AF125" s="130"/>
      <c r="AG125" s="130"/>
      <c r="AH125" s="130"/>
      <c r="AI125" s="130"/>
      <c r="AJ125" s="110"/>
      <c r="AK125" s="202"/>
      <c r="AL125" s="89"/>
      <c r="AM125" s="1029"/>
      <c r="AN125" s="1030"/>
      <c r="AO125" s="1029"/>
      <c r="AP125" s="130"/>
      <c r="AQ125" s="130"/>
      <c r="AR125" s="130"/>
      <c r="AS125" s="130"/>
      <c r="AT125" s="130"/>
      <c r="AU125" s="130"/>
      <c r="AV125" s="110"/>
      <c r="AW125" s="202"/>
      <c r="AX125" s="89"/>
      <c r="AY125" s="1029"/>
      <c r="AZ125" s="1030"/>
      <c r="BA125" s="1029"/>
      <c r="BB125" s="130"/>
      <c r="BC125" s="130"/>
      <c r="BD125" s="130"/>
      <c r="BE125" s="130"/>
      <c r="BF125" s="130"/>
      <c r="BG125" s="130"/>
      <c r="BH125" s="210"/>
    </row>
    <row r="126" spans="1:60">
      <c r="A126" s="1040"/>
      <c r="B126" s="1109" t="s">
        <v>187</v>
      </c>
      <c r="C126" s="1107" t="s">
        <v>104</v>
      </c>
      <c r="D126" s="641"/>
      <c r="E126" s="291" t="s">
        <v>232</v>
      </c>
      <c r="F126" s="181"/>
      <c r="G126" s="181"/>
      <c r="H126" s="181" t="s">
        <v>106</v>
      </c>
      <c r="I126" s="77"/>
      <c r="J126" s="202">
        <f>M126+Y126+AK126+AW126</f>
        <v>0</v>
      </c>
      <c r="K126" s="1061"/>
      <c r="L126" s="1061"/>
      <c r="M126" s="202">
        <f>SUM(O126:X126)</f>
        <v>0</v>
      </c>
      <c r="N126" s="89"/>
      <c r="O126" s="168">
        <f>O$116*O$122*O124</f>
        <v>0</v>
      </c>
      <c r="P126" s="168">
        <f>P$116*P$122*P124</f>
        <v>0</v>
      </c>
      <c r="Q126" s="168">
        <f>Q$116*Q$122*Q124</f>
        <v>0</v>
      </c>
      <c r="R126" s="130"/>
      <c r="S126" s="130"/>
      <c r="T126" s="130"/>
      <c r="U126" s="130"/>
      <c r="V126" s="130"/>
      <c r="W126" s="130"/>
      <c r="X126" s="110"/>
      <c r="Y126" s="202">
        <f>SUM(AA126:AJ126)</f>
        <v>0</v>
      </c>
      <c r="Z126" s="89"/>
      <c r="AA126" s="168">
        <f>AA$116*AA$122*AA124</f>
        <v>0</v>
      </c>
      <c r="AB126" s="168">
        <f>AB$116*AB$122*AB124</f>
        <v>0</v>
      </c>
      <c r="AC126" s="168">
        <f>AC$116*AC$122*AC124</f>
        <v>0</v>
      </c>
      <c r="AD126" s="130"/>
      <c r="AE126" s="130"/>
      <c r="AF126" s="130"/>
      <c r="AG126" s="130"/>
      <c r="AH126" s="130"/>
      <c r="AI126" s="130"/>
      <c r="AJ126" s="110"/>
      <c r="AK126" s="202">
        <f>SUM(AM126:AV126)</f>
        <v>0</v>
      </c>
      <c r="AL126" s="89"/>
      <c r="AM126" s="168">
        <f>AM$116*AM$122*AM124</f>
        <v>0</v>
      </c>
      <c r="AN126" s="168">
        <f>AN$116*AN$122*AN124</f>
        <v>0</v>
      </c>
      <c r="AO126" s="168">
        <f>AO$116*AO$122*AO124</f>
        <v>0</v>
      </c>
      <c r="AP126" s="130"/>
      <c r="AQ126" s="130"/>
      <c r="AR126" s="130"/>
      <c r="AS126" s="130"/>
      <c r="AT126" s="130"/>
      <c r="AU126" s="130"/>
      <c r="AV126" s="110"/>
      <c r="AW126" s="202">
        <f>SUM(AY126:BH126)</f>
        <v>0</v>
      </c>
      <c r="AX126" s="89"/>
      <c r="AY126" s="168">
        <f>AY$116*AY$122*AY124</f>
        <v>0</v>
      </c>
      <c r="AZ126" s="168">
        <f>AZ$116*AZ$122*AZ124</f>
        <v>0</v>
      </c>
      <c r="BA126" s="168">
        <f>BA$116*BA$122*BA124</f>
        <v>0</v>
      </c>
      <c r="BB126" s="130"/>
      <c r="BC126" s="130"/>
      <c r="BD126" s="130"/>
      <c r="BE126" s="130"/>
      <c r="BF126" s="130"/>
      <c r="BG126" s="130"/>
      <c r="BH126" s="210"/>
    </row>
    <row r="127" spans="1:60">
      <c r="A127" s="1040"/>
      <c r="B127" s="1109" t="s">
        <v>187</v>
      </c>
      <c r="C127" s="1106" t="s">
        <v>96</v>
      </c>
      <c r="D127" s="641"/>
      <c r="E127" s="940" t="s">
        <v>107</v>
      </c>
      <c r="F127" s="940"/>
      <c r="G127" s="940"/>
      <c r="H127" s="940"/>
      <c r="I127" s="77"/>
      <c r="J127" s="939"/>
      <c r="K127" s="126"/>
      <c r="L127" s="126"/>
      <c r="M127" s="1027"/>
      <c r="N127" s="143"/>
      <c r="O127" s="1028" t="str">
        <f>O$10</f>
        <v>verwarming</v>
      </c>
      <c r="P127" s="1028" t="str">
        <f>P$10</f>
        <v>koeling</v>
      </c>
      <c r="Q127" s="1028" t="str">
        <f>Q$10</f>
        <v>tapwater</v>
      </c>
      <c r="R127" s="1028"/>
      <c r="S127" s="1028"/>
      <c r="T127" s="1028"/>
      <c r="U127" s="1028"/>
      <c r="V127" s="1028"/>
      <c r="W127" s="1028"/>
      <c r="X127" s="144"/>
      <c r="Y127" s="1027"/>
      <c r="Z127" s="143"/>
      <c r="AA127" s="1028" t="str">
        <f>AA$10</f>
        <v>verwarming</v>
      </c>
      <c r="AB127" s="1028" t="str">
        <f>AB$10</f>
        <v>koeling</v>
      </c>
      <c r="AC127" s="1028" t="str">
        <f>AC$10</f>
        <v>tapwater</v>
      </c>
      <c r="AD127" s="1028"/>
      <c r="AE127" s="1028"/>
      <c r="AF127" s="1028"/>
      <c r="AG127" s="1028"/>
      <c r="AH127" s="1028"/>
      <c r="AI127" s="1028"/>
      <c r="AJ127" s="144"/>
      <c r="AK127" s="1027"/>
      <c r="AL127" s="143"/>
      <c r="AM127" s="1028" t="str">
        <f>AM$10</f>
        <v>verwarming</v>
      </c>
      <c r="AN127" s="1028" t="str">
        <f>AN$10</f>
        <v>koeling</v>
      </c>
      <c r="AO127" s="1028" t="str">
        <f>AO$10</f>
        <v>tapwater</v>
      </c>
      <c r="AP127" s="1028"/>
      <c r="AQ127" s="1028"/>
      <c r="AR127" s="1028"/>
      <c r="AS127" s="1028"/>
      <c r="AT127" s="1028"/>
      <c r="AU127" s="1028"/>
      <c r="AV127" s="144"/>
      <c r="AW127" s="1027"/>
      <c r="AX127" s="143"/>
      <c r="AY127" s="1028" t="str">
        <f>AY$10</f>
        <v>verwarming</v>
      </c>
      <c r="AZ127" s="1028" t="str">
        <f>AZ$10</f>
        <v>koeling</v>
      </c>
      <c r="BA127" s="1028" t="str">
        <f>BA$10</f>
        <v>tapwater</v>
      </c>
      <c r="BB127" s="1028"/>
      <c r="BC127" s="1028"/>
      <c r="BD127" s="1028"/>
      <c r="BE127" s="1028"/>
      <c r="BF127" s="1028"/>
      <c r="BG127" s="1028"/>
      <c r="BH127" s="218"/>
    </row>
    <row r="128" spans="1:60" hidden="1">
      <c r="A128" s="1040"/>
      <c r="B128" s="1109" t="s">
        <v>187</v>
      </c>
      <c r="C128" s="1107" t="s">
        <v>203</v>
      </c>
      <c r="D128" s="641" t="s">
        <v>45</v>
      </c>
      <c r="E128" s="293" t="s">
        <v>206</v>
      </c>
      <c r="F128" s="254"/>
      <c r="G128" s="254"/>
      <c r="H128" s="291" t="s">
        <v>207</v>
      </c>
      <c r="I128" s="77"/>
      <c r="J128" s="189"/>
      <c r="K128" s="107"/>
      <c r="L128" s="107"/>
      <c r="M128" s="189"/>
      <c r="N128" s="79"/>
      <c r="O128" s="377">
        <f>IF(O129&lt;&gt;"",O129,
IF(O$105=elektriciteit,$H$5,
INDEX(energiedragers_CO2_emissiefactor,MATCH(O105,energiedragers_kopregel,0))
*IF(O113=0,1,
$G$5*INDEX(installaties_RV_verlies_elek_prod_aftapwarmte,MATCH(O104,toestellen_RV_kopregel,0)))))</f>
        <v>0.26800000000000002</v>
      </c>
      <c r="P128" s="377">
        <f>IF(P129&lt;&gt;"",P129,
IF(P105=elektriciteit,$H$5,
HLOOKUP(P105,ENERGIEDRAGERS,ROWS(bibliotheek!$E$259:$E$264),FALSE)))</f>
        <v>0</v>
      </c>
      <c r="Q128" s="377">
        <f>IF(Q119&lt;&gt;"",Q119,
IF(Q$105=elektriciteit,$H$5,
INDEX(energiedragers_CO2_emissiefactor,MATCH(Q105,energiedragers_kopregel,0))
*IF(Q113=0,1,
$G$5*INDEX(installaties_TAP_verlies_elek_prod_aftapwarmte,MATCH(Q104,toestellen_TAP_kopregel,0)))))</f>
        <v>0.26800000000000002</v>
      </c>
      <c r="R128" s="141"/>
      <c r="S128" s="141"/>
      <c r="T128" s="141"/>
      <c r="U128" s="141"/>
      <c r="V128" s="141"/>
      <c r="W128" s="141"/>
      <c r="X128" s="348"/>
      <c r="Y128" s="189"/>
      <c r="Z128" s="79"/>
      <c r="AA128" s="377">
        <f>IF(AA129&lt;&gt;"",AA129,
IF(AA$105=elektriciteit,$H$5,
INDEX(energiedragers_CO2_emissiefactor,MATCH(AA105,energiedragers_kopregel,0))
*IF(AA113=0,1,
$G$5*INDEX(installaties_RV_verlies_elek_prod_aftapwarmte,MATCH(AA104,toestellen_RV_kopregel,0)))))</f>
        <v>0.26800000000000002</v>
      </c>
      <c r="AB128" s="377">
        <f>IF(AB129&lt;&gt;"",AB129,
IF(AB105=elektriciteit,$H$5,
HLOOKUP(AB105,ENERGIEDRAGERS,ROWS(bibliotheek!$E$259:$E$264),FALSE)))</f>
        <v>0</v>
      </c>
      <c r="AC128" s="377">
        <f>IF(AC119&lt;&gt;"",AC119,
IF(AC$105=elektriciteit,$H$5,
INDEX(energiedragers_CO2_emissiefactor,MATCH(AC105,energiedragers_kopregel,0))
*IF(AC113=0,1,
$G$5*INDEX(installaties_TAP_verlies_elek_prod_aftapwarmte,MATCH(AC104,toestellen_TAP_kopregel,0)))))</f>
        <v>0.26800000000000002</v>
      </c>
      <c r="AD128" s="141"/>
      <c r="AE128" s="141"/>
      <c r="AF128" s="141"/>
      <c r="AG128" s="141"/>
      <c r="AH128" s="141"/>
      <c r="AI128" s="141"/>
      <c r="AJ128" s="348"/>
      <c r="AK128" s="189"/>
      <c r="AL128" s="79"/>
      <c r="AM128" s="377">
        <f>IF(AM129&lt;&gt;"",AM129,
IF(AM$105=elektriciteit,$H$5,
INDEX(energiedragers_CO2_emissiefactor,MATCH(AM105,energiedragers_kopregel,0))
*IF(AM113=0,1,
$G$5*INDEX(installaties_RV_verlies_elek_prod_aftapwarmte,MATCH(AM104,toestellen_RV_kopregel,0)))))</f>
        <v>0.26800000000000002</v>
      </c>
      <c r="AN128" s="377">
        <f>IF(AN129&lt;&gt;"",AN129,
IF(AN105=elektriciteit,$H$5,
HLOOKUP(AN105,ENERGIEDRAGERS,ROWS(bibliotheek!$E$259:$E$264),FALSE)))</f>
        <v>0</v>
      </c>
      <c r="AO128" s="377">
        <f>IF(AO119&lt;&gt;"",AO119,
IF(AO$105=elektriciteit,$H$5,
INDEX(energiedragers_CO2_emissiefactor,MATCH(AO105,energiedragers_kopregel,0))
*IF(AO113=0,1,
$G$5*INDEX(installaties_TAP_verlies_elek_prod_aftapwarmte,MATCH(AO104,toestellen_TAP_kopregel,0)))))</f>
        <v>0.26800000000000002</v>
      </c>
      <c r="AP128" s="141"/>
      <c r="AQ128" s="141"/>
      <c r="AR128" s="141"/>
      <c r="AS128" s="141"/>
      <c r="AT128" s="141"/>
      <c r="AU128" s="141"/>
      <c r="AV128" s="348"/>
      <c r="AW128" s="189"/>
      <c r="AX128" s="79"/>
      <c r="AY128" s="377">
        <f>IF(AY129&lt;&gt;"",AY129,
IF(AY$105=elektriciteit,$H$5,
INDEX(energiedragers_CO2_emissiefactor,MATCH(AY105,energiedragers_kopregel,0))
*IF(AY113=0,1,
$G$5*INDEX(installaties_RV_verlies_elek_prod_aftapwarmte,MATCH(AY104,toestellen_RV_kopregel,0)))))</f>
        <v>0.26800000000000002</v>
      </c>
      <c r="AZ128" s="377">
        <f>IF(AZ129&lt;&gt;"",AZ129,
IF(AZ105=elektriciteit,$H$5,
HLOOKUP(AZ105,ENERGIEDRAGERS,ROWS(bibliotheek!$E$259:$E$264),FALSE)))</f>
        <v>0</v>
      </c>
      <c r="BA128" s="377">
        <f>IF(BA119&lt;&gt;"",BA119,
IF(BA$105=elektriciteit,$H$5,
INDEX(energiedragers_CO2_emissiefactor,MATCH(BA105,energiedragers_kopregel,0))
*IF(BA113=0,1,
$G$5*INDEX(installaties_TAP_verlies_elek_prod_aftapwarmte,MATCH(BA104,toestellen_TAP_kopregel,0)))))</f>
        <v>0.26800000000000002</v>
      </c>
      <c r="BB128" s="141"/>
      <c r="BC128" s="141"/>
      <c r="BD128" s="141"/>
      <c r="BE128" s="141"/>
      <c r="BF128" s="141"/>
      <c r="BG128" s="141"/>
      <c r="BH128" s="174"/>
    </row>
    <row r="129" spans="1:60" hidden="1">
      <c r="A129" s="1040"/>
      <c r="B129" s="1109" t="s">
        <v>187</v>
      </c>
      <c r="C129" s="1107" t="s">
        <v>203</v>
      </c>
      <c r="D129" s="638"/>
      <c r="E129" s="346" t="s">
        <v>208</v>
      </c>
      <c r="F129" s="292"/>
      <c r="G129" s="292"/>
      <c r="H129" s="292"/>
      <c r="I129" s="77"/>
      <c r="J129" s="299"/>
      <c r="K129" s="107"/>
      <c r="L129" s="107"/>
      <c r="M129" s="198"/>
      <c r="N129" s="79"/>
      <c r="O129" s="275"/>
      <c r="P129" s="354"/>
      <c r="Q129" s="354"/>
      <c r="R129" s="414"/>
      <c r="S129" s="414"/>
      <c r="T129" s="414"/>
      <c r="U129" s="414"/>
      <c r="V129" s="414"/>
      <c r="W129" s="414"/>
      <c r="X129" s="380"/>
      <c r="Y129" s="198"/>
      <c r="Z129" s="79"/>
      <c r="AA129" s="354"/>
      <c r="AB129" s="354"/>
      <c r="AC129" s="354"/>
      <c r="AD129" s="414"/>
      <c r="AE129" s="414"/>
      <c r="AF129" s="414"/>
      <c r="AG129" s="414"/>
      <c r="AH129" s="414"/>
      <c r="AI129" s="414"/>
      <c r="AJ129" s="380"/>
      <c r="AK129" s="198"/>
      <c r="AL129" s="79"/>
      <c r="AM129" s="354"/>
      <c r="AN129" s="354"/>
      <c r="AO129" s="354"/>
      <c r="AP129" s="414"/>
      <c r="AQ129" s="414"/>
      <c r="AR129" s="414"/>
      <c r="AS129" s="414"/>
      <c r="AT129" s="414"/>
      <c r="AU129" s="414"/>
      <c r="AV129" s="380"/>
      <c r="AW129" s="198"/>
      <c r="AX129" s="79"/>
      <c r="AY129" s="354"/>
      <c r="AZ129" s="354"/>
      <c r="BA129" s="354"/>
      <c r="BB129" s="414"/>
      <c r="BC129" s="414"/>
      <c r="BD129" s="414"/>
      <c r="BE129" s="414"/>
      <c r="BF129" s="414"/>
      <c r="BG129" s="414"/>
      <c r="BH129" s="174"/>
    </row>
    <row r="130" spans="1:60">
      <c r="A130" s="1040"/>
      <c r="B130" s="1109" t="s">
        <v>187</v>
      </c>
      <c r="C130" s="1107" t="s">
        <v>104</v>
      </c>
      <c r="D130" s="638"/>
      <c r="E130" s="181" t="s">
        <v>107</v>
      </c>
      <c r="F130" s="181"/>
      <c r="G130" s="181"/>
      <c r="H130" s="181" t="s">
        <v>209</v>
      </c>
      <c r="I130" s="77"/>
      <c r="J130" s="202">
        <f>M130+Y130+AK130+AW130</f>
        <v>0</v>
      </c>
      <c r="K130" s="1061"/>
      <c r="L130" s="1061"/>
      <c r="M130" s="202">
        <f>SUM(O130:X130)</f>
        <v>0</v>
      </c>
      <c r="N130" s="243"/>
      <c r="O130" s="168">
        <f>O$116*O$128</f>
        <v>0</v>
      </c>
      <c r="P130" s="168">
        <f>P$116*P$128</f>
        <v>0</v>
      </c>
      <c r="Q130" s="168">
        <f>Q$116*Q$128</f>
        <v>0</v>
      </c>
      <c r="R130" s="130"/>
      <c r="S130" s="130"/>
      <c r="T130" s="130"/>
      <c r="U130" s="130"/>
      <c r="V130" s="130"/>
      <c r="W130" s="130"/>
      <c r="X130" s="110"/>
      <c r="Y130" s="202">
        <f>SUM(AA130:AJ130)</f>
        <v>0</v>
      </c>
      <c r="Z130" s="243"/>
      <c r="AA130" s="168">
        <f>AA$116*AA$128</f>
        <v>0</v>
      </c>
      <c r="AB130" s="168">
        <f>AB$116*AB$128</f>
        <v>0</v>
      </c>
      <c r="AC130" s="168">
        <f>AC$116*AC$128</f>
        <v>0</v>
      </c>
      <c r="AD130" s="130"/>
      <c r="AE130" s="130"/>
      <c r="AF130" s="130"/>
      <c r="AG130" s="130"/>
      <c r="AH130" s="130"/>
      <c r="AI130" s="130"/>
      <c r="AJ130" s="110"/>
      <c r="AK130" s="202">
        <f>SUM(AM130:AV130)</f>
        <v>0</v>
      </c>
      <c r="AL130" s="243"/>
      <c r="AM130" s="168">
        <f>AM$116*AM$128</f>
        <v>0</v>
      </c>
      <c r="AN130" s="168">
        <f>AN$116*AN$128</f>
        <v>0</v>
      </c>
      <c r="AO130" s="168">
        <f>AO$116*AO$128</f>
        <v>0</v>
      </c>
      <c r="AP130" s="130"/>
      <c r="AQ130" s="130"/>
      <c r="AR130" s="130"/>
      <c r="AS130" s="130"/>
      <c r="AT130" s="130"/>
      <c r="AU130" s="130"/>
      <c r="AV130" s="110"/>
      <c r="AW130" s="202">
        <f>SUM(AY130:BH130)</f>
        <v>0</v>
      </c>
      <c r="AX130" s="243"/>
      <c r="AY130" s="168">
        <f>AY$116*AY$128</f>
        <v>0</v>
      </c>
      <c r="AZ130" s="168">
        <f>AZ$116*AZ$128</f>
        <v>0</v>
      </c>
      <c r="BA130" s="168">
        <f>BA$116*BA$128</f>
        <v>0</v>
      </c>
      <c r="BB130" s="130"/>
      <c r="BC130" s="130"/>
      <c r="BD130" s="130"/>
      <c r="BE130" s="130"/>
      <c r="BF130" s="130"/>
      <c r="BG130" s="130"/>
      <c r="BH130" s="210"/>
    </row>
    <row r="131" spans="1:60">
      <c r="A131" s="1040"/>
      <c r="B131" s="1109" t="s">
        <v>187</v>
      </c>
      <c r="C131" s="1106" t="s">
        <v>96</v>
      </c>
      <c r="D131" s="638"/>
      <c r="E131" s="940" t="s">
        <v>210</v>
      </c>
      <c r="F131" s="940"/>
      <c r="G131" s="940"/>
      <c r="H131" s="940"/>
      <c r="I131" s="77"/>
      <c r="J131" s="939"/>
      <c r="K131" s="126"/>
      <c r="L131" s="126"/>
      <c r="M131" s="938"/>
      <c r="N131" s="143"/>
      <c r="O131" s="177" t="str">
        <f>O$10</f>
        <v>verwarming</v>
      </c>
      <c r="P131" s="177" t="str">
        <f>P$10</f>
        <v>koeling</v>
      </c>
      <c r="Q131" s="177" t="str">
        <f>Q$10</f>
        <v>tapwater</v>
      </c>
      <c r="R131" s="177"/>
      <c r="S131" s="177"/>
      <c r="T131" s="177"/>
      <c r="U131" s="177"/>
      <c r="V131" s="177"/>
      <c r="W131" s="177"/>
      <c r="X131" s="144"/>
      <c r="Y131" s="938"/>
      <c r="Z131" s="143"/>
      <c r="AA131" s="177" t="str">
        <f>AA$10</f>
        <v>verwarming</v>
      </c>
      <c r="AB131" s="177" t="str">
        <f>AB$10</f>
        <v>koeling</v>
      </c>
      <c r="AC131" s="177" t="str">
        <f>AC$10</f>
        <v>tapwater</v>
      </c>
      <c r="AD131" s="177"/>
      <c r="AE131" s="177"/>
      <c r="AF131" s="177"/>
      <c r="AG131" s="177"/>
      <c r="AH131" s="177"/>
      <c r="AI131" s="177"/>
      <c r="AJ131" s="144"/>
      <c r="AK131" s="938"/>
      <c r="AL131" s="143"/>
      <c r="AM131" s="177" t="str">
        <f>AM$10</f>
        <v>verwarming</v>
      </c>
      <c r="AN131" s="177" t="str">
        <f>AN$10</f>
        <v>koeling</v>
      </c>
      <c r="AO131" s="177" t="str">
        <f>AO$10</f>
        <v>tapwater</v>
      </c>
      <c r="AP131" s="177"/>
      <c r="AQ131" s="177"/>
      <c r="AR131" s="177"/>
      <c r="AS131" s="177"/>
      <c r="AT131" s="177"/>
      <c r="AU131" s="177"/>
      <c r="AV131" s="144"/>
      <c r="AW131" s="938"/>
      <c r="AX131" s="143"/>
      <c r="AY131" s="177" t="str">
        <f>AY$10</f>
        <v>verwarming</v>
      </c>
      <c r="AZ131" s="177" t="str">
        <f>AZ$10</f>
        <v>koeling</v>
      </c>
      <c r="BA131" s="177" t="str">
        <f>BA$10</f>
        <v>tapwater</v>
      </c>
      <c r="BB131" s="177"/>
      <c r="BC131" s="177"/>
      <c r="BD131" s="177"/>
      <c r="BE131" s="177"/>
      <c r="BF131" s="177"/>
      <c r="BG131" s="177"/>
      <c r="BH131" s="218"/>
    </row>
    <row r="132" spans="1:60">
      <c r="A132" s="1040"/>
      <c r="B132" s="1109" t="s">
        <v>187</v>
      </c>
      <c r="C132" s="1107" t="s">
        <v>118</v>
      </c>
      <c r="D132" s="638" t="s">
        <v>45</v>
      </c>
      <c r="E132" s="181" t="s">
        <v>211</v>
      </c>
      <c r="F132" s="181"/>
      <c r="G132" s="181"/>
      <c r="H132" s="181" t="s">
        <v>160</v>
      </c>
      <c r="I132" s="129"/>
      <c r="J132" s="202">
        <f>M132+Y132+AK132+AW132</f>
        <v>0</v>
      </c>
      <c r="K132" s="1059"/>
      <c r="L132" s="1059"/>
      <c r="M132" s="202">
        <f>SUM(O132:X132)</f>
        <v>0</v>
      </c>
      <c r="N132" s="243"/>
      <c r="O132" s="168">
        <f>IF(   AND(   HLOOKUP(IF(O$83="",referentie_verwarming,O$83),toestellen_RV,ROWS(bibliotheek!$E$83:$E$88),FALSE)=1,   O115+Q115&gt;P115   ),
ABS(O115+Q115-P115)*O$115/(O115+Q115),
0)</f>
        <v>0</v>
      </c>
      <c r="P132" s="168">
        <f>IF(AND(HLOOKUP(IF(P$83="",referentie_koeling,P$83),toestellen_KOEL,ROWS(bibliotheek!$E$190:$E$194),FALSE)=1,O115+Q115&lt;P115),ABS(O115+Q115-P115),0)</f>
        <v>0</v>
      </c>
      <c r="Q132" s="168">
        <f>IF(AND(HLOOKUP(IF(Q$83="",referentie_warmtapwater,Q$83),toestellen_TAP,ROWS(bibliotheek!$E$139:$E$144),FALSE)=1,O115+Q115&gt;P115),ABS(O115+Q115-P115)*Q$115/(O115+Q115),0)</f>
        <v>0</v>
      </c>
      <c r="R132" s="130"/>
      <c r="S132" s="130"/>
      <c r="T132" s="130"/>
      <c r="U132" s="130"/>
      <c r="V132" s="130"/>
      <c r="W132" s="130"/>
      <c r="X132" s="110"/>
      <c r="Y132" s="202">
        <f>SUM(AA132:AJ132)</f>
        <v>0</v>
      </c>
      <c r="Z132" s="243"/>
      <c r="AA132" s="168">
        <f>IF(   AND(   HLOOKUP(IF(AA$83="",referentie_verwarming,AA$83),toestellen_RV,ROWS(bibliotheek!$E$83:$E$88),FALSE)=1,   AA115+AC115&gt;AB115   ),
ABS(AA115+AC115-AB115)*AA$115/(AA115+AC115),
0)</f>
        <v>0</v>
      </c>
      <c r="AB132" s="168">
        <f>IF(AND(HLOOKUP(IF(AB$83="",referentie_koeling,AB$83),toestellen_KOEL,ROWS(bibliotheek!$E$190:$E$194),FALSE)=1,AA115+AC115&lt;AB115),ABS(AA115+AC115-AB115),0)</f>
        <v>0</v>
      </c>
      <c r="AC132" s="168">
        <f>IF(AND(HLOOKUP(IF(AC$83="",referentie_warmtapwater,AC$83),toestellen_TAP,ROWS(bibliotheek!$E$139:$E$144),FALSE)=1,AA115+AC115&gt;AB115),ABS(AA115+AC115-AB115)*AC$115/(AA115+AC115),0)</f>
        <v>0</v>
      </c>
      <c r="AD132" s="130"/>
      <c r="AE132" s="130"/>
      <c r="AF132" s="130"/>
      <c r="AG132" s="130"/>
      <c r="AH132" s="130"/>
      <c r="AI132" s="130"/>
      <c r="AJ132" s="110"/>
      <c r="AK132" s="202">
        <f>SUM(AM132:AV132)</f>
        <v>0</v>
      </c>
      <c r="AL132" s="243"/>
      <c r="AM132" s="168">
        <f>IF(   AND(   HLOOKUP(IF(AM$83="",referentie_verwarming,AM$83),toestellen_RV,ROWS(bibliotheek!$E$83:$E$88),FALSE)=1,   AM115+AO115&gt;AN115   ),
ABS(AM115+AO115-AN115)*AM$115/(AM115+AO115),
0)</f>
        <v>0</v>
      </c>
      <c r="AN132" s="168">
        <f>IF(AND(HLOOKUP(IF(AN$83="",referentie_koeling,AN$83),toestellen_KOEL,ROWS(bibliotheek!$E$190:$E$194),FALSE)=1,AM115+AO115&lt;AN115),ABS(AM115+AO115-AN115),0)</f>
        <v>0</v>
      </c>
      <c r="AO132" s="168">
        <f>IF(AND(HLOOKUP(IF(AO$83="",referentie_warmtapwater,AO$83),toestellen_TAP,ROWS(bibliotheek!$E$139:$E$144),FALSE)=1,AM115+AO115&gt;AN115),ABS(AM115+AO115-AN115)*AO$115/(AM115+AO115),0)</f>
        <v>0</v>
      </c>
      <c r="AP132" s="130"/>
      <c r="AQ132" s="130"/>
      <c r="AR132" s="130"/>
      <c r="AS132" s="130"/>
      <c r="AT132" s="130"/>
      <c r="AU132" s="130"/>
      <c r="AV132" s="110"/>
      <c r="AW132" s="202">
        <f>SUM(AY132:BH132)</f>
        <v>0</v>
      </c>
      <c r="AX132" s="243"/>
      <c r="AY132" s="168">
        <f>IF(   AND(   HLOOKUP(IF(AY$83="",referentie_verwarming,AY$83),toestellen_RV,ROWS(bibliotheek!$E$83:$E$88),FALSE)=1,   AY115+BA115&gt;AZ115   ),
ABS(AY115+BA115-AZ115)*AY$115/(AY115+BA115),
0)</f>
        <v>0</v>
      </c>
      <c r="AZ132" s="168">
        <f>IF(AND(HLOOKUP(IF(AZ$83="",referentie_koeling,AZ$83),toestellen_KOEL,ROWS(bibliotheek!$E$190:$E$194),FALSE)=1,AY115+BA115&lt;AZ115),ABS(AY115+BA115-AZ115),0)</f>
        <v>0</v>
      </c>
      <c r="BA132" s="168">
        <f>IF(AND(HLOOKUP(IF(BA$83="",referentie_warmtapwater,BA$83),toestellen_TAP,ROWS(bibliotheek!$E$139:$E$144),FALSE)=1,AY115+BA115&gt;AZ115),ABS(AY115+BA115-AZ115)*BA$115/(AY115+BA115),0)</f>
        <v>0</v>
      </c>
      <c r="BB132" s="130"/>
      <c r="BC132" s="130"/>
      <c r="BD132" s="130"/>
      <c r="BE132" s="130"/>
      <c r="BF132" s="130"/>
      <c r="BG132" s="130"/>
      <c r="BH132" s="210"/>
    </row>
    <row r="133" spans="1:60" hidden="1">
      <c r="A133" s="1040"/>
      <c r="B133" s="1109" t="s">
        <v>187</v>
      </c>
      <c r="C133" s="1107" t="s">
        <v>181</v>
      </c>
      <c r="D133" s="638"/>
      <c r="E133" s="181" t="s">
        <v>212</v>
      </c>
      <c r="F133" s="180"/>
      <c r="G133" s="180"/>
      <c r="H133" s="181" t="s">
        <v>213</v>
      </c>
      <c r="I133" s="129"/>
      <c r="J133" s="190"/>
      <c r="K133" s="107"/>
      <c r="L133" s="107"/>
      <c r="M133" s="190"/>
      <c r="N133" s="79"/>
      <c r="O133" s="545">
        <f>HLOOKUP(IF(O$83="",referentie_verwarming,O$83),toestellen_RV,ROWS(bibliotheek!$E$83:$E$117),FALSE)</f>
        <v>0</v>
      </c>
      <c r="P133" s="545">
        <f>HLOOKUP(IF(P$83="",referentie_koeling,P$83),toestellen_KOEL,ROWS(bibliotheek!$E$190:$E$208),FALSE)</f>
        <v>0</v>
      </c>
      <c r="Q133" s="545">
        <f>HLOOKUP(IF(Q$83="",referentie_warmtapwater,Q$83),toestellen_TAP,ROWS(bibliotheek!$E$139:$E$165),FALSE)</f>
        <v>0</v>
      </c>
      <c r="R133" s="379"/>
      <c r="S133" s="379"/>
      <c r="T133" s="379"/>
      <c r="U133" s="379"/>
      <c r="V133" s="379"/>
      <c r="W133" s="379"/>
      <c r="X133" s="418"/>
      <c r="Y133" s="190"/>
      <c r="Z133" s="79"/>
      <c r="AA133" s="545">
        <f>HLOOKUP(IF(AA$83="",referentie_verwarming,AA$83),toestellen_RV,ROWS(bibliotheek!$E$83:$E$117),FALSE)</f>
        <v>0</v>
      </c>
      <c r="AB133" s="545">
        <f>HLOOKUP(IF(AB$83="",referentie_koeling,AB$83),toestellen_KOEL,ROWS(bibliotheek!$E$190:$E$208),FALSE)</f>
        <v>0</v>
      </c>
      <c r="AC133" s="545">
        <f>HLOOKUP(IF(AC$83="",referentie_warmtapwater,AC$83),toestellen_TAP,ROWS(bibliotheek!$E$139:$E$165),FALSE)</f>
        <v>0</v>
      </c>
      <c r="AD133" s="379"/>
      <c r="AE133" s="379"/>
      <c r="AF133" s="379"/>
      <c r="AG133" s="379"/>
      <c r="AH133" s="379"/>
      <c r="AI133" s="379"/>
      <c r="AJ133" s="418"/>
      <c r="AK133" s="190"/>
      <c r="AL133" s="79"/>
      <c r="AM133" s="545">
        <f>HLOOKUP(IF(AM$83="",referentie_verwarming,AM$83),toestellen_RV,ROWS(bibliotheek!$E$83:$E$117),FALSE)</f>
        <v>0</v>
      </c>
      <c r="AN133" s="545">
        <f>HLOOKUP(IF(AN$83="",referentie_koeling,AN$83),toestellen_KOEL,ROWS(bibliotheek!$E$190:$E$208),FALSE)</f>
        <v>0</v>
      </c>
      <c r="AO133" s="545">
        <f>HLOOKUP(IF(AO$83="",referentie_warmtapwater,AO$83),toestellen_TAP,ROWS(bibliotheek!$E$139:$E$165),FALSE)</f>
        <v>0</v>
      </c>
      <c r="AP133" s="379"/>
      <c r="AQ133" s="379"/>
      <c r="AR133" s="379"/>
      <c r="AS133" s="379"/>
      <c r="AT133" s="379"/>
      <c r="AU133" s="379"/>
      <c r="AV133" s="418"/>
      <c r="AW133" s="190"/>
      <c r="AX133" s="79"/>
      <c r="AY133" s="545">
        <f>HLOOKUP(IF(AY$83="",referentie_verwarming,AY$83),toestellen_RV,ROWS(bibliotheek!$E$83:$E$117),FALSE)</f>
        <v>0</v>
      </c>
      <c r="AZ133" s="545">
        <f>HLOOKUP(IF(AZ$83="",referentie_koeling,AZ$83),toestellen_KOEL,ROWS(bibliotheek!$E$190:$E$208),FALSE)</f>
        <v>0</v>
      </c>
      <c r="BA133" s="545">
        <f>HLOOKUP(IF(BA$83="",referentie_warmtapwater,BA$83),toestellen_TAP,ROWS(bibliotheek!$E$139:$E$165),FALSE)</f>
        <v>0</v>
      </c>
      <c r="BB133" s="379"/>
      <c r="BC133" s="379"/>
      <c r="BD133" s="379"/>
      <c r="BE133" s="379"/>
      <c r="BF133" s="379"/>
      <c r="BG133" s="379"/>
      <c r="BH133" s="210"/>
    </row>
    <row r="134" spans="1:60">
      <c r="A134" s="1040"/>
      <c r="B134" s="1109" t="s">
        <v>187</v>
      </c>
      <c r="C134" s="1107" t="s">
        <v>118</v>
      </c>
      <c r="D134" s="638"/>
      <c r="E134" s="291" t="s">
        <v>214</v>
      </c>
      <c r="F134" s="254"/>
      <c r="G134" s="254"/>
      <c r="H134" s="291" t="s">
        <v>65</v>
      </c>
      <c r="I134" s="77"/>
      <c r="J134" s="289"/>
      <c r="K134" s="77"/>
      <c r="L134" s="77"/>
      <c r="M134" s="289"/>
      <c r="N134" s="79"/>
      <c r="O134" s="384">
        <f>IF(HLOOKUP(IF(O$83="",referentie_verwarming,O$83),toestellen_RV,ROWS(bibliotheek!$E$83:$E$101),FALSE)=0,0,IF(O135&lt;&gt;"",O135,HLOOKUP(IF(O$83="",referentie_verwarming,O$83),toestellen_RV,ROWS(bibliotheek!$E$83:$E$101),FALSE)))</f>
        <v>0</v>
      </c>
      <c r="P134" s="384">
        <f>IF(HLOOKUP(IF(P$83="",referentie_koeling,P$83),toestellen_KOEL,ROWS(bibliotheek!$E$190:$E$201),FALSE)=0,0,IF(P135&lt;&gt;"",P135,HLOOKUP(IF(P$83="",referentie_koeling,P$83),toestellen_KOEL,ROWS(bibliotheek!$E$190:$E$201),FALSE)))</f>
        <v>0</v>
      </c>
      <c r="Q134" s="384">
        <f>IF(HLOOKUP(IF(Q$83="",referentie_warmtapwater,Q$83),toestellen_TAP,ROWS(bibliotheek!$E$139:$E$157),FALSE)=0,0,IF(Q135&lt;&gt;"",Q135,HLOOKUP(IF(Q$83="",referentie_warmtapwater,Q$83),toestellen_TAP,ROWS(bibliotheek!$E$139:$E$157),FALSE)))</f>
        <v>0</v>
      </c>
      <c r="R134" s="139"/>
      <c r="S134" s="139"/>
      <c r="T134" s="139"/>
      <c r="U134" s="139"/>
      <c r="V134" s="139"/>
      <c r="W134" s="139"/>
      <c r="X134" s="111"/>
      <c r="Y134" s="289"/>
      <c r="Z134" s="79"/>
      <c r="AA134" s="384">
        <f>IF(HLOOKUP(IF(AA$83="",referentie_verwarming,AA$83),toestellen_RV,ROWS(bibliotheek!$E$83:$E$101),FALSE)=0,0,IF(AA135&lt;&gt;"",AA135,HLOOKUP(IF(AA$83="",referentie_verwarming,AA$83),toestellen_RV,ROWS(bibliotheek!$E$83:$E$101),FALSE)))</f>
        <v>0</v>
      </c>
      <c r="AB134" s="384">
        <f>IF(HLOOKUP(IF(AB$83="",referentie_koeling,AB$83),toestellen_KOEL,ROWS(bibliotheek!$E$190:$E$201),FALSE)=0,0,IF(AB135&lt;&gt;"",AB135,HLOOKUP(IF(AB$83="",referentie_koeling,AB$83),toestellen_KOEL,ROWS(bibliotheek!$E$190:$E$201),FALSE)))</f>
        <v>0</v>
      </c>
      <c r="AC134" s="384">
        <f>IF(HLOOKUP(IF(AC$83="",referentie_warmtapwater,AC$83),toestellen_TAP,ROWS(bibliotheek!$E$139:$E$157),FALSE)=0,0,IF(AC135&lt;&gt;"",AC135,HLOOKUP(IF(AC$83="",referentie_warmtapwater,AC$83),toestellen_TAP,ROWS(bibliotheek!$E$139:$E$157),FALSE)))</f>
        <v>0</v>
      </c>
      <c r="AD134" s="139"/>
      <c r="AE134" s="139"/>
      <c r="AF134" s="139"/>
      <c r="AG134" s="139"/>
      <c r="AH134" s="139"/>
      <c r="AI134" s="139"/>
      <c r="AJ134" s="111"/>
      <c r="AK134" s="289"/>
      <c r="AL134" s="79"/>
      <c r="AM134" s="384">
        <f>IF(HLOOKUP(IF(AM$83="",referentie_verwarming,AM$83),toestellen_RV,ROWS(bibliotheek!$E$83:$E$101),FALSE)=0,0,IF(AM135&lt;&gt;"",AM135,HLOOKUP(IF(AM$83="",referentie_verwarming,AM$83),toestellen_RV,ROWS(bibliotheek!$E$83:$E$101),FALSE)))</f>
        <v>0</v>
      </c>
      <c r="AN134" s="384">
        <f>IF(HLOOKUP(IF(AN$83="",referentie_koeling,AN$83),toestellen_KOEL,ROWS(bibliotheek!$E$190:$E$201),FALSE)=0,0,IF(AN135&lt;&gt;"",AN135,HLOOKUP(IF(AN$83="",referentie_koeling,AN$83),toestellen_KOEL,ROWS(bibliotheek!$E$190:$E$201),FALSE)))</f>
        <v>0</v>
      </c>
      <c r="AO134" s="384">
        <f>IF(HLOOKUP(IF(AO$83="",referentie_warmtapwater,AO$83),toestellen_TAP,ROWS(bibliotheek!$E$139:$E$157),FALSE)=0,0,IF(AO135&lt;&gt;"",AO135,HLOOKUP(IF(AO$83="",referentie_warmtapwater,AO$83),toestellen_TAP,ROWS(bibliotheek!$E$139:$E$157),FALSE)))</f>
        <v>0</v>
      </c>
      <c r="AP134" s="139"/>
      <c r="AQ134" s="139"/>
      <c r="AR134" s="139"/>
      <c r="AS134" s="139"/>
      <c r="AT134" s="139"/>
      <c r="AU134" s="139"/>
      <c r="AV134" s="111"/>
      <c r="AW134" s="289"/>
      <c r="AX134" s="79"/>
      <c r="AY134" s="384">
        <f>IF(HLOOKUP(IF(AY$83="",referentie_verwarming,AY$83),toestellen_RV,ROWS(bibliotheek!$E$83:$E$101),FALSE)=0,0,IF(AY135&lt;&gt;"",AY135,HLOOKUP(IF(AY$83="",referentie_verwarming,AY$83),toestellen_RV,ROWS(bibliotheek!$E$83:$E$101),FALSE)))</f>
        <v>0</v>
      </c>
      <c r="AZ134" s="384">
        <f>IF(HLOOKUP(IF(AZ$83="",referentie_koeling,AZ$83),toestellen_KOEL,ROWS(bibliotheek!$E$190:$E$201),FALSE)=0,0,IF(AZ135&lt;&gt;"",AZ135,HLOOKUP(IF(AZ$83="",referentie_koeling,AZ$83),toestellen_KOEL,ROWS(bibliotheek!$E$190:$E$201),FALSE)))</f>
        <v>0</v>
      </c>
      <c r="BA134" s="384">
        <f>IF(HLOOKUP(IF(BA$83="",referentie_warmtapwater,BA$83),toestellen_TAP,ROWS(bibliotheek!$E$139:$E$157),FALSE)=0,0,IF(BA135&lt;&gt;"",BA135,HLOOKUP(IF(BA$83="",referentie_warmtapwater,BA$83),toestellen_TAP,ROWS(bibliotheek!$E$139:$E$157),FALSE)))</f>
        <v>0</v>
      </c>
      <c r="BB134" s="139"/>
      <c r="BC134" s="139"/>
      <c r="BD134" s="139"/>
      <c r="BE134" s="139"/>
      <c r="BF134" s="139"/>
      <c r="BG134" s="139"/>
      <c r="BH134" s="174"/>
    </row>
    <row r="135" spans="1:60">
      <c r="A135" s="1040"/>
      <c r="B135" s="1109" t="s">
        <v>187</v>
      </c>
      <c r="C135" s="1107" t="s">
        <v>118</v>
      </c>
      <c r="D135" s="638"/>
      <c r="E135" s="1218" t="s">
        <v>215</v>
      </c>
      <c r="F135" s="255"/>
      <c r="G135" s="255"/>
      <c r="H135" s="292"/>
      <c r="I135" s="77"/>
      <c r="J135" s="299"/>
      <c r="K135" s="77"/>
      <c r="L135" s="77"/>
      <c r="M135" s="198"/>
      <c r="N135" s="79"/>
      <c r="O135" s="275"/>
      <c r="P135" s="617"/>
      <c r="Q135" s="275"/>
      <c r="R135" s="140"/>
      <c r="S135" s="140"/>
      <c r="T135" s="140"/>
      <c r="U135" s="140"/>
      <c r="V135" s="140"/>
      <c r="W135" s="140"/>
      <c r="X135" s="76"/>
      <c r="Y135" s="198"/>
      <c r="Z135" s="79"/>
      <c r="AA135" s="275"/>
      <c r="AB135" s="617"/>
      <c r="AC135" s="275"/>
      <c r="AD135" s="140"/>
      <c r="AE135" s="140"/>
      <c r="AF135" s="140"/>
      <c r="AG135" s="140"/>
      <c r="AH135" s="140"/>
      <c r="AI135" s="140"/>
      <c r="AJ135" s="76"/>
      <c r="AK135" s="198"/>
      <c r="AL135" s="79"/>
      <c r="AM135" s="275"/>
      <c r="AN135" s="617"/>
      <c r="AO135" s="275"/>
      <c r="AP135" s="140"/>
      <c r="AQ135" s="140"/>
      <c r="AR135" s="140"/>
      <c r="AS135" s="140"/>
      <c r="AT135" s="140"/>
      <c r="AU135" s="140"/>
      <c r="AV135" s="76"/>
      <c r="AW135" s="198"/>
      <c r="AX135" s="79"/>
      <c r="AY135" s="275"/>
      <c r="AZ135" s="617"/>
      <c r="BA135" s="275"/>
      <c r="BB135" s="140"/>
      <c r="BC135" s="140"/>
      <c r="BD135" s="140"/>
      <c r="BE135" s="140"/>
      <c r="BF135" s="140"/>
      <c r="BG135" s="140"/>
      <c r="BH135" s="174"/>
    </row>
    <row r="136" spans="1:60">
      <c r="A136" s="1040"/>
      <c r="B136" s="1109" t="s">
        <v>187</v>
      </c>
      <c r="C136" s="1107" t="s">
        <v>96</v>
      </c>
      <c r="D136" s="638"/>
      <c r="E136" s="79"/>
      <c r="F136" s="79"/>
      <c r="G136" s="79"/>
      <c r="H136" s="85"/>
      <c r="I136" s="79"/>
      <c r="J136" s="82"/>
      <c r="K136" s="79"/>
      <c r="L136" s="79"/>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1"/>
    </row>
    <row r="137" spans="1:60">
      <c r="A137" s="1040"/>
      <c r="B137" s="1109" t="s">
        <v>216</v>
      </c>
      <c r="C137" s="1107" t="s">
        <v>96</v>
      </c>
      <c r="D137" s="638"/>
      <c r="E137" s="79"/>
      <c r="F137" s="79"/>
      <c r="G137" s="79"/>
      <c r="H137" s="85"/>
      <c r="I137" s="79"/>
      <c r="J137" s="82"/>
      <c r="K137" s="79"/>
      <c r="L137" s="79"/>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1"/>
    </row>
    <row r="138" spans="1:60" ht="21">
      <c r="A138" s="1040"/>
      <c r="B138" s="1109" t="s">
        <v>216</v>
      </c>
      <c r="C138" s="1106" t="s">
        <v>96</v>
      </c>
      <c r="D138" s="641" t="s">
        <v>45</v>
      </c>
      <c r="E138" s="199" t="s">
        <v>217</v>
      </c>
      <c r="F138" s="199"/>
      <c r="G138" s="199"/>
      <c r="H138" s="199"/>
      <c r="I138" s="77"/>
      <c r="J138" s="200" t="str">
        <f>J$10</f>
        <v>alle locaties</v>
      </c>
      <c r="K138" s="126"/>
      <c r="L138" s="126"/>
      <c r="M138" s="200" t="str">
        <f>M$10</f>
        <v>locatie 1</v>
      </c>
      <c r="N138" s="182"/>
      <c r="O138" s="966" t="str">
        <f>$E138&amp;" per energiepost"</f>
        <v>installatie niet-preferent toestel per energiepost</v>
      </c>
      <c r="P138" s="941"/>
      <c r="Q138" s="941"/>
      <c r="R138" s="941"/>
      <c r="S138" s="941"/>
      <c r="T138" s="941"/>
      <c r="U138" s="941"/>
      <c r="V138" s="941"/>
      <c r="W138" s="956"/>
      <c r="X138" s="174"/>
      <c r="Y138" s="200" t="str">
        <f>Y$10</f>
        <v>locatie 2</v>
      </c>
      <c r="Z138" s="182"/>
      <c r="AA138" s="966" t="str">
        <f>$E138&amp;" per energiepost"</f>
        <v>installatie niet-preferent toestel per energiepost</v>
      </c>
      <c r="AB138" s="941"/>
      <c r="AC138" s="941"/>
      <c r="AD138" s="941"/>
      <c r="AE138" s="941"/>
      <c r="AF138" s="941"/>
      <c r="AG138" s="941"/>
      <c r="AH138" s="941"/>
      <c r="AI138" s="956"/>
      <c r="AJ138" s="174"/>
      <c r="AK138" s="200" t="str">
        <f>AK$10</f>
        <v>locatie 3</v>
      </c>
      <c r="AL138" s="182"/>
      <c r="AM138" s="966" t="str">
        <f>$E138&amp;" per energiepost"</f>
        <v>installatie niet-preferent toestel per energiepost</v>
      </c>
      <c r="AN138" s="941"/>
      <c r="AO138" s="941"/>
      <c r="AP138" s="941"/>
      <c r="AQ138" s="941"/>
      <c r="AR138" s="941"/>
      <c r="AS138" s="941"/>
      <c r="AT138" s="941"/>
      <c r="AU138" s="956"/>
      <c r="AV138" s="174"/>
      <c r="AW138" s="200" t="str">
        <f>AW$10</f>
        <v>locatie 4</v>
      </c>
      <c r="AX138" s="182"/>
      <c r="AY138" s="966" t="str">
        <f>$E138&amp;" per energiepost"</f>
        <v>installatie niet-preferent toestel per energiepost</v>
      </c>
      <c r="AZ138" s="941"/>
      <c r="BA138" s="941"/>
      <c r="BB138" s="941"/>
      <c r="BC138" s="941"/>
      <c r="BD138" s="941"/>
      <c r="BE138" s="941"/>
      <c r="BF138" s="941"/>
      <c r="BG138" s="956"/>
      <c r="BH138" s="1"/>
    </row>
    <row r="139" spans="1:60">
      <c r="A139" s="1040"/>
      <c r="B139" s="1109" t="s">
        <v>216</v>
      </c>
      <c r="C139" s="1106" t="s">
        <v>96</v>
      </c>
      <c r="D139" s="638"/>
      <c r="E139" s="940" t="s">
        <v>192</v>
      </c>
      <c r="F139" s="940"/>
      <c r="G139" s="940"/>
      <c r="H139" s="940"/>
      <c r="I139" s="77"/>
      <c r="J139" s="939"/>
      <c r="K139" s="126"/>
      <c r="L139" s="126"/>
      <c r="M139" s="938"/>
      <c r="N139" s="191"/>
      <c r="O139" s="177" t="str">
        <f>O$10</f>
        <v>verwarming</v>
      </c>
      <c r="P139" s="177" t="str">
        <f>P$10</f>
        <v>koeling</v>
      </c>
      <c r="Q139" s="177" t="str">
        <f>Q$10</f>
        <v>tapwater</v>
      </c>
      <c r="R139" s="177"/>
      <c r="S139" s="177"/>
      <c r="T139" s="177"/>
      <c r="U139" s="177"/>
      <c r="V139" s="177"/>
      <c r="W139" s="177"/>
      <c r="X139" s="191"/>
      <c r="Y139" s="938"/>
      <c r="Z139" s="191"/>
      <c r="AA139" s="177" t="str">
        <f>AA$10</f>
        <v>verwarming</v>
      </c>
      <c r="AB139" s="177" t="str">
        <f>AB$10</f>
        <v>koeling</v>
      </c>
      <c r="AC139" s="177" t="str">
        <f>AC$10</f>
        <v>tapwater</v>
      </c>
      <c r="AD139" s="177"/>
      <c r="AE139" s="177"/>
      <c r="AF139" s="177"/>
      <c r="AG139" s="177"/>
      <c r="AH139" s="177"/>
      <c r="AI139" s="177"/>
      <c r="AJ139" s="191"/>
      <c r="AK139" s="938"/>
      <c r="AL139" s="191"/>
      <c r="AM139" s="177" t="str">
        <f>AM$10</f>
        <v>verwarming</v>
      </c>
      <c r="AN139" s="177" t="str">
        <f>AN$10</f>
        <v>koeling</v>
      </c>
      <c r="AO139" s="177" t="str">
        <f>AO$10</f>
        <v>tapwater</v>
      </c>
      <c r="AP139" s="177"/>
      <c r="AQ139" s="177"/>
      <c r="AR139" s="177"/>
      <c r="AS139" s="177"/>
      <c r="AT139" s="177"/>
      <c r="AU139" s="177"/>
      <c r="AV139" s="191"/>
      <c r="AW139" s="938"/>
      <c r="AX139" s="191"/>
      <c r="AY139" s="177" t="str">
        <f>AY$10</f>
        <v>verwarming</v>
      </c>
      <c r="AZ139" s="177" t="str">
        <f>AZ$10</f>
        <v>koeling</v>
      </c>
      <c r="BA139" s="177" t="str">
        <f>BA$10</f>
        <v>tapwater</v>
      </c>
      <c r="BB139" s="177"/>
      <c r="BC139" s="177"/>
      <c r="BD139" s="177"/>
      <c r="BE139" s="177"/>
      <c r="BF139" s="177"/>
      <c r="BG139" s="177"/>
      <c r="BH139" s="36"/>
    </row>
    <row r="140" spans="1:60" ht="25.5">
      <c r="A140" s="1040"/>
      <c r="B140" s="1109" t="s">
        <v>216</v>
      </c>
      <c r="C140" s="1107" t="s">
        <v>118</v>
      </c>
      <c r="D140" s="638"/>
      <c r="E140" s="264" t="s">
        <v>218</v>
      </c>
      <c r="F140" s="264"/>
      <c r="G140" s="264"/>
      <c r="H140" s="265" t="s">
        <v>65</v>
      </c>
      <c r="I140" s="103"/>
      <c r="J140" s="268"/>
      <c r="K140" s="103"/>
      <c r="L140" s="103"/>
      <c r="M140" s="268" t="str">
        <f>IF(OR(M$11=0,O143=0),"-","RV: "&amp;O140)</f>
        <v>-</v>
      </c>
      <c r="N140" s="120"/>
      <c r="O140" s="283" t="str">
        <f>IF(O$108=1,geen,HLOOKUP(IF(O$83="",referentie_verwarming,O$83),toestellen_RV,ROWS(bibliotheek!$E$83:$E$104),FALSE))</f>
        <v>elektrisch element</v>
      </c>
      <c r="P140" s="283" t="str">
        <f>IF(OR(P$104=geen,P$108=1),geen,HLOOKUP(IF(P$83="",referentie_koeling,P$83),toestellen_KOEL,ROWS(bibliotheek!$E$190:$E$203),FALSE))</f>
        <v>geen</v>
      </c>
      <c r="Q140" s="283" t="str">
        <f>IF(Q108=1,geen,HLOOKUP(IF(Q$83="",referentie_warmtapwater,Q$83),toestellen_TAP,ROWS(bibliotheek!$E$139:$E$160),FALSE))</f>
        <v>elektrisch element</v>
      </c>
      <c r="R140" s="269"/>
      <c r="S140" s="269"/>
      <c r="T140" s="269"/>
      <c r="U140" s="269"/>
      <c r="V140" s="269"/>
      <c r="W140" s="269"/>
      <c r="X140" s="115"/>
      <c r="Y140" s="268" t="str">
        <f>IF(OR(Y$11=0,AA143=0),"-","RV: "&amp;AA140)</f>
        <v>-</v>
      </c>
      <c r="Z140" s="120"/>
      <c r="AA140" s="283" t="str">
        <f>IF(AA$108=1,geen,HLOOKUP(IF(AA$83="",referentie_verwarming,AA$83),toestellen_RV,ROWS(bibliotheek!$E$83:$E$104),FALSE))</f>
        <v>elektrisch element</v>
      </c>
      <c r="AB140" s="283" t="str">
        <f>IF(OR(AB$104=geen,AB$108=1),geen,HLOOKUP(IF(AB$83="",referentie_koeling,AB$83),toestellen_KOEL,ROWS(bibliotheek!$E$190:$E$203),FALSE))</f>
        <v>geen</v>
      </c>
      <c r="AC140" s="283" t="str">
        <f>IF(AC108=1,geen,HLOOKUP(IF(AC$83="",referentie_warmtapwater,AC$83),toestellen_TAP,ROWS(bibliotheek!$E$139:$E$160),FALSE))</f>
        <v>elektrisch element</v>
      </c>
      <c r="AD140" s="269"/>
      <c r="AE140" s="269"/>
      <c r="AF140" s="269"/>
      <c r="AG140" s="269"/>
      <c r="AH140" s="269"/>
      <c r="AI140" s="269"/>
      <c r="AJ140" s="115"/>
      <c r="AK140" s="268" t="str">
        <f>IF(OR(AK$11=0,AM143=0),"-","RV: "&amp;AM140)</f>
        <v>-</v>
      </c>
      <c r="AL140" s="120"/>
      <c r="AM140" s="283" t="str">
        <f>IF(AM$108=1,geen,HLOOKUP(IF(AM$83="",referentie_verwarming,AM$83),toestellen_RV,ROWS(bibliotheek!$E$83:$E$104),FALSE))</f>
        <v>elektrisch element</v>
      </c>
      <c r="AN140" s="283" t="str">
        <f>IF(OR(AN$104=geen,AN$108=1),geen,HLOOKUP(IF(AN$83="",referentie_koeling,AN$83),toestellen_KOEL,ROWS(bibliotheek!$E$190:$E$203),FALSE))</f>
        <v>geen</v>
      </c>
      <c r="AO140" s="283" t="str">
        <f>IF(AO108=1,geen,HLOOKUP(IF(AO$83="",referentie_warmtapwater,AO$83),toestellen_TAP,ROWS(bibliotheek!$E$139:$E$160),FALSE))</f>
        <v>elektrisch element</v>
      </c>
      <c r="AP140" s="269"/>
      <c r="AQ140" s="269"/>
      <c r="AR140" s="269"/>
      <c r="AS140" s="269"/>
      <c r="AT140" s="269"/>
      <c r="AU140" s="269"/>
      <c r="AV140" s="115"/>
      <c r="AW140" s="268" t="str">
        <f>IF(OR(AW$11=0,AY143=0),"-","RV: "&amp;AY140)</f>
        <v>-</v>
      </c>
      <c r="AX140" s="120"/>
      <c r="AY140" s="283" t="str">
        <f>IF(AY$108=1,geen,HLOOKUP(IF(AY$83="",referentie_verwarming,AY$83),toestellen_RV,ROWS(bibliotheek!$E$83:$E$104),FALSE))</f>
        <v>elektrisch element</v>
      </c>
      <c r="AZ140" s="283" t="str">
        <f>IF(OR(AZ$104=geen,AZ$108=1),geen,HLOOKUP(IF(AZ$83="",referentie_koeling,AZ$83),toestellen_KOEL,ROWS(bibliotheek!$E$190:$E$203),FALSE))</f>
        <v>geen</v>
      </c>
      <c r="BA140" s="283" t="str">
        <f>IF(BA108=1,geen,HLOOKUP(IF(BA$83="",referentie_warmtapwater,BA$83),toestellen_TAP,ROWS(bibliotheek!$E$139:$E$160),FALSE))</f>
        <v>elektrisch element</v>
      </c>
      <c r="BB140" s="269"/>
      <c r="BC140" s="269"/>
      <c r="BD140" s="269"/>
      <c r="BE140" s="269"/>
      <c r="BF140" s="269"/>
      <c r="BG140" s="269"/>
      <c r="BH140" s="221"/>
    </row>
    <row r="141" spans="1:60" hidden="1">
      <c r="A141" s="1040"/>
      <c r="B141" s="1109" t="s">
        <v>216</v>
      </c>
      <c r="C141" s="1107" t="s">
        <v>181</v>
      </c>
      <c r="D141" s="638"/>
      <c r="E141" s="180" t="s">
        <v>190</v>
      </c>
      <c r="F141" s="180"/>
      <c r="G141" s="180"/>
      <c r="H141" s="181" t="s">
        <v>65</v>
      </c>
      <c r="I141" s="79"/>
      <c r="J141" s="190"/>
      <c r="K141" s="79"/>
      <c r="L141" s="79"/>
      <c r="M141" s="190"/>
      <c r="N141" s="114"/>
      <c r="O141" s="284" t="str">
        <f>IF(O140=geen,nvt,HLOOKUP(IF(O$83="",referentie_verwarming,O$83),toestellen_RV,ROWS(bibliotheek!$E$83:$E$105),FALSE))</f>
        <v>elektriciteit</v>
      </c>
      <c r="P141" s="169" t="str">
        <f>IF(P140=geen,nvt,HLOOKUP(IF(P$83="",referentie_koeling,P$83),toestellen_KOEL,ROWS(bibliotheek!$E$190:$E$204),FALSE))</f>
        <v>nvt</v>
      </c>
      <c r="Q141" s="227" t="str">
        <f>IF(Q140=geen,nvt,HLOOKUP(IF(Q$83="",referentie_warmtapwater,Q$83),toestellen_TAP,ROWS(bibliotheek!$E$139:$E$161),FALSE))</f>
        <v>elektriciteit</v>
      </c>
      <c r="R141" s="270"/>
      <c r="S141" s="270"/>
      <c r="T141" s="270"/>
      <c r="U141" s="270"/>
      <c r="V141" s="270"/>
      <c r="W141" s="270"/>
      <c r="X141" s="108"/>
      <c r="Y141" s="190"/>
      <c r="Z141" s="114"/>
      <c r="AA141" s="284" t="str">
        <f>IF(AA140=geen,nvt,HLOOKUP(IF(AA$83="",referentie_verwarming,AA$83),toestellen_RV,ROWS(bibliotheek!$E$83:$E$105),FALSE))</f>
        <v>elektriciteit</v>
      </c>
      <c r="AB141" s="169" t="str">
        <f>IF(AB140=geen,nvt,HLOOKUP(IF(AB$83="",referentie_koeling,AB$83),toestellen_KOEL,ROWS(bibliotheek!$E$190:$E$204),FALSE))</f>
        <v>nvt</v>
      </c>
      <c r="AC141" s="227" t="str">
        <f>IF(AC140=geen,nvt,HLOOKUP(IF(AC$83="",referentie_warmtapwater,AC$83),toestellen_TAP,ROWS(bibliotheek!$E$139:$E$161),FALSE))</f>
        <v>elektriciteit</v>
      </c>
      <c r="AD141" s="270"/>
      <c r="AE141" s="270"/>
      <c r="AF141" s="270"/>
      <c r="AG141" s="270"/>
      <c r="AH141" s="270"/>
      <c r="AI141" s="270"/>
      <c r="AJ141" s="108"/>
      <c r="AK141" s="190"/>
      <c r="AL141" s="114"/>
      <c r="AM141" s="284" t="str">
        <f>IF(AM140=geen,nvt,HLOOKUP(IF(AM$83="",referentie_verwarming,AM$83),toestellen_RV,ROWS(bibliotheek!$E$83:$E$105),FALSE))</f>
        <v>elektriciteit</v>
      </c>
      <c r="AN141" s="169" t="str">
        <f>IF(AN140=geen,nvt,HLOOKUP(IF(AN$83="",referentie_koeling,AN$83),toestellen_KOEL,ROWS(bibliotheek!$E$190:$E$204),FALSE))</f>
        <v>nvt</v>
      </c>
      <c r="AO141" s="227" t="str">
        <f>IF(AO140=geen,nvt,HLOOKUP(IF(AO$83="",referentie_warmtapwater,AO$83),toestellen_TAP,ROWS(bibliotheek!$E$139:$E$161),FALSE))</f>
        <v>elektriciteit</v>
      </c>
      <c r="AP141" s="270"/>
      <c r="AQ141" s="270"/>
      <c r="AR141" s="270"/>
      <c r="AS141" s="270"/>
      <c r="AT141" s="270"/>
      <c r="AU141" s="270"/>
      <c r="AV141" s="108"/>
      <c r="AW141" s="190"/>
      <c r="AX141" s="114"/>
      <c r="AY141" s="284" t="str">
        <f>IF(AY140=geen,nvt,HLOOKUP(IF(AY$83="",referentie_verwarming,AY$83),toestellen_RV,ROWS(bibliotheek!$E$83:$E$105),FALSE))</f>
        <v>elektriciteit</v>
      </c>
      <c r="AZ141" s="169" t="str">
        <f>IF(AZ140=geen,nvt,HLOOKUP(IF(AZ$83="",referentie_koeling,AZ$83),toestellen_KOEL,ROWS(bibliotheek!$E$190:$E$204),FALSE))</f>
        <v>nvt</v>
      </c>
      <c r="BA141" s="227" t="str">
        <f>IF(BA140=geen,nvt,HLOOKUP(IF(BA$83="",referentie_warmtapwater,BA$83),toestellen_TAP,ROWS(bibliotheek!$E$139:$E$161),FALSE))</f>
        <v>elektriciteit</v>
      </c>
      <c r="BB141" s="270"/>
      <c r="BC141" s="270"/>
      <c r="BD141" s="270"/>
      <c r="BE141" s="270"/>
      <c r="BF141" s="270"/>
      <c r="BG141" s="270"/>
      <c r="BH141" s="174"/>
    </row>
    <row r="142" spans="1:60" hidden="1">
      <c r="A142" s="1040"/>
      <c r="B142" s="1109" t="s">
        <v>216</v>
      </c>
      <c r="C142" s="1106" t="s">
        <v>181</v>
      </c>
      <c r="D142" s="638"/>
      <c r="E142" s="181" t="s">
        <v>191</v>
      </c>
      <c r="F142" s="180"/>
      <c r="G142" s="180"/>
      <c r="H142" s="181" t="s">
        <v>65</v>
      </c>
      <c r="I142" s="129"/>
      <c r="J142" s="190"/>
      <c r="K142" s="1058"/>
      <c r="L142" s="1058"/>
      <c r="M142" s="190"/>
      <c r="N142" s="114"/>
      <c r="O142" s="284" t="str">
        <f>INDEX(energiedragers_index_fPren,MATCH(O141,energiedragers_namen,0))</f>
        <v>nren</v>
      </c>
      <c r="P142" s="169" t="str">
        <f>INDEX(energiedragers_index_fPren,MATCH(P141,energiedragers_namen,0))</f>
        <v>nren</v>
      </c>
      <c r="Q142" s="227" t="str">
        <f>INDEX(energiedragers_index_fPren,MATCH(Q141,energiedragers_namen,0))</f>
        <v>nren</v>
      </c>
      <c r="R142" s="271"/>
      <c r="S142" s="271"/>
      <c r="T142" s="271"/>
      <c r="U142" s="271"/>
      <c r="V142" s="271"/>
      <c r="W142" s="271"/>
      <c r="X142" s="741"/>
      <c r="Y142" s="190"/>
      <c r="Z142" s="114"/>
      <c r="AA142" s="284" t="str">
        <f>INDEX(energiedragers_index_fPren,MATCH(AA141,energiedragers_namen,0))</f>
        <v>nren</v>
      </c>
      <c r="AB142" s="169" t="str">
        <f>INDEX(energiedragers_index_fPren,MATCH(AB141,energiedragers_namen,0))</f>
        <v>nren</v>
      </c>
      <c r="AC142" s="227" t="str">
        <f>INDEX(energiedragers_index_fPren,MATCH(AC141,energiedragers_namen,0))</f>
        <v>nren</v>
      </c>
      <c r="AD142" s="271"/>
      <c r="AE142" s="271"/>
      <c r="AF142" s="271"/>
      <c r="AG142" s="271"/>
      <c r="AH142" s="271"/>
      <c r="AI142" s="271"/>
      <c r="AJ142" s="741"/>
      <c r="AK142" s="190"/>
      <c r="AL142" s="114"/>
      <c r="AM142" s="284" t="str">
        <f>INDEX(energiedragers_index_fPren,MATCH(AM141,energiedragers_namen,0))</f>
        <v>nren</v>
      </c>
      <c r="AN142" s="169" t="str">
        <f>INDEX(energiedragers_index_fPren,MATCH(AN141,energiedragers_namen,0))</f>
        <v>nren</v>
      </c>
      <c r="AO142" s="227" t="str">
        <f>INDEX(energiedragers_index_fPren,MATCH(AO141,energiedragers_namen,0))</f>
        <v>nren</v>
      </c>
      <c r="AP142" s="271"/>
      <c r="AQ142" s="271"/>
      <c r="AR142" s="271"/>
      <c r="AS142" s="271"/>
      <c r="AT142" s="271"/>
      <c r="AU142" s="271"/>
      <c r="AV142" s="741"/>
      <c r="AW142" s="190"/>
      <c r="AX142" s="114"/>
      <c r="AY142" s="284" t="str">
        <f>INDEX(energiedragers_index_fPren,MATCH(AY141,energiedragers_namen,0))</f>
        <v>nren</v>
      </c>
      <c r="AZ142" s="169" t="str">
        <f>INDEX(energiedragers_index_fPren,MATCH(AZ141,energiedragers_namen,0))</f>
        <v>nren</v>
      </c>
      <c r="BA142" s="227" t="str">
        <f>INDEX(energiedragers_index_fPren,MATCH(BA141,energiedragers_namen,0))</f>
        <v>nren</v>
      </c>
      <c r="BB142" s="271"/>
      <c r="BC142" s="271"/>
      <c r="BD142" s="271"/>
      <c r="BE142" s="271"/>
      <c r="BF142" s="271"/>
      <c r="BG142" s="271"/>
      <c r="BH142" s="219"/>
    </row>
    <row r="143" spans="1:60" hidden="1">
      <c r="A143" s="1040"/>
      <c r="B143" s="1109" t="s">
        <v>216</v>
      </c>
      <c r="C143" s="1107" t="s">
        <v>181</v>
      </c>
      <c r="D143" s="638"/>
      <c r="E143" s="180" t="s">
        <v>193</v>
      </c>
      <c r="F143" s="180"/>
      <c r="G143" s="180"/>
      <c r="H143" s="181" t="s">
        <v>65</v>
      </c>
      <c r="I143" s="79"/>
      <c r="J143" s="190"/>
      <c r="K143" s="103"/>
      <c r="L143" s="103"/>
      <c r="M143" s="190"/>
      <c r="N143" s="114"/>
      <c r="O143" s="285">
        <f>1-O108</f>
        <v>9.9999999999999978E-2</v>
      </c>
      <c r="P143" s="285">
        <f>1-P108</f>
        <v>0</v>
      </c>
      <c r="Q143" s="285">
        <f>1-Q108</f>
        <v>9.9999999999999978E-2</v>
      </c>
      <c r="R143" s="272"/>
      <c r="S143" s="272"/>
      <c r="T143" s="272"/>
      <c r="U143" s="272"/>
      <c r="V143" s="272"/>
      <c r="W143" s="272"/>
      <c r="X143" s="108"/>
      <c r="Y143" s="190"/>
      <c r="Z143" s="114"/>
      <c r="AA143" s="285">
        <f>1-AA108</f>
        <v>9.9999999999999978E-2</v>
      </c>
      <c r="AB143" s="285">
        <f>1-AB108</f>
        <v>0</v>
      </c>
      <c r="AC143" s="285">
        <f>1-AC108</f>
        <v>9.9999999999999978E-2</v>
      </c>
      <c r="AD143" s="272"/>
      <c r="AE143" s="272"/>
      <c r="AF143" s="272"/>
      <c r="AG143" s="272"/>
      <c r="AH143" s="272"/>
      <c r="AI143" s="272"/>
      <c r="AJ143" s="108"/>
      <c r="AK143" s="190"/>
      <c r="AL143" s="114"/>
      <c r="AM143" s="285">
        <f>1-AM108</f>
        <v>9.9999999999999978E-2</v>
      </c>
      <c r="AN143" s="285">
        <f>1-AN108</f>
        <v>0</v>
      </c>
      <c r="AO143" s="285">
        <f>1-AO108</f>
        <v>9.9999999999999978E-2</v>
      </c>
      <c r="AP143" s="272"/>
      <c r="AQ143" s="272"/>
      <c r="AR143" s="272"/>
      <c r="AS143" s="272"/>
      <c r="AT143" s="272"/>
      <c r="AU143" s="272"/>
      <c r="AV143" s="108"/>
      <c r="AW143" s="190"/>
      <c r="AX143" s="114"/>
      <c r="AY143" s="285">
        <f>1-AY108</f>
        <v>9.9999999999999978E-2</v>
      </c>
      <c r="AZ143" s="285">
        <f>1-AZ108</f>
        <v>0</v>
      </c>
      <c r="BA143" s="285">
        <f>1-BA108</f>
        <v>9.9999999999999978E-2</v>
      </c>
      <c r="BB143" s="272"/>
      <c r="BC143" s="272"/>
      <c r="BD143" s="272"/>
      <c r="BE143" s="272"/>
      <c r="BF143" s="272"/>
      <c r="BG143" s="272"/>
      <c r="BH143" s="174"/>
    </row>
    <row r="144" spans="1:60" hidden="1">
      <c r="A144" s="1040"/>
      <c r="B144" s="1109" t="s">
        <v>216</v>
      </c>
      <c r="C144" s="1107" t="s">
        <v>181</v>
      </c>
      <c r="D144" s="638"/>
      <c r="E144" s="180" t="s">
        <v>219</v>
      </c>
      <c r="F144" s="180"/>
      <c r="G144" s="180"/>
      <c r="H144" s="181" t="s">
        <v>160</v>
      </c>
      <c r="I144" s="79"/>
      <c r="J144" s="202">
        <f>M144+Y144+AK144+AW144</f>
        <v>0</v>
      </c>
      <c r="K144" s="243"/>
      <c r="L144" s="243"/>
      <c r="M144" s="202">
        <f>SUM(O144:X144)</f>
        <v>0</v>
      </c>
      <c r="N144" s="114"/>
      <c r="O144" s="168">
        <f>O$97*O143</f>
        <v>0</v>
      </c>
      <c r="P144" s="168">
        <f>P$97*P143</f>
        <v>0</v>
      </c>
      <c r="Q144" s="168">
        <f>Q$97*Q143</f>
        <v>0</v>
      </c>
      <c r="R144" s="273"/>
      <c r="S144" s="273"/>
      <c r="T144" s="273"/>
      <c r="U144" s="273"/>
      <c r="V144" s="273"/>
      <c r="W144" s="273"/>
      <c r="X144" s="106"/>
      <c r="Y144" s="202">
        <f>SUM(AA144:AJ144)</f>
        <v>0</v>
      </c>
      <c r="Z144" s="114"/>
      <c r="AA144" s="168">
        <f>AA$97*AA143</f>
        <v>0</v>
      </c>
      <c r="AB144" s="168">
        <f>AB$97*AB143</f>
        <v>0</v>
      </c>
      <c r="AC144" s="168">
        <f>AC$97*AC143</f>
        <v>0</v>
      </c>
      <c r="AD144" s="273"/>
      <c r="AE144" s="273"/>
      <c r="AF144" s="273"/>
      <c r="AG144" s="273"/>
      <c r="AH144" s="273"/>
      <c r="AI144" s="273"/>
      <c r="AJ144" s="106"/>
      <c r="AK144" s="202">
        <f>SUM(AM144:AV144)</f>
        <v>0</v>
      </c>
      <c r="AL144" s="114"/>
      <c r="AM144" s="168">
        <f>AM$97*AM143</f>
        <v>0</v>
      </c>
      <c r="AN144" s="168">
        <f>AN$97*AN143</f>
        <v>0</v>
      </c>
      <c r="AO144" s="168">
        <f>AO$97*AO143</f>
        <v>0</v>
      </c>
      <c r="AP144" s="273"/>
      <c r="AQ144" s="273"/>
      <c r="AR144" s="273"/>
      <c r="AS144" s="273"/>
      <c r="AT144" s="273"/>
      <c r="AU144" s="273"/>
      <c r="AV144" s="106"/>
      <c r="AW144" s="202">
        <f>SUM(AY144:BH144)</f>
        <v>0</v>
      </c>
      <c r="AX144" s="114"/>
      <c r="AY144" s="168">
        <f>AY$97*AY143</f>
        <v>0</v>
      </c>
      <c r="AZ144" s="168">
        <f>AZ$97*AZ143</f>
        <v>0</v>
      </c>
      <c r="BA144" s="168">
        <f>BA$97*BA143</f>
        <v>0</v>
      </c>
      <c r="BB144" s="273"/>
      <c r="BC144" s="273"/>
      <c r="BD144" s="273"/>
      <c r="BE144" s="273"/>
      <c r="BF144" s="273"/>
      <c r="BG144" s="273"/>
      <c r="BH144" s="210"/>
    </row>
    <row r="145" spans="1:60">
      <c r="A145" s="1040"/>
      <c r="B145" s="1109" t="s">
        <v>216</v>
      </c>
      <c r="C145" s="1106" t="s">
        <v>118</v>
      </c>
      <c r="D145" s="638"/>
      <c r="E145" s="254" t="s">
        <v>220</v>
      </c>
      <c r="F145" s="254"/>
      <c r="G145" s="254"/>
      <c r="H145" s="291" t="s">
        <v>65</v>
      </c>
      <c r="I145" s="79"/>
      <c r="J145" s="189"/>
      <c r="K145" s="79"/>
      <c r="L145" s="79"/>
      <c r="M145" s="189"/>
      <c r="N145" s="116"/>
      <c r="O145" s="349">
        <f>IF(O146&lt;&gt;"",O146,HLOOKUP(IF(O$83="",referentie_verwarming,O$83),toestellen_RV,ROWS(bibliotheek!$E$83:$E$107),FALSE))</f>
        <v>1</v>
      </c>
      <c r="P145" s="349">
        <f>IF(P146&lt;&gt;"",P146,HLOOKUP(IF(P$83="",referentie_koeling,P$83),toestellen_KOEL,ROWS(bibliotheek!$E$190:$E$206),FALSE))</f>
        <v>0</v>
      </c>
      <c r="Q145" s="349">
        <f>IF(Q146&lt;&gt;"",Q146,HLOOKUP(IF(Q$83="",referentie_warmtapwater,Q$83),toestellen_TAP,ROWS(bibliotheek!$E$139:$E$163),FALSE))</f>
        <v>1</v>
      </c>
      <c r="R145" s="350"/>
      <c r="S145" s="350"/>
      <c r="T145" s="350"/>
      <c r="U145" s="350"/>
      <c r="V145" s="350"/>
      <c r="W145" s="350"/>
      <c r="X145" s="351"/>
      <c r="Y145" s="352"/>
      <c r="Z145" s="114"/>
      <c r="AA145" s="349">
        <f>IF(AA146&lt;&gt;"",AA146,HLOOKUP(IF(AA$83="",referentie_verwarming,AA$83),toestellen_RV,ROWS(bibliotheek!$E$83:$E$107),FALSE))</f>
        <v>1</v>
      </c>
      <c r="AB145" s="349">
        <f>IF(AB146&lt;&gt;"",AB146,HLOOKUP(IF(AB$83="",referentie_koeling,AB$83),toestellen_KOEL,ROWS(bibliotheek!$E$190:$E$206),FALSE))</f>
        <v>0</v>
      </c>
      <c r="AC145" s="349">
        <f>IF(AC146&lt;&gt;"",AC146,HLOOKUP(IF(AC$83="",referentie_warmtapwater,AC$83),toestellen_TAP,ROWS(bibliotheek!$E$139:$E$163),FALSE))</f>
        <v>1</v>
      </c>
      <c r="AD145" s="350"/>
      <c r="AE145" s="350"/>
      <c r="AF145" s="350"/>
      <c r="AG145" s="350"/>
      <c r="AH145" s="350"/>
      <c r="AI145" s="350"/>
      <c r="AJ145" s="351"/>
      <c r="AK145" s="352"/>
      <c r="AL145" s="114"/>
      <c r="AM145" s="349">
        <f>IF(AM146&lt;&gt;"",AM146,HLOOKUP(IF(AM$83="",referentie_verwarming,AM$83),toestellen_RV,ROWS(bibliotheek!$E$83:$E$107),FALSE))</f>
        <v>1</v>
      </c>
      <c r="AN145" s="349">
        <f>IF(AN146&lt;&gt;"",AN146,HLOOKUP(IF(AN$83="",referentie_koeling,AN$83),toestellen_KOEL,ROWS(bibliotheek!$E$190:$E$206),FALSE))</f>
        <v>0</v>
      </c>
      <c r="AO145" s="349">
        <f>IF(AO146&lt;&gt;"",AO146,HLOOKUP(IF(AO$83="",referentie_warmtapwater,AO$83),toestellen_TAP,ROWS(bibliotheek!$E$139:$E$163),FALSE))</f>
        <v>1</v>
      </c>
      <c r="AP145" s="350"/>
      <c r="AQ145" s="350"/>
      <c r="AR145" s="350"/>
      <c r="AS145" s="350"/>
      <c r="AT145" s="350"/>
      <c r="AU145" s="350"/>
      <c r="AV145" s="351"/>
      <c r="AW145" s="352"/>
      <c r="AX145" s="114"/>
      <c r="AY145" s="349">
        <f>IF(AY146&lt;&gt;"",AY146,HLOOKUP(IF(AY$83="",referentie_verwarming,AY$83),toestellen_RV,ROWS(bibliotheek!$E$83:$E$107),FALSE))</f>
        <v>1</v>
      </c>
      <c r="AZ145" s="349">
        <f>IF(AZ146&lt;&gt;"",AZ146,HLOOKUP(IF(AZ$83="",referentie_koeling,AZ$83),toestellen_KOEL,ROWS(bibliotheek!$E$190:$E$206),FALSE))</f>
        <v>0</v>
      </c>
      <c r="BA145" s="349">
        <f>IF(BA146&lt;&gt;"",BA146,HLOOKUP(IF(BA$83="",referentie_warmtapwater,BA$83),toestellen_TAP,ROWS(bibliotheek!$E$139:$E$163),FALSE))</f>
        <v>1</v>
      </c>
      <c r="BB145" s="300"/>
      <c r="BC145" s="300"/>
      <c r="BD145" s="300"/>
      <c r="BE145" s="300"/>
      <c r="BF145" s="300"/>
      <c r="BG145" s="300"/>
      <c r="BH145" s="174"/>
    </row>
    <row r="146" spans="1:60">
      <c r="A146" s="1040"/>
      <c r="B146" s="1109" t="s">
        <v>216</v>
      </c>
      <c r="C146" s="1106" t="s">
        <v>118</v>
      </c>
      <c r="D146" s="638"/>
      <c r="E146" s="1218" t="s">
        <v>197</v>
      </c>
      <c r="F146" s="255"/>
      <c r="G146" s="255"/>
      <c r="H146" s="292"/>
      <c r="I146" s="79"/>
      <c r="J146" s="299"/>
      <c r="K146" s="79"/>
      <c r="L146" s="79"/>
      <c r="M146" s="198"/>
      <c r="N146" s="161"/>
      <c r="O146" s="628"/>
      <c r="P146" s="629"/>
      <c r="Q146" s="628"/>
      <c r="R146" s="630"/>
      <c r="S146" s="630"/>
      <c r="T146" s="630"/>
      <c r="U146" s="630"/>
      <c r="V146" s="630"/>
      <c r="W146" s="630"/>
      <c r="X146" s="348"/>
      <c r="Y146" s="631"/>
      <c r="Z146" s="114"/>
      <c r="AA146" s="628"/>
      <c r="AB146" s="629"/>
      <c r="AC146" s="628"/>
      <c r="AD146" s="630"/>
      <c r="AE146" s="630"/>
      <c r="AF146" s="630"/>
      <c r="AG146" s="630"/>
      <c r="AH146" s="630"/>
      <c r="AI146" s="630"/>
      <c r="AJ146" s="348"/>
      <c r="AK146" s="631"/>
      <c r="AL146" s="114"/>
      <c r="AM146" s="628"/>
      <c r="AN146" s="629"/>
      <c r="AO146" s="628"/>
      <c r="AP146" s="630"/>
      <c r="AQ146" s="630"/>
      <c r="AR146" s="630"/>
      <c r="AS146" s="630"/>
      <c r="AT146" s="630"/>
      <c r="AU146" s="630"/>
      <c r="AV146" s="348"/>
      <c r="AW146" s="631"/>
      <c r="AX146" s="114"/>
      <c r="AY146" s="628"/>
      <c r="AZ146" s="629"/>
      <c r="BA146" s="628"/>
      <c r="BB146" s="301"/>
      <c r="BC146" s="301"/>
      <c r="BD146" s="301"/>
      <c r="BE146" s="301"/>
      <c r="BF146" s="301"/>
      <c r="BG146" s="301"/>
      <c r="BH146" s="174"/>
    </row>
    <row r="147" spans="1:60" hidden="1">
      <c r="A147" s="1040"/>
      <c r="B147" s="1109" t="s">
        <v>216</v>
      </c>
      <c r="C147" s="1106" t="s">
        <v>181</v>
      </c>
      <c r="D147" s="638"/>
      <c r="E147" s="180" t="s">
        <v>221</v>
      </c>
      <c r="F147" s="180"/>
      <c r="G147" s="180"/>
      <c r="H147" s="181" t="s">
        <v>202</v>
      </c>
      <c r="I147" s="79"/>
      <c r="J147" s="202">
        <f>M147+Y147+AK147+AW147</f>
        <v>0</v>
      </c>
      <c r="K147" s="243"/>
      <c r="L147" s="243"/>
      <c r="M147" s="202">
        <f>SUM(O147:X147)</f>
        <v>0</v>
      </c>
      <c r="N147" s="114"/>
      <c r="O147" s="168">
        <f>IF(O$145=0,0,O$144/O$145)</f>
        <v>0</v>
      </c>
      <c r="P147" s="168">
        <f>IF(P$145=0,0,P$144/P$145)</f>
        <v>0</v>
      </c>
      <c r="Q147" s="168">
        <f>IF(Q$145=0,0,Q$144/Q$145)</f>
        <v>0</v>
      </c>
      <c r="R147" s="273"/>
      <c r="S147" s="273"/>
      <c r="T147" s="273"/>
      <c r="U147" s="273"/>
      <c r="V147" s="273"/>
      <c r="W147" s="273"/>
      <c r="X147" s="106"/>
      <c r="Y147" s="202">
        <f>SUM(AA147:AJ147)</f>
        <v>0</v>
      </c>
      <c r="Z147" s="114"/>
      <c r="AA147" s="168">
        <f>IF(AA$145=0,0,AA$144/AA$145)</f>
        <v>0</v>
      </c>
      <c r="AB147" s="168">
        <f>IF(AB$145=0,0,AB$144/AB$145)</f>
        <v>0</v>
      </c>
      <c r="AC147" s="168">
        <f>IF(AC$145=0,0,AC$144/AC$145)</f>
        <v>0</v>
      </c>
      <c r="AD147" s="273"/>
      <c r="AE147" s="273"/>
      <c r="AF147" s="273"/>
      <c r="AG147" s="273"/>
      <c r="AH147" s="273"/>
      <c r="AI147" s="273"/>
      <c r="AJ147" s="106"/>
      <c r="AK147" s="202">
        <f>SUM(AM147:AV147)</f>
        <v>0</v>
      </c>
      <c r="AL147" s="114"/>
      <c r="AM147" s="168">
        <f>IF(AM$145=0,0,AM$144/AM$145)</f>
        <v>0</v>
      </c>
      <c r="AN147" s="168">
        <f>IF(AN$145=0,0,AN$144/AN$145)</f>
        <v>0</v>
      </c>
      <c r="AO147" s="168">
        <f>IF(AO$145=0,0,AO$144/AO$145)</f>
        <v>0</v>
      </c>
      <c r="AP147" s="273"/>
      <c r="AQ147" s="273"/>
      <c r="AR147" s="273"/>
      <c r="AS147" s="273"/>
      <c r="AT147" s="273"/>
      <c r="AU147" s="273"/>
      <c r="AV147" s="106"/>
      <c r="AW147" s="202">
        <f>SUM(AY147:BH147)</f>
        <v>0</v>
      </c>
      <c r="AX147" s="114"/>
      <c r="AY147" s="168">
        <f>IF(AY$145=0,0,AY$144/AY$145)</f>
        <v>0</v>
      </c>
      <c r="AZ147" s="168">
        <f>IF(AZ$145=0,0,AZ$144/AZ$145)</f>
        <v>0</v>
      </c>
      <c r="BA147" s="168">
        <f>IF(BA$145=0,0,BA$144/BA$145)</f>
        <v>0</v>
      </c>
      <c r="BB147" s="273"/>
      <c r="BC147" s="273"/>
      <c r="BD147" s="273"/>
      <c r="BE147" s="273"/>
      <c r="BF147" s="273"/>
      <c r="BG147" s="273"/>
      <c r="BH147" s="210"/>
    </row>
    <row r="148" spans="1:60">
      <c r="A148" s="1040"/>
      <c r="B148" s="1109" t="s">
        <v>216</v>
      </c>
      <c r="C148" s="1106" t="s">
        <v>96</v>
      </c>
      <c r="D148" s="638"/>
      <c r="E148" s="940" t="s">
        <v>1220</v>
      </c>
      <c r="F148" s="940"/>
      <c r="G148" s="940"/>
      <c r="H148" s="940"/>
      <c r="I148" s="77"/>
      <c r="J148" s="939"/>
      <c r="K148" s="126"/>
      <c r="L148" s="126"/>
      <c r="M148" s="938"/>
      <c r="N148" s="191"/>
      <c r="O148" s="177" t="str">
        <f>O$10</f>
        <v>verwarming</v>
      </c>
      <c r="P148" s="177" t="str">
        <f>P$10</f>
        <v>koeling</v>
      </c>
      <c r="Q148" s="177" t="str">
        <f>Q$10</f>
        <v>tapwater</v>
      </c>
      <c r="R148" s="938"/>
      <c r="S148" s="938"/>
      <c r="T148" s="938"/>
      <c r="U148" s="938"/>
      <c r="V148" s="938"/>
      <c r="W148" s="938"/>
      <c r="X148" s="191"/>
      <c r="Y148" s="938"/>
      <c r="Z148" s="191"/>
      <c r="AA148" s="177" t="str">
        <f>AA$10</f>
        <v>verwarming</v>
      </c>
      <c r="AB148" s="177" t="str">
        <f>AB$10</f>
        <v>koeling</v>
      </c>
      <c r="AC148" s="177" t="str">
        <f>AC$10</f>
        <v>tapwater</v>
      </c>
      <c r="AD148" s="938"/>
      <c r="AE148" s="938"/>
      <c r="AF148" s="938"/>
      <c r="AG148" s="938"/>
      <c r="AH148" s="938"/>
      <c r="AI148" s="938"/>
      <c r="AJ148" s="191"/>
      <c r="AK148" s="938"/>
      <c r="AL148" s="191"/>
      <c r="AM148" s="177" t="str">
        <f>AM$10</f>
        <v>verwarming</v>
      </c>
      <c r="AN148" s="177" t="str">
        <f>AN$10</f>
        <v>koeling</v>
      </c>
      <c r="AO148" s="177" t="str">
        <f>AO$10</f>
        <v>tapwater</v>
      </c>
      <c r="AP148" s="938"/>
      <c r="AQ148" s="938"/>
      <c r="AR148" s="938"/>
      <c r="AS148" s="938"/>
      <c r="AT148" s="938"/>
      <c r="AU148" s="938"/>
      <c r="AV148" s="191"/>
      <c r="AW148" s="938"/>
      <c r="AX148" s="191"/>
      <c r="AY148" s="177" t="str">
        <f>AY$10</f>
        <v>verwarming</v>
      </c>
      <c r="AZ148" s="177" t="str">
        <f>AZ$10</f>
        <v>koeling</v>
      </c>
      <c r="BA148" s="177" t="str">
        <f>BA$10</f>
        <v>tapwater</v>
      </c>
      <c r="BB148" s="938"/>
      <c r="BC148" s="938"/>
      <c r="BD148" s="938"/>
      <c r="BE148" s="938"/>
      <c r="BF148" s="938"/>
      <c r="BG148" s="938"/>
      <c r="BH148" s="36"/>
    </row>
    <row r="149" spans="1:60">
      <c r="A149" s="1040"/>
      <c r="B149" s="1109" t="s">
        <v>216</v>
      </c>
      <c r="C149" s="1106" t="s">
        <v>118</v>
      </c>
      <c r="D149" s="641" t="s">
        <v>45</v>
      </c>
      <c r="E149" s="1170" t="s">
        <v>1348</v>
      </c>
      <c r="F149" s="181"/>
      <c r="G149" s="254"/>
      <c r="H149" s="291" t="s">
        <v>204</v>
      </c>
      <c r="I149" s="79"/>
      <c r="J149" s="189"/>
      <c r="K149" s="79"/>
      <c r="L149" s="79"/>
      <c r="M149" s="189"/>
      <c r="N149" s="116"/>
      <c r="O149" s="290">
        <f>IF(O144=0,0,IF(O150&lt;&gt;"",O150,IF(O141=elektriciteit,$G$5,HLOOKUP(O141,ENERGIEDRAGERS,ROWS(bibliotheek!$E$259:$E$261),FALSE))))</f>
        <v>0</v>
      </c>
      <c r="P149" s="290">
        <f>IF(P144=0,0,IF(P150&lt;&gt;"",P150,IF(HLOOKUP(P141,ENERGIEDRAGERS,ROWS(bibliotheek!$E$259:$E$260),FALSE)=0,$G$5,HLOOKUP(P141,ENERGIEDRAGERS,ROWS(bibliotheek!$E$259:$E$261),FALSE))))</f>
        <v>0</v>
      </c>
      <c r="Q149" s="290">
        <f>IF(Q144=0,0,IF(Q150&lt;&gt;"",Q150,IF(Q141=elektriciteit,$G$5,HLOOKUP(Q141,ENERGIEDRAGERS,ROWS(bibliotheek!$E$259:$E$261),FALSE))))</f>
        <v>0</v>
      </c>
      <c r="R149" s="302"/>
      <c r="S149" s="302"/>
      <c r="T149" s="302"/>
      <c r="U149" s="302"/>
      <c r="V149" s="302"/>
      <c r="W149" s="302"/>
      <c r="X149" s="108"/>
      <c r="Y149" s="189"/>
      <c r="Z149" s="116"/>
      <c r="AA149" s="290">
        <f>IF(AA144=0,0,IF(AA150&lt;&gt;"",AA150,IF(AA141=elektriciteit,$G$5,HLOOKUP(AA141,ENERGIEDRAGERS,ROWS(bibliotheek!$E$259:$E$261),FALSE))))</f>
        <v>0</v>
      </c>
      <c r="AB149" s="290">
        <f>IF(AB144=0,0,IF(AB150&lt;&gt;"",AB150,IF(HLOOKUP(AB141,ENERGIEDRAGERS,ROWS(bibliotheek!$E$259:$E$260),FALSE)=0,$G$5,HLOOKUP(AB141,ENERGIEDRAGERS,ROWS(bibliotheek!$E$259:$E$261),FALSE))))</f>
        <v>0</v>
      </c>
      <c r="AC149" s="290">
        <f>IF(AC144=0,0,IF(AC150&lt;&gt;"",AC150,IF(AC141=elektriciteit,$G$5,HLOOKUP(AC141,ENERGIEDRAGERS,ROWS(bibliotheek!$E$259:$E$261),FALSE))))</f>
        <v>0</v>
      </c>
      <c r="AD149" s="302"/>
      <c r="AE149" s="302"/>
      <c r="AF149" s="302"/>
      <c r="AG149" s="302"/>
      <c r="AH149" s="302"/>
      <c r="AI149" s="302"/>
      <c r="AJ149" s="108"/>
      <c r="AK149" s="189"/>
      <c r="AL149" s="116"/>
      <c r="AM149" s="290">
        <f>IF(AM144=0,0,IF(AM150&lt;&gt;"",AM150,IF(AM141=elektriciteit,$G$5,HLOOKUP(AM141,ENERGIEDRAGERS,ROWS(bibliotheek!$E$259:$E$261),FALSE))))</f>
        <v>0</v>
      </c>
      <c r="AN149" s="290">
        <f>IF(AN144=0,0,IF(AN150&lt;&gt;"",AN150,IF(HLOOKUP(AN141,ENERGIEDRAGERS,ROWS(bibliotheek!$E$259:$E$260),FALSE)=0,$G$5,HLOOKUP(AN141,ENERGIEDRAGERS,ROWS(bibliotheek!$E$259:$E$261),FALSE))))</f>
        <v>0</v>
      </c>
      <c r="AO149" s="290">
        <f>IF(AO144=0,0,IF(AO150&lt;&gt;"",AO150,IF(AO141=elektriciteit,$G$5,HLOOKUP(AO141,ENERGIEDRAGERS,ROWS(bibliotheek!$E$259:$E$261),FALSE))))</f>
        <v>0</v>
      </c>
      <c r="AP149" s="302"/>
      <c r="AQ149" s="302"/>
      <c r="AR149" s="302"/>
      <c r="AS149" s="302"/>
      <c r="AT149" s="302"/>
      <c r="AU149" s="302"/>
      <c r="AV149" s="108"/>
      <c r="AW149" s="189"/>
      <c r="AX149" s="116"/>
      <c r="AY149" s="290">
        <f>IF(AY144=0,0,IF(AY150&lt;&gt;"",AY150,IF(AY141=elektriciteit,$G$5,HLOOKUP(AY141,ENERGIEDRAGERS,ROWS(bibliotheek!$E$259:$E$261),FALSE))))</f>
        <v>0</v>
      </c>
      <c r="AZ149" s="290">
        <f>IF(AZ144=0,0,IF(AZ150&lt;&gt;"",AZ150,IF(HLOOKUP(AZ141,ENERGIEDRAGERS,ROWS(bibliotheek!$E$259:$E$260),FALSE)=0,$G$5,HLOOKUP(AZ141,ENERGIEDRAGERS,ROWS(bibliotheek!$E$259:$E$261),FALSE))))</f>
        <v>0</v>
      </c>
      <c r="BA149" s="290">
        <f>IF(BA144=0,0,IF(BA150&lt;&gt;"",BA150,IF(BA141=elektriciteit,$G$5,HLOOKUP(BA141,ENERGIEDRAGERS,ROWS(bibliotheek!$E$259:$E$261),FALSE))))</f>
        <v>0</v>
      </c>
      <c r="BB149" s="302"/>
      <c r="BC149" s="302"/>
      <c r="BD149" s="302"/>
      <c r="BE149" s="302"/>
      <c r="BF149" s="302"/>
      <c r="BG149" s="302"/>
      <c r="BH149" s="174"/>
    </row>
    <row r="150" spans="1:60">
      <c r="A150" s="1040"/>
      <c r="B150" s="1109" t="s">
        <v>216</v>
      </c>
      <c r="C150" s="1106" t="s">
        <v>118</v>
      </c>
      <c r="D150" s="638"/>
      <c r="E150" s="1218" t="s">
        <v>205</v>
      </c>
      <c r="F150" s="255"/>
      <c r="G150" s="255"/>
      <c r="H150" s="292"/>
      <c r="I150" s="79"/>
      <c r="J150" s="299"/>
      <c r="K150" s="79"/>
      <c r="L150" s="79"/>
      <c r="M150" s="198"/>
      <c r="N150" s="161"/>
      <c r="O150" s="628"/>
      <c r="P150" s="629"/>
      <c r="Q150" s="628"/>
      <c r="R150" s="630"/>
      <c r="S150" s="630"/>
      <c r="T150" s="630"/>
      <c r="U150" s="630"/>
      <c r="V150" s="630"/>
      <c r="W150" s="630"/>
      <c r="X150" s="348"/>
      <c r="Y150" s="631"/>
      <c r="Z150" s="114"/>
      <c r="AA150" s="628"/>
      <c r="AB150" s="629"/>
      <c r="AC150" s="628"/>
      <c r="AD150" s="630"/>
      <c r="AE150" s="630"/>
      <c r="AF150" s="630"/>
      <c r="AG150" s="630"/>
      <c r="AH150" s="630"/>
      <c r="AI150" s="630"/>
      <c r="AJ150" s="348"/>
      <c r="AK150" s="631"/>
      <c r="AL150" s="114"/>
      <c r="AM150" s="628"/>
      <c r="AN150" s="629"/>
      <c r="AO150" s="628"/>
      <c r="AP150" s="630"/>
      <c r="AQ150" s="630"/>
      <c r="AR150" s="630"/>
      <c r="AS150" s="630"/>
      <c r="AT150" s="630"/>
      <c r="AU150" s="630"/>
      <c r="AV150" s="348"/>
      <c r="AW150" s="631"/>
      <c r="AX150" s="114"/>
      <c r="AY150" s="628"/>
      <c r="AZ150" s="629"/>
      <c r="BA150" s="628"/>
      <c r="BB150" s="301"/>
      <c r="BC150" s="301"/>
      <c r="BD150" s="301"/>
      <c r="BE150" s="301"/>
      <c r="BF150" s="301"/>
      <c r="BG150" s="301"/>
      <c r="BH150" s="174"/>
    </row>
    <row r="151" spans="1:60">
      <c r="A151" s="1040"/>
      <c r="B151" s="1109" t="s">
        <v>216</v>
      </c>
      <c r="C151" s="1106" t="s">
        <v>104</v>
      </c>
      <c r="D151" s="638"/>
      <c r="E151" s="1162" t="s">
        <v>232</v>
      </c>
      <c r="F151" s="181"/>
      <c r="G151" s="181"/>
      <c r="H151" s="181" t="s">
        <v>106</v>
      </c>
      <c r="I151" s="79"/>
      <c r="J151" s="202">
        <f>M151+Y151+AK151+AW151</f>
        <v>0</v>
      </c>
      <c r="K151" s="1062"/>
      <c r="L151" s="1062"/>
      <c r="M151" s="202">
        <f>SUM(O151:X151)</f>
        <v>0</v>
      </c>
      <c r="N151" s="114"/>
      <c r="O151" s="168">
        <f>O$147*O$149</f>
        <v>0</v>
      </c>
      <c r="P151" s="168">
        <f>P$147*P$149</f>
        <v>0</v>
      </c>
      <c r="Q151" s="168">
        <f>Q$147*Q$149</f>
        <v>0</v>
      </c>
      <c r="R151" s="273"/>
      <c r="S151" s="273"/>
      <c r="T151" s="273"/>
      <c r="U151" s="273"/>
      <c r="V151" s="273"/>
      <c r="W151" s="273"/>
      <c r="X151" s="113"/>
      <c r="Y151" s="202">
        <f>SUM(AA151:AJ151)</f>
        <v>0</v>
      </c>
      <c r="Z151" s="114"/>
      <c r="AA151" s="168">
        <f>AA$147*AA$149</f>
        <v>0</v>
      </c>
      <c r="AB151" s="168">
        <f>AB$147*AB$149</f>
        <v>0</v>
      </c>
      <c r="AC151" s="168">
        <f>AC$147*AC$149</f>
        <v>0</v>
      </c>
      <c r="AD151" s="273"/>
      <c r="AE151" s="273"/>
      <c r="AF151" s="273"/>
      <c r="AG151" s="273"/>
      <c r="AH151" s="273"/>
      <c r="AI151" s="273"/>
      <c r="AJ151" s="113"/>
      <c r="AK151" s="202">
        <f>SUM(AM151:AV151)</f>
        <v>0</v>
      </c>
      <c r="AL151" s="114"/>
      <c r="AM151" s="168">
        <f>AM$147*AM$149</f>
        <v>0</v>
      </c>
      <c r="AN151" s="168">
        <f>AN$147*AN$149</f>
        <v>0</v>
      </c>
      <c r="AO151" s="168">
        <f>AO$147*AO$149</f>
        <v>0</v>
      </c>
      <c r="AP151" s="273"/>
      <c r="AQ151" s="273"/>
      <c r="AR151" s="273"/>
      <c r="AS151" s="273"/>
      <c r="AT151" s="273"/>
      <c r="AU151" s="273"/>
      <c r="AV151" s="113"/>
      <c r="AW151" s="202">
        <f>SUM(AY151:BH151)</f>
        <v>0</v>
      </c>
      <c r="AX151" s="114"/>
      <c r="AY151" s="168">
        <f>AY$147*AY$149</f>
        <v>0</v>
      </c>
      <c r="AZ151" s="168">
        <f>AZ$147*AZ$149</f>
        <v>0</v>
      </c>
      <c r="BA151" s="168">
        <f>BA$147*BA$149</f>
        <v>0</v>
      </c>
      <c r="BB151" s="273"/>
      <c r="BC151" s="273"/>
      <c r="BD151" s="273"/>
      <c r="BE151" s="273"/>
      <c r="BF151" s="273"/>
      <c r="BG151" s="273"/>
      <c r="BH151" s="210"/>
    </row>
    <row r="152" spans="1:60">
      <c r="A152" s="1040"/>
      <c r="B152" s="1109" t="s">
        <v>216</v>
      </c>
      <c r="C152" s="1106" t="s">
        <v>96</v>
      </c>
      <c r="D152" s="638"/>
      <c r="E152" s="940" t="s">
        <v>1200</v>
      </c>
      <c r="F152" s="940"/>
      <c r="G152" s="940"/>
      <c r="H152" s="993"/>
      <c r="I152" s="79"/>
      <c r="J152" s="1016"/>
      <c r="K152" s="1062"/>
      <c r="L152" s="1062"/>
      <c r="M152" s="1017"/>
      <c r="N152" s="79"/>
      <c r="O152" s="1026" t="str">
        <f>O$10</f>
        <v>verwarming</v>
      </c>
      <c r="P152" s="1026" t="str">
        <f>P$10</f>
        <v>koeling</v>
      </c>
      <c r="Q152" s="1026" t="str">
        <f>Q$10</f>
        <v>tapwater</v>
      </c>
      <c r="R152" s="1025"/>
      <c r="S152" s="1025"/>
      <c r="T152" s="1025"/>
      <c r="U152" s="1025"/>
      <c r="V152" s="1025"/>
      <c r="W152" s="1025"/>
      <c r="X152" s="113"/>
      <c r="Y152" s="1031"/>
      <c r="Z152" s="79"/>
      <c r="AA152" s="1026" t="str">
        <f>AA$10</f>
        <v>verwarming</v>
      </c>
      <c r="AB152" s="1026" t="str">
        <f>AB$10</f>
        <v>koeling</v>
      </c>
      <c r="AC152" s="1026" t="str">
        <f>AC$10</f>
        <v>tapwater</v>
      </c>
      <c r="AD152" s="1025"/>
      <c r="AE152" s="1025"/>
      <c r="AF152" s="1025"/>
      <c r="AG152" s="1025"/>
      <c r="AH152" s="1025"/>
      <c r="AI152" s="1025"/>
      <c r="AJ152" s="113"/>
      <c r="AK152" s="1031"/>
      <c r="AL152" s="79"/>
      <c r="AM152" s="1026" t="str">
        <f>AM$10</f>
        <v>verwarming</v>
      </c>
      <c r="AN152" s="1026" t="str">
        <f>AN$10</f>
        <v>koeling</v>
      </c>
      <c r="AO152" s="1026" t="str">
        <f>AO$10</f>
        <v>tapwater</v>
      </c>
      <c r="AP152" s="1025"/>
      <c r="AQ152" s="1025"/>
      <c r="AR152" s="1025"/>
      <c r="AS152" s="1025"/>
      <c r="AT152" s="1025"/>
      <c r="AU152" s="1025"/>
      <c r="AV152" s="113"/>
      <c r="AW152" s="1031"/>
      <c r="AX152" s="79"/>
      <c r="AY152" s="1026" t="str">
        <f>AY$10</f>
        <v>verwarming</v>
      </c>
      <c r="AZ152" s="1026" t="str">
        <f>AZ$10</f>
        <v>koeling</v>
      </c>
      <c r="BA152" s="1026" t="str">
        <f>BA$10</f>
        <v>tapwater</v>
      </c>
      <c r="BB152" s="1025"/>
      <c r="BC152" s="1025"/>
      <c r="BD152" s="1025"/>
      <c r="BE152" s="1025"/>
      <c r="BF152" s="1025"/>
      <c r="BG152" s="1025"/>
      <c r="BH152" s="210"/>
    </row>
    <row r="153" spans="1:60">
      <c r="A153" s="1040"/>
      <c r="B153" s="1109" t="s">
        <v>216</v>
      </c>
      <c r="C153" s="1106" t="s">
        <v>118</v>
      </c>
      <c r="D153" s="638"/>
      <c r="E153" s="1170" t="s">
        <v>1349</v>
      </c>
      <c r="F153" s="181"/>
      <c r="G153" s="254"/>
      <c r="H153" s="1034" t="s">
        <v>1208</v>
      </c>
      <c r="I153" s="79"/>
      <c r="J153" s="1014"/>
      <c r="K153" s="1062"/>
      <c r="L153" s="1062"/>
      <c r="M153" s="202"/>
      <c r="N153" s="79"/>
      <c r="O153" s="228">
        <f>IF(O144=0,0,IF(O154&lt;&gt;"",O154,HLOOKUP(O141,ENERGIEDRAGERS,ROWS(bibliotheek!$E$259:$E$262),FALSE)))</f>
        <v>0</v>
      </c>
      <c r="P153" s="228">
        <f>IF(P144=0,0,IF(P154&lt;&gt;"",P154,HLOOKUP(P141,ENERGIEDRAGERS,ROWS(bibliotheek!$E$259:$E$262),FALSE)))</f>
        <v>0</v>
      </c>
      <c r="Q153" s="228">
        <f>IF(Q144=0,0,IF(Q154&lt;&gt;"",Q154,HLOOKUP(Q141,ENERGIEDRAGERS,ROWS(bibliotheek!$E$259:$E$262),FALSE)))</f>
        <v>0</v>
      </c>
      <c r="R153" s="273"/>
      <c r="S153" s="273"/>
      <c r="T153" s="273"/>
      <c r="U153" s="273"/>
      <c r="V153" s="273"/>
      <c r="W153" s="273"/>
      <c r="X153" s="113"/>
      <c r="Y153" s="202"/>
      <c r="Z153" s="114"/>
      <c r="AA153" s="228">
        <f>IF(AA144=0,0,IF(AA154&lt;&gt;"",AA154,HLOOKUP(AA141,ENERGIEDRAGERS,ROWS(bibliotheek!$E$259:$E$262),FALSE)))</f>
        <v>0</v>
      </c>
      <c r="AB153" s="228">
        <f>IF(AB144=0,0,IF(AB154&lt;&gt;"",AB154,HLOOKUP(AB141,ENERGIEDRAGERS,ROWS(bibliotheek!$E$259:$E$262),FALSE)))</f>
        <v>0</v>
      </c>
      <c r="AC153" s="228">
        <f>IF(AC144=0,0,IF(AC154&lt;&gt;"",AC154,HLOOKUP(AC141,ENERGIEDRAGERS,ROWS(bibliotheek!$E$259:$E$262),FALSE)))</f>
        <v>0</v>
      </c>
      <c r="AD153" s="273"/>
      <c r="AE153" s="273"/>
      <c r="AF153" s="273"/>
      <c r="AG153" s="273"/>
      <c r="AH153" s="273"/>
      <c r="AI153" s="273"/>
      <c r="AJ153" s="113"/>
      <c r="AK153" s="202"/>
      <c r="AL153" s="114"/>
      <c r="AM153" s="228">
        <f>IF(AM144=0,0,IF(AM154&lt;&gt;"",AM154,HLOOKUP(AM141,ENERGIEDRAGERS,ROWS(bibliotheek!$E$259:$E$262),FALSE)))</f>
        <v>0</v>
      </c>
      <c r="AN153" s="228">
        <f>IF(AN144=0,0,IF(AN154&lt;&gt;"",AN154,HLOOKUP(AN141,ENERGIEDRAGERS,ROWS(bibliotheek!$E$259:$E$262),FALSE)))</f>
        <v>0</v>
      </c>
      <c r="AO153" s="228">
        <f>IF(AO144=0,0,IF(AO154&lt;&gt;"",AO154,HLOOKUP(AO141,ENERGIEDRAGERS,ROWS(bibliotheek!$E$259:$E$262),FALSE)))</f>
        <v>0</v>
      </c>
      <c r="AP153" s="273"/>
      <c r="AQ153" s="273"/>
      <c r="AR153" s="273"/>
      <c r="AS153" s="273"/>
      <c r="AT153" s="273"/>
      <c r="AU153" s="273"/>
      <c r="AV153" s="113"/>
      <c r="AW153" s="202"/>
      <c r="AX153" s="114"/>
      <c r="AY153" s="228">
        <f>IF(AY144=0,0,IF(AY154&lt;&gt;"",AY154,HLOOKUP(AY141,ENERGIEDRAGERS,ROWS(bibliotheek!$E$259:$E$262),FALSE)))</f>
        <v>0</v>
      </c>
      <c r="AZ153" s="228">
        <f>IF(AZ144=0,0,IF(AZ154&lt;&gt;"",AZ154,HLOOKUP(AZ141,ENERGIEDRAGERS,ROWS(bibliotheek!$E$259:$E$262),FALSE)))</f>
        <v>0</v>
      </c>
      <c r="BA153" s="228">
        <f>IF(BA144=0,0,IF(BA154&lt;&gt;"",BA154,HLOOKUP(BA141,ENERGIEDRAGERS,ROWS(bibliotheek!$E$259:$E$262),FALSE)))</f>
        <v>0</v>
      </c>
      <c r="BB153" s="273"/>
      <c r="BC153" s="273"/>
      <c r="BD153" s="273"/>
      <c r="BE153" s="273"/>
      <c r="BF153" s="273"/>
      <c r="BG153" s="273"/>
      <c r="BH153" s="210"/>
    </row>
    <row r="154" spans="1:60">
      <c r="A154" s="1040"/>
      <c r="B154" s="1109" t="s">
        <v>216</v>
      </c>
      <c r="C154" s="1106" t="s">
        <v>118</v>
      </c>
      <c r="D154" s="638"/>
      <c r="E154" s="1218" t="s">
        <v>205</v>
      </c>
      <c r="F154" s="255"/>
      <c r="G154" s="255"/>
      <c r="H154" s="292"/>
      <c r="I154" s="79"/>
      <c r="J154" s="299"/>
      <c r="K154" s="79"/>
      <c r="L154" s="79"/>
      <c r="M154" s="198"/>
      <c r="N154" s="161"/>
      <c r="O154" s="1032"/>
      <c r="P154" s="1032"/>
      <c r="Q154" s="1032"/>
      <c r="R154" s="625"/>
      <c r="S154" s="625"/>
      <c r="T154" s="625"/>
      <c r="U154" s="625"/>
      <c r="V154" s="625"/>
      <c r="W154" s="625"/>
      <c r="X154" s="113"/>
      <c r="Y154" s="190"/>
      <c r="Z154" s="114"/>
      <c r="AA154" s="1032"/>
      <c r="AB154" s="1032"/>
      <c r="AC154" s="1032"/>
      <c r="AD154" s="625"/>
      <c r="AE154" s="625"/>
      <c r="AF154" s="625"/>
      <c r="AG154" s="625"/>
      <c r="AH154" s="625"/>
      <c r="AI154" s="625"/>
      <c r="AJ154" s="113"/>
      <c r="AK154" s="190"/>
      <c r="AL154" s="114"/>
      <c r="AM154" s="1032"/>
      <c r="AN154" s="1032"/>
      <c r="AO154" s="1032"/>
      <c r="AP154" s="625"/>
      <c r="AQ154" s="625"/>
      <c r="AR154" s="625"/>
      <c r="AS154" s="625"/>
      <c r="AT154" s="625"/>
      <c r="AU154" s="625"/>
      <c r="AV154" s="113"/>
      <c r="AW154" s="190"/>
      <c r="AX154" s="114"/>
      <c r="AY154" s="1032"/>
      <c r="AZ154" s="1032"/>
      <c r="BA154" s="1032"/>
      <c r="BB154" s="625"/>
      <c r="BC154" s="625"/>
      <c r="BD154" s="625"/>
      <c r="BE154" s="625"/>
      <c r="BF154" s="625"/>
      <c r="BG154" s="625"/>
      <c r="BH154" s="210"/>
    </row>
    <row r="155" spans="1:60">
      <c r="A155" s="1040"/>
      <c r="B155" s="1109" t="s">
        <v>216</v>
      </c>
      <c r="C155" s="1106" t="s">
        <v>118</v>
      </c>
      <c r="D155" s="638"/>
      <c r="E155" s="1175" t="s">
        <v>1201</v>
      </c>
      <c r="F155" s="595"/>
      <c r="G155" s="595"/>
      <c r="H155" s="1013" t="s">
        <v>65</v>
      </c>
      <c r="I155" s="79"/>
      <c r="J155" s="1014"/>
      <c r="K155" s="1062"/>
      <c r="L155" s="1062"/>
      <c r="M155" s="202"/>
      <c r="N155" s="79"/>
      <c r="O155" s="228">
        <f>IF(O144=0,0,IF(O156&lt;&gt;"",O150,HLOOKUP(O141,ENERGIEDRAGERS,ROWS(bibliotheek!$E$259:$E$263),FALSE)))</f>
        <v>0</v>
      </c>
      <c r="P155" s="228">
        <f>IF(P144=0,0,IF(P156&lt;&gt;"",P150,HLOOKUP(P141,ENERGIEDRAGERS,ROWS(bibliotheek!$E$259:$E$263),FALSE)))</f>
        <v>0</v>
      </c>
      <c r="Q155" s="228">
        <f>IF(Q144=0,0,IF(Q156&lt;&gt;"",Q150,HLOOKUP(Q141,ENERGIEDRAGERS,ROWS(bibliotheek!$E$259:$E$263),FALSE)))</f>
        <v>0</v>
      </c>
      <c r="R155" s="273"/>
      <c r="S155" s="273"/>
      <c r="T155" s="273"/>
      <c r="U155" s="273"/>
      <c r="V155" s="273"/>
      <c r="W155" s="273"/>
      <c r="X155" s="113"/>
      <c r="Y155" s="202"/>
      <c r="Z155" s="114"/>
      <c r="AA155" s="228">
        <f>IF(AA144=0,0,IF(AA156&lt;&gt;"",AA150,HLOOKUP(AA141,ENERGIEDRAGERS,ROWS(bibliotheek!$E$259:$E$263),FALSE)))</f>
        <v>0</v>
      </c>
      <c r="AB155" s="228">
        <f>IF(AB144=0,0,IF(AB156&lt;&gt;"",AB150,HLOOKUP(AB141,ENERGIEDRAGERS,ROWS(bibliotheek!$E$259:$E$263),FALSE)))</f>
        <v>0</v>
      </c>
      <c r="AC155" s="228">
        <f>IF(AC144=0,0,IF(AC156&lt;&gt;"",AC150,HLOOKUP(AC141,ENERGIEDRAGERS,ROWS(bibliotheek!$E$259:$E$263),FALSE)))</f>
        <v>0</v>
      </c>
      <c r="AD155" s="273"/>
      <c r="AE155" s="273"/>
      <c r="AF155" s="273"/>
      <c r="AG155" s="273"/>
      <c r="AH155" s="273"/>
      <c r="AI155" s="273"/>
      <c r="AJ155" s="113"/>
      <c r="AK155" s="202"/>
      <c r="AL155" s="114"/>
      <c r="AM155" s="228">
        <f>IF(AM144=0,0,IF(AM156&lt;&gt;"",AM150,HLOOKUP(AM141,ENERGIEDRAGERS,ROWS(bibliotheek!$E$259:$E$263),FALSE)))</f>
        <v>0</v>
      </c>
      <c r="AN155" s="228">
        <f>IF(AN144=0,0,IF(AN156&lt;&gt;"",AN150,HLOOKUP(AN141,ENERGIEDRAGERS,ROWS(bibliotheek!$E$259:$E$263),FALSE)))</f>
        <v>0</v>
      </c>
      <c r="AO155" s="228">
        <f>IF(AO144=0,0,IF(AO156&lt;&gt;"",AO150,HLOOKUP(AO141,ENERGIEDRAGERS,ROWS(bibliotheek!$E$259:$E$263),FALSE)))</f>
        <v>0</v>
      </c>
      <c r="AP155" s="273"/>
      <c r="AQ155" s="273"/>
      <c r="AR155" s="273"/>
      <c r="AS155" s="273"/>
      <c r="AT155" s="273"/>
      <c r="AU155" s="273"/>
      <c r="AV155" s="113"/>
      <c r="AW155" s="202"/>
      <c r="AX155" s="114"/>
      <c r="AY155" s="228">
        <f>IF(AY144=0,0,IF(AY156&lt;&gt;"",AY150,HLOOKUP(AY141,ENERGIEDRAGERS,ROWS(bibliotheek!$E$259:$E$263),FALSE)))</f>
        <v>0</v>
      </c>
      <c r="AZ155" s="228">
        <f>IF(AZ144=0,0,IF(AZ156&lt;&gt;"",AZ150,HLOOKUP(AZ141,ENERGIEDRAGERS,ROWS(bibliotheek!$E$259:$E$263),FALSE)))</f>
        <v>0</v>
      </c>
      <c r="BA155" s="228">
        <f>IF(BA144=0,0,IF(BA156&lt;&gt;"",BA150,HLOOKUP(BA141,ENERGIEDRAGERS,ROWS(bibliotheek!$E$259:$E$263),FALSE)))</f>
        <v>0</v>
      </c>
      <c r="BB155" s="273"/>
      <c r="BC155" s="273"/>
      <c r="BD155" s="273"/>
      <c r="BE155" s="273"/>
      <c r="BF155" s="273"/>
      <c r="BG155" s="273"/>
      <c r="BH155" s="210"/>
    </row>
    <row r="156" spans="1:60">
      <c r="A156" s="1040"/>
      <c r="B156" s="1109" t="s">
        <v>216</v>
      </c>
      <c r="C156" s="1106" t="s">
        <v>118</v>
      </c>
      <c r="D156" s="638"/>
      <c r="E156" s="1218" t="s">
        <v>205</v>
      </c>
      <c r="F156" s="255"/>
      <c r="G156" s="255"/>
      <c r="H156" s="292"/>
      <c r="I156" s="79"/>
      <c r="J156" s="299"/>
      <c r="K156" s="79"/>
      <c r="L156" s="79"/>
      <c r="M156" s="198"/>
      <c r="N156" s="161"/>
      <c r="O156" s="1032"/>
      <c r="P156" s="1033"/>
      <c r="Q156" s="1032"/>
      <c r="R156" s="625"/>
      <c r="S156" s="625"/>
      <c r="T156" s="625"/>
      <c r="U156" s="625"/>
      <c r="V156" s="625"/>
      <c r="W156" s="625"/>
      <c r="X156" s="113"/>
      <c r="Y156" s="190"/>
      <c r="Z156" s="114"/>
      <c r="AA156" s="1032"/>
      <c r="AB156" s="1033"/>
      <c r="AC156" s="1032"/>
      <c r="AD156" s="625"/>
      <c r="AE156" s="625"/>
      <c r="AF156" s="625"/>
      <c r="AG156" s="625"/>
      <c r="AH156" s="625"/>
      <c r="AI156" s="625"/>
      <c r="AJ156" s="113"/>
      <c r="AK156" s="190"/>
      <c r="AL156" s="114"/>
      <c r="AM156" s="1032"/>
      <c r="AN156" s="1033"/>
      <c r="AO156" s="1032"/>
      <c r="AP156" s="625"/>
      <c r="AQ156" s="625"/>
      <c r="AR156" s="625"/>
      <c r="AS156" s="625"/>
      <c r="AT156" s="625"/>
      <c r="AU156" s="625"/>
      <c r="AV156" s="113"/>
      <c r="AW156" s="190"/>
      <c r="AX156" s="114"/>
      <c r="AY156" s="1032"/>
      <c r="AZ156" s="1033"/>
      <c r="BA156" s="1032"/>
      <c r="BB156" s="625"/>
      <c r="BC156" s="625"/>
      <c r="BD156" s="625"/>
      <c r="BE156" s="625"/>
      <c r="BF156" s="625"/>
      <c r="BG156" s="625"/>
      <c r="BH156" s="210"/>
    </row>
    <row r="157" spans="1:60" hidden="1">
      <c r="A157" s="1040"/>
      <c r="B157" s="1109" t="s">
        <v>216</v>
      </c>
      <c r="C157" s="1106" t="s">
        <v>181</v>
      </c>
      <c r="D157" s="638"/>
      <c r="E157" s="1170" t="s">
        <v>232</v>
      </c>
      <c r="F157" s="181"/>
      <c r="G157" s="181"/>
      <c r="H157" s="181" t="s">
        <v>1206</v>
      </c>
      <c r="I157" s="79"/>
      <c r="J157" s="202">
        <f>M157+Y157+AK157+AW157</f>
        <v>0</v>
      </c>
      <c r="K157" s="1062"/>
      <c r="L157" s="1062"/>
      <c r="M157" s="202">
        <f>SUM(O157:X157)</f>
        <v>0</v>
      </c>
      <c r="N157" s="79"/>
      <c r="O157" s="168">
        <f>O$147*O$153*O155</f>
        <v>0</v>
      </c>
      <c r="P157" s="168">
        <f>P$147*P$153*P155</f>
        <v>0</v>
      </c>
      <c r="Q157" s="168">
        <f>Q$147*Q$153*Q155</f>
        <v>0</v>
      </c>
      <c r="R157" s="273"/>
      <c r="S157" s="273"/>
      <c r="T157" s="273"/>
      <c r="U157" s="273"/>
      <c r="V157" s="273"/>
      <c r="W157" s="273"/>
      <c r="X157" s="113"/>
      <c r="Y157" s="202">
        <f>SUM(AA157:AJ157)</f>
        <v>0</v>
      </c>
      <c r="Z157" s="114"/>
      <c r="AA157" s="168">
        <f>AA$147*AA$153*AA155</f>
        <v>0</v>
      </c>
      <c r="AB157" s="168">
        <f>AB$147*AB$153*AB155</f>
        <v>0</v>
      </c>
      <c r="AC157" s="168">
        <f>AC$147*AC$153*AC155</f>
        <v>0</v>
      </c>
      <c r="AD157" s="273"/>
      <c r="AE157" s="273"/>
      <c r="AF157" s="273"/>
      <c r="AG157" s="273"/>
      <c r="AH157" s="273"/>
      <c r="AI157" s="273"/>
      <c r="AJ157" s="113"/>
      <c r="AK157" s="202">
        <f>SUM(AM157:AV157)</f>
        <v>0</v>
      </c>
      <c r="AL157" s="114"/>
      <c r="AM157" s="168">
        <f>AM$147*AM$153*AM155</f>
        <v>0</v>
      </c>
      <c r="AN157" s="168">
        <f>AN$147*AN$153*AN155</f>
        <v>0</v>
      </c>
      <c r="AO157" s="168">
        <f>AO$147*AO$153*AO155</f>
        <v>0</v>
      </c>
      <c r="AP157" s="273"/>
      <c r="AQ157" s="273"/>
      <c r="AR157" s="273"/>
      <c r="AS157" s="273"/>
      <c r="AT157" s="273"/>
      <c r="AU157" s="273"/>
      <c r="AV157" s="113"/>
      <c r="AW157" s="202">
        <f>SUM(AY157:BH157)</f>
        <v>0</v>
      </c>
      <c r="AX157" s="114"/>
      <c r="AY157" s="168">
        <f>AY$147*AY$153*AY155</f>
        <v>0</v>
      </c>
      <c r="AZ157" s="168">
        <f>AZ$147*AZ$153*AZ155</f>
        <v>0</v>
      </c>
      <c r="BA157" s="168">
        <f>BA$147*BA$153*BA155</f>
        <v>0</v>
      </c>
      <c r="BB157" s="273"/>
      <c r="BC157" s="273"/>
      <c r="BD157" s="273"/>
      <c r="BE157" s="273"/>
      <c r="BF157" s="273"/>
      <c r="BG157" s="273"/>
      <c r="BH157" s="210"/>
    </row>
    <row r="158" spans="1:60">
      <c r="A158" s="1040"/>
      <c r="B158" s="1109" t="s">
        <v>216</v>
      </c>
      <c r="C158" s="1106" t="s">
        <v>96</v>
      </c>
      <c r="D158" s="638"/>
      <c r="E158" s="940" t="s">
        <v>107</v>
      </c>
      <c r="F158" s="940"/>
      <c r="G158" s="940"/>
      <c r="H158" s="940"/>
      <c r="I158" s="77"/>
      <c r="J158" s="939"/>
      <c r="K158" s="126"/>
      <c r="L158" s="126"/>
      <c r="M158" s="938"/>
      <c r="N158" s="191"/>
      <c r="O158" s="1028" t="str">
        <f>O$10</f>
        <v>verwarming</v>
      </c>
      <c r="P158" s="1028" t="str">
        <f>P$10</f>
        <v>koeling</v>
      </c>
      <c r="Q158" s="1028" t="str">
        <f>Q$10</f>
        <v>tapwater</v>
      </c>
      <c r="R158" s="1027"/>
      <c r="S158" s="1027"/>
      <c r="T158" s="1027"/>
      <c r="U158" s="1027"/>
      <c r="V158" s="1027"/>
      <c r="W158" s="1027"/>
      <c r="X158" s="191"/>
      <c r="Y158" s="1027"/>
      <c r="Z158" s="191"/>
      <c r="AA158" s="1028" t="str">
        <f>AA$10</f>
        <v>verwarming</v>
      </c>
      <c r="AB158" s="1028" t="str">
        <f>AB$10</f>
        <v>koeling</v>
      </c>
      <c r="AC158" s="1028" t="str">
        <f>AC$10</f>
        <v>tapwater</v>
      </c>
      <c r="AD158" s="1027"/>
      <c r="AE158" s="1027"/>
      <c r="AF158" s="1027"/>
      <c r="AG158" s="1027"/>
      <c r="AH158" s="1027"/>
      <c r="AI158" s="1027"/>
      <c r="AJ158" s="191"/>
      <c r="AK158" s="1027"/>
      <c r="AL158" s="191"/>
      <c r="AM158" s="1028" t="str">
        <f>AM$10</f>
        <v>verwarming</v>
      </c>
      <c r="AN158" s="1028" t="str">
        <f>AN$10</f>
        <v>koeling</v>
      </c>
      <c r="AO158" s="1028" t="str">
        <f>AO$10</f>
        <v>tapwater</v>
      </c>
      <c r="AP158" s="1027"/>
      <c r="AQ158" s="1027"/>
      <c r="AR158" s="1027"/>
      <c r="AS158" s="1027"/>
      <c r="AT158" s="1027"/>
      <c r="AU158" s="1027"/>
      <c r="AV158" s="191"/>
      <c r="AW158" s="1027"/>
      <c r="AX158" s="191"/>
      <c r="AY158" s="1028" t="str">
        <f>AY$10</f>
        <v>verwarming</v>
      </c>
      <c r="AZ158" s="1028" t="str">
        <f>AZ$10</f>
        <v>koeling</v>
      </c>
      <c r="BA158" s="1028" t="str">
        <f>BA$10</f>
        <v>tapwater</v>
      </c>
      <c r="BB158" s="1027"/>
      <c r="BC158" s="1027"/>
      <c r="BD158" s="1027"/>
      <c r="BE158" s="1027"/>
      <c r="BF158" s="1027"/>
      <c r="BG158" s="1027"/>
      <c r="BH158" s="36"/>
    </row>
    <row r="159" spans="1:60">
      <c r="A159" s="1040"/>
      <c r="B159" s="1109" t="s">
        <v>216</v>
      </c>
      <c r="C159" s="1107" t="s">
        <v>118</v>
      </c>
      <c r="D159" s="638"/>
      <c r="E159" s="254" t="s">
        <v>206</v>
      </c>
      <c r="F159" s="254"/>
      <c r="G159" s="254"/>
      <c r="H159" s="291" t="s">
        <v>207</v>
      </c>
      <c r="I159" s="79"/>
      <c r="J159" s="189"/>
      <c r="K159" s="79"/>
      <c r="L159" s="79"/>
      <c r="M159" s="189"/>
      <c r="N159" s="116"/>
      <c r="O159" s="349">
        <f>IF(O144=0,0,IF(O160&lt;&gt;"",O160,IF(O141=elektriciteit,$H$5,
HLOOKUP(O141,ENERGIEDRAGERS,ROWS(bibliotheek!$E$259:$E$264),FALSE))))</f>
        <v>0</v>
      </c>
      <c r="P159" s="349">
        <f>IF(P144=0,0,IF(P160&lt;&gt;"",P160,IF(P141=elektriciteit,$H$5,
HLOOKUP(P141,ENERGIEDRAGERS,ROWS(bibliotheek!$E$259:$E$264),FALSE))))</f>
        <v>0</v>
      </c>
      <c r="Q159" s="349">
        <f>IF(Q144=0,0,IF(Q160&lt;&gt;"",Q160,IF(Q141=elektriciteit,$H$5,
HLOOKUP(Q141,ENERGIEDRAGERS,ROWS(bibliotheek!$E$259:$E$264),FALSE))))</f>
        <v>0</v>
      </c>
      <c r="R159" s="350"/>
      <c r="S159" s="350"/>
      <c r="T159" s="350"/>
      <c r="U159" s="350"/>
      <c r="V159" s="350"/>
      <c r="W159" s="350"/>
      <c r="X159" s="351"/>
      <c r="Y159" s="189"/>
      <c r="Z159" s="353"/>
      <c r="AA159" s="349">
        <f>IF(AA144=0,0,IF(AA160&lt;&gt;"",AA160,IF(AA141=elektriciteit,$H$5,
HLOOKUP(AA141,ENERGIEDRAGERS,ROWS(bibliotheek!$E$259:$E$264),FALSE))))</f>
        <v>0</v>
      </c>
      <c r="AB159" s="349">
        <f>IF(AB144=0,0,IF(AB160&lt;&gt;"",AB160,IF(AB141=elektriciteit,$H$5,
HLOOKUP(AB141,ENERGIEDRAGERS,ROWS(bibliotheek!$E$259:$E$264),FALSE))))</f>
        <v>0</v>
      </c>
      <c r="AC159" s="349">
        <f>IF(AC144=0,0,IF(AC160&lt;&gt;"",AC160,IF(AC141=elektriciteit,$H$5,
HLOOKUP(AC141,ENERGIEDRAGERS,ROWS(bibliotheek!$E$259:$E$264),FALSE))))</f>
        <v>0</v>
      </c>
      <c r="AD159" s="350"/>
      <c r="AE159" s="350"/>
      <c r="AF159" s="350"/>
      <c r="AG159" s="350"/>
      <c r="AH159" s="350"/>
      <c r="AI159" s="350"/>
      <c r="AJ159" s="351"/>
      <c r="AK159" s="189"/>
      <c r="AL159" s="353"/>
      <c r="AM159" s="349">
        <f>IF(AM144=0,0,IF(AM160&lt;&gt;"",AM160,IF(AM141=elektriciteit,$H$5,
HLOOKUP(AM141,ENERGIEDRAGERS,ROWS(bibliotheek!$E$259:$E$264),FALSE))))</f>
        <v>0</v>
      </c>
      <c r="AN159" s="349">
        <f>IF(AN144=0,0,IF(AN160&lt;&gt;"",AN160,IF(AN141=elektriciteit,$H$5,
HLOOKUP(AN141,ENERGIEDRAGERS,ROWS(bibliotheek!$E$259:$E$264),FALSE))))</f>
        <v>0</v>
      </c>
      <c r="AO159" s="349">
        <f>IF(AO144=0,0,IF(AO160&lt;&gt;"",AO160,IF(AO141=elektriciteit,$H$5,
HLOOKUP(AO141,ENERGIEDRAGERS,ROWS(bibliotheek!$E$259:$E$264),FALSE))))</f>
        <v>0</v>
      </c>
      <c r="AP159" s="350"/>
      <c r="AQ159" s="350"/>
      <c r="AR159" s="350"/>
      <c r="AS159" s="350"/>
      <c r="AT159" s="350"/>
      <c r="AU159" s="350"/>
      <c r="AV159" s="351"/>
      <c r="AW159" s="189"/>
      <c r="AX159" s="353"/>
      <c r="AY159" s="349">
        <f>IF(AY144=0,0,IF(AY160&lt;&gt;"",AY160,IF(AY141=elektriciteit,$H$5,
HLOOKUP(AY141,ENERGIEDRAGERS,ROWS(bibliotheek!$E$259:$E$264),FALSE))))</f>
        <v>0</v>
      </c>
      <c r="AZ159" s="349">
        <f>IF(AZ144=0,0,IF(AZ160&lt;&gt;"",AZ160,IF(AZ141=elektriciteit,$H$5,
HLOOKUP(AZ141,ENERGIEDRAGERS,ROWS(bibliotheek!$E$259:$E$264),FALSE))))</f>
        <v>0</v>
      </c>
      <c r="BA159" s="349">
        <f>IF(BA144=0,0,IF(BA160&lt;&gt;"",BA160,IF(BA141=elektriciteit,$H$5,
HLOOKUP(BA141,ENERGIEDRAGERS,ROWS(bibliotheek!$E$259:$E$264),FALSE))))</f>
        <v>0</v>
      </c>
      <c r="BB159" s="302"/>
      <c r="BC159" s="302"/>
      <c r="BD159" s="302"/>
      <c r="BE159" s="302"/>
      <c r="BF159" s="302"/>
      <c r="BG159" s="302"/>
      <c r="BH159" s="174"/>
    </row>
    <row r="160" spans="1:60">
      <c r="A160" s="1040"/>
      <c r="B160" s="1109" t="s">
        <v>216</v>
      </c>
      <c r="C160" s="1107" t="s">
        <v>118</v>
      </c>
      <c r="D160" s="638"/>
      <c r="E160" s="1218" t="s">
        <v>208</v>
      </c>
      <c r="F160" s="255"/>
      <c r="G160" s="255"/>
      <c r="H160" s="292"/>
      <c r="I160" s="79"/>
      <c r="J160" s="299"/>
      <c r="K160" s="79"/>
      <c r="L160" s="79"/>
      <c r="M160" s="198"/>
      <c r="N160" s="161"/>
      <c r="O160" s="628"/>
      <c r="P160" s="629"/>
      <c r="Q160" s="628"/>
      <c r="R160" s="630"/>
      <c r="S160" s="630"/>
      <c r="T160" s="630"/>
      <c r="U160" s="630"/>
      <c r="V160" s="630"/>
      <c r="W160" s="630"/>
      <c r="X160" s="348"/>
      <c r="Y160" s="631"/>
      <c r="Z160" s="114"/>
      <c r="AA160" s="628"/>
      <c r="AB160" s="629"/>
      <c r="AC160" s="628"/>
      <c r="AD160" s="630"/>
      <c r="AE160" s="630"/>
      <c r="AF160" s="630"/>
      <c r="AG160" s="630"/>
      <c r="AH160" s="630"/>
      <c r="AI160" s="630"/>
      <c r="AJ160" s="348"/>
      <c r="AK160" s="631"/>
      <c r="AL160" s="114"/>
      <c r="AM160" s="628"/>
      <c r="AN160" s="629"/>
      <c r="AO160" s="628"/>
      <c r="AP160" s="630"/>
      <c r="AQ160" s="630"/>
      <c r="AR160" s="630"/>
      <c r="AS160" s="630"/>
      <c r="AT160" s="630"/>
      <c r="AU160" s="630"/>
      <c r="AV160" s="348"/>
      <c r="AW160" s="631"/>
      <c r="AX160" s="114"/>
      <c r="AY160" s="628"/>
      <c r="AZ160" s="629"/>
      <c r="BA160" s="628"/>
      <c r="BB160" s="301"/>
      <c r="BC160" s="301"/>
      <c r="BD160" s="301"/>
      <c r="BE160" s="301"/>
      <c r="BF160" s="301"/>
      <c r="BG160" s="301"/>
      <c r="BH160" s="174"/>
    </row>
    <row r="161" spans="1:60">
      <c r="A161" s="1040"/>
      <c r="B161" s="1109" t="s">
        <v>216</v>
      </c>
      <c r="C161" s="1107" t="s">
        <v>104</v>
      </c>
      <c r="D161" s="638"/>
      <c r="E161" s="180" t="s">
        <v>232</v>
      </c>
      <c r="F161" s="181"/>
      <c r="G161" s="181"/>
      <c r="H161" s="181" t="s">
        <v>108</v>
      </c>
      <c r="I161" s="79"/>
      <c r="J161" s="202">
        <f>M161+Y161+AK161+AW161</f>
        <v>0</v>
      </c>
      <c r="K161" s="1062"/>
      <c r="L161" s="1062"/>
      <c r="M161" s="202">
        <f>SUM(O161:X161)</f>
        <v>0</v>
      </c>
      <c r="N161" s="114"/>
      <c r="O161" s="168">
        <f>O$147*O$159</f>
        <v>0</v>
      </c>
      <c r="P161" s="168">
        <f>P$147*P$159</f>
        <v>0</v>
      </c>
      <c r="Q161" s="168">
        <f>Q$147*Q$159</f>
        <v>0</v>
      </c>
      <c r="R161" s="273"/>
      <c r="S161" s="273"/>
      <c r="T161" s="273"/>
      <c r="U161" s="273"/>
      <c r="V161" s="273"/>
      <c r="W161" s="273"/>
      <c r="X161" s="113"/>
      <c r="Y161" s="202">
        <f>SUM(AA161:AJ161)</f>
        <v>0</v>
      </c>
      <c r="Z161" s="114"/>
      <c r="AA161" s="168">
        <f>AA$147*AA$159</f>
        <v>0</v>
      </c>
      <c r="AB161" s="168">
        <f>AB$147*AB$159</f>
        <v>0</v>
      </c>
      <c r="AC161" s="168">
        <f>AC$147*AC$159</f>
        <v>0</v>
      </c>
      <c r="AD161" s="273"/>
      <c r="AE161" s="273"/>
      <c r="AF161" s="273"/>
      <c r="AG161" s="273"/>
      <c r="AH161" s="273"/>
      <c r="AI161" s="273"/>
      <c r="AJ161" s="113"/>
      <c r="AK161" s="202">
        <f>SUM(AM161:AV161)</f>
        <v>0</v>
      </c>
      <c r="AL161" s="114"/>
      <c r="AM161" s="168">
        <f>AM$147*AM$159</f>
        <v>0</v>
      </c>
      <c r="AN161" s="168">
        <f>AN$147*AN$159</f>
        <v>0</v>
      </c>
      <c r="AO161" s="168">
        <f>AO$147*AO$159</f>
        <v>0</v>
      </c>
      <c r="AP161" s="273"/>
      <c r="AQ161" s="273"/>
      <c r="AR161" s="273"/>
      <c r="AS161" s="273"/>
      <c r="AT161" s="273"/>
      <c r="AU161" s="273"/>
      <c r="AV161" s="113"/>
      <c r="AW161" s="202">
        <f>SUM(AY161:BH161)</f>
        <v>0</v>
      </c>
      <c r="AX161" s="114"/>
      <c r="AY161" s="168">
        <f>AY$147*AY$159</f>
        <v>0</v>
      </c>
      <c r="AZ161" s="168">
        <f>AZ$147*AZ$159</f>
        <v>0</v>
      </c>
      <c r="BA161" s="168">
        <f>BA$147*BA$159</f>
        <v>0</v>
      </c>
      <c r="BB161" s="273"/>
      <c r="BC161" s="273"/>
      <c r="BD161" s="273"/>
      <c r="BE161" s="273"/>
      <c r="BF161" s="273"/>
      <c r="BG161" s="273"/>
      <c r="BH161" s="210"/>
    </row>
    <row r="162" spans="1:60">
      <c r="A162" s="1040"/>
      <c r="B162" s="1110" t="s">
        <v>222</v>
      </c>
      <c r="C162" s="1107" t="s">
        <v>104</v>
      </c>
      <c r="D162" s="638"/>
      <c r="E162" s="79"/>
      <c r="F162" s="79"/>
      <c r="G162" s="79"/>
      <c r="H162" s="85"/>
      <c r="I162" s="79"/>
      <c r="J162" s="82"/>
      <c r="K162" s="79"/>
      <c r="L162" s="79"/>
      <c r="M162" s="82"/>
      <c r="N162" s="79"/>
      <c r="O162" s="79"/>
      <c r="P162" s="79"/>
      <c r="Q162" s="79"/>
      <c r="R162" s="82"/>
      <c r="S162" s="82"/>
      <c r="T162" s="82"/>
      <c r="U162" s="82"/>
      <c r="V162" s="82"/>
      <c r="W162" s="82"/>
      <c r="X162" s="82"/>
      <c r="Y162" s="82"/>
      <c r="Z162" s="79"/>
      <c r="AA162" s="154"/>
      <c r="AB162" s="154"/>
      <c r="AC162" s="154"/>
      <c r="AD162" s="82"/>
      <c r="AE162" s="82"/>
      <c r="AF162" s="82"/>
      <c r="AG162" s="82"/>
      <c r="AH162" s="82"/>
      <c r="AI162" s="82"/>
      <c r="AJ162" s="82"/>
      <c r="AK162" s="82"/>
      <c r="AL162" s="79"/>
      <c r="AM162" s="154"/>
      <c r="AN162" s="154"/>
      <c r="AO162" s="154"/>
      <c r="AP162" s="82"/>
      <c r="AQ162" s="82"/>
      <c r="AR162" s="82"/>
      <c r="AS162" s="82"/>
      <c r="AT162" s="82"/>
      <c r="AU162" s="82"/>
      <c r="AV162" s="82"/>
      <c r="AW162" s="82"/>
      <c r="AX162" s="79"/>
      <c r="AY162" s="154"/>
      <c r="AZ162" s="154"/>
      <c r="BA162" s="154"/>
      <c r="BB162" s="82"/>
      <c r="BC162" s="82"/>
      <c r="BD162" s="82"/>
      <c r="BE162" s="82"/>
      <c r="BF162" s="82"/>
      <c r="BG162" s="82"/>
      <c r="BH162" s="1"/>
    </row>
    <row r="163" spans="1:60">
      <c r="A163" s="1040"/>
      <c r="B163" s="1109" t="s">
        <v>223</v>
      </c>
      <c r="C163" s="1107" t="s">
        <v>96</v>
      </c>
      <c r="D163" s="638"/>
      <c r="E163" s="79"/>
      <c r="F163" s="79"/>
      <c r="G163" s="79"/>
      <c r="H163" s="85"/>
      <c r="I163" s="79"/>
      <c r="J163" s="82"/>
      <c r="K163" s="79"/>
      <c r="L163" s="79"/>
      <c r="M163" s="82"/>
      <c r="N163" s="79"/>
      <c r="O163" s="113"/>
      <c r="P163" s="82"/>
      <c r="Q163" s="82"/>
      <c r="R163" s="82"/>
      <c r="S163" s="82"/>
      <c r="T163" s="82"/>
      <c r="U163" s="82"/>
      <c r="V163" s="82"/>
      <c r="W163" s="82"/>
      <c r="X163" s="82"/>
      <c r="Y163" s="82"/>
      <c r="Z163" s="79"/>
      <c r="AA163" s="113"/>
      <c r="AB163" s="82"/>
      <c r="AC163" s="82"/>
      <c r="AD163" s="82"/>
      <c r="AE163" s="82"/>
      <c r="AF163" s="82"/>
      <c r="AG163" s="82"/>
      <c r="AH163" s="82"/>
      <c r="AI163" s="82"/>
      <c r="AJ163" s="82"/>
      <c r="AK163" s="82"/>
      <c r="AL163" s="79"/>
      <c r="AM163" s="113"/>
      <c r="AN163" s="82"/>
      <c r="AO163" s="82"/>
      <c r="AP163" s="82"/>
      <c r="AQ163" s="82"/>
      <c r="AR163" s="82"/>
      <c r="AS163" s="82"/>
      <c r="AT163" s="82"/>
      <c r="AU163" s="82"/>
      <c r="AV163" s="82"/>
      <c r="AW163" s="82"/>
      <c r="AX163" s="79"/>
      <c r="AY163" s="113"/>
      <c r="AZ163" s="82"/>
      <c r="BA163" s="82"/>
      <c r="BB163" s="82"/>
      <c r="BC163" s="82"/>
      <c r="BD163" s="82"/>
      <c r="BE163" s="82"/>
      <c r="BF163" s="82"/>
      <c r="BG163" s="82"/>
      <c r="BH163" s="1"/>
    </row>
    <row r="164" spans="1:60" ht="21">
      <c r="A164" s="1040"/>
      <c r="B164" s="1109" t="s">
        <v>223</v>
      </c>
      <c r="C164" s="1106" t="s">
        <v>96</v>
      </c>
      <c r="D164" s="641" t="s">
        <v>45</v>
      </c>
      <c r="E164" s="199" t="s">
        <v>224</v>
      </c>
      <c r="F164" s="199"/>
      <c r="G164" s="692"/>
      <c r="H164" s="176"/>
      <c r="I164" s="77"/>
      <c r="J164" s="200" t="str">
        <f>J$10</f>
        <v>alle locaties</v>
      </c>
      <c r="K164" s="126"/>
      <c r="L164" s="126"/>
      <c r="M164" s="200" t="str">
        <f>M$10</f>
        <v>locatie 1</v>
      </c>
      <c r="N164" s="182"/>
      <c r="O164" s="966" t="str">
        <f>$E164&amp;" per energiepost"</f>
        <v>energiegebruik niet voor verwarmen/koelen per energiepost</v>
      </c>
      <c r="P164" s="941"/>
      <c r="Q164" s="941"/>
      <c r="R164" s="941"/>
      <c r="S164" s="941"/>
      <c r="T164" s="941"/>
      <c r="U164" s="941"/>
      <c r="V164" s="941"/>
      <c r="W164" s="956"/>
      <c r="X164" s="174"/>
      <c r="Y164" s="200" t="str">
        <f>Y$10</f>
        <v>locatie 2</v>
      </c>
      <c r="Z164" s="182"/>
      <c r="AA164" s="966" t="str">
        <f>$E164&amp;" per energiepost"</f>
        <v>energiegebruik niet voor verwarmen/koelen per energiepost</v>
      </c>
      <c r="AB164" s="941"/>
      <c r="AC164" s="941"/>
      <c r="AD164" s="941"/>
      <c r="AE164" s="941"/>
      <c r="AF164" s="941"/>
      <c r="AG164" s="941"/>
      <c r="AH164" s="941"/>
      <c r="AI164" s="956"/>
      <c r="AJ164" s="174"/>
      <c r="AK164" s="200" t="str">
        <f>AK$10</f>
        <v>locatie 3</v>
      </c>
      <c r="AL164" s="182"/>
      <c r="AM164" s="966" t="str">
        <f>$E164&amp;" per energiepost"</f>
        <v>energiegebruik niet voor verwarmen/koelen per energiepost</v>
      </c>
      <c r="AN164" s="941"/>
      <c r="AO164" s="941"/>
      <c r="AP164" s="941"/>
      <c r="AQ164" s="941"/>
      <c r="AR164" s="941"/>
      <c r="AS164" s="941"/>
      <c r="AT164" s="941"/>
      <c r="AU164" s="956"/>
      <c r="AV164" s="174"/>
      <c r="AW164" s="200" t="str">
        <f>AW$10</f>
        <v>locatie 4</v>
      </c>
      <c r="AX164" s="182"/>
      <c r="AY164" s="966" t="str">
        <f>$E164&amp;" per energiepost"</f>
        <v>energiegebruik niet voor verwarmen/koelen per energiepost</v>
      </c>
      <c r="AZ164" s="941"/>
      <c r="BA164" s="941"/>
      <c r="BB164" s="941"/>
      <c r="BC164" s="941"/>
      <c r="BD164" s="941"/>
      <c r="BE164" s="941"/>
      <c r="BF164" s="941"/>
      <c r="BG164" s="956"/>
      <c r="BH164" s="1"/>
    </row>
    <row r="165" spans="1:60">
      <c r="A165" s="1040"/>
      <c r="B165" s="1109" t="s">
        <v>223</v>
      </c>
      <c r="C165" s="1106" t="s">
        <v>96</v>
      </c>
      <c r="D165" s="638"/>
      <c r="E165" s="940" t="s">
        <v>225</v>
      </c>
      <c r="F165" s="940"/>
      <c r="G165" s="940"/>
      <c r="H165" s="940"/>
      <c r="I165" s="77"/>
      <c r="J165" s="939"/>
      <c r="K165" s="126"/>
      <c r="L165" s="126"/>
      <c r="M165" s="938"/>
      <c r="N165" s="191"/>
      <c r="O165" s="177" t="str">
        <f t="shared" ref="O165:V165" si="119">O$10</f>
        <v>verwarming</v>
      </c>
      <c r="P165" s="177" t="str">
        <f t="shared" si="119"/>
        <v>koeling</v>
      </c>
      <c r="Q165" s="177" t="str">
        <f t="shared" si="119"/>
        <v>tapwater</v>
      </c>
      <c r="R165" s="177" t="str">
        <f t="shared" si="119"/>
        <v>verlichting</v>
      </c>
      <c r="S165" s="177" t="str">
        <f t="shared" si="119"/>
        <v>ventilatoren</v>
      </c>
      <c r="T165" s="177" t="str">
        <f t="shared" si="119"/>
        <v>kookgas</v>
      </c>
      <c r="U165" s="177" t="str">
        <f t="shared" si="119"/>
        <v>overig elektra</v>
      </c>
      <c r="V165" s="177" t="str">
        <f t="shared" si="119"/>
        <v>mobiliteit</v>
      </c>
      <c r="W165" s="177"/>
      <c r="X165" s="191"/>
      <c r="Y165" s="938"/>
      <c r="Z165" s="191"/>
      <c r="AA165" s="177" t="str">
        <f t="shared" ref="AA165:AH165" si="120">AA$10</f>
        <v>verwarming</v>
      </c>
      <c r="AB165" s="177" t="str">
        <f t="shared" si="120"/>
        <v>koeling</v>
      </c>
      <c r="AC165" s="177" t="str">
        <f t="shared" si="120"/>
        <v>tapwater</v>
      </c>
      <c r="AD165" s="177" t="str">
        <f t="shared" si="120"/>
        <v>verlichting</v>
      </c>
      <c r="AE165" s="177" t="str">
        <f t="shared" si="120"/>
        <v>ventilatoren</v>
      </c>
      <c r="AF165" s="177" t="str">
        <f t="shared" si="120"/>
        <v>kookgas</v>
      </c>
      <c r="AG165" s="177" t="str">
        <f t="shared" si="120"/>
        <v>overig elektra</v>
      </c>
      <c r="AH165" s="177" t="str">
        <f t="shared" si="120"/>
        <v>mobiliteit</v>
      </c>
      <c r="AI165" s="177"/>
      <c r="AJ165" s="191"/>
      <c r="AK165" s="938"/>
      <c r="AL165" s="191"/>
      <c r="AM165" s="177" t="str">
        <f t="shared" ref="AM165:AT165" si="121">AM$10</f>
        <v>verwarming</v>
      </c>
      <c r="AN165" s="177" t="str">
        <f t="shared" si="121"/>
        <v>koeling</v>
      </c>
      <c r="AO165" s="177" t="str">
        <f t="shared" si="121"/>
        <v>tapwater</v>
      </c>
      <c r="AP165" s="177" t="str">
        <f t="shared" si="121"/>
        <v>verlichting</v>
      </c>
      <c r="AQ165" s="177" t="str">
        <f t="shared" si="121"/>
        <v>ventilatoren</v>
      </c>
      <c r="AR165" s="177" t="str">
        <f t="shared" si="121"/>
        <v>kookgas</v>
      </c>
      <c r="AS165" s="177" t="str">
        <f t="shared" si="121"/>
        <v>overig elektra</v>
      </c>
      <c r="AT165" s="177" t="str">
        <f t="shared" si="121"/>
        <v>mobiliteit</v>
      </c>
      <c r="AU165" s="177"/>
      <c r="AV165" s="191"/>
      <c r="AW165" s="938"/>
      <c r="AX165" s="191"/>
      <c r="AY165" s="177" t="str">
        <f t="shared" ref="AY165:BF165" si="122">AY$10</f>
        <v>verwarming</v>
      </c>
      <c r="AZ165" s="177" t="str">
        <f t="shared" si="122"/>
        <v>koeling</v>
      </c>
      <c r="BA165" s="177" t="str">
        <f t="shared" si="122"/>
        <v>tapwater</v>
      </c>
      <c r="BB165" s="177" t="str">
        <f t="shared" si="122"/>
        <v>verlichting</v>
      </c>
      <c r="BC165" s="177" t="str">
        <f t="shared" si="122"/>
        <v>ventilatoren</v>
      </c>
      <c r="BD165" s="177" t="str">
        <f t="shared" si="122"/>
        <v>kookgas</v>
      </c>
      <c r="BE165" s="177" t="str">
        <f t="shared" si="122"/>
        <v>overig elektra</v>
      </c>
      <c r="BF165" s="177" t="str">
        <f t="shared" si="122"/>
        <v>mobiliteit</v>
      </c>
      <c r="BG165" s="177"/>
      <c r="BH165" s="36"/>
    </row>
    <row r="166" spans="1:60">
      <c r="A166" s="1040"/>
      <c r="B166" s="1109" t="s">
        <v>223</v>
      </c>
      <c r="C166" s="1107" t="s">
        <v>118</v>
      </c>
      <c r="D166" s="638"/>
      <c r="E166" s="254" t="s">
        <v>226</v>
      </c>
      <c r="F166" s="254"/>
      <c r="G166" s="254"/>
      <c r="H166" s="291" t="s">
        <v>213</v>
      </c>
      <c r="I166" s="191"/>
      <c r="J166" s="305"/>
      <c r="K166" s="243"/>
      <c r="L166" s="243"/>
      <c r="M166" s="299"/>
      <c r="N166" s="376"/>
      <c r="O166" s="377">
        <f>IF(O167&lt;&gt;"",O167,HLOOKUP(IF(O$83="",referentie_verwarming,O$83),toestellen_RV,ROWS(bibliotheek!$E$83:$E$118),FALSE))</f>
        <v>0</v>
      </c>
      <c r="P166" s="377">
        <f>IF(P167&lt;&gt;"",P167,HLOOKUP(IF(P$83="",referentie_koeling,P$83),toestellen_KOEL,ROWS(bibliotheek!$E$190:$E$209),FALSE))</f>
        <v>0</v>
      </c>
      <c r="Q166" s="377">
        <f>IF(Q167&lt;&gt;"",Q167,HLOOKUP(IF(Q$83="",referentie_warmtapwater,Q$83),toestellen_TAP,ROWS(bibliotheek!$E$139:$E$166),FALSE))</f>
        <v>4.4999999999999998E-2</v>
      </c>
      <c r="R166" s="378"/>
      <c r="S166" s="378"/>
      <c r="T166" s="378"/>
      <c r="U166" s="378"/>
      <c r="V166" s="378"/>
      <c r="W166" s="378"/>
      <c r="X166" s="356"/>
      <c r="Y166" s="289"/>
      <c r="Z166" s="376"/>
      <c r="AA166" s="377">
        <f>IF(AA167&lt;&gt;"",AA167,HLOOKUP(IF(AA$83="",referentie_verwarming,AA$83),toestellen_RV,ROWS(bibliotheek!$E$83:$E$118),FALSE))</f>
        <v>0</v>
      </c>
      <c r="AB166" s="377">
        <f>IF(AB167&lt;&gt;"",AB167,HLOOKUP(IF(AB$83="",referentie_koeling,AB$83),toestellen_KOEL,ROWS(bibliotheek!$E$190:$E$209),FALSE))</f>
        <v>0</v>
      </c>
      <c r="AC166" s="377">
        <f>IF(AC167&lt;&gt;"",AC167,HLOOKUP(IF(AC$83="",referentie_warmtapwater,AC$83),toestellen_TAP,ROWS(bibliotheek!$E$139:$E$166),FALSE))</f>
        <v>4.4999999999999998E-2</v>
      </c>
      <c r="AD166" s="378"/>
      <c r="AE166" s="378"/>
      <c r="AF166" s="378"/>
      <c r="AG166" s="378"/>
      <c r="AH166" s="378"/>
      <c r="AI166" s="378"/>
      <c r="AJ166" s="356"/>
      <c r="AK166" s="289"/>
      <c r="AL166" s="376"/>
      <c r="AM166" s="377">
        <f>IF(AM167&lt;&gt;"",AM167,HLOOKUP(IF(AM$83="",referentie_verwarming,AM$83),toestellen_RV,ROWS(bibliotheek!$E$83:$E$118),FALSE))</f>
        <v>0</v>
      </c>
      <c r="AN166" s="377">
        <f>IF(AN167&lt;&gt;"",AN167,HLOOKUP(IF(AN$83="",referentie_koeling,AN$83),toestellen_KOEL,ROWS(bibliotheek!$E$190:$E$209),FALSE))</f>
        <v>0</v>
      </c>
      <c r="AO166" s="377">
        <f>IF(AO167&lt;&gt;"",AO167,HLOOKUP(IF(AO$83="",referentie_warmtapwater,AO$83),toestellen_TAP,ROWS(bibliotheek!$E$139:$E$166),FALSE))</f>
        <v>4.4999999999999998E-2</v>
      </c>
      <c r="AP166" s="378"/>
      <c r="AQ166" s="378"/>
      <c r="AR166" s="378"/>
      <c r="AS166" s="378"/>
      <c r="AT166" s="378"/>
      <c r="AU166" s="378"/>
      <c r="AV166" s="356"/>
      <c r="AW166" s="289"/>
      <c r="AX166" s="376"/>
      <c r="AY166" s="377">
        <f>IF(AY167&lt;&gt;"",AY167,HLOOKUP(IF(AY$83="",referentie_verwarming,AY$83),toestellen_RV,ROWS(bibliotheek!$E$83:$E$118),FALSE))</f>
        <v>0</v>
      </c>
      <c r="AZ166" s="377">
        <f>IF(AZ167&lt;&gt;"",AZ167,HLOOKUP(IF(AZ$83="",referentie_koeling,AZ$83),toestellen_KOEL,ROWS(bibliotheek!$E$190:$E$209),FALSE))</f>
        <v>0</v>
      </c>
      <c r="BA166" s="377">
        <f>IF(BA167&lt;&gt;"",BA167,HLOOKUP(IF(BA$83="",referentie_warmtapwater,BA$83),toestellen_TAP,ROWS(bibliotheek!$E$139:$E$166),FALSE))</f>
        <v>4.4999999999999998E-2</v>
      </c>
      <c r="BB166" s="306"/>
      <c r="BC166" s="306"/>
      <c r="BD166" s="306"/>
      <c r="BE166" s="306"/>
      <c r="BF166" s="306"/>
      <c r="BG166" s="306"/>
      <c r="BH166" s="174"/>
    </row>
    <row r="167" spans="1:60">
      <c r="A167" s="1040"/>
      <c r="B167" s="1109" t="s">
        <v>223</v>
      </c>
      <c r="C167" s="1107" t="s">
        <v>118</v>
      </c>
      <c r="D167" s="638"/>
      <c r="E167" s="1218" t="s">
        <v>208</v>
      </c>
      <c r="F167" s="255"/>
      <c r="G167" s="255"/>
      <c r="H167" s="292"/>
      <c r="I167" s="191"/>
      <c r="J167" s="299"/>
      <c r="K167" s="243"/>
      <c r="L167" s="243"/>
      <c r="M167" s="299"/>
      <c r="N167" s="308"/>
      <c r="O167" s="276"/>
      <c r="P167" s="281"/>
      <c r="Q167" s="276"/>
      <c r="R167" s="309"/>
      <c r="S167" s="309"/>
      <c r="T167" s="309"/>
      <c r="U167" s="309"/>
      <c r="V167" s="309"/>
      <c r="W167" s="309"/>
      <c r="X167" s="113"/>
      <c r="Y167" s="307"/>
      <c r="Z167" s="308"/>
      <c r="AA167" s="276"/>
      <c r="AB167" s="281"/>
      <c r="AC167" s="276"/>
      <c r="AD167" s="309"/>
      <c r="AE167" s="309"/>
      <c r="AF167" s="309"/>
      <c r="AG167" s="309"/>
      <c r="AH167" s="309"/>
      <c r="AI167" s="309"/>
      <c r="AJ167" s="113"/>
      <c r="AK167" s="307"/>
      <c r="AL167" s="308"/>
      <c r="AM167" s="276"/>
      <c r="AN167" s="281"/>
      <c r="AO167" s="276"/>
      <c r="AP167" s="309"/>
      <c r="AQ167" s="309"/>
      <c r="AR167" s="309"/>
      <c r="AS167" s="309"/>
      <c r="AT167" s="309"/>
      <c r="AU167" s="309"/>
      <c r="AV167" s="113"/>
      <c r="AW167" s="307"/>
      <c r="AX167" s="308"/>
      <c r="AY167" s="276"/>
      <c r="AZ167" s="281"/>
      <c r="BA167" s="276"/>
      <c r="BB167" s="309"/>
      <c r="BC167" s="309"/>
      <c r="BD167" s="309"/>
      <c r="BE167" s="309"/>
      <c r="BF167" s="309"/>
      <c r="BG167" s="309"/>
      <c r="BH167" s="174"/>
    </row>
    <row r="168" spans="1:60">
      <c r="A168" s="1046"/>
      <c r="B168" s="1109" t="s">
        <v>223</v>
      </c>
      <c r="C168" s="1107" t="s">
        <v>118</v>
      </c>
      <c r="D168" s="643"/>
      <c r="E168" s="245" t="s">
        <v>227</v>
      </c>
      <c r="F168" s="245"/>
      <c r="G168" s="245"/>
      <c r="H168" s="201" t="s">
        <v>202</v>
      </c>
      <c r="I168" s="191"/>
      <c r="J168" s="202">
        <f>M168+Y168+AK168+AW168</f>
        <v>0</v>
      </c>
      <c r="K168" s="243"/>
      <c r="L168" s="243"/>
      <c r="M168" s="202">
        <f>SUM(O168:X168)</f>
        <v>0</v>
      </c>
      <c r="N168" s="89"/>
      <c r="O168" s="168">
        <f>O$132*O$166</f>
        <v>0</v>
      </c>
      <c r="P168" s="168">
        <f>P$132*P$166</f>
        <v>0</v>
      </c>
      <c r="Q168" s="168">
        <f>Q$132*Q$166</f>
        <v>0</v>
      </c>
      <c r="R168" s="273"/>
      <c r="S168" s="273"/>
      <c r="T168" s="273"/>
      <c r="U168" s="273"/>
      <c r="V168" s="273"/>
      <c r="W168" s="273"/>
      <c r="X168" s="106"/>
      <c r="Y168" s="202">
        <f>SUM(AA168:AJ168)</f>
        <v>0</v>
      </c>
      <c r="Z168" s="89"/>
      <c r="AA168" s="168">
        <f>AA$132*AA$166</f>
        <v>0</v>
      </c>
      <c r="AB168" s="168">
        <f>AB$132*AB$166</f>
        <v>0</v>
      </c>
      <c r="AC168" s="168">
        <f>AC$132*AC$166</f>
        <v>0</v>
      </c>
      <c r="AD168" s="273"/>
      <c r="AE168" s="273"/>
      <c r="AF168" s="273"/>
      <c r="AG168" s="273"/>
      <c r="AH168" s="273"/>
      <c r="AI168" s="273"/>
      <c r="AJ168" s="106"/>
      <c r="AK168" s="202">
        <f>SUM(AM168:AV168)</f>
        <v>0</v>
      </c>
      <c r="AL168" s="89"/>
      <c r="AM168" s="168">
        <f>AM$132*AM$166</f>
        <v>0</v>
      </c>
      <c r="AN168" s="168">
        <f>AN$132*AN$166</f>
        <v>0</v>
      </c>
      <c r="AO168" s="168">
        <f>AO$132*AO$166</f>
        <v>0</v>
      </c>
      <c r="AP168" s="273"/>
      <c r="AQ168" s="273"/>
      <c r="AR168" s="273"/>
      <c r="AS168" s="273"/>
      <c r="AT168" s="273"/>
      <c r="AU168" s="273"/>
      <c r="AV168" s="106"/>
      <c r="AW168" s="202">
        <f>SUM(AY168:BH168)</f>
        <v>0</v>
      </c>
      <c r="AX168" s="89"/>
      <c r="AY168" s="168">
        <f>AY$132*AY$166</f>
        <v>0</v>
      </c>
      <c r="AZ168" s="168">
        <f>AZ$132*AZ$166</f>
        <v>0</v>
      </c>
      <c r="BA168" s="168">
        <f>BA$132*BA$166</f>
        <v>0</v>
      </c>
      <c r="BB168" s="273"/>
      <c r="BC168" s="273"/>
      <c r="BD168" s="273"/>
      <c r="BE168" s="273"/>
      <c r="BF168" s="273"/>
      <c r="BG168" s="273"/>
      <c r="BH168" s="174"/>
    </row>
    <row r="169" spans="1:60" hidden="1">
      <c r="A169" s="1046"/>
      <c r="B169" s="1109" t="s">
        <v>223</v>
      </c>
      <c r="C169" s="1111" t="s">
        <v>181</v>
      </c>
      <c r="D169" s="643" t="s">
        <v>45</v>
      </c>
      <c r="E169" s="245" t="s">
        <v>228</v>
      </c>
      <c r="F169" s="245"/>
      <c r="G169" s="245"/>
      <c r="H169" s="201" t="s">
        <v>202</v>
      </c>
      <c r="I169" s="191"/>
      <c r="J169" s="202">
        <f>M169+Y169+AK169+AW169</f>
        <v>0</v>
      </c>
      <c r="K169" s="243"/>
      <c r="L169" s="243"/>
      <c r="M169" s="202">
        <f>SUM(O169:X169)</f>
        <v>0</v>
      </c>
      <c r="N169" s="89"/>
      <c r="O169" s="168">
        <f>IF(O31=0,0,
(O$98*IFERROR((  INDEX(bibliotheek!$E$109:$BE$109,MATCH(O$83,toestellen_RV_kopregel,0)) +
INDEX(bibliotheek!$E$110:$BE$110,MATCH(O$83,toestellen_RV_kopregel,0))  *(O$97*1000/O$98)/
(  INDEX(bibliotheek!$E$111:$BE$111,MATCH(O$83,toestellen_RV_kopregel,0)) *
INDEX(bibliotheek!$E$112:$BE$112,MATCH(O$83,toestellen_RV_kopregel,0)) ) ),0)+
O$98*INDEX(bibliotheek!$E$113:$BE$113,MATCH(O$83,toestellen_RV_kopregel,0))+
O$99*INDEX(bibliotheek!$E$114:$BE$114,MATCH(O$83,toestellen_RV_kopregel,0)))/1000)</f>
        <v>0</v>
      </c>
      <c r="P169" s="273"/>
      <c r="Q169" s="273"/>
      <c r="R169" s="168">
        <f>R$78</f>
        <v>0</v>
      </c>
      <c r="S169" s="168">
        <f>S$78</f>
        <v>0</v>
      </c>
      <c r="T169" s="273"/>
      <c r="U169" s="168">
        <f>U$78</f>
        <v>0</v>
      </c>
      <c r="V169" s="168">
        <f>V$78</f>
        <v>0</v>
      </c>
      <c r="W169" s="273"/>
      <c r="X169" s="106"/>
      <c r="Y169" s="202">
        <f>SUM(AA169:AJ169)</f>
        <v>0</v>
      </c>
      <c r="Z169" s="89"/>
      <c r="AA169" s="168">
        <f>IF(AA31=0,0,
(AA$98*IFERROR((  INDEX(bibliotheek!$E$109:$BE$109,MATCH(AA$83,toestellen_RV_kopregel,0)) +
INDEX(bibliotheek!$E$110:$BE$110,MATCH(AA$83,toestellen_RV_kopregel,0))  *(AA$97*1000/AA$98)/
(  INDEX(bibliotheek!$E$111:$BE$111,MATCH(AA$83,toestellen_RV_kopregel,0)) *
INDEX(bibliotheek!$E$112:$BE$112,MATCH(AA$83,toestellen_RV_kopregel,0)) ) ),0)+
AA$98*INDEX(bibliotheek!$E$113:$BE$113,MATCH(AA$83,toestellen_RV_kopregel,0))+
AA$99*INDEX(bibliotheek!$E$114:$BE$114,MATCH(AA$83,toestellen_RV_kopregel,0)))/1000)</f>
        <v>0</v>
      </c>
      <c r="AB169" s="273"/>
      <c r="AC169" s="273"/>
      <c r="AD169" s="168">
        <f>AD$78</f>
        <v>0</v>
      </c>
      <c r="AE169" s="168">
        <f>AE$78</f>
        <v>0</v>
      </c>
      <c r="AF169" s="273"/>
      <c r="AG169" s="168">
        <f>AG$78</f>
        <v>0</v>
      </c>
      <c r="AH169" s="168">
        <f>AH$78</f>
        <v>0</v>
      </c>
      <c r="AI169" s="273"/>
      <c r="AJ169" s="106"/>
      <c r="AK169" s="202">
        <f>SUM(AM169:AV169)</f>
        <v>0</v>
      </c>
      <c r="AL169" s="89"/>
      <c r="AM169" s="168">
        <f>IF(AM31=0,0,
(AM$98*IFERROR((  INDEX(bibliotheek!$E$109:$BE$109,MATCH(AM$83,toestellen_RV_kopregel,0)) +
INDEX(bibliotheek!$E$110:$BE$110,MATCH(AM$83,toestellen_RV_kopregel,0))  *(AM$97*1000/AM$98)/
(  INDEX(bibliotheek!$E$111:$BE$111,MATCH(AM$83,toestellen_RV_kopregel,0)) *
INDEX(bibliotheek!$E$112:$BE$112,MATCH(AM$83,toestellen_RV_kopregel,0)) ) ),0)+
AM$98*INDEX(bibliotheek!$E$113:$BE$113,MATCH(AM$83,toestellen_RV_kopregel,0))+
AM$99*INDEX(bibliotheek!$E$114:$BE$114,MATCH(AM$83,toestellen_RV_kopregel,0)))/1000)</f>
        <v>0</v>
      </c>
      <c r="AN169" s="273"/>
      <c r="AO169" s="273"/>
      <c r="AP169" s="168">
        <f>AP$78</f>
        <v>0</v>
      </c>
      <c r="AQ169" s="168">
        <f>AQ$78</f>
        <v>0</v>
      </c>
      <c r="AR169" s="273"/>
      <c r="AS169" s="168">
        <f>AS$78</f>
        <v>0</v>
      </c>
      <c r="AT169" s="168">
        <f>AT$78</f>
        <v>0</v>
      </c>
      <c r="AU169" s="273"/>
      <c r="AV169" s="106"/>
      <c r="AW169" s="202">
        <f>SUM(AY169:BH169)</f>
        <v>0</v>
      </c>
      <c r="AX169" s="89"/>
      <c r="AY169" s="168">
        <f>IF(AY31=0,0,
(AY$98*IFERROR((  INDEX(bibliotheek!$E$109:$BE$109,MATCH(AY$83,toestellen_RV_kopregel,0)) +
INDEX(bibliotheek!$E$110:$BE$110,MATCH(AY$83,toestellen_RV_kopregel,0))  *(AY$97*1000/AY$98)/
(  INDEX(bibliotheek!$E$111:$BE$111,MATCH(AY$83,toestellen_RV_kopregel,0)) *
INDEX(bibliotheek!$E$112:$BE$112,MATCH(AY$83,toestellen_RV_kopregel,0)) ) ),0)+
AY$98*INDEX(bibliotheek!$E$113:$BE$113,MATCH(AY$83,toestellen_RV_kopregel,0))+
AY$99*INDEX(bibliotheek!$E$114:$BE$114,MATCH(AY$83,toestellen_RV_kopregel,0)))/1000)</f>
        <v>0</v>
      </c>
      <c r="AZ169" s="273"/>
      <c r="BA169" s="273"/>
      <c r="BB169" s="168">
        <f>BB$78</f>
        <v>0</v>
      </c>
      <c r="BC169" s="168">
        <f>BC$78</f>
        <v>0</v>
      </c>
      <c r="BD169" s="273"/>
      <c r="BE169" s="168">
        <f>BE$78</f>
        <v>0</v>
      </c>
      <c r="BF169" s="168">
        <f>BF$78</f>
        <v>0</v>
      </c>
      <c r="BG169" s="273"/>
      <c r="BH169" s="174"/>
    </row>
    <row r="170" spans="1:60" hidden="1">
      <c r="A170" s="1046"/>
      <c r="B170" s="1109" t="s">
        <v>223</v>
      </c>
      <c r="C170" s="1111" t="s">
        <v>181</v>
      </c>
      <c r="D170" s="643"/>
      <c r="E170" s="245" t="s">
        <v>229</v>
      </c>
      <c r="F170" s="245"/>
      <c r="G170" s="245"/>
      <c r="H170" s="201" t="s">
        <v>202</v>
      </c>
      <c r="I170" s="191"/>
      <c r="J170" s="202">
        <f>M170+Y170+AK170+AW170</f>
        <v>0</v>
      </c>
      <c r="K170" s="243"/>
      <c r="L170" s="243"/>
      <c r="M170" s="202">
        <f>SUM(O170:X170)</f>
        <v>0</v>
      </c>
      <c r="N170" s="89"/>
      <c r="O170" s="168">
        <f>O$97*O$133+IF(O$114=0,0,O115/O$114)</f>
        <v>0</v>
      </c>
      <c r="P170" s="168">
        <f>P$97*P$133+IF(P$114=0,0,P115/P$114)</f>
        <v>0</v>
      </c>
      <c r="Q170" s="168">
        <f>Q$97*Q$133+IF(Q$114=0,0,Q115/Q$114)</f>
        <v>0</v>
      </c>
      <c r="R170" s="273"/>
      <c r="S170" s="273"/>
      <c r="T170" s="273"/>
      <c r="U170" s="273"/>
      <c r="V170" s="273"/>
      <c r="W170" s="273"/>
      <c r="X170" s="106"/>
      <c r="Y170" s="202">
        <f>SUM(AA170:AJ170)</f>
        <v>0</v>
      </c>
      <c r="Z170" s="89"/>
      <c r="AA170" s="168">
        <f>AA$97*AA$133+IF(AA$114=0,0,AA115/AA$114)</f>
        <v>0</v>
      </c>
      <c r="AB170" s="168">
        <f>AB$97*AB$133+IF(AB$114=0,0,AB115/AB$114)</f>
        <v>0</v>
      </c>
      <c r="AC170" s="168">
        <f>AC$97*AC$133+IF(AC$114=0,0,AC115/AC$114)</f>
        <v>0</v>
      </c>
      <c r="AD170" s="273"/>
      <c r="AE170" s="273"/>
      <c r="AF170" s="273"/>
      <c r="AG170" s="273"/>
      <c r="AH170" s="273"/>
      <c r="AI170" s="273"/>
      <c r="AJ170" s="106"/>
      <c r="AK170" s="202">
        <f>SUM(AM170:AV170)</f>
        <v>0</v>
      </c>
      <c r="AL170" s="89"/>
      <c r="AM170" s="168">
        <f>AM$97*AM$133+IF(AM$114=0,0,AM115/AM$114)</f>
        <v>0</v>
      </c>
      <c r="AN170" s="168">
        <f>AN$97*AN$133+IF(AN$114=0,0,AN115/AN$114)</f>
        <v>0</v>
      </c>
      <c r="AO170" s="168">
        <f>AO$97*AO$133+IF(AO$114=0,0,AO115/AO$114)</f>
        <v>0</v>
      </c>
      <c r="AP170" s="273"/>
      <c r="AQ170" s="273"/>
      <c r="AR170" s="273"/>
      <c r="AS170" s="273"/>
      <c r="AT170" s="273"/>
      <c r="AU170" s="273"/>
      <c r="AV170" s="106"/>
      <c r="AW170" s="202">
        <f>SUM(AY170:BH170)</f>
        <v>0</v>
      </c>
      <c r="AX170" s="89"/>
      <c r="AY170" s="168">
        <f>AY$97*AY$133+IF(AY$114=0,0,AY115/AY$114)</f>
        <v>0</v>
      </c>
      <c r="AZ170" s="168">
        <f>AZ$97*AZ$133+IF(AZ$114=0,0,AZ115/AZ$114)</f>
        <v>0</v>
      </c>
      <c r="BA170" s="168">
        <f>BA$97*BA$133+IF(BA$114=0,0,BA115/BA$114)</f>
        <v>0</v>
      </c>
      <c r="BB170" s="273"/>
      <c r="BC170" s="273"/>
      <c r="BD170" s="273"/>
      <c r="BE170" s="273"/>
      <c r="BF170" s="273"/>
      <c r="BG170" s="273"/>
      <c r="BH170" s="174"/>
    </row>
    <row r="171" spans="1:60" hidden="1">
      <c r="A171" s="1046"/>
      <c r="B171" s="1109" t="s">
        <v>223</v>
      </c>
      <c r="C171" s="1111" t="s">
        <v>181</v>
      </c>
      <c r="D171" s="643"/>
      <c r="E171" s="245" t="s">
        <v>100</v>
      </c>
      <c r="F171" s="245"/>
      <c r="G171" s="245"/>
      <c r="H171" s="201" t="s">
        <v>202</v>
      </c>
      <c r="I171" s="191"/>
      <c r="J171" s="202">
        <f>M171+Y171+AK171+AW171</f>
        <v>0</v>
      </c>
      <c r="K171" s="243"/>
      <c r="L171" s="243"/>
      <c r="M171" s="202">
        <f>SUM(O171:X171)</f>
        <v>0</v>
      </c>
      <c r="N171" s="89"/>
      <c r="O171" s="273"/>
      <c r="P171" s="273"/>
      <c r="Q171" s="273"/>
      <c r="R171" s="273"/>
      <c r="S171" s="273"/>
      <c r="T171" s="168">
        <f>T78</f>
        <v>0</v>
      </c>
      <c r="U171" s="273"/>
      <c r="V171" s="273"/>
      <c r="W171" s="273"/>
      <c r="X171" s="106"/>
      <c r="Y171" s="202">
        <f>SUM(AA171:AJ171)</f>
        <v>0</v>
      </c>
      <c r="Z171" s="89"/>
      <c r="AA171" s="168"/>
      <c r="AB171" s="168"/>
      <c r="AC171" s="168"/>
      <c r="AD171" s="273"/>
      <c r="AE171" s="273"/>
      <c r="AF171" s="168">
        <f>AF78</f>
        <v>0</v>
      </c>
      <c r="AG171" s="273"/>
      <c r="AH171" s="273"/>
      <c r="AI171" s="273"/>
      <c r="AJ171" s="106"/>
      <c r="AK171" s="202">
        <f>SUM(AM171:AV171)</f>
        <v>0</v>
      </c>
      <c r="AL171" s="89"/>
      <c r="AM171" s="168"/>
      <c r="AN171" s="168"/>
      <c r="AO171" s="168"/>
      <c r="AP171" s="273"/>
      <c r="AQ171" s="273"/>
      <c r="AR171" s="168">
        <f>AR78</f>
        <v>0</v>
      </c>
      <c r="AS171" s="273"/>
      <c r="AT171" s="273"/>
      <c r="AU171" s="273"/>
      <c r="AV171" s="106"/>
      <c r="AW171" s="202">
        <f>SUM(AY171:BH171)</f>
        <v>0</v>
      </c>
      <c r="AX171" s="89"/>
      <c r="AY171" s="168"/>
      <c r="AZ171" s="168"/>
      <c r="BA171" s="168"/>
      <c r="BB171" s="273"/>
      <c r="BC171" s="273"/>
      <c r="BD171" s="168">
        <f>BD78</f>
        <v>0</v>
      </c>
      <c r="BE171" s="273"/>
      <c r="BF171" s="273"/>
      <c r="BG171" s="273"/>
      <c r="BH171" s="174"/>
    </row>
    <row r="172" spans="1:60">
      <c r="A172" s="1040"/>
      <c r="B172" s="1109" t="s">
        <v>223</v>
      </c>
      <c r="C172" s="1106" t="s">
        <v>96</v>
      </c>
      <c r="D172" s="638"/>
      <c r="E172" s="940" t="s">
        <v>1313</v>
      </c>
      <c r="F172" s="940"/>
      <c r="G172" s="940"/>
      <c r="H172" s="940"/>
      <c r="I172" s="77"/>
      <c r="J172" s="939"/>
      <c r="K172" s="126"/>
      <c r="L172" s="126"/>
      <c r="M172" s="938"/>
      <c r="N172" s="191"/>
      <c r="O172" s="177" t="str">
        <f t="shared" ref="O172:V172" si="123">O$10</f>
        <v>verwarming</v>
      </c>
      <c r="P172" s="177" t="str">
        <f t="shared" si="123"/>
        <v>koeling</v>
      </c>
      <c r="Q172" s="177" t="str">
        <f t="shared" si="123"/>
        <v>tapwater</v>
      </c>
      <c r="R172" s="177" t="str">
        <f t="shared" si="123"/>
        <v>verlichting</v>
      </c>
      <c r="S172" s="177" t="str">
        <f t="shared" si="123"/>
        <v>ventilatoren</v>
      </c>
      <c r="T172" s="177" t="str">
        <f t="shared" si="123"/>
        <v>kookgas</v>
      </c>
      <c r="U172" s="177" t="str">
        <f t="shared" si="123"/>
        <v>overig elektra</v>
      </c>
      <c r="V172" s="177" t="str">
        <f t="shared" si="123"/>
        <v>mobiliteit</v>
      </c>
      <c r="W172" s="177"/>
      <c r="X172" s="191"/>
      <c r="Y172" s="938"/>
      <c r="Z172" s="191"/>
      <c r="AA172" s="177" t="str">
        <f t="shared" ref="AA172:AH172" si="124">AA$10</f>
        <v>verwarming</v>
      </c>
      <c r="AB172" s="177" t="str">
        <f t="shared" si="124"/>
        <v>koeling</v>
      </c>
      <c r="AC172" s="177" t="str">
        <f t="shared" si="124"/>
        <v>tapwater</v>
      </c>
      <c r="AD172" s="177" t="str">
        <f t="shared" si="124"/>
        <v>verlichting</v>
      </c>
      <c r="AE172" s="177" t="str">
        <f t="shared" si="124"/>
        <v>ventilatoren</v>
      </c>
      <c r="AF172" s="177" t="str">
        <f t="shared" si="124"/>
        <v>kookgas</v>
      </c>
      <c r="AG172" s="177" t="str">
        <f t="shared" si="124"/>
        <v>overig elektra</v>
      </c>
      <c r="AH172" s="177" t="str">
        <f t="shared" si="124"/>
        <v>mobiliteit</v>
      </c>
      <c r="AI172" s="177"/>
      <c r="AJ172" s="191"/>
      <c r="AK172" s="938"/>
      <c r="AL172" s="191"/>
      <c r="AM172" s="177" t="str">
        <f t="shared" ref="AM172:AT172" si="125">AM$10</f>
        <v>verwarming</v>
      </c>
      <c r="AN172" s="177" t="str">
        <f t="shared" si="125"/>
        <v>koeling</v>
      </c>
      <c r="AO172" s="177" t="str">
        <f t="shared" si="125"/>
        <v>tapwater</v>
      </c>
      <c r="AP172" s="177" t="str">
        <f t="shared" si="125"/>
        <v>verlichting</v>
      </c>
      <c r="AQ172" s="177" t="str">
        <f t="shared" si="125"/>
        <v>ventilatoren</v>
      </c>
      <c r="AR172" s="177" t="str">
        <f t="shared" si="125"/>
        <v>kookgas</v>
      </c>
      <c r="AS172" s="177" t="str">
        <f t="shared" si="125"/>
        <v>overig elektra</v>
      </c>
      <c r="AT172" s="177" t="str">
        <f t="shared" si="125"/>
        <v>mobiliteit</v>
      </c>
      <c r="AU172" s="177"/>
      <c r="AV172" s="191"/>
      <c r="AW172" s="938"/>
      <c r="AX172" s="191"/>
      <c r="AY172" s="177" t="str">
        <f t="shared" ref="AY172:BF172" si="126">AY$10</f>
        <v>verwarming</v>
      </c>
      <c r="AZ172" s="177" t="str">
        <f t="shared" si="126"/>
        <v>koeling</v>
      </c>
      <c r="BA172" s="177" t="str">
        <f t="shared" si="126"/>
        <v>tapwater</v>
      </c>
      <c r="BB172" s="177" t="str">
        <f t="shared" si="126"/>
        <v>verlichting</v>
      </c>
      <c r="BC172" s="177" t="str">
        <f t="shared" si="126"/>
        <v>ventilatoren</v>
      </c>
      <c r="BD172" s="177" t="str">
        <f t="shared" si="126"/>
        <v>kookgas</v>
      </c>
      <c r="BE172" s="177" t="str">
        <f t="shared" si="126"/>
        <v>overig elektra</v>
      </c>
      <c r="BF172" s="177" t="str">
        <f t="shared" si="126"/>
        <v>mobiliteit</v>
      </c>
      <c r="BG172" s="177"/>
      <c r="BH172" s="36"/>
    </row>
    <row r="173" spans="1:60" hidden="1">
      <c r="A173" s="1040"/>
      <c r="B173" s="1109" t="s">
        <v>223</v>
      </c>
      <c r="C173" s="1107" t="s">
        <v>181</v>
      </c>
      <c r="D173" s="638"/>
      <c r="E173" s="1172" t="s">
        <v>1350</v>
      </c>
      <c r="F173" s="1172"/>
      <c r="G173" s="254"/>
      <c r="H173" s="291" t="s">
        <v>204</v>
      </c>
      <c r="I173" s="191"/>
      <c r="J173" s="189"/>
      <c r="K173" s="79"/>
      <c r="L173" s="79"/>
      <c r="M173" s="189"/>
      <c r="N173" s="116"/>
      <c r="O173" s="151">
        <f>$G$5</f>
        <v>1.45</v>
      </c>
      <c r="P173" s="151">
        <f>$G$5</f>
        <v>1.45</v>
      </c>
      <c r="Q173" s="151">
        <f>$G$5</f>
        <v>1.45</v>
      </c>
      <c r="R173" s="151">
        <f>$G$5</f>
        <v>1.45</v>
      </c>
      <c r="S173" s="151">
        <f>$G$5</f>
        <v>1.45</v>
      </c>
      <c r="T173" s="151">
        <f>bibliotheek!$K$261</f>
        <v>1</v>
      </c>
      <c r="U173" s="151">
        <f>$G$5</f>
        <v>1.45</v>
      </c>
      <c r="V173" s="151">
        <f>$G$5</f>
        <v>1.45</v>
      </c>
      <c r="W173" s="384"/>
      <c r="X173" s="123"/>
      <c r="Y173" s="613"/>
      <c r="Z173" s="614"/>
      <c r="AA173" s="151">
        <f>$G$5</f>
        <v>1.45</v>
      </c>
      <c r="AB173" s="151">
        <f>$G$5</f>
        <v>1.45</v>
      </c>
      <c r="AC173" s="151">
        <f>$G$5</f>
        <v>1.45</v>
      </c>
      <c r="AD173" s="151">
        <f>$G$5</f>
        <v>1.45</v>
      </c>
      <c r="AE173" s="151">
        <f>$G$5</f>
        <v>1.45</v>
      </c>
      <c r="AF173" s="227">
        <f>bibliotheek!$K$261</f>
        <v>1</v>
      </c>
      <c r="AG173" s="151">
        <f>$G$5</f>
        <v>1.45</v>
      </c>
      <c r="AH173" s="151">
        <f>$G$5</f>
        <v>1.45</v>
      </c>
      <c r="AI173" s="384"/>
      <c r="AJ173" s="123"/>
      <c r="AK173" s="613"/>
      <c r="AL173" s="614"/>
      <c r="AM173" s="151">
        <f>$G$5</f>
        <v>1.45</v>
      </c>
      <c r="AN173" s="151">
        <f>$G$5</f>
        <v>1.45</v>
      </c>
      <c r="AO173" s="151">
        <f>$G$5</f>
        <v>1.45</v>
      </c>
      <c r="AP173" s="151">
        <f>$G$5</f>
        <v>1.45</v>
      </c>
      <c r="AQ173" s="151">
        <f>$G$5</f>
        <v>1.45</v>
      </c>
      <c r="AR173" s="227">
        <f>bibliotheek!$K$261</f>
        <v>1</v>
      </c>
      <c r="AS173" s="151">
        <f>$G$5</f>
        <v>1.45</v>
      </c>
      <c r="AT173" s="151">
        <f>$G$5</f>
        <v>1.45</v>
      </c>
      <c r="AU173" s="384"/>
      <c r="AV173" s="123"/>
      <c r="AW173" s="613"/>
      <c r="AX173" s="614"/>
      <c r="AY173" s="151">
        <f>$G$5</f>
        <v>1.45</v>
      </c>
      <c r="AZ173" s="151">
        <f>$G$5</f>
        <v>1.45</v>
      </c>
      <c r="BA173" s="151">
        <f>$G$5</f>
        <v>1.45</v>
      </c>
      <c r="BB173" s="151">
        <f>$G$5</f>
        <v>1.45</v>
      </c>
      <c r="BC173" s="151">
        <f>$G$5</f>
        <v>1.45</v>
      </c>
      <c r="BD173" s="227">
        <f>bibliotheek!$K$261</f>
        <v>1</v>
      </c>
      <c r="BE173" s="151">
        <f>$G$5</f>
        <v>1.45</v>
      </c>
      <c r="BF173" s="151">
        <f>$G$5</f>
        <v>1.45</v>
      </c>
      <c r="BG173" s="384"/>
      <c r="BH173" s="174"/>
    </row>
    <row r="174" spans="1:60">
      <c r="A174" s="1046"/>
      <c r="B174" s="1109" t="s">
        <v>223</v>
      </c>
      <c r="C174" s="1111" t="s">
        <v>104</v>
      </c>
      <c r="D174" s="643" t="s">
        <v>45</v>
      </c>
      <c r="E174" s="1173" t="s">
        <v>232</v>
      </c>
      <c r="F174" s="1174"/>
      <c r="G174" s="201"/>
      <c r="H174" s="201" t="s">
        <v>106</v>
      </c>
      <c r="I174" s="191"/>
      <c r="J174" s="202">
        <f>M174+Y174+AK174+AW174</f>
        <v>0</v>
      </c>
      <c r="K174" s="1062"/>
      <c r="L174" s="1062"/>
      <c r="M174" s="202">
        <f>SUM(O174:X174)</f>
        <v>0</v>
      </c>
      <c r="N174" s="89"/>
      <c r="O174" s="168">
        <f t="shared" ref="O174:V174" si="127">SUM(O$168:O$171)*O$173</f>
        <v>0</v>
      </c>
      <c r="P174" s="168">
        <f t="shared" si="127"/>
        <v>0</v>
      </c>
      <c r="Q174" s="168">
        <f t="shared" si="127"/>
        <v>0</v>
      </c>
      <c r="R174" s="168">
        <f t="shared" si="127"/>
        <v>0</v>
      </c>
      <c r="S174" s="168">
        <f t="shared" si="127"/>
        <v>0</v>
      </c>
      <c r="T174" s="168">
        <f t="shared" si="127"/>
        <v>0</v>
      </c>
      <c r="U174" s="168">
        <f>SUM(U$168:U$171)*U$173</f>
        <v>0</v>
      </c>
      <c r="V174" s="168">
        <f t="shared" si="127"/>
        <v>0</v>
      </c>
      <c r="W174" s="273"/>
      <c r="X174" s="113"/>
      <c r="Y174" s="202">
        <f>SUM(AA174:AJ174)</f>
        <v>0</v>
      </c>
      <c r="Z174" s="89"/>
      <c r="AA174" s="168">
        <f t="shared" ref="AA174:AH174" si="128">SUM(AA$168:AA$171)*AA$173</f>
        <v>0</v>
      </c>
      <c r="AB174" s="168">
        <f t="shared" si="128"/>
        <v>0</v>
      </c>
      <c r="AC174" s="168">
        <f t="shared" si="128"/>
        <v>0</v>
      </c>
      <c r="AD174" s="168">
        <f t="shared" si="128"/>
        <v>0</v>
      </c>
      <c r="AE174" s="168">
        <f t="shared" si="128"/>
        <v>0</v>
      </c>
      <c r="AF174" s="168">
        <f t="shared" si="128"/>
        <v>0</v>
      </c>
      <c r="AG174" s="168">
        <f t="shared" si="128"/>
        <v>0</v>
      </c>
      <c r="AH174" s="168">
        <f t="shared" si="128"/>
        <v>0</v>
      </c>
      <c r="AI174" s="273"/>
      <c r="AJ174" s="113"/>
      <c r="AK174" s="202">
        <f>SUM(AM174:AV174)</f>
        <v>0</v>
      </c>
      <c r="AL174" s="89"/>
      <c r="AM174" s="168">
        <f>SUM(AM$168:AM$171)*AM$173</f>
        <v>0</v>
      </c>
      <c r="AN174" s="168">
        <f t="shared" ref="AN174:AT174" si="129">SUM(AN$168:AN$171)*AN$173</f>
        <v>0</v>
      </c>
      <c r="AO174" s="168">
        <f t="shared" si="129"/>
        <v>0</v>
      </c>
      <c r="AP174" s="168">
        <f t="shared" si="129"/>
        <v>0</v>
      </c>
      <c r="AQ174" s="168">
        <f t="shared" si="129"/>
        <v>0</v>
      </c>
      <c r="AR174" s="168">
        <f t="shared" si="129"/>
        <v>0</v>
      </c>
      <c r="AS174" s="168">
        <f t="shared" si="129"/>
        <v>0</v>
      </c>
      <c r="AT174" s="168">
        <f t="shared" si="129"/>
        <v>0</v>
      </c>
      <c r="AU174" s="273"/>
      <c r="AV174" s="113"/>
      <c r="AW174" s="202">
        <f>SUM(AY174:BH174)</f>
        <v>0</v>
      </c>
      <c r="AX174" s="89"/>
      <c r="AY174" s="168">
        <f>SUM(AY$168:AY$171)*AY$173</f>
        <v>0</v>
      </c>
      <c r="AZ174" s="168">
        <f t="shared" ref="AZ174:BF174" si="130">SUM(AZ$168:AZ$171)*AZ$173</f>
        <v>0</v>
      </c>
      <c r="BA174" s="168">
        <f t="shared" si="130"/>
        <v>0</v>
      </c>
      <c r="BB174" s="168">
        <f t="shared" si="130"/>
        <v>0</v>
      </c>
      <c r="BC174" s="168">
        <f t="shared" si="130"/>
        <v>0</v>
      </c>
      <c r="BD174" s="168">
        <f t="shared" si="130"/>
        <v>0</v>
      </c>
      <c r="BE174" s="168">
        <f t="shared" si="130"/>
        <v>0</v>
      </c>
      <c r="BF174" s="168">
        <f t="shared" si="130"/>
        <v>0</v>
      </c>
      <c r="BG174" s="273"/>
      <c r="BH174" s="174"/>
    </row>
    <row r="175" spans="1:60">
      <c r="A175" s="1046"/>
      <c r="B175" s="1109" t="s">
        <v>223</v>
      </c>
      <c r="C175" s="1106" t="s">
        <v>96</v>
      </c>
      <c r="D175" s="638"/>
      <c r="E175" s="940" t="s">
        <v>1202</v>
      </c>
      <c r="F175" s="940"/>
      <c r="G175" s="940"/>
      <c r="H175" s="940"/>
      <c r="I175" s="77"/>
      <c r="J175" s="939"/>
      <c r="K175" s="126"/>
      <c r="L175" s="126"/>
      <c r="M175" s="938"/>
      <c r="N175" s="191"/>
      <c r="O175" s="177" t="str">
        <f t="shared" ref="O175:V175" si="131">O$10</f>
        <v>verwarming</v>
      </c>
      <c r="P175" s="177" t="str">
        <f t="shared" si="131"/>
        <v>koeling</v>
      </c>
      <c r="Q175" s="177" t="str">
        <f t="shared" si="131"/>
        <v>tapwater</v>
      </c>
      <c r="R175" s="177" t="str">
        <f t="shared" si="131"/>
        <v>verlichting</v>
      </c>
      <c r="S175" s="177" t="str">
        <f t="shared" si="131"/>
        <v>ventilatoren</v>
      </c>
      <c r="T175" s="177" t="str">
        <f t="shared" si="131"/>
        <v>kookgas</v>
      </c>
      <c r="U175" s="177" t="str">
        <f t="shared" si="131"/>
        <v>overig elektra</v>
      </c>
      <c r="V175" s="177" t="str">
        <f t="shared" si="131"/>
        <v>mobiliteit</v>
      </c>
      <c r="W175" s="177"/>
      <c r="X175" s="113"/>
      <c r="Y175" s="938"/>
      <c r="Z175" s="191"/>
      <c r="AA175" s="177" t="str">
        <f t="shared" ref="AA175:AH175" si="132">AA$10</f>
        <v>verwarming</v>
      </c>
      <c r="AB175" s="177" t="str">
        <f t="shared" si="132"/>
        <v>koeling</v>
      </c>
      <c r="AC175" s="177" t="str">
        <f t="shared" si="132"/>
        <v>tapwater</v>
      </c>
      <c r="AD175" s="177" t="str">
        <f t="shared" si="132"/>
        <v>verlichting</v>
      </c>
      <c r="AE175" s="177" t="str">
        <f t="shared" si="132"/>
        <v>ventilatoren</v>
      </c>
      <c r="AF175" s="177" t="str">
        <f t="shared" si="132"/>
        <v>kookgas</v>
      </c>
      <c r="AG175" s="177" t="str">
        <f t="shared" si="132"/>
        <v>overig elektra</v>
      </c>
      <c r="AH175" s="177" t="str">
        <f t="shared" si="132"/>
        <v>mobiliteit</v>
      </c>
      <c r="AI175" s="177"/>
      <c r="AJ175" s="113"/>
      <c r="AK175" s="938"/>
      <c r="AL175" s="191"/>
      <c r="AM175" s="177" t="str">
        <f t="shared" ref="AM175:AT175" si="133">AM$10</f>
        <v>verwarming</v>
      </c>
      <c r="AN175" s="177" t="str">
        <f t="shared" si="133"/>
        <v>koeling</v>
      </c>
      <c r="AO175" s="177" t="str">
        <f t="shared" si="133"/>
        <v>tapwater</v>
      </c>
      <c r="AP175" s="177" t="str">
        <f t="shared" si="133"/>
        <v>verlichting</v>
      </c>
      <c r="AQ175" s="177" t="str">
        <f t="shared" si="133"/>
        <v>ventilatoren</v>
      </c>
      <c r="AR175" s="177" t="str">
        <f t="shared" si="133"/>
        <v>kookgas</v>
      </c>
      <c r="AS175" s="177" t="str">
        <f t="shared" si="133"/>
        <v>overig elektra</v>
      </c>
      <c r="AT175" s="177" t="str">
        <f t="shared" si="133"/>
        <v>mobiliteit</v>
      </c>
      <c r="AU175" s="177"/>
      <c r="AV175" s="113"/>
      <c r="AW175" s="938"/>
      <c r="AX175" s="191"/>
      <c r="AY175" s="177" t="str">
        <f t="shared" ref="AY175:BF175" si="134">AY$10</f>
        <v>verwarming</v>
      </c>
      <c r="AZ175" s="177" t="str">
        <f t="shared" si="134"/>
        <v>koeling</v>
      </c>
      <c r="BA175" s="177" t="str">
        <f t="shared" si="134"/>
        <v>tapwater</v>
      </c>
      <c r="BB175" s="177" t="str">
        <f t="shared" si="134"/>
        <v>verlichting</v>
      </c>
      <c r="BC175" s="177" t="str">
        <f t="shared" si="134"/>
        <v>ventilatoren</v>
      </c>
      <c r="BD175" s="177" t="str">
        <f t="shared" si="134"/>
        <v>kookgas</v>
      </c>
      <c r="BE175" s="177" t="str">
        <f t="shared" si="134"/>
        <v>overig elektra</v>
      </c>
      <c r="BF175" s="177" t="str">
        <f t="shared" si="134"/>
        <v>mobiliteit</v>
      </c>
      <c r="BG175" s="177"/>
      <c r="BH175" s="174"/>
    </row>
    <row r="176" spans="1:60" hidden="1">
      <c r="A176" s="1046"/>
      <c r="B176" s="1109" t="s">
        <v>223</v>
      </c>
      <c r="C176" s="1107" t="s">
        <v>181</v>
      </c>
      <c r="D176" s="638"/>
      <c r="E176" s="1171" t="s">
        <v>1351</v>
      </c>
      <c r="F176" s="1172"/>
      <c r="G176" s="254"/>
      <c r="H176" s="181" t="s">
        <v>1208</v>
      </c>
      <c r="I176" s="191"/>
      <c r="J176" s="1014"/>
      <c r="K176" s="1062"/>
      <c r="L176" s="1062"/>
      <c r="M176" s="202"/>
      <c r="N176" s="89"/>
      <c r="O176" s="227">
        <f>bibliotheek!$I$307</f>
        <v>1.35</v>
      </c>
      <c r="P176" s="227">
        <f>bibliotheek!$I$307</f>
        <v>1.35</v>
      </c>
      <c r="Q176" s="227">
        <f>bibliotheek!$I$307</f>
        <v>1.35</v>
      </c>
      <c r="R176" s="227">
        <f>bibliotheek!$I$307</f>
        <v>1.35</v>
      </c>
      <c r="S176" s="227">
        <f>bibliotheek!$I$307</f>
        <v>1.35</v>
      </c>
      <c r="T176" s="227">
        <f>bibliotheek!$I$307</f>
        <v>1.35</v>
      </c>
      <c r="U176" s="227">
        <f>bibliotheek!$I$307</f>
        <v>1.35</v>
      </c>
      <c r="V176" s="227">
        <f>bibliotheek!$I$307</f>
        <v>1.35</v>
      </c>
      <c r="W176" s="273"/>
      <c r="X176" s="113"/>
      <c r="Y176" s="202"/>
      <c r="Z176" s="89"/>
      <c r="AA176" s="227">
        <f>bibliotheek!$I$307</f>
        <v>1.35</v>
      </c>
      <c r="AB176" s="227">
        <f>bibliotheek!$I$307</f>
        <v>1.35</v>
      </c>
      <c r="AC176" s="227">
        <f>bibliotheek!$I$307</f>
        <v>1.35</v>
      </c>
      <c r="AD176" s="227">
        <f>bibliotheek!$I$307</f>
        <v>1.35</v>
      </c>
      <c r="AE176" s="227">
        <f>bibliotheek!$I$307</f>
        <v>1.35</v>
      </c>
      <c r="AF176" s="227">
        <f>bibliotheek!$I$307</f>
        <v>1.35</v>
      </c>
      <c r="AG176" s="227">
        <f>bibliotheek!$I$307</f>
        <v>1.35</v>
      </c>
      <c r="AH176" s="227">
        <f>bibliotheek!$I$307</f>
        <v>1.35</v>
      </c>
      <c r="AI176" s="273"/>
      <c r="AJ176" s="113"/>
      <c r="AK176" s="202"/>
      <c r="AL176" s="89"/>
      <c r="AM176" s="227">
        <f>bibliotheek!$I$307</f>
        <v>1.35</v>
      </c>
      <c r="AN176" s="227">
        <f>bibliotheek!$I$307</f>
        <v>1.35</v>
      </c>
      <c r="AO176" s="227">
        <f>bibliotheek!$I$307</f>
        <v>1.35</v>
      </c>
      <c r="AP176" s="227">
        <f>bibliotheek!$I$307</f>
        <v>1.35</v>
      </c>
      <c r="AQ176" s="227">
        <f>bibliotheek!$I$307</f>
        <v>1.35</v>
      </c>
      <c r="AR176" s="227">
        <f>bibliotheek!$I$307</f>
        <v>1.35</v>
      </c>
      <c r="AS176" s="227">
        <f>bibliotheek!$I$307</f>
        <v>1.35</v>
      </c>
      <c r="AT176" s="227">
        <f>bibliotheek!$I$307</f>
        <v>1.35</v>
      </c>
      <c r="AU176" s="273"/>
      <c r="AV176" s="113"/>
      <c r="AW176" s="202"/>
      <c r="AX176" s="89"/>
      <c r="AY176" s="227">
        <f>bibliotheek!$I$307</f>
        <v>1.35</v>
      </c>
      <c r="AZ176" s="227">
        <f>bibliotheek!$I$307</f>
        <v>1.35</v>
      </c>
      <c r="BA176" s="227">
        <f>bibliotheek!$I$307</f>
        <v>1.35</v>
      </c>
      <c r="BB176" s="227">
        <f>bibliotheek!$I$307</f>
        <v>1.35</v>
      </c>
      <c r="BC176" s="227">
        <f>bibliotheek!$I$307</f>
        <v>1.35</v>
      </c>
      <c r="BD176" s="227">
        <f>bibliotheek!$I$307</f>
        <v>1.35</v>
      </c>
      <c r="BE176" s="227">
        <f>bibliotheek!$I$307</f>
        <v>1.35</v>
      </c>
      <c r="BF176" s="227">
        <f>bibliotheek!$I$307</f>
        <v>1.35</v>
      </c>
      <c r="BG176" s="273"/>
      <c r="BH176" s="174"/>
    </row>
    <row r="177" spans="1:60" hidden="1">
      <c r="A177" s="1046"/>
      <c r="B177" s="1109" t="s">
        <v>223</v>
      </c>
      <c r="C177" s="1107" t="s">
        <v>181</v>
      </c>
      <c r="D177" s="638"/>
      <c r="E177" s="1175" t="s">
        <v>1201</v>
      </c>
      <c r="F177" s="1176"/>
      <c r="G177" s="595"/>
      <c r="H177" s="1013" t="s">
        <v>65</v>
      </c>
      <c r="I177" s="191"/>
      <c r="J177" s="1014"/>
      <c r="K177" s="1062"/>
      <c r="L177" s="1062"/>
      <c r="M177" s="202"/>
      <c r="N177" s="89"/>
      <c r="O177" s="227">
        <f>bibliotheek!$J$263</f>
        <v>1</v>
      </c>
      <c r="P177" s="227">
        <f>bibliotheek!$J$263</f>
        <v>1</v>
      </c>
      <c r="Q177" s="227">
        <f>bibliotheek!$J$263</f>
        <v>1</v>
      </c>
      <c r="R177" s="227">
        <f>bibliotheek!$J$263</f>
        <v>1</v>
      </c>
      <c r="S177" s="227">
        <f>bibliotheek!$J$263</f>
        <v>1</v>
      </c>
      <c r="T177" s="227">
        <f>bibliotheek!$J$263</f>
        <v>1</v>
      </c>
      <c r="U177" s="227">
        <f>bibliotheek!$J$263</f>
        <v>1</v>
      </c>
      <c r="V177" s="227">
        <f>bibliotheek!$J$263</f>
        <v>1</v>
      </c>
      <c r="W177" s="273"/>
      <c r="X177" s="113"/>
      <c r="Y177" s="202"/>
      <c r="Z177" s="89"/>
      <c r="AA177" s="227">
        <f>bibliotheek!$J$263</f>
        <v>1</v>
      </c>
      <c r="AB177" s="227">
        <f>bibliotheek!$J$263</f>
        <v>1</v>
      </c>
      <c r="AC177" s="227">
        <f>bibliotheek!$J$263</f>
        <v>1</v>
      </c>
      <c r="AD177" s="227">
        <f>bibliotheek!$J$263</f>
        <v>1</v>
      </c>
      <c r="AE177" s="227">
        <f>bibliotheek!$J$263</f>
        <v>1</v>
      </c>
      <c r="AF177" s="227">
        <f>bibliotheek!$J$263</f>
        <v>1</v>
      </c>
      <c r="AG177" s="227">
        <f>bibliotheek!$J$263</f>
        <v>1</v>
      </c>
      <c r="AH177" s="227">
        <f>bibliotheek!$J$263</f>
        <v>1</v>
      </c>
      <c r="AI177" s="273"/>
      <c r="AJ177" s="113"/>
      <c r="AK177" s="202"/>
      <c r="AL177" s="89"/>
      <c r="AM177" s="227">
        <f>bibliotheek!$J$263</f>
        <v>1</v>
      </c>
      <c r="AN177" s="227">
        <f>bibliotheek!$J$263</f>
        <v>1</v>
      </c>
      <c r="AO177" s="227">
        <f>bibliotheek!$J$263</f>
        <v>1</v>
      </c>
      <c r="AP177" s="227">
        <f>bibliotheek!$J$263</f>
        <v>1</v>
      </c>
      <c r="AQ177" s="227">
        <f>bibliotheek!$J$263</f>
        <v>1</v>
      </c>
      <c r="AR177" s="227">
        <f>bibliotheek!$J$263</f>
        <v>1</v>
      </c>
      <c r="AS177" s="227">
        <f>bibliotheek!$J$263</f>
        <v>1</v>
      </c>
      <c r="AT177" s="227">
        <f>bibliotheek!$J$263</f>
        <v>1</v>
      </c>
      <c r="AU177" s="273"/>
      <c r="AV177" s="113"/>
      <c r="AW177" s="202"/>
      <c r="AX177" s="89"/>
      <c r="AY177" s="227">
        <f>bibliotheek!$J$263</f>
        <v>1</v>
      </c>
      <c r="AZ177" s="227">
        <f>bibliotheek!$J$263</f>
        <v>1</v>
      </c>
      <c r="BA177" s="227">
        <f>bibliotheek!$J$263</f>
        <v>1</v>
      </c>
      <c r="BB177" s="227">
        <f>bibliotheek!$J$263</f>
        <v>1</v>
      </c>
      <c r="BC177" s="227">
        <f>bibliotheek!$J$263</f>
        <v>1</v>
      </c>
      <c r="BD177" s="227">
        <f>bibliotheek!$J$263</f>
        <v>1</v>
      </c>
      <c r="BE177" s="227">
        <f>bibliotheek!$J$263</f>
        <v>1</v>
      </c>
      <c r="BF177" s="227">
        <f>bibliotheek!$J$263</f>
        <v>1</v>
      </c>
      <c r="BG177" s="273"/>
      <c r="BH177" s="174"/>
    </row>
    <row r="178" spans="1:60">
      <c r="A178" s="1046"/>
      <c r="B178" s="1109" t="s">
        <v>223</v>
      </c>
      <c r="C178" s="1111" t="s">
        <v>104</v>
      </c>
      <c r="D178" s="638"/>
      <c r="E178" s="1170" t="s">
        <v>232</v>
      </c>
      <c r="F178" s="1170"/>
      <c r="G178" s="181"/>
      <c r="H178" s="181" t="s">
        <v>1206</v>
      </c>
      <c r="I178" s="191"/>
      <c r="J178" s="202">
        <f>M178+Y178+AK178+AW178</f>
        <v>0</v>
      </c>
      <c r="K178" s="1062"/>
      <c r="L178" s="1062"/>
      <c r="M178" s="202">
        <f>SUM(O178:X178)</f>
        <v>0</v>
      </c>
      <c r="N178" s="89"/>
      <c r="O178" s="168">
        <f>SUM(O$168:O$171)*O$176*O177</f>
        <v>0</v>
      </c>
      <c r="P178" s="168">
        <f t="shared" ref="P178:V178" si="135">SUM(P$168:P$171)*P$176*P177</f>
        <v>0</v>
      </c>
      <c r="Q178" s="168">
        <f t="shared" si="135"/>
        <v>0</v>
      </c>
      <c r="R178" s="168">
        <f t="shared" si="135"/>
        <v>0</v>
      </c>
      <c r="S178" s="168">
        <f t="shared" si="135"/>
        <v>0</v>
      </c>
      <c r="T178" s="168">
        <f t="shared" si="135"/>
        <v>0</v>
      </c>
      <c r="U178" s="168">
        <f t="shared" si="135"/>
        <v>0</v>
      </c>
      <c r="V178" s="168">
        <f t="shared" si="135"/>
        <v>0</v>
      </c>
      <c r="W178" s="273"/>
      <c r="X178" s="113"/>
      <c r="Y178" s="202">
        <f>SUM(AA178:AJ178)</f>
        <v>0</v>
      </c>
      <c r="Z178" s="89"/>
      <c r="AA178" s="168">
        <f>SUM(AA$168:AA$171)*AA$176*AA177</f>
        <v>0</v>
      </c>
      <c r="AB178" s="168">
        <f t="shared" ref="AB178:AH178" si="136">SUM(AB$168:AB$171)*AB$176*AB177</f>
        <v>0</v>
      </c>
      <c r="AC178" s="168">
        <f t="shared" si="136"/>
        <v>0</v>
      </c>
      <c r="AD178" s="168">
        <f t="shared" si="136"/>
        <v>0</v>
      </c>
      <c r="AE178" s="168">
        <f t="shared" si="136"/>
        <v>0</v>
      </c>
      <c r="AF178" s="168">
        <f t="shared" si="136"/>
        <v>0</v>
      </c>
      <c r="AG178" s="168">
        <f t="shared" si="136"/>
        <v>0</v>
      </c>
      <c r="AH178" s="168">
        <f t="shared" si="136"/>
        <v>0</v>
      </c>
      <c r="AI178" s="273"/>
      <c r="AJ178" s="113"/>
      <c r="AK178" s="202">
        <f>SUM(AM178:AV178)</f>
        <v>0</v>
      </c>
      <c r="AL178" s="89"/>
      <c r="AM178" s="168">
        <f>SUM(AM$168:AM$171)*AM$176*AM177</f>
        <v>0</v>
      </c>
      <c r="AN178" s="168">
        <f t="shared" ref="AN178:AT178" si="137">SUM(AN$168:AN$171)*AN$176*AN177</f>
        <v>0</v>
      </c>
      <c r="AO178" s="168">
        <f t="shared" si="137"/>
        <v>0</v>
      </c>
      <c r="AP178" s="168">
        <f t="shared" si="137"/>
        <v>0</v>
      </c>
      <c r="AQ178" s="168">
        <f t="shared" si="137"/>
        <v>0</v>
      </c>
      <c r="AR178" s="168">
        <f t="shared" si="137"/>
        <v>0</v>
      </c>
      <c r="AS178" s="168">
        <f t="shared" si="137"/>
        <v>0</v>
      </c>
      <c r="AT178" s="168">
        <f t="shared" si="137"/>
        <v>0</v>
      </c>
      <c r="AU178" s="273"/>
      <c r="AV178" s="113"/>
      <c r="AW178" s="202">
        <f>SUM(AY178:BH178)</f>
        <v>0</v>
      </c>
      <c r="AX178" s="89"/>
      <c r="AY178" s="168">
        <f>SUM(AY$168:AY$171)*AY$176*AY177</f>
        <v>0</v>
      </c>
      <c r="AZ178" s="168">
        <f t="shared" ref="AZ178:BF178" si="138">SUM(AZ$168:AZ$171)*AZ$176*AZ177</f>
        <v>0</v>
      </c>
      <c r="BA178" s="168">
        <f t="shared" si="138"/>
        <v>0</v>
      </c>
      <c r="BB178" s="168">
        <f t="shared" si="138"/>
        <v>0</v>
      </c>
      <c r="BC178" s="168">
        <f t="shared" si="138"/>
        <v>0</v>
      </c>
      <c r="BD178" s="168">
        <f t="shared" si="138"/>
        <v>0</v>
      </c>
      <c r="BE178" s="168">
        <f t="shared" si="138"/>
        <v>0</v>
      </c>
      <c r="BF178" s="168">
        <f t="shared" si="138"/>
        <v>0</v>
      </c>
      <c r="BG178" s="273"/>
      <c r="BH178" s="174"/>
    </row>
    <row r="179" spans="1:60">
      <c r="A179" s="1040"/>
      <c r="B179" s="1109" t="s">
        <v>223</v>
      </c>
      <c r="C179" s="1106" t="s">
        <v>96</v>
      </c>
      <c r="D179" s="638"/>
      <c r="E179" s="940" t="s">
        <v>230</v>
      </c>
      <c r="F179" s="940"/>
      <c r="G179" s="940"/>
      <c r="H179" s="940"/>
      <c r="I179" s="77"/>
      <c r="J179" s="939"/>
      <c r="K179" s="126"/>
      <c r="L179" s="126"/>
      <c r="M179" s="938"/>
      <c r="N179" s="191"/>
      <c r="O179" s="177" t="str">
        <f t="shared" ref="O179:V179" si="139">O$10</f>
        <v>verwarming</v>
      </c>
      <c r="P179" s="177" t="str">
        <f t="shared" si="139"/>
        <v>koeling</v>
      </c>
      <c r="Q179" s="177" t="str">
        <f t="shared" si="139"/>
        <v>tapwater</v>
      </c>
      <c r="R179" s="177" t="str">
        <f t="shared" si="139"/>
        <v>verlichting</v>
      </c>
      <c r="S179" s="177" t="str">
        <f t="shared" si="139"/>
        <v>ventilatoren</v>
      </c>
      <c r="T179" s="177" t="str">
        <f t="shared" si="139"/>
        <v>kookgas</v>
      </c>
      <c r="U179" s="177" t="str">
        <f t="shared" si="139"/>
        <v>overig elektra</v>
      </c>
      <c r="V179" s="177" t="str">
        <f t="shared" si="139"/>
        <v>mobiliteit</v>
      </c>
      <c r="W179" s="177"/>
      <c r="X179" s="191"/>
      <c r="Y179" s="938"/>
      <c r="Z179" s="191"/>
      <c r="AA179" s="177" t="str">
        <f t="shared" ref="AA179:AH179" si="140">AA$10</f>
        <v>verwarming</v>
      </c>
      <c r="AB179" s="177" t="str">
        <f t="shared" si="140"/>
        <v>koeling</v>
      </c>
      <c r="AC179" s="177" t="str">
        <f t="shared" si="140"/>
        <v>tapwater</v>
      </c>
      <c r="AD179" s="177" t="str">
        <f t="shared" si="140"/>
        <v>verlichting</v>
      </c>
      <c r="AE179" s="177" t="str">
        <f t="shared" si="140"/>
        <v>ventilatoren</v>
      </c>
      <c r="AF179" s="177" t="str">
        <f t="shared" si="140"/>
        <v>kookgas</v>
      </c>
      <c r="AG179" s="177" t="str">
        <f t="shared" si="140"/>
        <v>overig elektra</v>
      </c>
      <c r="AH179" s="177" t="str">
        <f t="shared" si="140"/>
        <v>mobiliteit</v>
      </c>
      <c r="AI179" s="177"/>
      <c r="AJ179" s="191"/>
      <c r="AK179" s="938"/>
      <c r="AL179" s="191"/>
      <c r="AM179" s="177" t="str">
        <f t="shared" ref="AM179:AT179" si="141">AM$10</f>
        <v>verwarming</v>
      </c>
      <c r="AN179" s="177" t="str">
        <f t="shared" si="141"/>
        <v>koeling</v>
      </c>
      <c r="AO179" s="177" t="str">
        <f t="shared" si="141"/>
        <v>tapwater</v>
      </c>
      <c r="AP179" s="177" t="str">
        <f t="shared" si="141"/>
        <v>verlichting</v>
      </c>
      <c r="AQ179" s="177" t="str">
        <f t="shared" si="141"/>
        <v>ventilatoren</v>
      </c>
      <c r="AR179" s="177" t="str">
        <f t="shared" si="141"/>
        <v>kookgas</v>
      </c>
      <c r="AS179" s="177" t="str">
        <f t="shared" si="141"/>
        <v>overig elektra</v>
      </c>
      <c r="AT179" s="177" t="str">
        <f t="shared" si="141"/>
        <v>mobiliteit</v>
      </c>
      <c r="AU179" s="177"/>
      <c r="AV179" s="191"/>
      <c r="AW179" s="938"/>
      <c r="AX179" s="191"/>
      <c r="AY179" s="177" t="str">
        <f t="shared" ref="AY179:BF179" si="142">AY$10</f>
        <v>verwarming</v>
      </c>
      <c r="AZ179" s="177" t="str">
        <f t="shared" si="142"/>
        <v>koeling</v>
      </c>
      <c r="BA179" s="177" t="str">
        <f t="shared" si="142"/>
        <v>tapwater</v>
      </c>
      <c r="BB179" s="177" t="str">
        <f t="shared" si="142"/>
        <v>verlichting</v>
      </c>
      <c r="BC179" s="177" t="str">
        <f t="shared" si="142"/>
        <v>ventilatoren</v>
      </c>
      <c r="BD179" s="177" t="str">
        <f t="shared" si="142"/>
        <v>kookgas</v>
      </c>
      <c r="BE179" s="177" t="str">
        <f t="shared" si="142"/>
        <v>overig elektra</v>
      </c>
      <c r="BF179" s="177" t="str">
        <f t="shared" si="142"/>
        <v>mobiliteit</v>
      </c>
      <c r="BG179" s="177"/>
      <c r="BH179" s="36"/>
    </row>
    <row r="180" spans="1:60" hidden="1">
      <c r="A180" s="1040"/>
      <c r="B180" s="1109" t="s">
        <v>223</v>
      </c>
      <c r="C180" s="1107" t="s">
        <v>181</v>
      </c>
      <c r="D180" s="638"/>
      <c r="E180" s="180" t="s">
        <v>206</v>
      </c>
      <c r="F180" s="180"/>
      <c r="G180" s="180"/>
      <c r="H180" s="181" t="s">
        <v>207</v>
      </c>
      <c r="I180" s="191"/>
      <c r="J180" s="190"/>
      <c r="K180" s="79"/>
      <c r="L180" s="79"/>
      <c r="M180" s="190"/>
      <c r="N180" s="114"/>
      <c r="O180" s="228">
        <f>$H$5</f>
        <v>0.26800000000000002</v>
      </c>
      <c r="P180" s="228">
        <f t="shared" ref="P180:V180" si="143">$H$5</f>
        <v>0.26800000000000002</v>
      </c>
      <c r="Q180" s="228">
        <f t="shared" si="143"/>
        <v>0.26800000000000002</v>
      </c>
      <c r="R180" s="228">
        <f t="shared" si="143"/>
        <v>0.26800000000000002</v>
      </c>
      <c r="S180" s="228">
        <f t="shared" si="143"/>
        <v>0.26800000000000002</v>
      </c>
      <c r="T180" s="228">
        <f t="shared" si="143"/>
        <v>0.26800000000000002</v>
      </c>
      <c r="U180" s="228">
        <f t="shared" si="143"/>
        <v>0.26800000000000002</v>
      </c>
      <c r="V180" s="228">
        <f t="shared" si="143"/>
        <v>0.26800000000000002</v>
      </c>
      <c r="W180" s="355"/>
      <c r="X180" s="356"/>
      <c r="Y180" s="190"/>
      <c r="Z180" s="358"/>
      <c r="AA180" s="228">
        <f>$H$5</f>
        <v>0.26800000000000002</v>
      </c>
      <c r="AB180" s="228">
        <f t="shared" ref="AB180:AH180" si="144">$H$5</f>
        <v>0.26800000000000002</v>
      </c>
      <c r="AC180" s="228">
        <f t="shared" si="144"/>
        <v>0.26800000000000002</v>
      </c>
      <c r="AD180" s="228">
        <f t="shared" si="144"/>
        <v>0.26800000000000002</v>
      </c>
      <c r="AE180" s="228">
        <f t="shared" si="144"/>
        <v>0.26800000000000002</v>
      </c>
      <c r="AF180" s="168">
        <f t="shared" si="144"/>
        <v>0.26800000000000002</v>
      </c>
      <c r="AG180" s="228">
        <f t="shared" si="144"/>
        <v>0.26800000000000002</v>
      </c>
      <c r="AH180" s="228">
        <f t="shared" si="144"/>
        <v>0.26800000000000002</v>
      </c>
      <c r="AI180" s="355"/>
      <c r="AJ180" s="356"/>
      <c r="AK180" s="190"/>
      <c r="AL180" s="358"/>
      <c r="AM180" s="228">
        <f>$H$5</f>
        <v>0.26800000000000002</v>
      </c>
      <c r="AN180" s="228">
        <f t="shared" ref="AN180:AT180" si="145">$H$5</f>
        <v>0.26800000000000002</v>
      </c>
      <c r="AO180" s="228">
        <f t="shared" si="145"/>
        <v>0.26800000000000002</v>
      </c>
      <c r="AP180" s="228">
        <f t="shared" si="145"/>
        <v>0.26800000000000002</v>
      </c>
      <c r="AQ180" s="228">
        <f t="shared" si="145"/>
        <v>0.26800000000000002</v>
      </c>
      <c r="AR180" s="168">
        <f t="shared" si="145"/>
        <v>0.26800000000000002</v>
      </c>
      <c r="AS180" s="228">
        <f t="shared" si="145"/>
        <v>0.26800000000000002</v>
      </c>
      <c r="AT180" s="228">
        <f t="shared" si="145"/>
        <v>0.26800000000000002</v>
      </c>
      <c r="AU180" s="355"/>
      <c r="AV180" s="356"/>
      <c r="AW180" s="190"/>
      <c r="AX180" s="358"/>
      <c r="AY180" s="228">
        <f>$H$5</f>
        <v>0.26800000000000002</v>
      </c>
      <c r="AZ180" s="228">
        <f t="shared" ref="AZ180:BF180" si="146">$H$5</f>
        <v>0.26800000000000002</v>
      </c>
      <c r="BA180" s="228">
        <f t="shared" si="146"/>
        <v>0.26800000000000002</v>
      </c>
      <c r="BB180" s="228">
        <f t="shared" si="146"/>
        <v>0.26800000000000002</v>
      </c>
      <c r="BC180" s="228">
        <f t="shared" si="146"/>
        <v>0.26800000000000002</v>
      </c>
      <c r="BD180" s="168">
        <f t="shared" si="146"/>
        <v>0.26800000000000002</v>
      </c>
      <c r="BE180" s="228">
        <f t="shared" si="146"/>
        <v>0.26800000000000002</v>
      </c>
      <c r="BF180" s="228">
        <f t="shared" si="146"/>
        <v>0.26800000000000002</v>
      </c>
      <c r="BG180" s="274"/>
      <c r="BH180" s="174"/>
    </row>
    <row r="181" spans="1:60">
      <c r="A181" s="1046"/>
      <c r="B181" s="1109" t="s">
        <v>223</v>
      </c>
      <c r="C181" s="1111" t="s">
        <v>104</v>
      </c>
      <c r="D181" s="643"/>
      <c r="E181" s="1173" t="s">
        <v>232</v>
      </c>
      <c r="F181" s="201"/>
      <c r="G181" s="201"/>
      <c r="H181" s="201" t="s">
        <v>209</v>
      </c>
      <c r="I181" s="191"/>
      <c r="J181" s="202">
        <f>M181+Y181+AK181+AW181</f>
        <v>0</v>
      </c>
      <c r="K181" s="1062"/>
      <c r="L181" s="1062"/>
      <c r="M181" s="202">
        <f>SUM(O181:X181)</f>
        <v>0</v>
      </c>
      <c r="N181" s="89"/>
      <c r="O181" s="168">
        <f t="shared" ref="O181:V181" si="147">SUM(O$168:O$171)*O$180</f>
        <v>0</v>
      </c>
      <c r="P181" s="168">
        <f t="shared" si="147"/>
        <v>0</v>
      </c>
      <c r="Q181" s="168">
        <f t="shared" si="147"/>
        <v>0</v>
      </c>
      <c r="R181" s="168">
        <f t="shared" si="147"/>
        <v>0</v>
      </c>
      <c r="S181" s="168">
        <f t="shared" si="147"/>
        <v>0</v>
      </c>
      <c r="T181" s="168">
        <f t="shared" si="147"/>
        <v>0</v>
      </c>
      <c r="U181" s="168">
        <f t="shared" si="147"/>
        <v>0</v>
      </c>
      <c r="V181" s="168">
        <f t="shared" si="147"/>
        <v>0</v>
      </c>
      <c r="W181" s="273"/>
      <c r="X181" s="113"/>
      <c r="Y181" s="202">
        <f>SUM(AA181:AJ181)</f>
        <v>0</v>
      </c>
      <c r="Z181" s="89"/>
      <c r="AA181" s="168">
        <f t="shared" ref="AA181:AH181" si="148">SUM(AA$168:AA$171)*AA$180</f>
        <v>0</v>
      </c>
      <c r="AB181" s="168">
        <f t="shared" si="148"/>
        <v>0</v>
      </c>
      <c r="AC181" s="168">
        <f t="shared" si="148"/>
        <v>0</v>
      </c>
      <c r="AD181" s="168">
        <f t="shared" si="148"/>
        <v>0</v>
      </c>
      <c r="AE181" s="168">
        <f t="shared" si="148"/>
        <v>0</v>
      </c>
      <c r="AF181" s="168">
        <f t="shared" si="148"/>
        <v>0</v>
      </c>
      <c r="AG181" s="168">
        <f t="shared" si="148"/>
        <v>0</v>
      </c>
      <c r="AH181" s="168">
        <f t="shared" si="148"/>
        <v>0</v>
      </c>
      <c r="AI181" s="273"/>
      <c r="AJ181" s="113"/>
      <c r="AK181" s="202">
        <f>SUM(AM181:AV181)</f>
        <v>0</v>
      </c>
      <c r="AL181" s="89"/>
      <c r="AM181" s="168">
        <f t="shared" ref="AM181:AT181" si="149">SUM(AM$168:AM$171)*AM$180</f>
        <v>0</v>
      </c>
      <c r="AN181" s="168">
        <f t="shared" si="149"/>
        <v>0</v>
      </c>
      <c r="AO181" s="168">
        <f t="shared" si="149"/>
        <v>0</v>
      </c>
      <c r="AP181" s="168">
        <f t="shared" si="149"/>
        <v>0</v>
      </c>
      <c r="AQ181" s="168">
        <f t="shared" si="149"/>
        <v>0</v>
      </c>
      <c r="AR181" s="168">
        <f t="shared" si="149"/>
        <v>0</v>
      </c>
      <c r="AS181" s="168">
        <f t="shared" si="149"/>
        <v>0</v>
      </c>
      <c r="AT181" s="168">
        <f t="shared" si="149"/>
        <v>0</v>
      </c>
      <c r="AU181" s="273"/>
      <c r="AV181" s="113"/>
      <c r="AW181" s="202">
        <f>SUM(AY181:BH181)</f>
        <v>0</v>
      </c>
      <c r="AX181" s="89"/>
      <c r="AY181" s="168">
        <f t="shared" ref="AY181:BF181" si="150">SUM(AY$168:AY$171)*AY$180</f>
        <v>0</v>
      </c>
      <c r="AZ181" s="168">
        <f t="shared" si="150"/>
        <v>0</v>
      </c>
      <c r="BA181" s="168">
        <f t="shared" si="150"/>
        <v>0</v>
      </c>
      <c r="BB181" s="168">
        <f t="shared" si="150"/>
        <v>0</v>
      </c>
      <c r="BC181" s="168">
        <f t="shared" si="150"/>
        <v>0</v>
      </c>
      <c r="BD181" s="168">
        <f t="shared" si="150"/>
        <v>0</v>
      </c>
      <c r="BE181" s="168">
        <f t="shared" si="150"/>
        <v>0</v>
      </c>
      <c r="BF181" s="168">
        <f t="shared" si="150"/>
        <v>0</v>
      </c>
      <c r="BG181" s="273"/>
      <c r="BH181" s="174"/>
    </row>
    <row r="182" spans="1:60">
      <c r="A182" s="1040"/>
      <c r="B182" s="1109" t="s">
        <v>223</v>
      </c>
      <c r="C182" s="1106" t="s">
        <v>96</v>
      </c>
      <c r="D182" s="638"/>
      <c r="E182" s="79"/>
      <c r="F182" s="79"/>
      <c r="G182" s="79"/>
      <c r="H182" s="85"/>
      <c r="I182" s="191"/>
      <c r="J182" s="82"/>
      <c r="K182" s="79"/>
      <c r="L182" s="79"/>
      <c r="M182" s="82"/>
      <c r="N182" s="79"/>
      <c r="O182" s="117"/>
      <c r="P182" s="82"/>
      <c r="Q182" s="117"/>
      <c r="R182" s="82"/>
      <c r="S182" s="82"/>
      <c r="T182" s="82"/>
      <c r="U182" s="82"/>
      <c r="V182" s="82"/>
      <c r="W182" s="82"/>
      <c r="X182" s="82"/>
      <c r="Y182" s="82"/>
      <c r="Z182" s="79"/>
      <c r="AA182" s="117"/>
      <c r="AB182" s="82"/>
      <c r="AC182" s="117"/>
      <c r="AD182" s="82"/>
      <c r="AE182" s="82"/>
      <c r="AF182" s="82"/>
      <c r="AG182" s="82"/>
      <c r="AH182" s="82"/>
      <c r="AI182" s="82"/>
      <c r="AJ182" s="82"/>
      <c r="AK182" s="82"/>
      <c r="AL182" s="79"/>
      <c r="AM182" s="117"/>
      <c r="AN182" s="82"/>
      <c r="AO182" s="117"/>
      <c r="AP182" s="82"/>
      <c r="AQ182" s="82"/>
      <c r="AR182" s="82"/>
      <c r="AS182" s="82"/>
      <c r="AT182" s="82"/>
      <c r="AU182" s="82"/>
      <c r="AV182" s="82"/>
      <c r="AW182" s="82"/>
      <c r="AX182" s="79"/>
      <c r="AY182" s="117"/>
      <c r="AZ182" s="82"/>
      <c r="BA182" s="117"/>
      <c r="BB182" s="82"/>
      <c r="BC182" s="82"/>
      <c r="BD182" s="82"/>
      <c r="BE182" s="82"/>
      <c r="BF182" s="82"/>
      <c r="BG182" s="82"/>
      <c r="BH182" s="1"/>
    </row>
    <row r="183" spans="1:60">
      <c r="A183" s="1040"/>
      <c r="B183" s="1109" t="s">
        <v>231</v>
      </c>
      <c r="C183" s="1107" t="s">
        <v>96</v>
      </c>
      <c r="D183" s="638"/>
      <c r="E183" s="79"/>
      <c r="F183" s="79"/>
      <c r="G183" s="79"/>
      <c r="H183" s="79"/>
      <c r="I183" s="79"/>
      <c r="J183" s="82"/>
      <c r="K183" s="79"/>
      <c r="L183" s="79"/>
      <c r="M183" s="82"/>
      <c r="N183" s="79"/>
      <c r="O183" s="117"/>
      <c r="P183" s="82"/>
      <c r="Q183" s="117"/>
      <c r="R183" s="82"/>
      <c r="S183" s="82"/>
      <c r="T183" s="82"/>
      <c r="U183" s="82"/>
      <c r="V183" s="82"/>
      <c r="W183" s="82"/>
      <c r="X183" s="82"/>
      <c r="Y183" s="82"/>
      <c r="Z183" s="79"/>
      <c r="AA183" s="117"/>
      <c r="AB183" s="82"/>
      <c r="AC183" s="117"/>
      <c r="AD183" s="82"/>
      <c r="AE183" s="82"/>
      <c r="AF183" s="82"/>
      <c r="AG183" s="82"/>
      <c r="AH183" s="82"/>
      <c r="AI183" s="82"/>
      <c r="AJ183" s="82"/>
      <c r="AK183" s="82"/>
      <c r="AL183" s="79"/>
      <c r="AM183" s="117"/>
      <c r="AN183" s="82"/>
      <c r="AO183" s="117"/>
      <c r="AP183" s="82"/>
      <c r="AQ183" s="82"/>
      <c r="AR183" s="82"/>
      <c r="AS183" s="82"/>
      <c r="AT183" s="82"/>
      <c r="AU183" s="82"/>
      <c r="AV183" s="82"/>
      <c r="AW183" s="82"/>
      <c r="AX183" s="79"/>
      <c r="AY183" s="117"/>
      <c r="AZ183" s="82"/>
      <c r="BA183" s="117"/>
      <c r="BB183" s="82"/>
      <c r="BC183" s="82"/>
      <c r="BD183" s="82"/>
      <c r="BE183" s="82"/>
      <c r="BF183" s="82"/>
      <c r="BG183" s="82"/>
      <c r="BH183" s="1"/>
    </row>
    <row r="184" spans="1:60" ht="21">
      <c r="A184" s="1040"/>
      <c r="B184" s="1109" t="s">
        <v>231</v>
      </c>
      <c r="C184" s="1106" t="s">
        <v>96</v>
      </c>
      <c r="D184" s="643"/>
      <c r="E184" s="199" t="s">
        <v>1275</v>
      </c>
      <c r="F184" s="199"/>
      <c r="G184" s="199"/>
      <c r="H184" s="199"/>
      <c r="I184" s="77"/>
      <c r="J184" s="200" t="str">
        <f>J$10</f>
        <v>alle locaties</v>
      </c>
      <c r="K184" s="126"/>
      <c r="L184" s="126"/>
      <c r="M184" s="200" t="str">
        <f>M$10</f>
        <v>locatie 1</v>
      </c>
      <c r="N184" s="182"/>
      <c r="O184" s="966" t="str">
        <f>$E184&amp;" per energiepost"</f>
        <v>overzicht elektriciteitsgebruik en lokale elektriciteitsproductie per energiepost</v>
      </c>
      <c r="P184" s="941"/>
      <c r="Q184" s="941"/>
      <c r="R184" s="941"/>
      <c r="S184" s="941"/>
      <c r="T184" s="941"/>
      <c r="U184" s="941"/>
      <c r="V184" s="941"/>
      <c r="W184" s="956"/>
      <c r="X184" s="174"/>
      <c r="Y184" s="200" t="str">
        <f>Y$10</f>
        <v>locatie 2</v>
      </c>
      <c r="Z184" s="182"/>
      <c r="AA184" s="966" t="str">
        <f>$E184&amp;" per energiepost"</f>
        <v>overzicht elektriciteitsgebruik en lokale elektriciteitsproductie per energiepost</v>
      </c>
      <c r="AB184" s="941"/>
      <c r="AC184" s="941"/>
      <c r="AD184" s="941"/>
      <c r="AE184" s="941"/>
      <c r="AF184" s="941"/>
      <c r="AG184" s="941"/>
      <c r="AH184" s="941"/>
      <c r="AI184" s="956"/>
      <c r="AJ184" s="174"/>
      <c r="AK184" s="200" t="str">
        <f>AK$10</f>
        <v>locatie 3</v>
      </c>
      <c r="AL184" s="182"/>
      <c r="AM184" s="966" t="str">
        <f>$E184&amp;" per energiepost"</f>
        <v>overzicht elektriciteitsgebruik en lokale elektriciteitsproductie per energiepost</v>
      </c>
      <c r="AN184" s="941"/>
      <c r="AO184" s="941"/>
      <c r="AP184" s="941"/>
      <c r="AQ184" s="941"/>
      <c r="AR184" s="941"/>
      <c r="AS184" s="941"/>
      <c r="AT184" s="941"/>
      <c r="AU184" s="956"/>
      <c r="AV184" s="174"/>
      <c r="AW184" s="200" t="str">
        <f>AW$10</f>
        <v>locatie 4</v>
      </c>
      <c r="AX184" s="182"/>
      <c r="AY184" s="966" t="str">
        <f>$E184&amp;" per energiepost"</f>
        <v>overzicht elektriciteitsgebruik en lokale elektriciteitsproductie per energiepost</v>
      </c>
      <c r="AZ184" s="941"/>
      <c r="BA184" s="941"/>
      <c r="BB184" s="941"/>
      <c r="BC184" s="941"/>
      <c r="BD184" s="941"/>
      <c r="BE184" s="941"/>
      <c r="BF184" s="941"/>
      <c r="BG184" s="956"/>
      <c r="BH184" s="1"/>
    </row>
    <row r="185" spans="1:60">
      <c r="A185" s="1040"/>
      <c r="B185" s="1109" t="s">
        <v>231</v>
      </c>
      <c r="C185" s="1106" t="s">
        <v>96</v>
      </c>
      <c r="D185" s="638"/>
      <c r="E185" s="940" t="s">
        <v>1241</v>
      </c>
      <c r="F185" s="940"/>
      <c r="G185" s="940"/>
      <c r="H185" s="940"/>
      <c r="I185" s="77"/>
      <c r="J185" s="939"/>
      <c r="K185" s="126"/>
      <c r="L185" s="126"/>
      <c r="M185" s="938"/>
      <c r="N185" s="191"/>
      <c r="O185" s="177" t="str">
        <f t="shared" ref="O185:W185" si="151">O$10</f>
        <v>verwarming</v>
      </c>
      <c r="P185" s="177" t="str">
        <f t="shared" si="151"/>
        <v>koeling</v>
      </c>
      <c r="Q185" s="177" t="str">
        <f t="shared" si="151"/>
        <v>tapwater</v>
      </c>
      <c r="R185" s="177" t="str">
        <f t="shared" si="151"/>
        <v>verlichting</v>
      </c>
      <c r="S185" s="177" t="str">
        <f t="shared" si="151"/>
        <v>ventilatoren</v>
      </c>
      <c r="T185" s="177" t="str">
        <f t="shared" si="151"/>
        <v>kookgas</v>
      </c>
      <c r="U185" s="177" t="str">
        <f t="shared" si="151"/>
        <v>overig elektra</v>
      </c>
      <c r="V185" s="177" t="str">
        <f t="shared" si="151"/>
        <v>mobiliteit</v>
      </c>
      <c r="W185" s="177" t="str">
        <f t="shared" si="151"/>
        <v>zonnepanelen</v>
      </c>
      <c r="X185" s="191"/>
      <c r="Y185" s="938"/>
      <c r="Z185" s="191"/>
      <c r="AA185" s="177" t="str">
        <f t="shared" ref="AA185:AI185" si="152">AA$10</f>
        <v>verwarming</v>
      </c>
      <c r="AB185" s="177" t="str">
        <f t="shared" si="152"/>
        <v>koeling</v>
      </c>
      <c r="AC185" s="177" t="str">
        <f t="shared" si="152"/>
        <v>tapwater</v>
      </c>
      <c r="AD185" s="177" t="str">
        <f t="shared" si="152"/>
        <v>verlichting</v>
      </c>
      <c r="AE185" s="177" t="str">
        <f t="shared" si="152"/>
        <v>ventilatoren</v>
      </c>
      <c r="AF185" s="177" t="str">
        <f t="shared" si="152"/>
        <v>kookgas</v>
      </c>
      <c r="AG185" s="177" t="str">
        <f t="shared" si="152"/>
        <v>overig elektra</v>
      </c>
      <c r="AH185" s="177" t="str">
        <f t="shared" si="152"/>
        <v>mobiliteit</v>
      </c>
      <c r="AI185" s="177" t="str">
        <f t="shared" si="152"/>
        <v>zonnepanelen</v>
      </c>
      <c r="AJ185" s="191"/>
      <c r="AK185" s="938"/>
      <c r="AL185" s="191"/>
      <c r="AM185" s="177" t="str">
        <f t="shared" ref="AM185:AU185" si="153">AM$10</f>
        <v>verwarming</v>
      </c>
      <c r="AN185" s="177" t="str">
        <f t="shared" si="153"/>
        <v>koeling</v>
      </c>
      <c r="AO185" s="177" t="str">
        <f t="shared" si="153"/>
        <v>tapwater</v>
      </c>
      <c r="AP185" s="177" t="str">
        <f t="shared" si="153"/>
        <v>verlichting</v>
      </c>
      <c r="AQ185" s="177" t="str">
        <f t="shared" si="153"/>
        <v>ventilatoren</v>
      </c>
      <c r="AR185" s="177" t="str">
        <f t="shared" si="153"/>
        <v>kookgas</v>
      </c>
      <c r="AS185" s="177" t="str">
        <f t="shared" si="153"/>
        <v>overig elektra</v>
      </c>
      <c r="AT185" s="177" t="str">
        <f t="shared" si="153"/>
        <v>mobiliteit</v>
      </c>
      <c r="AU185" s="177" t="str">
        <f t="shared" si="153"/>
        <v>zonnepanelen</v>
      </c>
      <c r="AV185" s="191"/>
      <c r="AW185" s="938"/>
      <c r="AX185" s="191"/>
      <c r="AY185" s="177" t="str">
        <f t="shared" ref="AY185:BG185" si="154">AY$10</f>
        <v>verwarming</v>
      </c>
      <c r="AZ185" s="177" t="str">
        <f t="shared" si="154"/>
        <v>koeling</v>
      </c>
      <c r="BA185" s="177" t="str">
        <f t="shared" si="154"/>
        <v>tapwater</v>
      </c>
      <c r="BB185" s="177" t="str">
        <f t="shared" si="154"/>
        <v>verlichting</v>
      </c>
      <c r="BC185" s="177" t="str">
        <f t="shared" si="154"/>
        <v>ventilatoren</v>
      </c>
      <c r="BD185" s="177" t="str">
        <f t="shared" si="154"/>
        <v>kookgas</v>
      </c>
      <c r="BE185" s="177" t="str">
        <f t="shared" si="154"/>
        <v>overig elektra</v>
      </c>
      <c r="BF185" s="177" t="str">
        <f t="shared" si="154"/>
        <v>mobiliteit</v>
      </c>
      <c r="BG185" s="177" t="str">
        <f t="shared" si="154"/>
        <v>zonnepanelen</v>
      </c>
      <c r="BH185" s="36"/>
    </row>
    <row r="186" spans="1:60" s="2" customFormat="1" hidden="1">
      <c r="A186" s="1038"/>
      <c r="B186" s="1109" t="s">
        <v>231</v>
      </c>
      <c r="C186" s="1106" t="s">
        <v>181</v>
      </c>
      <c r="D186" s="645" t="s">
        <v>45</v>
      </c>
      <c r="E186" s="180" t="s">
        <v>1238</v>
      </c>
      <c r="F186" s="180"/>
      <c r="G186" s="180"/>
      <c r="H186" s="181" t="s">
        <v>160</v>
      </c>
      <c r="I186" s="114"/>
      <c r="J186" s="202">
        <f>M186+Y186+AK186+AW186</f>
        <v>0</v>
      </c>
      <c r="K186" s="243"/>
      <c r="L186" s="243"/>
      <c r="M186" s="202">
        <f>SUM(N186:X186)</f>
        <v>0</v>
      </c>
      <c r="N186" s="89"/>
      <c r="O186" s="273"/>
      <c r="P186" s="273"/>
      <c r="Q186" s="273"/>
      <c r="R186" s="273"/>
      <c r="S186" s="273"/>
      <c r="T186" s="273"/>
      <c r="U186" s="273"/>
      <c r="V186" s="273"/>
      <c r="W186" s="168">
        <f>-W78</f>
        <v>0</v>
      </c>
      <c r="X186" s="113"/>
      <c r="Y186" s="202">
        <f>SUM(Z186:AJ186)</f>
        <v>0</v>
      </c>
      <c r="Z186" s="89"/>
      <c r="AA186" s="273"/>
      <c r="AB186" s="273"/>
      <c r="AC186" s="273"/>
      <c r="AD186" s="273"/>
      <c r="AE186" s="273"/>
      <c r="AF186" s="273"/>
      <c r="AG186" s="273"/>
      <c r="AH186" s="273"/>
      <c r="AI186" s="168">
        <f>-AI78</f>
        <v>0</v>
      </c>
      <c r="AJ186" s="113"/>
      <c r="AK186" s="202">
        <f>SUM(AL186:AV186)</f>
        <v>0</v>
      </c>
      <c r="AL186" s="89"/>
      <c r="AM186" s="273"/>
      <c r="AN186" s="273"/>
      <c r="AO186" s="273"/>
      <c r="AP186" s="273"/>
      <c r="AQ186" s="273"/>
      <c r="AR186" s="273"/>
      <c r="AS186" s="273"/>
      <c r="AT186" s="273"/>
      <c r="AU186" s="168">
        <f>-AU78</f>
        <v>0</v>
      </c>
      <c r="AV186" s="113"/>
      <c r="AW186" s="202">
        <f>SUM(AX186:BH186)</f>
        <v>0</v>
      </c>
      <c r="AX186" s="89"/>
      <c r="AY186" s="273"/>
      <c r="AZ186" s="273"/>
      <c r="BA186" s="273"/>
      <c r="BB186" s="273"/>
      <c r="BC186" s="273"/>
      <c r="BD186" s="273"/>
      <c r="BE186" s="273"/>
      <c r="BF186" s="273"/>
      <c r="BG186" s="168">
        <f>-BG78</f>
        <v>0</v>
      </c>
      <c r="BH186" s="210"/>
    </row>
    <row r="187" spans="1:60" s="2" customFormat="1" hidden="1">
      <c r="A187" s="1038"/>
      <c r="B187" s="1109" t="s">
        <v>231</v>
      </c>
      <c r="C187" s="1106" t="s">
        <v>181</v>
      </c>
      <c r="D187" s="644"/>
      <c r="E187" s="180" t="s">
        <v>1237</v>
      </c>
      <c r="F187" s="180"/>
      <c r="G187" s="180"/>
      <c r="H187" s="181" t="s">
        <v>160</v>
      </c>
      <c r="I187" s="114"/>
      <c r="J187" s="202">
        <f>M187+Y187+AK187+AW187</f>
        <v>0</v>
      </c>
      <c r="K187" s="243"/>
      <c r="L187" s="243"/>
      <c r="M187" s="202">
        <f>SUM(N187:X187)</f>
        <v>0</v>
      </c>
      <c r="N187" s="89"/>
      <c r="O187" s="168">
        <f>O$116*O$134</f>
        <v>0</v>
      </c>
      <c r="P187" s="168">
        <f>P$116*P$134</f>
        <v>0</v>
      </c>
      <c r="Q187" s="168">
        <f>Q$116*Q$134</f>
        <v>0</v>
      </c>
      <c r="R187" s="273"/>
      <c r="S187" s="273"/>
      <c r="T187" s="273"/>
      <c r="U187" s="273"/>
      <c r="V187" s="273"/>
      <c r="W187" s="273"/>
      <c r="X187" s="113"/>
      <c r="Y187" s="202">
        <f>SUM(Z187:AJ187)</f>
        <v>0</v>
      </c>
      <c r="Z187" s="89"/>
      <c r="AA187" s="168">
        <f>AA$116*AA$134</f>
        <v>0</v>
      </c>
      <c r="AB187" s="168">
        <f>AB$116*AB$134</f>
        <v>0</v>
      </c>
      <c r="AC187" s="168">
        <f>AC$116*AC$134</f>
        <v>0</v>
      </c>
      <c r="AD187" s="273"/>
      <c r="AE187" s="273"/>
      <c r="AF187" s="273"/>
      <c r="AG187" s="273"/>
      <c r="AH187" s="273"/>
      <c r="AI187" s="273"/>
      <c r="AJ187" s="113"/>
      <c r="AK187" s="202">
        <f>SUM(AL187:AV187)</f>
        <v>0</v>
      </c>
      <c r="AL187" s="89"/>
      <c r="AM187" s="168">
        <f>AM$116*AM$134</f>
        <v>0</v>
      </c>
      <c r="AN187" s="168">
        <f>AN$116*AN$134</f>
        <v>0</v>
      </c>
      <c r="AO187" s="168">
        <f>AO$116*AO$134</f>
        <v>0</v>
      </c>
      <c r="AP187" s="273"/>
      <c r="AQ187" s="273"/>
      <c r="AR187" s="273"/>
      <c r="AS187" s="273"/>
      <c r="AT187" s="273"/>
      <c r="AU187" s="273"/>
      <c r="AV187" s="113"/>
      <c r="AW187" s="202">
        <f>SUM(AX187:BH187)</f>
        <v>0</v>
      </c>
      <c r="AX187" s="89"/>
      <c r="AY187" s="168">
        <f>AY$116*AY$134</f>
        <v>0</v>
      </c>
      <c r="AZ187" s="168">
        <f>AZ$116*AZ$134</f>
        <v>0</v>
      </c>
      <c r="BA187" s="168">
        <f>BA$116*BA$134</f>
        <v>0</v>
      </c>
      <c r="BB187" s="273"/>
      <c r="BC187" s="273"/>
      <c r="BD187" s="273"/>
      <c r="BE187" s="273"/>
      <c r="BF187" s="273"/>
      <c r="BG187" s="273"/>
      <c r="BH187" s="210"/>
    </row>
    <row r="188" spans="1:60" s="2" customFormat="1" hidden="1">
      <c r="A188" s="1038"/>
      <c r="B188" s="1109" t="s">
        <v>231</v>
      </c>
      <c r="C188" s="1106" t="s">
        <v>181</v>
      </c>
      <c r="D188" s="644"/>
      <c r="E188" s="180" t="s">
        <v>232</v>
      </c>
      <c r="F188" s="180"/>
      <c r="G188" s="180"/>
      <c r="H188" s="181" t="s">
        <v>160</v>
      </c>
      <c r="I188" s="114"/>
      <c r="J188" s="202">
        <f>J187+J186</f>
        <v>0</v>
      </c>
      <c r="K188" s="243"/>
      <c r="L188" s="243"/>
      <c r="M188" s="202">
        <f>M187+M186</f>
        <v>0</v>
      </c>
      <c r="N188" s="89"/>
      <c r="O188" s="168">
        <f>O187+O186</f>
        <v>0</v>
      </c>
      <c r="P188" s="168">
        <f>P187+P186</f>
        <v>0</v>
      </c>
      <c r="Q188" s="168">
        <f>Q187+Q186</f>
        <v>0</v>
      </c>
      <c r="R188" s="273"/>
      <c r="S188" s="273"/>
      <c r="T188" s="273"/>
      <c r="U188" s="273"/>
      <c r="V188" s="273"/>
      <c r="W188" s="168">
        <f>W187+W186</f>
        <v>0</v>
      </c>
      <c r="X188" s="113"/>
      <c r="Y188" s="202">
        <f>Y187+Y186</f>
        <v>0</v>
      </c>
      <c r="Z188" s="89"/>
      <c r="AA188" s="168">
        <f>AA187+AA186</f>
        <v>0</v>
      </c>
      <c r="AB188" s="168">
        <f>AB187+AB186</f>
        <v>0</v>
      </c>
      <c r="AC188" s="168">
        <f>AC187+AC186</f>
        <v>0</v>
      </c>
      <c r="AD188" s="273"/>
      <c r="AE188" s="273"/>
      <c r="AF188" s="273"/>
      <c r="AG188" s="273"/>
      <c r="AH188" s="273"/>
      <c r="AI188" s="168">
        <f>AI187+AI186</f>
        <v>0</v>
      </c>
      <c r="AJ188" s="113"/>
      <c r="AK188" s="202">
        <f>AK187+AK186</f>
        <v>0</v>
      </c>
      <c r="AL188" s="89"/>
      <c r="AM188" s="168">
        <f>AM187+AM186</f>
        <v>0</v>
      </c>
      <c r="AN188" s="168">
        <f>AN187+AN186</f>
        <v>0</v>
      </c>
      <c r="AO188" s="168">
        <f>AO187+AO186</f>
        <v>0</v>
      </c>
      <c r="AP188" s="273"/>
      <c r="AQ188" s="273"/>
      <c r="AR188" s="273"/>
      <c r="AS188" s="273"/>
      <c r="AT188" s="273"/>
      <c r="AU188" s="168">
        <f>AU187+AU186</f>
        <v>0</v>
      </c>
      <c r="AV188" s="113"/>
      <c r="AW188" s="202">
        <f>AW187+AW186</f>
        <v>0</v>
      </c>
      <c r="AX188" s="89"/>
      <c r="AY188" s="168">
        <f>AY187+AY186</f>
        <v>0</v>
      </c>
      <c r="AZ188" s="168">
        <f>AZ187+AZ186</f>
        <v>0</v>
      </c>
      <c r="BA188" s="168">
        <f>BA187+BA186</f>
        <v>0</v>
      </c>
      <c r="BB188" s="273"/>
      <c r="BC188" s="273"/>
      <c r="BD188" s="273"/>
      <c r="BE188" s="273"/>
      <c r="BF188" s="273"/>
      <c r="BG188" s="168">
        <f>BG187+BG186</f>
        <v>0</v>
      </c>
      <c r="BH188" s="210"/>
    </row>
    <row r="189" spans="1:60" s="2" customFormat="1">
      <c r="A189" s="1038"/>
      <c r="B189" s="1109" t="s">
        <v>231</v>
      </c>
      <c r="C189" s="1106" t="s">
        <v>96</v>
      </c>
      <c r="D189" s="644"/>
      <c r="E189" s="940" t="s">
        <v>1242</v>
      </c>
      <c r="F189" s="940"/>
      <c r="G189" s="940"/>
      <c r="H189" s="940"/>
      <c r="I189" s="77"/>
      <c r="J189" s="939"/>
      <c r="K189" s="126"/>
      <c r="L189" s="126"/>
      <c r="M189" s="938"/>
      <c r="N189" s="252"/>
      <c r="O189" s="177" t="str">
        <f t="shared" ref="O189:W189" si="155">O$10</f>
        <v>verwarming</v>
      </c>
      <c r="P189" s="177" t="str">
        <f t="shared" si="155"/>
        <v>koeling</v>
      </c>
      <c r="Q189" s="177" t="str">
        <f t="shared" si="155"/>
        <v>tapwater</v>
      </c>
      <c r="R189" s="177" t="str">
        <f t="shared" si="155"/>
        <v>verlichting</v>
      </c>
      <c r="S189" s="177" t="str">
        <f t="shared" si="155"/>
        <v>ventilatoren</v>
      </c>
      <c r="T189" s="177"/>
      <c r="U189" s="177" t="str">
        <f t="shared" si="155"/>
        <v>overig elektra</v>
      </c>
      <c r="V189" s="177" t="str">
        <f t="shared" si="155"/>
        <v>mobiliteit</v>
      </c>
      <c r="W189" s="177" t="str">
        <f t="shared" si="155"/>
        <v>zonnepanelen</v>
      </c>
      <c r="X189" s="253"/>
      <c r="Y189" s="938"/>
      <c r="Z189" s="252"/>
      <c r="AA189" s="177" t="str">
        <f t="shared" ref="AA189:AI189" si="156">AA$10</f>
        <v>verwarming</v>
      </c>
      <c r="AB189" s="177" t="str">
        <f t="shared" si="156"/>
        <v>koeling</v>
      </c>
      <c r="AC189" s="177" t="str">
        <f t="shared" si="156"/>
        <v>tapwater</v>
      </c>
      <c r="AD189" s="177" t="str">
        <f t="shared" si="156"/>
        <v>verlichting</v>
      </c>
      <c r="AE189" s="177" t="str">
        <f t="shared" si="156"/>
        <v>ventilatoren</v>
      </c>
      <c r="AF189" s="177"/>
      <c r="AG189" s="177" t="str">
        <f t="shared" si="156"/>
        <v>overig elektra</v>
      </c>
      <c r="AH189" s="177" t="str">
        <f t="shared" si="156"/>
        <v>mobiliteit</v>
      </c>
      <c r="AI189" s="177" t="str">
        <f t="shared" si="156"/>
        <v>zonnepanelen</v>
      </c>
      <c r="AJ189" s="253"/>
      <c r="AK189" s="938"/>
      <c r="AL189" s="252"/>
      <c r="AM189" s="177" t="str">
        <f t="shared" ref="AM189:AU189" si="157">AM$10</f>
        <v>verwarming</v>
      </c>
      <c r="AN189" s="177" t="str">
        <f t="shared" si="157"/>
        <v>koeling</v>
      </c>
      <c r="AO189" s="177" t="str">
        <f t="shared" si="157"/>
        <v>tapwater</v>
      </c>
      <c r="AP189" s="177" t="str">
        <f t="shared" si="157"/>
        <v>verlichting</v>
      </c>
      <c r="AQ189" s="177" t="str">
        <f t="shared" si="157"/>
        <v>ventilatoren</v>
      </c>
      <c r="AR189" s="177"/>
      <c r="AS189" s="177" t="str">
        <f t="shared" si="157"/>
        <v>overig elektra</v>
      </c>
      <c r="AT189" s="177" t="str">
        <f t="shared" si="157"/>
        <v>mobiliteit</v>
      </c>
      <c r="AU189" s="177" t="str">
        <f t="shared" si="157"/>
        <v>zonnepanelen</v>
      </c>
      <c r="AV189" s="253"/>
      <c r="AW189" s="938"/>
      <c r="AX189" s="252"/>
      <c r="AY189" s="177" t="str">
        <f t="shared" ref="AY189:BG189" si="158">AY$10</f>
        <v>verwarming</v>
      </c>
      <c r="AZ189" s="177" t="str">
        <f t="shared" si="158"/>
        <v>koeling</v>
      </c>
      <c r="BA189" s="177" t="str">
        <f t="shared" si="158"/>
        <v>tapwater</v>
      </c>
      <c r="BB189" s="177" t="str">
        <f t="shared" si="158"/>
        <v>verlichting</v>
      </c>
      <c r="BC189" s="177" t="str">
        <f t="shared" si="158"/>
        <v>ventilatoren</v>
      </c>
      <c r="BD189" s="177"/>
      <c r="BE189" s="177" t="str">
        <f t="shared" si="158"/>
        <v>overig elektra</v>
      </c>
      <c r="BF189" s="177" t="str">
        <f t="shared" si="158"/>
        <v>mobiliteit</v>
      </c>
      <c r="BG189" s="177" t="str">
        <f t="shared" si="158"/>
        <v>zonnepanelen</v>
      </c>
    </row>
    <row r="190" spans="1:60" s="2" customFormat="1" hidden="1">
      <c r="A190" s="1038"/>
      <c r="B190" s="1109" t="s">
        <v>231</v>
      </c>
      <c r="C190" s="1106" t="s">
        <v>181</v>
      </c>
      <c r="D190" s="644"/>
      <c r="E190" s="180" t="s">
        <v>1243</v>
      </c>
      <c r="F190" s="180"/>
      <c r="G190" s="180"/>
      <c r="H190" s="181" t="s">
        <v>202</v>
      </c>
      <c r="I190" s="114"/>
      <c r="J190" s="202">
        <f>M190+Y190+AK190+AW190</f>
        <v>0</v>
      </c>
      <c r="K190" s="243"/>
      <c r="L190" s="243"/>
      <c r="M190" s="249">
        <f>SUM(N190:X190)</f>
        <v>0</v>
      </c>
      <c r="N190" s="89"/>
      <c r="O190" s="251">
        <f t="shared" ref="O190:Q190" si="159">AND(O$84=gebouw,O$105=elektriciteit)*O$116+AND(O$84=gebouw,O$141=elektriciteit)*O$147+SUM(O$168:O$170)</f>
        <v>0</v>
      </c>
      <c r="P190" s="251">
        <f t="shared" si="159"/>
        <v>0</v>
      </c>
      <c r="Q190" s="251">
        <f t="shared" si="159"/>
        <v>0</v>
      </c>
      <c r="R190" s="251" cm="1">
        <f t="array" ref="R190">SUMPRODUCT((N$22:X$22)*(N$29:X$29)*(N$66:X$66))/1000-R191</f>
        <v>0</v>
      </c>
      <c r="S190" s="251">
        <f>SUM(S$168:S$170)</f>
        <v>0</v>
      </c>
      <c r="T190" s="273"/>
      <c r="U190" s="273"/>
      <c r="V190" s="273"/>
      <c r="W190" s="610"/>
      <c r="X190" s="118"/>
      <c r="Y190" s="249">
        <f>SUM(Z190:AJ190)</f>
        <v>0</v>
      </c>
      <c r="Z190" s="89"/>
      <c r="AA190" s="251">
        <f t="shared" ref="AA190:AC190" si="160">AND(AA$84=gebouw,AA$105=elektriciteit)*AA$116+AND(AA$84=gebouw,AA$141=elektriciteit)*AA$147+SUM(AA$168:AA$170)</f>
        <v>0</v>
      </c>
      <c r="AB190" s="251">
        <f t="shared" si="160"/>
        <v>0</v>
      </c>
      <c r="AC190" s="251">
        <f t="shared" si="160"/>
        <v>0</v>
      </c>
      <c r="AD190" s="251" cm="1">
        <f t="array" ref="AD190">SUMPRODUCT((Z$22:AJ$22)*(Z$29:AJ$29)*(Z$66:AJ$66))/1000-AD191</f>
        <v>0</v>
      </c>
      <c r="AE190" s="251">
        <f>SUM(AE$168:AE$170)</f>
        <v>0</v>
      </c>
      <c r="AF190" s="273"/>
      <c r="AG190" s="273"/>
      <c r="AH190" s="273"/>
      <c r="AI190" s="610"/>
      <c r="AJ190" s="118"/>
      <c r="AK190" s="249">
        <f>SUM(AL190:AV190)</f>
        <v>0</v>
      </c>
      <c r="AL190" s="89"/>
      <c r="AM190" s="251">
        <f t="shared" ref="AM190:AO190" si="161">AND(AM$84=gebouw,AM$105=elektriciteit)*AM$116+AND(AM$84=gebouw,AM$141=elektriciteit)*AM$147+SUM(AM$168:AM$170)</f>
        <v>0</v>
      </c>
      <c r="AN190" s="251">
        <f t="shared" si="161"/>
        <v>0</v>
      </c>
      <c r="AO190" s="251">
        <f t="shared" si="161"/>
        <v>0</v>
      </c>
      <c r="AP190" s="251" cm="1">
        <f t="array" ref="AP190">SUMPRODUCT((AL$22:AV$22)*(AL$29:AV$29)*(AL$66:AV$66))/1000-AP191</f>
        <v>0</v>
      </c>
      <c r="AQ190" s="251">
        <f>SUM(AQ$168:AQ$170)</f>
        <v>0</v>
      </c>
      <c r="AR190" s="273"/>
      <c r="AS190" s="273"/>
      <c r="AT190" s="273"/>
      <c r="AU190" s="610"/>
      <c r="AV190" s="118"/>
      <c r="AW190" s="249">
        <f>SUM(AX190:BH190)</f>
        <v>0</v>
      </c>
      <c r="AX190" s="89"/>
      <c r="AY190" s="251">
        <f t="shared" ref="AY190:BA190" si="162">AND(AY$84=gebouw,AY$105=elektriciteit)*AY$116+AND(AY$84=gebouw,AY$141=elektriciteit)*AY$147+SUM(AY$168:AY$170)</f>
        <v>0</v>
      </c>
      <c r="AZ190" s="251">
        <f t="shared" si="162"/>
        <v>0</v>
      </c>
      <c r="BA190" s="251">
        <f t="shared" si="162"/>
        <v>0</v>
      </c>
      <c r="BB190" s="251" cm="1">
        <f t="array" ref="BB190">SUMPRODUCT((AX$22:BH$22)*(AX$29:BH$29)*(AX$66:BH$66))/1000-BB191</f>
        <v>0</v>
      </c>
      <c r="BC190" s="251">
        <f>SUM(BC$168:BC$170)</f>
        <v>0</v>
      </c>
      <c r="BD190" s="251"/>
      <c r="BE190" s="273"/>
      <c r="BF190" s="273"/>
      <c r="BG190" s="610"/>
      <c r="BH190" s="222"/>
    </row>
    <row r="191" spans="1:60" s="2" customFormat="1" hidden="1">
      <c r="A191" s="1038"/>
      <c r="B191" s="1109" t="s">
        <v>231</v>
      </c>
      <c r="C191" s="1106" t="s">
        <v>181</v>
      </c>
      <c r="D191" s="644"/>
      <c r="E191" s="180" t="s">
        <v>1244</v>
      </c>
      <c r="F191" s="180"/>
      <c r="G191" s="180"/>
      <c r="H191" s="181" t="s">
        <v>202</v>
      </c>
      <c r="I191" s="114"/>
      <c r="J191" s="202">
        <f>M191+Y191+AK191+AW191</f>
        <v>0</v>
      </c>
      <c r="K191" s="243"/>
      <c r="L191" s="243"/>
      <c r="M191" s="249">
        <f>SUM(N191:X191)</f>
        <v>0</v>
      </c>
      <c r="N191" s="89"/>
      <c r="O191" s="273"/>
      <c r="P191" s="273"/>
      <c r="Q191" s="273"/>
      <c r="R191" s="251" cm="1">
        <f t="array" ref="R191">SUMPRODUCT((N$22:X$22)*(N$29:X$29)*(N$66:X$66)*(N$19:X$19=woning))/1000+SUMPRODUCT((N$22:X$22)*(N$29:X$29)*(N$66:X$66)*(N$19:X$19=woongebouw))/1000</f>
        <v>0</v>
      </c>
      <c r="S191" s="273"/>
      <c r="T191" s="273"/>
      <c r="U191" s="251">
        <f t="shared" ref="U191" si="163">SUM(U$168:U$170)</f>
        <v>0</v>
      </c>
      <c r="V191" s="273"/>
      <c r="W191" s="610"/>
      <c r="X191" s="118"/>
      <c r="Y191" s="249">
        <f>SUM(Z191:AJ191)</f>
        <v>0</v>
      </c>
      <c r="Z191" s="89"/>
      <c r="AA191" s="273"/>
      <c r="AB191" s="273"/>
      <c r="AC191" s="273"/>
      <c r="AD191" s="251" cm="1">
        <f t="array" ref="AD191">SUMPRODUCT((Z$22:AJ$22)*(Z$29:AJ$29)*(Z$66:AJ$66)*(Z$19:AJ$19=woning))/1000+SUMPRODUCT((Z$22:AJ$22)*(Z$29:AJ$29)*(Z$66:AJ$66)*(Z$19:AJ$19=woongebouw))/1000</f>
        <v>0</v>
      </c>
      <c r="AE191" s="273"/>
      <c r="AF191" s="273"/>
      <c r="AG191" s="251">
        <f t="shared" ref="AG191" si="164">SUM(AG$168:AG$170)</f>
        <v>0</v>
      </c>
      <c r="AH191" s="273"/>
      <c r="AI191" s="610"/>
      <c r="AJ191" s="118"/>
      <c r="AK191" s="249">
        <f>SUM(AL191:AV191)</f>
        <v>0</v>
      </c>
      <c r="AL191" s="89"/>
      <c r="AM191" s="273"/>
      <c r="AN191" s="273"/>
      <c r="AO191" s="273"/>
      <c r="AP191" s="251" cm="1">
        <f t="array" ref="AP191">SUMPRODUCT((AL$22:AV$22)*(AL$29:AV$29)*(AL$66:AV$66)*(AL$19:AV$19=woning))/1000+SUMPRODUCT((AL$22:AV$22)*(AL$29:AV$29)*(AL$66:AV$66)*(AL$19:AV$19=woongebouw))/1000</f>
        <v>0</v>
      </c>
      <c r="AQ191" s="273"/>
      <c r="AR191" s="273"/>
      <c r="AS191" s="251">
        <f t="shared" ref="AS191" si="165">SUM(AS$168:AS$170)</f>
        <v>0</v>
      </c>
      <c r="AT191" s="273"/>
      <c r="AU191" s="610"/>
      <c r="AV191" s="118"/>
      <c r="AW191" s="249">
        <f>SUM(AX191:BH191)</f>
        <v>0</v>
      </c>
      <c r="AX191" s="89"/>
      <c r="AY191" s="273"/>
      <c r="AZ191" s="273"/>
      <c r="BA191" s="273"/>
      <c r="BB191" s="251" cm="1">
        <f t="array" ref="BB191">SUMPRODUCT((AX$22:BH$22)*(AX$29:BH$29)*(AX$66:BH$66)*(AX$19:BH$19=woning))/1000+SUMPRODUCT((AX$22:BH$22)*(AX$29:BH$29)*(AX$66:BH$66)*(AX$19:BH$19=woongebouw))/1000</f>
        <v>0</v>
      </c>
      <c r="BC191" s="273"/>
      <c r="BD191" s="251"/>
      <c r="BE191" s="251">
        <f t="shared" ref="BE191:BF192" si="166">SUM(BE$168:BE$170)</f>
        <v>0</v>
      </c>
      <c r="BF191" s="273"/>
      <c r="BG191" s="610"/>
      <c r="BH191" s="222"/>
    </row>
    <row r="192" spans="1:60" s="2" customFormat="1" hidden="1">
      <c r="A192" s="1038"/>
      <c r="B192" s="1109" t="s">
        <v>231</v>
      </c>
      <c r="C192" s="1106" t="s">
        <v>181</v>
      </c>
      <c r="D192" s="644"/>
      <c r="E192" s="180" t="s">
        <v>1236</v>
      </c>
      <c r="F192" s="180"/>
      <c r="G192" s="180"/>
      <c r="H192" s="181" t="s">
        <v>202</v>
      </c>
      <c r="I192" s="114"/>
      <c r="J192" s="202">
        <f>M192+Y192+AK192+AW192</f>
        <v>0</v>
      </c>
      <c r="K192" s="243"/>
      <c r="L192" s="243"/>
      <c r="M192" s="249">
        <f>SUM(N192:X192)</f>
        <v>0</v>
      </c>
      <c r="N192" s="89"/>
      <c r="O192" s="273"/>
      <c r="P192" s="273"/>
      <c r="Q192" s="273"/>
      <c r="R192" s="273"/>
      <c r="S192" s="273"/>
      <c r="T192" s="273"/>
      <c r="U192" s="273"/>
      <c r="V192" s="251">
        <f t="shared" ref="V192" si="167">SUM(V$168:V$170)</f>
        <v>0</v>
      </c>
      <c r="W192" s="610"/>
      <c r="X192" s="118"/>
      <c r="Y192" s="249">
        <f>SUM(Z192:AJ192)</f>
        <v>0</v>
      </c>
      <c r="Z192" s="89"/>
      <c r="AA192" s="273"/>
      <c r="AB192" s="273"/>
      <c r="AC192" s="273"/>
      <c r="AD192" s="273"/>
      <c r="AE192" s="273"/>
      <c r="AF192" s="273"/>
      <c r="AG192" s="273"/>
      <c r="AH192" s="251">
        <f t="shared" ref="AH192" si="168">SUM(AH$168:AH$170)</f>
        <v>0</v>
      </c>
      <c r="AI192" s="610"/>
      <c r="AJ192" s="118"/>
      <c r="AK192" s="249">
        <f>SUM(AL192:AV192)</f>
        <v>0</v>
      </c>
      <c r="AL192" s="89"/>
      <c r="AM192" s="273"/>
      <c r="AN192" s="273"/>
      <c r="AO192" s="273"/>
      <c r="AP192" s="273"/>
      <c r="AQ192" s="273"/>
      <c r="AR192" s="273"/>
      <c r="AS192" s="273"/>
      <c r="AT192" s="251">
        <f t="shared" ref="AT192" si="169">SUM(AT$168:AT$170)</f>
        <v>0</v>
      </c>
      <c r="AU192" s="610"/>
      <c r="AV192" s="118"/>
      <c r="AW192" s="249">
        <f>SUM(AX192:BH192)</f>
        <v>0</v>
      </c>
      <c r="AX192" s="89"/>
      <c r="AY192" s="273"/>
      <c r="AZ192" s="273"/>
      <c r="BA192" s="273"/>
      <c r="BB192" s="273"/>
      <c r="BC192" s="273"/>
      <c r="BD192" s="251"/>
      <c r="BE192" s="273"/>
      <c r="BF192" s="251">
        <f t="shared" si="166"/>
        <v>0</v>
      </c>
      <c r="BG192" s="610"/>
      <c r="BH192" s="222"/>
    </row>
    <row r="193" spans="1:60" s="2" customFormat="1">
      <c r="A193" s="1038"/>
      <c r="B193" s="1109" t="s">
        <v>231</v>
      </c>
      <c r="C193" s="1106" t="s">
        <v>96</v>
      </c>
      <c r="D193" s="644"/>
      <c r="E193" s="940" t="s">
        <v>1268</v>
      </c>
      <c r="F193" s="940"/>
      <c r="G193" s="940"/>
      <c r="H193" s="940"/>
      <c r="I193" s="77"/>
      <c r="J193" s="939"/>
      <c r="K193" s="126"/>
      <c r="L193" s="126"/>
      <c r="M193" s="938"/>
      <c r="N193" s="252"/>
      <c r="O193" s="177" t="str">
        <f t="shared" ref="O193:W193" si="170">O$10</f>
        <v>verwarming</v>
      </c>
      <c r="P193" s="177" t="str">
        <f t="shared" si="170"/>
        <v>koeling</v>
      </c>
      <c r="Q193" s="177" t="str">
        <f t="shared" si="170"/>
        <v>tapwater</v>
      </c>
      <c r="R193" s="177" t="str">
        <f t="shared" si="170"/>
        <v>verlichting</v>
      </c>
      <c r="S193" s="177" t="str">
        <f t="shared" si="170"/>
        <v>ventilatoren</v>
      </c>
      <c r="T193" s="177"/>
      <c r="U193" s="177" t="str">
        <f t="shared" si="170"/>
        <v>overig elektra</v>
      </c>
      <c r="V193" s="177" t="str">
        <f t="shared" si="170"/>
        <v>mobiliteit</v>
      </c>
      <c r="W193" s="177" t="str">
        <f t="shared" si="170"/>
        <v>zonnepanelen</v>
      </c>
      <c r="X193" s="253"/>
      <c r="Y193" s="938"/>
      <c r="Z193" s="252"/>
      <c r="AA193" s="177" t="str">
        <f t="shared" ref="AA193:AI193" si="171">AA$10</f>
        <v>verwarming</v>
      </c>
      <c r="AB193" s="177" t="str">
        <f t="shared" si="171"/>
        <v>koeling</v>
      </c>
      <c r="AC193" s="177" t="str">
        <f t="shared" si="171"/>
        <v>tapwater</v>
      </c>
      <c r="AD193" s="177" t="str">
        <f t="shared" si="171"/>
        <v>verlichting</v>
      </c>
      <c r="AE193" s="177" t="str">
        <f t="shared" si="171"/>
        <v>ventilatoren</v>
      </c>
      <c r="AF193" s="177"/>
      <c r="AG193" s="177" t="str">
        <f t="shared" si="171"/>
        <v>overig elektra</v>
      </c>
      <c r="AH193" s="177" t="str">
        <f t="shared" si="171"/>
        <v>mobiliteit</v>
      </c>
      <c r="AI193" s="177" t="str">
        <f t="shared" si="171"/>
        <v>zonnepanelen</v>
      </c>
      <c r="AJ193" s="253"/>
      <c r="AK193" s="938"/>
      <c r="AL193" s="252"/>
      <c r="AM193" s="177" t="str">
        <f t="shared" ref="AM193:AU193" si="172">AM$10</f>
        <v>verwarming</v>
      </c>
      <c r="AN193" s="177" t="str">
        <f t="shared" si="172"/>
        <v>koeling</v>
      </c>
      <c r="AO193" s="177" t="str">
        <f t="shared" si="172"/>
        <v>tapwater</v>
      </c>
      <c r="AP193" s="177" t="str">
        <f t="shared" si="172"/>
        <v>verlichting</v>
      </c>
      <c r="AQ193" s="177" t="str">
        <f t="shared" si="172"/>
        <v>ventilatoren</v>
      </c>
      <c r="AR193" s="177"/>
      <c r="AS193" s="177" t="str">
        <f t="shared" si="172"/>
        <v>overig elektra</v>
      </c>
      <c r="AT193" s="177" t="str">
        <f t="shared" si="172"/>
        <v>mobiliteit</v>
      </c>
      <c r="AU193" s="177" t="str">
        <f t="shared" si="172"/>
        <v>zonnepanelen</v>
      </c>
      <c r="AV193" s="253"/>
      <c r="AW193" s="938"/>
      <c r="AX193" s="252"/>
      <c r="AY193" s="177" t="str">
        <f t="shared" ref="AY193:BG193" si="173">AY$10</f>
        <v>verwarming</v>
      </c>
      <c r="AZ193" s="177" t="str">
        <f t="shared" si="173"/>
        <v>koeling</v>
      </c>
      <c r="BA193" s="177" t="str">
        <f t="shared" si="173"/>
        <v>tapwater</v>
      </c>
      <c r="BB193" s="177" t="str">
        <f t="shared" si="173"/>
        <v>verlichting</v>
      </c>
      <c r="BC193" s="177" t="str">
        <f t="shared" si="173"/>
        <v>ventilatoren</v>
      </c>
      <c r="BD193" s="177"/>
      <c r="BE193" s="177" t="str">
        <f t="shared" si="173"/>
        <v>overig elektra</v>
      </c>
      <c r="BF193" s="177" t="str">
        <f t="shared" si="173"/>
        <v>mobiliteit</v>
      </c>
      <c r="BG193" s="177" t="str">
        <f t="shared" si="173"/>
        <v>zonnepanelen</v>
      </c>
    </row>
    <row r="194" spans="1:60" s="2" customFormat="1" hidden="1">
      <c r="A194" s="1038"/>
      <c r="B194" s="1109" t="s">
        <v>231</v>
      </c>
      <c r="C194" s="1106" t="s">
        <v>181</v>
      </c>
      <c r="D194" s="644"/>
      <c r="E194" s="1123" t="s">
        <v>1269</v>
      </c>
      <c r="F194" s="180"/>
      <c r="G194" s="180"/>
      <c r="H194" s="181" t="s">
        <v>1270</v>
      </c>
      <c r="I194" s="114"/>
      <c r="J194" s="190">
        <f>M194+Y194+AK194+AW194</f>
        <v>0</v>
      </c>
      <c r="K194" s="243"/>
      <c r="L194" s="243"/>
      <c r="M194" s="1164">
        <f>SUMIF(N$19:X$19,woning,N$30:X$30)+SUMIF(N$19:X$19,woongebouw,N$30:X$30)</f>
        <v>0</v>
      </c>
      <c r="N194" s="89"/>
      <c r="O194" s="610"/>
      <c r="P194" s="610"/>
      <c r="Q194" s="610"/>
      <c r="R194" s="610"/>
      <c r="S194" s="610"/>
      <c r="T194" s="610"/>
      <c r="U194" s="610"/>
      <c r="V194" s="610"/>
      <c r="W194" s="610"/>
      <c r="X194" s="118"/>
      <c r="Y194" s="1164">
        <f>SUMIF(Z$19:AJ$19,woning,Z$30:AJ$30)+SUMIF(Z$19:AJ$19,woongebouw,Z$30:AJ$30)</f>
        <v>0</v>
      </c>
      <c r="Z194" s="89"/>
      <c r="AA194" s="610"/>
      <c r="AB194" s="610"/>
      <c r="AC194" s="610"/>
      <c r="AD194" s="610"/>
      <c r="AE194" s="610"/>
      <c r="AF194" s="610"/>
      <c r="AG194" s="610"/>
      <c r="AH194" s="610"/>
      <c r="AI194" s="610"/>
      <c r="AJ194" s="118"/>
      <c r="AK194" s="1164">
        <f>SUMIF(AL$19:AV$19,woning,AL$30:AV$30)+SUMIF(AL$19:AV$19,woongebouw,AL$30:AV$30)</f>
        <v>0</v>
      </c>
      <c r="AL194" s="89"/>
      <c r="AM194" s="610"/>
      <c r="AN194" s="610"/>
      <c r="AO194" s="610"/>
      <c r="AP194" s="610"/>
      <c r="AQ194" s="610"/>
      <c r="AR194" s="610"/>
      <c r="AS194" s="610"/>
      <c r="AT194" s="610"/>
      <c r="AU194" s="610"/>
      <c r="AV194" s="118"/>
      <c r="AW194" s="1164">
        <f>SUMIF(AX$19:BH$19,woning,AX$30:BH$30)+SUMIF(AX$19:BH$19,woongebouw,AX$30:BH$30)</f>
        <v>0</v>
      </c>
      <c r="AX194" s="89"/>
      <c r="AY194" s="610"/>
      <c r="AZ194" s="610"/>
      <c r="BA194" s="610"/>
      <c r="BB194" s="610"/>
      <c r="BC194" s="610"/>
      <c r="BD194" s="610"/>
      <c r="BE194" s="610"/>
      <c r="BF194" s="610"/>
      <c r="BG194" s="610"/>
      <c r="BH194" s="222"/>
    </row>
    <row r="195" spans="1:60" s="2" customFormat="1" hidden="1">
      <c r="A195" s="1038"/>
      <c r="B195" s="1109" t="s">
        <v>231</v>
      </c>
      <c r="C195" s="1106" t="s">
        <v>181</v>
      </c>
      <c r="D195" s="644"/>
      <c r="E195" s="1123" t="s">
        <v>1271</v>
      </c>
      <c r="F195" s="180"/>
      <c r="G195" s="180"/>
      <c r="H195" s="181" t="s">
        <v>1270</v>
      </c>
      <c r="I195" s="114"/>
      <c r="J195" s="190">
        <f>M195+Y195+AK195+AW195</f>
        <v>0</v>
      </c>
      <c r="K195" s="243"/>
      <c r="L195" s="243"/>
      <c r="M195" s="1164" cm="1">
        <f t="array" ref="M195">SUMIF(N$19:X$19,onderwijs,N$30:X$30)</f>
        <v>0</v>
      </c>
      <c r="N195" s="89"/>
      <c r="O195" s="610"/>
      <c r="P195" s="610"/>
      <c r="Q195" s="610"/>
      <c r="R195" s="610"/>
      <c r="S195" s="610"/>
      <c r="T195" s="610"/>
      <c r="U195" s="610"/>
      <c r="V195" s="610"/>
      <c r="W195" s="610"/>
      <c r="X195" s="118"/>
      <c r="Y195" s="1164" cm="1">
        <f t="array" ref="Y195">SUMIF(Z$19:AJ$19,onderwijs,Z$30:AJ$30)</f>
        <v>0</v>
      </c>
      <c r="Z195" s="89"/>
      <c r="AA195" s="610"/>
      <c r="AB195" s="610"/>
      <c r="AC195" s="610"/>
      <c r="AD195" s="610"/>
      <c r="AE195" s="610"/>
      <c r="AF195" s="610"/>
      <c r="AG195" s="610"/>
      <c r="AH195" s="610"/>
      <c r="AI195" s="610"/>
      <c r="AJ195" s="118"/>
      <c r="AK195" s="1164" cm="1">
        <f t="array" ref="AK195">SUMIF(AL$19:AV$19,onderwijs,AL$30:AV$30)</f>
        <v>0</v>
      </c>
      <c r="AL195" s="89"/>
      <c r="AM195" s="610"/>
      <c r="AN195" s="610"/>
      <c r="AO195" s="610"/>
      <c r="AP195" s="610"/>
      <c r="AQ195" s="610"/>
      <c r="AR195" s="610"/>
      <c r="AS195" s="610"/>
      <c r="AT195" s="610"/>
      <c r="AU195" s="610"/>
      <c r="AV195" s="118"/>
      <c r="AW195" s="1164" cm="1">
        <f t="array" ref="AW195">SUMIF(AX$19:BH$19,onderwijs,AX$30:BH$30)</f>
        <v>0</v>
      </c>
      <c r="AX195" s="89"/>
      <c r="AY195" s="610"/>
      <c r="AZ195" s="610"/>
      <c r="BA195" s="610"/>
      <c r="BB195" s="610"/>
      <c r="BC195" s="610"/>
      <c r="BD195" s="610"/>
      <c r="BE195" s="610"/>
      <c r="BF195" s="610"/>
      <c r="BG195" s="610"/>
      <c r="BH195" s="222"/>
    </row>
    <row r="196" spans="1:60" s="2" customFormat="1" hidden="1">
      <c r="A196" s="1038"/>
      <c r="B196" s="1109" t="s">
        <v>231</v>
      </c>
      <c r="C196" s="1106" t="s">
        <v>181</v>
      </c>
      <c r="D196" s="644"/>
      <c r="E196" s="1123" t="s">
        <v>1272</v>
      </c>
      <c r="F196" s="180"/>
      <c r="G196" s="180"/>
      <c r="H196" s="181" t="s">
        <v>1270</v>
      </c>
      <c r="I196" s="114"/>
      <c r="J196" s="190">
        <f>M196+Y196+AK196+AW196</f>
        <v>0</v>
      </c>
      <c r="K196" s="243"/>
      <c r="L196" s="243"/>
      <c r="M196" s="1164">
        <f>M29-M194-M195</f>
        <v>0</v>
      </c>
      <c r="N196" s="89"/>
      <c r="O196" s="610"/>
      <c r="P196" s="610"/>
      <c r="Q196" s="610"/>
      <c r="R196" s="610"/>
      <c r="S196" s="610"/>
      <c r="T196" s="610"/>
      <c r="U196" s="610"/>
      <c r="V196" s="610"/>
      <c r="W196" s="610"/>
      <c r="X196" s="118"/>
      <c r="Y196" s="1164">
        <f>Y29-Y194-Y195</f>
        <v>0</v>
      </c>
      <c r="Z196" s="89"/>
      <c r="AA196" s="610"/>
      <c r="AB196" s="610"/>
      <c r="AC196" s="610"/>
      <c r="AD196" s="610"/>
      <c r="AE196" s="610"/>
      <c r="AF196" s="610"/>
      <c r="AG196" s="610"/>
      <c r="AH196" s="610"/>
      <c r="AI196" s="610"/>
      <c r="AJ196" s="118"/>
      <c r="AK196" s="1164">
        <f>AK29-AK194-AK195</f>
        <v>0</v>
      </c>
      <c r="AL196" s="89"/>
      <c r="AM196" s="610"/>
      <c r="AN196" s="610"/>
      <c r="AO196" s="610"/>
      <c r="AP196" s="610"/>
      <c r="AQ196" s="610"/>
      <c r="AR196" s="610"/>
      <c r="AS196" s="610"/>
      <c r="AT196" s="610"/>
      <c r="AU196" s="610"/>
      <c r="AV196" s="118"/>
      <c r="AW196" s="1164">
        <f>AW29-AW194-AW195</f>
        <v>0</v>
      </c>
      <c r="AX196" s="89"/>
      <c r="AY196" s="610"/>
      <c r="AZ196" s="610"/>
      <c r="BA196" s="610"/>
      <c r="BB196" s="610"/>
      <c r="BC196" s="610"/>
      <c r="BD196" s="610"/>
      <c r="BE196" s="610"/>
      <c r="BF196" s="610"/>
      <c r="BG196" s="610"/>
      <c r="BH196" s="222"/>
    </row>
    <row r="197" spans="1:60" s="2" customFormat="1" hidden="1">
      <c r="A197" s="1079"/>
      <c r="B197" s="1112" t="s">
        <v>231</v>
      </c>
      <c r="C197" s="990" t="s">
        <v>181</v>
      </c>
      <c r="D197" s="644"/>
      <c r="E197" s="1123" t="s">
        <v>1309</v>
      </c>
      <c r="F197" s="180"/>
      <c r="G197" s="180"/>
      <c r="H197" s="181" t="s">
        <v>1270</v>
      </c>
      <c r="I197" s="1080"/>
      <c r="J197" s="190"/>
      <c r="K197" s="1081"/>
      <c r="L197" s="1081"/>
      <c r="M197" s="250" t="e">
        <f>((fdu_el_ren_woning*M$194+fdu_el_ren_onderwijs*M$195+fdu_el_ren_utiliteit_overig*M$196)/SUM(M$194:M$196))</f>
        <v>#DIV/0!</v>
      </c>
      <c r="N197" s="1082"/>
      <c r="O197" s="610"/>
      <c r="P197" s="610"/>
      <c r="Q197" s="610"/>
      <c r="R197" s="610"/>
      <c r="S197" s="610"/>
      <c r="T197" s="610"/>
      <c r="U197" s="610"/>
      <c r="V197" s="610"/>
      <c r="W197" s="610"/>
      <c r="X197" s="1083"/>
      <c r="Y197" s="250" t="e">
        <f>((fdu_el_ren_woning*Y$194+fdu_el_ren_onderwijs*Y$195+fdu_el_ren_utiliteit_overig*Y$196)/SUM(Y$194:Y$196))</f>
        <v>#DIV/0!</v>
      </c>
      <c r="Z197" s="1082"/>
      <c r="AA197" s="610"/>
      <c r="AB197" s="610"/>
      <c r="AC197" s="610"/>
      <c r="AD197" s="610"/>
      <c r="AE197" s="610"/>
      <c r="AF197" s="610"/>
      <c r="AG197" s="610"/>
      <c r="AH197" s="610"/>
      <c r="AI197" s="610"/>
      <c r="AJ197" s="1083"/>
      <c r="AK197" s="250" t="e">
        <f>((fdu_el_ren_woning*AK$194+fdu_el_ren_onderwijs*AK$195+fdu_el_ren_utiliteit_overig*AK$196)/SUM(AK$194:AK$196))</f>
        <v>#DIV/0!</v>
      </c>
      <c r="AL197" s="1082"/>
      <c r="AM197" s="610"/>
      <c r="AN197" s="610"/>
      <c r="AO197" s="610"/>
      <c r="AP197" s="610"/>
      <c r="AQ197" s="610"/>
      <c r="AR197" s="610"/>
      <c r="AS197" s="610"/>
      <c r="AT197" s="610"/>
      <c r="AU197" s="610"/>
      <c r="AV197" s="1083"/>
      <c r="AW197" s="250" t="e">
        <f>((fdu_el_ren_woning*AW$194+fdu_el_ren_onderwijs*AW$195+fdu_el_ren_utiliteit_overig*AW$196)/SUM(AW$194:AW$196))</f>
        <v>#DIV/0!</v>
      </c>
      <c r="AX197" s="1082"/>
      <c r="AY197" s="610"/>
      <c r="AZ197" s="610"/>
      <c r="BA197" s="610"/>
      <c r="BB197" s="610"/>
      <c r="BC197" s="610"/>
      <c r="BD197" s="610"/>
      <c r="BE197" s="610"/>
      <c r="BF197" s="610"/>
      <c r="BG197" s="610"/>
      <c r="BH197" s="222"/>
    </row>
    <row r="198" spans="1:60" s="2" customFormat="1" hidden="1">
      <c r="A198" s="1038"/>
      <c r="B198" s="1109" t="s">
        <v>231</v>
      </c>
      <c r="C198" s="1106" t="s">
        <v>181</v>
      </c>
      <c r="D198" s="644"/>
      <c r="E198" s="1123" t="s">
        <v>1310</v>
      </c>
      <c r="F198" s="180"/>
      <c r="G198" s="180"/>
      <c r="H198" s="181" t="s">
        <v>65</v>
      </c>
      <c r="I198" s="114"/>
      <c r="J198" s="190"/>
      <c r="K198" s="243"/>
      <c r="L198" s="243"/>
      <c r="M198" s="190">
        <f>IF(M$50="ja",1,0)</f>
        <v>0</v>
      </c>
      <c r="N198" s="119"/>
      <c r="O198" s="1078"/>
      <c r="P198" s="1078"/>
      <c r="Q198" s="1078"/>
      <c r="R198" s="1078"/>
      <c r="S198" s="1078"/>
      <c r="T198" s="1078"/>
      <c r="U198" s="1078"/>
      <c r="V198" s="1078"/>
      <c r="W198" s="1078"/>
      <c r="X198" s="109"/>
      <c r="Y198" s="190">
        <f>IF(Y$50="ja",1,0)</f>
        <v>0</v>
      </c>
      <c r="Z198" s="119"/>
      <c r="AA198" s="1078"/>
      <c r="AB198" s="1078"/>
      <c r="AC198" s="1078"/>
      <c r="AD198" s="1078"/>
      <c r="AE198" s="1078"/>
      <c r="AF198" s="1078"/>
      <c r="AG198" s="1078"/>
      <c r="AH198" s="1078"/>
      <c r="AI198" s="1078"/>
      <c r="AJ198" s="109"/>
      <c r="AK198" s="190">
        <f>IF(AK$50="ja",1,0)</f>
        <v>0</v>
      </c>
      <c r="AL198" s="119"/>
      <c r="AM198" s="1078"/>
      <c r="AN198" s="1078"/>
      <c r="AO198" s="1078"/>
      <c r="AP198" s="1078"/>
      <c r="AQ198" s="1078"/>
      <c r="AR198" s="1078"/>
      <c r="AS198" s="1078"/>
      <c r="AT198" s="1078"/>
      <c r="AU198" s="1078"/>
      <c r="AV198" s="109"/>
      <c r="AW198" s="190">
        <f>IF(AW$50="ja",1,0)</f>
        <v>0</v>
      </c>
      <c r="AX198" s="89"/>
      <c r="AY198" s="610"/>
      <c r="AZ198" s="610"/>
      <c r="BA198" s="610"/>
      <c r="BB198" s="610"/>
      <c r="BC198" s="610"/>
      <c r="BD198" s="610"/>
      <c r="BE198" s="610"/>
      <c r="BF198" s="610"/>
      <c r="BG198" s="610"/>
      <c r="BH198" s="222"/>
    </row>
    <row r="199" spans="1:60" s="2" customFormat="1">
      <c r="A199" s="1038"/>
      <c r="B199" s="1109" t="s">
        <v>231</v>
      </c>
      <c r="C199" s="1106" t="s">
        <v>96</v>
      </c>
      <c r="D199" s="644"/>
      <c r="E199" s="940" t="s">
        <v>1343</v>
      </c>
      <c r="F199" s="940"/>
      <c r="G199" s="940"/>
      <c r="H199" s="940"/>
      <c r="I199" s="77"/>
      <c r="J199" s="939"/>
      <c r="K199" s="126"/>
      <c r="L199" s="126"/>
      <c r="M199" s="938"/>
      <c r="N199" s="252"/>
      <c r="O199" s="177" t="str">
        <f t="shared" ref="O199:W199" si="174">O$10</f>
        <v>verwarming</v>
      </c>
      <c r="P199" s="177" t="str">
        <f t="shared" si="174"/>
        <v>koeling</v>
      </c>
      <c r="Q199" s="177" t="str">
        <f t="shared" si="174"/>
        <v>tapwater</v>
      </c>
      <c r="R199" s="177" t="str">
        <f t="shared" si="174"/>
        <v>verlichting</v>
      </c>
      <c r="S199" s="177" t="str">
        <f t="shared" si="174"/>
        <v>ventilatoren</v>
      </c>
      <c r="T199" s="177"/>
      <c r="U199" s="177" t="str">
        <f t="shared" si="174"/>
        <v>overig elektra</v>
      </c>
      <c r="V199" s="177" t="str">
        <f t="shared" si="174"/>
        <v>mobiliteit</v>
      </c>
      <c r="W199" s="177" t="str">
        <f t="shared" si="174"/>
        <v>zonnepanelen</v>
      </c>
      <c r="X199" s="253"/>
      <c r="Y199" s="938"/>
      <c r="Z199" s="252"/>
      <c r="AA199" s="177" t="str">
        <f t="shared" ref="AA199:AI199" si="175">AA$10</f>
        <v>verwarming</v>
      </c>
      <c r="AB199" s="177" t="str">
        <f t="shared" si="175"/>
        <v>koeling</v>
      </c>
      <c r="AC199" s="177" t="str">
        <f t="shared" si="175"/>
        <v>tapwater</v>
      </c>
      <c r="AD199" s="177" t="str">
        <f t="shared" si="175"/>
        <v>verlichting</v>
      </c>
      <c r="AE199" s="177" t="str">
        <f t="shared" si="175"/>
        <v>ventilatoren</v>
      </c>
      <c r="AF199" s="177"/>
      <c r="AG199" s="177" t="str">
        <f t="shared" si="175"/>
        <v>overig elektra</v>
      </c>
      <c r="AH199" s="177" t="str">
        <f t="shared" si="175"/>
        <v>mobiliteit</v>
      </c>
      <c r="AI199" s="177" t="str">
        <f t="shared" si="175"/>
        <v>zonnepanelen</v>
      </c>
      <c r="AJ199" s="253"/>
      <c r="AK199" s="938"/>
      <c r="AL199" s="252"/>
      <c r="AM199" s="177" t="str">
        <f t="shared" ref="AM199:AU199" si="176">AM$10</f>
        <v>verwarming</v>
      </c>
      <c r="AN199" s="177" t="str">
        <f t="shared" si="176"/>
        <v>koeling</v>
      </c>
      <c r="AO199" s="177" t="str">
        <f t="shared" si="176"/>
        <v>tapwater</v>
      </c>
      <c r="AP199" s="177" t="str">
        <f t="shared" si="176"/>
        <v>verlichting</v>
      </c>
      <c r="AQ199" s="177" t="str">
        <f t="shared" si="176"/>
        <v>ventilatoren</v>
      </c>
      <c r="AR199" s="177"/>
      <c r="AS199" s="177" t="str">
        <f t="shared" si="176"/>
        <v>overig elektra</v>
      </c>
      <c r="AT199" s="177" t="str">
        <f t="shared" si="176"/>
        <v>mobiliteit</v>
      </c>
      <c r="AU199" s="177" t="str">
        <f t="shared" si="176"/>
        <v>zonnepanelen</v>
      </c>
      <c r="AV199" s="253"/>
      <c r="AW199" s="938"/>
      <c r="AX199" s="252"/>
      <c r="AY199" s="177" t="str">
        <f t="shared" ref="AY199:BG199" si="177">AY$10</f>
        <v>verwarming</v>
      </c>
      <c r="AZ199" s="177" t="str">
        <f t="shared" si="177"/>
        <v>koeling</v>
      </c>
      <c r="BA199" s="177" t="str">
        <f t="shared" si="177"/>
        <v>tapwater</v>
      </c>
      <c r="BB199" s="177" t="str">
        <f t="shared" si="177"/>
        <v>verlichting</v>
      </c>
      <c r="BC199" s="177" t="str">
        <f t="shared" si="177"/>
        <v>ventilatoren</v>
      </c>
      <c r="BD199" s="177"/>
      <c r="BE199" s="177" t="str">
        <f t="shared" si="177"/>
        <v>overig elektra</v>
      </c>
      <c r="BF199" s="177" t="str">
        <f t="shared" si="177"/>
        <v>mobiliteit</v>
      </c>
      <c r="BG199" s="177" t="str">
        <f t="shared" si="177"/>
        <v>zonnepanelen</v>
      </c>
    </row>
    <row r="200" spans="1:60" s="2" customFormat="1" hidden="1">
      <c r="A200" s="1038"/>
      <c r="B200" s="1109" t="s">
        <v>231</v>
      </c>
      <c r="C200" s="1106" t="s">
        <v>181</v>
      </c>
      <c r="D200" s="644"/>
      <c r="E200" s="1123" t="s">
        <v>1288</v>
      </c>
      <c r="F200" s="180"/>
      <c r="G200" s="180"/>
      <c r="H200" s="181" t="s">
        <v>202</v>
      </c>
      <c r="I200" s="114"/>
      <c r="J200" s="202">
        <f t="shared" ref="J200:J203" si="178">M200+Y200+AK200+AW200</f>
        <v>0</v>
      </c>
      <c r="K200" s="243"/>
      <c r="L200" s="243"/>
      <c r="M200" s="249">
        <f>IF(M$190&lt;&gt;0,MIN(M$188,M$190),0)</f>
        <v>0</v>
      </c>
      <c r="N200" s="89"/>
      <c r="O200" s="610"/>
      <c r="P200" s="610"/>
      <c r="Q200" s="610"/>
      <c r="R200" s="610"/>
      <c r="S200" s="610"/>
      <c r="T200" s="610"/>
      <c r="U200" s="610"/>
      <c r="V200" s="610"/>
      <c r="W200" s="610"/>
      <c r="X200" s="118"/>
      <c r="Y200" s="249">
        <f>IF(Y$190&lt;&gt;0,MIN(Y$188,Y$190),0)</f>
        <v>0</v>
      </c>
      <c r="Z200" s="89"/>
      <c r="AA200" s="610"/>
      <c r="AB200" s="610"/>
      <c r="AC200" s="610"/>
      <c r="AD200" s="610"/>
      <c r="AE200" s="610"/>
      <c r="AF200" s="610"/>
      <c r="AG200" s="610"/>
      <c r="AH200" s="610"/>
      <c r="AI200" s="610"/>
      <c r="AJ200" s="118"/>
      <c r="AK200" s="249">
        <f>IF(AK$190&lt;&gt;0,MIN(AK$188,AK$190),0)</f>
        <v>0</v>
      </c>
      <c r="AL200" s="89"/>
      <c r="AM200" s="610"/>
      <c r="AN200" s="610"/>
      <c r="AO200" s="610"/>
      <c r="AP200" s="610"/>
      <c r="AQ200" s="610"/>
      <c r="AR200" s="610"/>
      <c r="AS200" s="610"/>
      <c r="AT200" s="610"/>
      <c r="AU200" s="610"/>
      <c r="AV200" s="118"/>
      <c r="AW200" s="249">
        <f>IF(AW$190&lt;&gt;0,MIN(AW$188,AW$190),0)</f>
        <v>0</v>
      </c>
      <c r="AX200" s="89"/>
      <c r="AY200" s="610"/>
      <c r="AZ200" s="610"/>
      <c r="BA200" s="610"/>
      <c r="BB200" s="610"/>
      <c r="BC200" s="610"/>
      <c r="BD200" s="610"/>
      <c r="BE200" s="610"/>
      <c r="BF200" s="610"/>
      <c r="BG200" s="610"/>
      <c r="BH200" s="222"/>
    </row>
    <row r="201" spans="1:60" s="2" customFormat="1" hidden="1">
      <c r="A201" s="1038"/>
      <c r="B201" s="1109" t="s">
        <v>231</v>
      </c>
      <c r="C201" s="1106" t="s">
        <v>181</v>
      </c>
      <c r="D201" s="645" t="s">
        <v>45</v>
      </c>
      <c r="E201" s="1123" t="s">
        <v>1287</v>
      </c>
      <c r="F201" s="180"/>
      <c r="G201" s="180"/>
      <c r="H201" s="181" t="s">
        <v>202</v>
      </c>
      <c r="I201" s="114"/>
      <c r="J201" s="202">
        <f t="shared" si="178"/>
        <v>0</v>
      </c>
      <c r="K201" s="243"/>
      <c r="L201" s="243"/>
      <c r="M201" s="249">
        <f>MIN(M$186,M$190)*waardering_opslag_hernieuwbaar*(M$50="ja")</f>
        <v>0</v>
      </c>
      <c r="N201" s="89"/>
      <c r="O201" s="610"/>
      <c r="P201" s="610"/>
      <c r="Q201" s="610"/>
      <c r="R201" s="610"/>
      <c r="S201" s="610"/>
      <c r="T201" s="610"/>
      <c r="U201" s="610"/>
      <c r="V201" s="610"/>
      <c r="W201" s="610"/>
      <c r="X201" s="118"/>
      <c r="Y201" s="249">
        <f>MIN(Y$186,Y$190)*waardering_opslag_hernieuwbaar*(Y$50="ja")</f>
        <v>0</v>
      </c>
      <c r="Z201" s="89"/>
      <c r="AA201" s="610"/>
      <c r="AB201" s="610"/>
      <c r="AC201" s="610"/>
      <c r="AD201" s="610"/>
      <c r="AE201" s="610"/>
      <c r="AF201" s="610"/>
      <c r="AG201" s="610"/>
      <c r="AH201" s="610"/>
      <c r="AI201" s="610"/>
      <c r="AJ201" s="118"/>
      <c r="AK201" s="249">
        <f>MIN(AK$186,AK$190)*waardering_opslag_hernieuwbaar*(AK$50="ja")</f>
        <v>0</v>
      </c>
      <c r="AL201" s="89"/>
      <c r="AM201" s="610"/>
      <c r="AN201" s="610"/>
      <c r="AO201" s="610"/>
      <c r="AP201" s="610"/>
      <c r="AQ201" s="610"/>
      <c r="AR201" s="610"/>
      <c r="AS201" s="610"/>
      <c r="AT201" s="610"/>
      <c r="AU201" s="610"/>
      <c r="AV201" s="118"/>
      <c r="AW201" s="249">
        <f>MIN(AW$186,AW$190)*waardering_opslag_hernieuwbaar*(AW$50="ja")</f>
        <v>0</v>
      </c>
      <c r="AX201" s="89"/>
      <c r="AY201" s="610"/>
      <c r="AZ201" s="610"/>
      <c r="BA201" s="610"/>
      <c r="BB201" s="610"/>
      <c r="BC201" s="610"/>
      <c r="BD201" s="610"/>
      <c r="BE201" s="610"/>
      <c r="BF201" s="610"/>
      <c r="BG201" s="610"/>
      <c r="BH201" s="222"/>
    </row>
    <row r="202" spans="1:60" s="2" customFormat="1" hidden="1">
      <c r="A202" s="1038"/>
      <c r="B202" s="1109" t="s">
        <v>231</v>
      </c>
      <c r="C202" s="1106" t="s">
        <v>181</v>
      </c>
      <c r="D202" s="645" t="s">
        <v>45</v>
      </c>
      <c r="E202" s="1123" t="s">
        <v>1311</v>
      </c>
      <c r="F202" s="180"/>
      <c r="G202" s="180"/>
      <c r="H202" s="181" t="s">
        <v>202</v>
      </c>
      <c r="I202" s="114"/>
      <c r="J202" s="202">
        <f t="shared" si="178"/>
        <v>0</v>
      </c>
      <c r="K202" s="243"/>
      <c r="L202" s="243"/>
      <c r="M202" s="249">
        <f>M$188-M200</f>
        <v>0</v>
      </c>
      <c r="N202" s="89"/>
      <c r="O202" s="610"/>
      <c r="P202" s="610"/>
      <c r="Q202" s="610"/>
      <c r="R202" s="610"/>
      <c r="S202" s="610"/>
      <c r="T202" s="610"/>
      <c r="U202" s="610"/>
      <c r="V202" s="610"/>
      <c r="W202" s="610"/>
      <c r="X202" s="118"/>
      <c r="Y202" s="249">
        <f>Y$188-Y200</f>
        <v>0</v>
      </c>
      <c r="Z202" s="89"/>
      <c r="AA202" s="610"/>
      <c r="AB202" s="610"/>
      <c r="AC202" s="610"/>
      <c r="AD202" s="610"/>
      <c r="AE202" s="610"/>
      <c r="AF202" s="610"/>
      <c r="AG202" s="610"/>
      <c r="AH202" s="610"/>
      <c r="AI202" s="610"/>
      <c r="AJ202" s="118"/>
      <c r="AK202" s="249">
        <f>AK$188-AK200</f>
        <v>0</v>
      </c>
      <c r="AL202" s="89"/>
      <c r="AM202" s="610"/>
      <c r="AN202" s="610"/>
      <c r="AO202" s="610"/>
      <c r="AP202" s="610"/>
      <c r="AQ202" s="610"/>
      <c r="AR202" s="610"/>
      <c r="AS202" s="610"/>
      <c r="AT202" s="610"/>
      <c r="AU202" s="610"/>
      <c r="AV202" s="118"/>
      <c r="AW202" s="249">
        <f>AW$188-AW200</f>
        <v>0</v>
      </c>
      <c r="AX202" s="89"/>
      <c r="AY202" s="610"/>
      <c r="AZ202" s="610"/>
      <c r="BA202" s="610"/>
      <c r="BB202" s="610"/>
      <c r="BC202" s="610"/>
      <c r="BD202" s="610"/>
      <c r="BE202" s="610"/>
      <c r="BF202" s="610"/>
      <c r="BG202" s="610"/>
      <c r="BH202" s="222"/>
    </row>
    <row r="203" spans="1:60" s="2" customFormat="1" hidden="1">
      <c r="A203" s="1079"/>
      <c r="B203" s="1112" t="s">
        <v>231</v>
      </c>
      <c r="C203" s="990" t="s">
        <v>181</v>
      </c>
      <c r="D203" s="644"/>
      <c r="E203" s="1123" t="s">
        <v>1274</v>
      </c>
      <c r="F203" s="180"/>
      <c r="G203" s="180"/>
      <c r="H203" s="181" t="s">
        <v>202</v>
      </c>
      <c r="I203" s="1080"/>
      <c r="J203" s="202">
        <f t="shared" si="178"/>
        <v>0</v>
      </c>
      <c r="K203" s="1081"/>
      <c r="L203" s="1081"/>
      <c r="M203" s="249">
        <f>SUM(M$190)-M200</f>
        <v>0</v>
      </c>
      <c r="N203" s="1082"/>
      <c r="O203" s="610"/>
      <c r="P203" s="610"/>
      <c r="Q203" s="610"/>
      <c r="R203" s="610"/>
      <c r="S203" s="610"/>
      <c r="T203" s="610"/>
      <c r="U203" s="610"/>
      <c r="V203" s="610"/>
      <c r="W203" s="610"/>
      <c r="X203" s="1083"/>
      <c r="Y203" s="249">
        <f>SUM(Y$190)-Y200</f>
        <v>0</v>
      </c>
      <c r="Z203" s="1082"/>
      <c r="AA203" s="610"/>
      <c r="AB203" s="610"/>
      <c r="AC203" s="610"/>
      <c r="AD203" s="610"/>
      <c r="AE203" s="610"/>
      <c r="AF203" s="610"/>
      <c r="AG203" s="610"/>
      <c r="AH203" s="610"/>
      <c r="AI203" s="610"/>
      <c r="AJ203" s="1083"/>
      <c r="AK203" s="249">
        <f>SUM(AK$190)-AK200</f>
        <v>0</v>
      </c>
      <c r="AL203" s="1082"/>
      <c r="AM203" s="610"/>
      <c r="AN203" s="610"/>
      <c r="AO203" s="610"/>
      <c r="AP203" s="610"/>
      <c r="AQ203" s="610"/>
      <c r="AR203" s="610"/>
      <c r="AS203" s="610"/>
      <c r="AT203" s="610"/>
      <c r="AU203" s="610"/>
      <c r="AV203" s="1083"/>
      <c r="AW203" s="249">
        <f>SUM(AW$190)-AW200</f>
        <v>0</v>
      </c>
      <c r="AX203" s="1082"/>
      <c r="AY203" s="610"/>
      <c r="AZ203" s="610"/>
      <c r="BA203" s="610"/>
      <c r="BB203" s="610"/>
      <c r="BC203" s="610"/>
      <c r="BD203" s="610"/>
      <c r="BE203" s="610"/>
      <c r="BF203" s="610"/>
      <c r="BG203" s="610"/>
      <c r="BH203" s="222"/>
    </row>
    <row r="204" spans="1:60" s="2" customFormat="1">
      <c r="A204" s="1038"/>
      <c r="B204" s="1109" t="s">
        <v>231</v>
      </c>
      <c r="C204" s="1106" t="s">
        <v>96</v>
      </c>
      <c r="D204" s="644"/>
      <c r="E204" s="940" t="s">
        <v>1344</v>
      </c>
      <c r="F204" s="940"/>
      <c r="G204" s="940"/>
      <c r="H204" s="940"/>
      <c r="I204" s="77"/>
      <c r="J204" s="939"/>
      <c r="K204" s="126"/>
      <c r="L204" s="126"/>
      <c r="M204" s="938"/>
      <c r="N204" s="252"/>
      <c r="O204" s="177" t="str">
        <f t="shared" ref="O204:W204" si="179">O$10</f>
        <v>verwarming</v>
      </c>
      <c r="P204" s="177" t="str">
        <f t="shared" si="179"/>
        <v>koeling</v>
      </c>
      <c r="Q204" s="177" t="str">
        <f t="shared" si="179"/>
        <v>tapwater</v>
      </c>
      <c r="R204" s="177" t="str">
        <f t="shared" si="179"/>
        <v>verlichting</v>
      </c>
      <c r="S204" s="177" t="str">
        <f t="shared" si="179"/>
        <v>ventilatoren</v>
      </c>
      <c r="T204" s="177"/>
      <c r="U204" s="177" t="str">
        <f t="shared" si="179"/>
        <v>overig elektra</v>
      </c>
      <c r="V204" s="177" t="str">
        <f t="shared" si="179"/>
        <v>mobiliteit</v>
      </c>
      <c r="W204" s="177" t="str">
        <f t="shared" si="179"/>
        <v>zonnepanelen</v>
      </c>
      <c r="X204" s="253"/>
      <c r="Y204" s="938"/>
      <c r="Z204" s="252"/>
      <c r="AA204" s="177" t="str">
        <f t="shared" ref="AA204:AI204" si="180">AA$10</f>
        <v>verwarming</v>
      </c>
      <c r="AB204" s="177" t="str">
        <f t="shared" si="180"/>
        <v>koeling</v>
      </c>
      <c r="AC204" s="177" t="str">
        <f t="shared" si="180"/>
        <v>tapwater</v>
      </c>
      <c r="AD204" s="177" t="str">
        <f t="shared" si="180"/>
        <v>verlichting</v>
      </c>
      <c r="AE204" s="177" t="str">
        <f t="shared" si="180"/>
        <v>ventilatoren</v>
      </c>
      <c r="AF204" s="177"/>
      <c r="AG204" s="177" t="str">
        <f t="shared" si="180"/>
        <v>overig elektra</v>
      </c>
      <c r="AH204" s="177" t="str">
        <f t="shared" si="180"/>
        <v>mobiliteit</v>
      </c>
      <c r="AI204" s="177" t="str">
        <f t="shared" si="180"/>
        <v>zonnepanelen</v>
      </c>
      <c r="AJ204" s="253"/>
      <c r="AK204" s="938"/>
      <c r="AL204" s="252"/>
      <c r="AM204" s="177" t="str">
        <f t="shared" ref="AM204:AU204" si="181">AM$10</f>
        <v>verwarming</v>
      </c>
      <c r="AN204" s="177" t="str">
        <f t="shared" si="181"/>
        <v>koeling</v>
      </c>
      <c r="AO204" s="177" t="str">
        <f t="shared" si="181"/>
        <v>tapwater</v>
      </c>
      <c r="AP204" s="177" t="str">
        <f t="shared" si="181"/>
        <v>verlichting</v>
      </c>
      <c r="AQ204" s="177" t="str">
        <f t="shared" si="181"/>
        <v>ventilatoren</v>
      </c>
      <c r="AR204" s="177"/>
      <c r="AS204" s="177" t="str">
        <f t="shared" si="181"/>
        <v>overig elektra</v>
      </c>
      <c r="AT204" s="177" t="str">
        <f t="shared" si="181"/>
        <v>mobiliteit</v>
      </c>
      <c r="AU204" s="177" t="str">
        <f t="shared" si="181"/>
        <v>zonnepanelen</v>
      </c>
      <c r="AV204" s="253"/>
      <c r="AW204" s="938"/>
      <c r="AX204" s="252"/>
      <c r="AY204" s="177" t="str">
        <f t="shared" ref="AY204:BG204" si="182">AY$10</f>
        <v>verwarming</v>
      </c>
      <c r="AZ204" s="177" t="str">
        <f t="shared" si="182"/>
        <v>koeling</v>
      </c>
      <c r="BA204" s="177" t="str">
        <f t="shared" si="182"/>
        <v>tapwater</v>
      </c>
      <c r="BB204" s="177" t="str">
        <f t="shared" si="182"/>
        <v>verlichting</v>
      </c>
      <c r="BC204" s="177" t="str">
        <f t="shared" si="182"/>
        <v>ventilatoren</v>
      </c>
      <c r="BD204" s="177"/>
      <c r="BE204" s="177" t="str">
        <f t="shared" si="182"/>
        <v>overig elektra</v>
      </c>
      <c r="BF204" s="177" t="str">
        <f t="shared" si="182"/>
        <v>mobiliteit</v>
      </c>
      <c r="BG204" s="177" t="str">
        <f t="shared" si="182"/>
        <v>zonnepanelen</v>
      </c>
    </row>
    <row r="205" spans="1:60" s="2" customFormat="1" hidden="1">
      <c r="A205" s="1038"/>
      <c r="B205" s="1109" t="s">
        <v>231</v>
      </c>
      <c r="C205" s="1106" t="s">
        <v>181</v>
      </c>
      <c r="D205" s="645" t="s">
        <v>45</v>
      </c>
      <c r="E205" s="1123" t="s">
        <v>1240</v>
      </c>
      <c r="F205" s="180"/>
      <c r="G205" s="180"/>
      <c r="H205" s="181" t="s">
        <v>202</v>
      </c>
      <c r="I205" s="114"/>
      <c r="J205" s="202">
        <f t="shared" ref="J205:J210" si="183">M205+Y205+AK205+AW205</f>
        <v>0</v>
      </c>
      <c r="K205" s="243"/>
      <c r="L205" s="243"/>
      <c r="M205" s="249">
        <f>IFERROR(MIN(MAX(M$197*M$186,0.3*SUM(M$190)),1*SUM(M$190),M$186),0)</f>
        <v>0</v>
      </c>
      <c r="N205" s="89"/>
      <c r="O205" s="610"/>
      <c r="P205" s="610"/>
      <c r="Q205" s="610"/>
      <c r="R205" s="610"/>
      <c r="S205" s="610"/>
      <c r="T205" s="610"/>
      <c r="U205" s="610"/>
      <c r="V205" s="610"/>
      <c r="W205" s="610"/>
      <c r="X205" s="118"/>
      <c r="Y205" s="249">
        <f>IFERROR(MIN(MAX(Y$197*Y$186,0.3*SUM(Y$190)),1*SUM(Y$190),Y$186),0)</f>
        <v>0</v>
      </c>
      <c r="Z205" s="89"/>
      <c r="AA205" s="610"/>
      <c r="AB205" s="610"/>
      <c r="AC205" s="610"/>
      <c r="AD205" s="610"/>
      <c r="AE205" s="610"/>
      <c r="AF205" s="610"/>
      <c r="AG205" s="610"/>
      <c r="AH205" s="610"/>
      <c r="AI205" s="610"/>
      <c r="AJ205" s="118"/>
      <c r="AK205" s="249">
        <f>IFERROR(MIN(MAX(AK$197*AK$186,0.3*SUM(AK$190)),1*SUM(AK$190),AK$186),0)</f>
        <v>0</v>
      </c>
      <c r="AL205" s="89"/>
      <c r="AM205" s="610"/>
      <c r="AN205" s="610"/>
      <c r="AO205" s="610"/>
      <c r="AP205" s="610"/>
      <c r="AQ205" s="610"/>
      <c r="AR205" s="610"/>
      <c r="AS205" s="610"/>
      <c r="AT205" s="610"/>
      <c r="AU205" s="610"/>
      <c r="AV205" s="118"/>
      <c r="AW205" s="249">
        <f>IFERROR(MIN(MAX(AW$197*AW$186,0.3*SUM(AW$190)),1*SUM(AW$190),AW$186),0)</f>
        <v>0</v>
      </c>
      <c r="AX205" s="89"/>
      <c r="AY205" s="610"/>
      <c r="AZ205" s="610"/>
      <c r="BA205" s="610"/>
      <c r="BB205" s="610"/>
      <c r="BC205" s="610"/>
      <c r="BD205" s="610"/>
      <c r="BE205" s="610"/>
      <c r="BF205" s="610"/>
      <c r="BG205" s="610"/>
      <c r="BH205" s="222"/>
    </row>
    <row r="206" spans="1:60" s="2" customFormat="1" hidden="1">
      <c r="A206" s="1038"/>
      <c r="B206" s="1109" t="s">
        <v>231</v>
      </c>
      <c r="C206" s="1106" t="s">
        <v>181</v>
      </c>
      <c r="D206" s="644"/>
      <c r="E206" s="1123" t="s">
        <v>1312</v>
      </c>
      <c r="F206" s="180"/>
      <c r="G206" s="180"/>
      <c r="H206" s="181" t="s">
        <v>202</v>
      </c>
      <c r="I206" s="114"/>
      <c r="J206" s="202">
        <f t="shared" si="183"/>
        <v>0</v>
      </c>
      <c r="K206" s="243"/>
      <c r="L206" s="243"/>
      <c r="M206" s="249">
        <f>MIN(0.3*M$186*M$198,SUM(M$190)-M205,M$186-M205)</f>
        <v>0</v>
      </c>
      <c r="N206" s="89"/>
      <c r="O206" s="610"/>
      <c r="P206" s="610"/>
      <c r="Q206" s="610"/>
      <c r="R206" s="610"/>
      <c r="S206" s="610"/>
      <c r="T206" s="610"/>
      <c r="U206" s="610"/>
      <c r="V206" s="610"/>
      <c r="W206" s="610"/>
      <c r="X206" s="118"/>
      <c r="Y206" s="249">
        <f>MIN(0.3*Y$186*Y$198,SUM(Y$190)-Y205,Y$186-Y205)</f>
        <v>0</v>
      </c>
      <c r="Z206" s="89"/>
      <c r="AA206" s="610"/>
      <c r="AB206" s="610"/>
      <c r="AC206" s="610"/>
      <c r="AD206" s="610"/>
      <c r="AE206" s="610"/>
      <c r="AF206" s="610"/>
      <c r="AG206" s="610"/>
      <c r="AH206" s="610"/>
      <c r="AI206" s="610"/>
      <c r="AJ206" s="118"/>
      <c r="AK206" s="249">
        <f>MIN(0.3*AK$186*AK$198,SUM(AK$190)-AK205,AK$186-AK205)</f>
        <v>0</v>
      </c>
      <c r="AL206" s="89"/>
      <c r="AM206" s="610"/>
      <c r="AN206" s="610"/>
      <c r="AO206" s="610"/>
      <c r="AP206" s="610"/>
      <c r="AQ206" s="610"/>
      <c r="AR206" s="610"/>
      <c r="AS206" s="610"/>
      <c r="AT206" s="610"/>
      <c r="AU206" s="610"/>
      <c r="AV206" s="118"/>
      <c r="AW206" s="249">
        <f>MIN(0.3*AW$186*AW$198,SUM(AW$190)-AW205,AW$186-AW205)</f>
        <v>0</v>
      </c>
      <c r="AX206" s="89"/>
      <c r="AY206" s="610"/>
      <c r="AZ206" s="610"/>
      <c r="BA206" s="610"/>
      <c r="BB206" s="610"/>
      <c r="BC206" s="610"/>
      <c r="BD206" s="610"/>
      <c r="BE206" s="610"/>
      <c r="BF206" s="610"/>
      <c r="BG206" s="610"/>
      <c r="BH206" s="222"/>
    </row>
    <row r="207" spans="1:60" s="2" customFormat="1" hidden="1">
      <c r="A207" s="1038"/>
      <c r="B207" s="1109" t="s">
        <v>231</v>
      </c>
      <c r="C207" s="1106" t="s">
        <v>181</v>
      </c>
      <c r="D207" s="644"/>
      <c r="E207" s="1123" t="s">
        <v>1246</v>
      </c>
      <c r="F207" s="180"/>
      <c r="G207" s="180"/>
      <c r="H207" s="181" t="s">
        <v>202</v>
      </c>
      <c r="I207" s="114"/>
      <c r="J207" s="202">
        <f t="shared" si="183"/>
        <v>0</v>
      </c>
      <c r="K207" s="243"/>
      <c r="L207" s="243"/>
      <c r="M207" s="249">
        <f>M$186-M205-M206</f>
        <v>0</v>
      </c>
      <c r="N207" s="89"/>
      <c r="O207" s="610"/>
      <c r="P207" s="610"/>
      <c r="Q207" s="610"/>
      <c r="R207" s="610"/>
      <c r="S207" s="610"/>
      <c r="T207" s="610"/>
      <c r="U207" s="610"/>
      <c r="V207" s="610"/>
      <c r="W207" s="610"/>
      <c r="X207" s="118"/>
      <c r="Y207" s="249">
        <f>Y$186-Y205-Y206</f>
        <v>0</v>
      </c>
      <c r="Z207" s="89"/>
      <c r="AA207" s="610"/>
      <c r="AB207" s="610"/>
      <c r="AC207" s="610"/>
      <c r="AD207" s="610"/>
      <c r="AE207" s="610"/>
      <c r="AF207" s="610"/>
      <c r="AG207" s="610"/>
      <c r="AH207" s="610"/>
      <c r="AI207" s="610"/>
      <c r="AJ207" s="118"/>
      <c r="AK207" s="249">
        <f>AK$186-AK205-AK206</f>
        <v>0</v>
      </c>
      <c r="AL207" s="89"/>
      <c r="AM207" s="610"/>
      <c r="AN207" s="610"/>
      <c r="AO207" s="610"/>
      <c r="AP207" s="610"/>
      <c r="AQ207" s="610"/>
      <c r="AR207" s="610"/>
      <c r="AS207" s="610"/>
      <c r="AT207" s="610"/>
      <c r="AU207" s="610"/>
      <c r="AV207" s="118"/>
      <c r="AW207" s="249">
        <f>AW$186-AW205-AW206</f>
        <v>0</v>
      </c>
      <c r="AX207" s="89"/>
      <c r="AY207" s="610"/>
      <c r="AZ207" s="610"/>
      <c r="BA207" s="610"/>
      <c r="BB207" s="610"/>
      <c r="BC207" s="610"/>
      <c r="BD207" s="610"/>
      <c r="BE207" s="610"/>
      <c r="BF207" s="610"/>
      <c r="BG207" s="610"/>
      <c r="BH207" s="222"/>
    </row>
    <row r="208" spans="1:60" s="2" customFormat="1" hidden="1">
      <c r="A208" s="1038"/>
      <c r="B208" s="1109" t="s">
        <v>231</v>
      </c>
      <c r="C208" s="1106" t="s">
        <v>181</v>
      </c>
      <c r="D208" s="645" t="s">
        <v>45</v>
      </c>
      <c r="E208" s="1123" t="s">
        <v>1239</v>
      </c>
      <c r="F208" s="180"/>
      <c r="G208" s="180"/>
      <c r="H208" s="181" t="s">
        <v>202</v>
      </c>
      <c r="I208" s="114"/>
      <c r="J208" s="202">
        <f t="shared" si="183"/>
        <v>0</v>
      </c>
      <c r="K208" s="243"/>
      <c r="L208" s="243"/>
      <c r="M208" s="249">
        <f>MIN(fdu_el_nren*M$187,MAX(0,SUM(M$190)-M205-M206*eta_BAT))</f>
        <v>0</v>
      </c>
      <c r="N208" s="89"/>
      <c r="O208" s="610"/>
      <c r="P208" s="610"/>
      <c r="Q208" s="610"/>
      <c r="R208" s="610"/>
      <c r="S208" s="610"/>
      <c r="T208" s="610"/>
      <c r="U208" s="610"/>
      <c r="V208" s="610"/>
      <c r="W208" s="610"/>
      <c r="X208" s="118"/>
      <c r="Y208" s="249">
        <f>MIN(fdu_el_nren*Y$187,MAX(0,SUM(Y$190)-Y205-Y206*eta_BAT))</f>
        <v>0</v>
      </c>
      <c r="Z208" s="89"/>
      <c r="AA208" s="610"/>
      <c r="AB208" s="610"/>
      <c r="AC208" s="610"/>
      <c r="AD208" s="610"/>
      <c r="AE208" s="610"/>
      <c r="AF208" s="610"/>
      <c r="AG208" s="610"/>
      <c r="AH208" s="610"/>
      <c r="AI208" s="610"/>
      <c r="AJ208" s="118"/>
      <c r="AK208" s="249">
        <f>MIN(fdu_el_nren*AK$187,MAX(0,SUM(AK$190)-AK205-AK206*eta_BAT))</f>
        <v>0</v>
      </c>
      <c r="AL208" s="89"/>
      <c r="AM208" s="610"/>
      <c r="AN208" s="610"/>
      <c r="AO208" s="610"/>
      <c r="AP208" s="610"/>
      <c r="AQ208" s="610"/>
      <c r="AR208" s="610"/>
      <c r="AS208" s="610"/>
      <c r="AT208" s="610"/>
      <c r="AU208" s="610"/>
      <c r="AV208" s="118"/>
      <c r="AW208" s="249">
        <f>MIN(fdu_el_nren*AW$187,MAX(0,SUM(AW$190)-AW205-AW206*eta_BAT))</f>
        <v>0</v>
      </c>
      <c r="AX208" s="89"/>
      <c r="AY208" s="610"/>
      <c r="AZ208" s="610"/>
      <c r="BA208" s="610"/>
      <c r="BB208" s="610"/>
      <c r="BC208" s="610"/>
      <c r="BD208" s="610"/>
      <c r="BE208" s="610"/>
      <c r="BF208" s="610"/>
      <c r="BG208" s="610"/>
      <c r="BH208" s="222"/>
    </row>
    <row r="209" spans="1:60" s="2" customFormat="1" hidden="1">
      <c r="A209" s="1038"/>
      <c r="B209" s="1109" t="s">
        <v>231</v>
      </c>
      <c r="C209" s="1106" t="s">
        <v>181</v>
      </c>
      <c r="D209" s="644"/>
      <c r="E209" s="1123" t="s">
        <v>1245</v>
      </c>
      <c r="F209" s="180"/>
      <c r="G209" s="180"/>
      <c r="H209" s="181" t="s">
        <v>202</v>
      </c>
      <c r="I209" s="114"/>
      <c r="J209" s="202">
        <f t="shared" si="183"/>
        <v>0</v>
      </c>
      <c r="K209" s="243"/>
      <c r="L209" s="243"/>
      <c r="M209" s="249">
        <f>M$187-M208</f>
        <v>0</v>
      </c>
      <c r="N209" s="89"/>
      <c r="O209" s="610"/>
      <c r="P209" s="610"/>
      <c r="Q209" s="610"/>
      <c r="R209" s="610"/>
      <c r="S209" s="610"/>
      <c r="T209" s="610"/>
      <c r="U209" s="610"/>
      <c r="V209" s="610"/>
      <c r="W209" s="610"/>
      <c r="X209" s="118"/>
      <c r="Y209" s="249">
        <f>Y$187-Y208</f>
        <v>0</v>
      </c>
      <c r="Z209" s="89"/>
      <c r="AA209" s="610"/>
      <c r="AB209" s="610"/>
      <c r="AC209" s="610"/>
      <c r="AD209" s="610"/>
      <c r="AE209" s="610"/>
      <c r="AF209" s="610"/>
      <c r="AG209" s="610"/>
      <c r="AH209" s="610"/>
      <c r="AI209" s="610"/>
      <c r="AJ209" s="118"/>
      <c r="AK209" s="249">
        <f>AK$187-AK208</f>
        <v>0</v>
      </c>
      <c r="AL209" s="89"/>
      <c r="AM209" s="610"/>
      <c r="AN209" s="610"/>
      <c r="AO209" s="610"/>
      <c r="AP209" s="610"/>
      <c r="AQ209" s="610"/>
      <c r="AR209" s="610"/>
      <c r="AS209" s="610"/>
      <c r="AT209" s="610"/>
      <c r="AU209" s="610"/>
      <c r="AV209" s="118"/>
      <c r="AW209" s="249">
        <f>AW$187-AW208</f>
        <v>0</v>
      </c>
      <c r="AX209" s="89"/>
      <c r="AY209" s="610"/>
      <c r="AZ209" s="610"/>
      <c r="BA209" s="610"/>
      <c r="BB209" s="610"/>
      <c r="BC209" s="610"/>
      <c r="BD209" s="610"/>
      <c r="BE209" s="610"/>
      <c r="BF209" s="610"/>
      <c r="BG209" s="610"/>
      <c r="BH209" s="222"/>
    </row>
    <row r="210" spans="1:60" s="2" customFormat="1" hidden="1">
      <c r="A210" s="1079"/>
      <c r="B210" s="1112" t="s">
        <v>231</v>
      </c>
      <c r="C210" s="990" t="s">
        <v>181</v>
      </c>
      <c r="D210" s="644"/>
      <c r="E210" s="1123" t="s">
        <v>1274</v>
      </c>
      <c r="F210" s="180"/>
      <c r="G210" s="180"/>
      <c r="H210" s="181" t="s">
        <v>202</v>
      </c>
      <c r="I210" s="1080"/>
      <c r="J210" s="202">
        <f t="shared" si="183"/>
        <v>0</v>
      </c>
      <c r="K210" s="1081"/>
      <c r="L210" s="1081"/>
      <c r="M210" s="249">
        <f>SUM(M$190)-M205-M208-M206*eta_BAT</f>
        <v>0</v>
      </c>
      <c r="N210" s="1082"/>
      <c r="O210" s="610"/>
      <c r="P210" s="610"/>
      <c r="Q210" s="610"/>
      <c r="R210" s="610"/>
      <c r="S210" s="610"/>
      <c r="T210" s="610"/>
      <c r="U210" s="610"/>
      <c r="V210" s="610"/>
      <c r="W210" s="610"/>
      <c r="X210" s="1083"/>
      <c r="Y210" s="249">
        <f>SUM(Y$190)-Y205-Y208-Y206*eta_BAT</f>
        <v>0</v>
      </c>
      <c r="Z210" s="1082"/>
      <c r="AA210" s="610"/>
      <c r="AB210" s="610"/>
      <c r="AC210" s="610"/>
      <c r="AD210" s="610"/>
      <c r="AE210" s="610"/>
      <c r="AF210" s="610"/>
      <c r="AG210" s="610"/>
      <c r="AH210" s="610"/>
      <c r="AI210" s="610"/>
      <c r="AJ210" s="1083"/>
      <c r="AK210" s="249">
        <f>SUM(AK$190)-AK205-AK208-AK206*eta_BAT</f>
        <v>0</v>
      </c>
      <c r="AL210" s="1082"/>
      <c r="AM210" s="610"/>
      <c r="AN210" s="610"/>
      <c r="AO210" s="610"/>
      <c r="AP210" s="610"/>
      <c r="AQ210" s="610"/>
      <c r="AR210" s="610"/>
      <c r="AS210" s="610"/>
      <c r="AT210" s="610"/>
      <c r="AU210" s="610"/>
      <c r="AV210" s="1083"/>
      <c r="AW210" s="249">
        <f>SUM(AW$190)-AW205-AW208-AW206*eta_BAT</f>
        <v>0</v>
      </c>
      <c r="AX210" s="1082"/>
      <c r="AY210" s="610"/>
      <c r="AZ210" s="610"/>
      <c r="BA210" s="610"/>
      <c r="BB210" s="610"/>
      <c r="BC210" s="610"/>
      <c r="BD210" s="610"/>
      <c r="BE210" s="610"/>
      <c r="BF210" s="610"/>
      <c r="BG210" s="610"/>
      <c r="BH210" s="222"/>
    </row>
    <row r="211" spans="1:60" s="2" customFormat="1">
      <c r="A211" s="1038"/>
      <c r="B211" s="1109" t="s">
        <v>231</v>
      </c>
      <c r="C211" s="1106" t="s">
        <v>96</v>
      </c>
      <c r="D211" s="644"/>
      <c r="E211" s="940" t="s">
        <v>1345</v>
      </c>
      <c r="F211" s="940"/>
      <c r="G211" s="940"/>
      <c r="H211" s="940"/>
      <c r="I211" s="77"/>
      <c r="J211" s="939"/>
      <c r="K211" s="126"/>
      <c r="L211" s="126"/>
      <c r="M211" s="938"/>
      <c r="N211" s="252"/>
      <c r="O211" s="177" t="str">
        <f>O$10</f>
        <v>verwarming</v>
      </c>
      <c r="P211" s="177" t="str">
        <f>P$10</f>
        <v>koeling</v>
      </c>
      <c r="Q211" s="177" t="str">
        <f>Q$10</f>
        <v>tapwater</v>
      </c>
      <c r="R211" s="177"/>
      <c r="S211" s="177"/>
      <c r="T211" s="177"/>
      <c r="U211" s="177"/>
      <c r="V211" s="177"/>
      <c r="W211" s="177" t="str">
        <f>W$10</f>
        <v>zonnepanelen</v>
      </c>
      <c r="X211" s="253"/>
      <c r="Y211" s="938"/>
      <c r="Z211" s="252"/>
      <c r="AA211" s="177" t="str">
        <f t="shared" ref="AA211:AI211" si="184">AA$10</f>
        <v>verwarming</v>
      </c>
      <c r="AB211" s="177" t="str">
        <f t="shared" si="184"/>
        <v>koeling</v>
      </c>
      <c r="AC211" s="177" t="str">
        <f t="shared" si="184"/>
        <v>tapwater</v>
      </c>
      <c r="AD211" s="177"/>
      <c r="AE211" s="177"/>
      <c r="AF211" s="177"/>
      <c r="AG211" s="177"/>
      <c r="AH211" s="177"/>
      <c r="AI211" s="177" t="str">
        <f t="shared" si="184"/>
        <v>zonnepanelen</v>
      </c>
      <c r="AJ211" s="253"/>
      <c r="AK211" s="938"/>
      <c r="AL211" s="252"/>
      <c r="AM211" s="177" t="str">
        <f t="shared" ref="AM211:AU211" si="185">AM$10</f>
        <v>verwarming</v>
      </c>
      <c r="AN211" s="177" t="str">
        <f t="shared" si="185"/>
        <v>koeling</v>
      </c>
      <c r="AO211" s="177" t="str">
        <f t="shared" si="185"/>
        <v>tapwater</v>
      </c>
      <c r="AP211" s="177"/>
      <c r="AQ211" s="177"/>
      <c r="AR211" s="177"/>
      <c r="AS211" s="177"/>
      <c r="AT211" s="177"/>
      <c r="AU211" s="177" t="str">
        <f t="shared" si="185"/>
        <v>zonnepanelen</v>
      </c>
      <c r="AV211" s="253"/>
      <c r="AW211" s="938"/>
      <c r="AX211" s="252"/>
      <c r="AY211" s="177" t="str">
        <f t="shared" ref="AY211:BG211" si="186">AY$10</f>
        <v>verwarming</v>
      </c>
      <c r="AZ211" s="177" t="str">
        <f t="shared" si="186"/>
        <v>koeling</v>
      </c>
      <c r="BA211" s="177" t="str">
        <f t="shared" si="186"/>
        <v>tapwater</v>
      </c>
      <c r="BB211" s="177"/>
      <c r="BC211" s="177"/>
      <c r="BD211" s="177"/>
      <c r="BE211" s="177"/>
      <c r="BF211" s="177"/>
      <c r="BG211" s="177" t="str">
        <f t="shared" si="186"/>
        <v>zonnepanelen</v>
      </c>
    </row>
    <row r="212" spans="1:60" s="2" customFormat="1" hidden="1">
      <c r="A212" s="1038"/>
      <c r="B212" s="1109" t="s">
        <v>231</v>
      </c>
      <c r="C212" s="1106" t="s">
        <v>181</v>
      </c>
      <c r="D212" s="644"/>
      <c r="E212" s="1162" t="s">
        <v>1352</v>
      </c>
      <c r="F212" s="1162"/>
      <c r="G212" s="1162"/>
      <c r="H212" s="181" t="s">
        <v>204</v>
      </c>
      <c r="I212" s="114"/>
      <c r="J212" s="190"/>
      <c r="K212" s="79"/>
      <c r="L212" s="79"/>
      <c r="M212" s="250">
        <f>$G$5</f>
        <v>1.45</v>
      </c>
      <c r="N212" s="114"/>
      <c r="O212" s="335"/>
      <c r="P212" s="335"/>
      <c r="Q212" s="335"/>
      <c r="R212" s="335"/>
      <c r="S212" s="335"/>
      <c r="T212" s="335"/>
      <c r="U212" s="335"/>
      <c r="V212" s="335"/>
      <c r="W212" s="335"/>
      <c r="X212" s="109"/>
      <c r="Y212" s="250">
        <f>$G$5</f>
        <v>1.45</v>
      </c>
      <c r="Z212" s="114"/>
      <c r="AA212" s="335"/>
      <c r="AB212" s="335"/>
      <c r="AC212" s="335"/>
      <c r="AD212" s="335"/>
      <c r="AE212" s="335"/>
      <c r="AF212" s="335"/>
      <c r="AG212" s="335"/>
      <c r="AH212" s="335"/>
      <c r="AI212" s="335"/>
      <c r="AJ212" s="109"/>
      <c r="AK212" s="250">
        <f>$G$5</f>
        <v>1.45</v>
      </c>
      <c r="AL212" s="114"/>
      <c r="AM212" s="335"/>
      <c r="AN212" s="335"/>
      <c r="AO212" s="335"/>
      <c r="AP212" s="335"/>
      <c r="AQ212" s="335"/>
      <c r="AR212" s="335"/>
      <c r="AS212" s="335"/>
      <c r="AT212" s="335"/>
      <c r="AU212" s="335"/>
      <c r="AV212" s="109"/>
      <c r="AW212" s="250">
        <f>$G$5</f>
        <v>1.45</v>
      </c>
      <c r="AX212" s="114"/>
      <c r="AY212" s="335"/>
      <c r="AZ212" s="335"/>
      <c r="BA212" s="335"/>
      <c r="BB212" s="335"/>
      <c r="BC212" s="335"/>
      <c r="BD212" s="335"/>
      <c r="BE212" s="335"/>
      <c r="BF212" s="335"/>
      <c r="BG212" s="335"/>
      <c r="BH212" s="219"/>
    </row>
    <row r="213" spans="1:60" s="2" customFormat="1" hidden="1">
      <c r="A213" s="1038"/>
      <c r="B213" s="1109" t="s">
        <v>231</v>
      </c>
      <c r="C213" s="1106" t="s">
        <v>181</v>
      </c>
      <c r="D213" s="644"/>
      <c r="E213" s="1162" t="s">
        <v>1353</v>
      </c>
      <c r="F213" s="1162"/>
      <c r="G213" s="1162"/>
      <c r="H213" s="181" t="s">
        <v>204</v>
      </c>
      <c r="I213" s="114"/>
      <c r="J213" s="190"/>
      <c r="K213" s="79"/>
      <c r="L213" s="79"/>
      <c r="M213" s="250">
        <f>HLOOKUP($F$5,elektriciteit_primaire_energiefactor,ROWS(bibliotheek!$E$304:$E$306),FALSE)</f>
        <v>1.45</v>
      </c>
      <c r="N213" s="114"/>
      <c r="O213" s="335"/>
      <c r="P213" s="335"/>
      <c r="Q213" s="335"/>
      <c r="R213" s="335"/>
      <c r="S213" s="335"/>
      <c r="T213" s="335"/>
      <c r="U213" s="335"/>
      <c r="V213" s="335"/>
      <c r="W213" s="335"/>
      <c r="X213" s="109"/>
      <c r="Y213" s="250">
        <f>HLOOKUP($F$5,elektriciteit_primaire_energiefactor,ROWS(bibliotheek!$E$304:$E$306),FALSE)</f>
        <v>1.45</v>
      </c>
      <c r="Z213" s="114"/>
      <c r="AA213" s="335"/>
      <c r="AB213" s="335"/>
      <c r="AC213" s="335"/>
      <c r="AD213" s="335"/>
      <c r="AE213" s="335"/>
      <c r="AF213" s="335"/>
      <c r="AG213" s="335"/>
      <c r="AH213" s="335"/>
      <c r="AI213" s="335"/>
      <c r="AJ213" s="109"/>
      <c r="AK213" s="250">
        <f>HLOOKUP($F$5,elektriciteit_primaire_energiefactor,ROWS(bibliotheek!$E$304:$E$306),FALSE)</f>
        <v>1.45</v>
      </c>
      <c r="AL213" s="114"/>
      <c r="AM213" s="335"/>
      <c r="AN213" s="335"/>
      <c r="AO213" s="335"/>
      <c r="AP213" s="335"/>
      <c r="AQ213" s="335"/>
      <c r="AR213" s="335"/>
      <c r="AS213" s="335"/>
      <c r="AT213" s="335"/>
      <c r="AU213" s="335"/>
      <c r="AV213" s="109"/>
      <c r="AW213" s="250">
        <f>HLOOKUP($F$5,elektriciteit_primaire_energiefactor,ROWS(bibliotheek!$E$304:$E$306),FALSE)</f>
        <v>1.45</v>
      </c>
      <c r="AX213" s="114"/>
      <c r="AY213" s="335"/>
      <c r="AZ213" s="335"/>
      <c r="BA213" s="335"/>
      <c r="BB213" s="335"/>
      <c r="BC213" s="335"/>
      <c r="BD213" s="335"/>
      <c r="BE213" s="335"/>
      <c r="BF213" s="335"/>
      <c r="BG213" s="335"/>
      <c r="BH213" s="219"/>
    </row>
    <row r="214" spans="1:60" s="2" customFormat="1">
      <c r="A214" s="1038"/>
      <c r="B214" s="1109" t="s">
        <v>231</v>
      </c>
      <c r="C214" s="1106" t="s">
        <v>104</v>
      </c>
      <c r="D214" s="645" t="s">
        <v>45</v>
      </c>
      <c r="E214" s="1162" t="s">
        <v>232</v>
      </c>
      <c r="F214" s="1170"/>
      <c r="G214" s="1170"/>
      <c r="H214" s="181" t="s">
        <v>106</v>
      </c>
      <c r="I214" s="114"/>
      <c r="J214" s="202">
        <f>M214+Y214+AK214+AW214</f>
        <v>0</v>
      </c>
      <c r="K214" s="1062"/>
      <c r="L214" s="1062"/>
      <c r="M214" s="249">
        <f>(M202*M212+M200*M213)</f>
        <v>0</v>
      </c>
      <c r="N214" s="89"/>
      <c r="O214" s="168">
        <f>IF($M$188=0,0,O$188/$M$188*$M214)</f>
        <v>0</v>
      </c>
      <c r="P214" s="168">
        <f>IF($M$188=0,0,P$188/$M$188*$M214)</f>
        <v>0</v>
      </c>
      <c r="Q214" s="168">
        <f>IF($M$188=0,0,Q$188/$M$188*$M214)</f>
        <v>0</v>
      </c>
      <c r="R214" s="273"/>
      <c r="S214" s="273"/>
      <c r="T214" s="273"/>
      <c r="U214" s="273"/>
      <c r="V214" s="273"/>
      <c r="W214" s="168">
        <f>IF($M$188=0,0,W$188/$M$188*$M214)</f>
        <v>0</v>
      </c>
      <c r="X214" s="113"/>
      <c r="Y214" s="249">
        <f>(Y202*Y212+Y200*Y213)</f>
        <v>0</v>
      </c>
      <c r="Z214" s="89"/>
      <c r="AA214" s="168">
        <f>IF($Y$188=0,0,AA$188/$Y$188*$Y214)</f>
        <v>0</v>
      </c>
      <c r="AB214" s="168">
        <f>IF($Y$188=0,0,AB$188/$Y$188*$Y214)</f>
        <v>0</v>
      </c>
      <c r="AC214" s="168">
        <f>IF($Y$188=0,0,AC$188/$Y$188*$Y214)</f>
        <v>0</v>
      </c>
      <c r="AD214" s="168"/>
      <c r="AE214" s="168"/>
      <c r="AF214" s="168"/>
      <c r="AG214" s="168"/>
      <c r="AH214" s="168"/>
      <c r="AI214" s="168">
        <f>IF($Y$188=0,0,AI$188/$Y$188*$Y214)</f>
        <v>0</v>
      </c>
      <c r="AJ214" s="113"/>
      <c r="AK214" s="249">
        <f>(AK202*AK212+AK200*AK213)</f>
        <v>0</v>
      </c>
      <c r="AL214" s="89"/>
      <c r="AM214" s="168">
        <f>IF($AK$188=0,0,AM$188/$AK$188*$AK214)</f>
        <v>0</v>
      </c>
      <c r="AN214" s="168">
        <f>IF($AK$188=0,0,AN$188/$AK$188*$AK214)</f>
        <v>0</v>
      </c>
      <c r="AO214" s="168">
        <f>IF($AK$188=0,0,AO$188/$AK$188*$AK214)</f>
        <v>0</v>
      </c>
      <c r="AP214" s="273"/>
      <c r="AQ214" s="273"/>
      <c r="AR214" s="273"/>
      <c r="AS214" s="273"/>
      <c r="AT214" s="273"/>
      <c r="AU214" s="168">
        <f>IF($AK$188=0,0,AU$188/$AK$188*$AK214)</f>
        <v>0</v>
      </c>
      <c r="AV214" s="113"/>
      <c r="AW214" s="249">
        <f>(AW202*AW212+AW200*AW213)</f>
        <v>0</v>
      </c>
      <c r="AX214" s="89"/>
      <c r="AY214" s="168">
        <f>IF($AW$188=0,0,AY$188/$AW$188*$AW214)</f>
        <v>0</v>
      </c>
      <c r="AZ214" s="168">
        <f>IF($AW$188=0,0,AZ$188/$AW$188*$AW214)</f>
        <v>0</v>
      </c>
      <c r="BA214" s="168">
        <f>IF($AW$188=0,0,BA$188/$AW$188*$AW214)</f>
        <v>0</v>
      </c>
      <c r="BB214" s="273"/>
      <c r="BC214" s="273"/>
      <c r="BD214" s="273"/>
      <c r="BE214" s="273"/>
      <c r="BF214" s="273"/>
      <c r="BG214" s="168">
        <f>IF($AW$188=0,0,BG$188/$AW$188*$AW214)</f>
        <v>0</v>
      </c>
      <c r="BH214" s="210"/>
    </row>
    <row r="215" spans="1:60" s="2" customFormat="1">
      <c r="A215" s="1038"/>
      <c r="B215" s="1109" t="s">
        <v>231</v>
      </c>
      <c r="C215" s="1106" t="s">
        <v>96</v>
      </c>
      <c r="D215" s="644"/>
      <c r="E215" s="940" t="s">
        <v>1346</v>
      </c>
      <c r="F215" s="940"/>
      <c r="G215" s="940"/>
      <c r="H215" s="940"/>
      <c r="I215" s="77"/>
      <c r="J215" s="939"/>
      <c r="K215" s="126"/>
      <c r="L215" s="126"/>
      <c r="M215" s="938"/>
      <c r="N215" s="252"/>
      <c r="O215" s="177" t="str">
        <f t="shared" ref="O215:W215" si="187">O$10</f>
        <v>verwarming</v>
      </c>
      <c r="P215" s="177" t="str">
        <f t="shared" si="187"/>
        <v>koeling</v>
      </c>
      <c r="Q215" s="177" t="str">
        <f t="shared" si="187"/>
        <v>tapwater</v>
      </c>
      <c r="R215" s="177"/>
      <c r="S215" s="177"/>
      <c r="T215" s="177"/>
      <c r="U215" s="177"/>
      <c r="V215" s="177"/>
      <c r="W215" s="177" t="str">
        <f t="shared" si="187"/>
        <v>zonnepanelen</v>
      </c>
      <c r="X215" s="113"/>
      <c r="Y215" s="938"/>
      <c r="Z215" s="252"/>
      <c r="AA215" s="177" t="str">
        <f t="shared" ref="AA215:AI215" si="188">AA$10</f>
        <v>verwarming</v>
      </c>
      <c r="AB215" s="177" t="str">
        <f t="shared" si="188"/>
        <v>koeling</v>
      </c>
      <c r="AC215" s="177" t="str">
        <f t="shared" si="188"/>
        <v>tapwater</v>
      </c>
      <c r="AD215" s="177"/>
      <c r="AE215" s="177"/>
      <c r="AF215" s="177"/>
      <c r="AG215" s="177"/>
      <c r="AH215" s="177"/>
      <c r="AI215" s="177" t="str">
        <f t="shared" si="188"/>
        <v>zonnepanelen</v>
      </c>
      <c r="AJ215" s="113"/>
      <c r="AK215" s="938"/>
      <c r="AL215" s="252"/>
      <c r="AM215" s="177" t="str">
        <f t="shared" ref="AM215:AU215" si="189">AM$10</f>
        <v>verwarming</v>
      </c>
      <c r="AN215" s="177" t="str">
        <f t="shared" si="189"/>
        <v>koeling</v>
      </c>
      <c r="AO215" s="177" t="str">
        <f t="shared" si="189"/>
        <v>tapwater</v>
      </c>
      <c r="AP215" s="177"/>
      <c r="AQ215" s="177"/>
      <c r="AR215" s="177"/>
      <c r="AS215" s="177"/>
      <c r="AT215" s="177"/>
      <c r="AU215" s="177" t="str">
        <f t="shared" si="189"/>
        <v>zonnepanelen</v>
      </c>
      <c r="AV215" s="113"/>
      <c r="AW215" s="938"/>
      <c r="AX215" s="252"/>
      <c r="AY215" s="177" t="str">
        <f>AY$10</f>
        <v>verwarming</v>
      </c>
      <c r="AZ215" s="177" t="str">
        <f>AZ$10</f>
        <v>koeling</v>
      </c>
      <c r="BA215" s="177" t="str">
        <f>BA$10</f>
        <v>tapwater</v>
      </c>
      <c r="BB215" s="177"/>
      <c r="BC215" s="177"/>
      <c r="BD215" s="177"/>
      <c r="BE215" s="177"/>
      <c r="BF215" s="177"/>
      <c r="BG215" s="177" t="str">
        <f>BG$10</f>
        <v>zonnepanelen</v>
      </c>
      <c r="BH215" s="210"/>
    </row>
    <row r="216" spans="1:60" s="2" customFormat="1" hidden="1">
      <c r="A216" s="1038"/>
      <c r="B216" s="1109" t="s">
        <v>231</v>
      </c>
      <c r="C216" s="1106" t="s">
        <v>181</v>
      </c>
      <c r="D216" s="644"/>
      <c r="E216" s="1162" t="s">
        <v>1354</v>
      </c>
      <c r="F216" s="1162"/>
      <c r="G216" s="1162"/>
      <c r="H216" s="181" t="s">
        <v>1208</v>
      </c>
      <c r="I216" s="114"/>
      <c r="J216" s="190"/>
      <c r="K216" s="79"/>
      <c r="L216" s="79"/>
      <c r="M216" s="250">
        <f>HLOOKUP($F$5,bibliotheek!$E$304:$R$311,ROWS(bibliotheek!$E$304:$E$307),FALSE)</f>
        <v>1.35</v>
      </c>
      <c r="N216" s="114"/>
      <c r="O216" s="335"/>
      <c r="P216" s="335"/>
      <c r="Q216" s="335"/>
      <c r="R216" s="335"/>
      <c r="S216" s="335"/>
      <c r="T216" s="335"/>
      <c r="U216" s="335"/>
      <c r="V216" s="335"/>
      <c r="W216" s="335"/>
      <c r="X216" s="113"/>
      <c r="Y216" s="250">
        <f>HLOOKUP($F$5,bibliotheek!$E$304:$R$311,ROWS(bibliotheek!$E$304:$E$307),FALSE)</f>
        <v>1.35</v>
      </c>
      <c r="Z216" s="114"/>
      <c r="AA216" s="335"/>
      <c r="AB216" s="335"/>
      <c r="AC216" s="335"/>
      <c r="AD216" s="335"/>
      <c r="AE216" s="335"/>
      <c r="AF216" s="335"/>
      <c r="AG216" s="335"/>
      <c r="AH216" s="335"/>
      <c r="AI216" s="335"/>
      <c r="AJ216" s="113"/>
      <c r="AK216" s="250">
        <f>HLOOKUP($F$5,bibliotheek!$E$304:$R$311,ROWS(bibliotheek!$E$304:$E$307),FALSE)</f>
        <v>1.35</v>
      </c>
      <c r="AL216" s="114"/>
      <c r="AM216" s="335"/>
      <c r="AN216" s="335"/>
      <c r="AO216" s="335"/>
      <c r="AP216" s="335"/>
      <c r="AQ216" s="335"/>
      <c r="AR216" s="335"/>
      <c r="AS216" s="335"/>
      <c r="AT216" s="335"/>
      <c r="AU216" s="335"/>
      <c r="AV216" s="113"/>
      <c r="AW216" s="250">
        <f>HLOOKUP($F$5,bibliotheek!$E$304:$R$311,ROWS(bibliotheek!$E$304:$E$307),FALSE)</f>
        <v>1.35</v>
      </c>
      <c r="AX216" s="114"/>
      <c r="AY216" s="335"/>
      <c r="AZ216" s="335"/>
      <c r="BA216" s="335"/>
      <c r="BB216" s="335"/>
      <c r="BC216" s="335"/>
      <c r="BD216" s="335"/>
      <c r="BE216" s="335"/>
      <c r="BF216" s="335"/>
      <c r="BG216" s="335"/>
      <c r="BH216" s="210"/>
    </row>
    <row r="217" spans="1:60" s="2" customFormat="1" hidden="1">
      <c r="A217" s="1038"/>
      <c r="B217" s="1109" t="s">
        <v>231</v>
      </c>
      <c r="C217" s="1106" t="s">
        <v>181</v>
      </c>
      <c r="D217" s="644"/>
      <c r="E217" s="1162" t="s">
        <v>1355</v>
      </c>
      <c r="F217" s="1162"/>
      <c r="G217" s="1162"/>
      <c r="H217" s="181" t="s">
        <v>1208</v>
      </c>
      <c r="I217" s="114"/>
      <c r="J217" s="190"/>
      <c r="K217" s="79"/>
      <c r="L217" s="79"/>
      <c r="M217" s="250">
        <f>HLOOKUP($F$5,bibliotheek!$E$304:$R$311,ROWS(bibliotheek!$E$304:$E$308),FALSE)</f>
        <v>1</v>
      </c>
      <c r="N217" s="114"/>
      <c r="O217" s="335"/>
      <c r="P217" s="335"/>
      <c r="Q217" s="335"/>
      <c r="R217" s="335"/>
      <c r="S217" s="335"/>
      <c r="T217" s="335"/>
      <c r="U217" s="335"/>
      <c r="V217" s="335"/>
      <c r="W217" s="335"/>
      <c r="X217" s="113"/>
      <c r="Y217" s="250">
        <f>HLOOKUP($F$5,bibliotheek!$E$304:$R$311,ROWS(bibliotheek!$E$304:$E$308),FALSE)</f>
        <v>1</v>
      </c>
      <c r="Z217" s="114"/>
      <c r="AA217" s="335"/>
      <c r="AB217" s="335"/>
      <c r="AC217" s="335"/>
      <c r="AD217" s="335"/>
      <c r="AE217" s="335"/>
      <c r="AF217" s="335"/>
      <c r="AG217" s="335"/>
      <c r="AH217" s="335"/>
      <c r="AI217" s="335"/>
      <c r="AJ217" s="113"/>
      <c r="AK217" s="250">
        <f>HLOOKUP($F$5,bibliotheek!$E$304:$R$311,ROWS(bibliotheek!$E$304:$E$308),FALSE)</f>
        <v>1</v>
      </c>
      <c r="AL217" s="114"/>
      <c r="AM217" s="335"/>
      <c r="AN217" s="335"/>
      <c r="AO217" s="335"/>
      <c r="AP217" s="335"/>
      <c r="AQ217" s="335"/>
      <c r="AR217" s="335"/>
      <c r="AS217" s="335"/>
      <c r="AT217" s="335"/>
      <c r="AU217" s="335"/>
      <c r="AV217" s="113"/>
      <c r="AW217" s="250">
        <f>HLOOKUP($F$5,bibliotheek!$E$304:$R$311,ROWS(bibliotheek!$E$304:$E$308),FALSE)</f>
        <v>1</v>
      </c>
      <c r="AX217" s="114"/>
      <c r="AY217" s="335"/>
      <c r="AZ217" s="335"/>
      <c r="BA217" s="335"/>
      <c r="BB217" s="335"/>
      <c r="BC217" s="335"/>
      <c r="BD217" s="335"/>
      <c r="BE217" s="335"/>
      <c r="BF217" s="335"/>
      <c r="BG217" s="335"/>
      <c r="BH217" s="210"/>
    </row>
    <row r="218" spans="1:60" s="2" customFormat="1" hidden="1">
      <c r="A218" s="1038"/>
      <c r="B218" s="1109" t="s">
        <v>231</v>
      </c>
      <c r="C218" s="1106" t="s">
        <v>181</v>
      </c>
      <c r="D218" s="644"/>
      <c r="E218" s="1177" t="s">
        <v>1204</v>
      </c>
      <c r="F218" s="1178"/>
      <c r="G218" s="1162"/>
      <c r="H218" s="181" t="s">
        <v>65</v>
      </c>
      <c r="I218" s="114"/>
      <c r="J218" s="190"/>
      <c r="K218" s="79"/>
      <c r="L218" s="79"/>
      <c r="M218" s="250" t="s">
        <v>1205</v>
      </c>
      <c r="N218" s="114"/>
      <c r="O218" s="335"/>
      <c r="P218" s="335"/>
      <c r="Q218" s="335"/>
      <c r="R218" s="335"/>
      <c r="S218" s="335"/>
      <c r="T218" s="335"/>
      <c r="U218" s="335"/>
      <c r="V218" s="335"/>
      <c r="W218" s="335"/>
      <c r="X218" s="113"/>
      <c r="Y218" s="250" t="s">
        <v>1205</v>
      </c>
      <c r="Z218" s="114"/>
      <c r="AA218" s="335"/>
      <c r="AB218" s="335"/>
      <c r="AC218" s="335"/>
      <c r="AD218" s="335"/>
      <c r="AE218" s="335"/>
      <c r="AF218" s="335"/>
      <c r="AG218" s="335"/>
      <c r="AH218" s="335"/>
      <c r="AI218" s="335"/>
      <c r="AJ218" s="113"/>
      <c r="AK218" s="250" t="s">
        <v>1205</v>
      </c>
      <c r="AL218" s="114"/>
      <c r="AM218" s="335"/>
      <c r="AN218" s="335"/>
      <c r="AO218" s="335"/>
      <c r="AP218" s="335"/>
      <c r="AQ218" s="335"/>
      <c r="AR218" s="335"/>
      <c r="AS218" s="335"/>
      <c r="AT218" s="335"/>
      <c r="AU218" s="335"/>
      <c r="AV218" s="113"/>
      <c r="AW218" s="250" t="s">
        <v>1205</v>
      </c>
      <c r="AX218" s="114"/>
      <c r="AY218" s="335"/>
      <c r="AZ218" s="335"/>
      <c r="BA218" s="335"/>
      <c r="BB218" s="335"/>
      <c r="BC218" s="335"/>
      <c r="BD218" s="335"/>
      <c r="BE218" s="335"/>
      <c r="BF218" s="335"/>
      <c r="BG218" s="335"/>
      <c r="BH218" s="210"/>
    </row>
    <row r="219" spans="1:60" s="2" customFormat="1" hidden="1">
      <c r="A219" s="1038"/>
      <c r="B219" s="1109" t="s">
        <v>231</v>
      </c>
      <c r="C219" s="1106" t="s">
        <v>181</v>
      </c>
      <c r="D219" s="644"/>
      <c r="E219" s="1179" t="s">
        <v>1315</v>
      </c>
      <c r="F219" s="1180"/>
      <c r="G219" s="1162"/>
      <c r="H219" s="181" t="s">
        <v>65</v>
      </c>
      <c r="I219" s="114"/>
      <c r="J219" s="190"/>
      <c r="K219" s="79"/>
      <c r="L219" s="79"/>
      <c r="M219" s="250">
        <f>HLOOKUP($F$5,bibliotheek!$E$304:$R$311,ROWS(bibliotheek!$E$304:$E$310),FALSE)</f>
        <v>1</v>
      </c>
      <c r="N219" s="114"/>
      <c r="O219" s="335"/>
      <c r="P219" s="335"/>
      <c r="Q219" s="335"/>
      <c r="R219" s="335"/>
      <c r="S219" s="335"/>
      <c r="T219" s="335"/>
      <c r="U219" s="335"/>
      <c r="V219" s="335"/>
      <c r="W219" s="335"/>
      <c r="X219" s="113"/>
      <c r="Y219" s="250">
        <f>HLOOKUP($F$5,bibliotheek!$E$304:$R$311,ROWS(bibliotheek!$E$304:$E$310),FALSE)</f>
        <v>1</v>
      </c>
      <c r="Z219" s="114"/>
      <c r="AA219" s="335"/>
      <c r="AB219" s="335"/>
      <c r="AC219" s="335"/>
      <c r="AD219" s="335"/>
      <c r="AE219" s="335"/>
      <c r="AF219" s="335"/>
      <c r="AG219" s="335"/>
      <c r="AH219" s="335"/>
      <c r="AI219" s="335"/>
      <c r="AJ219" s="113"/>
      <c r="AK219" s="250">
        <f>HLOOKUP($F$5,bibliotheek!$E$304:$R$311,ROWS(bibliotheek!$E$304:$E$310),FALSE)</f>
        <v>1</v>
      </c>
      <c r="AL219" s="114"/>
      <c r="AM219" s="335"/>
      <c r="AN219" s="335"/>
      <c r="AO219" s="335"/>
      <c r="AP219" s="335"/>
      <c r="AQ219" s="335"/>
      <c r="AR219" s="335"/>
      <c r="AS219" s="335"/>
      <c r="AT219" s="335"/>
      <c r="AU219" s="335"/>
      <c r="AV219" s="113"/>
      <c r="AW219" s="250">
        <f>HLOOKUP($F$5,bibliotheek!$E$304:$R$311,ROWS(bibliotheek!$E$304:$E$310),FALSE)</f>
        <v>1</v>
      </c>
      <c r="AX219" s="114"/>
      <c r="AY219" s="335"/>
      <c r="AZ219" s="335"/>
      <c r="BA219" s="335"/>
      <c r="BB219" s="335"/>
      <c r="BC219" s="335"/>
      <c r="BD219" s="335"/>
      <c r="BE219" s="335"/>
      <c r="BF219" s="335"/>
      <c r="BG219" s="335"/>
      <c r="BH219" s="210"/>
    </row>
    <row r="220" spans="1:60" s="2" customFormat="1">
      <c r="A220" s="1038"/>
      <c r="B220" s="1109" t="s">
        <v>231</v>
      </c>
      <c r="C220" s="1106" t="s">
        <v>104</v>
      </c>
      <c r="D220" s="644"/>
      <c r="E220" s="1162" t="s">
        <v>232</v>
      </c>
      <c r="F220" s="1170"/>
      <c r="G220" s="1170"/>
      <c r="H220" s="181" t="s">
        <v>1206</v>
      </c>
      <c r="I220" s="114"/>
      <c r="J220" s="202">
        <f>M220+Y220+AK220+AW220</f>
        <v>0</v>
      </c>
      <c r="K220" s="1062"/>
      <c r="L220" s="1062"/>
      <c r="M220" s="249">
        <f>M190*M216-(M210*M216-M207*M217-M208*0)</f>
        <v>0</v>
      </c>
      <c r="N220" s="89"/>
      <c r="O220" s="335"/>
      <c r="P220" s="335"/>
      <c r="Q220" s="335"/>
      <c r="R220" s="335"/>
      <c r="S220" s="335"/>
      <c r="T220" s="335"/>
      <c r="U220" s="335"/>
      <c r="V220" s="335"/>
      <c r="W220" s="335"/>
      <c r="X220" s="113"/>
      <c r="Y220" s="249">
        <f>Y190*Y216-(Y210*Y216-Y207*Y217-Y208*0)</f>
        <v>0</v>
      </c>
      <c r="Z220" s="89"/>
      <c r="AA220" s="335"/>
      <c r="AB220" s="335"/>
      <c r="AC220" s="335"/>
      <c r="AD220" s="335"/>
      <c r="AE220" s="335"/>
      <c r="AF220" s="335"/>
      <c r="AG220" s="335"/>
      <c r="AH220" s="335"/>
      <c r="AI220" s="335"/>
      <c r="AJ220" s="113"/>
      <c r="AK220" s="249">
        <f>AK190*AK216-(AK210*AK216-AK207*AK217-AK208*0)</f>
        <v>0</v>
      </c>
      <c r="AL220" s="89"/>
      <c r="AM220" s="335"/>
      <c r="AN220" s="335"/>
      <c r="AO220" s="335"/>
      <c r="AP220" s="335"/>
      <c r="AQ220" s="335"/>
      <c r="AR220" s="335"/>
      <c r="AS220" s="335"/>
      <c r="AT220" s="335"/>
      <c r="AU220" s="335"/>
      <c r="AV220" s="113"/>
      <c r="AW220" s="249">
        <f>AW190*AW216-(AW210*AW216-AW207*AW217-AW208*0)</f>
        <v>0</v>
      </c>
      <c r="AX220" s="89"/>
      <c r="AY220" s="335"/>
      <c r="AZ220" s="335"/>
      <c r="BA220" s="335"/>
      <c r="BB220" s="335"/>
      <c r="BC220" s="335"/>
      <c r="BD220" s="335"/>
      <c r="BE220" s="335"/>
      <c r="BF220" s="335"/>
      <c r="BG220" s="335"/>
      <c r="BH220" s="210"/>
    </row>
    <row r="221" spans="1:60" s="2" customFormat="1">
      <c r="A221" s="1038"/>
      <c r="B221" s="1109" t="s">
        <v>231</v>
      </c>
      <c r="C221" s="1106" t="s">
        <v>96</v>
      </c>
      <c r="D221" s="644"/>
      <c r="E221" s="940" t="s">
        <v>233</v>
      </c>
      <c r="F221" s="940"/>
      <c r="G221" s="940"/>
      <c r="H221" s="940"/>
      <c r="I221" s="77"/>
      <c r="J221" s="939"/>
      <c r="K221" s="126"/>
      <c r="L221" s="126"/>
      <c r="M221" s="938"/>
      <c r="N221" s="252"/>
      <c r="O221" s="177" t="str">
        <f>O$10</f>
        <v>verwarming</v>
      </c>
      <c r="P221" s="177" t="str">
        <f>P$10</f>
        <v>koeling</v>
      </c>
      <c r="Q221" s="177" t="str">
        <f>Q$10</f>
        <v>tapwater</v>
      </c>
      <c r="R221" s="177"/>
      <c r="S221" s="177"/>
      <c r="T221" s="177"/>
      <c r="U221" s="177"/>
      <c r="V221" s="177"/>
      <c r="W221" s="177" t="str">
        <f>W$10</f>
        <v>zonnepanelen</v>
      </c>
      <c r="X221" s="253"/>
      <c r="Y221" s="938"/>
      <c r="Z221" s="252"/>
      <c r="AA221" s="177" t="str">
        <f>AA$10</f>
        <v>verwarming</v>
      </c>
      <c r="AB221" s="177" t="str">
        <f>AB$10</f>
        <v>koeling</v>
      </c>
      <c r="AC221" s="177" t="str">
        <f>AC$10</f>
        <v>tapwater</v>
      </c>
      <c r="AD221" s="177"/>
      <c r="AE221" s="177"/>
      <c r="AF221" s="177"/>
      <c r="AG221" s="177"/>
      <c r="AH221" s="177"/>
      <c r="AI221" s="177" t="str">
        <f>AI$10</f>
        <v>zonnepanelen</v>
      </c>
      <c r="AJ221" s="253"/>
      <c r="AK221" s="938"/>
      <c r="AL221" s="252"/>
      <c r="AM221" s="177" t="str">
        <f>AM$10</f>
        <v>verwarming</v>
      </c>
      <c r="AN221" s="177" t="str">
        <f>AN$10</f>
        <v>koeling</v>
      </c>
      <c r="AO221" s="177" t="str">
        <f>AO$10</f>
        <v>tapwater</v>
      </c>
      <c r="AP221" s="177"/>
      <c r="AQ221" s="177"/>
      <c r="AR221" s="177"/>
      <c r="AS221" s="177"/>
      <c r="AT221" s="177"/>
      <c r="AU221" s="177" t="str">
        <f>AU$10</f>
        <v>zonnepanelen</v>
      </c>
      <c r="AV221" s="253"/>
      <c r="AW221" s="938"/>
      <c r="AX221" s="252"/>
      <c r="AY221" s="177" t="str">
        <f>AY$10</f>
        <v>verwarming</v>
      </c>
      <c r="AZ221" s="177" t="str">
        <f>AZ$10</f>
        <v>koeling</v>
      </c>
      <c r="BA221" s="177" t="str">
        <f>BA$10</f>
        <v>tapwater</v>
      </c>
      <c r="BB221" s="177"/>
      <c r="BC221" s="177"/>
      <c r="BD221" s="177"/>
      <c r="BE221" s="177"/>
      <c r="BF221" s="177"/>
      <c r="BG221" s="177" t="str">
        <f>BG$10</f>
        <v>zonnepanelen</v>
      </c>
    </row>
    <row r="222" spans="1:60" s="2" customFormat="1" hidden="1">
      <c r="A222" s="1038"/>
      <c r="B222" s="1109" t="s">
        <v>231</v>
      </c>
      <c r="C222" s="1106" t="s">
        <v>181</v>
      </c>
      <c r="D222" s="644"/>
      <c r="E222" s="180" t="s">
        <v>234</v>
      </c>
      <c r="F222" s="180"/>
      <c r="G222" s="180"/>
      <c r="H222" s="181" t="s">
        <v>207</v>
      </c>
      <c r="I222" s="114"/>
      <c r="J222" s="190"/>
      <c r="K222" s="79"/>
      <c r="L222" s="79"/>
      <c r="M222" s="359">
        <f>$H$5</f>
        <v>0.26800000000000002</v>
      </c>
      <c r="N222" s="358"/>
      <c r="O222" s="336"/>
      <c r="P222" s="336"/>
      <c r="Q222" s="336"/>
      <c r="R222" s="336"/>
      <c r="S222" s="336"/>
      <c r="T222" s="336"/>
      <c r="U222" s="336"/>
      <c r="V222" s="336"/>
      <c r="W222" s="336"/>
      <c r="X222" s="360"/>
      <c r="Y222" s="359">
        <f>$H$5</f>
        <v>0.26800000000000002</v>
      </c>
      <c r="Z222" s="358"/>
      <c r="AA222" s="336"/>
      <c r="AB222" s="336"/>
      <c r="AC222" s="336"/>
      <c r="AD222" s="336"/>
      <c r="AE222" s="336"/>
      <c r="AF222" s="336"/>
      <c r="AG222" s="336"/>
      <c r="AH222" s="336"/>
      <c r="AI222" s="336"/>
      <c r="AJ222" s="360"/>
      <c r="AK222" s="359">
        <f>$H$5</f>
        <v>0.26800000000000002</v>
      </c>
      <c r="AL222" s="358"/>
      <c r="AM222" s="336"/>
      <c r="AN222" s="336"/>
      <c r="AO222" s="336"/>
      <c r="AP222" s="336"/>
      <c r="AQ222" s="336"/>
      <c r="AR222" s="336"/>
      <c r="AS222" s="336"/>
      <c r="AT222" s="336"/>
      <c r="AU222" s="336"/>
      <c r="AV222" s="360"/>
      <c r="AW222" s="359">
        <f>$H$5</f>
        <v>0.26800000000000002</v>
      </c>
      <c r="AX222" s="114"/>
      <c r="AY222" s="335"/>
      <c r="AZ222" s="335"/>
      <c r="BA222" s="335"/>
      <c r="BB222" s="335"/>
      <c r="BC222" s="335"/>
      <c r="BD222" s="335"/>
      <c r="BE222" s="335"/>
      <c r="BF222" s="335"/>
      <c r="BG222" s="335"/>
      <c r="BH222" s="219"/>
    </row>
    <row r="223" spans="1:60" s="2" customFormat="1" hidden="1">
      <c r="A223" s="1038"/>
      <c r="B223" s="1109" t="s">
        <v>231</v>
      </c>
      <c r="C223" s="1106" t="s">
        <v>181</v>
      </c>
      <c r="D223" s="644"/>
      <c r="E223" s="180" t="s">
        <v>235</v>
      </c>
      <c r="F223" s="180"/>
      <c r="G223" s="180"/>
      <c r="H223" s="181" t="s">
        <v>207</v>
      </c>
      <c r="I223" s="114"/>
      <c r="J223" s="190"/>
      <c r="K223" s="79"/>
      <c r="L223" s="79"/>
      <c r="M223" s="359">
        <f>HLOOKUP($F$5,elektriciteit_primaire_energiefactor,ROWS(bibliotheek!$E$304:$E$312),FALSE)</f>
        <v>0.26800000000000002</v>
      </c>
      <c r="N223" s="358"/>
      <c r="O223" s="336"/>
      <c r="P223" s="336"/>
      <c r="Q223" s="336"/>
      <c r="R223" s="336"/>
      <c r="S223" s="336"/>
      <c r="T223" s="336"/>
      <c r="U223" s="336"/>
      <c r="V223" s="336"/>
      <c r="W223" s="336"/>
      <c r="X223" s="360"/>
      <c r="Y223" s="359">
        <f>HLOOKUP($F$5,elektriciteit_primaire_energiefactor,ROWS(bibliotheek!$E$304:$E$312),FALSE)</f>
        <v>0.26800000000000002</v>
      </c>
      <c r="Z223" s="358"/>
      <c r="AA223" s="336"/>
      <c r="AB223" s="336"/>
      <c r="AC223" s="336"/>
      <c r="AD223" s="336"/>
      <c r="AE223" s="336"/>
      <c r="AF223" s="336"/>
      <c r="AG223" s="336"/>
      <c r="AH223" s="336"/>
      <c r="AI223" s="336"/>
      <c r="AJ223" s="360"/>
      <c r="AK223" s="359">
        <f>HLOOKUP($F$5,elektriciteit_primaire_energiefactor,ROWS(bibliotheek!$E$304:$E$312),FALSE)</f>
        <v>0.26800000000000002</v>
      </c>
      <c r="AL223" s="358"/>
      <c r="AM223" s="336"/>
      <c r="AN223" s="336"/>
      <c r="AO223" s="336"/>
      <c r="AP223" s="336"/>
      <c r="AQ223" s="336"/>
      <c r="AR223" s="336"/>
      <c r="AS223" s="336"/>
      <c r="AT223" s="336"/>
      <c r="AU223" s="336"/>
      <c r="AV223" s="360"/>
      <c r="AW223" s="359">
        <f>HLOOKUP($F$5,elektriciteit_primaire_energiefactor,ROWS(bibliotheek!$E$304:$E$312),FALSE)</f>
        <v>0.26800000000000002</v>
      </c>
      <c r="AX223" s="114"/>
      <c r="AY223" s="335"/>
      <c r="AZ223" s="335"/>
      <c r="BA223" s="335"/>
      <c r="BB223" s="335"/>
      <c r="BC223" s="335"/>
      <c r="BD223" s="335"/>
      <c r="BE223" s="335"/>
      <c r="BF223" s="335"/>
      <c r="BG223" s="335"/>
      <c r="BH223" s="219"/>
    </row>
    <row r="224" spans="1:60" s="2" customFormat="1">
      <c r="A224" s="1038"/>
      <c r="B224" s="1109" t="s">
        <v>231</v>
      </c>
      <c r="C224" s="1106" t="s">
        <v>104</v>
      </c>
      <c r="D224" s="644"/>
      <c r="E224" s="1123" t="s">
        <v>232</v>
      </c>
      <c r="F224" s="181"/>
      <c r="G224" s="181"/>
      <c r="H224" s="181" t="s">
        <v>209</v>
      </c>
      <c r="I224" s="114"/>
      <c r="J224" s="202">
        <f>M224+Y224+AK224+AW224</f>
        <v>0</v>
      </c>
      <c r="K224" s="1062"/>
      <c r="L224" s="1062"/>
      <c r="M224" s="202">
        <f>M187*M222+M186*M223</f>
        <v>0</v>
      </c>
      <c r="N224" s="89"/>
      <c r="O224" s="168">
        <f>IF($M$188=0,0,O$188/$M$188*$M224)</f>
        <v>0</v>
      </c>
      <c r="P224" s="168">
        <f>IF($M$188=0,0,P$188/$M$188*$M224)</f>
        <v>0</v>
      </c>
      <c r="Q224" s="168">
        <f>IF($M$188=0,0,Q$188/$M$188*$M224)</f>
        <v>0</v>
      </c>
      <c r="R224" s="273"/>
      <c r="S224" s="273"/>
      <c r="T224" s="273"/>
      <c r="U224" s="273"/>
      <c r="V224" s="273"/>
      <c r="W224" s="168">
        <f>IF($M$188=0,0,W$188/$M$188*$M224)</f>
        <v>0</v>
      </c>
      <c r="X224" s="113"/>
      <c r="Y224" s="202">
        <f>Y187*Y222+Y186*Y223</f>
        <v>0</v>
      </c>
      <c r="Z224" s="89"/>
      <c r="AA224" s="168">
        <f>IF($Y$188=0,0,AA$188/$Y$188*$Y224)</f>
        <v>0</v>
      </c>
      <c r="AB224" s="168">
        <f>IF($Y$188=0,0,AB$188/$Y$188*$Y224)</f>
        <v>0</v>
      </c>
      <c r="AC224" s="168">
        <f>IF($Y$188=0,0,AC$188/$Y$188*$Y224)</f>
        <v>0</v>
      </c>
      <c r="AD224" s="273"/>
      <c r="AE224" s="273"/>
      <c r="AF224" s="273"/>
      <c r="AG224" s="273"/>
      <c r="AH224" s="273"/>
      <c r="AI224" s="168">
        <f>IF($Y$188=0,0,AI$188/$Y$188*$Y224)</f>
        <v>0</v>
      </c>
      <c r="AJ224" s="113"/>
      <c r="AK224" s="202">
        <f>AK187*AK222+AK186*AK223</f>
        <v>0</v>
      </c>
      <c r="AL224" s="89"/>
      <c r="AM224" s="168">
        <f>IF($AK$188=0,0,AM$188/$AK$188*$AK224)</f>
        <v>0</v>
      </c>
      <c r="AN224" s="168">
        <f>IF($AK$188=0,0,AN$188/$AK$188*$AK224)</f>
        <v>0</v>
      </c>
      <c r="AO224" s="168">
        <f>IF($AK$188=0,0,AO$188/$AK$188*$AK224)</f>
        <v>0</v>
      </c>
      <c r="AP224" s="273"/>
      <c r="AQ224" s="273"/>
      <c r="AR224" s="273"/>
      <c r="AS224" s="273"/>
      <c r="AT224" s="273"/>
      <c r="AU224" s="168">
        <f>IF($AK$188=0,0,AU$188/$AK$188*$AK224)</f>
        <v>0</v>
      </c>
      <c r="AV224" s="113"/>
      <c r="AW224" s="202">
        <f>AW187*AW222+AW186*AW223</f>
        <v>0</v>
      </c>
      <c r="AX224" s="89"/>
      <c r="AY224" s="168">
        <f>IF($AW$188=0,0,AY$188/$AW$188*$AW224)</f>
        <v>0</v>
      </c>
      <c r="AZ224" s="168">
        <f>IF($AW$188=0,0,AZ$188/$AW$188*$AW224)</f>
        <v>0</v>
      </c>
      <c r="BA224" s="168">
        <f>IF($AW$188=0,0,BA$188/$AW$188*$AW224)</f>
        <v>0</v>
      </c>
      <c r="BB224" s="273"/>
      <c r="BC224" s="273"/>
      <c r="BD224" s="273"/>
      <c r="BE224" s="273"/>
      <c r="BF224" s="273"/>
      <c r="BG224" s="168">
        <f>IF($AW$188=0,0,BG$188/$AW$188*$AW224)</f>
        <v>0</v>
      </c>
      <c r="BH224" s="210"/>
    </row>
    <row r="225" spans="1:60">
      <c r="A225" s="1040"/>
      <c r="B225" s="1109" t="s">
        <v>231</v>
      </c>
      <c r="C225" s="1106" t="s">
        <v>96</v>
      </c>
      <c r="D225" s="638"/>
      <c r="E225" s="79"/>
      <c r="F225" s="79"/>
      <c r="G225" s="79"/>
      <c r="H225" s="85"/>
      <c r="I225" s="79"/>
      <c r="J225" s="82"/>
      <c r="K225" s="79"/>
      <c r="L225" s="79"/>
      <c r="M225" s="1169"/>
      <c r="N225" s="79"/>
      <c r="O225" s="108"/>
      <c r="P225" s="108"/>
      <c r="Q225" s="108"/>
      <c r="R225" s="82"/>
      <c r="S225" s="82"/>
      <c r="T225" s="82"/>
      <c r="U225" s="82"/>
      <c r="V225" s="82"/>
      <c r="W225" s="82"/>
      <c r="X225" s="82"/>
      <c r="Y225" s="82"/>
      <c r="Z225" s="79"/>
      <c r="AA225" s="108"/>
      <c r="AB225" s="108"/>
      <c r="AC225" s="108"/>
      <c r="AD225" s="82"/>
      <c r="AE225" s="82"/>
      <c r="AF225" s="82"/>
      <c r="AG225" s="82"/>
      <c r="AH225" s="82"/>
      <c r="AI225" s="82"/>
      <c r="AJ225" s="82"/>
      <c r="AK225" s="82"/>
      <c r="AL225" s="79"/>
      <c r="AM225" s="108"/>
      <c r="AN225" s="108"/>
      <c r="AO225" s="108"/>
      <c r="AP225" s="82"/>
      <c r="AQ225" s="82"/>
      <c r="AR225" s="82"/>
      <c r="AS225" s="82"/>
      <c r="AT225" s="82"/>
      <c r="AU225" s="82"/>
      <c r="AV225" s="82"/>
      <c r="AW225" s="82"/>
      <c r="AX225" s="79"/>
      <c r="AY225" s="108"/>
      <c r="AZ225" s="108"/>
      <c r="BA225" s="108"/>
      <c r="BB225" s="108"/>
      <c r="BC225" s="108"/>
      <c r="BD225" s="108"/>
      <c r="BE225" s="108"/>
      <c r="BF225" s="108"/>
      <c r="BG225" s="108"/>
      <c r="BH225" s="1"/>
    </row>
    <row r="226" spans="1:60">
      <c r="A226" s="1040"/>
      <c r="B226" s="1109" t="s">
        <v>236</v>
      </c>
      <c r="C226" s="1107" t="s">
        <v>96</v>
      </c>
      <c r="D226" s="638"/>
      <c r="E226" s="79"/>
      <c r="F226" s="79"/>
      <c r="G226" s="79"/>
      <c r="H226" s="79"/>
      <c r="I226" s="79"/>
      <c r="J226" s="82"/>
      <c r="K226" s="79"/>
      <c r="L226" s="79"/>
      <c r="M226" s="1169"/>
      <c r="N226" s="79"/>
      <c r="O226" s="113"/>
      <c r="P226" s="108"/>
      <c r="Q226" s="82"/>
      <c r="R226" s="82"/>
      <c r="S226" s="82"/>
      <c r="T226" s="82"/>
      <c r="U226" s="82"/>
      <c r="V226" s="82"/>
      <c r="W226" s="82"/>
      <c r="X226" s="82"/>
      <c r="Y226" s="82"/>
      <c r="Z226" s="79"/>
      <c r="AA226" s="82"/>
      <c r="AB226" s="82"/>
      <c r="AC226" s="82"/>
      <c r="AD226" s="82"/>
      <c r="AE226" s="82"/>
      <c r="AF226" s="82"/>
      <c r="AG226" s="82"/>
      <c r="AH226" s="82"/>
      <c r="AI226" s="82"/>
      <c r="AJ226" s="82"/>
      <c r="AK226" s="82"/>
      <c r="AL226" s="79"/>
      <c r="AM226" s="82"/>
      <c r="AN226" s="82"/>
      <c r="AO226" s="82"/>
      <c r="AP226" s="82"/>
      <c r="AQ226" s="82"/>
      <c r="AR226" s="82"/>
      <c r="AS226" s="82"/>
      <c r="AT226" s="82"/>
      <c r="AU226" s="82"/>
      <c r="AV226" s="82"/>
      <c r="AW226" s="82"/>
      <c r="AX226" s="79"/>
      <c r="AY226" s="82"/>
      <c r="AZ226" s="82"/>
      <c r="BA226" s="82"/>
      <c r="BB226" s="82"/>
      <c r="BC226" s="82"/>
      <c r="BD226" s="82"/>
      <c r="BE226" s="82"/>
      <c r="BF226" s="82"/>
      <c r="BG226" s="82"/>
      <c r="BH226" s="1"/>
    </row>
    <row r="227" spans="1:60" ht="21">
      <c r="A227" s="1040"/>
      <c r="B227" s="1109" t="s">
        <v>236</v>
      </c>
      <c r="C227" s="1106" t="s">
        <v>96</v>
      </c>
      <c r="D227" s="643"/>
      <c r="E227" s="1181" t="s">
        <v>237</v>
      </c>
      <c r="F227" s="199"/>
      <c r="G227" s="692"/>
      <c r="H227" s="692"/>
      <c r="I227" s="77"/>
      <c r="J227" s="200" t="str">
        <f>J$10</f>
        <v>alle locaties</v>
      </c>
      <c r="K227" s="126"/>
      <c r="L227" s="126"/>
      <c r="M227" s="200" t="str">
        <f>M$10</f>
        <v>locatie 1</v>
      </c>
      <c r="N227" s="182"/>
      <c r="O227" s="966" t="str">
        <f>$E227&amp;" per energiepost"</f>
        <v>finaal energiegebruik per energiepost</v>
      </c>
      <c r="P227" s="941"/>
      <c r="Q227" s="941"/>
      <c r="R227" s="941"/>
      <c r="S227" s="941"/>
      <c r="T227" s="941"/>
      <c r="U227" s="941"/>
      <c r="V227" s="941"/>
      <c r="W227" s="956"/>
      <c r="X227" s="174"/>
      <c r="Y227" s="200" t="str">
        <f>Y$10</f>
        <v>locatie 2</v>
      </c>
      <c r="Z227" s="182"/>
      <c r="AA227" s="966" t="str">
        <f>$E227&amp;" per energiepost"</f>
        <v>finaal energiegebruik per energiepost</v>
      </c>
      <c r="AB227" s="941"/>
      <c r="AC227" s="941"/>
      <c r="AD227" s="941"/>
      <c r="AE227" s="941"/>
      <c r="AF227" s="941"/>
      <c r="AG227" s="941"/>
      <c r="AH227" s="941"/>
      <c r="AI227" s="956"/>
      <c r="AJ227" s="174"/>
      <c r="AK227" s="200" t="str">
        <f>AK$10</f>
        <v>locatie 3</v>
      </c>
      <c r="AL227" s="182"/>
      <c r="AM227" s="966" t="str">
        <f>$E227&amp;" per energiepost"</f>
        <v>finaal energiegebruik per energiepost</v>
      </c>
      <c r="AN227" s="941"/>
      <c r="AO227" s="941"/>
      <c r="AP227" s="941"/>
      <c r="AQ227" s="941"/>
      <c r="AR227" s="941"/>
      <c r="AS227" s="941"/>
      <c r="AT227" s="941"/>
      <c r="AU227" s="956"/>
      <c r="AV227" s="174"/>
      <c r="AW227" s="200" t="str">
        <f>AW$10</f>
        <v>locatie 4</v>
      </c>
      <c r="AX227" s="182"/>
      <c r="AY227" s="966" t="str">
        <f>$E227&amp;" per energiepost"</f>
        <v>finaal energiegebruik per energiepost</v>
      </c>
      <c r="AZ227" s="941"/>
      <c r="BA227" s="941"/>
      <c r="BB227" s="941"/>
      <c r="BC227" s="941"/>
      <c r="BD227" s="941"/>
      <c r="BE227" s="941"/>
      <c r="BF227" s="941"/>
      <c r="BG227" s="956"/>
      <c r="BH227" s="1"/>
    </row>
    <row r="228" spans="1:60">
      <c r="A228" s="1040"/>
      <c r="B228" s="1109" t="s">
        <v>236</v>
      </c>
      <c r="C228" s="1106" t="s">
        <v>96</v>
      </c>
      <c r="D228" s="638"/>
      <c r="E228" s="940" t="s">
        <v>238</v>
      </c>
      <c r="F228" s="940"/>
      <c r="G228" s="940"/>
      <c r="H228" s="940"/>
      <c r="I228" s="77"/>
      <c r="J228" s="939"/>
      <c r="K228" s="126"/>
      <c r="L228" s="126"/>
      <c r="M228" s="938"/>
      <c r="N228" s="191"/>
      <c r="O228" s="177" t="str">
        <f t="shared" ref="O228:W228" si="190">O$10</f>
        <v>verwarming</v>
      </c>
      <c r="P228" s="177" t="str">
        <f t="shared" si="190"/>
        <v>koeling</v>
      </c>
      <c r="Q228" s="177" t="str">
        <f t="shared" si="190"/>
        <v>tapwater</v>
      </c>
      <c r="R228" s="177" t="str">
        <f t="shared" si="190"/>
        <v>verlichting</v>
      </c>
      <c r="S228" s="177" t="str">
        <f t="shared" si="190"/>
        <v>ventilatoren</v>
      </c>
      <c r="T228" s="177" t="str">
        <f t="shared" si="190"/>
        <v>kookgas</v>
      </c>
      <c r="U228" s="177" t="str">
        <f t="shared" si="190"/>
        <v>overig elektra</v>
      </c>
      <c r="V228" s="177" t="str">
        <f t="shared" si="190"/>
        <v>mobiliteit</v>
      </c>
      <c r="W228" s="177" t="str">
        <f t="shared" si="190"/>
        <v>zonnepanelen</v>
      </c>
      <c r="X228" s="191"/>
      <c r="Y228" s="938"/>
      <c r="Z228" s="191"/>
      <c r="AA228" s="177" t="str">
        <f t="shared" ref="AA228:AI228" si="191">AA$10</f>
        <v>verwarming</v>
      </c>
      <c r="AB228" s="177" t="str">
        <f t="shared" si="191"/>
        <v>koeling</v>
      </c>
      <c r="AC228" s="177" t="str">
        <f t="shared" si="191"/>
        <v>tapwater</v>
      </c>
      <c r="AD228" s="177" t="str">
        <f t="shared" si="191"/>
        <v>verlichting</v>
      </c>
      <c r="AE228" s="177" t="str">
        <f t="shared" si="191"/>
        <v>ventilatoren</v>
      </c>
      <c r="AF228" s="177" t="str">
        <f t="shared" si="191"/>
        <v>kookgas</v>
      </c>
      <c r="AG228" s="177" t="str">
        <f t="shared" si="191"/>
        <v>overig elektra</v>
      </c>
      <c r="AH228" s="177" t="str">
        <f t="shared" si="191"/>
        <v>mobiliteit</v>
      </c>
      <c r="AI228" s="177" t="str">
        <f t="shared" si="191"/>
        <v>zonnepanelen</v>
      </c>
      <c r="AJ228" s="191"/>
      <c r="AK228" s="938"/>
      <c r="AL228" s="191"/>
      <c r="AM228" s="177" t="str">
        <f t="shared" ref="AM228:AU228" si="192">AM$10</f>
        <v>verwarming</v>
      </c>
      <c r="AN228" s="177" t="str">
        <f t="shared" si="192"/>
        <v>koeling</v>
      </c>
      <c r="AO228" s="177" t="str">
        <f t="shared" si="192"/>
        <v>tapwater</v>
      </c>
      <c r="AP228" s="177" t="str">
        <f t="shared" si="192"/>
        <v>verlichting</v>
      </c>
      <c r="AQ228" s="177" t="str">
        <f t="shared" si="192"/>
        <v>ventilatoren</v>
      </c>
      <c r="AR228" s="177" t="str">
        <f t="shared" si="192"/>
        <v>kookgas</v>
      </c>
      <c r="AS228" s="177" t="str">
        <f t="shared" si="192"/>
        <v>overig elektra</v>
      </c>
      <c r="AT228" s="177" t="str">
        <f t="shared" si="192"/>
        <v>mobiliteit</v>
      </c>
      <c r="AU228" s="177" t="str">
        <f t="shared" si="192"/>
        <v>zonnepanelen</v>
      </c>
      <c r="AV228" s="191"/>
      <c r="AW228" s="938"/>
      <c r="AX228" s="191"/>
      <c r="AY228" s="177" t="str">
        <f t="shared" ref="AY228:BG228" si="193">AY$10</f>
        <v>verwarming</v>
      </c>
      <c r="AZ228" s="177" t="str">
        <f t="shared" si="193"/>
        <v>koeling</v>
      </c>
      <c r="BA228" s="177" t="str">
        <f t="shared" si="193"/>
        <v>tapwater</v>
      </c>
      <c r="BB228" s="177" t="str">
        <f t="shared" si="193"/>
        <v>verlichting</v>
      </c>
      <c r="BC228" s="177" t="str">
        <f t="shared" si="193"/>
        <v>ventilatoren</v>
      </c>
      <c r="BD228" s="177" t="str">
        <f t="shared" si="193"/>
        <v>kookgas</v>
      </c>
      <c r="BE228" s="177" t="str">
        <f t="shared" si="193"/>
        <v>overig elektra</v>
      </c>
      <c r="BF228" s="177" t="str">
        <f t="shared" si="193"/>
        <v>mobiliteit</v>
      </c>
      <c r="BG228" s="177" t="str">
        <f t="shared" si="193"/>
        <v>zonnepanelen</v>
      </c>
      <c r="BH228" s="36"/>
    </row>
    <row r="229" spans="1:60">
      <c r="A229" s="1040"/>
      <c r="B229" s="1109" t="s">
        <v>236</v>
      </c>
      <c r="C229" s="1107" t="s">
        <v>104</v>
      </c>
      <c r="D229" s="641"/>
      <c r="E229" s="180" t="s">
        <v>239</v>
      </c>
      <c r="F229" s="180"/>
      <c r="G229" s="180"/>
      <c r="H229" s="201" t="str">
        <f>m3gas&amp;"/won.geb"</f>
        <v>m3/won.geb</v>
      </c>
      <c r="I229" s="114"/>
      <c r="J229" s="202"/>
      <c r="K229" s="234"/>
      <c r="L229" s="234"/>
      <c r="M229" s="190">
        <f>SUM(N229:X229)</f>
        <v>0</v>
      </c>
      <c r="N229" s="119"/>
      <c r="O229" s="183">
        <f>IF(O$27=0,0,((AND(O$84=gebouw,O$105=aardgas))*O$116+(AND(O$84=gebouw,O$141=aardgas))*O$147)*1000/bibliotheek!$I$508/O$27)</f>
        <v>0</v>
      </c>
      <c r="P229" s="183">
        <f>IF(P$27=0,0,((AND(P$84=gebouw,P$105=aardgas))*P$116+(AND(P$84=gebouw,P$141=aardgas))*P$147)*1000/bibliotheek!$I$508/P$27)</f>
        <v>0</v>
      </c>
      <c r="Q229" s="183">
        <f>IF(Q$27=0,0,((AND(Q$84=gebouw,Q$105=aardgas))*Q$116+(AND(Q$84=gebouw,Q$141=aardgas))*Q$147)*1000/bibliotheek!$I$508/Q$27)</f>
        <v>0</v>
      </c>
      <c r="R229" s="310"/>
      <c r="S229" s="310"/>
      <c r="T229" s="183">
        <f>IF(T$27=0,0,T$78*1000/bibliotheek!$I$508/T$27)</f>
        <v>0</v>
      </c>
      <c r="U229" s="310"/>
      <c r="V229" s="310"/>
      <c r="W229" s="310"/>
      <c r="X229" s="108"/>
      <c r="Y229" s="190">
        <f>SUM(Z229:AJ229)</f>
        <v>0</v>
      </c>
      <c r="Z229" s="119"/>
      <c r="AA229" s="183">
        <f>IF(AA$27=0,0,((AND(AA$84=gebouw,AA$105=aardgas))*AA$116+(AND(AA$84=gebouw,AA$141=aardgas))*AA$147)*1000/bibliotheek!$I$508/AA$27)</f>
        <v>0</v>
      </c>
      <c r="AB229" s="183">
        <f>IF(AB$27=0,0,((AND(AB$84=gebouw,AB$105=aardgas))*AB$116+(AND(AB$84=gebouw,AB$141=aardgas))*AB$147)*1000/bibliotheek!$I$508/AB$27)</f>
        <v>0</v>
      </c>
      <c r="AC229" s="183">
        <f>IF(AC$27=0,0,((AND(AC$84=gebouw,AC$105=aardgas))*AC$116+(AND(AC$84=gebouw,AC$141=aardgas))*AC$147)*1000/bibliotheek!$I$508/AC$27)</f>
        <v>0</v>
      </c>
      <c r="AD229" s="310"/>
      <c r="AE229" s="310"/>
      <c r="AF229" s="183">
        <f>IF(AF$27=0,0,AF$78*1000/bibliotheek!$I$508/AF$27)</f>
        <v>0</v>
      </c>
      <c r="AG229" s="310"/>
      <c r="AH229" s="310"/>
      <c r="AI229" s="310"/>
      <c r="AJ229" s="108"/>
      <c r="AK229" s="190">
        <f>SUM(AL229:AV229)</f>
        <v>0</v>
      </c>
      <c r="AL229" s="119"/>
      <c r="AM229" s="183">
        <f>IF(AM$27=0,0,((AND(AM$84=gebouw,AM$105=aardgas))*AM$116+(AND(AM$84=gebouw,AM$141=aardgas))*AM$147)*1000/bibliotheek!$I$508/AM$27)</f>
        <v>0</v>
      </c>
      <c r="AN229" s="183">
        <f>IF(AN$27=0,0,((AND(AN$84=gebouw,AN$105=aardgas))*AN$116+(AND(AN$84=gebouw,AN$141=aardgas))*AN$147)*1000/bibliotheek!$I$508/AN$27)</f>
        <v>0</v>
      </c>
      <c r="AO229" s="183">
        <f>IF(AO$27=0,0,((AND(AO$84=gebouw,AO$105=aardgas))*AO$116+(AND(AO$84=gebouw,AO$141=aardgas))*AO$147)*1000/bibliotheek!$I$508/AO$27)</f>
        <v>0</v>
      </c>
      <c r="AP229" s="310"/>
      <c r="AQ229" s="310"/>
      <c r="AR229" s="183">
        <f>IF(AR$27=0,0,AR$78*1000/bibliotheek!$I$508/AR$27)</f>
        <v>0</v>
      </c>
      <c r="AS229" s="310"/>
      <c r="AT229" s="310"/>
      <c r="AU229" s="310"/>
      <c r="AV229" s="108"/>
      <c r="AW229" s="190">
        <f>SUM(AX229:BH229)</f>
        <v>0</v>
      </c>
      <c r="AX229" s="119"/>
      <c r="AY229" s="183">
        <f>IF(AY$27=0,0,((AND(AY$84=gebouw,AY$105=aardgas))*AY$116+(AND(AY$84=gebouw,AY$141=aardgas))*AY$147)*1000/bibliotheek!$I$508/AY$27)</f>
        <v>0</v>
      </c>
      <c r="AZ229" s="183">
        <f>IF(AZ$27=0,0,((AND(AZ$84=gebouw,AZ$105=aardgas))*AZ$116+(AND(AZ$84=gebouw,AZ$141=aardgas))*AZ$147)*1000/bibliotheek!$I$508/AZ$27)</f>
        <v>0</v>
      </c>
      <c r="BA229" s="183">
        <f>IF(BA$27=0,0,((AND(BA$84=gebouw,BA$105=aardgas))*BA$116+(AND(BA$84=gebouw,BA$141=aardgas))*BA$147)*1000/bibliotheek!$I$508/BA$27)</f>
        <v>0</v>
      </c>
      <c r="BB229" s="310"/>
      <c r="BC229" s="310"/>
      <c r="BD229" s="183">
        <f>IF(BD$27=0,0,BD$78*1000/bibliotheek!$I$508/BD$27)</f>
        <v>0</v>
      </c>
      <c r="BE229" s="310"/>
      <c r="BF229" s="310"/>
      <c r="BG229" s="310"/>
      <c r="BH229" s="210"/>
    </row>
    <row r="230" spans="1:60">
      <c r="A230" s="1040"/>
      <c r="B230" s="1109" t="s">
        <v>236</v>
      </c>
      <c r="C230" s="1107" t="s">
        <v>104</v>
      </c>
      <c r="D230" s="641"/>
      <c r="E230" s="180" t="s">
        <v>145</v>
      </c>
      <c r="F230" s="180"/>
      <c r="G230" s="180"/>
      <c r="H230" s="201" t="str">
        <f>kWh&amp;"/won.geb"</f>
        <v>kWh/won.geb</v>
      </c>
      <c r="I230" s="114"/>
      <c r="J230" s="202"/>
      <c r="K230" s="234"/>
      <c r="L230" s="234"/>
      <c r="M230" s="190">
        <f>SUM(N230:X230)</f>
        <v>0</v>
      </c>
      <c r="N230" s="119"/>
      <c r="O230" s="183">
        <f>IF(O$27=0,0,(O$190-O$187)*1000/O$27)</f>
        <v>0</v>
      </c>
      <c r="P230" s="183">
        <f>IF(OR(P$27=0,P$31=0),0,(P$190-P$187)*1000/P$27)</f>
        <v>0</v>
      </c>
      <c r="Q230" s="183">
        <f>IF(OR(Q$27=0,Q$31=0),0,(Q$190-Q$187)*1000/Q$27)</f>
        <v>0</v>
      </c>
      <c r="R230" s="183">
        <f>IF(R$27=0,0,R$190*1000/R$27)</f>
        <v>0</v>
      </c>
      <c r="S230" s="183">
        <f>IF(S$27=0,0,S$190*1000/S$27)</f>
        <v>0</v>
      </c>
      <c r="T230" s="273"/>
      <c r="U230" s="183">
        <f>IF(U$27=0,0,U$190*1000/U$27)</f>
        <v>0</v>
      </c>
      <c r="V230" s="183">
        <f>IF(V$27=0,0,V$190*1000/V$27)</f>
        <v>0</v>
      </c>
      <c r="W230" s="183">
        <f>IF(W$27=0,0,-W$186*1000/W$27)</f>
        <v>0</v>
      </c>
      <c r="X230" s="108"/>
      <c r="Y230" s="190">
        <f>SUM(Z230:AJ230)</f>
        <v>0</v>
      </c>
      <c r="Z230" s="119"/>
      <c r="AA230" s="183">
        <f>IF(AA$27=0,0,(AA$190-AA$187)*1000/AA$27)</f>
        <v>0</v>
      </c>
      <c r="AB230" s="183">
        <f>IF(OR(AB$27=0,AB$31=0),0,(AB$190-AB$187)*1000/AB$27)</f>
        <v>0</v>
      </c>
      <c r="AC230" s="183">
        <f>IF(OR(AC$27=0,AC$31=0),0,(AC$190-AC$187)*1000/AC$27)</f>
        <v>0</v>
      </c>
      <c r="AD230" s="183">
        <f>IF(AD$27=0,0,AD$190*1000/AD$27)</f>
        <v>0</v>
      </c>
      <c r="AE230" s="183">
        <f>IF(AE$27=0,0,AE$190*1000/AE$27)</f>
        <v>0</v>
      </c>
      <c r="AF230" s="273"/>
      <c r="AG230" s="183">
        <f>IF(AG$27=0,0,AG$190*1000/AG$27)</f>
        <v>0</v>
      </c>
      <c r="AH230" s="183">
        <f>IF(AH$27=0,0,AH$190*1000/AH$27)</f>
        <v>0</v>
      </c>
      <c r="AI230" s="183">
        <f>IF(AI$27=0,0,-AI$186*1000/AI$27)</f>
        <v>0</v>
      </c>
      <c r="AJ230" s="108"/>
      <c r="AK230" s="190">
        <f>SUM(AL230:AV230)</f>
        <v>0</v>
      </c>
      <c r="AL230" s="119"/>
      <c r="AM230" s="183">
        <f>IF(AM$27=0,0,(AM$190-AM$187)*1000/AM$27)</f>
        <v>0</v>
      </c>
      <c r="AN230" s="183">
        <f>IF(OR(AN$27=0,AN$31=0),0,(AN$190-AN$187)*1000/AN$27)</f>
        <v>0</v>
      </c>
      <c r="AO230" s="183">
        <f>IF(OR(AO$27=0,AO$31=0),0,(AO$190-AO$187)*1000/AO$27)</f>
        <v>0</v>
      </c>
      <c r="AP230" s="183">
        <f>IF(AP$27=0,0,AP$190*1000/AP$27)</f>
        <v>0</v>
      </c>
      <c r="AQ230" s="183">
        <f>IF(AQ$27=0,0,AQ$190*1000/AQ$27)</f>
        <v>0</v>
      </c>
      <c r="AR230" s="168"/>
      <c r="AS230" s="183">
        <f>IF(AS$27=0,0,AS$190*1000/AS$27)</f>
        <v>0</v>
      </c>
      <c r="AT230" s="183">
        <f>IF(AT$27=0,0,AT$190*1000/AT$27)</f>
        <v>0</v>
      </c>
      <c r="AU230" s="183">
        <f>IF(AU$27=0,0,-AU$186*1000/AU$27)</f>
        <v>0</v>
      </c>
      <c r="AV230" s="108"/>
      <c r="AW230" s="190">
        <f>SUM(AX230:BH230)</f>
        <v>0</v>
      </c>
      <c r="AX230" s="119"/>
      <c r="AY230" s="183">
        <f>IF(AY$27=0,0,(AY$190-AY$187)*1000/AY$27)</f>
        <v>0</v>
      </c>
      <c r="AZ230" s="183">
        <f>IF(OR(AZ$27=0,AZ$31=0),0,(AZ$190-AZ$187)*1000/AZ$27)</f>
        <v>0</v>
      </c>
      <c r="BA230" s="183">
        <f>IF(OR(BA$27=0,BA$31=0),0,(BA$190-BA$187)*1000/BA$27)</f>
        <v>0</v>
      </c>
      <c r="BB230" s="183">
        <f>IF(BB$27=0,0,BB$190*1000/BB$27)</f>
        <v>0</v>
      </c>
      <c r="BC230" s="183">
        <f>IF(BC$27=0,0,BC$190*1000/BC$27)</f>
        <v>0</v>
      </c>
      <c r="BD230" s="273"/>
      <c r="BE230" s="183">
        <f>IF(BE$27=0,0,BE$190*1000/BE$27)</f>
        <v>0</v>
      </c>
      <c r="BF230" s="183">
        <f>IF(BF$27=0,0,BF$190*1000/BF$27)</f>
        <v>0</v>
      </c>
      <c r="BG230" s="183">
        <f>IF(BG$27=0,0,-BG$186*1000/BG$27)</f>
        <v>0</v>
      </c>
      <c r="BH230" s="210"/>
    </row>
    <row r="231" spans="1:60">
      <c r="A231" s="1040"/>
      <c r="B231" s="1109" t="s">
        <v>236</v>
      </c>
      <c r="C231" s="1107" t="s">
        <v>104</v>
      </c>
      <c r="D231" s="641"/>
      <c r="E231" s="180" t="s">
        <v>240</v>
      </c>
      <c r="F231" s="180"/>
      <c r="G231" s="180"/>
      <c r="H231" s="201" t="str">
        <f>GJ&amp;"/won.geb"</f>
        <v>GJ/won.geb</v>
      </c>
      <c r="I231" s="114"/>
      <c r="J231" s="202"/>
      <c r="K231" s="234"/>
      <c r="L231" s="234"/>
      <c r="M231" s="202">
        <f>SUM(N231:X231)</f>
        <v>0</v>
      </c>
      <c r="N231" s="89"/>
      <c r="O231" s="168">
        <f>IF(O$27=0,0,(O$84&lt;&gt;gebouw)*(O$78+O$88-O$91)*3.6/O$27)</f>
        <v>0</v>
      </c>
      <c r="P231" s="168">
        <f>IF(P$27=0,0,(P$84&lt;&gt;gebouw)*(P$78+P$88-P$91)*3.6/P$27)</f>
        <v>0</v>
      </c>
      <c r="Q231" s="168">
        <f>IF(Q$27=0,0,(Q$84&lt;&gt;gebouw)*(Q$78+Q$88-Q$91)*3.6/Q$27)</f>
        <v>0</v>
      </c>
      <c r="R231" s="273"/>
      <c r="S231" s="273"/>
      <c r="T231" s="273"/>
      <c r="U231" s="273"/>
      <c r="V231" s="273"/>
      <c r="W231" s="273"/>
      <c r="X231" s="113"/>
      <c r="Y231" s="202">
        <f>SUM(Z231:AJ231)</f>
        <v>0</v>
      </c>
      <c r="Z231" s="89"/>
      <c r="AA231" s="168">
        <f>IF(AA$27=0,0,(AA$84&lt;&gt;gebouw)*(AA$78+AA$88-AA$91)*3.6/AA$27)</f>
        <v>0</v>
      </c>
      <c r="AB231" s="168">
        <f>IF(AB$27=0,0,(AB$84&lt;&gt;gebouw)*(AB$78+AB$88-AB$91)*3.6/AB$27)</f>
        <v>0</v>
      </c>
      <c r="AC231" s="168">
        <f>IF(AC$27=0,0,(AC$84&lt;&gt;gebouw)*(AC$78+AC$88-AC$91)*3.6/AC$27)</f>
        <v>0</v>
      </c>
      <c r="AD231" s="273"/>
      <c r="AE231" s="273"/>
      <c r="AF231" s="273"/>
      <c r="AG231" s="273"/>
      <c r="AH231" s="273"/>
      <c r="AI231" s="273"/>
      <c r="AJ231" s="113"/>
      <c r="AK231" s="202">
        <f>SUM(AL231:AV231)</f>
        <v>0</v>
      </c>
      <c r="AL231" s="89"/>
      <c r="AM231" s="168">
        <f>IF(AM$27=0,0,(AM$84&lt;&gt;gebouw)*(AM$78+AM$88-AM$91)*3.6/AM$27)</f>
        <v>0</v>
      </c>
      <c r="AN231" s="168">
        <f>IF(AN$27=0,0,(AN$84&lt;&gt;gebouw)*(AN$78+AN$88-AN$91)*3.6/AN$27)</f>
        <v>0</v>
      </c>
      <c r="AO231" s="168">
        <f>IF(AO$27=0,0,(AO$84&lt;&gt;gebouw)*(AO$78+AO$88-AO$91)*3.6/AO$27)</f>
        <v>0</v>
      </c>
      <c r="AP231" s="168"/>
      <c r="AQ231" s="168"/>
      <c r="AR231" s="168"/>
      <c r="AS231" s="168"/>
      <c r="AT231" s="168"/>
      <c r="AU231" s="168"/>
      <c r="AV231" s="113"/>
      <c r="AW231" s="202">
        <f>SUM(AX231:BH231)</f>
        <v>0</v>
      </c>
      <c r="AX231" s="89"/>
      <c r="AY231" s="168">
        <f>IF(AY$27=0,0,(AY$84&lt;&gt;gebouw)*(AY$78+AY$88-AY$91)*3.6/AY$27)</f>
        <v>0</v>
      </c>
      <c r="AZ231" s="168">
        <f>IF(AZ$27=0,0,(AZ$84&lt;&gt;gebouw)*(AZ$78+AZ$88-AZ$91)*3.6/AZ$27)</f>
        <v>0</v>
      </c>
      <c r="BA231" s="168">
        <f>IF(BA$27=0,0,(BA$84&lt;&gt;gebouw)*(BA$78+BA$88-BA$91)*3.6/BA$27)</f>
        <v>0</v>
      </c>
      <c r="BB231" s="273"/>
      <c r="BC231" s="273"/>
      <c r="BD231" s="273"/>
      <c r="BE231" s="273"/>
      <c r="BF231" s="273"/>
      <c r="BG231" s="273"/>
      <c r="BH231" s="210"/>
    </row>
    <row r="232" spans="1:60">
      <c r="A232" s="1040"/>
      <c r="B232" s="1109" t="s">
        <v>236</v>
      </c>
      <c r="C232" s="1106" t="s">
        <v>96</v>
      </c>
      <c r="D232" s="641"/>
      <c r="E232" s="940" t="s">
        <v>241</v>
      </c>
      <c r="F232" s="940"/>
      <c r="G232" s="940"/>
      <c r="H232" s="940"/>
      <c r="I232" s="77"/>
      <c r="J232" s="939"/>
      <c r="K232" s="126"/>
      <c r="L232" s="126"/>
      <c r="M232" s="938"/>
      <c r="N232" s="191"/>
      <c r="O232" s="177" t="str">
        <f t="shared" ref="O232:W232" si="194">O$10</f>
        <v>verwarming</v>
      </c>
      <c r="P232" s="177" t="str">
        <f t="shared" si="194"/>
        <v>koeling</v>
      </c>
      <c r="Q232" s="177" t="str">
        <f t="shared" si="194"/>
        <v>tapwater</v>
      </c>
      <c r="R232" s="177" t="str">
        <f t="shared" si="194"/>
        <v>verlichting</v>
      </c>
      <c r="S232" s="177" t="str">
        <f t="shared" si="194"/>
        <v>ventilatoren</v>
      </c>
      <c r="T232" s="177" t="str">
        <f t="shared" si="194"/>
        <v>kookgas</v>
      </c>
      <c r="U232" s="177" t="str">
        <f t="shared" si="194"/>
        <v>overig elektra</v>
      </c>
      <c r="V232" s="177" t="str">
        <f t="shared" si="194"/>
        <v>mobiliteit</v>
      </c>
      <c r="W232" s="177" t="str">
        <f t="shared" si="194"/>
        <v>zonnepanelen</v>
      </c>
      <c r="X232" s="191"/>
      <c r="Y232" s="938"/>
      <c r="Z232" s="191"/>
      <c r="AA232" s="177" t="str">
        <f t="shared" ref="AA232:AI232" si="195">AA$10</f>
        <v>verwarming</v>
      </c>
      <c r="AB232" s="177" t="str">
        <f t="shared" si="195"/>
        <v>koeling</v>
      </c>
      <c r="AC232" s="177" t="str">
        <f t="shared" si="195"/>
        <v>tapwater</v>
      </c>
      <c r="AD232" s="177" t="str">
        <f t="shared" si="195"/>
        <v>verlichting</v>
      </c>
      <c r="AE232" s="177" t="str">
        <f t="shared" si="195"/>
        <v>ventilatoren</v>
      </c>
      <c r="AF232" s="177" t="str">
        <f t="shared" si="195"/>
        <v>kookgas</v>
      </c>
      <c r="AG232" s="177" t="str">
        <f t="shared" si="195"/>
        <v>overig elektra</v>
      </c>
      <c r="AH232" s="177" t="str">
        <f t="shared" si="195"/>
        <v>mobiliteit</v>
      </c>
      <c r="AI232" s="177" t="str">
        <f t="shared" si="195"/>
        <v>zonnepanelen</v>
      </c>
      <c r="AJ232" s="191"/>
      <c r="AK232" s="938"/>
      <c r="AL232" s="191"/>
      <c r="AM232" s="177" t="str">
        <f t="shared" ref="AM232:AU232" si="196">AM$10</f>
        <v>verwarming</v>
      </c>
      <c r="AN232" s="177" t="str">
        <f t="shared" si="196"/>
        <v>koeling</v>
      </c>
      <c r="AO232" s="177" t="str">
        <f t="shared" si="196"/>
        <v>tapwater</v>
      </c>
      <c r="AP232" s="177" t="str">
        <f t="shared" si="196"/>
        <v>verlichting</v>
      </c>
      <c r="AQ232" s="177" t="str">
        <f t="shared" si="196"/>
        <v>ventilatoren</v>
      </c>
      <c r="AR232" s="177" t="str">
        <f t="shared" si="196"/>
        <v>kookgas</v>
      </c>
      <c r="AS232" s="177" t="str">
        <f t="shared" si="196"/>
        <v>overig elektra</v>
      </c>
      <c r="AT232" s="177" t="str">
        <f t="shared" si="196"/>
        <v>mobiliteit</v>
      </c>
      <c r="AU232" s="177" t="str">
        <f t="shared" si="196"/>
        <v>zonnepanelen</v>
      </c>
      <c r="AV232" s="191"/>
      <c r="AW232" s="938"/>
      <c r="AX232" s="191"/>
      <c r="AY232" s="177" t="str">
        <f t="shared" ref="AY232:BG232" si="197">AY$10</f>
        <v>verwarming</v>
      </c>
      <c r="AZ232" s="177" t="str">
        <f t="shared" si="197"/>
        <v>koeling</v>
      </c>
      <c r="BA232" s="177" t="str">
        <f t="shared" si="197"/>
        <v>tapwater</v>
      </c>
      <c r="BB232" s="177" t="str">
        <f t="shared" si="197"/>
        <v>verlichting</v>
      </c>
      <c r="BC232" s="177" t="str">
        <f t="shared" si="197"/>
        <v>ventilatoren</v>
      </c>
      <c r="BD232" s="177" t="str">
        <f t="shared" si="197"/>
        <v>kookgas</v>
      </c>
      <c r="BE232" s="177" t="str">
        <f t="shared" si="197"/>
        <v>overig elektra</v>
      </c>
      <c r="BF232" s="177" t="str">
        <f t="shared" si="197"/>
        <v>mobiliteit</v>
      </c>
      <c r="BG232" s="177" t="str">
        <f t="shared" si="197"/>
        <v>zonnepanelen</v>
      </c>
      <c r="BH232" s="36"/>
    </row>
    <row r="233" spans="1:60">
      <c r="A233" s="1040"/>
      <c r="B233" s="1109" t="s">
        <v>236</v>
      </c>
      <c r="C233" s="1107" t="s">
        <v>104</v>
      </c>
      <c r="D233" s="641"/>
      <c r="E233" s="180" t="s">
        <v>239</v>
      </c>
      <c r="F233" s="180"/>
      <c r="G233" s="180"/>
      <c r="H233" s="201" t="s">
        <v>242</v>
      </c>
      <c r="I233" s="114"/>
      <c r="J233" s="202"/>
      <c r="K233" s="234"/>
      <c r="L233" s="234"/>
      <c r="M233" s="202">
        <f>IF(M$29=0,0,M229*M$22/M$29)</f>
        <v>0</v>
      </c>
      <c r="N233" s="89"/>
      <c r="O233" s="168">
        <f t="shared" ref="O233:Q235" si="198">IF(OR(O$31="",O$31=0),0,O$27*O229/O$31)</f>
        <v>0</v>
      </c>
      <c r="P233" s="168">
        <f t="shared" si="198"/>
        <v>0</v>
      </c>
      <c r="Q233" s="168">
        <f t="shared" si="198"/>
        <v>0</v>
      </c>
      <c r="R233" s="273"/>
      <c r="S233" s="273"/>
      <c r="T233" s="168">
        <f>IF(OR(T$31="",T$31=0),0,T$27*T229/T$31)</f>
        <v>0</v>
      </c>
      <c r="U233" s="273"/>
      <c r="V233" s="273"/>
      <c r="W233" s="273"/>
      <c r="X233" s="113"/>
      <c r="Y233" s="202">
        <f>IF(Y$29=0,0,Y229*Y$22/Y$29)</f>
        <v>0</v>
      </c>
      <c r="Z233" s="89"/>
      <c r="AA233" s="168">
        <f t="shared" ref="AA233:AC235" si="199">IF(OR(AA$31="",AA$31=0),0,AA$27*AA229/AA$31)</f>
        <v>0</v>
      </c>
      <c r="AB233" s="168">
        <f t="shared" si="199"/>
        <v>0</v>
      </c>
      <c r="AC233" s="168">
        <f t="shared" si="199"/>
        <v>0</v>
      </c>
      <c r="AD233" s="273"/>
      <c r="AE233" s="273"/>
      <c r="AF233" s="168">
        <f>IF(OR(AF$31="",AF$31=0),0,AF$27*AF229/AF$31)</f>
        <v>0</v>
      </c>
      <c r="AG233" s="273"/>
      <c r="AH233" s="273"/>
      <c r="AI233" s="273"/>
      <c r="AJ233" s="113"/>
      <c r="AK233" s="202">
        <f>IF(AK$29=0,0,AK229*AK$22/AK$29)</f>
        <v>0</v>
      </c>
      <c r="AL233" s="89"/>
      <c r="AM233" s="168">
        <f t="shared" ref="AM233:AO235" si="200">IF(OR(AM$31="",AM$31=0),0,AM$27*AM229/AM$31)</f>
        <v>0</v>
      </c>
      <c r="AN233" s="168">
        <f t="shared" si="200"/>
        <v>0</v>
      </c>
      <c r="AO233" s="168">
        <f t="shared" si="200"/>
        <v>0</v>
      </c>
      <c r="AP233" s="273"/>
      <c r="AQ233" s="273"/>
      <c r="AR233" s="168">
        <f>IF(OR(AR$31="",AR$31=0),0,AR$27*AR229/AR$31)</f>
        <v>0</v>
      </c>
      <c r="AS233" s="273"/>
      <c r="AT233" s="273"/>
      <c r="AU233" s="273"/>
      <c r="AV233" s="113"/>
      <c r="AW233" s="202">
        <f>IF(AW$29=0,0,AW229*AW$22/AW$29)</f>
        <v>0</v>
      </c>
      <c r="AX233" s="89"/>
      <c r="AY233" s="168">
        <f t="shared" ref="AY233:BA235" si="201">IF(OR(AY$31="",AY$31=0),0,AY$27*AY229/AY$31)</f>
        <v>0</v>
      </c>
      <c r="AZ233" s="168">
        <f t="shared" si="201"/>
        <v>0</v>
      </c>
      <c r="BA233" s="168">
        <f t="shared" si="201"/>
        <v>0</v>
      </c>
      <c r="BB233" s="273"/>
      <c r="BC233" s="273"/>
      <c r="BD233" s="168">
        <f>IF(OR(BD$31="",BD$31=0),0,BD$27*BD229/BD$31)</f>
        <v>0</v>
      </c>
      <c r="BE233" s="273"/>
      <c r="BF233" s="273"/>
      <c r="BG233" s="273"/>
      <c r="BH233" s="210"/>
    </row>
    <row r="234" spans="1:60">
      <c r="A234" s="1040"/>
      <c r="B234" s="1109" t="s">
        <v>236</v>
      </c>
      <c r="C234" s="1107" t="s">
        <v>104</v>
      </c>
      <c r="D234" s="641"/>
      <c r="E234" s="180" t="s">
        <v>145</v>
      </c>
      <c r="F234" s="180"/>
      <c r="G234" s="180"/>
      <c r="H234" s="201" t="s">
        <v>154</v>
      </c>
      <c r="I234" s="114"/>
      <c r="J234" s="202"/>
      <c r="K234" s="234"/>
      <c r="L234" s="234"/>
      <c r="M234" s="202">
        <f>IF(M$29=0,0,M230*M$22/M$29)</f>
        <v>0</v>
      </c>
      <c r="N234" s="89"/>
      <c r="O234" s="168">
        <f t="shared" si="198"/>
        <v>0</v>
      </c>
      <c r="P234" s="168">
        <f t="shared" si="198"/>
        <v>0</v>
      </c>
      <c r="Q234" s="168">
        <f t="shared" si="198"/>
        <v>0</v>
      </c>
      <c r="R234" s="168">
        <f>IF(OR(R$31="",R$31=0),0,R$27*R230/R$31)</f>
        <v>0</v>
      </c>
      <c r="S234" s="168">
        <f>IF(OR(S$31="",S$31=0),0,S$27*S230/S$31)</f>
        <v>0</v>
      </c>
      <c r="T234" s="273"/>
      <c r="U234" s="168">
        <f>IF(OR(U$31="",U$31=0),0,U$27*U230/U$31)</f>
        <v>0</v>
      </c>
      <c r="V234" s="168">
        <f>IF(OR(V$31="",V$31=0),0,V$27*V230/V$31)</f>
        <v>0</v>
      </c>
      <c r="W234" s="168">
        <f>IF(OR(W$31="",W$31=0),0,W$27*W230/W$31)</f>
        <v>0</v>
      </c>
      <c r="X234" s="113"/>
      <c r="Y234" s="202">
        <f>IF(Y$29=0,0,Y230*Y$22/Y$29)</f>
        <v>0</v>
      </c>
      <c r="Z234" s="89"/>
      <c r="AA234" s="168">
        <f t="shared" si="199"/>
        <v>0</v>
      </c>
      <c r="AB234" s="168">
        <f t="shared" si="199"/>
        <v>0</v>
      </c>
      <c r="AC234" s="168">
        <f t="shared" si="199"/>
        <v>0</v>
      </c>
      <c r="AD234" s="168">
        <f>IF(OR(AD$31="",AD$31=0),0,AD$27*AD230/AD$31)</f>
        <v>0</v>
      </c>
      <c r="AE234" s="168">
        <f>IF(OR(AE$31="",AE$31=0),0,AE$27*AE230/AE$31)</f>
        <v>0</v>
      </c>
      <c r="AF234" s="273"/>
      <c r="AG234" s="168">
        <f>IF(OR(AG$31="",AG$31=0),0,AG$27*AG230/AG$31)</f>
        <v>0</v>
      </c>
      <c r="AH234" s="168">
        <f>IF(OR(AH$31="",AH$31=0),0,AH$27*AH230/AH$31)</f>
        <v>0</v>
      </c>
      <c r="AI234" s="168">
        <f>IF(OR(AI$31="",AI$31=0),0,AI$27*AI230/AI$31)</f>
        <v>0</v>
      </c>
      <c r="AJ234" s="113"/>
      <c r="AK234" s="202">
        <f>IF(AK$29=0,0,AK230*AK$22/AK$29)</f>
        <v>0</v>
      </c>
      <c r="AL234" s="89"/>
      <c r="AM234" s="168">
        <f t="shared" si="200"/>
        <v>0</v>
      </c>
      <c r="AN234" s="168">
        <f t="shared" si="200"/>
        <v>0</v>
      </c>
      <c r="AO234" s="168">
        <f t="shared" si="200"/>
        <v>0</v>
      </c>
      <c r="AP234" s="168">
        <f>IF(OR(AP$31="",AP$31=0),0,AP$27*AP230/AP$31)</f>
        <v>0</v>
      </c>
      <c r="AQ234" s="168">
        <f>IF(OR(AQ$31="",AQ$31=0),0,AQ$27*AQ230/AQ$31)</f>
        <v>0</v>
      </c>
      <c r="AR234" s="273"/>
      <c r="AS234" s="168">
        <f>IF(OR(AS$31="",AS$31=0),0,AS$27*AS230/AS$31)</f>
        <v>0</v>
      </c>
      <c r="AT234" s="168">
        <f>IF(OR(AT$31="",AT$31=0),0,AT$27*AT230/AT$31)</f>
        <v>0</v>
      </c>
      <c r="AU234" s="168">
        <f>IF(OR(AU$31="",AU$31=0),0,AU$27*AU230/AU$31)</f>
        <v>0</v>
      </c>
      <c r="AV234" s="113"/>
      <c r="AW234" s="202">
        <f>IF(AW$29=0,0,AW230*AW$22/AW$29)</f>
        <v>0</v>
      </c>
      <c r="AX234" s="89"/>
      <c r="AY234" s="168">
        <f t="shared" si="201"/>
        <v>0</v>
      </c>
      <c r="AZ234" s="168">
        <f t="shared" si="201"/>
        <v>0</v>
      </c>
      <c r="BA234" s="168">
        <f t="shared" si="201"/>
        <v>0</v>
      </c>
      <c r="BB234" s="168">
        <f>IF(OR(BB$31="",BB$31=0),0,BB$27*BB230/BB$31)</f>
        <v>0</v>
      </c>
      <c r="BC234" s="168">
        <f>IF(OR(BC$31="",BC$31=0),0,BC$27*BC230/BC$31)</f>
        <v>0</v>
      </c>
      <c r="BD234" s="273"/>
      <c r="BE234" s="168">
        <f>IF(OR(BE$31="",BE$31=0),0,BE$27*BE230/BE$31)</f>
        <v>0</v>
      </c>
      <c r="BF234" s="168">
        <f>IF(OR(BF$31="",BF$31=0),0,BF$27*BF230/BF$31)</f>
        <v>0</v>
      </c>
      <c r="BG234" s="168">
        <f>IF(OR(BG$31="",BG$31=0),0,BG$27*BG230/BG$31)</f>
        <v>0</v>
      </c>
      <c r="BH234" s="210"/>
    </row>
    <row r="235" spans="1:60">
      <c r="A235" s="1040"/>
      <c r="B235" s="1109" t="s">
        <v>236</v>
      </c>
      <c r="C235" s="1107" t="s">
        <v>104</v>
      </c>
      <c r="D235" s="641"/>
      <c r="E235" s="180" t="s">
        <v>240</v>
      </c>
      <c r="F235" s="180"/>
      <c r="G235" s="180"/>
      <c r="H235" s="201" t="s">
        <v>243</v>
      </c>
      <c r="I235" s="114"/>
      <c r="J235" s="202"/>
      <c r="K235" s="234"/>
      <c r="L235" s="234"/>
      <c r="M235" s="202">
        <f>IF(M$29=0,0,M231*M$22/M$29)</f>
        <v>0</v>
      </c>
      <c r="N235" s="89"/>
      <c r="O235" s="168">
        <f t="shared" si="198"/>
        <v>0</v>
      </c>
      <c r="P235" s="168">
        <f t="shared" si="198"/>
        <v>0</v>
      </c>
      <c r="Q235" s="168">
        <f t="shared" si="198"/>
        <v>0</v>
      </c>
      <c r="R235" s="273"/>
      <c r="S235" s="273"/>
      <c r="T235" s="273"/>
      <c r="U235" s="273"/>
      <c r="V235" s="273"/>
      <c r="W235" s="273"/>
      <c r="X235" s="113"/>
      <c r="Y235" s="202">
        <f>IF(Y$29=0,0,Y231*Y$22/Y$29)</f>
        <v>0</v>
      </c>
      <c r="Z235" s="89"/>
      <c r="AA235" s="168">
        <f t="shared" si="199"/>
        <v>0</v>
      </c>
      <c r="AB235" s="168">
        <f t="shared" si="199"/>
        <v>0</v>
      </c>
      <c r="AC235" s="168">
        <f t="shared" si="199"/>
        <v>0</v>
      </c>
      <c r="AD235" s="273"/>
      <c r="AE235" s="273"/>
      <c r="AF235" s="273"/>
      <c r="AG235" s="273"/>
      <c r="AH235" s="273"/>
      <c r="AI235" s="273"/>
      <c r="AJ235" s="113"/>
      <c r="AK235" s="202">
        <f>IF(AK$29=0,0,AK231*AK$22/AK$29)</f>
        <v>0</v>
      </c>
      <c r="AL235" s="89"/>
      <c r="AM235" s="168">
        <f t="shared" si="200"/>
        <v>0</v>
      </c>
      <c r="AN235" s="168">
        <f t="shared" si="200"/>
        <v>0</v>
      </c>
      <c r="AO235" s="168">
        <f t="shared" si="200"/>
        <v>0</v>
      </c>
      <c r="AP235" s="273"/>
      <c r="AQ235" s="273"/>
      <c r="AR235" s="273"/>
      <c r="AS235" s="273"/>
      <c r="AT235" s="273"/>
      <c r="AU235" s="273"/>
      <c r="AV235" s="113"/>
      <c r="AW235" s="202">
        <f>IF(AW$29=0,0,AW231*AW$22/AW$29)</f>
        <v>0</v>
      </c>
      <c r="AX235" s="89"/>
      <c r="AY235" s="168">
        <f t="shared" si="201"/>
        <v>0</v>
      </c>
      <c r="AZ235" s="168">
        <f t="shared" si="201"/>
        <v>0</v>
      </c>
      <c r="BA235" s="168">
        <f t="shared" si="201"/>
        <v>0</v>
      </c>
      <c r="BB235" s="273"/>
      <c r="BC235" s="273"/>
      <c r="BD235" s="273"/>
      <c r="BE235" s="273"/>
      <c r="BF235" s="273"/>
      <c r="BG235" s="273"/>
      <c r="BH235" s="210"/>
    </row>
    <row r="236" spans="1:60">
      <c r="A236" s="1040"/>
      <c r="B236" s="1109" t="s">
        <v>236</v>
      </c>
      <c r="C236" s="1106" t="s">
        <v>96</v>
      </c>
      <c r="D236" s="638"/>
      <c r="E236" s="79"/>
      <c r="F236" s="79"/>
      <c r="G236" s="79"/>
      <c r="H236" s="85"/>
      <c r="I236" s="79"/>
      <c r="J236" s="82"/>
      <c r="K236" s="79"/>
      <c r="L236" s="79"/>
      <c r="M236" s="82"/>
      <c r="N236" s="79"/>
      <c r="O236" s="82"/>
      <c r="P236" s="82"/>
      <c r="Q236" s="82"/>
      <c r="R236" s="82"/>
      <c r="S236" s="82"/>
      <c r="T236" s="82"/>
      <c r="U236" s="82"/>
      <c r="V236" s="82"/>
      <c r="W236" s="82"/>
      <c r="X236" s="82"/>
      <c r="Y236" s="82"/>
      <c r="Z236" s="79"/>
      <c r="AA236" s="82"/>
      <c r="AB236" s="82"/>
      <c r="AC236" s="82"/>
      <c r="AD236" s="82"/>
      <c r="AE236" s="82"/>
      <c r="AF236" s="82"/>
      <c r="AG236" s="82"/>
      <c r="AH236" s="82"/>
      <c r="AI236" s="82"/>
      <c r="AJ236" s="82"/>
      <c r="AK236" s="82"/>
      <c r="AL236" s="79"/>
      <c r="AM236" s="79"/>
      <c r="AN236" s="79"/>
      <c r="AO236" s="79"/>
      <c r="AP236" s="79"/>
      <c r="AQ236" s="79"/>
      <c r="AR236" s="79"/>
      <c r="AS236" s="79"/>
      <c r="AT236" s="79"/>
      <c r="AU236" s="82"/>
      <c r="AV236" s="82"/>
      <c r="AW236" s="82"/>
      <c r="AX236" s="79"/>
      <c r="AY236" s="82"/>
      <c r="AZ236" s="82"/>
      <c r="BA236" s="82"/>
      <c r="BB236" s="82"/>
      <c r="BC236" s="82"/>
      <c r="BD236" s="82"/>
      <c r="BE236" s="82"/>
      <c r="BF236" s="82"/>
      <c r="BG236" s="82"/>
      <c r="BH236" s="1"/>
    </row>
    <row r="237" spans="1:60">
      <c r="A237" s="1040"/>
      <c r="B237" s="1109" t="s">
        <v>1218</v>
      </c>
      <c r="C237" s="1107" t="s">
        <v>96</v>
      </c>
      <c r="D237" s="638"/>
      <c r="E237" s="79"/>
      <c r="F237" s="79"/>
      <c r="G237" s="79"/>
      <c r="H237" s="85"/>
      <c r="I237" s="79"/>
      <c r="J237" s="82"/>
      <c r="K237" s="79"/>
      <c r="L237" s="79"/>
      <c r="M237" s="82"/>
      <c r="N237" s="79"/>
      <c r="O237" s="82"/>
      <c r="P237" s="82"/>
      <c r="Q237" s="82"/>
      <c r="R237" s="82"/>
      <c r="S237" s="82"/>
      <c r="T237" s="82"/>
      <c r="U237" s="82"/>
      <c r="V237" s="82"/>
      <c r="W237" s="82"/>
      <c r="X237" s="82"/>
      <c r="Y237" s="82"/>
      <c r="Z237" s="79"/>
      <c r="AA237" s="82"/>
      <c r="AB237" s="82"/>
      <c r="AC237" s="82"/>
      <c r="AD237" s="82"/>
      <c r="AE237" s="82"/>
      <c r="AF237" s="82"/>
      <c r="AG237" s="82"/>
      <c r="AH237" s="82"/>
      <c r="AI237" s="82"/>
      <c r="AJ237" s="82"/>
      <c r="AK237" s="82"/>
      <c r="AL237" s="79"/>
      <c r="AM237" s="82"/>
      <c r="AN237" s="82"/>
      <c r="AO237" s="82"/>
      <c r="AP237" s="82"/>
      <c r="AQ237" s="82"/>
      <c r="AR237" s="82"/>
      <c r="AS237" s="82"/>
      <c r="AT237" s="82"/>
      <c r="AU237" s="82"/>
      <c r="AV237" s="82"/>
      <c r="AW237" s="82"/>
      <c r="AX237" s="79"/>
      <c r="AY237" s="82"/>
      <c r="AZ237" s="82"/>
      <c r="BA237" s="82"/>
      <c r="BB237" s="82"/>
      <c r="BC237" s="82"/>
      <c r="BD237" s="82"/>
      <c r="BE237" s="82"/>
      <c r="BF237" s="82"/>
      <c r="BG237" s="82"/>
      <c r="BH237" s="1"/>
    </row>
    <row r="238" spans="1:60" ht="21">
      <c r="A238" s="1040"/>
      <c r="B238" s="1109" t="s">
        <v>1218</v>
      </c>
      <c r="C238" s="1106" t="s">
        <v>96</v>
      </c>
      <c r="D238" s="638"/>
      <c r="E238" s="1181" t="s">
        <v>1356</v>
      </c>
      <c r="F238" s="199"/>
      <c r="G238" s="692"/>
      <c r="H238" s="199"/>
      <c r="I238" s="77"/>
      <c r="J238" s="200" t="str">
        <f>J$10</f>
        <v>alle locaties</v>
      </c>
      <c r="K238" s="126"/>
      <c r="L238" s="126"/>
      <c r="M238" s="200" t="str">
        <f>M$10</f>
        <v>locatie 1</v>
      </c>
      <c r="N238" s="182"/>
      <c r="O238" s="966" t="str">
        <f>$E238&amp;" per energiepost"</f>
        <v>primair fossiel energiegebruik per energiepost per energiepost</v>
      </c>
      <c r="P238" s="941"/>
      <c r="Q238" s="941"/>
      <c r="R238" s="941"/>
      <c r="S238" s="941"/>
      <c r="T238" s="941"/>
      <c r="U238" s="941"/>
      <c r="V238" s="941"/>
      <c r="W238" s="956"/>
      <c r="X238" s="174"/>
      <c r="Y238" s="200" t="str">
        <f>Y$10</f>
        <v>locatie 2</v>
      </c>
      <c r="Z238" s="182"/>
      <c r="AA238" s="966" t="str">
        <f>$E238&amp;" per energiepost"</f>
        <v>primair fossiel energiegebruik per energiepost per energiepost</v>
      </c>
      <c r="AB238" s="941"/>
      <c r="AC238" s="941"/>
      <c r="AD238" s="941"/>
      <c r="AE238" s="941"/>
      <c r="AF238" s="941"/>
      <c r="AG238" s="941"/>
      <c r="AH238" s="941"/>
      <c r="AI238" s="956"/>
      <c r="AJ238" s="174"/>
      <c r="AK238" s="200" t="str">
        <f>AK$10</f>
        <v>locatie 3</v>
      </c>
      <c r="AL238" s="182"/>
      <c r="AM238" s="966" t="str">
        <f>$E238&amp;" per energiepost"</f>
        <v>primair fossiel energiegebruik per energiepost per energiepost</v>
      </c>
      <c r="AN238" s="941"/>
      <c r="AO238" s="941"/>
      <c r="AP238" s="941"/>
      <c r="AQ238" s="941"/>
      <c r="AR238" s="941"/>
      <c r="AS238" s="941"/>
      <c r="AT238" s="941"/>
      <c r="AU238" s="956"/>
      <c r="AV238" s="174"/>
      <c r="AW238" s="200" t="str">
        <f>AW$10</f>
        <v>locatie 4</v>
      </c>
      <c r="AX238" s="182"/>
      <c r="AY238" s="966" t="str">
        <f>$E238&amp;" per energiepost"</f>
        <v>primair fossiel energiegebruik per energiepost per energiepost</v>
      </c>
      <c r="AZ238" s="941"/>
      <c r="BA238" s="941"/>
      <c r="BB238" s="941"/>
      <c r="BC238" s="941"/>
      <c r="BD238" s="941"/>
      <c r="BE238" s="941"/>
      <c r="BF238" s="941"/>
      <c r="BG238" s="956"/>
      <c r="BH238" s="1"/>
    </row>
    <row r="239" spans="1:60">
      <c r="A239" s="1040"/>
      <c r="B239" s="1109" t="s">
        <v>1218</v>
      </c>
      <c r="C239" s="1106" t="s">
        <v>96</v>
      </c>
      <c r="D239" s="638"/>
      <c r="E239" s="940" t="s">
        <v>1316</v>
      </c>
      <c r="F239" s="940"/>
      <c r="G239" s="940"/>
      <c r="H239" s="940"/>
      <c r="I239" s="77"/>
      <c r="J239" s="939"/>
      <c r="K239" s="126"/>
      <c r="L239" s="126"/>
      <c r="M239" s="938"/>
      <c r="N239" s="191"/>
      <c r="O239" s="177" t="str">
        <f t="shared" ref="O239:W239" si="202">O$10</f>
        <v>verwarming</v>
      </c>
      <c r="P239" s="177" t="str">
        <f t="shared" si="202"/>
        <v>koeling</v>
      </c>
      <c r="Q239" s="177" t="str">
        <f t="shared" si="202"/>
        <v>tapwater</v>
      </c>
      <c r="R239" s="177" t="str">
        <f t="shared" si="202"/>
        <v>verlichting</v>
      </c>
      <c r="S239" s="177" t="str">
        <f t="shared" si="202"/>
        <v>ventilatoren</v>
      </c>
      <c r="T239" s="177" t="str">
        <f t="shared" si="202"/>
        <v>kookgas</v>
      </c>
      <c r="U239" s="177" t="str">
        <f t="shared" si="202"/>
        <v>overig elektra</v>
      </c>
      <c r="V239" s="177" t="str">
        <f t="shared" si="202"/>
        <v>mobiliteit</v>
      </c>
      <c r="W239" s="177" t="str">
        <f t="shared" si="202"/>
        <v>zonnepanelen</v>
      </c>
      <c r="X239" s="191"/>
      <c r="Y239" s="938"/>
      <c r="Z239" s="191"/>
      <c r="AA239" s="177" t="str">
        <f t="shared" ref="AA239:AI239" si="203">AA$10</f>
        <v>verwarming</v>
      </c>
      <c r="AB239" s="177" t="str">
        <f t="shared" si="203"/>
        <v>koeling</v>
      </c>
      <c r="AC239" s="177" t="str">
        <f t="shared" si="203"/>
        <v>tapwater</v>
      </c>
      <c r="AD239" s="177" t="str">
        <f t="shared" si="203"/>
        <v>verlichting</v>
      </c>
      <c r="AE239" s="177" t="str">
        <f t="shared" si="203"/>
        <v>ventilatoren</v>
      </c>
      <c r="AF239" s="177" t="str">
        <f t="shared" si="203"/>
        <v>kookgas</v>
      </c>
      <c r="AG239" s="177" t="str">
        <f t="shared" si="203"/>
        <v>overig elektra</v>
      </c>
      <c r="AH239" s="177" t="str">
        <f t="shared" si="203"/>
        <v>mobiliteit</v>
      </c>
      <c r="AI239" s="177" t="str">
        <f t="shared" si="203"/>
        <v>zonnepanelen</v>
      </c>
      <c r="AJ239" s="191"/>
      <c r="AK239" s="938"/>
      <c r="AL239" s="191"/>
      <c r="AM239" s="177" t="str">
        <f t="shared" ref="AM239:AU239" si="204">AM$10</f>
        <v>verwarming</v>
      </c>
      <c r="AN239" s="177" t="str">
        <f t="shared" si="204"/>
        <v>koeling</v>
      </c>
      <c r="AO239" s="177" t="str">
        <f t="shared" si="204"/>
        <v>tapwater</v>
      </c>
      <c r="AP239" s="177" t="str">
        <f t="shared" si="204"/>
        <v>verlichting</v>
      </c>
      <c r="AQ239" s="177" t="str">
        <f t="shared" si="204"/>
        <v>ventilatoren</v>
      </c>
      <c r="AR239" s="177" t="str">
        <f t="shared" si="204"/>
        <v>kookgas</v>
      </c>
      <c r="AS239" s="177" t="str">
        <f t="shared" si="204"/>
        <v>overig elektra</v>
      </c>
      <c r="AT239" s="177" t="str">
        <f t="shared" si="204"/>
        <v>mobiliteit</v>
      </c>
      <c r="AU239" s="177" t="str">
        <f t="shared" si="204"/>
        <v>zonnepanelen</v>
      </c>
      <c r="AV239" s="191"/>
      <c r="AW239" s="938"/>
      <c r="AX239" s="191"/>
      <c r="AY239" s="177" t="str">
        <f t="shared" ref="AY239:BG239" si="205">AY$10</f>
        <v>verwarming</v>
      </c>
      <c r="AZ239" s="177" t="str">
        <f t="shared" si="205"/>
        <v>koeling</v>
      </c>
      <c r="BA239" s="177" t="str">
        <f t="shared" si="205"/>
        <v>tapwater</v>
      </c>
      <c r="BB239" s="177" t="str">
        <f t="shared" si="205"/>
        <v>verlichting</v>
      </c>
      <c r="BC239" s="177" t="str">
        <f t="shared" si="205"/>
        <v>ventilatoren</v>
      </c>
      <c r="BD239" s="177" t="str">
        <f t="shared" si="205"/>
        <v>kookgas</v>
      </c>
      <c r="BE239" s="177" t="str">
        <f t="shared" si="205"/>
        <v>overig elektra</v>
      </c>
      <c r="BF239" s="177" t="str">
        <f t="shared" si="205"/>
        <v>mobiliteit</v>
      </c>
      <c r="BG239" s="177" t="str">
        <f t="shared" si="205"/>
        <v>zonnepanelen</v>
      </c>
      <c r="BH239" s="36"/>
    </row>
    <row r="240" spans="1:60" s="36" customFormat="1">
      <c r="A240" s="1040"/>
      <c r="B240" s="1109" t="s">
        <v>1218</v>
      </c>
      <c r="C240" s="1107" t="s">
        <v>104</v>
      </c>
      <c r="D240" s="638"/>
      <c r="E240" s="237" t="s">
        <v>244</v>
      </c>
      <c r="F240" s="237" t="s">
        <v>190</v>
      </c>
      <c r="G240" s="237"/>
      <c r="H240" s="238" t="s">
        <v>65</v>
      </c>
      <c r="I240" s="239"/>
      <c r="J240" s="240"/>
      <c r="K240" s="235"/>
      <c r="L240" s="235"/>
      <c r="M240" s="240"/>
      <c r="N240" s="241"/>
      <c r="O240" s="242" t="str">
        <f>IF(AND(O$83&lt;&gt;"geen",O$105&lt;&gt;""),O$105,"")</f>
        <v>elektriciteit</v>
      </c>
      <c r="P240" s="242" t="str">
        <f>IF(AND(P$83&lt;&gt;"geen",P$105&lt;&gt;""),P$105,"")</f>
        <v/>
      </c>
      <c r="Q240" s="242" t="str">
        <f>IF(AND(Q$83&lt;&gt;"geen",Q$105&lt;&gt;""),Q$105,"")</f>
        <v>elektriciteit</v>
      </c>
      <c r="R240" s="611"/>
      <c r="S240" s="611"/>
      <c r="T240" s="611"/>
      <c r="U240" s="611"/>
      <c r="V240" s="611"/>
      <c r="W240" s="611"/>
      <c r="X240" s="121"/>
      <c r="Y240" s="240"/>
      <c r="Z240" s="241"/>
      <c r="AA240" s="242" t="str">
        <f>IF(AND(AA$83&lt;&gt;"geen",AA$105&lt;&gt;""),AA$105,"")</f>
        <v>elektriciteit</v>
      </c>
      <c r="AB240" s="242" t="str">
        <f>IF(AND(AB$83&lt;&gt;"geen",AB$105&lt;&gt;""),AB$105,"")</f>
        <v/>
      </c>
      <c r="AC240" s="242" t="str">
        <f>IF(AND(AC$83&lt;&gt;"geen",AC$105&lt;&gt;""),AC$105,"")</f>
        <v>elektriciteit</v>
      </c>
      <c r="AD240" s="611"/>
      <c r="AE240" s="611"/>
      <c r="AF240" s="611"/>
      <c r="AG240" s="611"/>
      <c r="AH240" s="611"/>
      <c r="AI240" s="611"/>
      <c r="AJ240" s="121"/>
      <c r="AK240" s="240"/>
      <c r="AL240" s="241"/>
      <c r="AM240" s="242" t="str">
        <f>IF(AND(AM$83&lt;&gt;"geen",AM$105&lt;&gt;""),AM$105,"")</f>
        <v>elektriciteit</v>
      </c>
      <c r="AN240" s="242" t="str">
        <f>IF(AND(AN$83&lt;&gt;"geen",AN$105&lt;&gt;""),AN$105,"")</f>
        <v/>
      </c>
      <c r="AO240" s="242" t="str">
        <f>IF(AND(AO$83&lt;&gt;"geen",AO$105&lt;&gt;""),AO$105,"")</f>
        <v>elektriciteit</v>
      </c>
      <c r="AP240" s="611"/>
      <c r="AQ240" s="611"/>
      <c r="AR240" s="611"/>
      <c r="AS240" s="611"/>
      <c r="AT240" s="611"/>
      <c r="AU240" s="611"/>
      <c r="AV240" s="121"/>
      <c r="AW240" s="240"/>
      <c r="AX240" s="241"/>
      <c r="AY240" s="242" t="str">
        <f>IF(AND(AY$83&lt;&gt;"geen",AY$105&lt;&gt;""),AY$105,"")</f>
        <v>elektriciteit</v>
      </c>
      <c r="AZ240" s="242" t="str">
        <f>IF(AND(AZ$83&lt;&gt;"geen",AZ$105&lt;&gt;""),AZ$105,"")</f>
        <v/>
      </c>
      <c r="BA240" s="242" t="str">
        <f>IF(AND(BA$83&lt;&gt;"geen",BA$105&lt;&gt;""),BA$105,"")</f>
        <v>elektriciteit</v>
      </c>
      <c r="BB240" s="611"/>
      <c r="BC240" s="611"/>
      <c r="BD240" s="611"/>
      <c r="BE240" s="611"/>
      <c r="BF240" s="611"/>
      <c r="BG240" s="611"/>
      <c r="BH240" s="224"/>
    </row>
    <row r="241" spans="1:60" s="2" customFormat="1">
      <c r="A241" s="1038"/>
      <c r="B241" s="1109" t="s">
        <v>1218</v>
      </c>
      <c r="C241" s="1106" t="s">
        <v>104</v>
      </c>
      <c r="D241" s="644"/>
      <c r="E241" s="347"/>
      <c r="F241" s="255" t="s">
        <v>245</v>
      </c>
      <c r="G241" s="255"/>
      <c r="H241" s="361" t="s">
        <v>106</v>
      </c>
      <c r="I241" s="161"/>
      <c r="J241" s="307">
        <f>M241+Y241+AK241+AW241</f>
        <v>0</v>
      </c>
      <c r="K241" s="362"/>
      <c r="L241" s="362"/>
      <c r="M241" s="307">
        <f>SUM(N241:X241)</f>
        <v>0</v>
      </c>
      <c r="N241" s="308"/>
      <c r="O241" s="363">
        <f>IF(O240="","",(O$105=O240)*O$120)</f>
        <v>0</v>
      </c>
      <c r="P241" s="363" t="str">
        <f>IF(P240="","",(P$105=P240)*P$120)</f>
        <v/>
      </c>
      <c r="Q241" s="363">
        <f>IF(Q240="","",(Q$105=Q240)*Q$120)</f>
        <v>0</v>
      </c>
      <c r="R241" s="309"/>
      <c r="S241" s="309"/>
      <c r="T241" s="309"/>
      <c r="U241" s="309"/>
      <c r="V241" s="309"/>
      <c r="W241" s="309"/>
      <c r="X241" s="113"/>
      <c r="Y241" s="307">
        <f>SUM(Z241:AJ241)</f>
        <v>0</v>
      </c>
      <c r="Z241" s="308"/>
      <c r="AA241" s="363">
        <f>IF(AA240="","",(AA$105=AA240)*AA$120)</f>
        <v>0</v>
      </c>
      <c r="AB241" s="363" t="str">
        <f>IF(AB240="","",(AB$105=AB240)*AB$120)</f>
        <v/>
      </c>
      <c r="AC241" s="363">
        <f>IF(AC240="","",(AC$105=AC240)*AC$120)</f>
        <v>0</v>
      </c>
      <c r="AD241" s="309"/>
      <c r="AE241" s="309"/>
      <c r="AF241" s="309"/>
      <c r="AG241" s="309"/>
      <c r="AH241" s="309"/>
      <c r="AI241" s="309"/>
      <c r="AJ241" s="113"/>
      <c r="AK241" s="307">
        <f>SUM(AL241:AV241)</f>
        <v>0</v>
      </c>
      <c r="AL241" s="308"/>
      <c r="AM241" s="363">
        <f>IF(AM240="","",(AM$105=AM240)*AM$120)</f>
        <v>0</v>
      </c>
      <c r="AN241" s="363" t="str">
        <f>IF(AN240="","",(AN$105=AN240)*AN$120)</f>
        <v/>
      </c>
      <c r="AO241" s="363">
        <f>IF(AO240="","",(AO$105=AO240)*AO$120)</f>
        <v>0</v>
      </c>
      <c r="AP241" s="309"/>
      <c r="AQ241" s="309"/>
      <c r="AR241" s="309"/>
      <c r="AS241" s="309"/>
      <c r="AT241" s="309"/>
      <c r="AU241" s="309"/>
      <c r="AV241" s="113"/>
      <c r="AW241" s="307">
        <f>SUM(AX241:BH241)</f>
        <v>0</v>
      </c>
      <c r="AX241" s="308"/>
      <c r="AY241" s="363">
        <f>IF(AY240="","",(AY$105=AY240)*AY$120)</f>
        <v>0</v>
      </c>
      <c r="AZ241" s="363" t="str">
        <f>IF(AZ240="","",(AZ$105=AZ240)*AZ$120)</f>
        <v/>
      </c>
      <c r="BA241" s="363">
        <f>IF(BA240="","",(BA$105=BA240)*BA$120)</f>
        <v>0</v>
      </c>
      <c r="BB241" s="309"/>
      <c r="BC241" s="309"/>
      <c r="BD241" s="309"/>
      <c r="BE241" s="309"/>
      <c r="BF241" s="309"/>
      <c r="BG241" s="309"/>
      <c r="BH241" s="222"/>
    </row>
    <row r="242" spans="1:60" s="2" customFormat="1">
      <c r="A242" s="1038"/>
      <c r="B242" s="1109" t="s">
        <v>1218</v>
      </c>
      <c r="C242" s="1106" t="s">
        <v>104</v>
      </c>
      <c r="D242" s="644"/>
      <c r="E242" s="254" t="s">
        <v>246</v>
      </c>
      <c r="F242" s="303" t="s">
        <v>190</v>
      </c>
      <c r="G242" s="303"/>
      <c r="H242" s="364" t="s">
        <v>65</v>
      </c>
      <c r="I242" s="365"/>
      <c r="J242" s="366"/>
      <c r="K242" s="367"/>
      <c r="L242" s="367"/>
      <c r="M242" s="366"/>
      <c r="N242" s="368"/>
      <c r="O242" s="369" t="str">
        <f>IF(AND(O$140&lt;&gt;"",O$140&lt;&gt;"geen"),O$141,"")</f>
        <v>elektriciteit</v>
      </c>
      <c r="P242" s="369" t="str">
        <f>IF(AND(P$140&lt;&gt;"",P$140&lt;&gt;"geen"),P$141,"")</f>
        <v/>
      </c>
      <c r="Q242" s="369" t="str">
        <f>IF(AND(Q$140&lt;&gt;"",Q$140&lt;&gt;"geen"),Q$141,"")</f>
        <v>elektriciteit</v>
      </c>
      <c r="R242" s="612"/>
      <c r="S242" s="612"/>
      <c r="T242" s="612"/>
      <c r="U242" s="612"/>
      <c r="V242" s="612"/>
      <c r="W242" s="612"/>
      <c r="X242" s="118"/>
      <c r="Y242" s="366"/>
      <c r="Z242" s="368"/>
      <c r="AA242" s="369" t="str">
        <f>IF(AND(AA$140&lt;&gt;"",AA$140&lt;&gt;"geen"),AA$141,"")</f>
        <v>elektriciteit</v>
      </c>
      <c r="AB242" s="369" t="str">
        <f>IF(AND(AB$140&lt;&gt;"",AB$140&lt;&gt;"geen"),AB$141,"")</f>
        <v/>
      </c>
      <c r="AC242" s="369" t="str">
        <f>IF(AND(AC$140&lt;&gt;"",AC$140&lt;&gt;"geen"),AC$141,"")</f>
        <v>elektriciteit</v>
      </c>
      <c r="AD242" s="612"/>
      <c r="AE242" s="612"/>
      <c r="AF242" s="612"/>
      <c r="AG242" s="612"/>
      <c r="AH242" s="612"/>
      <c r="AI242" s="612"/>
      <c r="AJ242" s="118"/>
      <c r="AK242" s="366"/>
      <c r="AL242" s="368"/>
      <c r="AM242" s="369" t="str">
        <f>IF(AND(AM$140&lt;&gt;"",AM$140&lt;&gt;"geen"),AM$141,"")</f>
        <v>elektriciteit</v>
      </c>
      <c r="AN242" s="369" t="str">
        <f>IF(AND(AN$140&lt;&gt;"",AN$140&lt;&gt;"geen"),AN$141,"")</f>
        <v/>
      </c>
      <c r="AO242" s="369" t="str">
        <f>IF(AND(AO$140&lt;&gt;"",AO$140&lt;&gt;"geen"),AO$141,"")</f>
        <v>elektriciteit</v>
      </c>
      <c r="AP242" s="612"/>
      <c r="AQ242" s="612"/>
      <c r="AR242" s="612"/>
      <c r="AS242" s="612"/>
      <c r="AT242" s="612"/>
      <c r="AU242" s="612"/>
      <c r="AV242" s="118"/>
      <c r="AW242" s="366"/>
      <c r="AX242" s="368"/>
      <c r="AY242" s="369" t="str">
        <f>IF(AND(AY$140&lt;&gt;"",AY$140&lt;&gt;"geen"),AY$141,"")</f>
        <v>elektriciteit</v>
      </c>
      <c r="AZ242" s="369" t="str">
        <f>IF(AND(AZ$140&lt;&gt;"",AZ$140&lt;&gt;"geen"),AZ$141,"")</f>
        <v/>
      </c>
      <c r="BA242" s="369" t="str">
        <f>IF(AND(BA$140&lt;&gt;"",BA$140&lt;&gt;"geen"),BA$141,"")</f>
        <v>elektriciteit</v>
      </c>
      <c r="BB242" s="612"/>
      <c r="BC242" s="612"/>
      <c r="BD242" s="612"/>
      <c r="BE242" s="612"/>
      <c r="BF242" s="612"/>
      <c r="BG242" s="612"/>
      <c r="BH242" s="222"/>
    </row>
    <row r="243" spans="1:60" s="2" customFormat="1">
      <c r="A243" s="1038"/>
      <c r="B243" s="1109" t="s">
        <v>1218</v>
      </c>
      <c r="C243" s="1106" t="s">
        <v>104</v>
      </c>
      <c r="D243" s="644"/>
      <c r="E243" s="347"/>
      <c r="F243" s="255" t="s">
        <v>245</v>
      </c>
      <c r="G243" s="255"/>
      <c r="H243" s="361" t="s">
        <v>106</v>
      </c>
      <c r="I243" s="161"/>
      <c r="J243" s="307">
        <f>M243+Y243+AK243+AW243</f>
        <v>0</v>
      </c>
      <c r="K243" s="362"/>
      <c r="L243" s="362"/>
      <c r="M243" s="307">
        <f>SUM(N243:X243)</f>
        <v>0</v>
      </c>
      <c r="N243" s="308"/>
      <c r="O243" s="363">
        <f>IF(O242="",0,(O$141=O242)*O$151)</f>
        <v>0</v>
      </c>
      <c r="P243" s="363">
        <f>IF(P242="",0,(P$141=P242)*P$151)</f>
        <v>0</v>
      </c>
      <c r="Q243" s="363">
        <f>IF(Q242="",0,(Q$141=Q242)*Q$151)</f>
        <v>0</v>
      </c>
      <c r="R243" s="309"/>
      <c r="S243" s="309"/>
      <c r="T243" s="309"/>
      <c r="U243" s="309"/>
      <c r="V243" s="309"/>
      <c r="W243" s="309"/>
      <c r="X243" s="113"/>
      <c r="Y243" s="307">
        <f>SUM(Z243:AJ243)</f>
        <v>0</v>
      </c>
      <c r="Z243" s="308"/>
      <c r="AA243" s="363">
        <f>IF(AA242="",0,(AA$141=AA242)*AA$151)</f>
        <v>0</v>
      </c>
      <c r="AB243" s="363">
        <f>IF(AB242="",0,(AB$141=AB242)*AB$151)</f>
        <v>0</v>
      </c>
      <c r="AC243" s="363">
        <f>IF(AC242="",0,(AC$141=AC242)*AC$151)</f>
        <v>0</v>
      </c>
      <c r="AD243" s="309"/>
      <c r="AE243" s="309"/>
      <c r="AF243" s="309"/>
      <c r="AG243" s="309"/>
      <c r="AH243" s="309"/>
      <c r="AI243" s="309"/>
      <c r="AJ243" s="113"/>
      <c r="AK243" s="307">
        <f>SUM(AL243:AV243)</f>
        <v>0</v>
      </c>
      <c r="AL243" s="308"/>
      <c r="AM243" s="363">
        <f>IF(AM242="",0,(AM$141=AM242)*AM$151)</f>
        <v>0</v>
      </c>
      <c r="AN243" s="363">
        <f>IF(AN242="",0,(AN$141=AN242)*AN$151)</f>
        <v>0</v>
      </c>
      <c r="AO243" s="363">
        <f>IF(AO242="",0,(AO$141=AO242)*AO$151)</f>
        <v>0</v>
      </c>
      <c r="AP243" s="309"/>
      <c r="AQ243" s="309"/>
      <c r="AR243" s="309"/>
      <c r="AS243" s="309"/>
      <c r="AT243" s="309"/>
      <c r="AU243" s="309"/>
      <c r="AV243" s="113"/>
      <c r="AW243" s="307">
        <f>SUM(AX243:BH243)</f>
        <v>0</v>
      </c>
      <c r="AX243" s="308"/>
      <c r="AY243" s="363">
        <f>IF(AY242="",0,(AY$141=AY242)*AY$151)</f>
        <v>0</v>
      </c>
      <c r="AZ243" s="363">
        <f>IF(AZ242="",0,(AZ$141=AZ242)*AZ$151)</f>
        <v>0</v>
      </c>
      <c r="BA243" s="363">
        <f>IF(BA242="",0,(BA$141=BA242)*BA$151)</f>
        <v>0</v>
      </c>
      <c r="BB243" s="309"/>
      <c r="BC243" s="309"/>
      <c r="BD243" s="309"/>
      <c r="BE243" s="309"/>
      <c r="BF243" s="309"/>
      <c r="BG243" s="309"/>
      <c r="BH243" s="222"/>
    </row>
    <row r="244" spans="1:60" s="2" customFormat="1">
      <c r="A244" s="1038"/>
      <c r="B244" s="1109" t="s">
        <v>1218</v>
      </c>
      <c r="C244" s="1106" t="s">
        <v>104</v>
      </c>
      <c r="D244" s="644"/>
      <c r="E244" s="254" t="s">
        <v>247</v>
      </c>
      <c r="F244" s="303" t="s">
        <v>190</v>
      </c>
      <c r="G244" s="303"/>
      <c r="H244" s="364" t="s">
        <v>65</v>
      </c>
      <c r="I244" s="365"/>
      <c r="J244" s="370"/>
      <c r="K244" s="367"/>
      <c r="L244" s="367"/>
      <c r="M244" s="366"/>
      <c r="N244" s="368"/>
      <c r="O244" s="369" t="str">
        <f t="shared" ref="O244:W244" si="206">elektriciteit</f>
        <v>elektriciteit</v>
      </c>
      <c r="P244" s="369" t="str">
        <f t="shared" si="206"/>
        <v>elektriciteit</v>
      </c>
      <c r="Q244" s="369" t="str">
        <f t="shared" si="206"/>
        <v>elektriciteit</v>
      </c>
      <c r="R244" s="369" t="str">
        <f t="shared" si="206"/>
        <v>elektriciteit</v>
      </c>
      <c r="S244" s="369" t="str">
        <f t="shared" si="206"/>
        <v>elektriciteit</v>
      </c>
      <c r="T244" s="369" t="str">
        <f>aardgas</f>
        <v>aardgas</v>
      </c>
      <c r="U244" s="369" t="str">
        <f t="shared" si="206"/>
        <v>elektriciteit</v>
      </c>
      <c r="V244" s="369" t="str">
        <f t="shared" si="206"/>
        <v>elektriciteit</v>
      </c>
      <c r="W244" s="369" t="str">
        <f t="shared" si="206"/>
        <v>elektriciteit</v>
      </c>
      <c r="X244" s="118"/>
      <c r="Y244" s="366"/>
      <c r="Z244" s="368"/>
      <c r="AA244" s="369" t="str">
        <f t="shared" ref="AA244:AI244" si="207">elektriciteit</f>
        <v>elektriciteit</v>
      </c>
      <c r="AB244" s="369" t="str">
        <f t="shared" si="207"/>
        <v>elektriciteit</v>
      </c>
      <c r="AC244" s="369" t="str">
        <f t="shared" si="207"/>
        <v>elektriciteit</v>
      </c>
      <c r="AD244" s="369" t="str">
        <f t="shared" si="207"/>
        <v>elektriciteit</v>
      </c>
      <c r="AE244" s="369" t="str">
        <f t="shared" si="207"/>
        <v>elektriciteit</v>
      </c>
      <c r="AF244" s="369" t="str">
        <f>aardgas</f>
        <v>aardgas</v>
      </c>
      <c r="AG244" s="369" t="str">
        <f t="shared" si="207"/>
        <v>elektriciteit</v>
      </c>
      <c r="AH244" s="369" t="str">
        <f t="shared" si="207"/>
        <v>elektriciteit</v>
      </c>
      <c r="AI244" s="369" t="str">
        <f t="shared" si="207"/>
        <v>elektriciteit</v>
      </c>
      <c r="AJ244" s="118"/>
      <c r="AK244" s="366"/>
      <c r="AL244" s="368"/>
      <c r="AM244" s="369" t="str">
        <f t="shared" ref="AM244:AU244" si="208">elektriciteit</f>
        <v>elektriciteit</v>
      </c>
      <c r="AN244" s="369" t="str">
        <f t="shared" si="208"/>
        <v>elektriciteit</v>
      </c>
      <c r="AO244" s="369" t="str">
        <f t="shared" si="208"/>
        <v>elektriciteit</v>
      </c>
      <c r="AP244" s="369" t="str">
        <f t="shared" si="208"/>
        <v>elektriciteit</v>
      </c>
      <c r="AQ244" s="369" t="str">
        <f t="shared" si="208"/>
        <v>elektriciteit</v>
      </c>
      <c r="AR244" s="369" t="str">
        <f>aardgas</f>
        <v>aardgas</v>
      </c>
      <c r="AS244" s="369" t="str">
        <f t="shared" si="208"/>
        <v>elektriciteit</v>
      </c>
      <c r="AT244" s="369" t="str">
        <f t="shared" si="208"/>
        <v>elektriciteit</v>
      </c>
      <c r="AU244" s="369" t="str">
        <f t="shared" si="208"/>
        <v>elektriciteit</v>
      </c>
      <c r="AV244" s="118"/>
      <c r="AW244" s="366"/>
      <c r="AX244" s="368"/>
      <c r="AY244" s="369" t="str">
        <f t="shared" ref="AY244:BG244" si="209">elektriciteit</f>
        <v>elektriciteit</v>
      </c>
      <c r="AZ244" s="369" t="str">
        <f t="shared" si="209"/>
        <v>elektriciteit</v>
      </c>
      <c r="BA244" s="369" t="str">
        <f t="shared" si="209"/>
        <v>elektriciteit</v>
      </c>
      <c r="BB244" s="369" t="str">
        <f t="shared" si="209"/>
        <v>elektriciteit</v>
      </c>
      <c r="BC244" s="369" t="str">
        <f t="shared" si="209"/>
        <v>elektriciteit</v>
      </c>
      <c r="BD244" s="369" t="str">
        <f>aardgas</f>
        <v>aardgas</v>
      </c>
      <c r="BE244" s="369" t="str">
        <f t="shared" si="209"/>
        <v>elektriciteit</v>
      </c>
      <c r="BF244" s="369" t="str">
        <f t="shared" si="209"/>
        <v>elektriciteit</v>
      </c>
      <c r="BG244" s="369" t="str">
        <f t="shared" si="209"/>
        <v>elektriciteit</v>
      </c>
      <c r="BH244" s="219"/>
    </row>
    <row r="245" spans="1:60" s="2" customFormat="1">
      <c r="A245" s="1038"/>
      <c r="B245" s="1109" t="s">
        <v>1218</v>
      </c>
      <c r="C245" s="1106" t="s">
        <v>104</v>
      </c>
      <c r="D245" s="644"/>
      <c r="E245" s="255" t="s">
        <v>248</v>
      </c>
      <c r="F245" s="255" t="s">
        <v>245</v>
      </c>
      <c r="G245" s="255"/>
      <c r="H245" s="361" t="s">
        <v>106</v>
      </c>
      <c r="I245" s="161"/>
      <c r="J245" s="307">
        <f>M245+Y245+AK245+AW245</f>
        <v>0</v>
      </c>
      <c r="K245" s="362"/>
      <c r="L245" s="362"/>
      <c r="M245" s="307">
        <f>SUM(N245:X245)</f>
        <v>0</v>
      </c>
      <c r="N245" s="308"/>
      <c r="O245" s="363">
        <f>IF(O244=elektriciteit,O$174-O$214,O$78*bibliotheek!$K$261)</f>
        <v>0</v>
      </c>
      <c r="P245" s="363">
        <f>IF(P244=elektriciteit,P$174-P$214,P$78*bibliotheek!$K$261)</f>
        <v>0</v>
      </c>
      <c r="Q245" s="363">
        <f>IF(Q244=elektriciteit,Q$174-Q$214,Q$78*bibliotheek!$K$261)</f>
        <v>0</v>
      </c>
      <c r="R245" s="363">
        <f>IF(R244=elektriciteit,R$174-R$214,R$78*bibliotheek!$K$261)</f>
        <v>0</v>
      </c>
      <c r="S245" s="363">
        <f>IF(S244=elektriciteit,S$174-S$214,S$78*bibliotheek!$K$261)</f>
        <v>0</v>
      </c>
      <c r="T245" s="363">
        <f>IF(T244=elektriciteit,T$174-T$214,T$78*bibliotheek!$K$261)</f>
        <v>0</v>
      </c>
      <c r="U245" s="363">
        <f>IF(U244=elektriciteit,U$174-U$214,U$78*bibliotheek!$K$261)</f>
        <v>0</v>
      </c>
      <c r="V245" s="363">
        <f>IF(V244=elektriciteit,V$174-V$214,V$78*bibliotheek!$K$261)</f>
        <v>0</v>
      </c>
      <c r="W245" s="363">
        <f>IF(W244=elektriciteit,W$174-W$214,W$78*bibliotheek!$K$261)</f>
        <v>0</v>
      </c>
      <c r="X245" s="113"/>
      <c r="Y245" s="307">
        <f>SUM(Z245:AJ245)</f>
        <v>0</v>
      </c>
      <c r="Z245" s="308"/>
      <c r="AA245" s="363">
        <f>IF(AA244=elektriciteit,AA$174-AA$214,AA$78*bibliotheek!$K$261)</f>
        <v>0</v>
      </c>
      <c r="AB245" s="363">
        <f>IF(AB244=elektriciteit,AB$174-AB$214,AB$78*bibliotheek!$K$261)</f>
        <v>0</v>
      </c>
      <c r="AC245" s="363">
        <f>IF(AC244=elektriciteit,AC$174-AC$214,AC$78*bibliotheek!$K$261)</f>
        <v>0</v>
      </c>
      <c r="AD245" s="363">
        <f>IF(AD244=elektriciteit,AD$174-AD$214,AD$78*bibliotheek!$K$261)</f>
        <v>0</v>
      </c>
      <c r="AE245" s="363">
        <f>IF(AE244=elektriciteit,AE$174-AE$214,AE$78*bibliotheek!$K$261)</f>
        <v>0</v>
      </c>
      <c r="AF245" s="363">
        <f>IF(AF244=elektriciteit,AF$174-AF$214,AF$78*bibliotheek!$K$261)</f>
        <v>0</v>
      </c>
      <c r="AG245" s="363">
        <f>IF(AG244=elektriciteit,AG$174-AG$214,AG$78*bibliotheek!$K$261)</f>
        <v>0</v>
      </c>
      <c r="AH245" s="363">
        <f>IF(AH244=elektriciteit,AH$174-AH$214,AH$78*bibliotheek!$K$261)</f>
        <v>0</v>
      </c>
      <c r="AI245" s="363">
        <f>IF(AI244=elektriciteit,AI$174-AI$214,AI$78*bibliotheek!$K$261)</f>
        <v>0</v>
      </c>
      <c r="AJ245" s="113"/>
      <c r="AK245" s="307">
        <f>SUM(AL245:AV245)</f>
        <v>0</v>
      </c>
      <c r="AL245" s="308"/>
      <c r="AM245" s="363">
        <f>IF(AM244=elektriciteit,AM$174-AM$214,AM$78*bibliotheek!$K$261)</f>
        <v>0</v>
      </c>
      <c r="AN245" s="363">
        <f>IF(AN244=elektriciteit,AN$174-AN$214,AN$78*bibliotheek!$K$261)</f>
        <v>0</v>
      </c>
      <c r="AO245" s="363">
        <f>IF(AO244=elektriciteit,AO$174-AO$214,AO$78*bibliotheek!$K$261)</f>
        <v>0</v>
      </c>
      <c r="AP245" s="363">
        <f>IF(AP244=elektriciteit,AP$174-AP$214,AP$78*bibliotheek!$K$261)</f>
        <v>0</v>
      </c>
      <c r="AQ245" s="363">
        <f>IF(AQ244=elektriciteit,AQ$174-AQ$214,AQ$78*bibliotheek!$K$261)</f>
        <v>0</v>
      </c>
      <c r="AR245" s="363">
        <f>IF(AR244=elektriciteit,AR$174-AR$214,AR$78*bibliotheek!$K$261)</f>
        <v>0</v>
      </c>
      <c r="AS245" s="363">
        <f>IF(AS244=elektriciteit,AS$174-AS$214,AS$78*bibliotheek!$K$261)</f>
        <v>0</v>
      </c>
      <c r="AT245" s="363">
        <f>IF(AT244=elektriciteit,AT$174-AT$214,AT$78*bibliotheek!$K$261)</f>
        <v>0</v>
      </c>
      <c r="AU245" s="363">
        <f>IF(AU244=elektriciteit,AU$174-AU$214,AU$78*bibliotheek!$K$261)</f>
        <v>0</v>
      </c>
      <c r="AV245" s="113"/>
      <c r="AW245" s="307">
        <f>SUM(AX245:BH245)</f>
        <v>0</v>
      </c>
      <c r="AX245" s="308"/>
      <c r="AY245" s="363">
        <f>IF(AY244=elektriciteit,AY$174-AY$214,AY$78*bibliotheek!$K$261)</f>
        <v>0</v>
      </c>
      <c r="AZ245" s="363">
        <f>IF(AZ244=elektriciteit,AZ$174-AZ$214,AZ$78*bibliotheek!$K$261)</f>
        <v>0</v>
      </c>
      <c r="BA245" s="363">
        <f>IF(BA244=elektriciteit,BA$174-BA$214,BA$78*bibliotheek!$K$261)</f>
        <v>0</v>
      </c>
      <c r="BB245" s="363">
        <f>IF(BB244=elektriciteit,BB$174-BB$214,BB$78*bibliotheek!$K$261)</f>
        <v>0</v>
      </c>
      <c r="BC245" s="363">
        <f>IF(BC244=elektriciteit,BC$174-BC$214,BC$78*bibliotheek!$K$261)</f>
        <v>0</v>
      </c>
      <c r="BD245" s="363">
        <f>IF(BD244=elektriciteit,BD$174-BD$214,BD$78*bibliotheek!$K$261)</f>
        <v>0</v>
      </c>
      <c r="BE245" s="363">
        <f>IF(BE244=elektriciteit,BE$174-BE$214,BE$78*bibliotheek!$K$261)</f>
        <v>0</v>
      </c>
      <c r="BF245" s="363">
        <f>IF(BF244=elektriciteit,BF$174-BF$214,BF$78*bibliotheek!$K$261)</f>
        <v>0</v>
      </c>
      <c r="BG245" s="363">
        <f>IF(BG244=elektriciteit,BG$174-BG$214,BG$78*bibliotheek!$K$261)</f>
        <v>0</v>
      </c>
      <c r="BH245" s="222"/>
    </row>
    <row r="246" spans="1:60" s="2" customFormat="1">
      <c r="A246" s="1038"/>
      <c r="B246" s="1110" t="s">
        <v>1218</v>
      </c>
      <c r="C246" s="1106" t="s">
        <v>104</v>
      </c>
      <c r="D246" s="644"/>
      <c r="E246" s="180" t="s">
        <v>232</v>
      </c>
      <c r="F246" s="180" t="s">
        <v>245</v>
      </c>
      <c r="G246" s="180"/>
      <c r="H246" s="201" t="s">
        <v>106</v>
      </c>
      <c r="I246" s="114"/>
      <c r="J246" s="202">
        <f>M246+Y246+AK246+AW246</f>
        <v>0</v>
      </c>
      <c r="K246" s="362"/>
      <c r="L246" s="362"/>
      <c r="M246" s="202">
        <f>SUM(N246:X246)</f>
        <v>0</v>
      </c>
      <c r="N246" s="89"/>
      <c r="O246" s="168">
        <f>O241+O243+O245</f>
        <v>0</v>
      </c>
      <c r="P246" s="168">
        <f t="shared" ref="P246:W246" si="210">P245+IF(P241="",0,P241)+IF(P243="",0,P243)</f>
        <v>0</v>
      </c>
      <c r="Q246" s="168">
        <f t="shared" si="210"/>
        <v>0</v>
      </c>
      <c r="R246" s="168">
        <f t="shared" si="210"/>
        <v>0</v>
      </c>
      <c r="S246" s="168">
        <f t="shared" si="210"/>
        <v>0</v>
      </c>
      <c r="T246" s="168">
        <f t="shared" si="210"/>
        <v>0</v>
      </c>
      <c r="U246" s="168">
        <f t="shared" si="210"/>
        <v>0</v>
      </c>
      <c r="V246" s="168">
        <f t="shared" si="210"/>
        <v>0</v>
      </c>
      <c r="W246" s="168">
        <f t="shared" si="210"/>
        <v>0</v>
      </c>
      <c r="X246" s="113"/>
      <c r="Y246" s="202">
        <f>SUM(Z246:AJ246)</f>
        <v>0</v>
      </c>
      <c r="Z246" s="89"/>
      <c r="AA246" s="168">
        <f>AA241+AA243+AA245</f>
        <v>0</v>
      </c>
      <c r="AB246" s="168">
        <f t="shared" ref="AB246:AI246" si="211">AB245+IF(AB241="",0,AB241)+IF(AB243="",0,AB243)</f>
        <v>0</v>
      </c>
      <c r="AC246" s="168">
        <f t="shared" si="211"/>
        <v>0</v>
      </c>
      <c r="AD246" s="168">
        <f t="shared" si="211"/>
        <v>0</v>
      </c>
      <c r="AE246" s="168">
        <f t="shared" si="211"/>
        <v>0</v>
      </c>
      <c r="AF246" s="168">
        <f t="shared" si="211"/>
        <v>0</v>
      </c>
      <c r="AG246" s="168">
        <f t="shared" si="211"/>
        <v>0</v>
      </c>
      <c r="AH246" s="168">
        <f t="shared" si="211"/>
        <v>0</v>
      </c>
      <c r="AI246" s="168">
        <f t="shared" si="211"/>
        <v>0</v>
      </c>
      <c r="AJ246" s="113"/>
      <c r="AK246" s="202">
        <f>SUM(AL246:AV246)</f>
        <v>0</v>
      </c>
      <c r="AL246" s="89"/>
      <c r="AM246" s="168">
        <f>AM241+AM243+AM245</f>
        <v>0</v>
      </c>
      <c r="AN246" s="168">
        <f t="shared" ref="AN246:AU246" si="212">AN245+IF(AN241="",0,AN241)+IF(AN243="",0,AN243)</f>
        <v>0</v>
      </c>
      <c r="AO246" s="168">
        <f t="shared" si="212"/>
        <v>0</v>
      </c>
      <c r="AP246" s="168">
        <f t="shared" si="212"/>
        <v>0</v>
      </c>
      <c r="AQ246" s="168">
        <f t="shared" si="212"/>
        <v>0</v>
      </c>
      <c r="AR246" s="168">
        <f t="shared" si="212"/>
        <v>0</v>
      </c>
      <c r="AS246" s="168">
        <f t="shared" si="212"/>
        <v>0</v>
      </c>
      <c r="AT246" s="168">
        <f t="shared" si="212"/>
        <v>0</v>
      </c>
      <c r="AU246" s="168">
        <f t="shared" si="212"/>
        <v>0</v>
      </c>
      <c r="AV246" s="113"/>
      <c r="AW246" s="202">
        <f>SUM(AX246:BH246)</f>
        <v>0</v>
      </c>
      <c r="AX246" s="89"/>
      <c r="AY246" s="168">
        <f>AY241+AY243+AY245</f>
        <v>0</v>
      </c>
      <c r="AZ246" s="168">
        <f t="shared" ref="AZ246:BG246" si="213">AZ245+IF(AZ241="",0,AZ241)+IF(AZ243="",0,AZ243)</f>
        <v>0</v>
      </c>
      <c r="BA246" s="168">
        <f t="shared" si="213"/>
        <v>0</v>
      </c>
      <c r="BB246" s="168">
        <f t="shared" si="213"/>
        <v>0</v>
      </c>
      <c r="BC246" s="168">
        <f t="shared" si="213"/>
        <v>0</v>
      </c>
      <c r="BD246" s="168">
        <f t="shared" si="213"/>
        <v>0</v>
      </c>
      <c r="BE246" s="168">
        <f t="shared" si="213"/>
        <v>0</v>
      </c>
      <c r="BF246" s="168">
        <f t="shared" si="213"/>
        <v>0</v>
      </c>
      <c r="BG246" s="168">
        <f t="shared" si="213"/>
        <v>0</v>
      </c>
      <c r="BH246" s="222"/>
    </row>
    <row r="247" spans="1:60">
      <c r="A247" s="1040"/>
      <c r="B247" s="1109" t="s">
        <v>1218</v>
      </c>
      <c r="C247" s="1106" t="s">
        <v>96</v>
      </c>
      <c r="D247" s="638"/>
      <c r="E247" s="79"/>
      <c r="F247" s="79"/>
      <c r="G247" s="79"/>
      <c r="H247" s="82"/>
      <c r="I247" s="122"/>
      <c r="J247" s="113"/>
      <c r="K247" s="79"/>
      <c r="L247" s="79"/>
      <c r="M247" s="113"/>
      <c r="N247" s="79"/>
      <c r="O247" s="85"/>
      <c r="P247" s="85"/>
      <c r="Q247" s="82"/>
      <c r="R247" s="82"/>
      <c r="S247" s="82"/>
      <c r="T247" s="82"/>
      <c r="U247" s="82"/>
      <c r="V247" s="82"/>
      <c r="W247" s="82"/>
      <c r="X247" s="82"/>
      <c r="Y247" s="113"/>
      <c r="Z247" s="79"/>
      <c r="AA247" s="85"/>
      <c r="AB247" s="85"/>
      <c r="AC247" s="82"/>
      <c r="AD247" s="82"/>
      <c r="AE247" s="82"/>
      <c r="AF247" s="82"/>
      <c r="AG247" s="82"/>
      <c r="AH247" s="82"/>
      <c r="AI247" s="82"/>
      <c r="AJ247" s="82"/>
      <c r="AK247" s="113"/>
      <c r="AL247" s="79"/>
      <c r="AM247" s="85"/>
      <c r="AN247" s="85"/>
      <c r="AO247" s="82"/>
      <c r="AP247" s="82"/>
      <c r="AQ247" s="82"/>
      <c r="AR247" s="82"/>
      <c r="AS247" s="82"/>
      <c r="AT247" s="82"/>
      <c r="AU247" s="82"/>
      <c r="AV247" s="82"/>
      <c r="AW247" s="113"/>
      <c r="AX247" s="79"/>
      <c r="AY247" s="82"/>
      <c r="AZ247" s="82"/>
      <c r="BA247" s="82"/>
      <c r="BB247" s="82"/>
      <c r="BC247" s="82"/>
      <c r="BD247" s="82"/>
      <c r="BE247" s="82"/>
      <c r="BF247" s="82"/>
      <c r="BG247" s="82"/>
      <c r="BH247" s="1"/>
    </row>
    <row r="248" spans="1:60">
      <c r="A248" s="1040"/>
      <c r="B248" s="1109" t="s">
        <v>249</v>
      </c>
      <c r="C248" s="1106" t="s">
        <v>96</v>
      </c>
      <c r="D248" s="638"/>
      <c r="E248" s="79"/>
      <c r="F248" s="79"/>
      <c r="G248" s="79"/>
      <c r="H248" s="85"/>
      <c r="I248" s="79"/>
      <c r="J248" s="82"/>
      <c r="K248" s="79"/>
      <c r="L248" s="79"/>
      <c r="M248" s="82"/>
      <c r="N248" s="79"/>
      <c r="O248" s="82"/>
      <c r="P248" s="82"/>
      <c r="Q248" s="82"/>
      <c r="R248" s="82"/>
      <c r="S248" s="82"/>
      <c r="T248" s="82"/>
      <c r="U248" s="82"/>
      <c r="V248" s="82"/>
      <c r="W248" s="82"/>
      <c r="X248" s="82"/>
      <c r="Y248" s="82"/>
      <c r="Z248" s="79"/>
      <c r="AA248" s="82"/>
      <c r="AB248" s="82"/>
      <c r="AC248" s="82"/>
      <c r="AD248" s="82"/>
      <c r="AE248" s="82"/>
      <c r="AF248" s="82"/>
      <c r="AG248" s="82"/>
      <c r="AH248" s="82"/>
      <c r="AI248" s="82"/>
      <c r="AJ248" s="82"/>
      <c r="AK248" s="82"/>
      <c r="AL248" s="79"/>
      <c r="AM248" s="82"/>
      <c r="AN248" s="82"/>
      <c r="AO248" s="82"/>
      <c r="AP248" s="82"/>
      <c r="AQ248" s="82"/>
      <c r="AR248" s="82"/>
      <c r="AS248" s="82"/>
      <c r="AT248" s="82"/>
      <c r="AU248" s="82"/>
      <c r="AV248" s="82"/>
      <c r="AW248" s="82"/>
      <c r="AX248" s="79"/>
      <c r="AY248" s="82"/>
      <c r="AZ248" s="82"/>
      <c r="BA248" s="82"/>
      <c r="BB248" s="82"/>
      <c r="BC248" s="82"/>
      <c r="BD248" s="82"/>
      <c r="BE248" s="82"/>
      <c r="BF248" s="82"/>
      <c r="BG248" s="82"/>
      <c r="BH248" s="1"/>
    </row>
    <row r="249" spans="1:60" ht="21">
      <c r="A249" s="1040"/>
      <c r="B249" s="1109" t="s">
        <v>249</v>
      </c>
      <c r="C249" s="1106" t="s">
        <v>96</v>
      </c>
      <c r="D249" s="643"/>
      <c r="E249" s="1181" t="s">
        <v>1357</v>
      </c>
      <c r="F249" s="1181"/>
      <c r="G249" s="1181"/>
      <c r="H249" s="1181"/>
      <c r="I249" s="77"/>
      <c r="J249" s="200" t="str">
        <f>J$10</f>
        <v>alle locaties</v>
      </c>
      <c r="K249" s="126"/>
      <c r="L249" s="126"/>
      <c r="M249" s="200" t="str">
        <f>M$10</f>
        <v>locatie 1</v>
      </c>
      <c r="N249" s="182"/>
      <c r="O249" s="966" t="str">
        <f>$E249&amp;" per energiepost"</f>
        <v>hernieuwbaar primair fossiel energiegebruik per energiepost per energiepost</v>
      </c>
      <c r="P249" s="941"/>
      <c r="Q249" s="941"/>
      <c r="R249" s="941"/>
      <c r="S249" s="941"/>
      <c r="T249" s="941"/>
      <c r="U249" s="941"/>
      <c r="V249" s="941"/>
      <c r="W249" s="956"/>
      <c r="X249" s="174"/>
      <c r="Y249" s="200" t="str">
        <f>Y$10</f>
        <v>locatie 2</v>
      </c>
      <c r="Z249" s="182"/>
      <c r="AA249" s="966" t="str">
        <f>$E249&amp;" per energiepost"</f>
        <v>hernieuwbaar primair fossiel energiegebruik per energiepost per energiepost</v>
      </c>
      <c r="AB249" s="941"/>
      <c r="AC249" s="941"/>
      <c r="AD249" s="941"/>
      <c r="AE249" s="941"/>
      <c r="AF249" s="941"/>
      <c r="AG249" s="941"/>
      <c r="AH249" s="941"/>
      <c r="AI249" s="956"/>
      <c r="AJ249" s="174"/>
      <c r="AK249" s="200" t="str">
        <f>AK$10</f>
        <v>locatie 3</v>
      </c>
      <c r="AL249" s="182"/>
      <c r="AM249" s="966" t="str">
        <f>$E249&amp;" per energiepost"</f>
        <v>hernieuwbaar primair fossiel energiegebruik per energiepost per energiepost</v>
      </c>
      <c r="AN249" s="941"/>
      <c r="AO249" s="941"/>
      <c r="AP249" s="941"/>
      <c r="AQ249" s="941"/>
      <c r="AR249" s="941"/>
      <c r="AS249" s="941"/>
      <c r="AT249" s="941"/>
      <c r="AU249" s="956"/>
      <c r="AV249" s="174"/>
      <c r="AW249" s="200" t="str">
        <f>AW$10</f>
        <v>locatie 4</v>
      </c>
      <c r="AX249" s="182"/>
      <c r="AY249" s="966" t="str">
        <f>$E249&amp;" per energiepost"</f>
        <v>hernieuwbaar primair fossiel energiegebruik per energiepost per energiepost</v>
      </c>
      <c r="AZ249" s="941"/>
      <c r="BA249" s="941"/>
      <c r="BB249" s="941"/>
      <c r="BC249" s="941"/>
      <c r="BD249" s="941"/>
      <c r="BE249" s="941"/>
      <c r="BF249" s="941"/>
      <c r="BG249" s="956"/>
      <c r="BH249" s="1"/>
    </row>
    <row r="250" spans="1:60">
      <c r="A250" s="1040"/>
      <c r="B250" s="1109" t="s">
        <v>249</v>
      </c>
      <c r="C250" s="1106" t="s">
        <v>96</v>
      </c>
      <c r="D250" s="638"/>
      <c r="E250" s="940" t="s">
        <v>1316</v>
      </c>
      <c r="F250" s="940"/>
      <c r="G250" s="940"/>
      <c r="H250" s="940"/>
      <c r="I250" s="77"/>
      <c r="J250" s="939"/>
      <c r="K250" s="126"/>
      <c r="L250" s="126"/>
      <c r="M250" s="938"/>
      <c r="N250" s="191"/>
      <c r="O250" s="177" t="str">
        <f>O$10</f>
        <v>verwarming</v>
      </c>
      <c r="P250" s="177" t="str">
        <f>P$10</f>
        <v>koeling</v>
      </c>
      <c r="Q250" s="177" t="str">
        <f>Q$10</f>
        <v>tapwater</v>
      </c>
      <c r="R250" s="177"/>
      <c r="S250" s="177"/>
      <c r="T250" s="177"/>
      <c r="U250" s="177"/>
      <c r="V250" s="177"/>
      <c r="W250" s="177" t="str">
        <f>W$10</f>
        <v>zonnepanelen</v>
      </c>
      <c r="X250" s="191"/>
      <c r="Y250" s="938"/>
      <c r="Z250" s="191"/>
      <c r="AA250" s="177" t="str">
        <f>AA$10</f>
        <v>verwarming</v>
      </c>
      <c r="AB250" s="177" t="str">
        <f>AB$10</f>
        <v>koeling</v>
      </c>
      <c r="AC250" s="177" t="str">
        <f>AC$10</f>
        <v>tapwater</v>
      </c>
      <c r="AD250" s="177"/>
      <c r="AE250" s="177"/>
      <c r="AF250" s="177"/>
      <c r="AG250" s="177"/>
      <c r="AH250" s="177"/>
      <c r="AI250" s="177" t="str">
        <f>AI$10</f>
        <v>zonnepanelen</v>
      </c>
      <c r="AJ250" s="191"/>
      <c r="AK250" s="938"/>
      <c r="AL250" s="191"/>
      <c r="AM250" s="177" t="str">
        <f>AM$10</f>
        <v>verwarming</v>
      </c>
      <c r="AN250" s="177" t="str">
        <f>AN$10</f>
        <v>koeling</v>
      </c>
      <c r="AO250" s="177" t="str">
        <f>AO$10</f>
        <v>tapwater</v>
      </c>
      <c r="AP250" s="177"/>
      <c r="AQ250" s="177"/>
      <c r="AR250" s="177"/>
      <c r="AS250" s="177"/>
      <c r="AT250" s="177"/>
      <c r="AU250" s="177" t="str">
        <f>AU$10</f>
        <v>zonnepanelen</v>
      </c>
      <c r="AV250" s="191"/>
      <c r="AW250" s="938"/>
      <c r="AX250" s="191"/>
      <c r="AY250" s="177" t="str">
        <f>AY$10</f>
        <v>verwarming</v>
      </c>
      <c r="AZ250" s="177" t="str">
        <f>AZ$10</f>
        <v>koeling</v>
      </c>
      <c r="BA250" s="177" t="str">
        <f>BA$10</f>
        <v>tapwater</v>
      </c>
      <c r="BB250" s="177"/>
      <c r="BC250" s="177"/>
      <c r="BD250" s="177"/>
      <c r="BE250" s="177"/>
      <c r="BF250" s="177"/>
      <c r="BG250" s="177" t="str">
        <f>BG$10</f>
        <v>zonnepanelen</v>
      </c>
      <c r="BH250" s="36"/>
    </row>
    <row r="251" spans="1:60">
      <c r="A251" s="1040"/>
      <c r="B251" s="1109" t="s">
        <v>249</v>
      </c>
      <c r="C251" s="1107" t="s">
        <v>104</v>
      </c>
      <c r="D251" s="641" t="s">
        <v>45</v>
      </c>
      <c r="E251" s="180" t="s">
        <v>250</v>
      </c>
      <c r="F251" s="180"/>
      <c r="G251" s="180"/>
      <c r="H251" s="201" t="s">
        <v>160</v>
      </c>
      <c r="I251" s="114"/>
      <c r="J251" s="202">
        <f t="shared" ref="J251:J257" si="214">M251+Y251+AK251+AW251</f>
        <v>0</v>
      </c>
      <c r="K251" s="195"/>
      <c r="L251" s="195"/>
      <c r="M251" s="202">
        <f t="shared" ref="M251:M257" si="215">SUM(N251:X251)</f>
        <v>0</v>
      </c>
      <c r="N251" s="114"/>
      <c r="O251" s="168">
        <f>IF(OR(O$111=0,O$111=""),0,HLOOKUP(IF(O$83="",referentie_verwarming,O$83),toestellen_RV,ROWS(bibliotheek!$E$83:$E$87),FALSE)*O$110*(1-1/O$111)*f_P_renheat)</f>
        <v>0</v>
      </c>
      <c r="P251" s="168">
        <f>IF(OR(P$111=0,P$111=""),0,HLOOKUP(IF(P$83="",referentie_koeling,P$83),toestellen_KOEL,ROWS(bibliotheek!$E$190:$E$193),FALSE)*P$110*(1-1/P$111)*f_P_rencold)</f>
        <v>0</v>
      </c>
      <c r="Q251" s="168">
        <f>IF(OR(Q$111=0,Q$111=""),0,HLOOKUP(IF(Q$83="",referentie_warmtapwater,Q$83),toestellen_TAP,ROWS(bibliotheek!$E$139:$E$143),FALSE)*Q$110*(1-1/Q$111)*f_P_renheat)</f>
        <v>0</v>
      </c>
      <c r="R251" s="273"/>
      <c r="S251" s="273"/>
      <c r="T251" s="273"/>
      <c r="U251" s="273"/>
      <c r="V251" s="273"/>
      <c r="W251" s="273"/>
      <c r="X251" s="113"/>
      <c r="Y251" s="202">
        <f t="shared" ref="Y251:Y257" si="216">SUM(Z251:AJ251)</f>
        <v>0</v>
      </c>
      <c r="Z251" s="114"/>
      <c r="AA251" s="168">
        <f>IF(OR(AA$111=0,AA$111=""),0,HLOOKUP(IF(AA$83="",referentie_verwarming,AA$83),toestellen_RV,ROWS(bibliotheek!$E$83:$E$87),FALSE)*AA$110*(1-1/AA$111)*f_P_renheat)</f>
        <v>0</v>
      </c>
      <c r="AB251" s="168">
        <f>IF(OR(AB$111=0,AB$111=""),0,HLOOKUP(IF(AB$83="",referentie_koeling,AB$83),toestellen_KOEL,ROWS(bibliotheek!$E$190:$E$193),FALSE)*AB$110*(1-1/AB$111)*f_P_rencold)</f>
        <v>0</v>
      </c>
      <c r="AC251" s="168">
        <f>IF(OR(AC$111=0,AC$111=""),0,HLOOKUP(IF(AC$83="",referentie_warmtapwater,AC$83),toestellen_TAP,ROWS(bibliotheek!$E$139:$E$143),FALSE)*AC$110*(1-1/AC$111)*f_P_renheat)</f>
        <v>0</v>
      </c>
      <c r="AD251" s="273"/>
      <c r="AE251" s="273"/>
      <c r="AF251" s="273"/>
      <c r="AG251" s="273"/>
      <c r="AH251" s="273"/>
      <c r="AI251" s="273"/>
      <c r="AJ251" s="113"/>
      <c r="AK251" s="202">
        <f t="shared" ref="AK251:AK257" si="217">SUM(AL251:AV251)</f>
        <v>0</v>
      </c>
      <c r="AL251" s="191"/>
      <c r="AM251" s="168">
        <f>IF(OR(AM$111=0,AM$111=""),0,HLOOKUP(IF(AM$83="",referentie_verwarming,AM$83),toestellen_RV,ROWS(bibliotheek!$E$83:$E$87),FALSE)*AM$110*(1-1/AM$111)*f_P_renheat)</f>
        <v>0</v>
      </c>
      <c r="AN251" s="168">
        <f>IF(OR(AN$111=0,AN$111=""),0,HLOOKUP(IF(AN$83="",referentie_koeling,AN$83),toestellen_KOEL,ROWS(bibliotheek!$E$190:$E$193),FALSE)*AN$110*(1-1/AN$111)*f_P_rencold)</f>
        <v>0</v>
      </c>
      <c r="AO251" s="168">
        <f>IF(OR(AO$111=0,AO$111=""),0,HLOOKUP(IF(AO$83="",referentie_warmtapwater,AO$83),toestellen_TAP,ROWS(bibliotheek!$E$139:$E$143),FALSE)*AO$110*(1-1/AO$111)*f_P_renheat)</f>
        <v>0</v>
      </c>
      <c r="AP251" s="273"/>
      <c r="AQ251" s="273"/>
      <c r="AR251" s="273"/>
      <c r="AS251" s="273"/>
      <c r="AT251" s="273"/>
      <c r="AU251" s="273"/>
      <c r="AV251" s="191"/>
      <c r="AW251" s="202">
        <f t="shared" ref="AW251:AW257" si="218">SUM(AX251:BH251)</f>
        <v>0</v>
      </c>
      <c r="AX251" s="191"/>
      <c r="AY251" s="168">
        <f>IF(OR(AY$111=0,AY$111=""),0,HLOOKUP(IF(AY$83="",referentie_verwarming,AY$83),toestellen_RV,ROWS(bibliotheek!$E$83:$E$87),FALSE)*AY$110*(1-1/AY$111)*f_P_renheat)</f>
        <v>0</v>
      </c>
      <c r="AZ251" s="168">
        <f>IF(OR(AZ$111=0,AZ$111=""),0,HLOOKUP(IF(AZ$83="",referentie_koeling,AZ$83),toestellen_KOEL,ROWS(bibliotheek!$E$190:$E$193),FALSE)*AZ$110*(1-1/AZ$111)*f_P_rencold)</f>
        <v>0</v>
      </c>
      <c r="BA251" s="168">
        <f>IF(OR(BA$111=0,BA$111=""),0,HLOOKUP(IF(BA$83="",referentie_warmtapwater,BA$83),toestellen_TAP,ROWS(bibliotheek!$E$139:$E$143),FALSE)*BA$110*(1-1/BA$111)*f_P_renheat)</f>
        <v>0</v>
      </c>
      <c r="BB251" s="273"/>
      <c r="BC251" s="273"/>
      <c r="BD251" s="273"/>
      <c r="BE251" s="273"/>
      <c r="BF251" s="273"/>
      <c r="BG251" s="273"/>
      <c r="BH251" s="210"/>
    </row>
    <row r="252" spans="1:60">
      <c r="A252" s="1040"/>
      <c r="B252" s="1109" t="s">
        <v>249</v>
      </c>
      <c r="C252" s="1107" t="s">
        <v>104</v>
      </c>
      <c r="D252" s="641" t="s">
        <v>45</v>
      </c>
      <c r="E252" s="180" t="s">
        <v>251</v>
      </c>
      <c r="F252" s="180"/>
      <c r="G252" s="180"/>
      <c r="H252" s="201" t="s">
        <v>160</v>
      </c>
      <c r="I252" s="114"/>
      <c r="J252" s="202">
        <f t="shared" si="214"/>
        <v>0</v>
      </c>
      <c r="K252" s="195"/>
      <c r="L252" s="195"/>
      <c r="M252" s="202">
        <f t="shared" si="215"/>
        <v>0</v>
      </c>
      <c r="N252" s="114"/>
      <c r="O252" s="273"/>
      <c r="P252" s="168">
        <f>IF(OR(P$110=0,P$111&lt;=8),0,P$110*f_P_rencold*INDEX(bibliotheek!$E$195:$AC$195,MATCH(P$83,toestellen_KOEL_kopregel,0)))</f>
        <v>0</v>
      </c>
      <c r="Q252" s="273"/>
      <c r="R252" s="273"/>
      <c r="S252" s="273"/>
      <c r="T252" s="273"/>
      <c r="U252" s="273"/>
      <c r="V252" s="273"/>
      <c r="W252" s="273"/>
      <c r="X252" s="113"/>
      <c r="Y252" s="202">
        <f t="shared" si="216"/>
        <v>0</v>
      </c>
      <c r="Z252" s="114"/>
      <c r="AA252" s="273"/>
      <c r="AB252" s="168">
        <f>IF(OR(AB$110=0,AB$111&lt;=8),0,AB$110*f_P_rencold*INDEX(bibliotheek!$E$195:$AC$195,MATCH(AB$83,toestellen_KOEL_kopregel,0)))</f>
        <v>0</v>
      </c>
      <c r="AC252" s="273"/>
      <c r="AD252" s="273"/>
      <c r="AE252" s="273"/>
      <c r="AF252" s="273"/>
      <c r="AG252" s="273"/>
      <c r="AH252" s="273"/>
      <c r="AI252" s="273"/>
      <c r="AJ252" s="113"/>
      <c r="AK252" s="202">
        <f t="shared" si="217"/>
        <v>0</v>
      </c>
      <c r="AL252" s="191"/>
      <c r="AM252" s="273"/>
      <c r="AN252" s="168">
        <f>IF(OR(AN$110=0,AN$111&lt;=8),0,AN$110*f_P_rencold*INDEX(bibliotheek!$E$195:$AC$195,MATCH(AN$83,toestellen_KOEL_kopregel,0)))</f>
        <v>0</v>
      </c>
      <c r="AO252" s="273"/>
      <c r="AP252" s="273"/>
      <c r="AQ252" s="273"/>
      <c r="AR252" s="273"/>
      <c r="AS252" s="273"/>
      <c r="AT252" s="273"/>
      <c r="AU252" s="273"/>
      <c r="AV252" s="191"/>
      <c r="AW252" s="202">
        <f t="shared" si="218"/>
        <v>0</v>
      </c>
      <c r="AX252" s="191"/>
      <c r="AY252" s="273"/>
      <c r="AZ252" s="168">
        <f>IF(OR(AZ$110=0,AZ$111&lt;=8),0,AZ$110*f_P_rencold*INDEX(bibliotheek!$E$195:$AC$195,MATCH(AZ$83,toestellen_KOEL_kopregel,0)))</f>
        <v>0</v>
      </c>
      <c r="BA252" s="273"/>
      <c r="BB252" s="273"/>
      <c r="BC252" s="273"/>
      <c r="BD252" s="273"/>
      <c r="BE252" s="273"/>
      <c r="BF252" s="273"/>
      <c r="BG252" s="273"/>
      <c r="BH252" s="210"/>
    </row>
    <row r="253" spans="1:60">
      <c r="A253" s="1040"/>
      <c r="B253" s="1109" t="s">
        <v>249</v>
      </c>
      <c r="C253" s="1107" t="s">
        <v>104</v>
      </c>
      <c r="D253" s="641" t="s">
        <v>45</v>
      </c>
      <c r="E253" s="180" t="s">
        <v>252</v>
      </c>
      <c r="F253" s="180"/>
      <c r="G253" s="180"/>
      <c r="H253" s="201" t="s">
        <v>160</v>
      </c>
      <c r="I253" s="114"/>
      <c r="J253" s="202">
        <f t="shared" si="214"/>
        <v>0</v>
      </c>
      <c r="K253" s="195"/>
      <c r="L253" s="195"/>
      <c r="M253" s="202">
        <f t="shared" si="215"/>
        <v>0</v>
      </c>
      <c r="N253" s="114"/>
      <c r="O253" s="168">
        <f>IF(OR(O$110=0,LEFT(O$106,2)&lt;&gt;"bm"),0,O$110*INDEX(energiedragers_fPren,MATCH(O$105,energiedragers_namen,0)))+
IF(OR(O$144=0,LEFT(O$142,2)&lt;&gt;"bm"),0,O$144*INDEX(energiedragers_fPren,MATCH(O$141,energiedragers_namen,0)))</f>
        <v>0</v>
      </c>
      <c r="P253" s="273"/>
      <c r="Q253" s="168">
        <f>IF(OR(Q$110=0,LEFT(Q$106,2)&lt;&gt;"bm"),0,Q$110*INDEX(energiedragers_fPren,MATCH(Q$105,energiedragers_namen,0)))+
IF(OR(Q$144=0,LEFT(Q$142,2)&lt;&gt;"bm"),0,Q$144*INDEX(energiedragers_fPren,MATCH(Q$141,energiedragers_namen,0)))</f>
        <v>0</v>
      </c>
      <c r="R253" s="273"/>
      <c r="S253" s="273"/>
      <c r="T253" s="273"/>
      <c r="U253" s="273"/>
      <c r="V253" s="273"/>
      <c r="W253" s="273"/>
      <c r="X253" s="113"/>
      <c r="Y253" s="202">
        <f t="shared" si="216"/>
        <v>0</v>
      </c>
      <c r="Z253" s="114"/>
      <c r="AA253" s="168">
        <f>IF(OR(AA$110=0,LEFT(AA$106,2)&lt;&gt;"bm"),0,AA$110*INDEX(energiedragers_fPren,MATCH(AA$105,energiedragers_namen,0)))+
IF(OR(AA$144=0,LEFT(AA$142,2)&lt;&gt;"bm"),0,AA$144*INDEX(energiedragers_fPren,MATCH(AA$141,energiedragers_namen,0)))</f>
        <v>0</v>
      </c>
      <c r="AB253" s="273"/>
      <c r="AC253" s="168">
        <f>IF(OR(AC$110=0,LEFT(AC$106,2)&lt;&gt;"bm"),0,AC$110*INDEX(energiedragers_fPren,MATCH(AC$105,energiedragers_namen,0)))+
IF(OR(AC$144=0,LEFT(AC$142,2)&lt;&gt;"bm"),0,AC$144*INDEX(energiedragers_fPren,MATCH(AC$141,energiedragers_namen,0)))</f>
        <v>0</v>
      </c>
      <c r="AD253" s="273"/>
      <c r="AE253" s="273"/>
      <c r="AF253" s="273"/>
      <c r="AG253" s="273"/>
      <c r="AH253" s="273"/>
      <c r="AI253" s="273"/>
      <c r="AJ253" s="113"/>
      <c r="AK253" s="202">
        <f t="shared" si="217"/>
        <v>0</v>
      </c>
      <c r="AL253" s="191"/>
      <c r="AM253" s="168">
        <f>IF(OR(AM$110=0,LEFT(AM$106,2)&lt;&gt;"bm"),0,AM$110*INDEX(energiedragers_fPren,MATCH(AM$105,energiedragers_namen,0)))+
IF(OR(AM$144=0,LEFT(AM$142,2)&lt;&gt;"bm"),0,AM$144*INDEX(energiedragers_fPren,MATCH(AM$141,energiedragers_namen,0)))</f>
        <v>0</v>
      </c>
      <c r="AN253" s="273"/>
      <c r="AO253" s="168">
        <f>IF(OR(AO$110=0,LEFT(AO$106,2)&lt;&gt;"bm"),0,AO$110*INDEX(energiedragers_fPren,MATCH(AO$105,energiedragers_namen,0)))+
IF(OR(AO$144=0,LEFT(AO$142,2)&lt;&gt;"bm"),0,AO$144*INDEX(energiedragers_fPren,MATCH(AO$141,energiedragers_namen,0)))</f>
        <v>0</v>
      </c>
      <c r="AP253" s="273"/>
      <c r="AQ253" s="273"/>
      <c r="AR253" s="273"/>
      <c r="AS253" s="273"/>
      <c r="AT253" s="273"/>
      <c r="AU253" s="273"/>
      <c r="AV253" s="191"/>
      <c r="AW253" s="202">
        <f t="shared" si="218"/>
        <v>0</v>
      </c>
      <c r="AX253" s="191"/>
      <c r="AY253" s="168">
        <f>IF(OR(AY$110=0,LEFT(AY$106,2)&lt;&gt;"bm"),0,AY$110*INDEX(energiedragers_fPren,MATCH(AY$105,energiedragers_namen,0)))+
IF(OR(AY$144=0,LEFT(AY$142,2)&lt;&gt;"bm"),0,AY$144*INDEX(energiedragers_fPren,MATCH(AY$141,energiedragers_namen,0)))</f>
        <v>0</v>
      </c>
      <c r="AZ253" s="273"/>
      <c r="BA253" s="168">
        <f>IF(OR(BA$110=0,LEFT(BA$106,2)&lt;&gt;"bm"),0,BA$110*INDEX(energiedragers_fPren,MATCH(BA$105,energiedragers_namen,0)))+
IF(OR(BA$144=0,LEFT(BA$142,2)&lt;&gt;"bm"),0,BA$144*INDEX(energiedragers_fPren,MATCH(BA$141,energiedragers_namen,0)))</f>
        <v>0</v>
      </c>
      <c r="BB253" s="273"/>
      <c r="BC253" s="273"/>
      <c r="BD253" s="273"/>
      <c r="BE253" s="273"/>
      <c r="BF253" s="273"/>
      <c r="BG253" s="273"/>
      <c r="BH253" s="210"/>
    </row>
    <row r="254" spans="1:60">
      <c r="A254" s="1040"/>
      <c r="B254" s="1109" t="s">
        <v>249</v>
      </c>
      <c r="C254" s="1107" t="s">
        <v>104</v>
      </c>
      <c r="D254" s="641" t="s">
        <v>45</v>
      </c>
      <c r="E254" s="180" t="s">
        <v>253</v>
      </c>
      <c r="F254" s="180"/>
      <c r="G254" s="180"/>
      <c r="H254" s="201" t="s">
        <v>160</v>
      </c>
      <c r="I254" s="114"/>
      <c r="J254" s="202">
        <f t="shared" si="214"/>
        <v>0</v>
      </c>
      <c r="K254" s="195"/>
      <c r="L254" s="195"/>
      <c r="M254" s="202">
        <f t="shared" si="215"/>
        <v>0</v>
      </c>
      <c r="N254" s="114"/>
      <c r="O254" s="168">
        <f>IF(OR(O$110=0,LEFT(O$106,2)&lt;&gt;"dx"),0,O$110*INDEX(energiedragers_fPren,MATCH(O$105,energiedragers_namen,0)))+
IF(OR(O$144=0,LEFT(O$142,2)&lt;&gt;"dx"),0,O$144*INDEX(energiedragers_fPren,MATCH(O$141,energiedragers_namen,0)))</f>
        <v>0</v>
      </c>
      <c r="P254" s="168">
        <f>IF(OR(P$110=0,LEFT(P$106,2)&lt;&gt;"dx"),0,P$110*INDEX(energiedragers_fPren,MATCH(P$105,energiedragers_namen,0)))+
IF(OR(P$144=0,LEFT(P$142,2)&lt;&gt;"dx"),0,P$144*INDEX(energiedragers_fPren,MATCH(P$141,energiedragers_namen,0)))</f>
        <v>0</v>
      </c>
      <c r="Q254" s="168">
        <f>IF(OR(Q$110=0,LEFT(Q$106,2)&lt;&gt;"dx"),0,Q$110*INDEX(energiedragers_fPren,MATCH(Q$105,energiedragers_namen,0)))+
IF(OR(Q$144=0,LEFT(Q$142,2)&lt;&gt;"dx"),0,Q$144*INDEX(energiedragers_fPren,MATCH(Q$141,energiedragers_namen,0)))</f>
        <v>0</v>
      </c>
      <c r="R254" s="273"/>
      <c r="S254" s="273"/>
      <c r="T254" s="273"/>
      <c r="U254" s="273"/>
      <c r="V254" s="273"/>
      <c r="W254" s="273"/>
      <c r="X254" s="113"/>
      <c r="Y254" s="202">
        <f t="shared" si="216"/>
        <v>0</v>
      </c>
      <c r="Z254" s="114"/>
      <c r="AA254" s="168">
        <f>IF(OR(AA$110=0,LEFT(AA$106,2)&lt;&gt;"dx"),0,AA$110*INDEX(energiedragers_fPren,MATCH(AA$105,energiedragers_namen,0)))+
IF(OR(AA$144=0,LEFT(AA$142,2)&lt;&gt;"dx"),0,AA$144*INDEX(energiedragers_fPren,MATCH(AA$141,energiedragers_namen,0)))</f>
        <v>0</v>
      </c>
      <c r="AB254" s="168">
        <f>IF(OR(AB$110=0,LEFT(AB$106,2)&lt;&gt;"dx"),0,AB$110*INDEX(energiedragers_fPren,MATCH(AB$105,energiedragers_namen,0)))+
IF(OR(AB$144=0,LEFT(AB$142,2)&lt;&gt;"dx"),0,AB$144*INDEX(energiedragers_fPren,MATCH(AB$141,energiedragers_namen,0)))</f>
        <v>0</v>
      </c>
      <c r="AC254" s="168">
        <f>IF(OR(AC$110=0,LEFT(AC$106,2)&lt;&gt;"dx"),0,AC$110*INDEX(energiedragers_fPren,MATCH(AC$105,energiedragers_namen,0)))+
IF(OR(AC$144=0,LEFT(AC$142,2)&lt;&gt;"dx"),0,AC$144*INDEX(energiedragers_fPren,MATCH(AC$141,energiedragers_namen,0)))</f>
        <v>0</v>
      </c>
      <c r="AD254" s="273"/>
      <c r="AE254" s="273"/>
      <c r="AF254" s="273"/>
      <c r="AG254" s="273"/>
      <c r="AH254" s="273"/>
      <c r="AI254" s="273"/>
      <c r="AJ254" s="113"/>
      <c r="AK254" s="202">
        <f t="shared" si="217"/>
        <v>0</v>
      </c>
      <c r="AL254" s="191"/>
      <c r="AM254" s="168">
        <f>IF(OR(AM$110=0,LEFT(AM$106,2)&lt;&gt;"dx"),0,AM$110*INDEX(energiedragers_fPren,MATCH(AM$105,energiedragers_namen,0)))+
IF(OR(AM$144=0,LEFT(AM$142,2)&lt;&gt;"dx"),0,AM$144*INDEX(energiedragers_fPren,MATCH(AM$141,energiedragers_namen,0)))</f>
        <v>0</v>
      </c>
      <c r="AN254" s="168">
        <f>IF(OR(AN$110=0,LEFT(AN$106,2)&lt;&gt;"dx"),0,AN$110*INDEX(energiedragers_fPren,MATCH(AN$105,energiedragers_namen,0)))+
IF(OR(AN$144=0,LEFT(AN$142,2)&lt;&gt;"dx"),0,AN$144*INDEX(energiedragers_fPren,MATCH(AN$141,energiedragers_namen,0)))</f>
        <v>0</v>
      </c>
      <c r="AO254" s="168">
        <f>IF(OR(AO$110=0,LEFT(AO$106,2)&lt;&gt;"dx"),0,AO$110*INDEX(energiedragers_fPren,MATCH(AO$105,energiedragers_namen,0)))+
IF(OR(AO$144=0,LEFT(AO$142,2)&lt;&gt;"dx"),0,AO$144*INDEX(energiedragers_fPren,MATCH(AO$141,energiedragers_namen,0)))</f>
        <v>0</v>
      </c>
      <c r="AP254" s="273"/>
      <c r="AQ254" s="273"/>
      <c r="AR254" s="273"/>
      <c r="AS254" s="273"/>
      <c r="AT254" s="273"/>
      <c r="AU254" s="273"/>
      <c r="AV254" s="191"/>
      <c r="AW254" s="202">
        <f t="shared" si="218"/>
        <v>0</v>
      </c>
      <c r="AX254" s="191"/>
      <c r="AY254" s="168">
        <f>IF(OR(AY$110=0,LEFT(AY$106,2)&lt;&gt;"dx"),0,AY$110*INDEX(energiedragers_fPren,MATCH(AY$105,energiedragers_namen,0)))+
IF(OR(AY$144=0,LEFT(AY$142,2)&lt;&gt;"dx"),0,AY$144*INDEX(energiedragers_fPren,MATCH(AY$141,energiedragers_namen,0)))</f>
        <v>0</v>
      </c>
      <c r="AZ254" s="168">
        <f>IF(OR(AZ$110=0,LEFT(AZ$106,2)&lt;&gt;"dx"),0,AZ$110*INDEX(energiedragers_fPren,MATCH(AZ$105,energiedragers_namen,0)))+
IF(OR(AZ$144=0,LEFT(AZ$142,2)&lt;&gt;"dx"),0,AZ$144*INDEX(energiedragers_fPren,MATCH(AZ$141,energiedragers_namen,0)))</f>
        <v>0</v>
      </c>
      <c r="BA254" s="168">
        <f>IF(OR(BA$110=0,LEFT(BA$106,2)&lt;&gt;"dx"),0,BA$110*INDEX(energiedragers_fPren,MATCH(BA$105,energiedragers_namen,0)))+
IF(OR(BA$144=0,LEFT(BA$142,2)&lt;&gt;"dx"),0,BA$144*INDEX(energiedragers_fPren,MATCH(BA$141,energiedragers_namen,0)))</f>
        <v>0</v>
      </c>
      <c r="BB254" s="273"/>
      <c r="BC254" s="273"/>
      <c r="BD254" s="273"/>
      <c r="BE254" s="273"/>
      <c r="BF254" s="273"/>
      <c r="BG254" s="273"/>
      <c r="BH254" s="210"/>
    </row>
    <row r="255" spans="1:60">
      <c r="A255" s="1040"/>
      <c r="B255" s="1109" t="s">
        <v>249</v>
      </c>
      <c r="C255" s="1107" t="s">
        <v>104</v>
      </c>
      <c r="D255" s="641" t="s">
        <v>45</v>
      </c>
      <c r="E255" s="180" t="s">
        <v>254</v>
      </c>
      <c r="F255" s="180"/>
      <c r="G255" s="180"/>
      <c r="H255" s="201" t="s">
        <v>160</v>
      </c>
      <c r="I255" s="114"/>
      <c r="J255" s="202">
        <f t="shared" si="214"/>
        <v>0</v>
      </c>
      <c r="K255" s="195"/>
      <c r="L255" s="195"/>
      <c r="M255" s="202">
        <f t="shared" si="215"/>
        <v>0</v>
      </c>
      <c r="N255" s="114"/>
      <c r="O255" s="273"/>
      <c r="P255" s="168">
        <f>IF(OR(P$110=0,LEFT(P$106,2)&lt;&gt;"dx"),0,P$110*INDEX(energiedragers_fPren,MATCH(P$105,energiedragers_namen,0))+
IF(OR(P$144=0,LEFT(P$142,2)&lt;&gt;"dx"),0,P$144*INDEX(energiedragers_fPren,MATCH(P$141,energiedragers_namen,0))))</f>
        <v>0</v>
      </c>
      <c r="Q255" s="273"/>
      <c r="R255" s="273"/>
      <c r="S255" s="273"/>
      <c r="T255" s="273"/>
      <c r="U255" s="273"/>
      <c r="V255" s="273"/>
      <c r="W255" s="273"/>
      <c r="X255" s="113"/>
      <c r="Y255" s="202">
        <f t="shared" si="216"/>
        <v>0</v>
      </c>
      <c r="Z255" s="114"/>
      <c r="AA255" s="273"/>
      <c r="AB255" s="168">
        <f>IF(OR(AB$110=0,LEFT(AB$106,2)&lt;&gt;"dx"),0,AB$110*INDEX(energiedragers_fPren,MATCH(AB$105,energiedragers_namen,0))+
IF(OR(AB$144=0,LEFT(AB$142,2)&lt;&gt;"dx"),0,AB$144*INDEX(energiedragers_fPren,MATCH(AB$141,energiedragers_namen,0))))</f>
        <v>0</v>
      </c>
      <c r="AC255" s="273"/>
      <c r="AD255" s="273"/>
      <c r="AE255" s="273"/>
      <c r="AF255" s="273"/>
      <c r="AG255" s="273"/>
      <c r="AH255" s="273"/>
      <c r="AI255" s="273"/>
      <c r="AJ255" s="113"/>
      <c r="AK255" s="202">
        <f t="shared" si="217"/>
        <v>0</v>
      </c>
      <c r="AL255" s="191"/>
      <c r="AM255" s="273"/>
      <c r="AN255" s="168">
        <f>IF(OR(AN$110=0,LEFT(AN$106,2)&lt;&gt;"dx"),0,AN$110*INDEX(energiedragers_fPren,MATCH(AN$105,energiedragers_namen,0))+
IF(OR(AN$144=0,LEFT(AN$142,2)&lt;&gt;"dx"),0,AN$144*INDEX(energiedragers_fPren,MATCH(AN$141,energiedragers_namen,0))))</f>
        <v>0</v>
      </c>
      <c r="AO255" s="273"/>
      <c r="AP255" s="273"/>
      <c r="AQ255" s="273"/>
      <c r="AR255" s="273"/>
      <c r="AS255" s="273"/>
      <c r="AT255" s="273"/>
      <c r="AU255" s="273"/>
      <c r="AV255" s="191"/>
      <c r="AW255" s="202">
        <f t="shared" si="218"/>
        <v>0</v>
      </c>
      <c r="AX255" s="191"/>
      <c r="AY255" s="273"/>
      <c r="AZ255" s="168">
        <f>IF(OR(AZ$110=0,LEFT(AZ$106,2)&lt;&gt;"dx"),0,AZ$110*INDEX(energiedragers_fPren,MATCH(AZ$105,energiedragers_namen,0))+
IF(OR(AZ$144=0,LEFT(AZ$142,2)&lt;&gt;"dx"),0,AZ$144*INDEX(energiedragers_fPren,MATCH(AZ$141,energiedragers_namen,0))))</f>
        <v>0</v>
      </c>
      <c r="BA255" s="273"/>
      <c r="BB255" s="273"/>
      <c r="BC255" s="273"/>
      <c r="BD255" s="273"/>
      <c r="BE255" s="273"/>
      <c r="BF255" s="273"/>
      <c r="BG255" s="273"/>
      <c r="BH255" s="210"/>
    </row>
    <row r="256" spans="1:60">
      <c r="A256" s="1040"/>
      <c r="B256" s="1109" t="s">
        <v>249</v>
      </c>
      <c r="C256" s="1107" t="s">
        <v>104</v>
      </c>
      <c r="D256" s="641" t="s">
        <v>45</v>
      </c>
      <c r="E256" s="180" t="s">
        <v>255</v>
      </c>
      <c r="F256" s="180"/>
      <c r="G256" s="180"/>
      <c r="H256" s="201" t="s">
        <v>160</v>
      </c>
      <c r="I256" s="114"/>
      <c r="J256" s="202">
        <f t="shared" si="214"/>
        <v>0</v>
      </c>
      <c r="K256" s="195"/>
      <c r="L256" s="195"/>
      <c r="M256" s="202">
        <f t="shared" si="215"/>
        <v>0</v>
      </c>
      <c r="N256" s="114"/>
      <c r="O256" s="168">
        <f>O$91*f_P_renheat</f>
        <v>0</v>
      </c>
      <c r="P256" s="273"/>
      <c r="Q256" s="168">
        <f>Q$91*f_P_renheat</f>
        <v>0</v>
      </c>
      <c r="R256" s="273"/>
      <c r="S256" s="273"/>
      <c r="T256" s="273"/>
      <c r="U256" s="273"/>
      <c r="V256" s="273"/>
      <c r="W256" s="273"/>
      <c r="X256" s="108"/>
      <c r="Y256" s="202">
        <f t="shared" si="216"/>
        <v>0</v>
      </c>
      <c r="Z256" s="114"/>
      <c r="AA256" s="168">
        <f>AA$91*f_P_renheat</f>
        <v>0</v>
      </c>
      <c r="AB256" s="273"/>
      <c r="AC256" s="168">
        <f>AC$91*f_P_renheat</f>
        <v>0</v>
      </c>
      <c r="AD256" s="273"/>
      <c r="AE256" s="273"/>
      <c r="AF256" s="273"/>
      <c r="AG256" s="273"/>
      <c r="AH256" s="273"/>
      <c r="AI256" s="273"/>
      <c r="AJ256" s="108"/>
      <c r="AK256" s="202">
        <f t="shared" si="217"/>
        <v>0</v>
      </c>
      <c r="AL256" s="191"/>
      <c r="AM256" s="168">
        <f>AM$91*f_P_renheat</f>
        <v>0</v>
      </c>
      <c r="AN256" s="273"/>
      <c r="AO256" s="168">
        <f>AO$91*f_P_renheat</f>
        <v>0</v>
      </c>
      <c r="AP256" s="273"/>
      <c r="AQ256" s="273"/>
      <c r="AR256" s="273"/>
      <c r="AS256" s="273"/>
      <c r="AT256" s="273"/>
      <c r="AU256" s="273"/>
      <c r="AV256" s="191"/>
      <c r="AW256" s="202">
        <f t="shared" si="218"/>
        <v>0</v>
      </c>
      <c r="AX256" s="191"/>
      <c r="AY256" s="168">
        <f>AY$91*f_P_renheat</f>
        <v>0</v>
      </c>
      <c r="AZ256" s="273"/>
      <c r="BA256" s="168">
        <f>BA$91*f_P_renheat</f>
        <v>0</v>
      </c>
      <c r="BB256" s="273"/>
      <c r="BC256" s="273"/>
      <c r="BD256" s="273"/>
      <c r="BE256" s="273"/>
      <c r="BF256" s="273"/>
      <c r="BG256" s="273"/>
      <c r="BH256" s="174"/>
    </row>
    <row r="257" spans="1:60">
      <c r="A257" s="1040"/>
      <c r="B257" s="1109" t="s">
        <v>249</v>
      </c>
      <c r="C257" s="1107" t="s">
        <v>104</v>
      </c>
      <c r="D257" s="641" t="s">
        <v>45</v>
      </c>
      <c r="E257" s="180" t="s">
        <v>256</v>
      </c>
      <c r="F257" s="180"/>
      <c r="G257" s="180"/>
      <c r="H257" s="201" t="s">
        <v>160</v>
      </c>
      <c r="I257" s="114"/>
      <c r="J257" s="202">
        <f t="shared" si="214"/>
        <v>0</v>
      </c>
      <c r="K257" s="195"/>
      <c r="L257" s="195"/>
      <c r="M257" s="202">
        <f t="shared" si="215"/>
        <v>0</v>
      </c>
      <c r="N257" s="114"/>
      <c r="O257" s="273"/>
      <c r="P257" s="273"/>
      <c r="Q257" s="273"/>
      <c r="R257" s="273"/>
      <c r="S257" s="273"/>
      <c r="T257" s="273"/>
      <c r="U257" s="273"/>
      <c r="V257" s="273"/>
      <c r="W257" s="168">
        <f>M73*f_P_renelect</f>
        <v>0</v>
      </c>
      <c r="X257" s="113"/>
      <c r="Y257" s="202">
        <f t="shared" si="216"/>
        <v>0</v>
      </c>
      <c r="Z257" s="114"/>
      <c r="AA257" s="273"/>
      <c r="AB257" s="273"/>
      <c r="AC257" s="273"/>
      <c r="AD257" s="273"/>
      <c r="AE257" s="273"/>
      <c r="AF257" s="273"/>
      <c r="AG257" s="273"/>
      <c r="AH257" s="273"/>
      <c r="AI257" s="168">
        <f>Y73*f_P_renelect</f>
        <v>0</v>
      </c>
      <c r="AJ257" s="113"/>
      <c r="AK257" s="202">
        <f t="shared" si="217"/>
        <v>0</v>
      </c>
      <c r="AL257" s="191"/>
      <c r="AM257" s="273"/>
      <c r="AN257" s="273"/>
      <c r="AO257" s="273"/>
      <c r="AP257" s="273"/>
      <c r="AQ257" s="273"/>
      <c r="AR257" s="273"/>
      <c r="AS257" s="273"/>
      <c r="AT257" s="273"/>
      <c r="AU257" s="168">
        <f>AK73*f_P_renelect</f>
        <v>0</v>
      </c>
      <c r="AV257" s="191"/>
      <c r="AW257" s="202">
        <f t="shared" si="218"/>
        <v>0</v>
      </c>
      <c r="AX257" s="191"/>
      <c r="AY257" s="273"/>
      <c r="AZ257" s="273"/>
      <c r="BA257" s="273"/>
      <c r="BB257" s="273"/>
      <c r="BC257" s="273"/>
      <c r="BD257" s="273"/>
      <c r="BE257" s="273"/>
      <c r="BF257" s="273"/>
      <c r="BG257" s="168">
        <f>AW73*f_P_renelect</f>
        <v>0</v>
      </c>
      <c r="BH257" s="210"/>
    </row>
    <row r="258" spans="1:60">
      <c r="A258" s="1040"/>
      <c r="B258" s="1109" t="s">
        <v>249</v>
      </c>
      <c r="C258" s="1107" t="s">
        <v>104</v>
      </c>
      <c r="D258" s="638"/>
      <c r="E258" s="180" t="s">
        <v>232</v>
      </c>
      <c r="F258" s="180"/>
      <c r="G258" s="180"/>
      <c r="H258" s="201" t="s">
        <v>160</v>
      </c>
      <c r="I258" s="114"/>
      <c r="J258" s="202">
        <f>SUM(J251:J257)</f>
        <v>0</v>
      </c>
      <c r="K258" s="195"/>
      <c r="L258" s="195"/>
      <c r="M258" s="202">
        <f>SUM(M251:M257)</f>
        <v>0</v>
      </c>
      <c r="N258" s="114"/>
      <c r="O258" s="168">
        <f t="shared" ref="O258:W258" si="219">SUM(O251:O257)</f>
        <v>0</v>
      </c>
      <c r="P258" s="168">
        <f t="shared" si="219"/>
        <v>0</v>
      </c>
      <c r="Q258" s="168">
        <f t="shared" si="219"/>
        <v>0</v>
      </c>
      <c r="R258" s="273"/>
      <c r="S258" s="273"/>
      <c r="T258" s="273"/>
      <c r="U258" s="273"/>
      <c r="V258" s="273"/>
      <c r="W258" s="168">
        <f t="shared" si="219"/>
        <v>0</v>
      </c>
      <c r="X258" s="113"/>
      <c r="Y258" s="202">
        <f>SUM(Y251:Y257)</f>
        <v>0</v>
      </c>
      <c r="Z258" s="114"/>
      <c r="AA258" s="168">
        <f>SUM(AA251:AA257)</f>
        <v>0</v>
      </c>
      <c r="AB258" s="168">
        <f>SUM(AB251:AB257)</f>
        <v>0</v>
      </c>
      <c r="AC258" s="168">
        <f>SUM(AC251:AC257)</f>
        <v>0</v>
      </c>
      <c r="AD258" s="273"/>
      <c r="AE258" s="273"/>
      <c r="AF258" s="273"/>
      <c r="AG258" s="273"/>
      <c r="AH258" s="273"/>
      <c r="AI258" s="168">
        <f>SUM(AI251:AI257)</f>
        <v>0</v>
      </c>
      <c r="AJ258" s="113"/>
      <c r="AK258" s="202">
        <f>SUM(AK251:AK257)</f>
        <v>0</v>
      </c>
      <c r="AL258" s="191"/>
      <c r="AM258" s="168">
        <f>SUM(AM251:AM257)</f>
        <v>0</v>
      </c>
      <c r="AN258" s="168">
        <f>SUM(AN251:AN257)</f>
        <v>0</v>
      </c>
      <c r="AO258" s="168">
        <f>SUM(AO251:AO257)</f>
        <v>0</v>
      </c>
      <c r="AP258" s="273"/>
      <c r="AQ258" s="273"/>
      <c r="AR258" s="273"/>
      <c r="AS258" s="273"/>
      <c r="AT258" s="273"/>
      <c r="AU258" s="168">
        <f>SUM(AU251:AU257)</f>
        <v>0</v>
      </c>
      <c r="AV258" s="191"/>
      <c r="AW258" s="202">
        <f>SUM(AW251:AW257)</f>
        <v>0</v>
      </c>
      <c r="AX258" s="191"/>
      <c r="AY258" s="168">
        <f>SUM(AY251:AY257)</f>
        <v>0</v>
      </c>
      <c r="AZ258" s="168">
        <f>SUM(AZ251:AZ257)</f>
        <v>0</v>
      </c>
      <c r="BA258" s="168">
        <f>SUM(BA251:BA257)</f>
        <v>0</v>
      </c>
      <c r="BB258" s="273"/>
      <c r="BC258" s="273"/>
      <c r="BD258" s="273"/>
      <c r="BE258" s="273"/>
      <c r="BF258" s="273"/>
      <c r="BG258" s="168">
        <f>SUM(BG251:BG257)</f>
        <v>0</v>
      </c>
      <c r="BH258" s="210"/>
    </row>
    <row r="259" spans="1:60">
      <c r="A259" s="1040"/>
      <c r="B259" s="1109" t="s">
        <v>249</v>
      </c>
      <c r="C259" s="1106" t="s">
        <v>96</v>
      </c>
      <c r="D259" s="638"/>
      <c r="E259" s="79"/>
      <c r="F259" s="79"/>
      <c r="G259" s="79"/>
      <c r="H259" s="85"/>
      <c r="I259" s="79"/>
      <c r="J259" s="82"/>
      <c r="K259" s="79"/>
      <c r="L259" s="79"/>
      <c r="M259" s="82"/>
      <c r="N259" s="79"/>
      <c r="O259" s="82"/>
      <c r="P259" s="82"/>
      <c r="Q259" s="82"/>
      <c r="R259" s="82"/>
      <c r="S259" s="82"/>
      <c r="T259" s="82"/>
      <c r="U259" s="82"/>
      <c r="V259" s="82"/>
      <c r="W259" s="82"/>
      <c r="X259" s="82"/>
      <c r="Y259" s="82"/>
      <c r="Z259" s="79"/>
      <c r="AA259" s="82"/>
      <c r="AB259" s="82"/>
      <c r="AC259" s="82"/>
      <c r="AD259" s="82"/>
      <c r="AE259" s="82"/>
      <c r="AF259" s="82"/>
      <c r="AG259" s="82"/>
      <c r="AH259" s="82"/>
      <c r="AI259" s="82"/>
      <c r="AJ259" s="82"/>
      <c r="AK259" s="82"/>
      <c r="AL259" s="79"/>
      <c r="AM259" s="82"/>
      <c r="AN259" s="82"/>
      <c r="AO259" s="82"/>
      <c r="AP259" s="82"/>
      <c r="AQ259" s="82"/>
      <c r="AR259" s="82"/>
      <c r="AS259" s="82"/>
      <c r="AT259" s="82"/>
      <c r="AU259" s="82"/>
      <c r="AV259" s="191"/>
      <c r="AW259" s="82"/>
      <c r="AX259" s="79"/>
      <c r="AY259" s="82"/>
      <c r="AZ259" s="82"/>
      <c r="BA259" s="82"/>
      <c r="BB259" s="82"/>
      <c r="BC259" s="82"/>
      <c r="BD259" s="82"/>
      <c r="BE259" s="82"/>
      <c r="BF259" s="82"/>
      <c r="BG259" s="82"/>
      <c r="BH259" s="1"/>
    </row>
    <row r="260" spans="1:60">
      <c r="A260" s="1040"/>
      <c r="B260" s="1109" t="s">
        <v>257</v>
      </c>
      <c r="C260" s="1107" t="s">
        <v>96</v>
      </c>
      <c r="D260" s="638"/>
      <c r="E260" s="79"/>
      <c r="F260" s="79"/>
      <c r="G260" s="79"/>
      <c r="H260" s="85"/>
      <c r="I260" s="122"/>
      <c r="J260" s="82"/>
      <c r="K260" s="79"/>
      <c r="L260" s="79"/>
      <c r="M260" s="82"/>
      <c r="N260" s="79"/>
      <c r="O260" s="85"/>
      <c r="P260" s="85"/>
      <c r="Q260" s="82"/>
      <c r="R260" s="82"/>
      <c r="S260" s="82"/>
      <c r="T260" s="82"/>
      <c r="U260" s="82"/>
      <c r="V260" s="82"/>
      <c r="W260" s="82"/>
      <c r="X260" s="82"/>
      <c r="Y260" s="82"/>
      <c r="Z260" s="79"/>
      <c r="AA260" s="85"/>
      <c r="AB260" s="85"/>
      <c r="AC260" s="82"/>
      <c r="AD260" s="82"/>
      <c r="AE260" s="82"/>
      <c r="AF260" s="82"/>
      <c r="AG260" s="82"/>
      <c r="AH260" s="82"/>
      <c r="AI260" s="82"/>
      <c r="AJ260" s="82"/>
      <c r="AK260" s="82"/>
      <c r="AL260" s="79"/>
      <c r="AM260" s="85"/>
      <c r="AN260" s="85"/>
      <c r="AO260" s="82"/>
      <c r="AP260" s="82"/>
      <c r="AQ260" s="82"/>
      <c r="AR260" s="82"/>
      <c r="AS260" s="82"/>
      <c r="AT260" s="82"/>
      <c r="AU260" s="82"/>
      <c r="AV260" s="82"/>
      <c r="AW260" s="82"/>
      <c r="AX260" s="79"/>
      <c r="AY260" s="113"/>
      <c r="AZ260" s="82"/>
      <c r="BA260" s="82"/>
      <c r="BB260" s="82"/>
      <c r="BC260" s="82"/>
      <c r="BD260" s="82"/>
      <c r="BE260" s="82"/>
      <c r="BF260" s="82"/>
      <c r="BG260" s="82"/>
      <c r="BH260" s="1"/>
    </row>
    <row r="261" spans="1:60" ht="21">
      <c r="A261" s="1040"/>
      <c r="B261" s="1109" t="s">
        <v>257</v>
      </c>
      <c r="C261" s="1106" t="s">
        <v>96</v>
      </c>
      <c r="D261" s="643"/>
      <c r="E261" s="1181" t="s">
        <v>1358</v>
      </c>
      <c r="F261" s="1181"/>
      <c r="G261" s="1181"/>
      <c r="H261" s="1181"/>
      <c r="I261" s="77"/>
      <c r="J261" s="200" t="str">
        <f>J$10</f>
        <v>alle locaties</v>
      </c>
      <c r="K261" s="126"/>
      <c r="L261" s="126"/>
      <c r="M261" s="200" t="str">
        <f>M$10</f>
        <v>locatie 1</v>
      </c>
      <c r="N261" s="182"/>
      <c r="O261" s="966" t="str">
        <f>$E261&amp;" per energiepost"</f>
        <v>primaire fossiele energiefactor installaties buiten de locatie per energiepost</v>
      </c>
      <c r="P261" s="941"/>
      <c r="Q261" s="941"/>
      <c r="R261" s="941"/>
      <c r="S261" s="941"/>
      <c r="T261" s="941"/>
      <c r="U261" s="941"/>
      <c r="V261" s="941"/>
      <c r="W261" s="956"/>
      <c r="X261" s="174"/>
      <c r="Y261" s="200" t="str">
        <f>Y$10</f>
        <v>locatie 2</v>
      </c>
      <c r="Z261" s="182"/>
      <c r="AA261" s="966" t="str">
        <f>$E261&amp;" per energiepost"</f>
        <v>primaire fossiele energiefactor installaties buiten de locatie per energiepost</v>
      </c>
      <c r="AB261" s="941"/>
      <c r="AC261" s="941"/>
      <c r="AD261" s="941"/>
      <c r="AE261" s="941"/>
      <c r="AF261" s="941"/>
      <c r="AG261" s="941"/>
      <c r="AH261" s="941"/>
      <c r="AI261" s="956"/>
      <c r="AJ261" s="174"/>
      <c r="AK261" s="200" t="str">
        <f>AK$10</f>
        <v>locatie 3</v>
      </c>
      <c r="AL261" s="182"/>
      <c r="AM261" s="966" t="str">
        <f>$E261&amp;" per energiepost"</f>
        <v>primaire fossiele energiefactor installaties buiten de locatie per energiepost</v>
      </c>
      <c r="AN261" s="941"/>
      <c r="AO261" s="941"/>
      <c r="AP261" s="941"/>
      <c r="AQ261" s="941"/>
      <c r="AR261" s="941"/>
      <c r="AS261" s="941"/>
      <c r="AT261" s="941"/>
      <c r="AU261" s="956"/>
      <c r="AV261" s="174"/>
      <c r="AW261" s="200" t="str">
        <f>AW$10</f>
        <v>locatie 4</v>
      </c>
      <c r="AX261" s="182"/>
      <c r="AY261" s="966" t="str">
        <f>$E261&amp;" per energiepost"</f>
        <v>primaire fossiele energiefactor installaties buiten de locatie per energiepost</v>
      </c>
      <c r="AZ261" s="941"/>
      <c r="BA261" s="941"/>
      <c r="BB261" s="941"/>
      <c r="BC261" s="941"/>
      <c r="BD261" s="941"/>
      <c r="BE261" s="941"/>
      <c r="BF261" s="941"/>
      <c r="BG261" s="956"/>
      <c r="BH261" s="1"/>
    </row>
    <row r="262" spans="1:60">
      <c r="A262" s="1040"/>
      <c r="B262" s="1109" t="s">
        <v>257</v>
      </c>
      <c r="C262" s="1106" t="s">
        <v>96</v>
      </c>
      <c r="D262" s="638"/>
      <c r="E262" s="940" t="s">
        <v>1316</v>
      </c>
      <c r="F262" s="940"/>
      <c r="G262" s="940"/>
      <c r="H262" s="940"/>
      <c r="I262" s="77"/>
      <c r="J262" s="939"/>
      <c r="K262" s="126"/>
      <c r="L262" s="126"/>
      <c r="M262" s="938"/>
      <c r="N262" s="191"/>
      <c r="O262" s="177" t="str">
        <f>O$10</f>
        <v>verwarming</v>
      </c>
      <c r="P262" s="177" t="str">
        <f>P$10</f>
        <v>koeling</v>
      </c>
      <c r="Q262" s="177" t="str">
        <f>Q$10</f>
        <v>tapwater</v>
      </c>
      <c r="R262" s="177"/>
      <c r="S262" s="177"/>
      <c r="T262" s="177"/>
      <c r="U262" s="177"/>
      <c r="V262" s="177"/>
      <c r="W262" s="177"/>
      <c r="X262" s="191"/>
      <c r="Y262" s="938"/>
      <c r="Z262" s="191"/>
      <c r="AA262" s="177" t="str">
        <f>AA$10</f>
        <v>verwarming</v>
      </c>
      <c r="AB262" s="177" t="str">
        <f>AB$10</f>
        <v>koeling</v>
      </c>
      <c r="AC262" s="177" t="str">
        <f>AC$10</f>
        <v>tapwater</v>
      </c>
      <c r="AD262" s="177"/>
      <c r="AE262" s="177"/>
      <c r="AF262" s="177"/>
      <c r="AG262" s="177"/>
      <c r="AH262" s="177"/>
      <c r="AI262" s="177"/>
      <c r="AJ262" s="191"/>
      <c r="AK262" s="938"/>
      <c r="AL262" s="191"/>
      <c r="AM262" s="177" t="str">
        <f>AM$10</f>
        <v>verwarming</v>
      </c>
      <c r="AN262" s="177" t="str">
        <f>AN$10</f>
        <v>koeling</v>
      </c>
      <c r="AO262" s="177" t="str">
        <f>AO$10</f>
        <v>tapwater</v>
      </c>
      <c r="AP262" s="177"/>
      <c r="AQ262" s="177"/>
      <c r="AR262" s="177"/>
      <c r="AS262" s="177"/>
      <c r="AT262" s="177"/>
      <c r="AU262" s="177"/>
      <c r="AV262" s="191"/>
      <c r="AW262" s="938"/>
      <c r="AX262" s="191"/>
      <c r="AY262" s="177" t="str">
        <f>AY$10</f>
        <v>verwarming</v>
      </c>
      <c r="AZ262" s="177" t="str">
        <f>AZ$10</f>
        <v>koeling</v>
      </c>
      <c r="BA262" s="177" t="str">
        <f>BA$10</f>
        <v>tapwater</v>
      </c>
      <c r="BB262" s="177"/>
      <c r="BC262" s="177"/>
      <c r="BD262" s="177"/>
      <c r="BE262" s="177"/>
      <c r="BF262" s="177"/>
      <c r="BG262" s="177"/>
      <c r="BH262" s="36"/>
    </row>
    <row r="263" spans="1:60">
      <c r="A263" s="1040"/>
      <c r="B263" s="1109" t="s">
        <v>257</v>
      </c>
      <c r="C263" s="1107" t="s">
        <v>104</v>
      </c>
      <c r="D263" s="638"/>
      <c r="E263" s="180" t="s">
        <v>259</v>
      </c>
      <c r="F263" s="180"/>
      <c r="G263" s="180"/>
      <c r="H263" s="201" t="s">
        <v>65</v>
      </c>
      <c r="I263" s="114"/>
      <c r="J263" s="226"/>
      <c r="K263" s="234"/>
      <c r="L263" s="234"/>
      <c r="M263" s="202" t="str">
        <f>CONCATENATE(O263,"/",Q263)</f>
        <v>gebouw/gebouw</v>
      </c>
      <c r="N263" s="89"/>
      <c r="O263" s="168" t="str">
        <f>IF(O83=geen,"-",O84)</f>
        <v>gebouw</v>
      </c>
      <c r="P263" s="168" t="str">
        <f>IF(P83=geen,"-",P84)</f>
        <v>-</v>
      </c>
      <c r="Q263" s="168" t="str">
        <f>IF(Q83=geen,"-",Q84)</f>
        <v>gebouw</v>
      </c>
      <c r="R263" s="273"/>
      <c r="S263" s="273"/>
      <c r="T263" s="273"/>
      <c r="U263" s="273"/>
      <c r="V263" s="273"/>
      <c r="W263" s="273"/>
      <c r="X263" s="113"/>
      <c r="Y263" s="202" t="str">
        <f>CONCATENATE(AA263,"/",AC263)</f>
        <v>gebouw/gebouw</v>
      </c>
      <c r="Z263" s="89"/>
      <c r="AA263" s="168" t="str">
        <f>IF(AA83=geen,"-",AA84)</f>
        <v>gebouw</v>
      </c>
      <c r="AB263" s="168" t="str">
        <f>IF(AB83=geen,"-",AB84)</f>
        <v>-</v>
      </c>
      <c r="AC263" s="168" t="str">
        <f>IF(AC83=geen,"-",AC84)</f>
        <v>gebouw</v>
      </c>
      <c r="AD263" s="273"/>
      <c r="AE263" s="273"/>
      <c r="AF263" s="273"/>
      <c r="AG263" s="273"/>
      <c r="AH263" s="273"/>
      <c r="AI263" s="273"/>
      <c r="AJ263" s="113"/>
      <c r="AK263" s="202" t="str">
        <f>CONCATENATE(AM263,"/",AO263)</f>
        <v>gebouw/gebouw</v>
      </c>
      <c r="AL263" s="89"/>
      <c r="AM263" s="168" t="str">
        <f>IF(AM83=geen,"-",AM84)</f>
        <v>gebouw</v>
      </c>
      <c r="AN263" s="168" t="str">
        <f>IF(AN83=geen,"-",AN84)</f>
        <v>-</v>
      </c>
      <c r="AO263" s="168" t="str">
        <f>IF(AO83=geen,"-",AO84)</f>
        <v>gebouw</v>
      </c>
      <c r="AP263" s="273"/>
      <c r="AQ263" s="273"/>
      <c r="AR263" s="273"/>
      <c r="AS263" s="273"/>
      <c r="AT263" s="273"/>
      <c r="AU263" s="273"/>
      <c r="AV263" s="113"/>
      <c r="AW263" s="202" t="str">
        <f>CONCATENATE(AY263,"/",BA263)</f>
        <v>gebouw/gebouw</v>
      </c>
      <c r="AX263" s="89"/>
      <c r="AY263" s="168" t="str">
        <f>IF(AY83=geen,"-",AY84)</f>
        <v>gebouw</v>
      </c>
      <c r="AZ263" s="168" t="str">
        <f>IF(AZ83=geen,"-",AZ84)</f>
        <v>-</v>
      </c>
      <c r="BA263" s="168" t="str">
        <f>IF(BA83=geen,"-",BA84)</f>
        <v>gebouw</v>
      </c>
      <c r="BB263" s="168"/>
      <c r="BC263" s="273"/>
      <c r="BD263" s="273"/>
      <c r="BE263" s="273"/>
      <c r="BF263" s="273"/>
      <c r="BG263" s="273"/>
      <c r="BH263" s="210"/>
    </row>
    <row r="264" spans="1:60">
      <c r="A264" s="1040"/>
      <c r="B264" s="1109" t="s">
        <v>257</v>
      </c>
      <c r="C264" s="1107" t="s">
        <v>104</v>
      </c>
      <c r="D264" s="638"/>
      <c r="E264" s="1123" t="s">
        <v>1347</v>
      </c>
      <c r="F264" s="1123"/>
      <c r="G264" s="180"/>
      <c r="H264" s="201" t="s">
        <v>65</v>
      </c>
      <c r="I264" s="114"/>
      <c r="J264" s="226"/>
      <c r="K264" s="232"/>
      <c r="L264" s="232"/>
      <c r="M264" s="226" t="str">
        <f>IF(SUM(O264:Q264)=0,"",((O$263&lt;&gt;gebouw)*(O$120+O$151+O$174-O$214) + (P$263&lt;&gt;gebouw)*(P$120+P$151+P$174-P$214) + (Q$263&lt;&gt;gebouw)*(Q$120+Q$151+Q$174-Q$214) )/  ((O$263&lt;&gt;gebouw)*O$78 + AND(P$263&lt;&gt;gebouw,P$263&lt;&gt;"-")*P$78 + (Q$263&lt;&gt;gebouw)*Q$78) )</f>
        <v/>
      </c>
      <c r="N264" s="233"/>
      <c r="O264" s="227" t="str">
        <f>IF(OR(O$246=0,O$263=gebouw),"-",(O$120+O$151+O$174-O$214)/O$78)</f>
        <v>-</v>
      </c>
      <c r="P264" s="227" t="str">
        <f>IF(OR(P$246=0,P$263=gebouw),"-",(P$120+P$151+P$174-P$214)/P$78)</f>
        <v>-</v>
      </c>
      <c r="Q264" s="227" t="str">
        <f>IF(OR(Q$246=0,Q$263=gebouw),"-",(Q$120+Q$151+Q$174-Q$214)/Q$78)</f>
        <v>-</v>
      </c>
      <c r="R264" s="274"/>
      <c r="S264" s="274"/>
      <c r="T264" s="274"/>
      <c r="U264" s="274"/>
      <c r="V264" s="274"/>
      <c r="W264" s="274"/>
      <c r="X264" s="123"/>
      <c r="Y264" s="226" t="str">
        <f>IF(SUM(AA264:AC264)=0,"",((AA$263&lt;&gt;gebouw)*(AA$120+AA$151+AA$174-AA$214) + (AB$263&lt;&gt;gebouw)*(AB$120+AB$151+AB$174-AB$214) + (AC$263&lt;&gt;gebouw)*(AC$120+AC$151+AC$174-AC$214) )/  ((AA$263&lt;&gt;gebouw)*AA$78 + AND(AB$263&lt;&gt;gebouw,AB$263&lt;&gt;"-")*AB$78 + (AC$263&lt;&gt;gebouw)*AC$78) )</f>
        <v/>
      </c>
      <c r="Z264" s="233"/>
      <c r="AA264" s="227" t="str">
        <f>IF(OR(AA$246=0,AA$263=gebouw),"-",(AA$120+AA$151+AA$174-AA$214)/AA$78)</f>
        <v>-</v>
      </c>
      <c r="AB264" s="227" t="str">
        <f>IF(OR(AB$246=0,AB$263=gebouw),"-",(AB$120+AB$151+AB$174-AB$214)/AB$78)</f>
        <v>-</v>
      </c>
      <c r="AC264" s="227" t="str">
        <f>IF(OR(AC$246=0,AC$263=gebouw),"-",(AC$120+AC$151+AC$174-AC$214)/AC$78)</f>
        <v>-</v>
      </c>
      <c r="AD264" s="274"/>
      <c r="AE264" s="274"/>
      <c r="AF264" s="274"/>
      <c r="AG264" s="274"/>
      <c r="AH264" s="274"/>
      <c r="AI264" s="274"/>
      <c r="AJ264" s="123"/>
      <c r="AK264" s="226" t="str">
        <f>IF(SUM(AM264:AO264)=0,"",((AM$263&lt;&gt;gebouw)*(AM$120+AM$151+AM$174-AM$214) + (AN$263&lt;&gt;gebouw)*(AN$120+AN$151+AN$174-AN$214) + (AO$263&lt;&gt;gebouw)*(AO$120+AO$151+AO$174-AO$214) )/  ((AM$263&lt;&gt;gebouw)*AM$78 + AND(AN$263&lt;&gt;gebouw,AN$263&lt;&gt;"-")*AN$78 + (AO$263&lt;&gt;gebouw)*AO$78) )</f>
        <v/>
      </c>
      <c r="AL264" s="233"/>
      <c r="AM264" s="227" t="str">
        <f>IF(OR(AM$246=0,AM$263=gebouw),"-",(AM$120+AM$151+AM$174-AM$214)/AM$78)</f>
        <v>-</v>
      </c>
      <c r="AN264" s="227" t="str">
        <f>IF(OR(AN$246=0,AN$263=gebouw),"-",(AN$120+AN$151+AN$174-AN$214)/AN$78)</f>
        <v>-</v>
      </c>
      <c r="AO264" s="227" t="str">
        <f>IF(OR(AO$246=0,AO$263=gebouw),"-",(AO$120+AO$151+AO$174-AO$214)/AO$78)</f>
        <v>-</v>
      </c>
      <c r="AP264" s="274"/>
      <c r="AQ264" s="274"/>
      <c r="AR264" s="274"/>
      <c r="AS264" s="274"/>
      <c r="AT264" s="274"/>
      <c r="AU264" s="274"/>
      <c r="AV264" s="123"/>
      <c r="AW264" s="226" t="str">
        <f>IF(SUM(AY264:BA264)=0,"",((AY$263&lt;&gt;gebouw)*(AY$120+AY$151+AY$174-AY$214) + (AZ$263&lt;&gt;gebouw)*(AZ$120+AZ$151+AZ$174-AZ$214) + (BA$263&lt;&gt;gebouw)*(BA$120+BA$151+BA$174-BA$214) )/  ((AY$263&lt;&gt;gebouw)*AY$78 + AND(AZ$263&lt;&gt;gebouw,AZ$263&lt;&gt;"-")*AZ$78 + (BA$263&lt;&gt;gebouw)*BA$78) )</f>
        <v/>
      </c>
      <c r="AX264" s="233"/>
      <c r="AY264" s="227" t="str">
        <f>IF(OR(AY$246=0,AY$263=gebouw),"-",(AY$120+AY$151+AY$174-AY$214)/AY$78)</f>
        <v>-</v>
      </c>
      <c r="AZ264" s="227" t="str">
        <f>IF(OR(AZ$246=0,AZ$263=gebouw),"-",(AZ$120+AZ$151+AZ$174-AZ$214)/AZ$78)</f>
        <v>-</v>
      </c>
      <c r="BA264" s="227" t="str">
        <f>IF(OR(BA$246=0,BA$263=gebouw),"-",(BA$120+BA$151+BA$174-BA$214)/BA$78)</f>
        <v>-</v>
      </c>
      <c r="BB264" s="227"/>
      <c r="BC264" s="274"/>
      <c r="BD264" s="274"/>
      <c r="BE264" s="274"/>
      <c r="BF264" s="274"/>
      <c r="BG264" s="274"/>
      <c r="BH264" s="210"/>
    </row>
    <row r="265" spans="1:60">
      <c r="A265" s="1040"/>
      <c r="B265" s="1109" t="s">
        <v>257</v>
      </c>
      <c r="C265" s="1106" t="s">
        <v>96</v>
      </c>
      <c r="D265" s="638"/>
      <c r="E265" s="79"/>
      <c r="F265" s="79"/>
      <c r="G265" s="79"/>
      <c r="H265" s="85"/>
      <c r="I265" s="79"/>
      <c r="J265" s="82"/>
      <c r="K265" s="79"/>
      <c r="L265" s="79"/>
      <c r="M265" s="597"/>
      <c r="N265" s="79"/>
      <c r="O265" s="82"/>
      <c r="P265" s="82"/>
      <c r="Q265" s="82"/>
      <c r="R265" s="82"/>
      <c r="S265" s="82"/>
      <c r="T265" s="82"/>
      <c r="U265" s="82"/>
      <c r="V265" s="82"/>
      <c r="W265" s="82"/>
      <c r="X265" s="82"/>
      <c r="Y265" s="123"/>
      <c r="Z265" s="79"/>
      <c r="AA265" s="82"/>
      <c r="AB265" s="82"/>
      <c r="AC265" s="82"/>
      <c r="AD265" s="82"/>
      <c r="AE265" s="82"/>
      <c r="AF265" s="82"/>
      <c r="AG265" s="82"/>
      <c r="AH265" s="82"/>
      <c r="AI265" s="82"/>
      <c r="AJ265" s="82"/>
      <c r="AK265" s="82"/>
      <c r="AL265" s="79"/>
      <c r="AM265" s="82"/>
      <c r="AN265" s="82"/>
      <c r="AO265" s="82"/>
      <c r="AP265" s="82"/>
      <c r="AQ265" s="82"/>
      <c r="AR265" s="82"/>
      <c r="AS265" s="82"/>
      <c r="AT265" s="82"/>
      <c r="AU265" s="82"/>
      <c r="AV265" s="82"/>
      <c r="AW265" s="82"/>
      <c r="AX265" s="79"/>
      <c r="AY265" s="79"/>
      <c r="AZ265" s="82"/>
      <c r="BA265" s="82"/>
      <c r="BB265" s="82"/>
      <c r="BC265" s="82"/>
      <c r="BD265" s="82"/>
      <c r="BE265" s="82"/>
      <c r="BF265" s="82"/>
      <c r="BG265" s="82"/>
      <c r="BH265" s="1"/>
    </row>
    <row r="266" spans="1:60">
      <c r="A266" s="1040"/>
      <c r="B266" s="1109" t="s">
        <v>260</v>
      </c>
      <c r="C266" s="1107" t="s">
        <v>96</v>
      </c>
      <c r="D266" s="638"/>
      <c r="E266" s="79"/>
      <c r="F266" s="79"/>
      <c r="G266" s="79"/>
      <c r="H266" s="85"/>
      <c r="I266" s="79"/>
      <c r="J266" s="82"/>
      <c r="K266" s="79"/>
      <c r="L266" s="79"/>
      <c r="M266" s="82"/>
      <c r="N266" s="79"/>
      <c r="O266" s="82"/>
      <c r="P266" s="82"/>
      <c r="Q266" s="82"/>
      <c r="R266" s="82"/>
      <c r="S266" s="82"/>
      <c r="T266" s="82"/>
      <c r="U266" s="82"/>
      <c r="V266" s="82"/>
      <c r="W266" s="82"/>
      <c r="X266" s="82"/>
      <c r="Y266" s="82"/>
      <c r="Z266" s="79"/>
      <c r="AA266" s="82"/>
      <c r="AB266" s="82"/>
      <c r="AC266" s="82"/>
      <c r="AD266" s="82"/>
      <c r="AE266" s="82"/>
      <c r="AF266" s="82"/>
      <c r="AG266" s="82"/>
      <c r="AH266" s="82"/>
      <c r="AI266" s="82"/>
      <c r="AJ266" s="82"/>
      <c r="AK266" s="82"/>
      <c r="AL266" s="79"/>
      <c r="AM266" s="82"/>
      <c r="AN266" s="82"/>
      <c r="AO266" s="82"/>
      <c r="AP266" s="82"/>
      <c r="AQ266" s="82"/>
      <c r="AR266" s="82"/>
      <c r="AS266" s="82"/>
      <c r="AT266" s="82"/>
      <c r="AU266" s="82"/>
      <c r="AV266" s="82"/>
      <c r="AW266" s="82"/>
      <c r="AX266" s="79"/>
      <c r="AY266" s="82"/>
      <c r="AZ266" s="82"/>
      <c r="BA266" s="82"/>
      <c r="BB266" s="82"/>
      <c r="BC266" s="82"/>
      <c r="BD266" s="82"/>
      <c r="BE266" s="82"/>
      <c r="BF266" s="82"/>
      <c r="BG266" s="82"/>
      <c r="BH266" s="1"/>
    </row>
    <row r="267" spans="1:60" s="2" customFormat="1" ht="21">
      <c r="A267" s="1038"/>
      <c r="B267" s="1109" t="s">
        <v>260</v>
      </c>
      <c r="C267" s="1106" t="s">
        <v>96</v>
      </c>
      <c r="D267" s="640" t="s">
        <v>45</v>
      </c>
      <c r="E267" s="209" t="str">
        <f>"warmte-/koudebehoefte ruimteverwarming ["&amp;$F$6&amp;"]"</f>
        <v>warmte-/koudebehoefte ruimteverwarming [EP]</v>
      </c>
      <c r="F267" s="209"/>
      <c r="G267" s="209"/>
      <c r="H267" s="209"/>
      <c r="I267" s="129"/>
      <c r="J267" s="256"/>
      <c r="K267" s="126"/>
      <c r="L267" s="126"/>
      <c r="M267" s="256" t="str">
        <f>M$10</f>
        <v>locatie 1</v>
      </c>
      <c r="N267" s="182"/>
      <c r="O267" s="955" t="str">
        <f>$E267&amp;" per woning-/gebouwtype"</f>
        <v>warmte-/koudebehoefte ruimteverwarming [EP] per woning-/gebouwtype</v>
      </c>
      <c r="P267" s="945"/>
      <c r="Q267" s="945"/>
      <c r="R267" s="945"/>
      <c r="S267" s="945"/>
      <c r="T267" s="945"/>
      <c r="U267" s="945"/>
      <c r="V267" s="945"/>
      <c r="W267" s="257"/>
      <c r="X267" s="174"/>
      <c r="Y267" s="256" t="str">
        <f>Y$10</f>
        <v>locatie 2</v>
      </c>
      <c r="Z267" s="182"/>
      <c r="AA267" s="955" t="str">
        <f>$E267&amp;" per woning-/gebouwtype"</f>
        <v>warmte-/koudebehoefte ruimteverwarming [EP] per woning-/gebouwtype</v>
      </c>
      <c r="AB267" s="945"/>
      <c r="AC267" s="945"/>
      <c r="AD267" s="945"/>
      <c r="AE267" s="945"/>
      <c r="AF267" s="945"/>
      <c r="AG267" s="945"/>
      <c r="AH267" s="945"/>
      <c r="AI267" s="257"/>
      <c r="AJ267" s="174"/>
      <c r="AK267" s="256" t="str">
        <f>AK$10</f>
        <v>locatie 3</v>
      </c>
      <c r="AL267" s="182"/>
      <c r="AM267" s="955" t="str">
        <f>$E267&amp;" per woning-/gebouwtype"</f>
        <v>warmte-/koudebehoefte ruimteverwarming [EP] per woning-/gebouwtype</v>
      </c>
      <c r="AN267" s="945"/>
      <c r="AO267" s="945"/>
      <c r="AP267" s="945"/>
      <c r="AQ267" s="945"/>
      <c r="AR267" s="945"/>
      <c r="AS267" s="945"/>
      <c r="AT267" s="945"/>
      <c r="AU267" s="257"/>
      <c r="AV267" s="174"/>
      <c r="AW267" s="256" t="str">
        <f>AW$10</f>
        <v>locatie 4</v>
      </c>
      <c r="AX267" s="182"/>
      <c r="AY267" s="955" t="str">
        <f>$E267&amp;" per woning-/gebouwtype"</f>
        <v>warmte-/koudebehoefte ruimteverwarming [EP] per woning-/gebouwtype</v>
      </c>
      <c r="AZ267" s="945"/>
      <c r="BA267" s="945"/>
      <c r="BB267" s="945"/>
      <c r="BC267" s="945"/>
      <c r="BD267" s="945"/>
      <c r="BE267" s="945"/>
      <c r="BF267" s="945"/>
      <c r="BG267" s="257"/>
      <c r="BH267" s="1"/>
    </row>
    <row r="268" spans="1:60">
      <c r="A268" s="1040"/>
      <c r="B268" s="1109" t="s">
        <v>260</v>
      </c>
      <c r="C268" s="1106" t="s">
        <v>96</v>
      </c>
      <c r="D268" s="638"/>
      <c r="E268" s="942" t="str">
        <f>E267</f>
        <v>warmte-/koudebehoefte ruimteverwarming [EP]</v>
      </c>
      <c r="F268" s="942"/>
      <c r="G268" s="942"/>
      <c r="H268" s="942"/>
      <c r="I268" s="129"/>
      <c r="J268" s="943"/>
      <c r="K268" s="126"/>
      <c r="L268" s="126"/>
      <c r="M268" s="944"/>
      <c r="N268" s="195"/>
      <c r="O268" s="258" t="str">
        <f>O$17</f>
        <v/>
      </c>
      <c r="P268" s="258" t="str">
        <f t="shared" ref="P268:W268" si="220">P$17</f>
        <v/>
      </c>
      <c r="Q268" s="258" t="str">
        <f t="shared" si="220"/>
        <v/>
      </c>
      <c r="R268" s="258" t="str">
        <f t="shared" si="220"/>
        <v/>
      </c>
      <c r="S268" s="258" t="str">
        <f t="shared" si="220"/>
        <v/>
      </c>
      <c r="T268" s="258" t="str">
        <f t="shared" si="220"/>
        <v/>
      </c>
      <c r="U268" s="258" t="str">
        <f t="shared" si="220"/>
        <v/>
      </c>
      <c r="V268" s="258" t="str">
        <f t="shared" si="220"/>
        <v/>
      </c>
      <c r="W268" s="258" t="str">
        <f t="shared" si="220"/>
        <v/>
      </c>
      <c r="X268" s="195"/>
      <c r="Y268" s="944"/>
      <c r="Z268" s="195"/>
      <c r="AA268" s="258" t="str">
        <f>AA$17</f>
        <v/>
      </c>
      <c r="AB268" s="258" t="str">
        <f t="shared" ref="AB268:AI268" si="221">AB$17</f>
        <v/>
      </c>
      <c r="AC268" s="258" t="str">
        <f t="shared" si="221"/>
        <v/>
      </c>
      <c r="AD268" s="258" t="str">
        <f t="shared" si="221"/>
        <v/>
      </c>
      <c r="AE268" s="258" t="str">
        <f t="shared" si="221"/>
        <v/>
      </c>
      <c r="AF268" s="258" t="str">
        <f t="shared" si="221"/>
        <v/>
      </c>
      <c r="AG268" s="258" t="str">
        <f t="shared" si="221"/>
        <v/>
      </c>
      <c r="AH268" s="258" t="str">
        <f t="shared" si="221"/>
        <v/>
      </c>
      <c r="AI268" s="258" t="str">
        <f t="shared" si="221"/>
        <v/>
      </c>
      <c r="AJ268" s="195"/>
      <c r="AK268" s="944"/>
      <c r="AL268" s="195"/>
      <c r="AM268" s="258" t="str">
        <f>AM$17</f>
        <v/>
      </c>
      <c r="AN268" s="258" t="str">
        <f t="shared" ref="AN268:AU268" si="222">AN$17</f>
        <v/>
      </c>
      <c r="AO268" s="258" t="str">
        <f t="shared" si="222"/>
        <v/>
      </c>
      <c r="AP268" s="258" t="str">
        <f t="shared" si="222"/>
        <v/>
      </c>
      <c r="AQ268" s="258" t="str">
        <f t="shared" si="222"/>
        <v/>
      </c>
      <c r="AR268" s="258" t="str">
        <f t="shared" si="222"/>
        <v/>
      </c>
      <c r="AS268" s="258" t="str">
        <f t="shared" si="222"/>
        <v/>
      </c>
      <c r="AT268" s="258" t="str">
        <f t="shared" si="222"/>
        <v/>
      </c>
      <c r="AU268" s="258" t="str">
        <f t="shared" si="222"/>
        <v/>
      </c>
      <c r="AV268" s="195"/>
      <c r="AW268" s="944"/>
      <c r="AX268" s="195"/>
      <c r="AY268" s="258" t="str">
        <f>AY$17</f>
        <v/>
      </c>
      <c r="AZ268" s="258" t="str">
        <f t="shared" ref="AZ268:BG268" si="223">AZ$17</f>
        <v/>
      </c>
      <c r="BA268" s="258" t="str">
        <f t="shared" si="223"/>
        <v/>
      </c>
      <c r="BB268" s="258" t="str">
        <f t="shared" si="223"/>
        <v/>
      </c>
      <c r="BC268" s="258" t="str">
        <f t="shared" si="223"/>
        <v/>
      </c>
      <c r="BD268" s="258" t="str">
        <f t="shared" si="223"/>
        <v/>
      </c>
      <c r="BE268" s="258" t="str">
        <f t="shared" si="223"/>
        <v/>
      </c>
      <c r="BF268" s="258" t="str">
        <f t="shared" si="223"/>
        <v/>
      </c>
      <c r="BG268" s="258" t="str">
        <f t="shared" si="223"/>
        <v/>
      </c>
      <c r="BH268" s="36"/>
    </row>
    <row r="269" spans="1:60">
      <c r="A269" s="1040"/>
      <c r="B269" s="1109" t="s">
        <v>260</v>
      </c>
      <c r="C269" s="1107" t="s">
        <v>104</v>
      </c>
      <c r="D269" s="641"/>
      <c r="E269" s="180" t="s">
        <v>1159</v>
      </c>
      <c r="F269" s="180"/>
      <c r="G269" s="180"/>
      <c r="H269" s="201" t="s">
        <v>154</v>
      </c>
      <c r="I269" s="114"/>
      <c r="J269" s="190"/>
      <c r="K269" s="1092"/>
      <c r="L269" s="1092"/>
      <c r="M269" s="190"/>
      <c r="N269" s="119"/>
      <c r="O269" s="183" t="str">
        <f t="shared" ref="O269:W269" si="224">IF(O$17="","",O62)</f>
        <v/>
      </c>
      <c r="P269" s="183" t="str">
        <f t="shared" si="224"/>
        <v/>
      </c>
      <c r="Q269" s="183" t="str">
        <f t="shared" si="224"/>
        <v/>
      </c>
      <c r="R269" s="183" t="str">
        <f t="shared" si="224"/>
        <v/>
      </c>
      <c r="S269" s="183" t="str">
        <f t="shared" si="224"/>
        <v/>
      </c>
      <c r="T269" s="183" t="str">
        <f t="shared" si="224"/>
        <v/>
      </c>
      <c r="U269" s="183" t="str">
        <f t="shared" si="224"/>
        <v/>
      </c>
      <c r="V269" s="183" t="str">
        <f t="shared" si="224"/>
        <v/>
      </c>
      <c r="W269" s="183" t="str">
        <f t="shared" si="224"/>
        <v/>
      </c>
      <c r="X269" s="108"/>
      <c r="Y269" s="190"/>
      <c r="Z269" s="119"/>
      <c r="AA269" s="183" t="str">
        <f t="shared" ref="AA269:AI269" si="225">IF(AA$17="","",AA62)</f>
        <v/>
      </c>
      <c r="AB269" s="183" t="str">
        <f t="shared" si="225"/>
        <v/>
      </c>
      <c r="AC269" s="183" t="str">
        <f t="shared" si="225"/>
        <v/>
      </c>
      <c r="AD269" s="183" t="str">
        <f t="shared" si="225"/>
        <v/>
      </c>
      <c r="AE269" s="183" t="str">
        <f t="shared" si="225"/>
        <v/>
      </c>
      <c r="AF269" s="183" t="str">
        <f t="shared" si="225"/>
        <v/>
      </c>
      <c r="AG269" s="183" t="str">
        <f t="shared" si="225"/>
        <v/>
      </c>
      <c r="AH269" s="183" t="str">
        <f t="shared" si="225"/>
        <v/>
      </c>
      <c r="AI269" s="183" t="str">
        <f t="shared" si="225"/>
        <v/>
      </c>
      <c r="AJ269" s="108"/>
      <c r="AK269" s="190"/>
      <c r="AL269" s="119"/>
      <c r="AM269" s="183" t="str">
        <f t="shared" ref="AM269:AU269" si="226">IF(AM$17="","",AM62)</f>
        <v/>
      </c>
      <c r="AN269" s="183" t="str">
        <f t="shared" si="226"/>
        <v/>
      </c>
      <c r="AO269" s="183" t="str">
        <f t="shared" si="226"/>
        <v/>
      </c>
      <c r="AP269" s="183" t="str">
        <f t="shared" si="226"/>
        <v/>
      </c>
      <c r="AQ269" s="183" t="str">
        <f t="shared" si="226"/>
        <v/>
      </c>
      <c r="AR269" s="183" t="str">
        <f t="shared" si="226"/>
        <v/>
      </c>
      <c r="AS269" s="183" t="str">
        <f t="shared" si="226"/>
        <v/>
      </c>
      <c r="AT269" s="183" t="str">
        <f t="shared" si="226"/>
        <v/>
      </c>
      <c r="AU269" s="183" t="str">
        <f t="shared" si="226"/>
        <v/>
      </c>
      <c r="AV269" s="108"/>
      <c r="AW269" s="190"/>
      <c r="AX269" s="119"/>
      <c r="AY269" s="183" t="str">
        <f t="shared" ref="AY269:BG269" si="227">IF(AY$17="","",AY62)</f>
        <v/>
      </c>
      <c r="AZ269" s="183" t="str">
        <f t="shared" si="227"/>
        <v/>
      </c>
      <c r="BA269" s="183" t="str">
        <f t="shared" si="227"/>
        <v/>
      </c>
      <c r="BB269" s="183" t="str">
        <f t="shared" si="227"/>
        <v/>
      </c>
      <c r="BC269" s="183" t="str">
        <f t="shared" si="227"/>
        <v/>
      </c>
      <c r="BD269" s="183" t="str">
        <f t="shared" si="227"/>
        <v/>
      </c>
      <c r="BE269" s="183" t="str">
        <f t="shared" si="227"/>
        <v/>
      </c>
      <c r="BF269" s="183" t="str">
        <f t="shared" si="227"/>
        <v/>
      </c>
      <c r="BG269" s="183" t="str">
        <f t="shared" si="227"/>
        <v/>
      </c>
      <c r="BH269" s="210"/>
    </row>
    <row r="270" spans="1:60">
      <c r="A270" s="1040"/>
      <c r="B270" s="1109" t="s">
        <v>260</v>
      </c>
      <c r="C270" s="1107" t="s">
        <v>104</v>
      </c>
      <c r="D270" s="641"/>
      <c r="E270" s="180" t="s">
        <v>1160</v>
      </c>
      <c r="F270" s="180"/>
      <c r="G270" s="180"/>
      <c r="H270" s="201" t="s">
        <v>154</v>
      </c>
      <c r="I270" s="114"/>
      <c r="J270" s="190"/>
      <c r="K270" s="1092"/>
      <c r="L270" s="1092"/>
      <c r="M270" s="190"/>
      <c r="N270" s="119"/>
      <c r="O270" s="183" t="str">
        <f t="shared" ref="O270:W270" si="228">IF(O$17="","-",O64)</f>
        <v>-</v>
      </c>
      <c r="P270" s="183" t="str">
        <f t="shared" si="228"/>
        <v>-</v>
      </c>
      <c r="Q270" s="183" t="str">
        <f t="shared" si="228"/>
        <v>-</v>
      </c>
      <c r="R270" s="183" t="str">
        <f t="shared" si="228"/>
        <v>-</v>
      </c>
      <c r="S270" s="183" t="str">
        <f t="shared" si="228"/>
        <v>-</v>
      </c>
      <c r="T270" s="183" t="str">
        <f t="shared" si="228"/>
        <v>-</v>
      </c>
      <c r="U270" s="183" t="str">
        <f t="shared" si="228"/>
        <v>-</v>
      </c>
      <c r="V270" s="183" t="str">
        <f t="shared" si="228"/>
        <v>-</v>
      </c>
      <c r="W270" s="183" t="str">
        <f t="shared" si="228"/>
        <v>-</v>
      </c>
      <c r="X270" s="108"/>
      <c r="Y270" s="190"/>
      <c r="Z270" s="119"/>
      <c r="AA270" s="183" t="str">
        <f t="shared" ref="AA270:AI270" si="229">IF(AA$17="","-",AA64)</f>
        <v>-</v>
      </c>
      <c r="AB270" s="183" t="str">
        <f t="shared" si="229"/>
        <v>-</v>
      </c>
      <c r="AC270" s="183" t="str">
        <f t="shared" si="229"/>
        <v>-</v>
      </c>
      <c r="AD270" s="183" t="str">
        <f t="shared" si="229"/>
        <v>-</v>
      </c>
      <c r="AE270" s="183" t="str">
        <f t="shared" si="229"/>
        <v>-</v>
      </c>
      <c r="AF270" s="183" t="str">
        <f t="shared" si="229"/>
        <v>-</v>
      </c>
      <c r="AG270" s="183" t="str">
        <f t="shared" si="229"/>
        <v>-</v>
      </c>
      <c r="AH270" s="183" t="str">
        <f t="shared" si="229"/>
        <v>-</v>
      </c>
      <c r="AI270" s="183" t="str">
        <f t="shared" si="229"/>
        <v>-</v>
      </c>
      <c r="AJ270" s="108"/>
      <c r="AK270" s="190"/>
      <c r="AL270" s="119"/>
      <c r="AM270" s="183" t="str">
        <f t="shared" ref="AM270:AU270" si="230">IF(AM$17="","-",AM64)</f>
        <v>-</v>
      </c>
      <c r="AN270" s="183" t="str">
        <f t="shared" si="230"/>
        <v>-</v>
      </c>
      <c r="AO270" s="183" t="str">
        <f t="shared" si="230"/>
        <v>-</v>
      </c>
      <c r="AP270" s="183" t="str">
        <f t="shared" si="230"/>
        <v>-</v>
      </c>
      <c r="AQ270" s="183" t="str">
        <f t="shared" si="230"/>
        <v>-</v>
      </c>
      <c r="AR270" s="183" t="str">
        <f t="shared" si="230"/>
        <v>-</v>
      </c>
      <c r="AS270" s="183" t="str">
        <f t="shared" si="230"/>
        <v>-</v>
      </c>
      <c r="AT270" s="183" t="str">
        <f t="shared" si="230"/>
        <v>-</v>
      </c>
      <c r="AU270" s="183" t="str">
        <f t="shared" si="230"/>
        <v>-</v>
      </c>
      <c r="AV270" s="108"/>
      <c r="AW270" s="190"/>
      <c r="AX270" s="119"/>
      <c r="AY270" s="183" t="str">
        <f t="shared" ref="AY270:BG270" si="231">IF(AY$17="","-",AY64)</f>
        <v>-</v>
      </c>
      <c r="AZ270" s="183" t="str">
        <f t="shared" si="231"/>
        <v>-</v>
      </c>
      <c r="BA270" s="183" t="str">
        <f t="shared" si="231"/>
        <v>-</v>
      </c>
      <c r="BB270" s="183" t="str">
        <f t="shared" si="231"/>
        <v>-</v>
      </c>
      <c r="BC270" s="183" t="str">
        <f t="shared" si="231"/>
        <v>-</v>
      </c>
      <c r="BD270" s="183" t="str">
        <f t="shared" si="231"/>
        <v>-</v>
      </c>
      <c r="BE270" s="183" t="str">
        <f t="shared" si="231"/>
        <v>-</v>
      </c>
      <c r="BF270" s="183" t="str">
        <f t="shared" si="231"/>
        <v>-</v>
      </c>
      <c r="BG270" s="183" t="str">
        <f t="shared" si="231"/>
        <v>-</v>
      </c>
      <c r="BH270" s="210"/>
    </row>
    <row r="271" spans="1:60">
      <c r="A271" s="1040"/>
      <c r="B271" s="1109" t="s">
        <v>260</v>
      </c>
      <c r="C271" s="1106" t="s">
        <v>96</v>
      </c>
      <c r="D271" s="638"/>
      <c r="E271" s="79"/>
      <c r="F271" s="79"/>
      <c r="G271" s="79"/>
      <c r="H271" s="85"/>
      <c r="I271" s="79"/>
      <c r="J271" s="82"/>
      <c r="K271" s="79"/>
      <c r="L271" s="79"/>
      <c r="M271" s="82"/>
      <c r="N271" s="79"/>
      <c r="O271" s="81"/>
      <c r="P271" s="82"/>
      <c r="Q271" s="82"/>
      <c r="R271" s="82"/>
      <c r="S271" s="82"/>
      <c r="T271" s="82"/>
      <c r="U271" s="82"/>
      <c r="V271" s="82"/>
      <c r="W271" s="82"/>
      <c r="X271" s="82"/>
      <c r="Y271" s="82"/>
      <c r="Z271" s="79"/>
      <c r="AA271" s="79"/>
      <c r="AB271" s="79"/>
      <c r="AC271" s="79"/>
      <c r="AD271" s="79"/>
      <c r="AE271" s="79"/>
      <c r="AF271" s="79"/>
      <c r="AG271" s="79"/>
      <c r="AH271" s="79"/>
      <c r="AI271" s="79"/>
      <c r="AJ271" s="82"/>
      <c r="AK271" s="82"/>
      <c r="AL271" s="79"/>
      <c r="AM271" s="82"/>
      <c r="AN271" s="82"/>
      <c r="AO271" s="82"/>
      <c r="AP271" s="82"/>
      <c r="AQ271" s="82"/>
      <c r="AR271" s="82"/>
      <c r="AS271" s="82"/>
      <c r="AT271" s="82"/>
      <c r="AU271" s="82"/>
      <c r="AV271" s="82"/>
      <c r="AW271" s="82"/>
      <c r="AX271" s="79"/>
      <c r="AY271" s="82"/>
      <c r="AZ271" s="82"/>
      <c r="BA271" s="82"/>
      <c r="BB271" s="82"/>
      <c r="BC271" s="82"/>
      <c r="BD271" s="82"/>
      <c r="BE271" s="82"/>
      <c r="BF271" s="82"/>
      <c r="BG271" s="82"/>
      <c r="BH271" s="1"/>
    </row>
    <row r="272" spans="1:60" hidden="1">
      <c r="A272" s="1040"/>
      <c r="B272" s="1109" t="s">
        <v>261</v>
      </c>
      <c r="C272" s="1106" t="s">
        <v>262</v>
      </c>
      <c r="D272" s="638"/>
      <c r="E272" s="79"/>
      <c r="F272" s="79"/>
      <c r="G272" s="79"/>
      <c r="H272" s="85"/>
      <c r="I272" s="79"/>
      <c r="J272" s="82"/>
      <c r="K272" s="79"/>
      <c r="L272" s="79"/>
      <c r="M272" s="82"/>
      <c r="N272" s="79"/>
      <c r="O272" s="82"/>
      <c r="P272" s="82"/>
      <c r="Q272" s="82"/>
      <c r="R272" s="82"/>
      <c r="S272" s="82"/>
      <c r="T272" s="82"/>
      <c r="U272" s="82"/>
      <c r="V272" s="82"/>
      <c r="W272" s="82"/>
      <c r="X272" s="82"/>
      <c r="Y272" s="82"/>
      <c r="Z272" s="79"/>
      <c r="AA272" s="82"/>
      <c r="AB272" s="82"/>
      <c r="AC272" s="82"/>
      <c r="AD272" s="82"/>
      <c r="AE272" s="82"/>
      <c r="AF272" s="82"/>
      <c r="AG272" s="82"/>
      <c r="AH272" s="82"/>
      <c r="AI272" s="82"/>
      <c r="AJ272" s="82"/>
      <c r="AK272" s="82"/>
      <c r="AL272" s="79"/>
      <c r="AM272" s="82"/>
      <c r="AN272" s="82"/>
      <c r="AO272" s="82"/>
      <c r="AP272" s="82"/>
      <c r="AQ272" s="82"/>
      <c r="AR272" s="82"/>
      <c r="AS272" s="82"/>
      <c r="AT272" s="82"/>
      <c r="AU272" s="82"/>
      <c r="AV272" s="82"/>
      <c r="AW272" s="82"/>
      <c r="AX272" s="79"/>
      <c r="AY272" s="82"/>
      <c r="AZ272" s="82"/>
      <c r="BA272" s="82"/>
      <c r="BB272" s="82"/>
      <c r="BC272" s="82"/>
      <c r="BD272" s="82"/>
      <c r="BE272" s="82"/>
      <c r="BF272" s="82"/>
      <c r="BG272" s="82"/>
      <c r="BH272" s="1"/>
    </row>
    <row r="273" spans="1:60" s="2" customFormat="1" ht="21" hidden="1">
      <c r="A273" s="1038"/>
      <c r="B273" s="1109" t="s">
        <v>261</v>
      </c>
      <c r="C273" s="1106" t="s">
        <v>262</v>
      </c>
      <c r="D273" s="640"/>
      <c r="E273" s="209" t="s">
        <v>263</v>
      </c>
      <c r="F273" s="209"/>
      <c r="G273" s="209"/>
      <c r="H273" s="209"/>
      <c r="I273" s="129"/>
      <c r="J273" s="256" t="str">
        <f>J$10</f>
        <v>alle locaties</v>
      </c>
      <c r="K273" s="126"/>
      <c r="L273" s="126"/>
      <c r="M273" s="256" t="str">
        <f>M$10</f>
        <v>locatie 1</v>
      </c>
      <c r="N273" s="182"/>
      <c r="O273" s="955" t="s">
        <v>1161</v>
      </c>
      <c r="P273" s="945"/>
      <c r="Q273" s="945"/>
      <c r="R273" s="945"/>
      <c r="S273" s="945"/>
      <c r="T273" s="945"/>
      <c r="U273" s="945"/>
      <c r="V273" s="945"/>
      <c r="W273" s="257"/>
      <c r="X273" s="174"/>
      <c r="Y273" s="256" t="str">
        <f>Y$10</f>
        <v>locatie 2</v>
      </c>
      <c r="Z273" s="182"/>
      <c r="AA273" s="955" t="s">
        <v>1161</v>
      </c>
      <c r="AB273" s="945"/>
      <c r="AC273" s="945"/>
      <c r="AD273" s="945"/>
      <c r="AE273" s="945"/>
      <c r="AF273" s="945"/>
      <c r="AG273" s="945"/>
      <c r="AH273" s="945"/>
      <c r="AI273" s="257"/>
      <c r="AJ273" s="174"/>
      <c r="AK273" s="256" t="str">
        <f>AK$10</f>
        <v>locatie 3</v>
      </c>
      <c r="AL273" s="182"/>
      <c r="AM273" s="955" t="s">
        <v>1161</v>
      </c>
      <c r="AN273" s="945"/>
      <c r="AO273" s="945"/>
      <c r="AP273" s="945"/>
      <c r="AQ273" s="945"/>
      <c r="AR273" s="945"/>
      <c r="AS273" s="945"/>
      <c r="AT273" s="945"/>
      <c r="AU273" s="257"/>
      <c r="AV273" s="174"/>
      <c r="AW273" s="256" t="str">
        <f>AW$10</f>
        <v>locatie 4</v>
      </c>
      <c r="AX273" s="182"/>
      <c r="AY273" s="955" t="s">
        <v>1161</v>
      </c>
      <c r="AZ273" s="945"/>
      <c r="BA273" s="945"/>
      <c r="BB273" s="945"/>
      <c r="BC273" s="945"/>
      <c r="BD273" s="945"/>
      <c r="BE273" s="945"/>
      <c r="BF273" s="945"/>
      <c r="BG273" s="257"/>
      <c r="BH273" s="1"/>
    </row>
    <row r="274" spans="1:60" hidden="1">
      <c r="A274" s="1040"/>
      <c r="B274" s="1109" t="s">
        <v>261</v>
      </c>
      <c r="C274" s="1106" t="s">
        <v>262</v>
      </c>
      <c r="D274" s="638"/>
      <c r="E274" s="942" t="s">
        <v>1317</v>
      </c>
      <c r="F274" s="942"/>
      <c r="G274" s="942"/>
      <c r="H274" s="942"/>
      <c r="I274" s="129"/>
      <c r="J274" s="943"/>
      <c r="K274" s="126"/>
      <c r="L274" s="126"/>
      <c r="M274" s="944"/>
      <c r="N274" s="195"/>
      <c r="O274" s="258" t="str">
        <f>O$17</f>
        <v/>
      </c>
      <c r="P274" s="258" t="str">
        <f t="shared" ref="P274:W274" si="232">P$17</f>
        <v/>
      </c>
      <c r="Q274" s="258" t="str">
        <f t="shared" si="232"/>
        <v/>
      </c>
      <c r="R274" s="258" t="str">
        <f t="shared" si="232"/>
        <v/>
      </c>
      <c r="S274" s="258" t="str">
        <f t="shared" si="232"/>
        <v/>
      </c>
      <c r="T274" s="258" t="str">
        <f t="shared" si="232"/>
        <v/>
      </c>
      <c r="U274" s="258" t="str">
        <f t="shared" si="232"/>
        <v/>
      </c>
      <c r="V274" s="258" t="str">
        <f t="shared" si="232"/>
        <v/>
      </c>
      <c r="W274" s="258" t="str">
        <f t="shared" si="232"/>
        <v/>
      </c>
      <c r="X274" s="195"/>
      <c r="Y274" s="944"/>
      <c r="Z274" s="195"/>
      <c r="AA274" s="258" t="str">
        <f>AA$17</f>
        <v/>
      </c>
      <c r="AB274" s="258" t="str">
        <f t="shared" ref="AB274:AI274" si="233">AB$17</f>
        <v/>
      </c>
      <c r="AC274" s="258" t="str">
        <f t="shared" si="233"/>
        <v/>
      </c>
      <c r="AD274" s="258" t="str">
        <f t="shared" si="233"/>
        <v/>
      </c>
      <c r="AE274" s="258" t="str">
        <f t="shared" si="233"/>
        <v/>
      </c>
      <c r="AF274" s="258" t="str">
        <f t="shared" si="233"/>
        <v/>
      </c>
      <c r="AG274" s="258" t="str">
        <f t="shared" si="233"/>
        <v/>
      </c>
      <c r="AH274" s="258" t="str">
        <f t="shared" si="233"/>
        <v/>
      </c>
      <c r="AI274" s="258" t="str">
        <f t="shared" si="233"/>
        <v/>
      </c>
      <c r="AJ274" s="195"/>
      <c r="AK274" s="944"/>
      <c r="AL274" s="195"/>
      <c r="AM274" s="258" t="str">
        <f>AM$17</f>
        <v/>
      </c>
      <c r="AN274" s="258" t="str">
        <f t="shared" ref="AN274:AU274" si="234">AN$17</f>
        <v/>
      </c>
      <c r="AO274" s="258" t="str">
        <f t="shared" si="234"/>
        <v/>
      </c>
      <c r="AP274" s="258" t="str">
        <f t="shared" si="234"/>
        <v/>
      </c>
      <c r="AQ274" s="258" t="str">
        <f t="shared" si="234"/>
        <v/>
      </c>
      <c r="AR274" s="258" t="str">
        <f t="shared" si="234"/>
        <v/>
      </c>
      <c r="AS274" s="258" t="str">
        <f t="shared" si="234"/>
        <v/>
      </c>
      <c r="AT274" s="258" t="str">
        <f t="shared" si="234"/>
        <v/>
      </c>
      <c r="AU274" s="258" t="str">
        <f t="shared" si="234"/>
        <v/>
      </c>
      <c r="AV274" s="195"/>
      <c r="AW274" s="944"/>
      <c r="AX274" s="195"/>
      <c r="AY274" s="258" t="str">
        <f>AY$17</f>
        <v/>
      </c>
      <c r="AZ274" s="258" t="str">
        <f t="shared" ref="AZ274:BG274" si="235">AZ$17</f>
        <v/>
      </c>
      <c r="BA274" s="258" t="str">
        <f t="shared" si="235"/>
        <v/>
      </c>
      <c r="BB274" s="258" t="str">
        <f t="shared" si="235"/>
        <v/>
      </c>
      <c r="BC274" s="258" t="str">
        <f t="shared" si="235"/>
        <v/>
      </c>
      <c r="BD274" s="258" t="str">
        <f t="shared" si="235"/>
        <v/>
      </c>
      <c r="BE274" s="258" t="str">
        <f t="shared" si="235"/>
        <v/>
      </c>
      <c r="BF274" s="258" t="str">
        <f t="shared" si="235"/>
        <v/>
      </c>
      <c r="BG274" s="258" t="str">
        <f t="shared" si="235"/>
        <v/>
      </c>
      <c r="BH274" s="36"/>
    </row>
    <row r="275" spans="1:60" hidden="1">
      <c r="A275" s="1040"/>
      <c r="B275" s="1109" t="s">
        <v>261</v>
      </c>
      <c r="C275" s="1106" t="s">
        <v>262</v>
      </c>
      <c r="D275" s="641" t="s">
        <v>45</v>
      </c>
      <c r="E275" s="180" t="s">
        <v>264</v>
      </c>
      <c r="F275" s="180"/>
      <c r="G275" s="180"/>
      <c r="H275" s="201" t="s">
        <v>65</v>
      </c>
      <c r="I275" s="114"/>
      <c r="J275" s="190"/>
      <c r="K275" s="195"/>
      <c r="L275" s="195"/>
      <c r="M275" s="357">
        <f>SUM(N275:X275)</f>
        <v>0</v>
      </c>
      <c r="N275" s="358"/>
      <c r="O275" s="228">
        <f t="shared" ref="O275:W275" si="236">IF(OR(O$17="",$M62=0),0,O$30*O62/$M62/1000)</f>
        <v>0</v>
      </c>
      <c r="P275" s="228">
        <f t="shared" si="236"/>
        <v>0</v>
      </c>
      <c r="Q275" s="228">
        <f t="shared" si="236"/>
        <v>0</v>
      </c>
      <c r="R275" s="228">
        <f t="shared" si="236"/>
        <v>0</v>
      </c>
      <c r="S275" s="228">
        <f t="shared" si="236"/>
        <v>0</v>
      </c>
      <c r="T275" s="228">
        <f t="shared" si="236"/>
        <v>0</v>
      </c>
      <c r="U275" s="228">
        <f t="shared" si="236"/>
        <v>0</v>
      </c>
      <c r="V275" s="228">
        <f t="shared" si="236"/>
        <v>0</v>
      </c>
      <c r="W275" s="228">
        <f t="shared" si="236"/>
        <v>0</v>
      </c>
      <c r="X275" s="356"/>
      <c r="Y275" s="357">
        <f>SUM(Z275:AJ275)</f>
        <v>0</v>
      </c>
      <c r="Z275" s="358"/>
      <c r="AA275" s="228">
        <f t="shared" ref="AA275:AI275" si="237">IF(OR(AA$17="",$Y62=0),0,AA$30*AA62/$Y62/1000)</f>
        <v>0</v>
      </c>
      <c r="AB275" s="228">
        <f t="shared" si="237"/>
        <v>0</v>
      </c>
      <c r="AC275" s="228">
        <f t="shared" si="237"/>
        <v>0</v>
      </c>
      <c r="AD275" s="228">
        <f t="shared" si="237"/>
        <v>0</v>
      </c>
      <c r="AE275" s="228">
        <f t="shared" si="237"/>
        <v>0</v>
      </c>
      <c r="AF275" s="228">
        <f t="shared" si="237"/>
        <v>0</v>
      </c>
      <c r="AG275" s="228">
        <f t="shared" si="237"/>
        <v>0</v>
      </c>
      <c r="AH275" s="228">
        <f t="shared" si="237"/>
        <v>0</v>
      </c>
      <c r="AI275" s="228">
        <f t="shared" si="237"/>
        <v>0</v>
      </c>
      <c r="AJ275" s="356"/>
      <c r="AK275" s="357">
        <f>SUM(AL275:AV275)</f>
        <v>0</v>
      </c>
      <c r="AL275" s="358"/>
      <c r="AM275" s="228">
        <f t="shared" ref="AM275:AU275" si="238">IF(OR(AM$17="",$AK62=0),0,AM$30*AM62/$AK62/1000)</f>
        <v>0</v>
      </c>
      <c r="AN275" s="228">
        <f t="shared" si="238"/>
        <v>0</v>
      </c>
      <c r="AO275" s="228">
        <f t="shared" si="238"/>
        <v>0</v>
      </c>
      <c r="AP275" s="228">
        <f t="shared" si="238"/>
        <v>0</v>
      </c>
      <c r="AQ275" s="228">
        <f t="shared" si="238"/>
        <v>0</v>
      </c>
      <c r="AR275" s="228">
        <f t="shared" si="238"/>
        <v>0</v>
      </c>
      <c r="AS275" s="228">
        <f t="shared" si="238"/>
        <v>0</v>
      </c>
      <c r="AT275" s="228">
        <f t="shared" si="238"/>
        <v>0</v>
      </c>
      <c r="AU275" s="228">
        <f t="shared" si="238"/>
        <v>0</v>
      </c>
      <c r="AV275" s="356"/>
      <c r="AW275" s="357">
        <f>SUM(AX275:BH275)</f>
        <v>0</v>
      </c>
      <c r="AX275" s="358"/>
      <c r="AY275" s="228">
        <f t="shared" ref="AY275:BG275" si="239">IF(OR(AY$17="",$AW62=0),0,AY$30*AY62/$AW62/1000)</f>
        <v>0</v>
      </c>
      <c r="AZ275" s="228">
        <f t="shared" si="239"/>
        <v>0</v>
      </c>
      <c r="BA275" s="228">
        <f t="shared" si="239"/>
        <v>0</v>
      </c>
      <c r="BB275" s="228">
        <f t="shared" si="239"/>
        <v>0</v>
      </c>
      <c r="BC275" s="228">
        <f t="shared" si="239"/>
        <v>0</v>
      </c>
      <c r="BD275" s="228">
        <f t="shared" si="239"/>
        <v>0</v>
      </c>
      <c r="BE275" s="228">
        <f t="shared" si="239"/>
        <v>0</v>
      </c>
      <c r="BF275" s="228">
        <f t="shared" si="239"/>
        <v>0</v>
      </c>
      <c r="BG275" s="228">
        <f t="shared" si="239"/>
        <v>0</v>
      </c>
      <c r="BH275" s="210"/>
    </row>
    <row r="276" spans="1:60" hidden="1">
      <c r="A276" s="1040"/>
      <c r="B276" s="1109" t="s">
        <v>261</v>
      </c>
      <c r="C276" s="1106" t="s">
        <v>262</v>
      </c>
      <c r="D276" s="638"/>
      <c r="E276" s="180" t="s">
        <v>265</v>
      </c>
      <c r="F276" s="180"/>
      <c r="G276" s="180"/>
      <c r="H276" s="201" t="s">
        <v>65</v>
      </c>
      <c r="I276" s="114"/>
      <c r="J276" s="190"/>
      <c r="K276" s="195"/>
      <c r="L276" s="195"/>
      <c r="M276" s="357">
        <f>SUM(N276:X276)</f>
        <v>0</v>
      </c>
      <c r="N276" s="358"/>
      <c r="O276" s="228">
        <f t="shared" ref="O276:W276" si="240">IF(OR(O$17="",$M64=0),0,O$30*O64/$M64/1000)</f>
        <v>0</v>
      </c>
      <c r="P276" s="228">
        <f t="shared" si="240"/>
        <v>0</v>
      </c>
      <c r="Q276" s="228">
        <f t="shared" si="240"/>
        <v>0</v>
      </c>
      <c r="R276" s="228">
        <f t="shared" si="240"/>
        <v>0</v>
      </c>
      <c r="S276" s="228">
        <f t="shared" si="240"/>
        <v>0</v>
      </c>
      <c r="T276" s="228">
        <f t="shared" si="240"/>
        <v>0</v>
      </c>
      <c r="U276" s="228">
        <f t="shared" si="240"/>
        <v>0</v>
      </c>
      <c r="V276" s="228">
        <f t="shared" si="240"/>
        <v>0</v>
      </c>
      <c r="W276" s="228">
        <f t="shared" si="240"/>
        <v>0</v>
      </c>
      <c r="X276" s="356"/>
      <c r="Y276" s="357">
        <f>SUM(Z276:AJ276)</f>
        <v>0</v>
      </c>
      <c r="Z276" s="358"/>
      <c r="AA276" s="228">
        <f t="shared" ref="AA276:AI276" si="241">IF(OR(AA$17="",$Y64=0),0,AA$30*AA64/$Y64/1000)</f>
        <v>0</v>
      </c>
      <c r="AB276" s="228">
        <f t="shared" si="241"/>
        <v>0</v>
      </c>
      <c r="AC276" s="228">
        <f t="shared" si="241"/>
        <v>0</v>
      </c>
      <c r="AD276" s="228">
        <f t="shared" si="241"/>
        <v>0</v>
      </c>
      <c r="AE276" s="228">
        <f t="shared" si="241"/>
        <v>0</v>
      </c>
      <c r="AF276" s="228">
        <f t="shared" si="241"/>
        <v>0</v>
      </c>
      <c r="AG276" s="228">
        <f t="shared" si="241"/>
        <v>0</v>
      </c>
      <c r="AH276" s="228">
        <f t="shared" si="241"/>
        <v>0</v>
      </c>
      <c r="AI276" s="228">
        <f t="shared" si="241"/>
        <v>0</v>
      </c>
      <c r="AJ276" s="356"/>
      <c r="AK276" s="357">
        <f>SUM(AL276:AV276)</f>
        <v>0</v>
      </c>
      <c r="AL276" s="358"/>
      <c r="AM276" s="228">
        <f t="shared" ref="AM276:AU276" si="242">IF(OR(AM$17="",$AK64=0),0,AM$30*AM64/$AK64/1000)</f>
        <v>0</v>
      </c>
      <c r="AN276" s="228">
        <f t="shared" si="242"/>
        <v>0</v>
      </c>
      <c r="AO276" s="228">
        <f t="shared" si="242"/>
        <v>0</v>
      </c>
      <c r="AP276" s="228">
        <f t="shared" si="242"/>
        <v>0</v>
      </c>
      <c r="AQ276" s="228">
        <f t="shared" si="242"/>
        <v>0</v>
      </c>
      <c r="AR276" s="228">
        <f t="shared" si="242"/>
        <v>0</v>
      </c>
      <c r="AS276" s="228">
        <f t="shared" si="242"/>
        <v>0</v>
      </c>
      <c r="AT276" s="228">
        <f t="shared" si="242"/>
        <v>0</v>
      </c>
      <c r="AU276" s="228">
        <f t="shared" si="242"/>
        <v>0</v>
      </c>
      <c r="AV276" s="356"/>
      <c r="AW276" s="357">
        <f>SUM(AX276:BH276)</f>
        <v>0</v>
      </c>
      <c r="AX276" s="358"/>
      <c r="AY276" s="228">
        <f t="shared" ref="AY276:BG276" si="243">IF(OR(AY$17="",$AW64=0),0,AY$30*AY64/$AW64/1000)</f>
        <v>0</v>
      </c>
      <c r="AZ276" s="228">
        <f t="shared" si="243"/>
        <v>0</v>
      </c>
      <c r="BA276" s="228">
        <f t="shared" si="243"/>
        <v>0</v>
      </c>
      <c r="BB276" s="228">
        <f t="shared" si="243"/>
        <v>0</v>
      </c>
      <c r="BC276" s="228">
        <f t="shared" si="243"/>
        <v>0</v>
      </c>
      <c r="BD276" s="228">
        <f t="shared" si="243"/>
        <v>0</v>
      </c>
      <c r="BE276" s="228">
        <f t="shared" si="243"/>
        <v>0</v>
      </c>
      <c r="BF276" s="228">
        <f t="shared" si="243"/>
        <v>0</v>
      </c>
      <c r="BG276" s="228">
        <f t="shared" si="243"/>
        <v>0</v>
      </c>
      <c r="BH276" s="210"/>
    </row>
    <row r="277" spans="1:60" hidden="1">
      <c r="A277" s="1040"/>
      <c r="B277" s="1109" t="s">
        <v>261</v>
      </c>
      <c r="C277" s="1106" t="s">
        <v>262</v>
      </c>
      <c r="D277" s="638"/>
      <c r="E277" s="180" t="s">
        <v>266</v>
      </c>
      <c r="F277" s="180"/>
      <c r="G277" s="180"/>
      <c r="H277" s="201" t="s">
        <v>65</v>
      </c>
      <c r="I277" s="114"/>
      <c r="J277" s="190"/>
      <c r="K277" s="195"/>
      <c r="L277" s="195"/>
      <c r="M277" s="357">
        <f>SUM(N277:X277)</f>
        <v>0</v>
      </c>
      <c r="N277" s="358"/>
      <c r="O277" s="228">
        <f t="shared" ref="O277:W277" si="244">IF(OR(O$17="",$M$65=0),0,O$30*O65/$M65/1000)</f>
        <v>0</v>
      </c>
      <c r="P277" s="228">
        <f t="shared" si="244"/>
        <v>0</v>
      </c>
      <c r="Q277" s="228">
        <f t="shared" si="244"/>
        <v>0</v>
      </c>
      <c r="R277" s="228">
        <f t="shared" si="244"/>
        <v>0</v>
      </c>
      <c r="S277" s="228">
        <f t="shared" si="244"/>
        <v>0</v>
      </c>
      <c r="T277" s="228">
        <f t="shared" si="244"/>
        <v>0</v>
      </c>
      <c r="U277" s="228">
        <f t="shared" si="244"/>
        <v>0</v>
      </c>
      <c r="V277" s="228">
        <f t="shared" si="244"/>
        <v>0</v>
      </c>
      <c r="W277" s="228">
        <f t="shared" si="244"/>
        <v>0</v>
      </c>
      <c r="X277" s="356"/>
      <c r="Y277" s="357">
        <f>SUM(Z277:AJ277)</f>
        <v>0</v>
      </c>
      <c r="Z277" s="358"/>
      <c r="AA277" s="228">
        <f t="shared" ref="AA277:AI277" si="245">IF(OR(AA$17="",$Y$65=0),0,AA$30*AA65/$Y65/1000)</f>
        <v>0</v>
      </c>
      <c r="AB277" s="228">
        <f t="shared" si="245"/>
        <v>0</v>
      </c>
      <c r="AC277" s="228">
        <f t="shared" si="245"/>
        <v>0</v>
      </c>
      <c r="AD277" s="228">
        <f t="shared" si="245"/>
        <v>0</v>
      </c>
      <c r="AE277" s="228">
        <f t="shared" si="245"/>
        <v>0</v>
      </c>
      <c r="AF277" s="228">
        <f t="shared" si="245"/>
        <v>0</v>
      </c>
      <c r="AG277" s="228">
        <f t="shared" si="245"/>
        <v>0</v>
      </c>
      <c r="AH277" s="228">
        <f t="shared" si="245"/>
        <v>0</v>
      </c>
      <c r="AI277" s="228">
        <f t="shared" si="245"/>
        <v>0</v>
      </c>
      <c r="AJ277" s="356"/>
      <c r="AK277" s="357">
        <f>SUM(AL277:AV277)</f>
        <v>0</v>
      </c>
      <c r="AL277" s="358"/>
      <c r="AM277" s="228">
        <f t="shared" ref="AM277:AU277" si="246">IF(OR(AM$17="",$AK$65=0),0,AM$30*AM65/$AK65/1000)</f>
        <v>0</v>
      </c>
      <c r="AN277" s="228">
        <f t="shared" si="246"/>
        <v>0</v>
      </c>
      <c r="AO277" s="228">
        <f t="shared" si="246"/>
        <v>0</v>
      </c>
      <c r="AP277" s="228">
        <f t="shared" si="246"/>
        <v>0</v>
      </c>
      <c r="AQ277" s="228">
        <f t="shared" si="246"/>
        <v>0</v>
      </c>
      <c r="AR277" s="228">
        <f t="shared" si="246"/>
        <v>0</v>
      </c>
      <c r="AS277" s="228">
        <f t="shared" si="246"/>
        <v>0</v>
      </c>
      <c r="AT277" s="228">
        <f t="shared" si="246"/>
        <v>0</v>
      </c>
      <c r="AU277" s="228">
        <f t="shared" si="246"/>
        <v>0</v>
      </c>
      <c r="AV277" s="356"/>
      <c r="AW277" s="357">
        <f>SUM(AX277:BH277)</f>
        <v>0</v>
      </c>
      <c r="AX277" s="358"/>
      <c r="AY277" s="228">
        <f t="shared" ref="AY277:BG277" si="247">IF(OR(AY$17="",$AW$65=0),0,AY$30*AY65/$AW65/1000)</f>
        <v>0</v>
      </c>
      <c r="AZ277" s="228">
        <f t="shared" si="247"/>
        <v>0</v>
      </c>
      <c r="BA277" s="228">
        <f t="shared" si="247"/>
        <v>0</v>
      </c>
      <c r="BB277" s="228">
        <f t="shared" si="247"/>
        <v>0</v>
      </c>
      <c r="BC277" s="228">
        <f t="shared" si="247"/>
        <v>0</v>
      </c>
      <c r="BD277" s="228">
        <f t="shared" si="247"/>
        <v>0</v>
      </c>
      <c r="BE277" s="228">
        <f t="shared" si="247"/>
        <v>0</v>
      </c>
      <c r="BF277" s="228">
        <f t="shared" si="247"/>
        <v>0</v>
      </c>
      <c r="BG277" s="228">
        <f t="shared" si="247"/>
        <v>0</v>
      </c>
      <c r="BH277" s="210"/>
    </row>
    <row r="278" spans="1:60" hidden="1">
      <c r="A278" s="1040"/>
      <c r="B278" s="1109" t="s">
        <v>261</v>
      </c>
      <c r="C278" s="1106" t="s">
        <v>262</v>
      </c>
      <c r="D278" s="638"/>
      <c r="E278" s="79"/>
      <c r="F278" s="79"/>
      <c r="G278" s="79"/>
      <c r="H278" s="85"/>
      <c r="I278" s="79"/>
      <c r="J278" s="82"/>
      <c r="K278" s="79"/>
      <c r="L278" s="79"/>
      <c r="M278" s="82"/>
      <c r="N278" s="79"/>
      <c r="O278" s="81"/>
      <c r="P278" s="82"/>
      <c r="Q278" s="82"/>
      <c r="R278" s="82"/>
      <c r="S278" s="82"/>
      <c r="T278" s="82"/>
      <c r="U278" s="82"/>
      <c r="V278" s="82"/>
      <c r="W278" s="82"/>
      <c r="X278" s="82"/>
      <c r="Y278" s="82"/>
      <c r="Z278" s="79"/>
      <c r="AA278" s="79"/>
      <c r="AB278" s="79"/>
      <c r="AC278" s="79"/>
      <c r="AD278" s="79"/>
      <c r="AE278" s="79"/>
      <c r="AF278" s="79"/>
      <c r="AG278" s="79"/>
      <c r="AH278" s="79"/>
      <c r="AI278" s="79"/>
      <c r="AJ278" s="82"/>
      <c r="AK278" s="82"/>
      <c r="AL278" s="79"/>
      <c r="AM278" s="82"/>
      <c r="AN278" s="82"/>
      <c r="AO278" s="82"/>
      <c r="AP278" s="82"/>
      <c r="AQ278" s="82"/>
      <c r="AR278" s="82"/>
      <c r="AS278" s="82"/>
      <c r="AT278" s="82"/>
      <c r="AU278" s="82"/>
      <c r="AV278" s="82"/>
      <c r="AW278" s="82"/>
      <c r="AX278" s="79"/>
      <c r="AY278" s="82"/>
      <c r="AZ278" s="82"/>
      <c r="BA278" s="82"/>
      <c r="BB278" s="82"/>
      <c r="BC278" s="82"/>
      <c r="BD278" s="82"/>
      <c r="BE278" s="82"/>
      <c r="BF278" s="82"/>
      <c r="BG278" s="82"/>
      <c r="BH278" s="1"/>
    </row>
    <row r="279" spans="1:60">
      <c r="A279" s="1040"/>
      <c r="B279" s="1109" t="s">
        <v>1219</v>
      </c>
      <c r="C279" s="1107" t="s">
        <v>96</v>
      </c>
      <c r="D279" s="638"/>
      <c r="E279" s="79"/>
      <c r="F279" s="79"/>
      <c r="G279" s="79"/>
      <c r="H279" s="85"/>
      <c r="I279" s="79"/>
      <c r="J279" s="82"/>
      <c r="K279" s="79"/>
      <c r="L279" s="79"/>
      <c r="M279" s="82"/>
      <c r="N279" s="79"/>
      <c r="O279" s="82"/>
      <c r="P279" s="1098"/>
      <c r="Q279" s="82"/>
      <c r="R279" s="82"/>
      <c r="S279" s="82"/>
      <c r="T279" s="82"/>
      <c r="U279" s="82"/>
      <c r="V279" s="82"/>
      <c r="W279" s="82"/>
      <c r="X279" s="82"/>
      <c r="Y279" s="82"/>
      <c r="Z279" s="79"/>
      <c r="AA279" s="82"/>
      <c r="AB279" s="82"/>
      <c r="AC279" s="82"/>
      <c r="AD279" s="82"/>
      <c r="AE279" s="82"/>
      <c r="AF279" s="82"/>
      <c r="AG279" s="82"/>
      <c r="AH279" s="82"/>
      <c r="AI279" s="82"/>
      <c r="AJ279" s="82"/>
      <c r="AK279" s="82"/>
      <c r="AL279" s="79"/>
      <c r="AM279" s="82"/>
      <c r="AN279" s="82"/>
      <c r="AO279" s="82"/>
      <c r="AP279" s="82"/>
      <c r="AQ279" s="82"/>
      <c r="AR279" s="82"/>
      <c r="AS279" s="82"/>
      <c r="AT279" s="82"/>
      <c r="AU279" s="82"/>
      <c r="AV279" s="82"/>
      <c r="AW279" s="82"/>
      <c r="AX279" s="79"/>
      <c r="AY279" s="82"/>
      <c r="AZ279" s="82"/>
      <c r="BA279" s="82"/>
      <c r="BB279" s="82"/>
      <c r="BC279" s="82"/>
      <c r="BD279" s="82"/>
      <c r="BE279" s="82"/>
      <c r="BF279" s="82"/>
      <c r="BG279" s="82"/>
      <c r="BH279" s="1"/>
    </row>
    <row r="280" spans="1:60" s="2" customFormat="1" ht="21">
      <c r="A280" s="1038"/>
      <c r="B280" s="1109" t="s">
        <v>1219</v>
      </c>
      <c r="C280" s="1106" t="s">
        <v>96</v>
      </c>
      <c r="D280" s="640" t="s">
        <v>45</v>
      </c>
      <c r="E280" s="209" t="s">
        <v>1220</v>
      </c>
      <c r="F280" s="209"/>
      <c r="G280" s="209"/>
      <c r="H280" s="209"/>
      <c r="I280" s="129"/>
      <c r="J280" s="256" t="str">
        <f>"MWh "&amp;J$8</f>
        <v>MWh alle locaties</v>
      </c>
      <c r="K280" s="126"/>
      <c r="L280" s="126"/>
      <c r="M280" s="256" t="str">
        <f>"MWh "&amp;M$8</f>
        <v>MWh locatie 1</v>
      </c>
      <c r="N280" s="182"/>
      <c r="O280" s="955" t="str">
        <f>$E280&amp;" per woning-/gebouwtype"</f>
        <v>primair fossiel energiegebruik per woning-/gebouwtype</v>
      </c>
      <c r="P280" s="945"/>
      <c r="Q280" s="945"/>
      <c r="R280" s="945"/>
      <c r="S280" s="945"/>
      <c r="T280" s="945"/>
      <c r="U280" s="945"/>
      <c r="V280" s="945"/>
      <c r="W280" s="257"/>
      <c r="X280" s="174"/>
      <c r="Y280" s="256" t="str">
        <f>"MWh "&amp;Y$8</f>
        <v>MWh locatie 2</v>
      </c>
      <c r="Z280" s="182"/>
      <c r="AA280" s="955" t="str">
        <f>$E280&amp;" per woning-/gebouwtype"</f>
        <v>primair fossiel energiegebruik per woning-/gebouwtype</v>
      </c>
      <c r="AB280" s="945"/>
      <c r="AC280" s="945"/>
      <c r="AD280" s="945"/>
      <c r="AE280" s="945"/>
      <c r="AF280" s="945"/>
      <c r="AG280" s="945"/>
      <c r="AH280" s="945"/>
      <c r="AI280" s="257"/>
      <c r="AJ280" s="174"/>
      <c r="AK280" s="256" t="str">
        <f>"MWh "&amp;AK$8</f>
        <v>MWh locatie 3</v>
      </c>
      <c r="AL280" s="182"/>
      <c r="AM280" s="955" t="str">
        <f>$E280&amp;" per woning-/gebouwtype"</f>
        <v>primair fossiel energiegebruik per woning-/gebouwtype</v>
      </c>
      <c r="AN280" s="945"/>
      <c r="AO280" s="945"/>
      <c r="AP280" s="945"/>
      <c r="AQ280" s="945"/>
      <c r="AR280" s="945"/>
      <c r="AS280" s="945"/>
      <c r="AT280" s="945"/>
      <c r="AU280" s="257"/>
      <c r="AV280" s="174"/>
      <c r="AW280" s="256" t="str">
        <f>"MWh "&amp;AW$8</f>
        <v>MWh locatie 4</v>
      </c>
      <c r="AX280" s="182"/>
      <c r="AY280" s="955" t="str">
        <f>$E280&amp;" per woning-/gebouwtype"</f>
        <v>primair fossiel energiegebruik per woning-/gebouwtype</v>
      </c>
      <c r="AZ280" s="945"/>
      <c r="BA280" s="945"/>
      <c r="BB280" s="945"/>
      <c r="BC280" s="945"/>
      <c r="BD280" s="945"/>
      <c r="BE280" s="945"/>
      <c r="BF280" s="945"/>
      <c r="BG280" s="257"/>
      <c r="BH280" s="1"/>
    </row>
    <row r="281" spans="1:60">
      <c r="A281" s="1040"/>
      <c r="B281" s="1109" t="s">
        <v>1219</v>
      </c>
      <c r="C281" s="1106" t="s">
        <v>96</v>
      </c>
      <c r="D281" s="638"/>
      <c r="E281" s="942" t="s">
        <v>1318</v>
      </c>
      <c r="F281" s="942"/>
      <c r="G281" s="942"/>
      <c r="H281" s="942"/>
      <c r="I281" s="129"/>
      <c r="J281" s="943"/>
      <c r="K281" s="126"/>
      <c r="L281" s="126"/>
      <c r="M281" s="944"/>
      <c r="N281" s="195"/>
      <c r="O281" s="258" t="str">
        <f>O$17</f>
        <v/>
      </c>
      <c r="P281" s="258" t="str">
        <f t="shared" ref="P281:W281" si="248">P$17</f>
        <v/>
      </c>
      <c r="Q281" s="258" t="str">
        <f t="shared" si="248"/>
        <v/>
      </c>
      <c r="R281" s="258" t="str">
        <f t="shared" si="248"/>
        <v/>
      </c>
      <c r="S281" s="258" t="str">
        <f t="shared" si="248"/>
        <v/>
      </c>
      <c r="T281" s="258" t="str">
        <f t="shared" si="248"/>
        <v/>
      </c>
      <c r="U281" s="258" t="str">
        <f t="shared" si="248"/>
        <v/>
      </c>
      <c r="V281" s="258" t="str">
        <f t="shared" si="248"/>
        <v/>
      </c>
      <c r="W281" s="258" t="str">
        <f t="shared" si="248"/>
        <v/>
      </c>
      <c r="X281" s="195"/>
      <c r="Y281" s="944"/>
      <c r="Z281" s="195"/>
      <c r="AA281" s="258" t="str">
        <f>AA$17</f>
        <v/>
      </c>
      <c r="AB281" s="258" t="str">
        <f t="shared" ref="AB281:AI281" si="249">AB$17</f>
        <v/>
      </c>
      <c r="AC281" s="258" t="str">
        <f t="shared" si="249"/>
        <v/>
      </c>
      <c r="AD281" s="258" t="str">
        <f t="shared" si="249"/>
        <v/>
      </c>
      <c r="AE281" s="258" t="str">
        <f t="shared" si="249"/>
        <v/>
      </c>
      <c r="AF281" s="258" t="str">
        <f t="shared" si="249"/>
        <v/>
      </c>
      <c r="AG281" s="258" t="str">
        <f t="shared" si="249"/>
        <v/>
      </c>
      <c r="AH281" s="258" t="str">
        <f t="shared" si="249"/>
        <v/>
      </c>
      <c r="AI281" s="258" t="str">
        <f t="shared" si="249"/>
        <v/>
      </c>
      <c r="AJ281" s="195"/>
      <c r="AK281" s="944"/>
      <c r="AL281" s="195"/>
      <c r="AM281" s="258" t="str">
        <f>AM$17</f>
        <v/>
      </c>
      <c r="AN281" s="258" t="str">
        <f t="shared" ref="AN281:AU281" si="250">AN$17</f>
        <v/>
      </c>
      <c r="AO281" s="258" t="str">
        <f t="shared" si="250"/>
        <v/>
      </c>
      <c r="AP281" s="258" t="str">
        <f t="shared" si="250"/>
        <v/>
      </c>
      <c r="AQ281" s="258" t="str">
        <f t="shared" si="250"/>
        <v/>
      </c>
      <c r="AR281" s="258" t="str">
        <f t="shared" si="250"/>
        <v/>
      </c>
      <c r="AS281" s="258" t="str">
        <f t="shared" si="250"/>
        <v/>
      </c>
      <c r="AT281" s="258" t="str">
        <f t="shared" si="250"/>
        <v/>
      </c>
      <c r="AU281" s="258" t="str">
        <f t="shared" si="250"/>
        <v/>
      </c>
      <c r="AV281" s="195"/>
      <c r="AW281" s="944"/>
      <c r="AX281" s="195"/>
      <c r="AY281" s="258" t="str">
        <f>AY$17</f>
        <v/>
      </c>
      <c r="AZ281" s="258" t="str">
        <f t="shared" ref="AZ281:BG281" si="251">AZ$17</f>
        <v/>
      </c>
      <c r="BA281" s="258" t="str">
        <f t="shared" si="251"/>
        <v/>
      </c>
      <c r="BB281" s="258" t="str">
        <f t="shared" si="251"/>
        <v/>
      </c>
      <c r="BC281" s="258" t="str">
        <f t="shared" si="251"/>
        <v/>
      </c>
      <c r="BD281" s="258" t="str">
        <f t="shared" si="251"/>
        <v/>
      </c>
      <c r="BE281" s="258" t="str">
        <f t="shared" si="251"/>
        <v/>
      </c>
      <c r="BF281" s="258" t="str">
        <f t="shared" si="251"/>
        <v/>
      </c>
      <c r="BG281" s="258" t="str">
        <f t="shared" si="251"/>
        <v/>
      </c>
      <c r="BH281" s="36"/>
    </row>
    <row r="282" spans="1:60">
      <c r="A282" s="1040"/>
      <c r="B282" s="1109" t="s">
        <v>1219</v>
      </c>
      <c r="C282" s="1107" t="s">
        <v>104</v>
      </c>
      <c r="D282" s="641"/>
      <c r="E282" s="304" t="str">
        <f>$O$10</f>
        <v>verwarming</v>
      </c>
      <c r="F282" s="180"/>
      <c r="G282" s="180"/>
      <c r="H282" s="201" t="s">
        <v>267</v>
      </c>
      <c r="I282" s="114"/>
      <c r="J282" s="190">
        <f t="shared" ref="J282:J290" si="252">M282+Y282+AK282+AW282</f>
        <v>0</v>
      </c>
      <c r="K282" s="1092"/>
      <c r="L282" s="1092"/>
      <c r="M282" s="190">
        <f t="shared" ref="M282:M289" si="253">SUMPRODUCT(N282:X282,N$22:X$22,N$29:X$29)/1000</f>
        <v>0</v>
      </c>
      <c r="N282" s="119"/>
      <c r="O282" s="183">
        <f t="shared" ref="O282:W282" si="254">IF(OR(O$22=0,$O$78=0),0,
(($O$120+$O$151+$O$174)/$O$78)*O62)</f>
        <v>0</v>
      </c>
      <c r="P282" s="183">
        <f t="shared" si="254"/>
        <v>0</v>
      </c>
      <c r="Q282" s="183">
        <f t="shared" si="254"/>
        <v>0</v>
      </c>
      <c r="R282" s="183">
        <f t="shared" si="254"/>
        <v>0</v>
      </c>
      <c r="S282" s="183">
        <f t="shared" si="254"/>
        <v>0</v>
      </c>
      <c r="T282" s="183">
        <f t="shared" si="254"/>
        <v>0</v>
      </c>
      <c r="U282" s="183">
        <f t="shared" si="254"/>
        <v>0</v>
      </c>
      <c r="V282" s="183">
        <f t="shared" si="254"/>
        <v>0</v>
      </c>
      <c r="W282" s="183">
        <f t="shared" si="254"/>
        <v>0</v>
      </c>
      <c r="X282" s="108"/>
      <c r="Y282" s="190">
        <f t="shared" ref="Y282:Y289" si="255">SUMPRODUCT(Z282:AJ282,Z$22:AJ$22,Z$29:AJ$29)/1000</f>
        <v>0</v>
      </c>
      <c r="Z282" s="119"/>
      <c r="AA282" s="183">
        <f t="shared" ref="AA282:AI282" si="256">IF(AA$22=0,0,
(($AA$120+$AA$151+$AA$174)/$AA$78)*AA62)</f>
        <v>0</v>
      </c>
      <c r="AB282" s="183">
        <f t="shared" si="256"/>
        <v>0</v>
      </c>
      <c r="AC282" s="183">
        <f t="shared" si="256"/>
        <v>0</v>
      </c>
      <c r="AD282" s="183">
        <f t="shared" si="256"/>
        <v>0</v>
      </c>
      <c r="AE282" s="183">
        <f t="shared" si="256"/>
        <v>0</v>
      </c>
      <c r="AF282" s="183">
        <f t="shared" si="256"/>
        <v>0</v>
      </c>
      <c r="AG282" s="183">
        <f t="shared" si="256"/>
        <v>0</v>
      </c>
      <c r="AH282" s="183">
        <f t="shared" si="256"/>
        <v>0</v>
      </c>
      <c r="AI282" s="183">
        <f t="shared" si="256"/>
        <v>0</v>
      </c>
      <c r="AJ282" s="1092"/>
      <c r="AK282" s="190">
        <f t="shared" ref="AK282:AK289" si="257">SUMPRODUCT(AL282:AV282,AL$22:AV$22,AL$29:AV$29)/1000</f>
        <v>0</v>
      </c>
      <c r="AL282" s="1092"/>
      <c r="AM282" s="183">
        <f t="shared" ref="AM282:AU282" si="258">IF(AM$22=0,0,
(($AM$120+$AM$151+$AM$174)/$AM$78)*AM62)</f>
        <v>0</v>
      </c>
      <c r="AN282" s="183">
        <f t="shared" si="258"/>
        <v>0</v>
      </c>
      <c r="AO282" s="183">
        <f t="shared" si="258"/>
        <v>0</v>
      </c>
      <c r="AP282" s="183">
        <f t="shared" si="258"/>
        <v>0</v>
      </c>
      <c r="AQ282" s="183">
        <f t="shared" si="258"/>
        <v>0</v>
      </c>
      <c r="AR282" s="183">
        <f t="shared" si="258"/>
        <v>0</v>
      </c>
      <c r="AS282" s="183">
        <f t="shared" si="258"/>
        <v>0</v>
      </c>
      <c r="AT282" s="183">
        <f t="shared" si="258"/>
        <v>0</v>
      </c>
      <c r="AU282" s="183">
        <f t="shared" si="258"/>
        <v>0</v>
      </c>
      <c r="AV282" s="1092"/>
      <c r="AW282" s="190">
        <f t="shared" ref="AW282:AW289" si="259">SUMPRODUCT(AX282:BH282,AX$22:BH$22,AX$29:BH$29)/1000</f>
        <v>0</v>
      </c>
      <c r="AX282" s="1092"/>
      <c r="AY282" s="183">
        <f t="shared" ref="AY282:BG282" si="260">IF(AY$22=0,0,
(($AY$120+$AY$151+$AY$174)/$AY$78)*AY62)</f>
        <v>0</v>
      </c>
      <c r="AZ282" s="183">
        <f t="shared" si="260"/>
        <v>0</v>
      </c>
      <c r="BA282" s="183">
        <f t="shared" si="260"/>
        <v>0</v>
      </c>
      <c r="BB282" s="183">
        <f t="shared" si="260"/>
        <v>0</v>
      </c>
      <c r="BC282" s="183">
        <f t="shared" si="260"/>
        <v>0</v>
      </c>
      <c r="BD282" s="183">
        <f t="shared" si="260"/>
        <v>0</v>
      </c>
      <c r="BE282" s="183">
        <f t="shared" si="260"/>
        <v>0</v>
      </c>
      <c r="BF282" s="183">
        <f t="shared" si="260"/>
        <v>0</v>
      </c>
      <c r="BG282" s="183">
        <f t="shared" si="260"/>
        <v>0</v>
      </c>
      <c r="BH282" s="210"/>
    </row>
    <row r="283" spans="1:60">
      <c r="A283" s="1040"/>
      <c r="B283" s="1109" t="s">
        <v>1219</v>
      </c>
      <c r="C283" s="1107" t="s">
        <v>104</v>
      </c>
      <c r="D283" s="641"/>
      <c r="E283" s="304" t="str">
        <f>$P$10</f>
        <v>koeling</v>
      </c>
      <c r="F283" s="180"/>
      <c r="G283" s="180"/>
      <c r="H283" s="201" t="s">
        <v>267</v>
      </c>
      <c r="I283" s="114"/>
      <c r="J283" s="190">
        <f t="shared" si="252"/>
        <v>0</v>
      </c>
      <c r="K283" s="1092"/>
      <c r="L283" s="1092"/>
      <c r="M283" s="190">
        <f t="shared" si="253"/>
        <v>0</v>
      </c>
      <c r="N283" s="119"/>
      <c r="O283" s="183">
        <f t="shared" ref="O283:W283" si="261">IF(OR(O$22=0,$P$78=0),0,
(($P$120+$P$151+$P$174)/$P$78)*O64)</f>
        <v>0</v>
      </c>
      <c r="P283" s="183">
        <f t="shared" si="261"/>
        <v>0</v>
      </c>
      <c r="Q283" s="183">
        <f t="shared" si="261"/>
        <v>0</v>
      </c>
      <c r="R283" s="183">
        <f t="shared" si="261"/>
        <v>0</v>
      </c>
      <c r="S283" s="183">
        <f t="shared" si="261"/>
        <v>0</v>
      </c>
      <c r="T283" s="183">
        <f t="shared" si="261"/>
        <v>0</v>
      </c>
      <c r="U283" s="183">
        <f t="shared" si="261"/>
        <v>0</v>
      </c>
      <c r="V283" s="183">
        <f t="shared" si="261"/>
        <v>0</v>
      </c>
      <c r="W283" s="183">
        <f t="shared" si="261"/>
        <v>0</v>
      </c>
      <c r="X283" s="108"/>
      <c r="Y283" s="190">
        <f t="shared" si="255"/>
        <v>0</v>
      </c>
      <c r="Z283" s="119"/>
      <c r="AA283" s="183">
        <f t="shared" ref="AA283:AI283" si="262">IF(OR(AA$22=0,$AB$78=0),0,
(($AB$120+$AB$151+$AB$174)/$AB$78)*AA64)</f>
        <v>0</v>
      </c>
      <c r="AB283" s="183">
        <f t="shared" si="262"/>
        <v>0</v>
      </c>
      <c r="AC283" s="183">
        <f t="shared" si="262"/>
        <v>0</v>
      </c>
      <c r="AD283" s="183">
        <f t="shared" si="262"/>
        <v>0</v>
      </c>
      <c r="AE283" s="183">
        <f t="shared" si="262"/>
        <v>0</v>
      </c>
      <c r="AF283" s="183">
        <f t="shared" si="262"/>
        <v>0</v>
      </c>
      <c r="AG283" s="183">
        <f t="shared" si="262"/>
        <v>0</v>
      </c>
      <c r="AH283" s="183">
        <f t="shared" si="262"/>
        <v>0</v>
      </c>
      <c r="AI283" s="183">
        <f t="shared" si="262"/>
        <v>0</v>
      </c>
      <c r="AJ283" s="1092"/>
      <c r="AK283" s="190">
        <f t="shared" si="257"/>
        <v>0</v>
      </c>
      <c r="AL283" s="1092"/>
      <c r="AM283" s="183">
        <f t="shared" ref="AM283:AU283" si="263">IF(OR(AM$22=0,$AN$78=0),0,
(($AN$120+$AN$151+$AN$174)/$AN$78)*AM64)</f>
        <v>0</v>
      </c>
      <c r="AN283" s="183">
        <f t="shared" si="263"/>
        <v>0</v>
      </c>
      <c r="AO283" s="183">
        <f t="shared" si="263"/>
        <v>0</v>
      </c>
      <c r="AP283" s="183">
        <f t="shared" si="263"/>
        <v>0</v>
      </c>
      <c r="AQ283" s="183">
        <f t="shared" si="263"/>
        <v>0</v>
      </c>
      <c r="AR283" s="183">
        <f t="shared" si="263"/>
        <v>0</v>
      </c>
      <c r="AS283" s="183">
        <f t="shared" si="263"/>
        <v>0</v>
      </c>
      <c r="AT283" s="183">
        <f t="shared" si="263"/>
        <v>0</v>
      </c>
      <c r="AU283" s="183">
        <f t="shared" si="263"/>
        <v>0</v>
      </c>
      <c r="AV283" s="1092"/>
      <c r="AW283" s="190">
        <f t="shared" si="259"/>
        <v>0</v>
      </c>
      <c r="AX283" s="1092"/>
      <c r="AY283" s="183">
        <f t="shared" ref="AY283:BG283" si="264">IF(OR(AY$22=0,$AZ$78=0),0,
(($AZ$120+$AZ$151+$AZ$174)/$AZ$78)*AY64)</f>
        <v>0</v>
      </c>
      <c r="AZ283" s="183">
        <f t="shared" si="264"/>
        <v>0</v>
      </c>
      <c r="BA283" s="183">
        <f t="shared" si="264"/>
        <v>0</v>
      </c>
      <c r="BB283" s="183">
        <f t="shared" si="264"/>
        <v>0</v>
      </c>
      <c r="BC283" s="183">
        <f t="shared" si="264"/>
        <v>0</v>
      </c>
      <c r="BD283" s="183">
        <f t="shared" si="264"/>
        <v>0</v>
      </c>
      <c r="BE283" s="183">
        <f t="shared" si="264"/>
        <v>0</v>
      </c>
      <c r="BF283" s="183">
        <f t="shared" si="264"/>
        <v>0</v>
      </c>
      <c r="BG283" s="183">
        <f t="shared" si="264"/>
        <v>0</v>
      </c>
      <c r="BH283" s="210"/>
    </row>
    <row r="284" spans="1:60">
      <c r="A284" s="1040"/>
      <c r="B284" s="1109" t="s">
        <v>1219</v>
      </c>
      <c r="C284" s="1107" t="s">
        <v>104</v>
      </c>
      <c r="D284" s="641"/>
      <c r="E284" s="304" t="str">
        <f>$Q$10</f>
        <v>tapwater</v>
      </c>
      <c r="F284" s="180"/>
      <c r="G284" s="180"/>
      <c r="H284" s="201" t="s">
        <v>267</v>
      </c>
      <c r="I284" s="114"/>
      <c r="J284" s="190">
        <f t="shared" si="252"/>
        <v>0</v>
      </c>
      <c r="K284" s="1092"/>
      <c r="L284" s="1092"/>
      <c r="M284" s="190">
        <f t="shared" si="253"/>
        <v>0</v>
      </c>
      <c r="N284" s="119"/>
      <c r="O284" s="183">
        <f t="shared" ref="O284:W284" si="265">IF(O$22=0,0,
(($Q$120+$Q$151+$Q$174)/$Q$78)*O65)</f>
        <v>0</v>
      </c>
      <c r="P284" s="183">
        <f t="shared" si="265"/>
        <v>0</v>
      </c>
      <c r="Q284" s="183">
        <f t="shared" si="265"/>
        <v>0</v>
      </c>
      <c r="R284" s="183">
        <f t="shared" si="265"/>
        <v>0</v>
      </c>
      <c r="S284" s="183">
        <f t="shared" si="265"/>
        <v>0</v>
      </c>
      <c r="T284" s="183">
        <f t="shared" si="265"/>
        <v>0</v>
      </c>
      <c r="U284" s="183">
        <f t="shared" si="265"/>
        <v>0</v>
      </c>
      <c r="V284" s="183">
        <f t="shared" si="265"/>
        <v>0</v>
      </c>
      <c r="W284" s="183">
        <f t="shared" si="265"/>
        <v>0</v>
      </c>
      <c r="X284" s="108"/>
      <c r="Y284" s="190">
        <f t="shared" si="255"/>
        <v>0</v>
      </c>
      <c r="Z284" s="119"/>
      <c r="AA284" s="183">
        <f t="shared" ref="AA284:AI284" si="266">IF(AA$22=0,0,
(($AC$120+$AC$151+$AC$174)/$AC$78)*AA65)</f>
        <v>0</v>
      </c>
      <c r="AB284" s="183">
        <f t="shared" si="266"/>
        <v>0</v>
      </c>
      <c r="AC284" s="183">
        <f t="shared" si="266"/>
        <v>0</v>
      </c>
      <c r="AD284" s="183">
        <f t="shared" si="266"/>
        <v>0</v>
      </c>
      <c r="AE284" s="183">
        <f t="shared" si="266"/>
        <v>0</v>
      </c>
      <c r="AF284" s="183">
        <f t="shared" si="266"/>
        <v>0</v>
      </c>
      <c r="AG284" s="183">
        <f t="shared" si="266"/>
        <v>0</v>
      </c>
      <c r="AH284" s="183">
        <f t="shared" si="266"/>
        <v>0</v>
      </c>
      <c r="AI284" s="183">
        <f t="shared" si="266"/>
        <v>0</v>
      </c>
      <c r="AJ284" s="1092"/>
      <c r="AK284" s="190">
        <f t="shared" si="257"/>
        <v>0</v>
      </c>
      <c r="AL284" s="1092"/>
      <c r="AM284" s="183">
        <f t="shared" ref="AM284:AU284" si="267">IF(AM$22=0,0,
(($AO$120+$AO$151+$AO$174)/$AO$78)*AM65)</f>
        <v>0</v>
      </c>
      <c r="AN284" s="183">
        <f t="shared" si="267"/>
        <v>0</v>
      </c>
      <c r="AO284" s="183">
        <f t="shared" si="267"/>
        <v>0</v>
      </c>
      <c r="AP284" s="183">
        <f t="shared" si="267"/>
        <v>0</v>
      </c>
      <c r="AQ284" s="183">
        <f t="shared" si="267"/>
        <v>0</v>
      </c>
      <c r="AR284" s="183">
        <f t="shared" si="267"/>
        <v>0</v>
      </c>
      <c r="AS284" s="183">
        <f t="shared" si="267"/>
        <v>0</v>
      </c>
      <c r="AT284" s="183">
        <f t="shared" si="267"/>
        <v>0</v>
      </c>
      <c r="AU284" s="183">
        <f t="shared" si="267"/>
        <v>0</v>
      </c>
      <c r="AV284" s="1092"/>
      <c r="AW284" s="190">
        <f t="shared" si="259"/>
        <v>0</v>
      </c>
      <c r="AX284" s="1092"/>
      <c r="AY284" s="183">
        <f t="shared" ref="AY284:BG284" si="268">IF(AY$22=0,0,
(($BA$120+$BA$151+$BA$174)/$BA$78)*AY65)</f>
        <v>0</v>
      </c>
      <c r="AZ284" s="183">
        <f t="shared" si="268"/>
        <v>0</v>
      </c>
      <c r="BA284" s="183">
        <f t="shared" si="268"/>
        <v>0</v>
      </c>
      <c r="BB284" s="183">
        <f t="shared" si="268"/>
        <v>0</v>
      </c>
      <c r="BC284" s="183">
        <f t="shared" si="268"/>
        <v>0</v>
      </c>
      <c r="BD284" s="183">
        <f t="shared" si="268"/>
        <v>0</v>
      </c>
      <c r="BE284" s="183">
        <f t="shared" si="268"/>
        <v>0</v>
      </c>
      <c r="BF284" s="183">
        <f t="shared" si="268"/>
        <v>0</v>
      </c>
      <c r="BG284" s="183">
        <f t="shared" si="268"/>
        <v>0</v>
      </c>
      <c r="BH284" s="210"/>
    </row>
    <row r="285" spans="1:60">
      <c r="A285" s="1040"/>
      <c r="B285" s="1109" t="s">
        <v>1219</v>
      </c>
      <c r="C285" s="1107" t="s">
        <v>104</v>
      </c>
      <c r="D285" s="641"/>
      <c r="E285" s="304" t="str">
        <f>$R$10</f>
        <v>verlichting</v>
      </c>
      <c r="F285" s="180"/>
      <c r="G285" s="180"/>
      <c r="H285" s="201" t="s">
        <v>267</v>
      </c>
      <c r="I285" s="114"/>
      <c r="J285" s="190">
        <f t="shared" si="252"/>
        <v>0</v>
      </c>
      <c r="K285" s="1092"/>
      <c r="L285" s="1092"/>
      <c r="M285" s="190">
        <f>SUMPRODUCT(N285:X285,N$22:X$22,N$29:X$29)/1000</f>
        <v>0</v>
      </c>
      <c r="N285" s="119"/>
      <c r="O285" s="183">
        <f t="shared" ref="O285:W285" si="269">IF(O$22=0,0,$R$174/$R$78*O66)</f>
        <v>0</v>
      </c>
      <c r="P285" s="183">
        <f t="shared" si="269"/>
        <v>0</v>
      </c>
      <c r="Q285" s="183">
        <f t="shared" si="269"/>
        <v>0</v>
      </c>
      <c r="R285" s="183">
        <f t="shared" si="269"/>
        <v>0</v>
      </c>
      <c r="S285" s="183">
        <f t="shared" si="269"/>
        <v>0</v>
      </c>
      <c r="T285" s="183">
        <f t="shared" si="269"/>
        <v>0</v>
      </c>
      <c r="U285" s="183">
        <f t="shared" si="269"/>
        <v>0</v>
      </c>
      <c r="V285" s="183">
        <f t="shared" si="269"/>
        <v>0</v>
      </c>
      <c r="W285" s="183">
        <f t="shared" si="269"/>
        <v>0</v>
      </c>
      <c r="X285" s="108"/>
      <c r="Y285" s="190">
        <f t="shared" si="255"/>
        <v>0</v>
      </c>
      <c r="Z285" s="119"/>
      <c r="AA285" s="183">
        <f t="shared" ref="AA285:AI285" si="270">IF(AA$22=0,0,$AD$174/$AD$78*AA66)</f>
        <v>0</v>
      </c>
      <c r="AB285" s="183">
        <f t="shared" si="270"/>
        <v>0</v>
      </c>
      <c r="AC285" s="183">
        <f t="shared" si="270"/>
        <v>0</v>
      </c>
      <c r="AD285" s="183">
        <f t="shared" si="270"/>
        <v>0</v>
      </c>
      <c r="AE285" s="183">
        <f t="shared" si="270"/>
        <v>0</v>
      </c>
      <c r="AF285" s="183">
        <f t="shared" si="270"/>
        <v>0</v>
      </c>
      <c r="AG285" s="183">
        <f t="shared" si="270"/>
        <v>0</v>
      </c>
      <c r="AH285" s="183">
        <f t="shared" si="270"/>
        <v>0</v>
      </c>
      <c r="AI285" s="183">
        <f t="shared" si="270"/>
        <v>0</v>
      </c>
      <c r="AJ285" s="1092"/>
      <c r="AK285" s="190">
        <f t="shared" si="257"/>
        <v>0</v>
      </c>
      <c r="AL285" s="1092"/>
      <c r="AM285" s="183">
        <f t="shared" ref="AM285:AU285" si="271">IF(AM$22=0,0,$AP$174/$AP$78*AM66)</f>
        <v>0</v>
      </c>
      <c r="AN285" s="183">
        <f t="shared" si="271"/>
        <v>0</v>
      </c>
      <c r="AO285" s="183">
        <f t="shared" si="271"/>
        <v>0</v>
      </c>
      <c r="AP285" s="183">
        <f t="shared" si="271"/>
        <v>0</v>
      </c>
      <c r="AQ285" s="183">
        <f t="shared" si="271"/>
        <v>0</v>
      </c>
      <c r="AR285" s="183">
        <f t="shared" si="271"/>
        <v>0</v>
      </c>
      <c r="AS285" s="183">
        <f t="shared" si="271"/>
        <v>0</v>
      </c>
      <c r="AT285" s="183">
        <f t="shared" si="271"/>
        <v>0</v>
      </c>
      <c r="AU285" s="183">
        <f t="shared" si="271"/>
        <v>0</v>
      </c>
      <c r="AV285" s="1092"/>
      <c r="AW285" s="190">
        <f t="shared" si="259"/>
        <v>0</v>
      </c>
      <c r="AX285" s="1092"/>
      <c r="AY285" s="183">
        <f t="shared" ref="AY285:BG285" si="272">IF(AY$22=0,0,$BB$174/$BB$78*AY66)</f>
        <v>0</v>
      </c>
      <c r="AZ285" s="183">
        <f t="shared" si="272"/>
        <v>0</v>
      </c>
      <c r="BA285" s="183">
        <f t="shared" si="272"/>
        <v>0</v>
      </c>
      <c r="BB285" s="183">
        <f t="shared" si="272"/>
        <v>0</v>
      </c>
      <c r="BC285" s="183">
        <f t="shared" si="272"/>
        <v>0</v>
      </c>
      <c r="BD285" s="183">
        <f t="shared" si="272"/>
        <v>0</v>
      </c>
      <c r="BE285" s="183">
        <f t="shared" si="272"/>
        <v>0</v>
      </c>
      <c r="BF285" s="183">
        <f t="shared" si="272"/>
        <v>0</v>
      </c>
      <c r="BG285" s="183">
        <f t="shared" si="272"/>
        <v>0</v>
      </c>
      <c r="BH285" s="210"/>
    </row>
    <row r="286" spans="1:60">
      <c r="A286" s="1040"/>
      <c r="B286" s="1109" t="s">
        <v>1219</v>
      </c>
      <c r="C286" s="1107" t="s">
        <v>104</v>
      </c>
      <c r="D286" s="641"/>
      <c r="E286" s="304" t="str">
        <f>$S$10</f>
        <v>ventilatoren</v>
      </c>
      <c r="F286" s="180"/>
      <c r="G286" s="180"/>
      <c r="H286" s="201" t="s">
        <v>267</v>
      </c>
      <c r="I286" s="114"/>
      <c r="J286" s="190">
        <f t="shared" si="252"/>
        <v>0</v>
      </c>
      <c r="K286" s="1092"/>
      <c r="L286" s="1092"/>
      <c r="M286" s="190">
        <f t="shared" si="253"/>
        <v>0</v>
      </c>
      <c r="N286" s="119"/>
      <c r="O286" s="183">
        <f t="shared" ref="O286:W286" si="273">IF(OR(O$22=0,$S$78=0),0,$S$174/$S$78*O67)</f>
        <v>0</v>
      </c>
      <c r="P286" s="183">
        <f t="shared" si="273"/>
        <v>0</v>
      </c>
      <c r="Q286" s="183">
        <f t="shared" si="273"/>
        <v>0</v>
      </c>
      <c r="R286" s="183">
        <f t="shared" si="273"/>
        <v>0</v>
      </c>
      <c r="S286" s="183">
        <f t="shared" si="273"/>
        <v>0</v>
      </c>
      <c r="T286" s="183">
        <f t="shared" si="273"/>
        <v>0</v>
      </c>
      <c r="U286" s="183">
        <f t="shared" si="273"/>
        <v>0</v>
      </c>
      <c r="V286" s="183">
        <f t="shared" si="273"/>
        <v>0</v>
      </c>
      <c r="W286" s="183">
        <f t="shared" si="273"/>
        <v>0</v>
      </c>
      <c r="X286" s="108"/>
      <c r="Y286" s="190">
        <f t="shared" si="255"/>
        <v>0</v>
      </c>
      <c r="Z286" s="119"/>
      <c r="AA286" s="183">
        <f t="shared" ref="AA286:AI286" si="274">IF(OR(AA$22=0,$AE$78=0),0,$AE$174/$AE$78*AA67)</f>
        <v>0</v>
      </c>
      <c r="AB286" s="183">
        <f t="shared" si="274"/>
        <v>0</v>
      </c>
      <c r="AC286" s="183">
        <f t="shared" si="274"/>
        <v>0</v>
      </c>
      <c r="AD286" s="183">
        <f t="shared" si="274"/>
        <v>0</v>
      </c>
      <c r="AE286" s="183">
        <f t="shared" si="274"/>
        <v>0</v>
      </c>
      <c r="AF286" s="183">
        <f t="shared" si="274"/>
        <v>0</v>
      </c>
      <c r="AG286" s="183">
        <f t="shared" si="274"/>
        <v>0</v>
      </c>
      <c r="AH286" s="183">
        <f t="shared" si="274"/>
        <v>0</v>
      </c>
      <c r="AI286" s="183">
        <f t="shared" si="274"/>
        <v>0</v>
      </c>
      <c r="AJ286" s="1092"/>
      <c r="AK286" s="190">
        <f t="shared" si="257"/>
        <v>0</v>
      </c>
      <c r="AL286" s="1092"/>
      <c r="AM286" s="183">
        <f t="shared" ref="AM286:AU286" si="275">IF(OR(AM$22=0,$AQ$78=0),0,$AQ$174/$AQ$78*AM67)</f>
        <v>0</v>
      </c>
      <c r="AN286" s="183">
        <f t="shared" si="275"/>
        <v>0</v>
      </c>
      <c r="AO286" s="183">
        <f t="shared" si="275"/>
        <v>0</v>
      </c>
      <c r="AP286" s="183">
        <f t="shared" si="275"/>
        <v>0</v>
      </c>
      <c r="AQ286" s="183">
        <f t="shared" si="275"/>
        <v>0</v>
      </c>
      <c r="AR286" s="183">
        <f t="shared" si="275"/>
        <v>0</v>
      </c>
      <c r="AS286" s="183">
        <f t="shared" si="275"/>
        <v>0</v>
      </c>
      <c r="AT286" s="183">
        <f t="shared" si="275"/>
        <v>0</v>
      </c>
      <c r="AU286" s="183">
        <f t="shared" si="275"/>
        <v>0</v>
      </c>
      <c r="AV286" s="1092"/>
      <c r="AW286" s="190">
        <f t="shared" si="259"/>
        <v>0</v>
      </c>
      <c r="AX286" s="1092"/>
      <c r="AY286" s="183">
        <f t="shared" ref="AY286:BG286" si="276">IF(OR(AY$22=0,$BC$78=0),0,$BC$174/$BC$78*AY67)</f>
        <v>0</v>
      </c>
      <c r="AZ286" s="183">
        <f t="shared" si="276"/>
        <v>0</v>
      </c>
      <c r="BA286" s="183">
        <f t="shared" si="276"/>
        <v>0</v>
      </c>
      <c r="BB286" s="183">
        <f t="shared" si="276"/>
        <v>0</v>
      </c>
      <c r="BC286" s="183">
        <f t="shared" si="276"/>
        <v>0</v>
      </c>
      <c r="BD286" s="183">
        <f t="shared" si="276"/>
        <v>0</v>
      </c>
      <c r="BE286" s="183">
        <f t="shared" si="276"/>
        <v>0</v>
      </c>
      <c r="BF286" s="183">
        <f t="shared" si="276"/>
        <v>0</v>
      </c>
      <c r="BG286" s="183">
        <f t="shared" si="276"/>
        <v>0</v>
      </c>
      <c r="BH286" s="210"/>
    </row>
    <row r="287" spans="1:60">
      <c r="A287" s="1040"/>
      <c r="B287" s="1109" t="s">
        <v>1219</v>
      </c>
      <c r="C287" s="1107" t="s">
        <v>104</v>
      </c>
      <c r="D287" s="641"/>
      <c r="E287" s="304" t="str">
        <f>$T$10</f>
        <v>kookgas</v>
      </c>
      <c r="F287" s="180"/>
      <c r="G287" s="180"/>
      <c r="H287" s="201" t="s">
        <v>267</v>
      </c>
      <c r="I287" s="114"/>
      <c r="J287" s="190">
        <f t="shared" si="252"/>
        <v>0</v>
      </c>
      <c r="K287" s="1092"/>
      <c r="L287" s="1092"/>
      <c r="M287" s="190">
        <f t="shared" si="253"/>
        <v>0</v>
      </c>
      <c r="N287" s="119"/>
      <c r="O287" s="183">
        <f t="shared" ref="O287:W287" si="277">IF(OR(O$22=0,$T$78=0),0,$T$246/$T$78*O68)</f>
        <v>0</v>
      </c>
      <c r="P287" s="183">
        <f t="shared" si="277"/>
        <v>0</v>
      </c>
      <c r="Q287" s="183">
        <f t="shared" si="277"/>
        <v>0</v>
      </c>
      <c r="R287" s="183">
        <f t="shared" si="277"/>
        <v>0</v>
      </c>
      <c r="S287" s="183">
        <f t="shared" si="277"/>
        <v>0</v>
      </c>
      <c r="T287" s="183">
        <f t="shared" si="277"/>
        <v>0</v>
      </c>
      <c r="U287" s="183">
        <f t="shared" si="277"/>
        <v>0</v>
      </c>
      <c r="V287" s="183">
        <f t="shared" si="277"/>
        <v>0</v>
      </c>
      <c r="W287" s="183">
        <f t="shared" si="277"/>
        <v>0</v>
      </c>
      <c r="X287" s="108"/>
      <c r="Y287" s="190">
        <f t="shared" si="255"/>
        <v>0</v>
      </c>
      <c r="Z287" s="119"/>
      <c r="AA287" s="183">
        <f t="shared" ref="AA287:AI287" si="278">IF(OR(AA$22=0,$AF$78=0),0,$AF$246/$AF$78*AA68)</f>
        <v>0</v>
      </c>
      <c r="AB287" s="183">
        <f t="shared" si="278"/>
        <v>0</v>
      </c>
      <c r="AC287" s="183">
        <f t="shared" si="278"/>
        <v>0</v>
      </c>
      <c r="AD287" s="183">
        <f t="shared" si="278"/>
        <v>0</v>
      </c>
      <c r="AE287" s="183">
        <f t="shared" si="278"/>
        <v>0</v>
      </c>
      <c r="AF287" s="183">
        <f t="shared" si="278"/>
        <v>0</v>
      </c>
      <c r="AG287" s="183">
        <f t="shared" si="278"/>
        <v>0</v>
      </c>
      <c r="AH287" s="183">
        <f t="shared" si="278"/>
        <v>0</v>
      </c>
      <c r="AI287" s="183">
        <f t="shared" si="278"/>
        <v>0</v>
      </c>
      <c r="AJ287" s="1092"/>
      <c r="AK287" s="190">
        <f t="shared" si="257"/>
        <v>0</v>
      </c>
      <c r="AL287" s="1092"/>
      <c r="AM287" s="183">
        <f t="shared" ref="AM287:AU287" si="279">IF(OR(AM$22=0,$AR$78=0),0,$AR$246/$AR$78*AM68)</f>
        <v>0</v>
      </c>
      <c r="AN287" s="183">
        <f t="shared" si="279"/>
        <v>0</v>
      </c>
      <c r="AO287" s="183">
        <f t="shared" si="279"/>
        <v>0</v>
      </c>
      <c r="AP287" s="183">
        <f t="shared" si="279"/>
        <v>0</v>
      </c>
      <c r="AQ287" s="183">
        <f t="shared" si="279"/>
        <v>0</v>
      </c>
      <c r="AR287" s="183">
        <f t="shared" si="279"/>
        <v>0</v>
      </c>
      <c r="AS287" s="183">
        <f t="shared" si="279"/>
        <v>0</v>
      </c>
      <c r="AT287" s="183">
        <f t="shared" si="279"/>
        <v>0</v>
      </c>
      <c r="AU287" s="183">
        <f t="shared" si="279"/>
        <v>0</v>
      </c>
      <c r="AV287" s="1092"/>
      <c r="AW287" s="190">
        <f t="shared" si="259"/>
        <v>0</v>
      </c>
      <c r="AX287" s="1092"/>
      <c r="AY287" s="183">
        <f t="shared" ref="AY287:BG287" si="280">IF(OR(AY$22=0,$BD$78=0),0,$BD$246/$BD$78*AY68)</f>
        <v>0</v>
      </c>
      <c r="AZ287" s="183">
        <f t="shared" si="280"/>
        <v>0</v>
      </c>
      <c r="BA287" s="183">
        <f t="shared" si="280"/>
        <v>0</v>
      </c>
      <c r="BB287" s="183">
        <f t="shared" si="280"/>
        <v>0</v>
      </c>
      <c r="BC287" s="183">
        <f t="shared" si="280"/>
        <v>0</v>
      </c>
      <c r="BD287" s="183">
        <f t="shared" si="280"/>
        <v>0</v>
      </c>
      <c r="BE287" s="183">
        <f t="shared" si="280"/>
        <v>0</v>
      </c>
      <c r="BF287" s="183">
        <f t="shared" si="280"/>
        <v>0</v>
      </c>
      <c r="BG287" s="183">
        <f t="shared" si="280"/>
        <v>0</v>
      </c>
      <c r="BH287" s="210"/>
    </row>
    <row r="288" spans="1:60">
      <c r="A288" s="1040"/>
      <c r="B288" s="1109" t="s">
        <v>1219</v>
      </c>
      <c r="C288" s="1107" t="s">
        <v>104</v>
      </c>
      <c r="D288" s="641"/>
      <c r="E288" s="304" t="str">
        <f>$U$10</f>
        <v>overig elektra</v>
      </c>
      <c r="F288" s="180"/>
      <c r="G288" s="180"/>
      <c r="H288" s="201" t="s">
        <v>267</v>
      </c>
      <c r="I288" s="114"/>
      <c r="J288" s="190">
        <f t="shared" si="252"/>
        <v>0</v>
      </c>
      <c r="K288" s="1092"/>
      <c r="L288" s="1092"/>
      <c r="M288" s="190">
        <f t="shared" si="253"/>
        <v>0</v>
      </c>
      <c r="N288" s="119"/>
      <c r="O288" s="183">
        <f t="shared" ref="O288:W288" si="281">IF(OR(O$22=0,$U$78=0),0,$U$174/$U$78*O69)</f>
        <v>0</v>
      </c>
      <c r="P288" s="183">
        <f t="shared" si="281"/>
        <v>0</v>
      </c>
      <c r="Q288" s="183">
        <f t="shared" si="281"/>
        <v>0</v>
      </c>
      <c r="R288" s="183">
        <f t="shared" si="281"/>
        <v>0</v>
      </c>
      <c r="S288" s="183">
        <f t="shared" si="281"/>
        <v>0</v>
      </c>
      <c r="T288" s="183">
        <f t="shared" si="281"/>
        <v>0</v>
      </c>
      <c r="U288" s="183">
        <f t="shared" si="281"/>
        <v>0</v>
      </c>
      <c r="V288" s="183">
        <f t="shared" si="281"/>
        <v>0</v>
      </c>
      <c r="W288" s="183">
        <f t="shared" si="281"/>
        <v>0</v>
      </c>
      <c r="X288" s="108"/>
      <c r="Y288" s="190">
        <f t="shared" si="255"/>
        <v>0</v>
      </c>
      <c r="Z288" s="119"/>
      <c r="AA288" s="183">
        <f t="shared" ref="AA288:AI288" si="282">IF(OR(AA$22=0,$AG$78=0),0,$AG$174/$AG$78*AA69)</f>
        <v>0</v>
      </c>
      <c r="AB288" s="183">
        <f t="shared" si="282"/>
        <v>0</v>
      </c>
      <c r="AC288" s="183">
        <f t="shared" si="282"/>
        <v>0</v>
      </c>
      <c r="AD288" s="183">
        <f t="shared" si="282"/>
        <v>0</v>
      </c>
      <c r="AE288" s="183">
        <f t="shared" si="282"/>
        <v>0</v>
      </c>
      <c r="AF288" s="183">
        <f t="shared" si="282"/>
        <v>0</v>
      </c>
      <c r="AG288" s="183">
        <f t="shared" si="282"/>
        <v>0</v>
      </c>
      <c r="AH288" s="183">
        <f t="shared" si="282"/>
        <v>0</v>
      </c>
      <c r="AI288" s="183">
        <f t="shared" si="282"/>
        <v>0</v>
      </c>
      <c r="AJ288" s="1092"/>
      <c r="AK288" s="190">
        <f t="shared" si="257"/>
        <v>0</v>
      </c>
      <c r="AL288" s="1092"/>
      <c r="AM288" s="183">
        <f t="shared" ref="AM288:AU288" si="283">IF(OR(AM$22=0,$AS$78=0),0,$AS$174/$AS$78*AM69)</f>
        <v>0</v>
      </c>
      <c r="AN288" s="183">
        <f t="shared" si="283"/>
        <v>0</v>
      </c>
      <c r="AO288" s="183">
        <f t="shared" si="283"/>
        <v>0</v>
      </c>
      <c r="AP288" s="183">
        <f t="shared" si="283"/>
        <v>0</v>
      </c>
      <c r="AQ288" s="183">
        <f t="shared" si="283"/>
        <v>0</v>
      </c>
      <c r="AR288" s="183">
        <f t="shared" si="283"/>
        <v>0</v>
      </c>
      <c r="AS288" s="183">
        <f t="shared" si="283"/>
        <v>0</v>
      </c>
      <c r="AT288" s="183">
        <f t="shared" si="283"/>
        <v>0</v>
      </c>
      <c r="AU288" s="183">
        <f t="shared" si="283"/>
        <v>0</v>
      </c>
      <c r="AV288" s="1092"/>
      <c r="AW288" s="190">
        <f t="shared" si="259"/>
        <v>0</v>
      </c>
      <c r="AX288" s="1092"/>
      <c r="AY288" s="183">
        <f t="shared" ref="AY288:BG288" si="284">IF(OR(AY$22=0,$BE$78=0),0,$BE$174/$BE$78*AY69)</f>
        <v>0</v>
      </c>
      <c r="AZ288" s="183">
        <f t="shared" si="284"/>
        <v>0</v>
      </c>
      <c r="BA288" s="183">
        <f t="shared" si="284"/>
        <v>0</v>
      </c>
      <c r="BB288" s="183">
        <f t="shared" si="284"/>
        <v>0</v>
      </c>
      <c r="BC288" s="183">
        <f t="shared" si="284"/>
        <v>0</v>
      </c>
      <c r="BD288" s="183">
        <f t="shared" si="284"/>
        <v>0</v>
      </c>
      <c r="BE288" s="183">
        <f t="shared" si="284"/>
        <v>0</v>
      </c>
      <c r="BF288" s="183">
        <f t="shared" si="284"/>
        <v>0</v>
      </c>
      <c r="BG288" s="183">
        <f t="shared" si="284"/>
        <v>0</v>
      </c>
      <c r="BH288" s="210"/>
    </row>
    <row r="289" spans="1:60">
      <c r="A289" s="1040"/>
      <c r="B289" s="1109" t="s">
        <v>1219</v>
      </c>
      <c r="C289" s="1107" t="s">
        <v>104</v>
      </c>
      <c r="D289" s="641"/>
      <c r="E289" s="304" t="str">
        <f>$V$10</f>
        <v>mobiliteit</v>
      </c>
      <c r="F289" s="180"/>
      <c r="G289" s="180"/>
      <c r="H289" s="201" t="s">
        <v>267</v>
      </c>
      <c r="I289" s="114"/>
      <c r="J289" s="190">
        <f t="shared" si="252"/>
        <v>0</v>
      </c>
      <c r="K289" s="1092"/>
      <c r="L289" s="1092"/>
      <c r="M289" s="190">
        <f t="shared" si="253"/>
        <v>0</v>
      </c>
      <c r="N289" s="119"/>
      <c r="O289" s="183">
        <f t="shared" ref="O289:W289" si="285">IF(OR($V$169=0,O$29=0),0,$V$174/$V$169*O$71/O$29)</f>
        <v>0</v>
      </c>
      <c r="P289" s="183">
        <f t="shared" si="285"/>
        <v>0</v>
      </c>
      <c r="Q289" s="183">
        <f t="shared" si="285"/>
        <v>0</v>
      </c>
      <c r="R289" s="183">
        <f t="shared" si="285"/>
        <v>0</v>
      </c>
      <c r="S289" s="183">
        <f t="shared" si="285"/>
        <v>0</v>
      </c>
      <c r="T289" s="183">
        <f t="shared" si="285"/>
        <v>0</v>
      </c>
      <c r="U289" s="183">
        <f t="shared" si="285"/>
        <v>0</v>
      </c>
      <c r="V289" s="183">
        <f t="shared" si="285"/>
        <v>0</v>
      </c>
      <c r="W289" s="183">
        <f t="shared" si="285"/>
        <v>0</v>
      </c>
      <c r="X289" s="108"/>
      <c r="Y289" s="190">
        <f t="shared" si="255"/>
        <v>0</v>
      </c>
      <c r="Z289" s="119"/>
      <c r="AA289" s="183">
        <f t="shared" ref="AA289:AI289" si="286">IF(OR($AH$169=0,AA$29=0),0,$AH$174/$AH$169*AA$71/AA$29)</f>
        <v>0</v>
      </c>
      <c r="AB289" s="183">
        <f t="shared" si="286"/>
        <v>0</v>
      </c>
      <c r="AC289" s="183">
        <f t="shared" si="286"/>
        <v>0</v>
      </c>
      <c r="AD289" s="183">
        <f t="shared" si="286"/>
        <v>0</v>
      </c>
      <c r="AE289" s="183">
        <f t="shared" si="286"/>
        <v>0</v>
      </c>
      <c r="AF289" s="183">
        <f t="shared" si="286"/>
        <v>0</v>
      </c>
      <c r="AG289" s="183">
        <f t="shared" si="286"/>
        <v>0</v>
      </c>
      <c r="AH289" s="183">
        <f t="shared" si="286"/>
        <v>0</v>
      </c>
      <c r="AI289" s="183">
        <f t="shared" si="286"/>
        <v>0</v>
      </c>
      <c r="AJ289" s="1092"/>
      <c r="AK289" s="190">
        <f t="shared" si="257"/>
        <v>0</v>
      </c>
      <c r="AL289" s="1092"/>
      <c r="AM289" s="183">
        <f t="shared" ref="AM289:AU289" si="287">IF(OR($AT$169=0,AM$29=0),0,$AT$174/$AT$169*AM$71/AM$29)</f>
        <v>0</v>
      </c>
      <c r="AN289" s="183">
        <f t="shared" si="287"/>
        <v>0</v>
      </c>
      <c r="AO289" s="183">
        <f t="shared" si="287"/>
        <v>0</v>
      </c>
      <c r="AP289" s="183">
        <f t="shared" si="287"/>
        <v>0</v>
      </c>
      <c r="AQ289" s="183">
        <f t="shared" si="287"/>
        <v>0</v>
      </c>
      <c r="AR289" s="183">
        <f t="shared" si="287"/>
        <v>0</v>
      </c>
      <c r="AS289" s="183">
        <f t="shared" si="287"/>
        <v>0</v>
      </c>
      <c r="AT289" s="183">
        <f t="shared" si="287"/>
        <v>0</v>
      </c>
      <c r="AU289" s="183">
        <f t="shared" si="287"/>
        <v>0</v>
      </c>
      <c r="AV289" s="1092"/>
      <c r="AW289" s="190">
        <f t="shared" si="259"/>
        <v>0</v>
      </c>
      <c r="AX289" s="1092"/>
      <c r="AY289" s="183">
        <f>IF(OR($BF$169=0,AY$22=0),0,$BF$174/$BF$169*AY$71/AY$29)</f>
        <v>0</v>
      </c>
      <c r="AZ289" s="183">
        <f t="shared" ref="AZ289:BG289" si="288">IF(OR($BF$169=0,AZ$29=0),0,$BF$174/$BF$169*AZ$71/AZ$29)</f>
        <v>0</v>
      </c>
      <c r="BA289" s="183">
        <f t="shared" si="288"/>
        <v>0</v>
      </c>
      <c r="BB289" s="183">
        <f t="shared" si="288"/>
        <v>0</v>
      </c>
      <c r="BC289" s="183">
        <f t="shared" si="288"/>
        <v>0</v>
      </c>
      <c r="BD289" s="183">
        <f t="shared" si="288"/>
        <v>0</v>
      </c>
      <c r="BE289" s="183">
        <f t="shared" si="288"/>
        <v>0</v>
      </c>
      <c r="BF289" s="183">
        <f t="shared" si="288"/>
        <v>0</v>
      </c>
      <c r="BG289" s="183">
        <f t="shared" si="288"/>
        <v>0</v>
      </c>
      <c r="BH289" s="210"/>
    </row>
    <row r="290" spans="1:60">
      <c r="A290" s="1040"/>
      <c r="B290" s="1109" t="s">
        <v>1219</v>
      </c>
      <c r="C290" s="1107" t="s">
        <v>104</v>
      </c>
      <c r="D290" s="641"/>
      <c r="E290" s="1123" t="s">
        <v>232</v>
      </c>
      <c r="F290" s="180"/>
      <c r="G290" s="180"/>
      <c r="H290" s="201" t="s">
        <v>267</v>
      </c>
      <c r="I290" s="114"/>
      <c r="J290" s="190">
        <f t="shared" si="252"/>
        <v>0</v>
      </c>
      <c r="K290" s="1092"/>
      <c r="L290" s="1092"/>
      <c r="M290" s="190">
        <f>SUM(M282:M289)</f>
        <v>0</v>
      </c>
      <c r="N290" s="119"/>
      <c r="O290" s="183">
        <f t="shared" ref="O290:W290" si="289">SUM(O282:O289)</f>
        <v>0</v>
      </c>
      <c r="P290" s="183">
        <f t="shared" si="289"/>
        <v>0</v>
      </c>
      <c r="Q290" s="183">
        <f t="shared" si="289"/>
        <v>0</v>
      </c>
      <c r="R290" s="183">
        <f t="shared" si="289"/>
        <v>0</v>
      </c>
      <c r="S290" s="183">
        <f t="shared" si="289"/>
        <v>0</v>
      </c>
      <c r="T290" s="183">
        <f>SUM(T282:T289)</f>
        <v>0</v>
      </c>
      <c r="U290" s="183">
        <f t="shared" si="289"/>
        <v>0</v>
      </c>
      <c r="V290" s="183">
        <f t="shared" si="289"/>
        <v>0</v>
      </c>
      <c r="W290" s="183">
        <f t="shared" si="289"/>
        <v>0</v>
      </c>
      <c r="X290" s="108"/>
      <c r="Y290" s="190">
        <f>SUM(Y282:Y289)</f>
        <v>0</v>
      </c>
      <c r="Z290" s="119"/>
      <c r="AA290" s="183">
        <f t="shared" ref="AA290:AI290" si="290">SUM(AA282:AA289)</f>
        <v>0</v>
      </c>
      <c r="AB290" s="183">
        <f t="shared" si="290"/>
        <v>0</v>
      </c>
      <c r="AC290" s="183">
        <f t="shared" si="290"/>
        <v>0</v>
      </c>
      <c r="AD290" s="183">
        <f t="shared" si="290"/>
        <v>0</v>
      </c>
      <c r="AE290" s="183">
        <f t="shared" si="290"/>
        <v>0</v>
      </c>
      <c r="AF290" s="183">
        <f>SUM(AF282:AF289)</f>
        <v>0</v>
      </c>
      <c r="AG290" s="183">
        <f t="shared" si="290"/>
        <v>0</v>
      </c>
      <c r="AH290" s="183">
        <f t="shared" si="290"/>
        <v>0</v>
      </c>
      <c r="AI290" s="183">
        <f t="shared" si="290"/>
        <v>0</v>
      </c>
      <c r="AJ290" s="1092"/>
      <c r="AK290" s="190">
        <f t="shared" ref="AK290:AU290" si="291">SUM(AK282:AK289)</f>
        <v>0</v>
      </c>
      <c r="AL290" s="1092"/>
      <c r="AM290" s="183">
        <f t="shared" si="291"/>
        <v>0</v>
      </c>
      <c r="AN290" s="183">
        <f t="shared" si="291"/>
        <v>0</v>
      </c>
      <c r="AO290" s="183">
        <f t="shared" si="291"/>
        <v>0</v>
      </c>
      <c r="AP290" s="183">
        <f t="shared" si="291"/>
        <v>0</v>
      </c>
      <c r="AQ290" s="183">
        <f t="shared" si="291"/>
        <v>0</v>
      </c>
      <c r="AR290" s="183">
        <f>SUM(AR282:AR289)</f>
        <v>0</v>
      </c>
      <c r="AS290" s="183">
        <f t="shared" si="291"/>
        <v>0</v>
      </c>
      <c r="AT290" s="183">
        <f t="shared" si="291"/>
        <v>0</v>
      </c>
      <c r="AU290" s="183">
        <f t="shared" si="291"/>
        <v>0</v>
      </c>
      <c r="AV290" s="1092"/>
      <c r="AW290" s="190">
        <f>SUM(AW282:AW289)</f>
        <v>0</v>
      </c>
      <c r="AX290" s="1092"/>
      <c r="AY290" s="183">
        <f t="shared" ref="AY290:BG290" si="292">SUM(AY282:AY289)</f>
        <v>0</v>
      </c>
      <c r="AZ290" s="183">
        <f t="shared" si="292"/>
        <v>0</v>
      </c>
      <c r="BA290" s="183">
        <f t="shared" si="292"/>
        <v>0</v>
      </c>
      <c r="BB290" s="183">
        <f t="shared" si="292"/>
        <v>0</v>
      </c>
      <c r="BC290" s="183">
        <f t="shared" si="292"/>
        <v>0</v>
      </c>
      <c r="BD290" s="183">
        <f>SUM(BD282:BD289)</f>
        <v>0</v>
      </c>
      <c r="BE290" s="183">
        <f t="shared" si="292"/>
        <v>0</v>
      </c>
      <c r="BF290" s="183">
        <f t="shared" si="292"/>
        <v>0</v>
      </c>
      <c r="BG290" s="183">
        <f t="shared" si="292"/>
        <v>0</v>
      </c>
      <c r="BH290" s="210"/>
    </row>
    <row r="291" spans="1:60">
      <c r="A291" s="1040"/>
      <c r="B291" s="1109" t="s">
        <v>1219</v>
      </c>
      <c r="C291" s="1106" t="s">
        <v>96</v>
      </c>
      <c r="D291" s="638"/>
      <c r="E291" s="942" t="s">
        <v>1334</v>
      </c>
      <c r="F291" s="942"/>
      <c r="G291" s="942"/>
      <c r="H291" s="942"/>
      <c r="I291" s="129"/>
      <c r="J291" s="943"/>
      <c r="K291" s="126"/>
      <c r="L291" s="126"/>
      <c r="M291" s="944"/>
      <c r="N291" s="195"/>
      <c r="O291" s="258" t="str">
        <f>O$17</f>
        <v/>
      </c>
      <c r="P291" s="258" t="str">
        <f t="shared" ref="P291:W293" si="293">P$17</f>
        <v/>
      </c>
      <c r="Q291" s="258" t="str">
        <f t="shared" si="293"/>
        <v/>
      </c>
      <c r="R291" s="258" t="str">
        <f t="shared" si="293"/>
        <v/>
      </c>
      <c r="S291" s="258" t="str">
        <f t="shared" si="293"/>
        <v/>
      </c>
      <c r="T291" s="258" t="str">
        <f t="shared" si="293"/>
        <v/>
      </c>
      <c r="U291" s="258" t="str">
        <f t="shared" si="293"/>
        <v/>
      </c>
      <c r="V291" s="258" t="str">
        <f t="shared" si="293"/>
        <v/>
      </c>
      <c r="W291" s="258" t="str">
        <f t="shared" si="293"/>
        <v/>
      </c>
      <c r="X291" s="195"/>
      <c r="Y291" s="944"/>
      <c r="Z291" s="195"/>
      <c r="AA291" s="258" t="str">
        <f>AA$17</f>
        <v/>
      </c>
      <c r="AB291" s="258" t="str">
        <f t="shared" ref="AB291:AI293" si="294">AB$17</f>
        <v/>
      </c>
      <c r="AC291" s="258" t="str">
        <f t="shared" si="294"/>
        <v/>
      </c>
      <c r="AD291" s="258" t="str">
        <f t="shared" si="294"/>
        <v/>
      </c>
      <c r="AE291" s="258" t="str">
        <f t="shared" si="294"/>
        <v/>
      </c>
      <c r="AF291" s="258" t="str">
        <f t="shared" si="294"/>
        <v/>
      </c>
      <c r="AG291" s="258" t="str">
        <f t="shared" si="294"/>
        <v/>
      </c>
      <c r="AH291" s="258" t="str">
        <f t="shared" si="294"/>
        <v/>
      </c>
      <c r="AI291" s="258" t="str">
        <f t="shared" si="294"/>
        <v/>
      </c>
      <c r="AJ291" s="195"/>
      <c r="AK291" s="944"/>
      <c r="AL291" s="195"/>
      <c r="AM291" s="258" t="str">
        <f>AM$17</f>
        <v/>
      </c>
      <c r="AN291" s="258" t="str">
        <f t="shared" ref="AN291:AU293" si="295">AN$17</f>
        <v/>
      </c>
      <c r="AO291" s="258" t="str">
        <f t="shared" si="295"/>
        <v/>
      </c>
      <c r="AP291" s="258" t="str">
        <f t="shared" si="295"/>
        <v/>
      </c>
      <c r="AQ291" s="258" t="str">
        <f t="shared" si="295"/>
        <v/>
      </c>
      <c r="AR291" s="258" t="str">
        <f t="shared" si="295"/>
        <v/>
      </c>
      <c r="AS291" s="258" t="str">
        <f t="shared" si="295"/>
        <v/>
      </c>
      <c r="AT291" s="258" t="str">
        <f t="shared" si="295"/>
        <v/>
      </c>
      <c r="AU291" s="258" t="str">
        <f t="shared" si="295"/>
        <v/>
      </c>
      <c r="AV291" s="195"/>
      <c r="AW291" s="944"/>
      <c r="AX291" s="195"/>
      <c r="AY291" s="258" t="str">
        <f>AY$17</f>
        <v/>
      </c>
      <c r="AZ291" s="258" t="str">
        <f t="shared" ref="AZ291:BG293" si="296">AZ$17</f>
        <v/>
      </c>
      <c r="BA291" s="258" t="str">
        <f t="shared" si="296"/>
        <v/>
      </c>
      <c r="BB291" s="258" t="str">
        <f t="shared" si="296"/>
        <v/>
      </c>
      <c r="BC291" s="258" t="str">
        <f t="shared" si="296"/>
        <v/>
      </c>
      <c r="BD291" s="258" t="str">
        <f t="shared" si="296"/>
        <v/>
      </c>
      <c r="BE291" s="258" t="str">
        <f t="shared" si="296"/>
        <v/>
      </c>
      <c r="BF291" s="258" t="str">
        <f t="shared" si="296"/>
        <v/>
      </c>
      <c r="BG291" s="258" t="str">
        <f t="shared" si="296"/>
        <v/>
      </c>
      <c r="BH291" s="36"/>
    </row>
    <row r="292" spans="1:60">
      <c r="A292" s="1040"/>
      <c r="B292" s="1109" t="s">
        <v>1219</v>
      </c>
      <c r="C292" s="1107" t="s">
        <v>104</v>
      </c>
      <c r="D292" s="638"/>
      <c r="E292" s="1123" t="s">
        <v>1335</v>
      </c>
      <c r="F292" s="1123"/>
      <c r="G292" s="180"/>
      <c r="H292" s="201" t="s">
        <v>267</v>
      </c>
      <c r="I292" s="114"/>
      <c r="J292" s="190">
        <f>M292+Y292+AK292+AW292</f>
        <v>0</v>
      </c>
      <c r="K292" s="1092"/>
      <c r="L292" s="1092"/>
      <c r="M292" s="190">
        <f>M$201</f>
        <v>0</v>
      </c>
      <c r="N292" s="119"/>
      <c r="O292" s="183">
        <f>IF(OR(O$22=0,O$29=0,$M$187+$M$186=0),0,$M292*1000/O$31)</f>
        <v>0</v>
      </c>
      <c r="P292" s="183">
        <f t="shared" ref="P292:W292" si="297">IF(OR(P$22=0,P$29=0,$M$187+$M$186=0),0,$M292*1000/P$31)</f>
        <v>0</v>
      </c>
      <c r="Q292" s="183">
        <f t="shared" si="297"/>
        <v>0</v>
      </c>
      <c r="R292" s="183">
        <f t="shared" si="297"/>
        <v>0</v>
      </c>
      <c r="S292" s="183">
        <f t="shared" si="297"/>
        <v>0</v>
      </c>
      <c r="T292" s="183">
        <f t="shared" si="297"/>
        <v>0</v>
      </c>
      <c r="U292" s="183">
        <f t="shared" si="297"/>
        <v>0</v>
      </c>
      <c r="V292" s="183">
        <f t="shared" si="297"/>
        <v>0</v>
      </c>
      <c r="W292" s="183">
        <f t="shared" si="297"/>
        <v>0</v>
      </c>
      <c r="X292" s="108"/>
      <c r="Y292" s="190">
        <f>Y$201</f>
        <v>0</v>
      </c>
      <c r="Z292" s="119"/>
      <c r="AA292" s="183">
        <f>IF(OR(AA$22=0,AA$29=0,$M$187+$M$186=0),0,$Y292*1000/AA$31)</f>
        <v>0</v>
      </c>
      <c r="AB292" s="183">
        <f t="shared" ref="AB292:AI292" si="298">IF(OR(AB$22=0,AB$29=0,$M$187+$M$186=0),0,$Y292*1000/AB$31)</f>
        <v>0</v>
      </c>
      <c r="AC292" s="183">
        <f t="shared" si="298"/>
        <v>0</v>
      </c>
      <c r="AD292" s="183">
        <f t="shared" si="298"/>
        <v>0</v>
      </c>
      <c r="AE292" s="183">
        <f t="shared" si="298"/>
        <v>0</v>
      </c>
      <c r="AF292" s="183">
        <f t="shared" si="298"/>
        <v>0</v>
      </c>
      <c r="AG292" s="183">
        <f t="shared" si="298"/>
        <v>0</v>
      </c>
      <c r="AH292" s="183">
        <f t="shared" si="298"/>
        <v>0</v>
      </c>
      <c r="AI292" s="183">
        <f t="shared" si="298"/>
        <v>0</v>
      </c>
      <c r="AJ292" s="108"/>
      <c r="AK292" s="190">
        <f>AK$201</f>
        <v>0</v>
      </c>
      <c r="AL292" s="119"/>
      <c r="AM292" s="183">
        <f>IF(OR(AM$22=0,AM$29=0,$M$187+$M$186=0),0,$AK292*1000/AM$31)</f>
        <v>0</v>
      </c>
      <c r="AN292" s="183">
        <f t="shared" ref="AN292:AU292" si="299">IF(OR(AN$22=0,AN$29=0,$M$187+$M$186=0),0,$AK292*1000/AN$31)</f>
        <v>0</v>
      </c>
      <c r="AO292" s="183">
        <f t="shared" si="299"/>
        <v>0</v>
      </c>
      <c r="AP292" s="183">
        <f t="shared" si="299"/>
        <v>0</v>
      </c>
      <c r="AQ292" s="183">
        <f t="shared" si="299"/>
        <v>0</v>
      </c>
      <c r="AR292" s="183">
        <f t="shared" si="299"/>
        <v>0</v>
      </c>
      <c r="AS292" s="183">
        <f t="shared" si="299"/>
        <v>0</v>
      </c>
      <c r="AT292" s="183">
        <f t="shared" si="299"/>
        <v>0</v>
      </c>
      <c r="AU292" s="183">
        <f t="shared" si="299"/>
        <v>0</v>
      </c>
      <c r="AV292" s="108"/>
      <c r="AW292" s="190">
        <f>AW$201</f>
        <v>0</v>
      </c>
      <c r="AX292" s="119"/>
      <c r="AY292" s="183">
        <f>IF(OR(AY$22=0,AY$29=0,$M$187+$M$186=0),0,$AW292*1000/AY$31)</f>
        <v>0</v>
      </c>
      <c r="AZ292" s="183">
        <f t="shared" ref="AZ292:BG292" si="300">IF(OR(AZ$22=0,AZ$29=0,$M$187+$M$186=0),0,$AW292*1000/AZ$31)</f>
        <v>0</v>
      </c>
      <c r="BA292" s="183">
        <f t="shared" si="300"/>
        <v>0</v>
      </c>
      <c r="BB292" s="183">
        <f t="shared" si="300"/>
        <v>0</v>
      </c>
      <c r="BC292" s="183">
        <f t="shared" si="300"/>
        <v>0</v>
      </c>
      <c r="BD292" s="183">
        <f t="shared" si="300"/>
        <v>0</v>
      </c>
      <c r="BE292" s="183">
        <f t="shared" si="300"/>
        <v>0</v>
      </c>
      <c r="BF292" s="183">
        <f t="shared" si="300"/>
        <v>0</v>
      </c>
      <c r="BG292" s="183">
        <f t="shared" si="300"/>
        <v>0</v>
      </c>
      <c r="BH292" s="210"/>
    </row>
    <row r="293" spans="1:60">
      <c r="A293" s="1040"/>
      <c r="B293" s="1109" t="s">
        <v>1219</v>
      </c>
      <c r="C293" s="1106" t="s">
        <v>96</v>
      </c>
      <c r="D293" s="638"/>
      <c r="E293" s="942" t="s">
        <v>1319</v>
      </c>
      <c r="F293" s="942"/>
      <c r="G293" s="942"/>
      <c r="H293" s="942"/>
      <c r="I293" s="129"/>
      <c r="J293" s="943"/>
      <c r="K293" s="126"/>
      <c r="L293" s="126"/>
      <c r="M293" s="944"/>
      <c r="N293" s="195"/>
      <c r="O293" s="258" t="str">
        <f>O$17</f>
        <v/>
      </c>
      <c r="P293" s="258" t="str">
        <f t="shared" si="293"/>
        <v/>
      </c>
      <c r="Q293" s="258" t="str">
        <f t="shared" si="293"/>
        <v/>
      </c>
      <c r="R293" s="258" t="str">
        <f t="shared" si="293"/>
        <v/>
      </c>
      <c r="S293" s="258" t="str">
        <f t="shared" si="293"/>
        <v/>
      </c>
      <c r="T293" s="258" t="str">
        <f t="shared" si="293"/>
        <v/>
      </c>
      <c r="U293" s="258" t="str">
        <f t="shared" si="293"/>
        <v/>
      </c>
      <c r="V293" s="258" t="str">
        <f t="shared" si="293"/>
        <v/>
      </c>
      <c r="W293" s="258" t="str">
        <f t="shared" si="293"/>
        <v/>
      </c>
      <c r="X293" s="195"/>
      <c r="Y293" s="944"/>
      <c r="Z293" s="195"/>
      <c r="AA293" s="258" t="str">
        <f>AA$17</f>
        <v/>
      </c>
      <c r="AB293" s="258" t="str">
        <f t="shared" si="294"/>
        <v/>
      </c>
      <c r="AC293" s="258" t="str">
        <f t="shared" si="294"/>
        <v/>
      </c>
      <c r="AD293" s="258" t="str">
        <f t="shared" si="294"/>
        <v/>
      </c>
      <c r="AE293" s="258" t="str">
        <f t="shared" si="294"/>
        <v/>
      </c>
      <c r="AF293" s="258" t="str">
        <f t="shared" si="294"/>
        <v/>
      </c>
      <c r="AG293" s="258" t="str">
        <f t="shared" si="294"/>
        <v/>
      </c>
      <c r="AH293" s="258" t="str">
        <f t="shared" si="294"/>
        <v/>
      </c>
      <c r="AI293" s="258" t="str">
        <f t="shared" si="294"/>
        <v/>
      </c>
      <c r="AJ293" s="195"/>
      <c r="AK293" s="944"/>
      <c r="AL293" s="195"/>
      <c r="AM293" s="258" t="str">
        <f>AM$17</f>
        <v/>
      </c>
      <c r="AN293" s="258" t="str">
        <f t="shared" si="295"/>
        <v/>
      </c>
      <c r="AO293" s="258" t="str">
        <f t="shared" si="295"/>
        <v/>
      </c>
      <c r="AP293" s="258" t="str">
        <f t="shared" si="295"/>
        <v/>
      </c>
      <c r="AQ293" s="258" t="str">
        <f t="shared" si="295"/>
        <v/>
      </c>
      <c r="AR293" s="258" t="str">
        <f t="shared" si="295"/>
        <v/>
      </c>
      <c r="AS293" s="258" t="str">
        <f t="shared" si="295"/>
        <v/>
      </c>
      <c r="AT293" s="258" t="str">
        <f t="shared" si="295"/>
        <v/>
      </c>
      <c r="AU293" s="258" t="str">
        <f t="shared" si="295"/>
        <v/>
      </c>
      <c r="AV293" s="195"/>
      <c r="AW293" s="944"/>
      <c r="AX293" s="195"/>
      <c r="AY293" s="258" t="str">
        <f>AY$17</f>
        <v/>
      </c>
      <c r="AZ293" s="258" t="str">
        <f t="shared" si="296"/>
        <v/>
      </c>
      <c r="BA293" s="258" t="str">
        <f t="shared" si="296"/>
        <v/>
      </c>
      <c r="BB293" s="258" t="str">
        <f t="shared" si="296"/>
        <v/>
      </c>
      <c r="BC293" s="258" t="str">
        <f t="shared" si="296"/>
        <v/>
      </c>
      <c r="BD293" s="258" t="str">
        <f t="shared" si="296"/>
        <v/>
      </c>
      <c r="BE293" s="258" t="str">
        <f t="shared" si="296"/>
        <v/>
      </c>
      <c r="BF293" s="258" t="str">
        <f t="shared" si="296"/>
        <v/>
      </c>
      <c r="BG293" s="258" t="str">
        <f t="shared" si="296"/>
        <v/>
      </c>
      <c r="BH293" s="36"/>
    </row>
    <row r="294" spans="1:60">
      <c r="A294" s="1040"/>
      <c r="B294" s="1109" t="s">
        <v>1219</v>
      </c>
      <c r="C294" s="1107" t="s">
        <v>104</v>
      </c>
      <c r="D294" s="641"/>
      <c r="E294" s="1123" t="s">
        <v>269</v>
      </c>
      <c r="F294" s="1123"/>
      <c r="G294" s="180"/>
      <c r="H294" s="201" t="s">
        <v>267</v>
      </c>
      <c r="I294" s="114"/>
      <c r="J294" s="190">
        <f>M294+Y294+AK294+AW294</f>
        <v>0</v>
      </c>
      <c r="K294" s="1092"/>
      <c r="L294" s="1092"/>
      <c r="M294" s="190">
        <f>SUMPRODUCT(N294:X294,N$22:X$22,N$29:X$29)/1000</f>
        <v>0</v>
      </c>
      <c r="N294" s="119"/>
      <c r="O294" s="183">
        <f t="shared" ref="O294:W294" si="301">IF(OR(O$22=0,O$29=0,$M$187+$M$186=0),0,
-O73*($M$214/($M$187+$M$186))/O29)</f>
        <v>0</v>
      </c>
      <c r="P294" s="183">
        <f t="shared" si="301"/>
        <v>0</v>
      </c>
      <c r="Q294" s="183">
        <f t="shared" si="301"/>
        <v>0</v>
      </c>
      <c r="R294" s="183">
        <f t="shared" si="301"/>
        <v>0</v>
      </c>
      <c r="S294" s="183">
        <f t="shared" si="301"/>
        <v>0</v>
      </c>
      <c r="T294" s="183">
        <f t="shared" si="301"/>
        <v>0</v>
      </c>
      <c r="U294" s="183">
        <f t="shared" si="301"/>
        <v>0</v>
      </c>
      <c r="V294" s="183">
        <f t="shared" si="301"/>
        <v>0</v>
      </c>
      <c r="W294" s="183">
        <f t="shared" si="301"/>
        <v>0</v>
      </c>
      <c r="X294" s="108"/>
      <c r="Y294" s="190">
        <f>SUMPRODUCT(Z294:AJ294,Z$22:AJ$22,Z$29:AJ$29)/1000</f>
        <v>0</v>
      </c>
      <c r="Z294" s="119"/>
      <c r="AA294" s="183">
        <f t="shared" ref="AA294:AI294" si="302">IF(OR(AA$22=0,AA$29=0,$Y$187+$Y$186=0),0,
-AA73*($Y$214/($Y$187+$Y$186))/AA29)</f>
        <v>0</v>
      </c>
      <c r="AB294" s="183">
        <f t="shared" si="302"/>
        <v>0</v>
      </c>
      <c r="AC294" s="183">
        <f t="shared" si="302"/>
        <v>0</v>
      </c>
      <c r="AD294" s="183">
        <f t="shared" si="302"/>
        <v>0</v>
      </c>
      <c r="AE294" s="183">
        <f t="shared" si="302"/>
        <v>0</v>
      </c>
      <c r="AF294" s="183">
        <f t="shared" si="302"/>
        <v>0</v>
      </c>
      <c r="AG294" s="183">
        <f t="shared" si="302"/>
        <v>0</v>
      </c>
      <c r="AH294" s="183">
        <f t="shared" si="302"/>
        <v>0</v>
      </c>
      <c r="AI294" s="183">
        <f t="shared" si="302"/>
        <v>0</v>
      </c>
      <c r="AJ294" s="108"/>
      <c r="AK294" s="190">
        <f>SUMPRODUCT(AL294:AV294,AL$22:AV$22,AL$29:AV$29)/1000</f>
        <v>0</v>
      </c>
      <c r="AL294" s="119"/>
      <c r="AM294" s="183">
        <f t="shared" ref="AM294:AU294" si="303">IF(OR(AM$22=0,AM$29=0,$AK$187+$AK$186=0),0,
-AM73*($AK$214/($AK$187+$AK$186))/AM29)</f>
        <v>0</v>
      </c>
      <c r="AN294" s="183">
        <f t="shared" si="303"/>
        <v>0</v>
      </c>
      <c r="AO294" s="183">
        <f t="shared" si="303"/>
        <v>0</v>
      </c>
      <c r="AP294" s="183">
        <f t="shared" si="303"/>
        <v>0</v>
      </c>
      <c r="AQ294" s="183">
        <f t="shared" si="303"/>
        <v>0</v>
      </c>
      <c r="AR294" s="183">
        <f t="shared" si="303"/>
        <v>0</v>
      </c>
      <c r="AS294" s="183">
        <f t="shared" si="303"/>
        <v>0</v>
      </c>
      <c r="AT294" s="183">
        <f t="shared" si="303"/>
        <v>0</v>
      </c>
      <c r="AU294" s="183">
        <f t="shared" si="303"/>
        <v>0</v>
      </c>
      <c r="AV294" s="108"/>
      <c r="AW294" s="190">
        <f>SUMPRODUCT(AX294:BH294,AX$22:BH$22,AX$29:BH$29)/1000</f>
        <v>0</v>
      </c>
      <c r="AX294" s="119"/>
      <c r="AY294" s="183">
        <f t="shared" ref="AY294:BG294" si="304">IF(OR(AY$22=0,AY$29=0,$AW$187+$AW$186=0),0,
-AY73*($AW$214/($AW$187+$AW$186))/AY29)</f>
        <v>0</v>
      </c>
      <c r="AZ294" s="183">
        <f t="shared" si="304"/>
        <v>0</v>
      </c>
      <c r="BA294" s="183">
        <f t="shared" si="304"/>
        <v>0</v>
      </c>
      <c r="BB294" s="183">
        <f t="shared" si="304"/>
        <v>0</v>
      </c>
      <c r="BC294" s="183">
        <f t="shared" si="304"/>
        <v>0</v>
      </c>
      <c r="BD294" s="183">
        <f t="shared" si="304"/>
        <v>0</v>
      </c>
      <c r="BE294" s="183">
        <f t="shared" si="304"/>
        <v>0</v>
      </c>
      <c r="BF294" s="183">
        <f t="shared" si="304"/>
        <v>0</v>
      </c>
      <c r="BG294" s="183">
        <f t="shared" si="304"/>
        <v>0</v>
      </c>
      <c r="BH294" s="210"/>
    </row>
    <row r="295" spans="1:60">
      <c r="A295" s="1040"/>
      <c r="B295" s="1109" t="s">
        <v>1219</v>
      </c>
      <c r="C295" s="1107" t="s">
        <v>104</v>
      </c>
      <c r="D295" s="641"/>
      <c r="E295" s="1123" t="s">
        <v>268</v>
      </c>
      <c r="F295" s="1123"/>
      <c r="G295" s="180"/>
      <c r="H295" s="201" t="s">
        <v>267</v>
      </c>
      <c r="I295" s="114"/>
      <c r="J295" s="190">
        <f>M295+Y295+AK295+AW295</f>
        <v>0</v>
      </c>
      <c r="K295" s="1092"/>
      <c r="L295" s="1092"/>
      <c r="M295" s="190">
        <f>SUMPRODUCT(N295:X295,N$22:X$22,N$29:X$29)/1000</f>
        <v>0</v>
      </c>
      <c r="N295" s="119"/>
      <c r="O295" s="183">
        <f t="shared" ref="O295:W295" si="305">IF(OR(O$22=0,O$29=0,$M$187+$M$186=0),0,
-(O275*($M$187/($M$187+$M$186))*$M$214*1000)/(O22*O29))</f>
        <v>0</v>
      </c>
      <c r="P295" s="183">
        <f t="shared" si="305"/>
        <v>0</v>
      </c>
      <c r="Q295" s="183">
        <f t="shared" si="305"/>
        <v>0</v>
      </c>
      <c r="R295" s="183">
        <f t="shared" si="305"/>
        <v>0</v>
      </c>
      <c r="S295" s="183">
        <f t="shared" si="305"/>
        <v>0</v>
      </c>
      <c r="T295" s="183">
        <f t="shared" si="305"/>
        <v>0</v>
      </c>
      <c r="U295" s="183">
        <f t="shared" si="305"/>
        <v>0</v>
      </c>
      <c r="V295" s="183">
        <f t="shared" si="305"/>
        <v>0</v>
      </c>
      <c r="W295" s="183">
        <f t="shared" si="305"/>
        <v>0</v>
      </c>
      <c r="X295" s="108"/>
      <c r="Y295" s="190">
        <f>SUMPRODUCT(Z295:AJ295,Z$22:AJ$22,Z$29:AJ$29)/1000</f>
        <v>0</v>
      </c>
      <c r="Z295" s="119"/>
      <c r="AA295" s="183">
        <f t="shared" ref="AA295:AI295" si="306">IF(OR(AA$17="-",AA$22=0,AA$29=0,$Y$187+$Y$186=0),0,
-(AA275*($Y$187/($Y$187+$Y$186))*$Y$214*1000)/(AA22*AA29))</f>
        <v>0</v>
      </c>
      <c r="AB295" s="183">
        <f t="shared" si="306"/>
        <v>0</v>
      </c>
      <c r="AC295" s="183">
        <f t="shared" si="306"/>
        <v>0</v>
      </c>
      <c r="AD295" s="183">
        <f t="shared" si="306"/>
        <v>0</v>
      </c>
      <c r="AE295" s="183">
        <f t="shared" si="306"/>
        <v>0</v>
      </c>
      <c r="AF295" s="183">
        <f t="shared" si="306"/>
        <v>0</v>
      </c>
      <c r="AG295" s="183">
        <f t="shared" si="306"/>
        <v>0</v>
      </c>
      <c r="AH295" s="183">
        <f t="shared" si="306"/>
        <v>0</v>
      </c>
      <c r="AI295" s="183">
        <f t="shared" si="306"/>
        <v>0</v>
      </c>
      <c r="AJ295" s="108"/>
      <c r="AK295" s="190">
        <f>SUMPRODUCT(AL295:AV295,AL$22:AV$22,AL$29:AV$29)/1000</f>
        <v>0</v>
      </c>
      <c r="AL295" s="119"/>
      <c r="AM295" s="183">
        <f t="shared" ref="AM295:AU295" si="307">IF(OR(AM$22=0,AM$29=0,$AK$187+$AK$186=0),0,
-AM275*($AK$187/($AK$187+$AK$186))*$AK$214*1000/(AM22*AM29))</f>
        <v>0</v>
      </c>
      <c r="AN295" s="183">
        <f t="shared" si="307"/>
        <v>0</v>
      </c>
      <c r="AO295" s="183">
        <f t="shared" si="307"/>
        <v>0</v>
      </c>
      <c r="AP295" s="183">
        <f t="shared" si="307"/>
        <v>0</v>
      </c>
      <c r="AQ295" s="183">
        <f t="shared" si="307"/>
        <v>0</v>
      </c>
      <c r="AR295" s="183">
        <f t="shared" si="307"/>
        <v>0</v>
      </c>
      <c r="AS295" s="183">
        <f t="shared" si="307"/>
        <v>0</v>
      </c>
      <c r="AT295" s="183">
        <f t="shared" si="307"/>
        <v>0</v>
      </c>
      <c r="AU295" s="183">
        <f t="shared" si="307"/>
        <v>0</v>
      </c>
      <c r="AV295" s="108"/>
      <c r="AW295" s="190">
        <f>SUMPRODUCT(AX295:BH295,AX$22:BH$22,AX$29:BH$29)/1000</f>
        <v>0</v>
      </c>
      <c r="AX295" s="119"/>
      <c r="AY295" s="183">
        <f t="shared" ref="AY295:BG295" si="308">IF(OR(AY$22=0,AY$29=0,$AW$187+$AW$186=0),0,
-AY275*($AW$187/($AW$187+$AW$186))*$AW$214*1000/(AY22*AY29))</f>
        <v>0</v>
      </c>
      <c r="AZ295" s="183">
        <f t="shared" si="308"/>
        <v>0</v>
      </c>
      <c r="BA295" s="183">
        <f t="shared" si="308"/>
        <v>0</v>
      </c>
      <c r="BB295" s="183">
        <f t="shared" si="308"/>
        <v>0</v>
      </c>
      <c r="BC295" s="183">
        <f t="shared" si="308"/>
        <v>0</v>
      </c>
      <c r="BD295" s="183">
        <f t="shared" si="308"/>
        <v>0</v>
      </c>
      <c r="BE295" s="183">
        <f t="shared" si="308"/>
        <v>0</v>
      </c>
      <c r="BF295" s="183">
        <f t="shared" si="308"/>
        <v>0</v>
      </c>
      <c r="BG295" s="183">
        <f t="shared" si="308"/>
        <v>0</v>
      </c>
      <c r="BH295" s="210"/>
    </row>
    <row r="296" spans="1:60">
      <c r="A296" s="1040"/>
      <c r="B296" s="1109" t="s">
        <v>1219</v>
      </c>
      <c r="C296" s="1107" t="s">
        <v>104</v>
      </c>
      <c r="D296" s="641"/>
      <c r="E296" s="1123" t="s">
        <v>232</v>
      </c>
      <c r="F296" s="1123"/>
      <c r="G296" s="180"/>
      <c r="H296" s="201" t="s">
        <v>267</v>
      </c>
      <c r="I296" s="114"/>
      <c r="J296" s="190">
        <f>M296+Y296+AK296+AW296</f>
        <v>0</v>
      </c>
      <c r="K296" s="1092"/>
      <c r="L296" s="1092"/>
      <c r="M296" s="190">
        <f>M295+M294</f>
        <v>0</v>
      </c>
      <c r="N296" s="119"/>
      <c r="O296" s="183">
        <f t="shared" ref="O296:W296" si="309">O295+O294</f>
        <v>0</v>
      </c>
      <c r="P296" s="183">
        <f t="shared" si="309"/>
        <v>0</v>
      </c>
      <c r="Q296" s="183">
        <f t="shared" si="309"/>
        <v>0</v>
      </c>
      <c r="R296" s="183">
        <f t="shared" si="309"/>
        <v>0</v>
      </c>
      <c r="S296" s="183">
        <f t="shared" si="309"/>
        <v>0</v>
      </c>
      <c r="T296" s="183">
        <f t="shared" si="309"/>
        <v>0</v>
      </c>
      <c r="U296" s="183">
        <f t="shared" si="309"/>
        <v>0</v>
      </c>
      <c r="V296" s="183">
        <f t="shared" si="309"/>
        <v>0</v>
      </c>
      <c r="W296" s="183">
        <f t="shared" si="309"/>
        <v>0</v>
      </c>
      <c r="X296" s="108"/>
      <c r="Y296" s="190">
        <f>Y295+Y294</f>
        <v>0</v>
      </c>
      <c r="Z296" s="119"/>
      <c r="AA296" s="183">
        <f t="shared" ref="AA296:AI296" si="310">AA295+AA294</f>
        <v>0</v>
      </c>
      <c r="AB296" s="183">
        <f t="shared" si="310"/>
        <v>0</v>
      </c>
      <c r="AC296" s="183">
        <f t="shared" si="310"/>
        <v>0</v>
      </c>
      <c r="AD296" s="183">
        <f t="shared" si="310"/>
        <v>0</v>
      </c>
      <c r="AE296" s="183">
        <f t="shared" si="310"/>
        <v>0</v>
      </c>
      <c r="AF296" s="183">
        <f t="shared" si="310"/>
        <v>0</v>
      </c>
      <c r="AG296" s="183">
        <f t="shared" si="310"/>
        <v>0</v>
      </c>
      <c r="AH296" s="183">
        <f t="shared" si="310"/>
        <v>0</v>
      </c>
      <c r="AI296" s="183">
        <f t="shared" si="310"/>
        <v>0</v>
      </c>
      <c r="AJ296" s="108"/>
      <c r="AK296" s="190">
        <f>AK295+AK294</f>
        <v>0</v>
      </c>
      <c r="AL296" s="119"/>
      <c r="AM296" s="183">
        <f t="shared" ref="AM296:AU296" si="311">AM295+AM294</f>
        <v>0</v>
      </c>
      <c r="AN296" s="183">
        <f t="shared" si="311"/>
        <v>0</v>
      </c>
      <c r="AO296" s="183">
        <f t="shared" si="311"/>
        <v>0</v>
      </c>
      <c r="AP296" s="183">
        <f t="shared" si="311"/>
        <v>0</v>
      </c>
      <c r="AQ296" s="183">
        <f t="shared" si="311"/>
        <v>0</v>
      </c>
      <c r="AR296" s="183">
        <f t="shared" si="311"/>
        <v>0</v>
      </c>
      <c r="AS296" s="183">
        <f t="shared" si="311"/>
        <v>0</v>
      </c>
      <c r="AT296" s="183">
        <f t="shared" si="311"/>
        <v>0</v>
      </c>
      <c r="AU296" s="183">
        <f t="shared" si="311"/>
        <v>0</v>
      </c>
      <c r="AV296" s="108"/>
      <c r="AW296" s="190">
        <f>AW295+AW294</f>
        <v>0</v>
      </c>
      <c r="AX296" s="119"/>
      <c r="AY296" s="183">
        <f t="shared" ref="AY296:BG296" si="312">AY295+AY294</f>
        <v>0</v>
      </c>
      <c r="AZ296" s="183">
        <f t="shared" si="312"/>
        <v>0</v>
      </c>
      <c r="BA296" s="183">
        <f t="shared" si="312"/>
        <v>0</v>
      </c>
      <c r="BB296" s="183">
        <f t="shared" si="312"/>
        <v>0</v>
      </c>
      <c r="BC296" s="183">
        <f t="shared" si="312"/>
        <v>0</v>
      </c>
      <c r="BD296" s="183">
        <f t="shared" si="312"/>
        <v>0</v>
      </c>
      <c r="BE296" s="183">
        <f t="shared" si="312"/>
        <v>0</v>
      </c>
      <c r="BF296" s="183">
        <f t="shared" si="312"/>
        <v>0</v>
      </c>
      <c r="BG296" s="183">
        <f t="shared" si="312"/>
        <v>0</v>
      </c>
      <c r="BH296" s="210"/>
    </row>
    <row r="297" spans="1:60">
      <c r="A297" s="1040"/>
      <c r="B297" s="1109" t="s">
        <v>1219</v>
      </c>
      <c r="C297" s="1106" t="s">
        <v>96</v>
      </c>
      <c r="D297" s="638"/>
      <c r="E297" s="942" t="s">
        <v>1359</v>
      </c>
      <c r="F297" s="942"/>
      <c r="G297" s="942"/>
      <c r="H297" s="942"/>
      <c r="I297" s="129"/>
      <c r="J297" s="943"/>
      <c r="K297" s="126"/>
      <c r="L297" s="126"/>
      <c r="M297" s="944"/>
      <c r="N297" s="195"/>
      <c r="O297" s="258" t="str">
        <f>O$17</f>
        <v/>
      </c>
      <c r="P297" s="258" t="str">
        <f t="shared" ref="P297:W297" si="313">P$17</f>
        <v/>
      </c>
      <c r="Q297" s="258" t="str">
        <f t="shared" si="313"/>
        <v/>
      </c>
      <c r="R297" s="258" t="str">
        <f t="shared" si="313"/>
        <v/>
      </c>
      <c r="S297" s="258" t="str">
        <f t="shared" si="313"/>
        <v/>
      </c>
      <c r="T297" s="258" t="str">
        <f t="shared" si="313"/>
        <v/>
      </c>
      <c r="U297" s="258" t="str">
        <f t="shared" si="313"/>
        <v/>
      </c>
      <c r="V297" s="258" t="str">
        <f t="shared" si="313"/>
        <v/>
      </c>
      <c r="W297" s="258" t="str">
        <f t="shared" si="313"/>
        <v/>
      </c>
      <c r="X297" s="195"/>
      <c r="Y297" s="944"/>
      <c r="Z297" s="195"/>
      <c r="AA297" s="258" t="str">
        <f>AA$17</f>
        <v/>
      </c>
      <c r="AB297" s="258" t="str">
        <f t="shared" ref="AB297:AI297" si="314">AB$17</f>
        <v/>
      </c>
      <c r="AC297" s="258" t="str">
        <f t="shared" si="314"/>
        <v/>
      </c>
      <c r="AD297" s="258" t="str">
        <f t="shared" si="314"/>
        <v/>
      </c>
      <c r="AE297" s="258" t="str">
        <f t="shared" si="314"/>
        <v/>
      </c>
      <c r="AF297" s="258" t="str">
        <f t="shared" si="314"/>
        <v/>
      </c>
      <c r="AG297" s="258" t="str">
        <f t="shared" si="314"/>
        <v/>
      </c>
      <c r="AH297" s="258" t="str">
        <f t="shared" si="314"/>
        <v/>
      </c>
      <c r="AI297" s="258" t="str">
        <f t="shared" si="314"/>
        <v/>
      </c>
      <c r="AJ297" s="195"/>
      <c r="AK297" s="944"/>
      <c r="AL297" s="195"/>
      <c r="AM297" s="258" t="str">
        <f>AM$17</f>
        <v/>
      </c>
      <c r="AN297" s="258" t="str">
        <f t="shared" ref="AN297:AU297" si="315">AN$17</f>
        <v/>
      </c>
      <c r="AO297" s="258" t="str">
        <f t="shared" si="315"/>
        <v/>
      </c>
      <c r="AP297" s="258" t="str">
        <f t="shared" si="315"/>
        <v/>
      </c>
      <c r="AQ297" s="258" t="str">
        <f t="shared" si="315"/>
        <v/>
      </c>
      <c r="AR297" s="258" t="str">
        <f t="shared" si="315"/>
        <v/>
      </c>
      <c r="AS297" s="258" t="str">
        <f t="shared" si="315"/>
        <v/>
      </c>
      <c r="AT297" s="258" t="str">
        <f t="shared" si="315"/>
        <v/>
      </c>
      <c r="AU297" s="258" t="str">
        <f t="shared" si="315"/>
        <v/>
      </c>
      <c r="AV297" s="195"/>
      <c r="AW297" s="944"/>
      <c r="AX297" s="195"/>
      <c r="AY297" s="258" t="str">
        <f>AY$17</f>
        <v/>
      </c>
      <c r="AZ297" s="258" t="str">
        <f t="shared" ref="AZ297:BG297" si="316">AZ$17</f>
        <v/>
      </c>
      <c r="BA297" s="258" t="str">
        <f t="shared" si="316"/>
        <v/>
      </c>
      <c r="BB297" s="258" t="str">
        <f t="shared" si="316"/>
        <v/>
      </c>
      <c r="BC297" s="258" t="str">
        <f t="shared" si="316"/>
        <v/>
      </c>
      <c r="BD297" s="258" t="str">
        <f t="shared" si="316"/>
        <v/>
      </c>
      <c r="BE297" s="258" t="str">
        <f t="shared" si="316"/>
        <v/>
      </c>
      <c r="BF297" s="258" t="str">
        <f t="shared" si="316"/>
        <v/>
      </c>
      <c r="BG297" s="258" t="str">
        <f t="shared" si="316"/>
        <v/>
      </c>
      <c r="BH297" s="36"/>
    </row>
    <row r="298" spans="1:60">
      <c r="A298" s="1040"/>
      <c r="B298" s="1109" t="s">
        <v>1219</v>
      </c>
      <c r="C298" s="1107" t="s">
        <v>104</v>
      </c>
      <c r="D298" s="641"/>
      <c r="E298" s="1123" t="s">
        <v>1340</v>
      </c>
      <c r="F298" s="180"/>
      <c r="G298" s="180"/>
      <c r="H298" s="201" t="s">
        <v>267</v>
      </c>
      <c r="I298" s="114"/>
      <c r="J298" s="190">
        <f>M298+Y298+AK298+AW298</f>
        <v>0</v>
      </c>
      <c r="K298" s="1092"/>
      <c r="L298" s="1092"/>
      <c r="M298" s="190">
        <f>SUMPRODUCT(N298:X298,N$22:X$22,N$29:X$29)/1000</f>
        <v>0</v>
      </c>
      <c r="N298" s="119"/>
      <c r="O298" s="183">
        <f t="shared" ref="O298:W298" si="317">O290+O296</f>
        <v>0</v>
      </c>
      <c r="P298" s="183">
        <f t="shared" si="317"/>
        <v>0</v>
      </c>
      <c r="Q298" s="183">
        <f t="shared" si="317"/>
        <v>0</v>
      </c>
      <c r="R298" s="183">
        <f t="shared" si="317"/>
        <v>0</v>
      </c>
      <c r="S298" s="183">
        <f t="shared" si="317"/>
        <v>0</v>
      </c>
      <c r="T298" s="183">
        <f t="shared" si="317"/>
        <v>0</v>
      </c>
      <c r="U298" s="183">
        <f t="shared" si="317"/>
        <v>0</v>
      </c>
      <c r="V298" s="183">
        <f t="shared" si="317"/>
        <v>0</v>
      </c>
      <c r="W298" s="183">
        <f t="shared" si="317"/>
        <v>0</v>
      </c>
      <c r="X298" s="108"/>
      <c r="Y298" s="190">
        <f>Y290+Y296</f>
        <v>0</v>
      </c>
      <c r="Z298" s="119"/>
      <c r="AA298" s="183">
        <f t="shared" ref="AA298:AI298" si="318">AA290+AA296</f>
        <v>0</v>
      </c>
      <c r="AB298" s="183">
        <f t="shared" si="318"/>
        <v>0</v>
      </c>
      <c r="AC298" s="183">
        <f t="shared" si="318"/>
        <v>0</v>
      </c>
      <c r="AD298" s="183">
        <f t="shared" si="318"/>
        <v>0</v>
      </c>
      <c r="AE298" s="183">
        <f t="shared" si="318"/>
        <v>0</v>
      </c>
      <c r="AF298" s="183">
        <f t="shared" si="318"/>
        <v>0</v>
      </c>
      <c r="AG298" s="183">
        <f t="shared" si="318"/>
        <v>0</v>
      </c>
      <c r="AH298" s="183">
        <f t="shared" si="318"/>
        <v>0</v>
      </c>
      <c r="AI298" s="183">
        <f t="shared" si="318"/>
        <v>0</v>
      </c>
      <c r="AJ298" s="108"/>
      <c r="AK298" s="190">
        <f>AK290+AK296</f>
        <v>0</v>
      </c>
      <c r="AL298" s="119"/>
      <c r="AM298" s="183">
        <f t="shared" ref="AM298:AU298" si="319">AM290+AM296</f>
        <v>0</v>
      </c>
      <c r="AN298" s="183">
        <f t="shared" si="319"/>
        <v>0</v>
      </c>
      <c r="AO298" s="183">
        <f t="shared" si="319"/>
        <v>0</v>
      </c>
      <c r="AP298" s="183">
        <f t="shared" si="319"/>
        <v>0</v>
      </c>
      <c r="AQ298" s="183">
        <f t="shared" si="319"/>
        <v>0</v>
      </c>
      <c r="AR298" s="183">
        <f t="shared" si="319"/>
        <v>0</v>
      </c>
      <c r="AS298" s="183">
        <f t="shared" si="319"/>
        <v>0</v>
      </c>
      <c r="AT298" s="183">
        <f t="shared" si="319"/>
        <v>0</v>
      </c>
      <c r="AU298" s="183">
        <f t="shared" si="319"/>
        <v>0</v>
      </c>
      <c r="AV298" s="108"/>
      <c r="AW298" s="190">
        <f>AW290+AW296</f>
        <v>0</v>
      </c>
      <c r="AX298" s="119"/>
      <c r="AY298" s="183">
        <f t="shared" ref="AY298:BG298" si="320">AY290+AY296</f>
        <v>0</v>
      </c>
      <c r="AZ298" s="183">
        <f t="shared" si="320"/>
        <v>0</v>
      </c>
      <c r="BA298" s="183">
        <f t="shared" si="320"/>
        <v>0</v>
      </c>
      <c r="BB298" s="183">
        <f t="shared" si="320"/>
        <v>0</v>
      </c>
      <c r="BC298" s="183">
        <f t="shared" si="320"/>
        <v>0</v>
      </c>
      <c r="BD298" s="183">
        <f t="shared" si="320"/>
        <v>0</v>
      </c>
      <c r="BE298" s="183">
        <f t="shared" si="320"/>
        <v>0</v>
      </c>
      <c r="BF298" s="183">
        <f t="shared" si="320"/>
        <v>0</v>
      </c>
      <c r="BG298" s="183">
        <f t="shared" si="320"/>
        <v>0</v>
      </c>
      <c r="BH298" s="210"/>
    </row>
    <row r="299" spans="1:60">
      <c r="A299" s="1040"/>
      <c r="B299" s="1109" t="s">
        <v>1219</v>
      </c>
      <c r="C299" s="1107" t="s">
        <v>104</v>
      </c>
      <c r="D299" s="641"/>
      <c r="E299" s="1123" t="s">
        <v>1341</v>
      </c>
      <c r="F299" s="180"/>
      <c r="G299" s="180"/>
      <c r="H299" s="201" t="s">
        <v>267</v>
      </c>
      <c r="I299" s="114"/>
      <c r="J299" s="190">
        <f>M299+Y299+AK299+AW299</f>
        <v>0</v>
      </c>
      <c r="K299" s="1092"/>
      <c r="L299" s="1092"/>
      <c r="M299" s="190">
        <f>SUMPRODUCT(N299:X299,N$22:X$22,N$29:X$29)/1000</f>
        <v>0</v>
      </c>
      <c r="N299" s="119"/>
      <c r="O299" s="183">
        <f t="shared" ref="O299:W299" si="321">O$282+O$283+O$284+IF(OR(O$19=woning,O$19=woongebouw),0,O$285)+O$286-O$292+O$296</f>
        <v>0</v>
      </c>
      <c r="P299" s="183">
        <f t="shared" si="321"/>
        <v>0</v>
      </c>
      <c r="Q299" s="183">
        <f t="shared" si="321"/>
        <v>0</v>
      </c>
      <c r="R299" s="183">
        <f t="shared" si="321"/>
        <v>0</v>
      </c>
      <c r="S299" s="183">
        <f t="shared" si="321"/>
        <v>0</v>
      </c>
      <c r="T299" s="183">
        <f t="shared" si="321"/>
        <v>0</v>
      </c>
      <c r="U299" s="183">
        <f t="shared" si="321"/>
        <v>0</v>
      </c>
      <c r="V299" s="183">
        <f t="shared" si="321"/>
        <v>0</v>
      </c>
      <c r="W299" s="183">
        <f t="shared" si="321"/>
        <v>0</v>
      </c>
      <c r="X299" s="108"/>
      <c r="Y299" s="190">
        <f>SUMPRODUCT(Z299:AJ299,Z$22:AJ$22,Z$29:AJ$29)/1000</f>
        <v>0</v>
      </c>
      <c r="Z299" s="119"/>
      <c r="AA299" s="183">
        <f t="shared" ref="AA299:AI299" si="322">AA$282+AA$283+AA$284+IF(OR(AA$19=woning,AA$19=woongebouw),0,AA$285)+AA$286-AA$292+AA$296</f>
        <v>0</v>
      </c>
      <c r="AB299" s="183">
        <f t="shared" si="322"/>
        <v>0</v>
      </c>
      <c r="AC299" s="183">
        <f t="shared" si="322"/>
        <v>0</v>
      </c>
      <c r="AD299" s="183">
        <f t="shared" si="322"/>
        <v>0</v>
      </c>
      <c r="AE299" s="183">
        <f t="shared" si="322"/>
        <v>0</v>
      </c>
      <c r="AF299" s="183">
        <f t="shared" si="322"/>
        <v>0</v>
      </c>
      <c r="AG299" s="183">
        <f t="shared" si="322"/>
        <v>0</v>
      </c>
      <c r="AH299" s="183">
        <f t="shared" si="322"/>
        <v>0</v>
      </c>
      <c r="AI299" s="183">
        <f t="shared" si="322"/>
        <v>0</v>
      </c>
      <c r="AJ299" s="108"/>
      <c r="AK299" s="190">
        <f>SUMPRODUCT(AL299:AV299,AL$22:AV$22,AL$29:AV$29)/1000</f>
        <v>0</v>
      </c>
      <c r="AL299" s="119"/>
      <c r="AM299" s="183">
        <f t="shared" ref="AM299:AU299" si="323">AM$282+AM$283+AM$284+IF(OR(AM$19=woning,AM$19=woongebouw),0,AM$285)+AM$286-AM$292+AM$296</f>
        <v>0</v>
      </c>
      <c r="AN299" s="183">
        <f t="shared" si="323"/>
        <v>0</v>
      </c>
      <c r="AO299" s="183">
        <f t="shared" si="323"/>
        <v>0</v>
      </c>
      <c r="AP299" s="183">
        <f t="shared" si="323"/>
        <v>0</v>
      </c>
      <c r="AQ299" s="183">
        <f t="shared" si="323"/>
        <v>0</v>
      </c>
      <c r="AR299" s="183">
        <f t="shared" si="323"/>
        <v>0</v>
      </c>
      <c r="AS299" s="183">
        <f t="shared" si="323"/>
        <v>0</v>
      </c>
      <c r="AT299" s="183">
        <f t="shared" si="323"/>
        <v>0</v>
      </c>
      <c r="AU299" s="183">
        <f t="shared" si="323"/>
        <v>0</v>
      </c>
      <c r="AV299" s="108"/>
      <c r="AW299" s="190">
        <f>SUMPRODUCT(AX299:BH299,AX$22:BH$22,AX$29:BH$29)/1000</f>
        <v>0</v>
      </c>
      <c r="AX299" s="119"/>
      <c r="AY299" s="183">
        <f t="shared" ref="AY299:BG299" si="324">AY$282+AY$283+AY$284+IF(OR(AY$19=woning,AY$19=woongebouw),0,AY$285)+AY$286-AY$292+AY$296</f>
        <v>0</v>
      </c>
      <c r="AZ299" s="183">
        <f t="shared" si="324"/>
        <v>0</v>
      </c>
      <c r="BA299" s="183">
        <f t="shared" si="324"/>
        <v>0</v>
      </c>
      <c r="BB299" s="183">
        <f t="shared" si="324"/>
        <v>0</v>
      </c>
      <c r="BC299" s="183">
        <f t="shared" si="324"/>
        <v>0</v>
      </c>
      <c r="BD299" s="183">
        <f t="shared" si="324"/>
        <v>0</v>
      </c>
      <c r="BE299" s="183">
        <f t="shared" si="324"/>
        <v>0</v>
      </c>
      <c r="BF299" s="183">
        <f t="shared" si="324"/>
        <v>0</v>
      </c>
      <c r="BG299" s="183">
        <f t="shared" si="324"/>
        <v>0</v>
      </c>
      <c r="BH299" s="210"/>
    </row>
    <row r="300" spans="1:60">
      <c r="A300" s="1040"/>
      <c r="B300" s="1109" t="s">
        <v>1221</v>
      </c>
      <c r="C300" s="1106" t="s">
        <v>96</v>
      </c>
      <c r="D300" s="638"/>
      <c r="E300" s="79"/>
      <c r="F300" s="79"/>
      <c r="G300" s="79"/>
      <c r="H300" s="85"/>
      <c r="I300" s="79"/>
      <c r="J300" s="113"/>
      <c r="K300" s="79"/>
      <c r="L300" s="79"/>
      <c r="M300" s="113"/>
      <c r="N300" s="79"/>
      <c r="O300" s="81"/>
      <c r="P300" s="356"/>
      <c r="Q300" s="356"/>
      <c r="R300" s="82"/>
      <c r="S300" s="1152"/>
      <c r="T300" s="82"/>
      <c r="U300" s="82"/>
      <c r="V300" s="82"/>
      <c r="W300" s="82"/>
      <c r="X300" s="82"/>
      <c r="Y300" s="82"/>
      <c r="Z300" s="79"/>
      <c r="AA300" s="79"/>
      <c r="AB300" s="79"/>
      <c r="AC300" s="79"/>
      <c r="AD300" s="79"/>
      <c r="AE300" s="79"/>
      <c r="AF300" s="79"/>
      <c r="AG300" s="79"/>
      <c r="AH300" s="79"/>
      <c r="AI300" s="79"/>
      <c r="AJ300" s="79"/>
      <c r="AK300" s="113"/>
      <c r="AL300" s="79"/>
      <c r="AM300" s="82"/>
      <c r="AN300" s="82"/>
      <c r="AO300" s="82"/>
      <c r="AP300" s="82"/>
      <c r="AQ300" s="82"/>
      <c r="AR300" s="82"/>
      <c r="AS300" s="82"/>
      <c r="AT300" s="82"/>
      <c r="AU300" s="82"/>
      <c r="AV300" s="82"/>
      <c r="AW300" s="82"/>
      <c r="AX300" s="79"/>
      <c r="AY300" s="82"/>
      <c r="AZ300" s="82"/>
      <c r="BA300" s="82"/>
      <c r="BB300" s="82"/>
      <c r="BC300" s="82"/>
      <c r="BD300" s="82"/>
      <c r="BE300" s="82"/>
      <c r="BF300" s="82"/>
      <c r="BG300" s="82"/>
      <c r="BH300" s="1"/>
    </row>
    <row r="301" spans="1:60">
      <c r="A301" s="1040"/>
      <c r="B301" s="1109" t="s">
        <v>1222</v>
      </c>
      <c r="C301" s="1107" t="s">
        <v>96</v>
      </c>
      <c r="D301" s="638"/>
      <c r="E301" s="79"/>
      <c r="F301" s="79"/>
      <c r="G301" s="79"/>
      <c r="H301" s="85"/>
      <c r="I301" s="79"/>
      <c r="J301" s="1088"/>
      <c r="K301" s="79"/>
      <c r="L301" s="79"/>
      <c r="M301" s="113"/>
      <c r="N301" s="79"/>
      <c r="O301" s="1087"/>
      <c r="P301" s="356"/>
      <c r="Q301" s="356"/>
      <c r="R301" s="123"/>
      <c r="S301" s="82"/>
      <c r="T301" s="82"/>
      <c r="U301" s="82"/>
      <c r="V301" s="82"/>
      <c r="W301" s="82"/>
      <c r="X301" s="82"/>
      <c r="Y301" s="82"/>
      <c r="Z301" s="79"/>
      <c r="AA301" s="82"/>
      <c r="AB301" s="113"/>
      <c r="AC301" s="82"/>
      <c r="AD301" s="82"/>
      <c r="AE301" s="82"/>
      <c r="AF301" s="82"/>
      <c r="AG301" s="82"/>
      <c r="AH301" s="82"/>
      <c r="AI301" s="82"/>
      <c r="AJ301" s="82"/>
      <c r="AK301" s="82"/>
      <c r="AL301" s="79"/>
      <c r="AM301" s="82"/>
      <c r="AN301" s="82"/>
      <c r="AO301" s="82"/>
      <c r="AP301" s="82"/>
      <c r="AQ301" s="82"/>
      <c r="AR301" s="82"/>
      <c r="AS301" s="82"/>
      <c r="AT301" s="82"/>
      <c r="AU301" s="82"/>
      <c r="AV301" s="82"/>
      <c r="AW301" s="82"/>
      <c r="AX301" s="79"/>
      <c r="AY301" s="82"/>
      <c r="AZ301" s="82"/>
      <c r="BA301" s="82"/>
      <c r="BB301" s="82"/>
      <c r="BC301" s="82"/>
      <c r="BD301" s="82"/>
      <c r="BE301" s="82"/>
      <c r="BF301" s="82"/>
      <c r="BG301" s="82"/>
      <c r="BH301" s="1"/>
    </row>
    <row r="302" spans="1:60" s="2" customFormat="1" ht="21">
      <c r="A302" s="1038"/>
      <c r="B302" s="1109" t="s">
        <v>1222</v>
      </c>
      <c r="C302" s="1106" t="s">
        <v>96</v>
      </c>
      <c r="D302" s="641" t="s">
        <v>45</v>
      </c>
      <c r="E302" s="209" t="s">
        <v>1320</v>
      </c>
      <c r="F302" s="209"/>
      <c r="G302" s="209"/>
      <c r="H302" s="209"/>
      <c r="I302" s="129"/>
      <c r="J302" s="256" t="str">
        <f>"MWh "&amp;J$8</f>
        <v>MWh alle locaties</v>
      </c>
      <c r="K302" s="126"/>
      <c r="L302" s="126"/>
      <c r="M302" s="256" t="str">
        <f>"MWh "&amp;M$8</f>
        <v>MWh locatie 1</v>
      </c>
      <c r="N302" s="182"/>
      <c r="O302" s="955" t="str">
        <f>$E302&amp;" per woning-/gebouwtype"</f>
        <v>hernieuwbaar primair fossiel energiegebruik per woning-/gebouwtype</v>
      </c>
      <c r="P302" s="945"/>
      <c r="Q302" s="945"/>
      <c r="R302" s="945"/>
      <c r="S302" s="945"/>
      <c r="T302" s="945"/>
      <c r="U302" s="945"/>
      <c r="V302" s="945"/>
      <c r="W302" s="257"/>
      <c r="X302" s="174"/>
      <c r="Y302" s="256" t="str">
        <f>"MWh "&amp;Y$8</f>
        <v>MWh locatie 2</v>
      </c>
      <c r="Z302" s="182"/>
      <c r="AA302" s="955" t="str">
        <f>$E302&amp;" per woning-/gebouwtype"</f>
        <v>hernieuwbaar primair fossiel energiegebruik per woning-/gebouwtype</v>
      </c>
      <c r="AB302" s="945"/>
      <c r="AC302" s="945"/>
      <c r="AD302" s="945"/>
      <c r="AE302" s="945"/>
      <c r="AF302" s="945"/>
      <c r="AG302" s="945"/>
      <c r="AH302" s="945"/>
      <c r="AI302" s="257"/>
      <c r="AJ302" s="174"/>
      <c r="AK302" s="256" t="str">
        <f>"MWh "&amp;AK$8</f>
        <v>MWh locatie 3</v>
      </c>
      <c r="AL302" s="182"/>
      <c r="AM302" s="955" t="str">
        <f>$E302&amp;" per woning-/gebouwtype"</f>
        <v>hernieuwbaar primair fossiel energiegebruik per woning-/gebouwtype</v>
      </c>
      <c r="AN302" s="945"/>
      <c r="AO302" s="945"/>
      <c r="AP302" s="945"/>
      <c r="AQ302" s="945"/>
      <c r="AR302" s="945"/>
      <c r="AS302" s="945"/>
      <c r="AT302" s="945"/>
      <c r="AU302" s="257"/>
      <c r="AV302" s="174"/>
      <c r="AW302" s="256" t="str">
        <f>"MWh "&amp;AW$8</f>
        <v>MWh locatie 4</v>
      </c>
      <c r="AX302" s="182"/>
      <c r="AY302" s="955" t="str">
        <f>$E302&amp;" per woning-/gebouwtype"</f>
        <v>hernieuwbaar primair fossiel energiegebruik per woning-/gebouwtype</v>
      </c>
      <c r="AZ302" s="945"/>
      <c r="BA302" s="945"/>
      <c r="BB302" s="945"/>
      <c r="BC302" s="945"/>
      <c r="BD302" s="945"/>
      <c r="BE302" s="945"/>
      <c r="BF302" s="945"/>
      <c r="BG302" s="257"/>
      <c r="BH302" s="1"/>
    </row>
    <row r="303" spans="1:60">
      <c r="A303" s="1040"/>
      <c r="B303" s="1109" t="s">
        <v>1222</v>
      </c>
      <c r="C303" s="1106" t="s">
        <v>96</v>
      </c>
      <c r="D303" s="638"/>
      <c r="E303" s="942" t="s">
        <v>270</v>
      </c>
      <c r="F303" s="942"/>
      <c r="G303" s="942"/>
      <c r="H303" s="942"/>
      <c r="I303" s="129"/>
      <c r="J303" s="943"/>
      <c r="K303" s="126"/>
      <c r="L303" s="126"/>
      <c r="M303" s="944"/>
      <c r="N303" s="195"/>
      <c r="O303" s="258" t="str">
        <f>O$17</f>
        <v/>
      </c>
      <c r="P303" s="258" t="str">
        <f t="shared" ref="P303:W303" si="325">P$17</f>
        <v/>
      </c>
      <c r="Q303" s="258" t="str">
        <f t="shared" si="325"/>
        <v/>
      </c>
      <c r="R303" s="258" t="str">
        <f t="shared" si="325"/>
        <v/>
      </c>
      <c r="S303" s="258" t="str">
        <f t="shared" si="325"/>
        <v/>
      </c>
      <c r="T303" s="258" t="str">
        <f t="shared" si="325"/>
        <v/>
      </c>
      <c r="U303" s="258" t="str">
        <f t="shared" si="325"/>
        <v/>
      </c>
      <c r="V303" s="258" t="str">
        <f t="shared" si="325"/>
        <v/>
      </c>
      <c r="W303" s="258" t="str">
        <f t="shared" si="325"/>
        <v/>
      </c>
      <c r="X303" s="195"/>
      <c r="Y303" s="944"/>
      <c r="Z303" s="195"/>
      <c r="AA303" s="258" t="str">
        <f>AA$17</f>
        <v/>
      </c>
      <c r="AB303" s="258" t="str">
        <f t="shared" ref="AB303:AI303" si="326">AB$17</f>
        <v/>
      </c>
      <c r="AC303" s="258" t="str">
        <f t="shared" si="326"/>
        <v/>
      </c>
      <c r="AD303" s="258" t="str">
        <f t="shared" si="326"/>
        <v/>
      </c>
      <c r="AE303" s="258" t="str">
        <f t="shared" si="326"/>
        <v/>
      </c>
      <c r="AF303" s="258" t="str">
        <f t="shared" si="326"/>
        <v/>
      </c>
      <c r="AG303" s="258" t="str">
        <f t="shared" si="326"/>
        <v/>
      </c>
      <c r="AH303" s="258" t="str">
        <f t="shared" si="326"/>
        <v/>
      </c>
      <c r="AI303" s="258" t="str">
        <f t="shared" si="326"/>
        <v/>
      </c>
      <c r="AJ303" s="195"/>
      <c r="AK303" s="944"/>
      <c r="AL303" s="195"/>
      <c r="AM303" s="258" t="str">
        <f>AM$17</f>
        <v/>
      </c>
      <c r="AN303" s="258" t="str">
        <f t="shared" ref="AN303:AU303" si="327">AN$17</f>
        <v/>
      </c>
      <c r="AO303" s="258" t="str">
        <f t="shared" si="327"/>
        <v/>
      </c>
      <c r="AP303" s="258" t="str">
        <f t="shared" si="327"/>
        <v/>
      </c>
      <c r="AQ303" s="258" t="str">
        <f t="shared" si="327"/>
        <v/>
      </c>
      <c r="AR303" s="258" t="str">
        <f t="shared" si="327"/>
        <v/>
      </c>
      <c r="AS303" s="258" t="str">
        <f t="shared" si="327"/>
        <v/>
      </c>
      <c r="AT303" s="258" t="str">
        <f t="shared" si="327"/>
        <v/>
      </c>
      <c r="AU303" s="258" t="str">
        <f t="shared" si="327"/>
        <v/>
      </c>
      <c r="AV303" s="195"/>
      <c r="AW303" s="944"/>
      <c r="AX303" s="195"/>
      <c r="AY303" s="258" t="str">
        <f>AY$17</f>
        <v/>
      </c>
      <c r="AZ303" s="258" t="str">
        <f t="shared" ref="AZ303:BG303" si="328">AZ$17</f>
        <v/>
      </c>
      <c r="BA303" s="258" t="str">
        <f t="shared" si="328"/>
        <v/>
      </c>
      <c r="BB303" s="258" t="str">
        <f t="shared" si="328"/>
        <v/>
      </c>
      <c r="BC303" s="258" t="str">
        <f t="shared" si="328"/>
        <v/>
      </c>
      <c r="BD303" s="258" t="str">
        <f t="shared" si="328"/>
        <v/>
      </c>
      <c r="BE303" s="258" t="str">
        <f t="shared" si="328"/>
        <v/>
      </c>
      <c r="BF303" s="258" t="str">
        <f t="shared" si="328"/>
        <v/>
      </c>
      <c r="BG303" s="258" t="str">
        <f t="shared" si="328"/>
        <v/>
      </c>
      <c r="BH303" s="36"/>
    </row>
    <row r="304" spans="1:60">
      <c r="A304" s="1040"/>
      <c r="B304" s="1109" t="s">
        <v>1222</v>
      </c>
      <c r="C304" s="1107" t="s">
        <v>104</v>
      </c>
      <c r="D304" s="641" t="s">
        <v>45</v>
      </c>
      <c r="E304" s="180" t="s">
        <v>1329</v>
      </c>
      <c r="F304" s="180"/>
      <c r="G304" s="180"/>
      <c r="H304" s="201" t="s">
        <v>267</v>
      </c>
      <c r="I304" s="114"/>
      <c r="J304" s="190">
        <f>M304+Y304+AK304+AW304</f>
        <v>0</v>
      </c>
      <c r="K304" s="1092"/>
      <c r="L304" s="1092"/>
      <c r="M304" s="190">
        <f>SUMPRODUCT(N304:X304,N$30:X$30)/1000</f>
        <v>0</v>
      </c>
      <c r="N304" s="119"/>
      <c r="O304" s="227" t="str">
        <f t="shared" ref="O304:W304" si="329">IF(OR(O$17="",O$22=0,O$29=0),"",O$282+O$283+O$284+IF(OR(O$19=woning,O$19=woongebouw),0,O$285)+O$286-O$292+O$296)</f>
        <v/>
      </c>
      <c r="P304" s="183" t="str">
        <f t="shared" si="329"/>
        <v/>
      </c>
      <c r="Q304" s="183" t="str">
        <f t="shared" si="329"/>
        <v/>
      </c>
      <c r="R304" s="183" t="str">
        <f t="shared" si="329"/>
        <v/>
      </c>
      <c r="S304" s="183" t="str">
        <f t="shared" si="329"/>
        <v/>
      </c>
      <c r="T304" s="183" t="str">
        <f t="shared" si="329"/>
        <v/>
      </c>
      <c r="U304" s="183" t="str">
        <f t="shared" si="329"/>
        <v/>
      </c>
      <c r="V304" s="183" t="str">
        <f t="shared" si="329"/>
        <v/>
      </c>
      <c r="W304" s="183" t="str">
        <f t="shared" si="329"/>
        <v/>
      </c>
      <c r="X304" s="108"/>
      <c r="Y304" s="190">
        <f>SUMPRODUCT(Z304:AJ304,Z$30:AJ$30)/1000</f>
        <v>0</v>
      </c>
      <c r="Z304" s="119"/>
      <c r="AA304" s="183" t="str">
        <f t="shared" ref="AA304:AI304" si="330">IF(OR(AA$17="",AA$22=0,AA$29=0),"",AA$282+AA$283+AA$284+IF(OR(AA$19=woning,AA$19=woongebouw),0,AA$285)+AA$286-AA$292+AA$296)</f>
        <v/>
      </c>
      <c r="AB304" s="183" t="str">
        <f t="shared" si="330"/>
        <v/>
      </c>
      <c r="AC304" s="183" t="str">
        <f t="shared" si="330"/>
        <v/>
      </c>
      <c r="AD304" s="183" t="str">
        <f t="shared" si="330"/>
        <v/>
      </c>
      <c r="AE304" s="183" t="str">
        <f t="shared" si="330"/>
        <v/>
      </c>
      <c r="AF304" s="183" t="str">
        <f t="shared" si="330"/>
        <v/>
      </c>
      <c r="AG304" s="183" t="str">
        <f t="shared" si="330"/>
        <v/>
      </c>
      <c r="AH304" s="183" t="str">
        <f t="shared" si="330"/>
        <v/>
      </c>
      <c r="AI304" s="183" t="str">
        <f t="shared" si="330"/>
        <v/>
      </c>
      <c r="AJ304" s="108"/>
      <c r="AK304" s="190">
        <f>SUMPRODUCT(AL304:AV304,AL$30:AV$30)/1000</f>
        <v>0</v>
      </c>
      <c r="AL304" s="119"/>
      <c r="AM304" s="183" t="str">
        <f t="shared" ref="AM304:AU304" si="331">IF(OR(AM$17="",AM$22=0,AM$29=0),"",AM$282+AM$283+AM$284+IF(OR(AM$19=woning,AM$19=woongebouw),0,AM$285)+AM$286-AM$292+AM$296)</f>
        <v/>
      </c>
      <c r="AN304" s="183" t="str">
        <f t="shared" si="331"/>
        <v/>
      </c>
      <c r="AO304" s="183" t="str">
        <f t="shared" si="331"/>
        <v/>
      </c>
      <c r="AP304" s="183" t="str">
        <f t="shared" si="331"/>
        <v/>
      </c>
      <c r="AQ304" s="183" t="str">
        <f t="shared" si="331"/>
        <v/>
      </c>
      <c r="AR304" s="183" t="str">
        <f t="shared" si="331"/>
        <v/>
      </c>
      <c r="AS304" s="183" t="str">
        <f t="shared" si="331"/>
        <v/>
      </c>
      <c r="AT304" s="183" t="str">
        <f t="shared" si="331"/>
        <v/>
      </c>
      <c r="AU304" s="183" t="str">
        <f t="shared" si="331"/>
        <v/>
      </c>
      <c r="AV304" s="108"/>
      <c r="AW304" s="190">
        <f>SUMPRODUCT(AX304:BH304,AX$30:BH$30)/1000</f>
        <v>0</v>
      </c>
      <c r="AX304" s="119"/>
      <c r="AY304" s="183" t="str">
        <f t="shared" ref="AY304:BG304" si="332">IF(OR(AY$17="",AY$22=0,AY$29=0),"",AY$282+AY$283+AY$284+IF(OR(AY$19=woning,AY$19=woongebouw),0,AY$285)+AY$286-AY$292+AY$296)</f>
        <v/>
      </c>
      <c r="AZ304" s="183" t="str">
        <f t="shared" si="332"/>
        <v/>
      </c>
      <c r="BA304" s="183" t="str">
        <f t="shared" si="332"/>
        <v/>
      </c>
      <c r="BB304" s="183" t="str">
        <f t="shared" si="332"/>
        <v/>
      </c>
      <c r="BC304" s="183" t="str">
        <f t="shared" si="332"/>
        <v/>
      </c>
      <c r="BD304" s="183" t="str">
        <f t="shared" si="332"/>
        <v/>
      </c>
      <c r="BE304" s="183" t="str">
        <f t="shared" si="332"/>
        <v/>
      </c>
      <c r="BF304" s="183" t="str">
        <f t="shared" si="332"/>
        <v/>
      </c>
      <c r="BG304" s="183" t="str">
        <f t="shared" si="332"/>
        <v/>
      </c>
      <c r="BH304" s="210"/>
    </row>
    <row r="305" spans="1:60">
      <c r="A305" s="1040"/>
      <c r="B305" s="1109" t="s">
        <v>1222</v>
      </c>
      <c r="C305" s="1106" t="s">
        <v>96</v>
      </c>
      <c r="D305" s="638"/>
      <c r="E305" s="942" t="s">
        <v>271</v>
      </c>
      <c r="F305" s="942"/>
      <c r="G305" s="942"/>
      <c r="H305" s="942"/>
      <c r="I305" s="129"/>
      <c r="J305" s="943"/>
      <c r="K305" s="126"/>
      <c r="L305" s="126"/>
      <c r="M305" s="944"/>
      <c r="N305" s="195"/>
      <c r="O305" s="258" t="str">
        <f>O$17</f>
        <v/>
      </c>
      <c r="P305" s="258" t="str">
        <f t="shared" ref="P305:W305" si="333">P$17</f>
        <v/>
      </c>
      <c r="Q305" s="258" t="str">
        <f t="shared" si="333"/>
        <v/>
      </c>
      <c r="R305" s="258" t="str">
        <f t="shared" si="333"/>
        <v/>
      </c>
      <c r="S305" s="258" t="str">
        <f t="shared" si="333"/>
        <v/>
      </c>
      <c r="T305" s="258" t="str">
        <f t="shared" si="333"/>
        <v/>
      </c>
      <c r="U305" s="258" t="str">
        <f t="shared" si="333"/>
        <v/>
      </c>
      <c r="V305" s="258" t="str">
        <f t="shared" si="333"/>
        <v/>
      </c>
      <c r="W305" s="258" t="str">
        <f t="shared" si="333"/>
        <v/>
      </c>
      <c r="X305" s="195"/>
      <c r="Y305" s="944"/>
      <c r="Z305" s="195"/>
      <c r="AA305" s="258" t="str">
        <f>AA$17</f>
        <v/>
      </c>
      <c r="AB305" s="258" t="str">
        <f t="shared" ref="AB305:AI305" si="334">AB$17</f>
        <v/>
      </c>
      <c r="AC305" s="258" t="str">
        <f t="shared" si="334"/>
        <v/>
      </c>
      <c r="AD305" s="258" t="str">
        <f t="shared" si="334"/>
        <v/>
      </c>
      <c r="AE305" s="258" t="str">
        <f t="shared" si="334"/>
        <v/>
      </c>
      <c r="AF305" s="258" t="str">
        <f t="shared" si="334"/>
        <v/>
      </c>
      <c r="AG305" s="258" t="str">
        <f t="shared" si="334"/>
        <v/>
      </c>
      <c r="AH305" s="258" t="str">
        <f t="shared" si="334"/>
        <v/>
      </c>
      <c r="AI305" s="258" t="str">
        <f t="shared" si="334"/>
        <v/>
      </c>
      <c r="AJ305" s="195"/>
      <c r="AK305" s="944"/>
      <c r="AL305" s="195"/>
      <c r="AM305" s="258" t="str">
        <f>AM$17</f>
        <v/>
      </c>
      <c r="AN305" s="258" t="str">
        <f t="shared" ref="AN305:AU305" si="335">AN$17</f>
        <v/>
      </c>
      <c r="AO305" s="258" t="str">
        <f t="shared" si="335"/>
        <v/>
      </c>
      <c r="AP305" s="258" t="str">
        <f t="shared" si="335"/>
        <v/>
      </c>
      <c r="AQ305" s="258" t="str">
        <f t="shared" si="335"/>
        <v/>
      </c>
      <c r="AR305" s="258" t="str">
        <f t="shared" si="335"/>
        <v/>
      </c>
      <c r="AS305" s="258" t="str">
        <f t="shared" si="335"/>
        <v/>
      </c>
      <c r="AT305" s="258" t="str">
        <f t="shared" si="335"/>
        <v/>
      </c>
      <c r="AU305" s="258" t="str">
        <f t="shared" si="335"/>
        <v/>
      </c>
      <c r="AV305" s="195"/>
      <c r="AW305" s="944"/>
      <c r="AX305" s="195"/>
      <c r="AY305" s="258" t="str">
        <f>AY$17</f>
        <v/>
      </c>
      <c r="AZ305" s="258" t="str">
        <f t="shared" ref="AZ305:BG305" si="336">AZ$17</f>
        <v/>
      </c>
      <c r="BA305" s="258" t="str">
        <f t="shared" si="336"/>
        <v/>
      </c>
      <c r="BB305" s="258" t="str">
        <f t="shared" si="336"/>
        <v/>
      </c>
      <c r="BC305" s="258" t="str">
        <f t="shared" si="336"/>
        <v/>
      </c>
      <c r="BD305" s="258" t="str">
        <f t="shared" si="336"/>
        <v/>
      </c>
      <c r="BE305" s="258" t="str">
        <f t="shared" si="336"/>
        <v/>
      </c>
      <c r="BF305" s="258" t="str">
        <f t="shared" si="336"/>
        <v/>
      </c>
      <c r="BG305" s="258" t="str">
        <f t="shared" si="336"/>
        <v/>
      </c>
      <c r="BH305" s="36"/>
    </row>
    <row r="306" spans="1:60">
      <c r="A306" s="1040"/>
      <c r="B306" s="1109" t="s">
        <v>1222</v>
      </c>
      <c r="C306" s="1107" t="s">
        <v>104</v>
      </c>
      <c r="D306" s="641" t="s">
        <v>45</v>
      </c>
      <c r="E306" s="180" t="s">
        <v>1328</v>
      </c>
      <c r="F306" s="180"/>
      <c r="G306" s="180"/>
      <c r="H306" s="201" t="s">
        <v>267</v>
      </c>
      <c r="I306" s="114"/>
      <c r="J306" s="190">
        <f t="shared" ref="J306:J311" si="337">M306+Y306+AK306+AW306</f>
        <v>0</v>
      </c>
      <c r="K306" s="1092"/>
      <c r="L306" s="1092"/>
      <c r="M306" s="190">
        <f t="shared" ref="M306:M311" si="338">SUMPRODUCT(N306:X306,N$30:X$30)/1000</f>
        <v>0</v>
      </c>
      <c r="N306" s="119"/>
      <c r="O306" s="183" t="str">
        <f t="shared" ref="O306:W306" si="339">IF(OR(O$17="",O$22=0,O$29=0),"",
(O$275*$O251+O$276*$P251+O$277*$Q251)*1000/(O$22*O$29))</f>
        <v/>
      </c>
      <c r="P306" s="183" t="str">
        <f t="shared" si="339"/>
        <v/>
      </c>
      <c r="Q306" s="183" t="str">
        <f t="shared" si="339"/>
        <v/>
      </c>
      <c r="R306" s="183" t="str">
        <f t="shared" si="339"/>
        <v/>
      </c>
      <c r="S306" s="183" t="str">
        <f t="shared" si="339"/>
        <v/>
      </c>
      <c r="T306" s="183" t="str">
        <f t="shared" si="339"/>
        <v/>
      </c>
      <c r="U306" s="183" t="str">
        <f t="shared" si="339"/>
        <v/>
      </c>
      <c r="V306" s="183" t="str">
        <f t="shared" si="339"/>
        <v/>
      </c>
      <c r="W306" s="183" t="str">
        <f t="shared" si="339"/>
        <v/>
      </c>
      <c r="X306" s="108"/>
      <c r="Y306" s="190">
        <f t="shared" ref="Y306:Y311" si="340">SUMPRODUCT(Z306:AJ306,Z$30:AJ$30)/1000</f>
        <v>0</v>
      </c>
      <c r="Z306" s="119"/>
      <c r="AA306" s="183" t="str">
        <f t="shared" ref="AA306:AI306" si="341">IF(OR(AA$17="",AA$22=0,AA$29=0),"",
(AA$275*$AA251+AA$276*$AB251+AA$277*$AC251)*1000/(AA$22*AA$29))</f>
        <v/>
      </c>
      <c r="AB306" s="183" t="str">
        <f t="shared" si="341"/>
        <v/>
      </c>
      <c r="AC306" s="183" t="str">
        <f t="shared" si="341"/>
        <v/>
      </c>
      <c r="AD306" s="183" t="str">
        <f t="shared" si="341"/>
        <v/>
      </c>
      <c r="AE306" s="183" t="str">
        <f t="shared" si="341"/>
        <v/>
      </c>
      <c r="AF306" s="183" t="str">
        <f t="shared" si="341"/>
        <v/>
      </c>
      <c r="AG306" s="183" t="str">
        <f t="shared" si="341"/>
        <v/>
      </c>
      <c r="AH306" s="183" t="str">
        <f t="shared" si="341"/>
        <v/>
      </c>
      <c r="AI306" s="183" t="str">
        <f t="shared" si="341"/>
        <v/>
      </c>
      <c r="AJ306" s="108"/>
      <c r="AK306" s="190">
        <f t="shared" ref="AK306:AK311" si="342">SUMPRODUCT(AL306:AV306,AL$30:AV$30)/1000</f>
        <v>0</v>
      </c>
      <c r="AL306" s="119"/>
      <c r="AM306" s="183" t="str">
        <f t="shared" ref="AM306:AU306" si="343">IF(OR(AM$17="",AM$22=0,AM$29=0),"",
(AM$275*$AM251+AM$276*$AN251+AM$277*$AO251)*1000/(AM$22*AM$29))</f>
        <v/>
      </c>
      <c r="AN306" s="183" t="str">
        <f t="shared" si="343"/>
        <v/>
      </c>
      <c r="AO306" s="183" t="str">
        <f t="shared" si="343"/>
        <v/>
      </c>
      <c r="AP306" s="183" t="str">
        <f t="shared" si="343"/>
        <v/>
      </c>
      <c r="AQ306" s="183" t="str">
        <f t="shared" si="343"/>
        <v/>
      </c>
      <c r="AR306" s="183" t="str">
        <f t="shared" si="343"/>
        <v/>
      </c>
      <c r="AS306" s="183" t="str">
        <f t="shared" si="343"/>
        <v/>
      </c>
      <c r="AT306" s="183" t="str">
        <f t="shared" si="343"/>
        <v/>
      </c>
      <c r="AU306" s="183" t="str">
        <f t="shared" si="343"/>
        <v/>
      </c>
      <c r="AV306" s="108"/>
      <c r="AW306" s="190">
        <f t="shared" ref="AW306:AW311" si="344">SUMPRODUCT(AX306:BH306,AX$30:BH$30)/1000</f>
        <v>0</v>
      </c>
      <c r="AX306" s="119"/>
      <c r="AY306" s="183" t="str">
        <f t="shared" ref="AY306:BG306" si="345">IF(OR(AY$17="",AY$22=0,AY$29=0),"",
(AY$275*$AY251+AY$276*$AZ251+AY$277*$BA251)*1000/(AY$22*AY$29))</f>
        <v/>
      </c>
      <c r="AZ306" s="183" t="str">
        <f t="shared" si="345"/>
        <v/>
      </c>
      <c r="BA306" s="183" t="str">
        <f t="shared" si="345"/>
        <v/>
      </c>
      <c r="BB306" s="183" t="str">
        <f t="shared" si="345"/>
        <v/>
      </c>
      <c r="BC306" s="183" t="str">
        <f t="shared" si="345"/>
        <v/>
      </c>
      <c r="BD306" s="183" t="str">
        <f t="shared" si="345"/>
        <v/>
      </c>
      <c r="BE306" s="183" t="str">
        <f t="shared" si="345"/>
        <v/>
      </c>
      <c r="BF306" s="183" t="str">
        <f t="shared" si="345"/>
        <v/>
      </c>
      <c r="BG306" s="183" t="str">
        <f t="shared" si="345"/>
        <v/>
      </c>
      <c r="BH306" s="210"/>
    </row>
    <row r="307" spans="1:60">
      <c r="A307" s="1040"/>
      <c r="B307" s="1109" t="s">
        <v>1222</v>
      </c>
      <c r="C307" s="1107" t="s">
        <v>104</v>
      </c>
      <c r="D307" s="641" t="s">
        <v>45</v>
      </c>
      <c r="E307" s="180" t="s">
        <v>1327</v>
      </c>
      <c r="F307" s="180"/>
      <c r="G307" s="180"/>
      <c r="H307" s="201" t="s">
        <v>267</v>
      </c>
      <c r="I307" s="114"/>
      <c r="J307" s="190">
        <f t="shared" si="337"/>
        <v>0</v>
      </c>
      <c r="K307" s="1092"/>
      <c r="L307" s="1092"/>
      <c r="M307" s="190">
        <f t="shared" si="338"/>
        <v>0</v>
      </c>
      <c r="N307" s="119"/>
      <c r="O307" s="183" t="str">
        <f t="shared" ref="O307:W307" si="346">IF(OR(O$17="",O$22=0,O$29=0),"",
(O$276*$P252)*1000/(O$22*O$29))</f>
        <v/>
      </c>
      <c r="P307" s="183" t="str">
        <f t="shared" si="346"/>
        <v/>
      </c>
      <c r="Q307" s="183" t="str">
        <f t="shared" si="346"/>
        <v/>
      </c>
      <c r="R307" s="183" t="str">
        <f t="shared" si="346"/>
        <v/>
      </c>
      <c r="S307" s="183" t="str">
        <f t="shared" si="346"/>
        <v/>
      </c>
      <c r="T307" s="183" t="str">
        <f t="shared" si="346"/>
        <v/>
      </c>
      <c r="U307" s="183" t="str">
        <f t="shared" si="346"/>
        <v/>
      </c>
      <c r="V307" s="183" t="str">
        <f t="shared" si="346"/>
        <v/>
      </c>
      <c r="W307" s="183" t="str">
        <f t="shared" si="346"/>
        <v/>
      </c>
      <c r="X307" s="108"/>
      <c r="Y307" s="190">
        <f t="shared" si="340"/>
        <v>0</v>
      </c>
      <c r="Z307" s="119"/>
      <c r="AA307" s="183" t="str">
        <f t="shared" ref="AA307:AI307" si="347">IF(OR(AA$17="",AA$22=0,AA$29=0),"",
(AA$276*$AB252)*1000/(AA$22*AA$29))</f>
        <v/>
      </c>
      <c r="AB307" s="183" t="str">
        <f t="shared" si="347"/>
        <v/>
      </c>
      <c r="AC307" s="183" t="str">
        <f t="shared" si="347"/>
        <v/>
      </c>
      <c r="AD307" s="183" t="str">
        <f t="shared" si="347"/>
        <v/>
      </c>
      <c r="AE307" s="183" t="str">
        <f t="shared" si="347"/>
        <v/>
      </c>
      <c r="AF307" s="183" t="str">
        <f t="shared" si="347"/>
        <v/>
      </c>
      <c r="AG307" s="183" t="str">
        <f t="shared" si="347"/>
        <v/>
      </c>
      <c r="AH307" s="183" t="str">
        <f t="shared" si="347"/>
        <v/>
      </c>
      <c r="AI307" s="183" t="str">
        <f t="shared" si="347"/>
        <v/>
      </c>
      <c r="AJ307" s="108"/>
      <c r="AK307" s="190">
        <f t="shared" si="342"/>
        <v>0</v>
      </c>
      <c r="AL307" s="119"/>
      <c r="AM307" s="183" t="str">
        <f t="shared" ref="AM307:AU307" si="348">IF(OR(AM$17="",AM$22=0,AM$29=0),"",
(AM$276*$AN252)*1000/(AM$22*AM$29))</f>
        <v/>
      </c>
      <c r="AN307" s="183" t="str">
        <f t="shared" si="348"/>
        <v/>
      </c>
      <c r="AO307" s="183" t="str">
        <f t="shared" si="348"/>
        <v/>
      </c>
      <c r="AP307" s="183" t="str">
        <f t="shared" si="348"/>
        <v/>
      </c>
      <c r="AQ307" s="183" t="str">
        <f t="shared" si="348"/>
        <v/>
      </c>
      <c r="AR307" s="183" t="str">
        <f t="shared" si="348"/>
        <v/>
      </c>
      <c r="AS307" s="183" t="str">
        <f t="shared" si="348"/>
        <v/>
      </c>
      <c r="AT307" s="183" t="str">
        <f t="shared" si="348"/>
        <v/>
      </c>
      <c r="AU307" s="183" t="str">
        <f t="shared" si="348"/>
        <v/>
      </c>
      <c r="AV307" s="108"/>
      <c r="AW307" s="190">
        <f t="shared" si="344"/>
        <v>0</v>
      </c>
      <c r="AX307" s="119"/>
      <c r="AY307" s="183" t="str">
        <f t="shared" ref="AY307:BG307" si="349">IF(OR(AY$17="",AY$22=0,AY$29=0),"",
(AY$276*$AZ252)*1000/(AY$22*AY$29))</f>
        <v/>
      </c>
      <c r="AZ307" s="183" t="str">
        <f t="shared" si="349"/>
        <v/>
      </c>
      <c r="BA307" s="183" t="str">
        <f t="shared" si="349"/>
        <v/>
      </c>
      <c r="BB307" s="183" t="str">
        <f t="shared" si="349"/>
        <v/>
      </c>
      <c r="BC307" s="183" t="str">
        <f t="shared" si="349"/>
        <v/>
      </c>
      <c r="BD307" s="183" t="str">
        <f t="shared" si="349"/>
        <v/>
      </c>
      <c r="BE307" s="183" t="str">
        <f t="shared" si="349"/>
        <v/>
      </c>
      <c r="BF307" s="183" t="str">
        <f t="shared" si="349"/>
        <v/>
      </c>
      <c r="BG307" s="183" t="str">
        <f t="shared" si="349"/>
        <v/>
      </c>
      <c r="BH307" s="210"/>
    </row>
    <row r="308" spans="1:60">
      <c r="A308" s="1040"/>
      <c r="B308" s="1109" t="s">
        <v>1222</v>
      </c>
      <c r="C308" s="1107" t="s">
        <v>104</v>
      </c>
      <c r="D308" s="641" t="s">
        <v>45</v>
      </c>
      <c r="E308" s="180" t="s">
        <v>1326</v>
      </c>
      <c r="F308" s="180"/>
      <c r="G308" s="180"/>
      <c r="H308" s="201" t="s">
        <v>267</v>
      </c>
      <c r="I308" s="114"/>
      <c r="J308" s="190">
        <f t="shared" si="337"/>
        <v>0</v>
      </c>
      <c r="K308" s="1092"/>
      <c r="L308" s="1092"/>
      <c r="M308" s="190">
        <f t="shared" si="338"/>
        <v>0</v>
      </c>
      <c r="N308" s="119"/>
      <c r="O308" s="183" t="str">
        <f t="shared" ref="O308:W308" si="350">IF(OR(O$17="",O$22=0,O$29=0),"",
(O$275*$O253+O$277*$Q253)*1000/(O$22*O$29))</f>
        <v/>
      </c>
      <c r="P308" s="183" t="str">
        <f t="shared" si="350"/>
        <v/>
      </c>
      <c r="Q308" s="183" t="str">
        <f t="shared" si="350"/>
        <v/>
      </c>
      <c r="R308" s="183" t="str">
        <f t="shared" si="350"/>
        <v/>
      </c>
      <c r="S308" s="183" t="str">
        <f t="shared" si="350"/>
        <v/>
      </c>
      <c r="T308" s="183" t="str">
        <f t="shared" si="350"/>
        <v/>
      </c>
      <c r="U308" s="183" t="str">
        <f t="shared" si="350"/>
        <v/>
      </c>
      <c r="V308" s="183" t="str">
        <f t="shared" si="350"/>
        <v/>
      </c>
      <c r="W308" s="183" t="str">
        <f t="shared" si="350"/>
        <v/>
      </c>
      <c r="X308" s="108"/>
      <c r="Y308" s="190">
        <f t="shared" si="340"/>
        <v>0</v>
      </c>
      <c r="Z308" s="119"/>
      <c r="AA308" s="183" t="str">
        <f t="shared" ref="AA308:AI308" si="351">IF(OR(AA$17="",AA$22=0,AA$29=0),"",
(AA$275*$AA253+AA$277*$AC253)*1000/(AA$22*AA$29))</f>
        <v/>
      </c>
      <c r="AB308" s="183" t="str">
        <f t="shared" si="351"/>
        <v/>
      </c>
      <c r="AC308" s="183" t="str">
        <f t="shared" si="351"/>
        <v/>
      </c>
      <c r="AD308" s="183" t="str">
        <f t="shared" si="351"/>
        <v/>
      </c>
      <c r="AE308" s="183" t="str">
        <f t="shared" si="351"/>
        <v/>
      </c>
      <c r="AF308" s="183" t="str">
        <f t="shared" si="351"/>
        <v/>
      </c>
      <c r="AG308" s="183" t="str">
        <f t="shared" si="351"/>
        <v/>
      </c>
      <c r="AH308" s="183" t="str">
        <f t="shared" si="351"/>
        <v/>
      </c>
      <c r="AI308" s="183" t="str">
        <f t="shared" si="351"/>
        <v/>
      </c>
      <c r="AJ308" s="108"/>
      <c r="AK308" s="190">
        <f t="shared" si="342"/>
        <v>0</v>
      </c>
      <c r="AL308" s="119"/>
      <c r="AM308" s="183" t="str">
        <f t="shared" ref="AM308:AU308" si="352">IF(OR(AM$17="",AM$22=0,AM$29=0),"",
(AM$275*$AM253+AM$277*$AO253)*1000/(AM$22*AM$29))</f>
        <v/>
      </c>
      <c r="AN308" s="183" t="str">
        <f t="shared" si="352"/>
        <v/>
      </c>
      <c r="AO308" s="183" t="str">
        <f t="shared" si="352"/>
        <v/>
      </c>
      <c r="AP308" s="183" t="str">
        <f t="shared" si="352"/>
        <v/>
      </c>
      <c r="AQ308" s="183" t="str">
        <f t="shared" si="352"/>
        <v/>
      </c>
      <c r="AR308" s="183" t="str">
        <f t="shared" si="352"/>
        <v/>
      </c>
      <c r="AS308" s="183" t="str">
        <f t="shared" si="352"/>
        <v/>
      </c>
      <c r="AT308" s="183" t="str">
        <f t="shared" si="352"/>
        <v/>
      </c>
      <c r="AU308" s="183" t="str">
        <f t="shared" si="352"/>
        <v/>
      </c>
      <c r="AV308" s="108"/>
      <c r="AW308" s="190">
        <f t="shared" si="344"/>
        <v>0</v>
      </c>
      <c r="AX308" s="119"/>
      <c r="AY308" s="183" t="str">
        <f t="shared" ref="AY308:BG308" si="353">IF(OR(AY$17="",AY$22=0,AY$29=0),"",
(AY$275*$AY253+AY$277*$BA253)*1000/(AY$22*AY$29))</f>
        <v/>
      </c>
      <c r="AZ308" s="183" t="str">
        <f t="shared" si="353"/>
        <v/>
      </c>
      <c r="BA308" s="183" t="str">
        <f t="shared" si="353"/>
        <v/>
      </c>
      <c r="BB308" s="183" t="str">
        <f t="shared" si="353"/>
        <v/>
      </c>
      <c r="BC308" s="183" t="str">
        <f t="shared" si="353"/>
        <v/>
      </c>
      <c r="BD308" s="183" t="str">
        <f t="shared" si="353"/>
        <v/>
      </c>
      <c r="BE308" s="183" t="str">
        <f t="shared" si="353"/>
        <v/>
      </c>
      <c r="BF308" s="183" t="str">
        <f t="shared" si="353"/>
        <v/>
      </c>
      <c r="BG308" s="183" t="str">
        <f t="shared" si="353"/>
        <v/>
      </c>
      <c r="BH308" s="210"/>
    </row>
    <row r="309" spans="1:60">
      <c r="A309" s="1040"/>
      <c r="B309" s="1109" t="s">
        <v>1222</v>
      </c>
      <c r="C309" s="1107" t="s">
        <v>104</v>
      </c>
      <c r="D309" s="641" t="s">
        <v>45</v>
      </c>
      <c r="E309" s="180" t="s">
        <v>1325</v>
      </c>
      <c r="F309" s="180"/>
      <c r="G309" s="180"/>
      <c r="H309" s="201" t="s">
        <v>267</v>
      </c>
      <c r="I309" s="114"/>
      <c r="J309" s="190">
        <f t="shared" si="337"/>
        <v>0</v>
      </c>
      <c r="K309" s="1092"/>
      <c r="L309" s="1092"/>
      <c r="M309" s="190">
        <f t="shared" si="338"/>
        <v>0</v>
      </c>
      <c r="N309" s="119"/>
      <c r="O309" s="183" t="str">
        <f t="shared" ref="O309:W309" si="354">IF(OR(O$17="",O$22=0,O$29=0),"",
(O$275*$O254+O$276*$P254+O$277*$Q254)*1000/(O$22*O$29))</f>
        <v/>
      </c>
      <c r="P309" s="183" t="str">
        <f t="shared" si="354"/>
        <v/>
      </c>
      <c r="Q309" s="183" t="str">
        <f t="shared" si="354"/>
        <v/>
      </c>
      <c r="R309" s="183" t="str">
        <f t="shared" si="354"/>
        <v/>
      </c>
      <c r="S309" s="183" t="str">
        <f t="shared" si="354"/>
        <v/>
      </c>
      <c r="T309" s="183" t="str">
        <f t="shared" si="354"/>
        <v/>
      </c>
      <c r="U309" s="183" t="str">
        <f t="shared" si="354"/>
        <v/>
      </c>
      <c r="V309" s="183" t="str">
        <f t="shared" si="354"/>
        <v/>
      </c>
      <c r="W309" s="183" t="str">
        <f t="shared" si="354"/>
        <v/>
      </c>
      <c r="X309" s="108"/>
      <c r="Y309" s="190">
        <f t="shared" si="340"/>
        <v>0</v>
      </c>
      <c r="Z309" s="119"/>
      <c r="AA309" s="183" t="str">
        <f t="shared" ref="AA309:AI309" si="355">IF(OR(AA$17="",AA$22=0,AA$29=0),"",
(AA$275*$AA254+AA$276*$AB254+AA$277*$AC254)*1000/(AA$22*AA$29))</f>
        <v/>
      </c>
      <c r="AB309" s="183" t="str">
        <f t="shared" si="355"/>
        <v/>
      </c>
      <c r="AC309" s="183" t="str">
        <f t="shared" si="355"/>
        <v/>
      </c>
      <c r="AD309" s="183" t="str">
        <f t="shared" si="355"/>
        <v/>
      </c>
      <c r="AE309" s="183" t="str">
        <f t="shared" si="355"/>
        <v/>
      </c>
      <c r="AF309" s="183" t="str">
        <f t="shared" si="355"/>
        <v/>
      </c>
      <c r="AG309" s="183" t="str">
        <f t="shared" si="355"/>
        <v/>
      </c>
      <c r="AH309" s="183" t="str">
        <f t="shared" si="355"/>
        <v/>
      </c>
      <c r="AI309" s="183" t="str">
        <f t="shared" si="355"/>
        <v/>
      </c>
      <c r="AJ309" s="108"/>
      <c r="AK309" s="190">
        <f t="shared" si="342"/>
        <v>0</v>
      </c>
      <c r="AL309" s="119"/>
      <c r="AM309" s="183" t="str">
        <f t="shared" ref="AM309:AU309" si="356">IF(OR(AM$17="",AM$22=0,AM$29=0),"",
(AM$275*$AM254+AM$276*$AN254+AM$277*$AO254)*1000/(AM$22*AM$29))</f>
        <v/>
      </c>
      <c r="AN309" s="183" t="str">
        <f t="shared" si="356"/>
        <v/>
      </c>
      <c r="AO309" s="183" t="str">
        <f t="shared" si="356"/>
        <v/>
      </c>
      <c r="AP309" s="183" t="str">
        <f t="shared" si="356"/>
        <v/>
      </c>
      <c r="AQ309" s="183" t="str">
        <f t="shared" si="356"/>
        <v/>
      </c>
      <c r="AR309" s="183" t="str">
        <f t="shared" si="356"/>
        <v/>
      </c>
      <c r="AS309" s="183" t="str">
        <f t="shared" si="356"/>
        <v/>
      </c>
      <c r="AT309" s="183" t="str">
        <f t="shared" si="356"/>
        <v/>
      </c>
      <c r="AU309" s="183" t="str">
        <f t="shared" si="356"/>
        <v/>
      </c>
      <c r="AV309" s="108"/>
      <c r="AW309" s="190">
        <f t="shared" si="344"/>
        <v>0</v>
      </c>
      <c r="AX309" s="119"/>
      <c r="AY309" s="183" t="str">
        <f t="shared" ref="AY309:BG309" si="357">IF(OR(AY$17="",AY$22=0,AY$29=0),"",
(AY$275*$AY254+AY$276*$AZ254+AY$277*$BA254)*1000/(AY$22*AY$29))</f>
        <v/>
      </c>
      <c r="AZ309" s="183" t="str">
        <f t="shared" si="357"/>
        <v/>
      </c>
      <c r="BA309" s="183" t="str">
        <f t="shared" si="357"/>
        <v/>
      </c>
      <c r="BB309" s="183" t="str">
        <f t="shared" si="357"/>
        <v/>
      </c>
      <c r="BC309" s="183" t="str">
        <f t="shared" si="357"/>
        <v/>
      </c>
      <c r="BD309" s="183" t="str">
        <f t="shared" si="357"/>
        <v/>
      </c>
      <c r="BE309" s="183" t="str">
        <f t="shared" si="357"/>
        <v/>
      </c>
      <c r="BF309" s="183" t="str">
        <f t="shared" si="357"/>
        <v/>
      </c>
      <c r="BG309" s="183" t="str">
        <f t="shared" si="357"/>
        <v/>
      </c>
      <c r="BH309" s="210"/>
    </row>
    <row r="310" spans="1:60">
      <c r="A310" s="1040"/>
      <c r="B310" s="1109" t="s">
        <v>1222</v>
      </c>
      <c r="C310" s="1107" t="s">
        <v>104</v>
      </c>
      <c r="D310" s="641" t="s">
        <v>45</v>
      </c>
      <c r="E310" s="180" t="s">
        <v>1324</v>
      </c>
      <c r="F310" s="180"/>
      <c r="G310" s="180"/>
      <c r="H310" s="201" t="s">
        <v>267</v>
      </c>
      <c r="I310" s="114"/>
      <c r="J310" s="190">
        <f t="shared" si="337"/>
        <v>0</v>
      </c>
      <c r="K310" s="1092"/>
      <c r="L310" s="1092"/>
      <c r="M310" s="190">
        <f t="shared" si="338"/>
        <v>0</v>
      </c>
      <c r="N310" s="119"/>
      <c r="O310" s="183" t="str">
        <f t="shared" ref="O310:W310" si="358">IF(OR(O$17="",O$22=0,O$29=0),"",
(O$276*$P255)*1000/(O$22*O$29))</f>
        <v/>
      </c>
      <c r="P310" s="183" t="str">
        <f t="shared" si="358"/>
        <v/>
      </c>
      <c r="Q310" s="183" t="str">
        <f t="shared" si="358"/>
        <v/>
      </c>
      <c r="R310" s="183" t="str">
        <f t="shared" si="358"/>
        <v/>
      </c>
      <c r="S310" s="183" t="str">
        <f t="shared" si="358"/>
        <v/>
      </c>
      <c r="T310" s="183" t="str">
        <f t="shared" si="358"/>
        <v/>
      </c>
      <c r="U310" s="183" t="str">
        <f t="shared" si="358"/>
        <v/>
      </c>
      <c r="V310" s="183" t="str">
        <f t="shared" si="358"/>
        <v/>
      </c>
      <c r="W310" s="183" t="str">
        <f t="shared" si="358"/>
        <v/>
      </c>
      <c r="X310" s="108"/>
      <c r="Y310" s="190">
        <f t="shared" si="340"/>
        <v>0</v>
      </c>
      <c r="Z310" s="119"/>
      <c r="AA310" s="183" t="str">
        <f t="shared" ref="AA310:AI310" si="359">IF(OR(AA$17="",AA$22=0,AA$29=0),"",
(AA$276*$AB255)*1000/(AA$22*AA$29))</f>
        <v/>
      </c>
      <c r="AB310" s="183" t="str">
        <f t="shared" si="359"/>
        <v/>
      </c>
      <c r="AC310" s="183" t="str">
        <f t="shared" si="359"/>
        <v/>
      </c>
      <c r="AD310" s="183" t="str">
        <f t="shared" si="359"/>
        <v/>
      </c>
      <c r="AE310" s="183" t="str">
        <f t="shared" si="359"/>
        <v/>
      </c>
      <c r="AF310" s="183" t="str">
        <f t="shared" si="359"/>
        <v/>
      </c>
      <c r="AG310" s="183" t="str">
        <f t="shared" si="359"/>
        <v/>
      </c>
      <c r="AH310" s="183" t="str">
        <f t="shared" si="359"/>
        <v/>
      </c>
      <c r="AI310" s="183" t="str">
        <f t="shared" si="359"/>
        <v/>
      </c>
      <c r="AJ310" s="108"/>
      <c r="AK310" s="190">
        <f t="shared" si="342"/>
        <v>0</v>
      </c>
      <c r="AL310" s="119"/>
      <c r="AM310" s="183" t="str">
        <f t="shared" ref="AM310:AU310" si="360">IF(OR(AM$17="",AM$22=0,AM$29=0),"",
(AM$276*$AN255)*1000/(AM$22*AM$29))</f>
        <v/>
      </c>
      <c r="AN310" s="183" t="str">
        <f t="shared" si="360"/>
        <v/>
      </c>
      <c r="AO310" s="183" t="str">
        <f t="shared" si="360"/>
        <v/>
      </c>
      <c r="AP310" s="183" t="str">
        <f t="shared" si="360"/>
        <v/>
      </c>
      <c r="AQ310" s="183" t="str">
        <f t="shared" si="360"/>
        <v/>
      </c>
      <c r="AR310" s="183" t="str">
        <f t="shared" si="360"/>
        <v/>
      </c>
      <c r="AS310" s="183" t="str">
        <f t="shared" si="360"/>
        <v/>
      </c>
      <c r="AT310" s="183" t="str">
        <f t="shared" si="360"/>
        <v/>
      </c>
      <c r="AU310" s="183" t="str">
        <f t="shared" si="360"/>
        <v/>
      </c>
      <c r="AV310" s="108"/>
      <c r="AW310" s="190">
        <f t="shared" si="344"/>
        <v>0</v>
      </c>
      <c r="AX310" s="119"/>
      <c r="AY310" s="183" t="str">
        <f t="shared" ref="AY310:BG310" si="361">IF(OR(AY$17="",AY$22=0,AY$29=0),"",
(AY$276*$AZ255)*1000/(AY$22*AY$29))</f>
        <v/>
      </c>
      <c r="AZ310" s="183" t="str">
        <f t="shared" si="361"/>
        <v/>
      </c>
      <c r="BA310" s="183" t="str">
        <f t="shared" si="361"/>
        <v/>
      </c>
      <c r="BB310" s="183" t="str">
        <f t="shared" si="361"/>
        <v/>
      </c>
      <c r="BC310" s="183" t="str">
        <f t="shared" si="361"/>
        <v/>
      </c>
      <c r="BD310" s="183" t="str">
        <f t="shared" si="361"/>
        <v/>
      </c>
      <c r="BE310" s="183" t="str">
        <f t="shared" si="361"/>
        <v/>
      </c>
      <c r="BF310" s="183" t="str">
        <f t="shared" si="361"/>
        <v/>
      </c>
      <c r="BG310" s="183" t="str">
        <f t="shared" si="361"/>
        <v/>
      </c>
      <c r="BH310" s="210"/>
    </row>
    <row r="311" spans="1:60">
      <c r="A311" s="1040"/>
      <c r="B311" s="1109" t="s">
        <v>1222</v>
      </c>
      <c r="C311" s="1107" t="s">
        <v>104</v>
      </c>
      <c r="D311" s="641" t="s">
        <v>45</v>
      </c>
      <c r="E311" s="180" t="s">
        <v>1323</v>
      </c>
      <c r="F311" s="180"/>
      <c r="G311" s="180"/>
      <c r="H311" s="201" t="s">
        <v>267</v>
      </c>
      <c r="I311" s="114"/>
      <c r="J311" s="190">
        <f t="shared" si="337"/>
        <v>0</v>
      </c>
      <c r="K311" s="1092"/>
      <c r="L311" s="1092"/>
      <c r="M311" s="190">
        <f t="shared" si="338"/>
        <v>0</v>
      </c>
      <c r="N311" s="119"/>
      <c r="O311" s="183" t="str">
        <f t="shared" ref="O311:W311" si="362">IF(OR(O$17="",O$22=0,O$29=0),"",
(O$275*$O256+O$277*$Q256)*1000/(O$22*O$29))</f>
        <v/>
      </c>
      <c r="P311" s="183" t="str">
        <f t="shared" si="362"/>
        <v/>
      </c>
      <c r="Q311" s="183" t="str">
        <f t="shared" si="362"/>
        <v/>
      </c>
      <c r="R311" s="183" t="str">
        <f t="shared" si="362"/>
        <v/>
      </c>
      <c r="S311" s="183" t="str">
        <f t="shared" si="362"/>
        <v/>
      </c>
      <c r="T311" s="183" t="str">
        <f t="shared" si="362"/>
        <v/>
      </c>
      <c r="U311" s="183" t="str">
        <f t="shared" si="362"/>
        <v/>
      </c>
      <c r="V311" s="183" t="str">
        <f t="shared" si="362"/>
        <v/>
      </c>
      <c r="W311" s="183" t="str">
        <f t="shared" si="362"/>
        <v/>
      </c>
      <c r="X311" s="108"/>
      <c r="Y311" s="190">
        <f t="shared" si="340"/>
        <v>0</v>
      </c>
      <c r="Z311" s="119"/>
      <c r="AA311" s="183" t="str">
        <f t="shared" ref="AA311:AI311" si="363">IF(OR(AA$17="",AA$22=0,AA$29=0),"",
(AA$275*$AA256+AA$277*$AC256)*1000/(AA$22*AA$29))</f>
        <v/>
      </c>
      <c r="AB311" s="183" t="str">
        <f t="shared" si="363"/>
        <v/>
      </c>
      <c r="AC311" s="183" t="str">
        <f t="shared" si="363"/>
        <v/>
      </c>
      <c r="AD311" s="183" t="str">
        <f t="shared" si="363"/>
        <v/>
      </c>
      <c r="AE311" s="183" t="str">
        <f t="shared" si="363"/>
        <v/>
      </c>
      <c r="AF311" s="183" t="str">
        <f t="shared" si="363"/>
        <v/>
      </c>
      <c r="AG311" s="183" t="str">
        <f t="shared" si="363"/>
        <v/>
      </c>
      <c r="AH311" s="183" t="str">
        <f t="shared" si="363"/>
        <v/>
      </c>
      <c r="AI311" s="183" t="str">
        <f t="shared" si="363"/>
        <v/>
      </c>
      <c r="AJ311" s="108"/>
      <c r="AK311" s="190">
        <f t="shared" si="342"/>
        <v>0</v>
      </c>
      <c r="AL311" s="119"/>
      <c r="AM311" s="183" t="str">
        <f t="shared" ref="AM311:AU311" si="364">IF(OR(AM$17="",AM$22=0,AM$29=0),"",
(AM$275*$AM256+AM$277*$AO256)*1000/(AM$22*AM$29))</f>
        <v/>
      </c>
      <c r="AN311" s="183" t="str">
        <f t="shared" si="364"/>
        <v/>
      </c>
      <c r="AO311" s="183" t="str">
        <f t="shared" si="364"/>
        <v/>
      </c>
      <c r="AP311" s="183" t="str">
        <f t="shared" si="364"/>
        <v/>
      </c>
      <c r="AQ311" s="183" t="str">
        <f t="shared" si="364"/>
        <v/>
      </c>
      <c r="AR311" s="183" t="str">
        <f t="shared" si="364"/>
        <v/>
      </c>
      <c r="AS311" s="183" t="str">
        <f t="shared" si="364"/>
        <v/>
      </c>
      <c r="AT311" s="183" t="str">
        <f t="shared" si="364"/>
        <v/>
      </c>
      <c r="AU311" s="183" t="str">
        <f t="shared" si="364"/>
        <v/>
      </c>
      <c r="AV311" s="108"/>
      <c r="AW311" s="190">
        <f t="shared" si="344"/>
        <v>0</v>
      </c>
      <c r="AX311" s="119"/>
      <c r="AY311" s="183" t="str">
        <f t="shared" ref="AY311:BG311" si="365">IF(OR(AY$17="",AY$22=0,AY$29=0),"",
(AY$275*$AY256+AY$277*$BA256)*1000/(AY$22*AY$29))</f>
        <v/>
      </c>
      <c r="AZ311" s="183" t="str">
        <f t="shared" si="365"/>
        <v/>
      </c>
      <c r="BA311" s="183" t="str">
        <f t="shared" si="365"/>
        <v/>
      </c>
      <c r="BB311" s="183" t="str">
        <f t="shared" si="365"/>
        <v/>
      </c>
      <c r="BC311" s="183" t="str">
        <f t="shared" si="365"/>
        <v/>
      </c>
      <c r="BD311" s="183" t="str">
        <f t="shared" si="365"/>
        <v/>
      </c>
      <c r="BE311" s="183" t="str">
        <f t="shared" si="365"/>
        <v/>
      </c>
      <c r="BF311" s="183" t="str">
        <f t="shared" si="365"/>
        <v/>
      </c>
      <c r="BG311" s="183" t="str">
        <f t="shared" si="365"/>
        <v/>
      </c>
      <c r="BH311" s="174"/>
    </row>
    <row r="312" spans="1:60">
      <c r="A312" s="1040"/>
      <c r="B312" s="1109" t="s">
        <v>1222</v>
      </c>
      <c r="C312" s="1106" t="s">
        <v>96</v>
      </c>
      <c r="D312" s="638"/>
      <c r="E312" s="942" t="s">
        <v>1321</v>
      </c>
      <c r="F312" s="942"/>
      <c r="G312" s="942"/>
      <c r="H312" s="942"/>
      <c r="I312" s="129"/>
      <c r="J312" s="943"/>
      <c r="K312" s="126"/>
      <c r="L312" s="126"/>
      <c r="M312" s="944"/>
      <c r="N312" s="195"/>
      <c r="O312" s="258" t="str">
        <f>O$17</f>
        <v/>
      </c>
      <c r="P312" s="258" t="str">
        <f t="shared" ref="P312:W312" si="366">P$17</f>
        <v/>
      </c>
      <c r="Q312" s="258" t="str">
        <f t="shared" si="366"/>
        <v/>
      </c>
      <c r="R312" s="258" t="str">
        <f t="shared" si="366"/>
        <v/>
      </c>
      <c r="S312" s="258" t="str">
        <f t="shared" si="366"/>
        <v/>
      </c>
      <c r="T312" s="258" t="str">
        <f t="shared" si="366"/>
        <v/>
      </c>
      <c r="U312" s="258" t="str">
        <f t="shared" si="366"/>
        <v/>
      </c>
      <c r="V312" s="258" t="str">
        <f t="shared" si="366"/>
        <v/>
      </c>
      <c r="W312" s="258" t="str">
        <f t="shared" si="366"/>
        <v/>
      </c>
      <c r="X312" s="195"/>
      <c r="Y312" s="944"/>
      <c r="Z312" s="195"/>
      <c r="AA312" s="258" t="str">
        <f>AA$17</f>
        <v/>
      </c>
      <c r="AB312" s="258" t="str">
        <f t="shared" ref="AB312:AI312" si="367">AB$17</f>
        <v/>
      </c>
      <c r="AC312" s="258" t="str">
        <f t="shared" si="367"/>
        <v/>
      </c>
      <c r="AD312" s="258" t="str">
        <f t="shared" si="367"/>
        <v/>
      </c>
      <c r="AE312" s="258" t="str">
        <f t="shared" si="367"/>
        <v/>
      </c>
      <c r="AF312" s="258" t="str">
        <f t="shared" si="367"/>
        <v/>
      </c>
      <c r="AG312" s="258" t="str">
        <f t="shared" si="367"/>
        <v/>
      </c>
      <c r="AH312" s="258" t="str">
        <f t="shared" si="367"/>
        <v/>
      </c>
      <c r="AI312" s="258" t="str">
        <f t="shared" si="367"/>
        <v/>
      </c>
      <c r="AJ312" s="195"/>
      <c r="AK312" s="944"/>
      <c r="AL312" s="195"/>
      <c r="AM312" s="258" t="str">
        <f>AM$17</f>
        <v/>
      </c>
      <c r="AN312" s="258" t="str">
        <f t="shared" ref="AN312:AU312" si="368">AN$17</f>
        <v/>
      </c>
      <c r="AO312" s="258" t="str">
        <f t="shared" si="368"/>
        <v/>
      </c>
      <c r="AP312" s="258" t="str">
        <f t="shared" si="368"/>
        <v/>
      </c>
      <c r="AQ312" s="258" t="str">
        <f t="shared" si="368"/>
        <v/>
      </c>
      <c r="AR312" s="258" t="str">
        <f t="shared" si="368"/>
        <v/>
      </c>
      <c r="AS312" s="258" t="str">
        <f t="shared" si="368"/>
        <v/>
      </c>
      <c r="AT312" s="258" t="str">
        <f t="shared" si="368"/>
        <v/>
      </c>
      <c r="AU312" s="258" t="str">
        <f t="shared" si="368"/>
        <v/>
      </c>
      <c r="AV312" s="195"/>
      <c r="AW312" s="944"/>
      <c r="AX312" s="195"/>
      <c r="AY312" s="258" t="str">
        <f>AY$17</f>
        <v/>
      </c>
      <c r="AZ312" s="258" t="str">
        <f t="shared" ref="AZ312:BG312" si="369">AZ$17</f>
        <v/>
      </c>
      <c r="BA312" s="258" t="str">
        <f t="shared" si="369"/>
        <v/>
      </c>
      <c r="BB312" s="258" t="str">
        <f t="shared" si="369"/>
        <v/>
      </c>
      <c r="BC312" s="258" t="str">
        <f t="shared" si="369"/>
        <v/>
      </c>
      <c r="BD312" s="258" t="str">
        <f t="shared" si="369"/>
        <v/>
      </c>
      <c r="BE312" s="258" t="str">
        <f t="shared" si="369"/>
        <v/>
      </c>
      <c r="BF312" s="258" t="str">
        <f t="shared" si="369"/>
        <v/>
      </c>
      <c r="BG312" s="258" t="str">
        <f t="shared" si="369"/>
        <v/>
      </c>
      <c r="BH312" s="36"/>
    </row>
    <row r="313" spans="1:60">
      <c r="A313" s="1040"/>
      <c r="B313" s="1109" t="s">
        <v>1222</v>
      </c>
      <c r="C313" s="1107" t="s">
        <v>104</v>
      </c>
      <c r="D313" s="641" t="s">
        <v>45</v>
      </c>
      <c r="E313" s="180" t="s">
        <v>1322</v>
      </c>
      <c r="F313" s="180"/>
      <c r="G313" s="180"/>
      <c r="H313" s="201" t="s">
        <v>267</v>
      </c>
      <c r="I313" s="114"/>
      <c r="J313" s="190">
        <f>M313+Y313+AK313+AW313</f>
        <v>0</v>
      </c>
      <c r="K313" s="1092"/>
      <c r="L313" s="1092"/>
      <c r="M313" s="190">
        <f>SUMPRODUCT(N313:X313,N$30:X$30)/1000</f>
        <v>0</v>
      </c>
      <c r="N313" s="119"/>
      <c r="O313" s="183" t="str">
        <f t="shared" ref="O313:W313" si="370">IF(OR(O$17="",O$22=0,O$29=0),"",
O$73/O$29*f_P_renelect)</f>
        <v/>
      </c>
      <c r="P313" s="183" t="str">
        <f t="shared" si="370"/>
        <v/>
      </c>
      <c r="Q313" s="183" t="str">
        <f t="shared" si="370"/>
        <v/>
      </c>
      <c r="R313" s="183" t="str">
        <f t="shared" si="370"/>
        <v/>
      </c>
      <c r="S313" s="183" t="str">
        <f t="shared" si="370"/>
        <v/>
      </c>
      <c r="T313" s="183" t="str">
        <f t="shared" si="370"/>
        <v/>
      </c>
      <c r="U313" s="183" t="str">
        <f t="shared" si="370"/>
        <v/>
      </c>
      <c r="V313" s="183" t="str">
        <f t="shared" si="370"/>
        <v/>
      </c>
      <c r="W313" s="183" t="str">
        <f t="shared" si="370"/>
        <v/>
      </c>
      <c r="X313" s="108"/>
      <c r="Y313" s="190">
        <f>SUMPRODUCT(Z313:AJ313,Z$30:AJ$30)/1000</f>
        <v>0</v>
      </c>
      <c r="Z313" s="119"/>
      <c r="AA313" s="183" t="str">
        <f t="shared" ref="AA313:AI313" si="371">IF(OR(AA$17="",AA$22=0,AA$29=0),"",
AA$73/AA$29*f_P_renelect)</f>
        <v/>
      </c>
      <c r="AB313" s="183" t="str">
        <f t="shared" si="371"/>
        <v/>
      </c>
      <c r="AC313" s="183" t="str">
        <f t="shared" si="371"/>
        <v/>
      </c>
      <c r="AD313" s="183" t="str">
        <f t="shared" si="371"/>
        <v/>
      </c>
      <c r="AE313" s="183" t="str">
        <f t="shared" si="371"/>
        <v/>
      </c>
      <c r="AF313" s="183" t="str">
        <f t="shared" si="371"/>
        <v/>
      </c>
      <c r="AG313" s="183" t="str">
        <f t="shared" si="371"/>
        <v/>
      </c>
      <c r="AH313" s="183" t="str">
        <f t="shared" si="371"/>
        <v/>
      </c>
      <c r="AI313" s="183" t="str">
        <f t="shared" si="371"/>
        <v/>
      </c>
      <c r="AJ313" s="108"/>
      <c r="AK313" s="190">
        <f>SUMPRODUCT(AL313:AV313,AL$30:AV$30)/1000</f>
        <v>0</v>
      </c>
      <c r="AL313" s="119"/>
      <c r="AM313" s="183" t="str">
        <f t="shared" ref="AM313:AU313" si="372">IF(OR(AM$17="",AM$22=0,AM$29=0),"",
AM$73/AM$29*f_P_renelect)</f>
        <v/>
      </c>
      <c r="AN313" s="183" t="str">
        <f t="shared" si="372"/>
        <v/>
      </c>
      <c r="AO313" s="183" t="str">
        <f t="shared" si="372"/>
        <v/>
      </c>
      <c r="AP313" s="183" t="str">
        <f t="shared" si="372"/>
        <v/>
      </c>
      <c r="AQ313" s="183" t="str">
        <f t="shared" si="372"/>
        <v/>
      </c>
      <c r="AR313" s="183" t="str">
        <f t="shared" si="372"/>
        <v/>
      </c>
      <c r="AS313" s="183" t="str">
        <f t="shared" si="372"/>
        <v/>
      </c>
      <c r="AT313" s="183" t="str">
        <f t="shared" si="372"/>
        <v/>
      </c>
      <c r="AU313" s="183" t="str">
        <f t="shared" si="372"/>
        <v/>
      </c>
      <c r="AV313" s="108"/>
      <c r="AW313" s="190">
        <f>SUMPRODUCT(AX313:BH313,AX$30:BH$30)/1000</f>
        <v>0</v>
      </c>
      <c r="AX313" s="119"/>
      <c r="AY313" s="183" t="str">
        <f t="shared" ref="AY313:BG313" si="373">IF(OR(AY$17="",AY$22=0,AY$29=0),"",
AY$73/AY$29*f_P_renelect)</f>
        <v/>
      </c>
      <c r="AZ313" s="183" t="str">
        <f t="shared" si="373"/>
        <v/>
      </c>
      <c r="BA313" s="183" t="str">
        <f t="shared" si="373"/>
        <v/>
      </c>
      <c r="BB313" s="183" t="str">
        <f t="shared" si="373"/>
        <v/>
      </c>
      <c r="BC313" s="183" t="str">
        <f t="shared" si="373"/>
        <v/>
      </c>
      <c r="BD313" s="183" t="str">
        <f t="shared" si="373"/>
        <v/>
      </c>
      <c r="BE313" s="183" t="str">
        <f t="shared" si="373"/>
        <v/>
      </c>
      <c r="BF313" s="183" t="str">
        <f t="shared" si="373"/>
        <v/>
      </c>
      <c r="BG313" s="183" t="str">
        <f t="shared" si="373"/>
        <v/>
      </c>
      <c r="BH313" s="210"/>
    </row>
    <row r="314" spans="1:60">
      <c r="A314" s="1040"/>
      <c r="B314" s="1109" t="s">
        <v>1222</v>
      </c>
      <c r="C314" s="1106" t="s">
        <v>96</v>
      </c>
      <c r="D314" s="638"/>
      <c r="E314" s="942" t="s">
        <v>1320</v>
      </c>
      <c r="F314" s="942"/>
      <c r="G314" s="942"/>
      <c r="H314" s="942"/>
      <c r="I314" s="129"/>
      <c r="J314" s="943"/>
      <c r="K314" s="126"/>
      <c r="L314" s="126"/>
      <c r="M314" s="944"/>
      <c r="N314" s="195"/>
      <c r="O314" s="258" t="str">
        <f>O$17</f>
        <v/>
      </c>
      <c r="P314" s="258" t="str">
        <f t="shared" ref="P314:W314" si="374">P$17</f>
        <v/>
      </c>
      <c r="Q314" s="258" t="str">
        <f t="shared" si="374"/>
        <v/>
      </c>
      <c r="R314" s="258" t="str">
        <f t="shared" si="374"/>
        <v/>
      </c>
      <c r="S314" s="258" t="str">
        <f t="shared" si="374"/>
        <v/>
      </c>
      <c r="T314" s="258" t="str">
        <f t="shared" si="374"/>
        <v/>
      </c>
      <c r="U314" s="258" t="str">
        <f t="shared" si="374"/>
        <v/>
      </c>
      <c r="V314" s="258" t="str">
        <f t="shared" si="374"/>
        <v/>
      </c>
      <c r="W314" s="258" t="str">
        <f t="shared" si="374"/>
        <v/>
      </c>
      <c r="X314" s="195"/>
      <c r="Y314" s="944"/>
      <c r="Z314" s="195"/>
      <c r="AA314" s="258" t="str">
        <f>AA$17</f>
        <v/>
      </c>
      <c r="AB314" s="258" t="str">
        <f t="shared" ref="AB314:AI314" si="375">AB$17</f>
        <v/>
      </c>
      <c r="AC314" s="258" t="str">
        <f t="shared" si="375"/>
        <v/>
      </c>
      <c r="AD314" s="258" t="str">
        <f t="shared" si="375"/>
        <v/>
      </c>
      <c r="AE314" s="258" t="str">
        <f t="shared" si="375"/>
        <v/>
      </c>
      <c r="AF314" s="258" t="str">
        <f t="shared" si="375"/>
        <v/>
      </c>
      <c r="AG314" s="258" t="str">
        <f t="shared" si="375"/>
        <v/>
      </c>
      <c r="AH314" s="258" t="str">
        <f t="shared" si="375"/>
        <v/>
      </c>
      <c r="AI314" s="258" t="str">
        <f t="shared" si="375"/>
        <v/>
      </c>
      <c r="AJ314" s="195"/>
      <c r="AK314" s="944"/>
      <c r="AL314" s="195"/>
      <c r="AM314" s="258" t="str">
        <f>AM$17</f>
        <v/>
      </c>
      <c r="AN314" s="258" t="str">
        <f t="shared" ref="AN314:AU314" si="376">AN$17</f>
        <v/>
      </c>
      <c r="AO314" s="258" t="str">
        <f t="shared" si="376"/>
        <v/>
      </c>
      <c r="AP314" s="258" t="str">
        <f t="shared" si="376"/>
        <v/>
      </c>
      <c r="AQ314" s="258" t="str">
        <f t="shared" si="376"/>
        <v/>
      </c>
      <c r="AR314" s="258" t="str">
        <f t="shared" si="376"/>
        <v/>
      </c>
      <c r="AS314" s="258" t="str">
        <f t="shared" si="376"/>
        <v/>
      </c>
      <c r="AT314" s="258" t="str">
        <f t="shared" si="376"/>
        <v/>
      </c>
      <c r="AU314" s="258" t="str">
        <f t="shared" si="376"/>
        <v/>
      </c>
      <c r="AV314" s="195"/>
      <c r="AW314" s="944"/>
      <c r="AX314" s="195"/>
      <c r="AY314" s="258" t="str">
        <f>AY$17</f>
        <v/>
      </c>
      <c r="AZ314" s="258" t="str">
        <f t="shared" ref="AZ314:BG314" si="377">AZ$17</f>
        <v/>
      </c>
      <c r="BA314" s="258" t="str">
        <f t="shared" si="377"/>
        <v/>
      </c>
      <c r="BB314" s="258" t="str">
        <f t="shared" si="377"/>
        <v/>
      </c>
      <c r="BC314" s="258" t="str">
        <f t="shared" si="377"/>
        <v/>
      </c>
      <c r="BD314" s="258" t="str">
        <f t="shared" si="377"/>
        <v/>
      </c>
      <c r="BE314" s="258" t="str">
        <f t="shared" si="377"/>
        <v/>
      </c>
      <c r="BF314" s="258" t="str">
        <f t="shared" si="377"/>
        <v/>
      </c>
      <c r="BG314" s="258" t="str">
        <f t="shared" si="377"/>
        <v/>
      </c>
      <c r="BH314" s="36"/>
    </row>
    <row r="315" spans="1:60">
      <c r="A315" s="1040"/>
      <c r="B315" s="1109" t="s">
        <v>1222</v>
      </c>
      <c r="C315" s="1107" t="s">
        <v>104</v>
      </c>
      <c r="D315" s="641" t="s">
        <v>45</v>
      </c>
      <c r="E315" s="1123" t="s">
        <v>232</v>
      </c>
      <c r="F315" s="1123"/>
      <c r="G315" s="180"/>
      <c r="H315" s="201" t="s">
        <v>267</v>
      </c>
      <c r="I315" s="114"/>
      <c r="J315" s="190">
        <f>M315+Y315+AK315+AW315</f>
        <v>0</v>
      </c>
      <c r="K315" s="1092"/>
      <c r="L315" s="1092"/>
      <c r="M315" s="190">
        <f>SUMPRODUCT(N315:X315,N$30:X$30)/1000</f>
        <v>0</v>
      </c>
      <c r="N315" s="119"/>
      <c r="O315" s="183" t="str">
        <f t="shared" ref="O315:W315" si="378">IF(OR(O$17="",O$22=0,O$29=0),"",SUM(O306:O311)+O313)</f>
        <v/>
      </c>
      <c r="P315" s="183" t="str">
        <f t="shared" si="378"/>
        <v/>
      </c>
      <c r="Q315" s="183" t="str">
        <f t="shared" si="378"/>
        <v/>
      </c>
      <c r="R315" s="183" t="str">
        <f t="shared" si="378"/>
        <v/>
      </c>
      <c r="S315" s="183" t="str">
        <f t="shared" si="378"/>
        <v/>
      </c>
      <c r="T315" s="183" t="str">
        <f t="shared" si="378"/>
        <v/>
      </c>
      <c r="U315" s="183" t="str">
        <f t="shared" si="378"/>
        <v/>
      </c>
      <c r="V315" s="183" t="str">
        <f t="shared" si="378"/>
        <v/>
      </c>
      <c r="W315" s="183" t="str">
        <f t="shared" si="378"/>
        <v/>
      </c>
      <c r="X315" s="108"/>
      <c r="Y315" s="190">
        <f>SUMPRODUCT(Z315:AJ315,Z$30:AJ$30)/1000</f>
        <v>0</v>
      </c>
      <c r="Z315" s="119"/>
      <c r="AA315" s="183" t="str">
        <f t="shared" ref="AA315:AI315" si="379">IF(OR(AA$17="",AA$22=0,AA$29=0),"",SUM(AA306:AA311)+AA313)</f>
        <v/>
      </c>
      <c r="AB315" s="183" t="str">
        <f t="shared" si="379"/>
        <v/>
      </c>
      <c r="AC315" s="183" t="str">
        <f t="shared" si="379"/>
        <v/>
      </c>
      <c r="AD315" s="183" t="str">
        <f t="shared" si="379"/>
        <v/>
      </c>
      <c r="AE315" s="183" t="str">
        <f t="shared" si="379"/>
        <v/>
      </c>
      <c r="AF315" s="183" t="str">
        <f t="shared" si="379"/>
        <v/>
      </c>
      <c r="AG315" s="183" t="str">
        <f t="shared" si="379"/>
        <v/>
      </c>
      <c r="AH315" s="183" t="str">
        <f t="shared" si="379"/>
        <v/>
      </c>
      <c r="AI315" s="183" t="str">
        <f t="shared" si="379"/>
        <v/>
      </c>
      <c r="AJ315" s="108"/>
      <c r="AK315" s="190">
        <f>SUMPRODUCT(AL315:AV315,AL$30:AV$30)/1000</f>
        <v>0</v>
      </c>
      <c r="AL315" s="119"/>
      <c r="AM315" s="183" t="str">
        <f>IF(OR(AM$17="",AM$22=0,AM$29=0),"",SUM(AM306:AM311)+AM313)</f>
        <v/>
      </c>
      <c r="AN315" s="183" t="str">
        <f t="shared" ref="AN315:AU315" si="380">IF(OR(AN$17="",AN$22=0,AN$29=0),"",SUM(AN306:AN311)+AN313)</f>
        <v/>
      </c>
      <c r="AO315" s="183" t="str">
        <f t="shared" si="380"/>
        <v/>
      </c>
      <c r="AP315" s="183" t="str">
        <f t="shared" si="380"/>
        <v/>
      </c>
      <c r="AQ315" s="183" t="str">
        <f t="shared" si="380"/>
        <v/>
      </c>
      <c r="AR315" s="183" t="str">
        <f t="shared" si="380"/>
        <v/>
      </c>
      <c r="AS315" s="183" t="str">
        <f t="shared" si="380"/>
        <v/>
      </c>
      <c r="AT315" s="183" t="str">
        <f t="shared" si="380"/>
        <v/>
      </c>
      <c r="AU315" s="183" t="str">
        <f t="shared" si="380"/>
        <v/>
      </c>
      <c r="AV315" s="108"/>
      <c r="AW315" s="190">
        <f>SUMPRODUCT(AX315:BH315,AX$30:BH$30)/1000</f>
        <v>0</v>
      </c>
      <c r="AX315" s="119"/>
      <c r="AY315" s="183" t="str">
        <f>IF(OR(AY$17="",AY$22=0,AY$29=0),"",SUM(AY306:AY311)+AY313)</f>
        <v/>
      </c>
      <c r="AZ315" s="183" t="str">
        <f t="shared" ref="AZ315:BG315" si="381">IF(OR(AZ$17="",AZ$22=0,AZ$29=0),"",SUM(AZ306:AZ311)+AZ313)</f>
        <v/>
      </c>
      <c r="BA315" s="183" t="str">
        <f t="shared" si="381"/>
        <v/>
      </c>
      <c r="BB315" s="183" t="str">
        <f t="shared" si="381"/>
        <v/>
      </c>
      <c r="BC315" s="183" t="str">
        <f t="shared" si="381"/>
        <v/>
      </c>
      <c r="BD315" s="183" t="str">
        <f t="shared" si="381"/>
        <v/>
      </c>
      <c r="BE315" s="183" t="str">
        <f t="shared" si="381"/>
        <v/>
      </c>
      <c r="BF315" s="183" t="str">
        <f t="shared" si="381"/>
        <v/>
      </c>
      <c r="BG315" s="183" t="str">
        <f t="shared" si="381"/>
        <v/>
      </c>
      <c r="BH315" s="210"/>
    </row>
    <row r="316" spans="1:60">
      <c r="A316" s="1040"/>
      <c r="B316" s="1109" t="s">
        <v>1222</v>
      </c>
      <c r="C316" s="1106" t="s">
        <v>96</v>
      </c>
      <c r="D316" s="638"/>
      <c r="E316" s="942" t="s">
        <v>272</v>
      </c>
      <c r="F316" s="942"/>
      <c r="G316" s="942"/>
      <c r="H316" s="942"/>
      <c r="I316" s="129"/>
      <c r="J316" s="943"/>
      <c r="K316" s="126"/>
      <c r="L316" s="126"/>
      <c r="M316" s="944"/>
      <c r="N316" s="195"/>
      <c r="O316" s="258" t="str">
        <f>O$17</f>
        <v/>
      </c>
      <c r="P316" s="258" t="str">
        <f t="shared" ref="P316:W316" si="382">P$17</f>
        <v/>
      </c>
      <c r="Q316" s="258" t="str">
        <f t="shared" si="382"/>
        <v/>
      </c>
      <c r="R316" s="258" t="str">
        <f t="shared" si="382"/>
        <v/>
      </c>
      <c r="S316" s="258" t="str">
        <f t="shared" si="382"/>
        <v/>
      </c>
      <c r="T316" s="258" t="str">
        <f t="shared" si="382"/>
        <v/>
      </c>
      <c r="U316" s="258" t="str">
        <f t="shared" si="382"/>
        <v/>
      </c>
      <c r="V316" s="258" t="str">
        <f t="shared" si="382"/>
        <v/>
      </c>
      <c r="W316" s="258" t="str">
        <f t="shared" si="382"/>
        <v/>
      </c>
      <c r="X316" s="195"/>
      <c r="Y316" s="944"/>
      <c r="Z316" s="195"/>
      <c r="AA316" s="258" t="str">
        <f>AA$17</f>
        <v/>
      </c>
      <c r="AB316" s="258" t="str">
        <f t="shared" ref="AB316:AI316" si="383">AB$17</f>
        <v/>
      </c>
      <c r="AC316" s="258" t="str">
        <f t="shared" si="383"/>
        <v/>
      </c>
      <c r="AD316" s="258" t="str">
        <f t="shared" si="383"/>
        <v/>
      </c>
      <c r="AE316" s="258" t="str">
        <f t="shared" si="383"/>
        <v/>
      </c>
      <c r="AF316" s="258" t="str">
        <f t="shared" si="383"/>
        <v/>
      </c>
      <c r="AG316" s="258" t="str">
        <f t="shared" si="383"/>
        <v/>
      </c>
      <c r="AH316" s="258" t="str">
        <f t="shared" si="383"/>
        <v/>
      </c>
      <c r="AI316" s="258" t="str">
        <f t="shared" si="383"/>
        <v/>
      </c>
      <c r="AJ316" s="195"/>
      <c r="AK316" s="944"/>
      <c r="AL316" s="195"/>
      <c r="AM316" s="258" t="str">
        <f>AM$17</f>
        <v/>
      </c>
      <c r="AN316" s="258" t="str">
        <f t="shared" ref="AN316:AU316" si="384">AN$17</f>
        <v/>
      </c>
      <c r="AO316" s="258" t="str">
        <f t="shared" si="384"/>
        <v/>
      </c>
      <c r="AP316" s="258" t="str">
        <f t="shared" si="384"/>
        <v/>
      </c>
      <c r="AQ316" s="258" t="str">
        <f t="shared" si="384"/>
        <v/>
      </c>
      <c r="AR316" s="258" t="str">
        <f t="shared" si="384"/>
        <v/>
      </c>
      <c r="AS316" s="258" t="str">
        <f t="shared" si="384"/>
        <v/>
      </c>
      <c r="AT316" s="258" t="str">
        <f t="shared" si="384"/>
        <v/>
      </c>
      <c r="AU316" s="258" t="str">
        <f t="shared" si="384"/>
        <v/>
      </c>
      <c r="AV316" s="195"/>
      <c r="AW316" s="944"/>
      <c r="AX316" s="195"/>
      <c r="AY316" s="258" t="str">
        <f>AY$17</f>
        <v/>
      </c>
      <c r="AZ316" s="258" t="str">
        <f t="shared" ref="AZ316:BG316" si="385">AZ$17</f>
        <v/>
      </c>
      <c r="BA316" s="258" t="str">
        <f t="shared" si="385"/>
        <v/>
      </c>
      <c r="BB316" s="258" t="str">
        <f t="shared" si="385"/>
        <v/>
      </c>
      <c r="BC316" s="258" t="str">
        <f t="shared" si="385"/>
        <v/>
      </c>
      <c r="BD316" s="258" t="str">
        <f t="shared" si="385"/>
        <v/>
      </c>
      <c r="BE316" s="258" t="str">
        <f t="shared" si="385"/>
        <v/>
      </c>
      <c r="BF316" s="258" t="str">
        <f t="shared" si="385"/>
        <v/>
      </c>
      <c r="BG316" s="258" t="str">
        <f t="shared" si="385"/>
        <v/>
      </c>
      <c r="BH316" s="36"/>
    </row>
    <row r="317" spans="1:60">
      <c r="A317" s="1040"/>
      <c r="B317" s="1109" t="s">
        <v>1222</v>
      </c>
      <c r="C317" s="1107" t="s">
        <v>104</v>
      </c>
      <c r="D317" s="641" t="s">
        <v>45</v>
      </c>
      <c r="E317" s="1123" t="s">
        <v>1360</v>
      </c>
      <c r="F317" s="1123"/>
      <c r="G317" s="180"/>
      <c r="H317" s="201" t="s">
        <v>139</v>
      </c>
      <c r="I317" s="114"/>
      <c r="J317" s="554" t="str">
        <f>IF(J$22=0,"",
IF(J304+J315=0,0,J315/(J304+J315)))</f>
        <v/>
      </c>
      <c r="K317" s="1096"/>
      <c r="L317" s="1096"/>
      <c r="M317" s="554" t="str">
        <f>IF(M$22=0,"",
IF(M304+M315=0,0,M315/(M304+M315)))</f>
        <v/>
      </c>
      <c r="N317" s="1097"/>
      <c r="O317" s="1159" t="str">
        <f t="shared" ref="O317:W317" si="386">IF(OR(O$17="",O$22=0,O$29=0),"",
IF(O304+O315=0,0,O315/(O304+O315)))</f>
        <v/>
      </c>
      <c r="P317" s="285" t="str">
        <f t="shared" si="386"/>
        <v/>
      </c>
      <c r="Q317" s="285" t="str">
        <f t="shared" si="386"/>
        <v/>
      </c>
      <c r="R317" s="285" t="str">
        <f t="shared" si="386"/>
        <v/>
      </c>
      <c r="S317" s="285" t="str">
        <f t="shared" si="386"/>
        <v/>
      </c>
      <c r="T317" s="285" t="str">
        <f t="shared" si="386"/>
        <v/>
      </c>
      <c r="U317" s="285" t="str">
        <f t="shared" si="386"/>
        <v/>
      </c>
      <c r="V317" s="285" t="str">
        <f t="shared" si="386"/>
        <v/>
      </c>
      <c r="W317" s="285" t="str">
        <f t="shared" si="386"/>
        <v/>
      </c>
      <c r="X317" s="124"/>
      <c r="Y317" s="554" t="str">
        <f>IF(Y$22=0,"",
IF(Y304+Y315=0,0,Y315/(Y304+Y315)))</f>
        <v/>
      </c>
      <c r="Z317" s="1097"/>
      <c r="AA317" s="285" t="str">
        <f t="shared" ref="AA317:AI317" si="387">IF(OR(AA$17="",AA$22=0,AA$29=0),"",
IF(AA304+AA315=0,0,AA315/(AA304+AA315)))</f>
        <v/>
      </c>
      <c r="AB317" s="285" t="str">
        <f t="shared" si="387"/>
        <v/>
      </c>
      <c r="AC317" s="285" t="str">
        <f t="shared" si="387"/>
        <v/>
      </c>
      <c r="AD317" s="285" t="str">
        <f t="shared" si="387"/>
        <v/>
      </c>
      <c r="AE317" s="285" t="str">
        <f t="shared" si="387"/>
        <v/>
      </c>
      <c r="AF317" s="285" t="str">
        <f t="shared" si="387"/>
        <v/>
      </c>
      <c r="AG317" s="285" t="str">
        <f t="shared" si="387"/>
        <v/>
      </c>
      <c r="AH317" s="285" t="str">
        <f t="shared" si="387"/>
        <v/>
      </c>
      <c r="AI317" s="285" t="str">
        <f t="shared" si="387"/>
        <v/>
      </c>
      <c r="AJ317" s="124"/>
      <c r="AK317" s="554" t="str">
        <f>IF(AK$22=0,"",
IF(AK304+AK315=0,0,AK315/(AK304+AK315)))</f>
        <v/>
      </c>
      <c r="AL317" s="1097"/>
      <c r="AM317" s="285" t="str">
        <f>IF(OR(AM$17="",AM$22=0,AM$29=0),"",
IF(AM304+AM315=0,0,AM315/(AM304+AM315)))</f>
        <v/>
      </c>
      <c r="AN317" s="285" t="str">
        <f t="shared" ref="AN317:AU317" si="388">IF(OR(AN$17="",AN$22=0,AN$29=0),"",
IF(AN304+AN315=0,0,AN315/(AN304+AN315)))</f>
        <v/>
      </c>
      <c r="AO317" s="285" t="str">
        <f>IF(OR(AO$17="",AO$22=0,AO$29=0),"",
IF(AO304+AO315=0,0,AO315/(AO304+AO315)))</f>
        <v/>
      </c>
      <c r="AP317" s="285" t="str">
        <f t="shared" si="388"/>
        <v/>
      </c>
      <c r="AQ317" s="285" t="str">
        <f t="shared" si="388"/>
        <v/>
      </c>
      <c r="AR317" s="285" t="str">
        <f t="shared" si="388"/>
        <v/>
      </c>
      <c r="AS317" s="285" t="str">
        <f t="shared" si="388"/>
        <v/>
      </c>
      <c r="AT317" s="285" t="str">
        <f t="shared" si="388"/>
        <v/>
      </c>
      <c r="AU317" s="285" t="str">
        <f t="shared" si="388"/>
        <v/>
      </c>
      <c r="AV317" s="124"/>
      <c r="AW317" s="554" t="str">
        <f>IF(AW$22=0,"",
IF(AW304+AW315=0,0,AW315/(AW304+AW315)))</f>
        <v/>
      </c>
      <c r="AX317" s="1097"/>
      <c r="AY317" s="285" t="str">
        <f>IF(OR(AY$17="",AY$22=0,AY$29=0),"",
IF(AY304+AY315=0,0,AY315/(AY304+AY315)))</f>
        <v/>
      </c>
      <c r="AZ317" s="285" t="str">
        <f t="shared" ref="AZ317:BG317" si="389">IF(OR(AZ$17="",AZ$22=0,AZ$29=0),"",
IF(AZ304+AZ315=0,0,AZ315/(AZ304+AZ315)))</f>
        <v/>
      </c>
      <c r="BA317" s="285" t="str">
        <f t="shared" si="389"/>
        <v/>
      </c>
      <c r="BB317" s="285" t="str">
        <f t="shared" si="389"/>
        <v/>
      </c>
      <c r="BC317" s="285" t="str">
        <f t="shared" si="389"/>
        <v/>
      </c>
      <c r="BD317" s="285" t="str">
        <f t="shared" si="389"/>
        <v/>
      </c>
      <c r="BE317" s="285" t="str">
        <f t="shared" si="389"/>
        <v/>
      </c>
      <c r="BF317" s="285" t="str">
        <f t="shared" si="389"/>
        <v/>
      </c>
      <c r="BG317" s="285" t="str">
        <f t="shared" si="389"/>
        <v/>
      </c>
      <c r="BH317" s="212"/>
    </row>
    <row r="318" spans="1:60">
      <c r="A318" s="1040"/>
      <c r="B318" s="1109" t="s">
        <v>1222</v>
      </c>
      <c r="C318" s="1106" t="s">
        <v>96</v>
      </c>
      <c r="D318" s="638"/>
      <c r="E318" s="79"/>
      <c r="F318" s="79"/>
      <c r="G318" s="79"/>
      <c r="H318" s="85"/>
      <c r="I318" s="79"/>
      <c r="J318" s="82"/>
      <c r="K318" s="195"/>
      <c r="L318" s="195"/>
      <c r="M318" s="82"/>
      <c r="N318" s="79"/>
      <c r="O318" s="108"/>
      <c r="P318" s="108"/>
      <c r="Q318" s="108"/>
      <c r="R318" s="108"/>
      <c r="S318" s="108"/>
      <c r="T318" s="108"/>
      <c r="U318" s="108"/>
      <c r="V318" s="108"/>
      <c r="W318" s="108"/>
      <c r="X318" s="82"/>
      <c r="Y318" s="82"/>
      <c r="Z318" s="82"/>
      <c r="AA318" s="82"/>
      <c r="AB318" s="82"/>
      <c r="AC318" s="82"/>
      <c r="AD318" s="82"/>
      <c r="AE318" s="82"/>
      <c r="AF318" s="82"/>
      <c r="AG318" s="82"/>
      <c r="AH318" s="82"/>
      <c r="AI318" s="82"/>
      <c r="AJ318" s="82"/>
      <c r="AK318" s="82"/>
      <c r="AL318" s="79"/>
      <c r="AM318" s="108"/>
      <c r="AN318" s="108"/>
      <c r="AO318" s="108"/>
      <c r="AP318" s="108"/>
      <c r="AQ318" s="108"/>
      <c r="AR318" s="108"/>
      <c r="AS318" s="108"/>
      <c r="AT318" s="108"/>
      <c r="AU318" s="108"/>
      <c r="AV318" s="82"/>
      <c r="AW318" s="82"/>
      <c r="AX318" s="79"/>
      <c r="AY318" s="108"/>
      <c r="AZ318" s="108"/>
      <c r="BA318" s="108"/>
      <c r="BB318" s="108"/>
      <c r="BC318" s="108"/>
      <c r="BD318" s="108"/>
      <c r="BE318" s="108"/>
      <c r="BF318" s="108"/>
      <c r="BG318" s="108"/>
      <c r="BH318" s="1"/>
    </row>
    <row r="319" spans="1:60">
      <c r="A319" s="1040"/>
      <c r="B319" s="1109" t="s">
        <v>1223</v>
      </c>
      <c r="C319" s="1107" t="s">
        <v>96</v>
      </c>
      <c r="D319" s="638"/>
      <c r="E319" s="1098"/>
      <c r="F319" s="85"/>
      <c r="G319" s="85"/>
      <c r="H319" s="85"/>
      <c r="I319" s="79"/>
      <c r="J319" s="105"/>
      <c r="K319" s="79"/>
      <c r="L319" s="79"/>
      <c r="M319" s="82"/>
      <c r="N319" s="79"/>
      <c r="O319" s="79"/>
      <c r="P319" s="82"/>
      <c r="Q319" s="82"/>
      <c r="R319" s="82"/>
      <c r="S319" s="82"/>
      <c r="T319" s="82"/>
      <c r="U319" s="82"/>
      <c r="V319" s="82"/>
      <c r="W319" s="82"/>
      <c r="X319" s="82"/>
      <c r="Y319" s="82"/>
      <c r="Z319" s="79"/>
      <c r="AA319" s="82"/>
      <c r="AB319" s="82"/>
      <c r="AC319" s="82"/>
      <c r="AD319" s="82"/>
      <c r="AE319" s="82"/>
      <c r="AF319" s="82"/>
      <c r="AG319" s="82"/>
      <c r="AH319" s="82"/>
      <c r="AI319" s="82"/>
      <c r="AJ319" s="82"/>
      <c r="AK319" s="82"/>
      <c r="AL319" s="79"/>
      <c r="AM319" s="82"/>
      <c r="AN319" s="82"/>
      <c r="AO319" s="82"/>
      <c r="AP319" s="82"/>
      <c r="AQ319" s="82"/>
      <c r="AR319" s="82"/>
      <c r="AS319" s="82"/>
      <c r="AT319" s="82"/>
      <c r="AU319" s="82"/>
      <c r="AV319" s="82"/>
      <c r="AW319" s="82"/>
      <c r="AX319" s="79"/>
      <c r="AY319" s="82"/>
      <c r="AZ319" s="82"/>
      <c r="BA319" s="82"/>
      <c r="BB319" s="82"/>
      <c r="BC319" s="82"/>
      <c r="BD319" s="82"/>
      <c r="BE319" s="82"/>
      <c r="BF319" s="82"/>
      <c r="BG319" s="82"/>
      <c r="BH319" s="1"/>
    </row>
    <row r="320" spans="1:60" s="2" customFormat="1" ht="21">
      <c r="A320" s="1038"/>
      <c r="B320" s="1110" t="s">
        <v>1223</v>
      </c>
      <c r="C320" s="1106" t="s">
        <v>96</v>
      </c>
      <c r="D320" s="640" t="s">
        <v>45</v>
      </c>
      <c r="E320" s="209" t="s">
        <v>1371</v>
      </c>
      <c r="F320" s="209"/>
      <c r="G320" s="209"/>
      <c r="H320" s="1188" t="str">
        <f>IF(OR($F$5&lt;&gt;"NTA8800:2026",$F$6&lt;&gt;"EP"),"Voor correcte EP: Kies linksboven 'NTA8800:2026' en 'EP'","")</f>
        <v/>
      </c>
      <c r="I320" s="129"/>
      <c r="J320" s="256"/>
      <c r="K320" s="126"/>
      <c r="L320" s="126"/>
      <c r="M320" s="256" t="str">
        <f>M$8</f>
        <v>locatie 1</v>
      </c>
      <c r="N320" s="182"/>
      <c r="O320" s="955" t="str">
        <f>$E320&amp;" per woning-/gebouwtype"</f>
        <v>energieprestatie indicatoren primair fossiel per woning-/gebouwtype</v>
      </c>
      <c r="P320" s="945"/>
      <c r="Q320" s="945"/>
      <c r="R320" s="945"/>
      <c r="S320" s="945"/>
      <c r="T320" s="945"/>
      <c r="U320" s="945"/>
      <c r="V320" s="945"/>
      <c r="W320" s="257"/>
      <c r="X320" s="174"/>
      <c r="Y320" s="256" t="str">
        <f>Y$8</f>
        <v>locatie 2</v>
      </c>
      <c r="Z320" s="182"/>
      <c r="AA320" s="955" t="str">
        <f>$E320&amp;" per woning-/gebouwtype"</f>
        <v>energieprestatie indicatoren primair fossiel per woning-/gebouwtype</v>
      </c>
      <c r="AB320" s="945"/>
      <c r="AC320" s="945"/>
      <c r="AD320" s="945"/>
      <c r="AE320" s="945"/>
      <c r="AF320" s="945"/>
      <c r="AG320" s="945"/>
      <c r="AH320" s="945"/>
      <c r="AI320" s="257"/>
      <c r="AJ320" s="174"/>
      <c r="AK320" s="256" t="str">
        <f>AK$8</f>
        <v>locatie 3</v>
      </c>
      <c r="AL320" s="182"/>
      <c r="AM320" s="955" t="str">
        <f>$E320&amp;" per woning-/gebouwtype"</f>
        <v>energieprestatie indicatoren primair fossiel per woning-/gebouwtype</v>
      </c>
      <c r="AN320" s="945"/>
      <c r="AO320" s="945"/>
      <c r="AP320" s="945"/>
      <c r="AQ320" s="945"/>
      <c r="AR320" s="945"/>
      <c r="AS320" s="945"/>
      <c r="AT320" s="945"/>
      <c r="AU320" s="257"/>
      <c r="AV320" s="174"/>
      <c r="AW320" s="256" t="str">
        <f>AW$8</f>
        <v>locatie 4</v>
      </c>
      <c r="AX320" s="182"/>
      <c r="AY320" s="955" t="str">
        <f>$E320&amp;" per woning-/gebouwtype"</f>
        <v>energieprestatie indicatoren primair fossiel per woning-/gebouwtype</v>
      </c>
      <c r="AZ320" s="945"/>
      <c r="BA320" s="945"/>
      <c r="BB320" s="945"/>
      <c r="BC320" s="945"/>
      <c r="BD320" s="945"/>
      <c r="BE320" s="945"/>
      <c r="BF320" s="945"/>
      <c r="BG320" s="257"/>
      <c r="BH320" s="1"/>
    </row>
    <row r="321" spans="1:60" hidden="1">
      <c r="A321" s="1040"/>
      <c r="B321" s="1109" t="s">
        <v>1223</v>
      </c>
      <c r="C321" s="1106" t="s">
        <v>262</v>
      </c>
      <c r="D321" s="641"/>
      <c r="E321" s="942" t="s">
        <v>273</v>
      </c>
      <c r="F321" s="942"/>
      <c r="G321" s="942"/>
      <c r="H321" s="942"/>
      <c r="I321" s="129"/>
      <c r="J321" s="943"/>
      <c r="K321" s="126"/>
      <c r="L321" s="126"/>
      <c r="M321" s="944"/>
      <c r="N321" s="195"/>
      <c r="O321" s="258" t="str">
        <f>O$17</f>
        <v/>
      </c>
      <c r="P321" s="258" t="str">
        <f t="shared" ref="P321:W321" si="390">P$17</f>
        <v/>
      </c>
      <c r="Q321" s="258" t="str">
        <f t="shared" si="390"/>
        <v/>
      </c>
      <c r="R321" s="258" t="str">
        <f t="shared" si="390"/>
        <v/>
      </c>
      <c r="S321" s="258" t="str">
        <f t="shared" si="390"/>
        <v/>
      </c>
      <c r="T321" s="258" t="str">
        <f t="shared" si="390"/>
        <v/>
      </c>
      <c r="U321" s="258" t="str">
        <f t="shared" si="390"/>
        <v/>
      </c>
      <c r="V321" s="258" t="str">
        <f t="shared" si="390"/>
        <v/>
      </c>
      <c r="W321" s="258" t="str">
        <f t="shared" si="390"/>
        <v/>
      </c>
      <c r="X321" s="195"/>
      <c r="Y321" s="944"/>
      <c r="Z321" s="195"/>
      <c r="AA321" s="258" t="str">
        <f>AA$17</f>
        <v/>
      </c>
      <c r="AB321" s="258" t="str">
        <f t="shared" ref="AB321:AI321" si="391">AB$17</f>
        <v/>
      </c>
      <c r="AC321" s="258" t="str">
        <f t="shared" si="391"/>
        <v/>
      </c>
      <c r="AD321" s="258" t="str">
        <f t="shared" si="391"/>
        <v/>
      </c>
      <c r="AE321" s="258" t="str">
        <f t="shared" si="391"/>
        <v/>
      </c>
      <c r="AF321" s="258" t="str">
        <f t="shared" si="391"/>
        <v/>
      </c>
      <c r="AG321" s="258" t="str">
        <f t="shared" si="391"/>
        <v/>
      </c>
      <c r="AH321" s="258" t="str">
        <f t="shared" si="391"/>
        <v/>
      </c>
      <c r="AI321" s="258" t="str">
        <f t="shared" si="391"/>
        <v/>
      </c>
      <c r="AJ321" s="195"/>
      <c r="AK321" s="944"/>
      <c r="AL321" s="195"/>
      <c r="AM321" s="258" t="str">
        <f>AM$17</f>
        <v/>
      </c>
      <c r="AN321" s="258" t="str">
        <f t="shared" ref="AN321:AU321" si="392">AN$17</f>
        <v/>
      </c>
      <c r="AO321" s="258" t="str">
        <f t="shared" si="392"/>
        <v/>
      </c>
      <c r="AP321" s="258" t="str">
        <f t="shared" si="392"/>
        <v/>
      </c>
      <c r="AQ321" s="258" t="str">
        <f t="shared" si="392"/>
        <v/>
      </c>
      <c r="AR321" s="258" t="str">
        <f t="shared" si="392"/>
        <v/>
      </c>
      <c r="AS321" s="258" t="str">
        <f t="shared" si="392"/>
        <v/>
      </c>
      <c r="AT321" s="258" t="str">
        <f t="shared" si="392"/>
        <v/>
      </c>
      <c r="AU321" s="258" t="str">
        <f t="shared" si="392"/>
        <v/>
      </c>
      <c r="AV321" s="195"/>
      <c r="AW321" s="944"/>
      <c r="AX321" s="195"/>
      <c r="AY321" s="258" t="str">
        <f>AY$17</f>
        <v/>
      </c>
      <c r="AZ321" s="258" t="str">
        <f t="shared" ref="AZ321:BG321" si="393">AZ$17</f>
        <v/>
      </c>
      <c r="BA321" s="258" t="str">
        <f t="shared" si="393"/>
        <v/>
      </c>
      <c r="BB321" s="258" t="str">
        <f t="shared" si="393"/>
        <v/>
      </c>
      <c r="BC321" s="258" t="str">
        <f t="shared" si="393"/>
        <v/>
      </c>
      <c r="BD321" s="258" t="str">
        <f t="shared" si="393"/>
        <v/>
      </c>
      <c r="BE321" s="258" t="str">
        <f t="shared" si="393"/>
        <v/>
      </c>
      <c r="BF321" s="258" t="str">
        <f t="shared" si="393"/>
        <v/>
      </c>
      <c r="BG321" s="258" t="str">
        <f t="shared" si="393"/>
        <v/>
      </c>
      <c r="BH321" s="36"/>
    </row>
    <row r="322" spans="1:60" hidden="1">
      <c r="A322" s="1040"/>
      <c r="B322" s="1109" t="s">
        <v>1223</v>
      </c>
      <c r="C322" s="1106" t="s">
        <v>262</v>
      </c>
      <c r="D322" s="641"/>
      <c r="E322" s="203" t="s">
        <v>274</v>
      </c>
      <c r="F322" s="203"/>
      <c r="G322" s="203"/>
      <c r="H322" s="204" t="s">
        <v>65</v>
      </c>
      <c r="I322" s="205"/>
      <c r="J322" s="206"/>
      <c r="K322" s="79"/>
      <c r="L322" s="79"/>
      <c r="M322" s="206"/>
      <c r="N322" s="205"/>
      <c r="O322" s="1153" t="str">
        <f t="shared" ref="O322:W322" si="394">IF(OR(O$17="",O$22=0,O$29=0),"",MATCH(O$19,BENG_gebruiksfuncties,0))</f>
        <v/>
      </c>
      <c r="P322" s="1153" t="str">
        <f t="shared" si="394"/>
        <v/>
      </c>
      <c r="Q322" s="1153" t="str">
        <f t="shared" si="394"/>
        <v/>
      </c>
      <c r="R322" s="1153" t="str">
        <f t="shared" si="394"/>
        <v/>
      </c>
      <c r="S322" s="1153" t="str">
        <f t="shared" si="394"/>
        <v/>
      </c>
      <c r="T322" s="1153" t="str">
        <f t="shared" si="394"/>
        <v/>
      </c>
      <c r="U322" s="1153" t="str">
        <f t="shared" si="394"/>
        <v/>
      </c>
      <c r="V322" s="1153" t="str">
        <f t="shared" si="394"/>
        <v/>
      </c>
      <c r="W322" s="1153" t="str">
        <f t="shared" si="394"/>
        <v/>
      </c>
      <c r="X322" s="108"/>
      <c r="Y322" s="206"/>
      <c r="Z322" s="205"/>
      <c r="AA322" s="207" t="str">
        <f t="shared" ref="AA322:AI322" si="395">IF(OR(AA$17="",AA$22=0,AA$29=0),"",MATCH(AA$19,BENG_gebruiksfuncties,0))</f>
        <v/>
      </c>
      <c r="AB322" s="207" t="str">
        <f t="shared" si="395"/>
        <v/>
      </c>
      <c r="AC322" s="207" t="str">
        <f t="shared" si="395"/>
        <v/>
      </c>
      <c r="AD322" s="207" t="str">
        <f t="shared" si="395"/>
        <v/>
      </c>
      <c r="AE322" s="207" t="str">
        <f t="shared" si="395"/>
        <v/>
      </c>
      <c r="AF322" s="207" t="str">
        <f t="shared" si="395"/>
        <v/>
      </c>
      <c r="AG322" s="207" t="str">
        <f t="shared" si="395"/>
        <v/>
      </c>
      <c r="AH322" s="207" t="str">
        <f t="shared" si="395"/>
        <v/>
      </c>
      <c r="AI322" s="207" t="str">
        <f t="shared" si="395"/>
        <v/>
      </c>
      <c r="AJ322" s="108"/>
      <c r="AK322" s="206"/>
      <c r="AL322" s="205"/>
      <c r="AM322" s="207" t="str">
        <f>IF(OR(AM$17="",AM$22=0,AM$29=0),"",MATCH(AM$19,BENG_gebruiksfuncties,0))</f>
        <v/>
      </c>
      <c r="AN322" s="207" t="str">
        <f t="shared" ref="AN322:AU322" si="396">IF(OR(AN$17="",AN$22=0,AN$29=0),"",MATCH(AN$19,BENG_gebruiksfuncties,0))</f>
        <v/>
      </c>
      <c r="AO322" s="207" t="str">
        <f t="shared" si="396"/>
        <v/>
      </c>
      <c r="AP322" s="207" t="str">
        <f t="shared" si="396"/>
        <v/>
      </c>
      <c r="AQ322" s="207" t="str">
        <f t="shared" si="396"/>
        <v/>
      </c>
      <c r="AR322" s="207" t="str">
        <f t="shared" si="396"/>
        <v/>
      </c>
      <c r="AS322" s="207" t="str">
        <f t="shared" si="396"/>
        <v/>
      </c>
      <c r="AT322" s="207" t="str">
        <f t="shared" si="396"/>
        <v/>
      </c>
      <c r="AU322" s="207" t="str">
        <f t="shared" si="396"/>
        <v/>
      </c>
      <c r="AV322" s="108"/>
      <c r="AW322" s="206"/>
      <c r="AX322" s="205"/>
      <c r="AY322" s="207" t="str">
        <f t="shared" ref="AY322:BG322" si="397">IF(OR(AY$17="",AY$22=0,AY$29=0),"",MATCH(AY$19,BENG_gebruiksfuncties,0))</f>
        <v/>
      </c>
      <c r="AZ322" s="207" t="str">
        <f t="shared" si="397"/>
        <v/>
      </c>
      <c r="BA322" s="207" t="str">
        <f t="shared" si="397"/>
        <v/>
      </c>
      <c r="BB322" s="207" t="str">
        <f t="shared" si="397"/>
        <v/>
      </c>
      <c r="BC322" s="207" t="str">
        <f t="shared" si="397"/>
        <v/>
      </c>
      <c r="BD322" s="207" t="str">
        <f t="shared" si="397"/>
        <v/>
      </c>
      <c r="BE322" s="207" t="str">
        <f t="shared" si="397"/>
        <v/>
      </c>
      <c r="BF322" s="207" t="str">
        <f t="shared" si="397"/>
        <v/>
      </c>
      <c r="BG322" s="207" t="str">
        <f t="shared" si="397"/>
        <v/>
      </c>
      <c r="BH322" s="210"/>
    </row>
    <row r="323" spans="1:60">
      <c r="A323" s="1040"/>
      <c r="B323" s="1109" t="s">
        <v>1223</v>
      </c>
      <c r="C323" s="1106" t="s">
        <v>96</v>
      </c>
      <c r="D323" s="640" t="s">
        <v>45</v>
      </c>
      <c r="E323" s="942" t="s">
        <v>1166</v>
      </c>
      <c r="F323" s="942"/>
      <c r="G323" s="942"/>
      <c r="H323" s="942"/>
      <c r="I323" s="129"/>
      <c r="J323" s="943"/>
      <c r="K323" s="126"/>
      <c r="L323" s="126"/>
      <c r="M323" s="944"/>
      <c r="N323" s="195"/>
      <c r="O323" s="1154" t="str">
        <f>O$17</f>
        <v/>
      </c>
      <c r="P323" s="1154" t="str">
        <f t="shared" ref="P323:W323" si="398">P$17</f>
        <v/>
      </c>
      <c r="Q323" s="1154" t="str">
        <f t="shared" si="398"/>
        <v/>
      </c>
      <c r="R323" s="1154" t="str">
        <f t="shared" si="398"/>
        <v/>
      </c>
      <c r="S323" s="1154" t="str">
        <f t="shared" si="398"/>
        <v/>
      </c>
      <c r="T323" s="1154" t="str">
        <f t="shared" si="398"/>
        <v/>
      </c>
      <c r="U323" s="1154" t="str">
        <f t="shared" si="398"/>
        <v/>
      </c>
      <c r="V323" s="1154" t="str">
        <f t="shared" si="398"/>
        <v/>
      </c>
      <c r="W323" s="1154" t="str">
        <f t="shared" si="398"/>
        <v/>
      </c>
      <c r="X323" s="195"/>
      <c r="Y323" s="944"/>
      <c r="Z323" s="195"/>
      <c r="AA323" s="258" t="str">
        <f>AA$17</f>
        <v/>
      </c>
      <c r="AB323" s="258" t="str">
        <f t="shared" ref="AB323:AI323" si="399">AB$17</f>
        <v/>
      </c>
      <c r="AC323" s="258" t="str">
        <f t="shared" si="399"/>
        <v/>
      </c>
      <c r="AD323" s="258" t="str">
        <f t="shared" si="399"/>
        <v/>
      </c>
      <c r="AE323" s="258" t="str">
        <f t="shared" si="399"/>
        <v/>
      </c>
      <c r="AF323" s="258" t="str">
        <f t="shared" si="399"/>
        <v/>
      </c>
      <c r="AG323" s="258" t="str">
        <f t="shared" si="399"/>
        <v/>
      </c>
      <c r="AH323" s="258" t="str">
        <f t="shared" si="399"/>
        <v/>
      </c>
      <c r="AI323" s="258" t="str">
        <f t="shared" si="399"/>
        <v/>
      </c>
      <c r="AJ323" s="195"/>
      <c r="AK323" s="944"/>
      <c r="AL323" s="195"/>
      <c r="AM323" s="258" t="str">
        <f>AM$17</f>
        <v/>
      </c>
      <c r="AN323" s="258" t="str">
        <f t="shared" ref="AN323:AU323" si="400">AN$17</f>
        <v/>
      </c>
      <c r="AO323" s="258" t="str">
        <f t="shared" si="400"/>
        <v/>
      </c>
      <c r="AP323" s="258" t="str">
        <f t="shared" si="400"/>
        <v/>
      </c>
      <c r="AQ323" s="258" t="str">
        <f t="shared" si="400"/>
        <v/>
      </c>
      <c r="AR323" s="258" t="str">
        <f t="shared" si="400"/>
        <v/>
      </c>
      <c r="AS323" s="258" t="str">
        <f t="shared" si="400"/>
        <v/>
      </c>
      <c r="AT323" s="258" t="str">
        <f t="shared" si="400"/>
        <v/>
      </c>
      <c r="AU323" s="258" t="str">
        <f t="shared" si="400"/>
        <v/>
      </c>
      <c r="AV323" s="195"/>
      <c r="AW323" s="944"/>
      <c r="AX323" s="195"/>
      <c r="AY323" s="258" t="str">
        <f>AY$17</f>
        <v/>
      </c>
      <c r="AZ323" s="258" t="str">
        <f t="shared" ref="AZ323:BG323" si="401">AZ$17</f>
        <v/>
      </c>
      <c r="BA323" s="258" t="str">
        <f t="shared" si="401"/>
        <v/>
      </c>
      <c r="BB323" s="258" t="str">
        <f t="shared" si="401"/>
        <v/>
      </c>
      <c r="BC323" s="258" t="str">
        <f t="shared" si="401"/>
        <v/>
      </c>
      <c r="BD323" s="258" t="str">
        <f t="shared" si="401"/>
        <v/>
      </c>
      <c r="BE323" s="258" t="str">
        <f t="shared" si="401"/>
        <v/>
      </c>
      <c r="BF323" s="258" t="str">
        <f t="shared" si="401"/>
        <v/>
      </c>
      <c r="BG323" s="258" t="str">
        <f t="shared" si="401"/>
        <v/>
      </c>
      <c r="BH323" s="36"/>
    </row>
    <row r="324" spans="1:60">
      <c r="A324" s="1040"/>
      <c r="B324" s="1109" t="s">
        <v>1223</v>
      </c>
      <c r="C324" s="1107" t="s">
        <v>104</v>
      </c>
      <c r="D324" s="641"/>
      <c r="E324" s="203" t="s">
        <v>275</v>
      </c>
      <c r="F324" s="203"/>
      <c r="G324" s="203"/>
      <c r="H324" s="204" t="s">
        <v>154</v>
      </c>
      <c r="I324" s="205"/>
      <c r="J324" s="206"/>
      <c r="K324" s="79"/>
      <c r="L324" s="79"/>
      <c r="M324" s="206"/>
      <c r="N324" s="205"/>
      <c r="O324" s="1155" t="str" cm="1">
        <f t="array" ref="O324">IF(OR(O$17="",O$38="",O$40="",O$322=""),"",
IF(O$32&lt;=INDEX(BENG1_eis_grenswaarde_1,O$322),
      INDEX(BENG1_eis_Als_deeldoor_Ag_kleiner_dan_grenswaarde_1,O$322),
IF(O$32&lt;=INDEX(BENG1_eis_grenswaarde_2,O$322),
      INDEX(BENG1_eis_C1,O$322) + INDEX(BENG1_eis_C2,O$322) * (O$32 - INDEX(BENG1_eis_C3,O$322) ),
      INDEX(BENG1_eis_C4,O$322)  + INDEX(BENG1_eis_C5,O$322) * (O$32 - INDEX(BENG1_eis_C6,O$322) ))))</f>
        <v/>
      </c>
      <c r="P324" s="1155" t="str" cm="1">
        <f t="array" ref="P324">IF(OR(P$17="",P$38="",P$40="",P$322=""),"",
IF(P$32&lt;=INDEX(BENG1_eis_grenswaarde_1,P$322),
      INDEX(BENG1_eis_Als_deeldoor_Ag_kleiner_dan_grenswaarde_1,P$322),
IF(P$32&lt;=INDEX(BENG1_eis_grenswaarde_2,P$322),
      INDEX(BENG1_eis_C1,P$322) + INDEX(BENG1_eis_C2,P$322) * (P$32 - INDEX(BENG1_eis_C3,P$322) ),
      INDEX(BENG1_eis_C4,P$322)  + INDEX(BENG1_eis_C5,P$322) * (P$32 - INDEX(BENG1_eis_C6,P$322) ))))</f>
        <v/>
      </c>
      <c r="Q324" s="1155" t="str" cm="1">
        <f t="array" ref="Q324">IF(OR(Q$17="",Q$38="",Q$40="",Q$322=""),"",
IF(Q$32&lt;=INDEX(BENG1_eis_grenswaarde_1,Q$322),
      INDEX(BENG1_eis_Als_deeldoor_Ag_kleiner_dan_grenswaarde_1,Q$322),
IF(Q$32&lt;=INDEX(BENG1_eis_grenswaarde_2,Q$322),
      INDEX(BENG1_eis_C1,Q$322) + INDEX(BENG1_eis_C2,Q$322) * (Q$32 - INDEX(BENG1_eis_C3,Q$322) ),
      INDEX(BENG1_eis_C4,Q$322)  + INDEX(BENG1_eis_C5,Q$322) * (Q$32 - INDEX(BENG1_eis_C6,Q$322) ))))</f>
        <v/>
      </c>
      <c r="R324" s="1155" t="str" cm="1">
        <f t="array" ref="R324">IF(OR(R$17="",R$38="",R$40="",R$322=""),"",
IF(R$32&lt;=INDEX(BENG1_eis_grenswaarde_1,R$322),
      INDEX(BENG1_eis_Als_deeldoor_Ag_kleiner_dan_grenswaarde_1,R$322),
IF(R$32&lt;=INDEX(BENG1_eis_grenswaarde_2,R$322),
      INDEX(BENG1_eis_C1,R$322) + INDEX(BENG1_eis_C2,R$322) * (R$32 - INDEX(BENG1_eis_C3,R$322) ),
      INDEX(BENG1_eis_C4,R$322)  + INDEX(BENG1_eis_C5,R$322) * (R$32 - INDEX(BENG1_eis_C6,R$322) ))))</f>
        <v/>
      </c>
      <c r="S324" s="1155" t="str" cm="1">
        <f t="array" ref="S324">IF(OR(S$17="",S$38="",S$40="",S$322=""),"",
IF(S$32&lt;=INDEX(BENG1_eis_grenswaarde_1,S$322),
      INDEX(BENG1_eis_Als_deeldoor_Ag_kleiner_dan_grenswaarde_1,S$322),
IF(S$32&lt;=INDEX(BENG1_eis_grenswaarde_2,S$322),
      INDEX(BENG1_eis_C1,S$322) + INDEX(BENG1_eis_C2,S$322) * (S$32 - INDEX(BENG1_eis_C3,S$322) ),
      INDEX(BENG1_eis_C4,S$322)  + INDEX(BENG1_eis_C5,S$322) * (S$32 - INDEX(BENG1_eis_C6,S$322) ))))</f>
        <v/>
      </c>
      <c r="T324" s="1155" t="str" cm="1">
        <f t="array" ref="T324">IF(OR(T$17="",T$38="",T$40="",T$322=""),"",
IF(T$32&lt;=INDEX(BENG1_eis_grenswaarde_1,T$322),
      INDEX(BENG1_eis_Als_deeldoor_Ag_kleiner_dan_grenswaarde_1,T$322),
IF(T$32&lt;=INDEX(BENG1_eis_grenswaarde_2,T$322),
      INDEX(BENG1_eis_C1,T$322) + INDEX(BENG1_eis_C2,T$322) * (T$32 - INDEX(BENG1_eis_C3,T$322) ),
      INDEX(BENG1_eis_C4,T$322)  + INDEX(BENG1_eis_C5,T$322) * (T$32 - INDEX(BENG1_eis_C6,T$322) ))))</f>
        <v/>
      </c>
      <c r="U324" s="1155" t="str" cm="1">
        <f t="array" ref="U324">IF(OR(U$17="",U$38="",U$40="",U$322=""),"",
IF(U$32&lt;=INDEX(BENG1_eis_grenswaarde_1,U$322),
      INDEX(BENG1_eis_Als_deeldoor_Ag_kleiner_dan_grenswaarde_1,U$322),
IF(U$32&lt;=INDEX(BENG1_eis_grenswaarde_2,U$322),
      INDEX(BENG1_eis_C1,U$322) + INDEX(BENG1_eis_C2,U$322) * (U$32 - INDEX(BENG1_eis_C3,U$322) ),
      INDEX(BENG1_eis_C4,U$322)  + INDEX(BENG1_eis_C5,U$322) * (U$32 - INDEX(BENG1_eis_C6,U$322) ))))</f>
        <v/>
      </c>
      <c r="V324" s="1155" t="str" cm="1">
        <f t="array" ref="V324">IF(OR(V$17="",V$38="",V$40="",V$322=""),"",
IF(V$32&lt;=INDEX(BENG1_eis_grenswaarde_1,V$322),
      INDEX(BENG1_eis_Als_deeldoor_Ag_kleiner_dan_grenswaarde_1,V$322),
IF(V$32&lt;=INDEX(BENG1_eis_grenswaarde_2,V$322),
      INDEX(BENG1_eis_C1,V$322) + INDEX(BENG1_eis_C2,V$322) * (V$32 - INDEX(BENG1_eis_C3,V$322) ),
      INDEX(BENG1_eis_C4,V$322)  + INDEX(BENG1_eis_C5,V$322) * (V$32 - INDEX(BENG1_eis_C6,V$322) ))))</f>
        <v/>
      </c>
      <c r="W324" s="1155" t="str" cm="1">
        <f t="array" ref="W324">IF(OR(W$17="",W$38="",W$40="",W$322=""),"",
IF(W$32&lt;=INDEX(BENG1_eis_grenswaarde_1,W$322),
      INDEX(BENG1_eis_Als_deeldoor_Ag_kleiner_dan_grenswaarde_1,W$322),
IF(W$32&lt;=INDEX(BENG1_eis_grenswaarde_2,W$322),
      INDEX(BENG1_eis_C1,W$322) + INDEX(BENG1_eis_C2,W$322) * (W$32 - INDEX(BENG1_eis_C3,W$322) ),
      INDEX(BENG1_eis_C4,W$322)  + INDEX(BENG1_eis_C5,W$322) * (W$32 - INDEX(BENG1_eis_C6,W$322) ))))</f>
        <v/>
      </c>
      <c r="X324" s="108"/>
      <c r="Y324" s="206"/>
      <c r="Z324" s="1091"/>
      <c r="AA324" s="542" t="str" cm="1">
        <f t="array" ref="AA324">IF(OR(AA$17="",AA$38="",AA$40="",AA$322=""),"",
IF(AA$32&lt;=INDEX(BENG1_eis_grenswaarde_1,AA$322),
      INDEX(BENG1_eis_Als_deeldoor_Ag_kleiner_dan_grenswaarde_1,AA$322),
IF(AA$32&lt;=INDEX(BENG1_eis_grenswaarde_2,AA$322),
      INDEX(BENG1_eis_C1,AA$322) + INDEX(BENG1_eis_C2,AA$322) * (AA$32 - INDEX(BENG1_eis_C3,AA$322) ),
      INDEX(BENG1_eis_C4,AA$322)  + INDEX(BENG1_eis_C5,AA$322) * (AA$32 - INDEX(BENG1_eis_C6,AA$322) ))))</f>
        <v/>
      </c>
      <c r="AB324" s="542" t="str" cm="1">
        <f t="array" ref="AB324">IF(OR(AB$17="",AB$38="",AB$40="",AB$322=""),"",
IF(AB$32&lt;=INDEX(BENG1_eis_grenswaarde_1,AB$322),
      INDEX(BENG1_eis_Als_deeldoor_Ag_kleiner_dan_grenswaarde_1,AB$322),
IF(AB$32&lt;=INDEX(BENG1_eis_grenswaarde_2,AB$322),
      INDEX(BENG1_eis_C1,AB$322) + INDEX(BENG1_eis_C2,AB$322) * (AB$32 - INDEX(BENG1_eis_C3,AB$322) ),
      INDEX(BENG1_eis_C4,AB$322)  + INDEX(BENG1_eis_C5,AB$322) * (AB$32 - INDEX(BENG1_eis_C6,AB$322) ))))</f>
        <v/>
      </c>
      <c r="AC324" s="542" t="str" cm="1">
        <f t="array" ref="AC324">IF(OR(AC$17="",AC$38="",AC$40="",AC$322=""),"",
IF(AC$32&lt;=INDEX(BENG1_eis_grenswaarde_1,AC$322),
      INDEX(BENG1_eis_Als_deeldoor_Ag_kleiner_dan_grenswaarde_1,AC$322),
IF(AC$32&lt;=INDEX(BENG1_eis_grenswaarde_2,AC$322),
      INDEX(BENG1_eis_C1,AC$322) + INDEX(BENG1_eis_C2,AC$322) * (AC$32 - INDEX(BENG1_eis_C3,AC$322) ),
      INDEX(BENG1_eis_C4,AC$322)  + INDEX(BENG1_eis_C5,AC$322) * (AC$32 - INDEX(BENG1_eis_C6,AC$322) ))))</f>
        <v/>
      </c>
      <c r="AD324" s="542" t="str" cm="1">
        <f t="array" ref="AD324">IF(OR(AD$17="",AD$38="",AD$40="",AD$322=""),"",
IF(AD$32&lt;=INDEX(BENG1_eis_grenswaarde_1,AD$322),
      INDEX(BENG1_eis_Als_deeldoor_Ag_kleiner_dan_grenswaarde_1,AD$322),
IF(AD$32&lt;=INDEX(BENG1_eis_grenswaarde_2,AD$322),
      INDEX(BENG1_eis_C1,AD$322) + INDEX(BENG1_eis_C2,AD$322) * (AD$32 - INDEX(BENG1_eis_C3,AD$322) ),
      INDEX(BENG1_eis_C4,AD$322)  + INDEX(BENG1_eis_C5,AD$322) * (AD$32 - INDEX(BENG1_eis_C6,AD$322) ))))</f>
        <v/>
      </c>
      <c r="AE324" s="542" t="str" cm="1">
        <f t="array" ref="AE324">IF(OR(AE$17="",AE$38="",AE$40="",AE$322=""),"",
IF(AE$32&lt;=INDEX(BENG1_eis_grenswaarde_1,AE$322),
      INDEX(BENG1_eis_Als_deeldoor_Ag_kleiner_dan_grenswaarde_1,AE$322),
IF(AE$32&lt;=INDEX(BENG1_eis_grenswaarde_2,AE$322),
      INDEX(BENG1_eis_C1,AE$322) + INDEX(BENG1_eis_C2,AE$322) * (AE$32 - INDEX(BENG1_eis_C3,AE$322) ),
      INDEX(BENG1_eis_C4,AE$322)  + INDEX(BENG1_eis_C5,AE$322) * (AE$32 - INDEX(BENG1_eis_C6,AE$322) ))))</f>
        <v/>
      </c>
      <c r="AF324" s="542" t="str" cm="1">
        <f t="array" ref="AF324">IF(OR(AF$17="",AF$38="",AF$40="",AF$322=""),"",
IF(AF$32&lt;=INDEX(BENG1_eis_grenswaarde_1,AF$322),
      INDEX(BENG1_eis_Als_deeldoor_Ag_kleiner_dan_grenswaarde_1,AF$322),
IF(AF$32&lt;=INDEX(BENG1_eis_grenswaarde_2,AF$322),
      INDEX(BENG1_eis_C1,AF$322) + INDEX(BENG1_eis_C2,AF$322) * (AF$32 - INDEX(BENG1_eis_C3,AF$322) ),
      INDEX(BENG1_eis_C4,AF$322)  + INDEX(BENG1_eis_C5,AF$322) * (AF$32 - INDEX(BENG1_eis_C6,AF$322) ))))</f>
        <v/>
      </c>
      <c r="AG324" s="542" t="str" cm="1">
        <f t="array" ref="AG324">IF(OR(AG$17="",AG$38="",AG$40="",AG$322=""),"",
IF(AG$32&lt;=INDEX(BENG1_eis_grenswaarde_1,AG$322),
      INDEX(BENG1_eis_Als_deeldoor_Ag_kleiner_dan_grenswaarde_1,AG$322),
IF(AG$32&lt;=INDEX(BENG1_eis_grenswaarde_2,AG$322),
      INDEX(BENG1_eis_C1,AG$322) + INDEX(BENG1_eis_C2,AG$322) * (AG$32 - INDEX(BENG1_eis_C3,AG$322) ),
      INDEX(BENG1_eis_C4,AG$322)  + INDEX(BENG1_eis_C5,AG$322) * (AG$32 - INDEX(BENG1_eis_C6,AG$322) ))))</f>
        <v/>
      </c>
      <c r="AH324" s="542" t="str" cm="1">
        <f t="array" ref="AH324">IF(OR(AH$17="",AH$38="",AH$40="",AH$322=""),"",
IF(AH$32&lt;=INDEX(BENG1_eis_grenswaarde_1,AH$322),
      INDEX(BENG1_eis_Als_deeldoor_Ag_kleiner_dan_grenswaarde_1,AH$322),
IF(AH$32&lt;=INDEX(BENG1_eis_grenswaarde_2,AH$322),
      INDEX(BENG1_eis_C1,AH$322) + INDEX(BENG1_eis_C2,AH$322) * (AH$32 - INDEX(BENG1_eis_C3,AH$322) ),
      INDEX(BENG1_eis_C4,AH$322)  + INDEX(BENG1_eis_C5,AH$322) * (AH$32 - INDEX(BENG1_eis_C6,AH$322) ))))</f>
        <v/>
      </c>
      <c r="AI324" s="542" t="str" cm="1">
        <f t="array" ref="AI324">IF(OR(AI$17="",AI$38="",AI$40="",AI$322=""),"",
IF(AI$32&lt;=INDEX(BENG1_eis_grenswaarde_1,AI$322),
      INDEX(BENG1_eis_Als_deeldoor_Ag_kleiner_dan_grenswaarde_1,AI$322),
IF(AI$32&lt;=INDEX(BENG1_eis_grenswaarde_2,AI$322),
      INDEX(BENG1_eis_C1,AI$322) + INDEX(BENG1_eis_C2,AI$322) * (AI$32 - INDEX(BENG1_eis_C3,AI$322) ),
      INDEX(BENG1_eis_C4,AI$322)  + INDEX(BENG1_eis_C5,AI$322) * (AI$32 - INDEX(BENG1_eis_C6,AI$322) ))))</f>
        <v/>
      </c>
      <c r="AJ324" s="108"/>
      <c r="AK324" s="206"/>
      <c r="AL324" s="1091"/>
      <c r="AM324" s="542" t="str" cm="1">
        <f t="array" ref="AM324">IF(OR(AM$17="",AM$38="",AM$40="",AM$322=""),"",
IF(AM$32&lt;=INDEX(BENG1_eis_grenswaarde_1,AM$322),
      INDEX(BENG1_eis_Als_deeldoor_Ag_kleiner_dan_grenswaarde_1,AM$322),
IF(AM$32&lt;=INDEX(BENG1_eis_grenswaarde_2,AM$322),
      INDEX(BENG1_eis_C1,AM$322) + INDEX(BENG1_eis_C2,AM$322) * (AM$32 - INDEX(BENG1_eis_C3,AM$322) ),
      INDEX(BENG1_eis_C4,AM$322)  + INDEX(BENG1_eis_C5,AM$322) * (AM$32 - INDEX(BENG1_eis_C6,AM$322) ))))</f>
        <v/>
      </c>
      <c r="AN324" s="542" t="str" cm="1">
        <f t="array" ref="AN324">IF(OR(AN$17="",AN$38="",AN$40="",AN$322=""),"",
IF(AN$32&lt;=INDEX(BENG1_eis_grenswaarde_1,AN$322),
      INDEX(BENG1_eis_Als_deeldoor_Ag_kleiner_dan_grenswaarde_1,AN$322),
IF(AN$32&lt;=INDEX(BENG1_eis_grenswaarde_2,AN$322),
      INDEX(BENG1_eis_C1,AN$322) + INDEX(BENG1_eis_C2,AN$322) * (AN$32 - INDEX(BENG1_eis_C3,AN$322) ),
      INDEX(BENG1_eis_C4,AN$322)  + INDEX(BENG1_eis_C5,AN$322) * (AN$32 - INDEX(BENG1_eis_C6,AN$322) ))))</f>
        <v/>
      </c>
      <c r="AO324" s="542" t="str" cm="1">
        <f t="array" ref="AO324">IF(OR(AO$17="",AO$38="",AO$40="",AO$322=""),"",
IF(AO$32&lt;=INDEX(BENG1_eis_grenswaarde_1,AO$322),
      INDEX(BENG1_eis_Als_deeldoor_Ag_kleiner_dan_grenswaarde_1,AO$322),
IF(AO$32&lt;=INDEX(BENG1_eis_grenswaarde_2,AO$322),
      INDEX(BENG1_eis_C1,AO$322) + INDEX(BENG1_eis_C2,AO$322) * (AO$32 - INDEX(BENG1_eis_C3,AO$322) ),
      INDEX(BENG1_eis_C4,AO$322)  + INDEX(BENG1_eis_C5,AO$322) * (AO$32 - INDEX(BENG1_eis_C6,AO$322) ))))</f>
        <v/>
      </c>
      <c r="AP324" s="542" t="str" cm="1">
        <f t="array" ref="AP324">IF(OR(AP$17="",AP$38="",AP$40="",AP$322=""),"",
IF(AP$32&lt;=INDEX(BENG1_eis_grenswaarde_1,AP$322),
      INDEX(BENG1_eis_Als_deeldoor_Ag_kleiner_dan_grenswaarde_1,AP$322),
IF(AP$32&lt;=INDEX(BENG1_eis_grenswaarde_2,AP$322),
      INDEX(BENG1_eis_C1,AP$322) + INDEX(BENG1_eis_C2,AP$322) * (AP$32 - INDEX(BENG1_eis_C3,AP$322) ),
      INDEX(BENG1_eis_C4,AP$322)  + INDEX(BENG1_eis_C5,AP$322) * (AP$32 - INDEX(BENG1_eis_C6,AP$322) ))))</f>
        <v/>
      </c>
      <c r="AQ324" s="542" t="str" cm="1">
        <f t="array" ref="AQ324">IF(OR(AQ$17="",AQ$38="",AQ$40="",AQ$322=""),"",
IF(AQ$32&lt;=INDEX(BENG1_eis_grenswaarde_1,AQ$322),
      INDEX(BENG1_eis_Als_deeldoor_Ag_kleiner_dan_grenswaarde_1,AQ$322),
IF(AQ$32&lt;=INDEX(BENG1_eis_grenswaarde_2,AQ$322),
      INDEX(BENG1_eis_C1,AQ$322) + INDEX(BENG1_eis_C2,AQ$322) * (AQ$32 - INDEX(BENG1_eis_C3,AQ$322) ),
      INDEX(BENG1_eis_C4,AQ$322)  + INDEX(BENG1_eis_C5,AQ$322) * (AQ$32 - INDEX(BENG1_eis_C6,AQ$322) ))))</f>
        <v/>
      </c>
      <c r="AR324" s="542" t="str" cm="1">
        <f t="array" ref="AR324">IF(OR(AR$17="",AR$38="",AR$40="",AR$322=""),"",
IF(AR$32&lt;=INDEX(BENG1_eis_grenswaarde_1,AR$322),
      INDEX(BENG1_eis_Als_deeldoor_Ag_kleiner_dan_grenswaarde_1,AR$322),
IF(AR$32&lt;=INDEX(BENG1_eis_grenswaarde_2,AR$322),
      INDEX(BENG1_eis_C1,AR$322) + INDEX(BENG1_eis_C2,AR$322) * (AR$32 - INDEX(BENG1_eis_C3,AR$322) ),
      INDEX(BENG1_eis_C4,AR$322)  + INDEX(BENG1_eis_C5,AR$322) * (AR$32 - INDEX(BENG1_eis_C6,AR$322) ))))</f>
        <v/>
      </c>
      <c r="AS324" s="542" t="str" cm="1">
        <f t="array" ref="AS324">IF(OR(AS$17="",AS$38="",AS$40="",AS$322=""),"",
IF(AS$32&lt;=INDEX(BENG1_eis_grenswaarde_1,AS$322),
      INDEX(BENG1_eis_Als_deeldoor_Ag_kleiner_dan_grenswaarde_1,AS$322),
IF(AS$32&lt;=INDEX(BENG1_eis_grenswaarde_2,AS$322),
      INDEX(BENG1_eis_C1,AS$322) + INDEX(BENG1_eis_C2,AS$322) * (AS$32 - INDEX(BENG1_eis_C3,AS$322) ),
      INDEX(BENG1_eis_C4,AS$322)  + INDEX(BENG1_eis_C5,AS$322) * (AS$32 - INDEX(BENG1_eis_C6,AS$322) ))))</f>
        <v/>
      </c>
      <c r="AT324" s="542" t="str" cm="1">
        <f t="array" ref="AT324">IF(OR(AT$17="",AT$38="",AT$40="",AT$322=""),"",
IF(AT$32&lt;=INDEX(BENG1_eis_grenswaarde_1,AT$322),
      INDEX(BENG1_eis_Als_deeldoor_Ag_kleiner_dan_grenswaarde_1,AT$322),
IF(AT$32&lt;=INDEX(BENG1_eis_grenswaarde_2,AT$322),
      INDEX(BENG1_eis_C1,AT$322) + INDEX(BENG1_eis_C2,AT$322) * (AT$32 - INDEX(BENG1_eis_C3,AT$322) ),
      INDEX(BENG1_eis_C4,AT$322)  + INDEX(BENG1_eis_C5,AT$322) * (AT$32 - INDEX(BENG1_eis_C6,AT$322) ))))</f>
        <v/>
      </c>
      <c r="AU324" s="542" t="str" cm="1">
        <f t="array" ref="AU324">IF(OR(AU$17="",AU$38="",AU$40="",AU$322=""),"",
IF(AU$32&lt;=INDEX(BENG1_eis_grenswaarde_1,AU$322),
      INDEX(BENG1_eis_Als_deeldoor_Ag_kleiner_dan_grenswaarde_1,AU$322),
IF(AU$32&lt;=INDEX(BENG1_eis_grenswaarde_2,AU$322),
      INDEX(BENG1_eis_C1,AU$322) + INDEX(BENG1_eis_C2,AU$322) * (AU$32 - INDEX(BENG1_eis_C3,AU$322) ),
      INDEX(BENG1_eis_C4,AU$322)  + INDEX(BENG1_eis_C5,AU$322) * (AU$32 - INDEX(BENG1_eis_C6,AU$322) ))))</f>
        <v/>
      </c>
      <c r="AV324" s="108"/>
      <c r="AW324" s="206"/>
      <c r="AX324" s="1091"/>
      <c r="AY324" s="542" t="str" cm="1">
        <f t="array" ref="AY324">IF(OR(AY$17="",AY$38="",AY$40="",AY$322=""),"",
IF(AY$32&lt;=INDEX(BENG1_eis_grenswaarde_1,AY$322),
      INDEX(BENG1_eis_Als_deeldoor_Ag_kleiner_dan_grenswaarde_1,AY$322),
IF(AY$32&lt;=INDEX(BENG1_eis_grenswaarde_2,AY$322),
      INDEX(BENG1_eis_C1,AY$322) + INDEX(BENG1_eis_C2,AY$322) * (AY$32 - INDEX(BENG1_eis_C3,AY$322) ),
      INDEX(BENG1_eis_C4,AY$322)  + INDEX(BENG1_eis_C5,AY$322) * (AY$32 - INDEX(BENG1_eis_C6,AY$322) ))))</f>
        <v/>
      </c>
      <c r="AZ324" s="542" t="str" cm="1">
        <f t="array" ref="AZ324">IF(OR(AZ$17="",AZ$38="",AZ$40="",AZ$322=""),"",
IF(AZ$32&lt;=INDEX(BENG1_eis_grenswaarde_1,AZ$322),
      INDEX(BENG1_eis_Als_deeldoor_Ag_kleiner_dan_grenswaarde_1,AZ$322),
IF(AZ$32&lt;=INDEX(BENG1_eis_grenswaarde_2,AZ$322),
      INDEX(BENG1_eis_C1,AZ$322) + INDEX(BENG1_eis_C2,AZ$322) * (AZ$32 - INDEX(BENG1_eis_C3,AZ$322) ),
      INDEX(BENG1_eis_C4,AZ$322)  + INDEX(BENG1_eis_C5,AZ$322) * (AZ$32 - INDEX(BENG1_eis_C6,AZ$322) ))))</f>
        <v/>
      </c>
      <c r="BA324" s="542" t="str" cm="1">
        <f t="array" ref="BA324">IF(OR(BA$17="",BA$38="",BA$40="",BA$322=""),"",
IF(BA$32&lt;=INDEX(BENG1_eis_grenswaarde_1,BA$322),
      INDEX(BENG1_eis_Als_deeldoor_Ag_kleiner_dan_grenswaarde_1,BA$322),
IF(BA$32&lt;=INDEX(BENG1_eis_grenswaarde_2,BA$322),
      INDEX(BENG1_eis_C1,BA$322) + INDEX(BENG1_eis_C2,BA$322) * (BA$32 - INDEX(BENG1_eis_C3,BA$322) ),
      INDEX(BENG1_eis_C4,BA$322)  + INDEX(BENG1_eis_C5,BA$322) * (BA$32 - INDEX(BENG1_eis_C6,BA$322) ))))</f>
        <v/>
      </c>
      <c r="BB324" s="542" t="str" cm="1">
        <f t="array" ref="BB324">IF(OR(BB$17="",BB$38="",BB$40="",BB$322=""),"",
IF(BB$32&lt;=INDEX(BENG1_eis_grenswaarde_1,BB$322),
      INDEX(BENG1_eis_Als_deeldoor_Ag_kleiner_dan_grenswaarde_1,BB$322),
IF(BB$32&lt;=INDEX(BENG1_eis_grenswaarde_2,BB$322),
      INDEX(BENG1_eis_C1,BB$322) + INDEX(BENG1_eis_C2,BB$322) * (BB$32 - INDEX(BENG1_eis_C3,BB$322) ),
      INDEX(BENG1_eis_C4,BB$322)  + INDEX(BENG1_eis_C5,BB$322) * (BB$32 - INDEX(BENG1_eis_C6,BB$322) ))))</f>
        <v/>
      </c>
      <c r="BC324" s="542" t="str" cm="1">
        <f t="array" ref="BC324">IF(OR(BC$17="",BC$38="",BC$40="",BC$322=""),"",
IF(BC$32&lt;=INDEX(BENG1_eis_grenswaarde_1,BC$322),
      INDEX(BENG1_eis_Als_deeldoor_Ag_kleiner_dan_grenswaarde_1,BC$322),
IF(BC$32&lt;=INDEX(BENG1_eis_grenswaarde_2,BC$322),
      INDEX(BENG1_eis_C1,BC$322) + INDEX(BENG1_eis_C2,BC$322) * (BC$32 - INDEX(BENG1_eis_C3,BC$322) ),
      INDEX(BENG1_eis_C4,BC$322)  + INDEX(BENG1_eis_C5,BC$322) * (BC$32 - INDEX(BENG1_eis_C6,BC$322) ))))</f>
        <v/>
      </c>
      <c r="BD324" s="542" t="str" cm="1">
        <f t="array" ref="BD324">IF(OR(BD$17="",BD$38="",BD$40="",BD$322=""),"",
IF(BD$32&lt;=INDEX(BENG1_eis_grenswaarde_1,BD$322),
      INDEX(BENG1_eis_Als_deeldoor_Ag_kleiner_dan_grenswaarde_1,BD$322),
IF(BD$32&lt;=INDEX(BENG1_eis_grenswaarde_2,BD$322),
      INDEX(BENG1_eis_C1,BD$322) + INDEX(BENG1_eis_C2,BD$322) * (BD$32 - INDEX(BENG1_eis_C3,BD$322) ),
      INDEX(BENG1_eis_C4,BD$322)  + INDEX(BENG1_eis_C5,BD$322) * (BD$32 - INDEX(BENG1_eis_C6,BD$322) ))))</f>
        <v/>
      </c>
      <c r="BE324" s="542" t="str" cm="1">
        <f t="array" ref="BE324">IF(OR(BE$17="",BE$38="",BE$40="",BE$322=""),"",
IF(BE$32&lt;=INDEX(BENG1_eis_grenswaarde_1,BE$322),
      INDEX(BENG1_eis_Als_deeldoor_Ag_kleiner_dan_grenswaarde_1,BE$322),
IF(BE$32&lt;=INDEX(BENG1_eis_grenswaarde_2,BE$322),
      INDEX(BENG1_eis_C1,BE$322) + INDEX(BENG1_eis_C2,BE$322) * (BE$32 - INDEX(BENG1_eis_C3,BE$322) ),
      INDEX(BENG1_eis_C4,BE$322)  + INDEX(BENG1_eis_C5,BE$322) * (BE$32 - INDEX(BENG1_eis_C6,BE$322) ))))</f>
        <v/>
      </c>
      <c r="BF324" s="542" t="str" cm="1">
        <f t="array" ref="BF324">IF(OR(BF$17="",BF$38="",BF$40="",BF$322=""),"",
IF(BF$32&lt;=INDEX(BENG1_eis_grenswaarde_1,BF$322),
      INDEX(BENG1_eis_Als_deeldoor_Ag_kleiner_dan_grenswaarde_1,BF$322),
IF(BF$32&lt;=INDEX(BENG1_eis_grenswaarde_2,BF$322),
      INDEX(BENG1_eis_C1,BF$322) + INDEX(BENG1_eis_C2,BF$322) * (BF$32 - INDEX(BENG1_eis_C3,BF$322) ),
      INDEX(BENG1_eis_C4,BF$322)  + INDEX(BENG1_eis_C5,BF$322) * (BF$32 - INDEX(BENG1_eis_C6,BF$322) ))))</f>
        <v/>
      </c>
      <c r="BG324" s="542" t="str" cm="1">
        <f t="array" ref="BG324">IF(OR(BG$17="",BG$38="",BG$40="",BG$322=""),"",
IF(BG$32&lt;=INDEX(BENG1_eis_grenswaarde_1,BG$322),
      INDEX(BENG1_eis_Als_deeldoor_Ag_kleiner_dan_grenswaarde_1,BG$322),
IF(BG$32&lt;=INDEX(BENG1_eis_grenswaarde_2,BG$322),
      INDEX(BENG1_eis_C1,BG$322) + INDEX(BENG1_eis_C2,BG$322) * (BG$32 - INDEX(BENG1_eis_C3,BG$322) ),
      INDEX(BENG1_eis_C4,BG$322)  + INDEX(BENG1_eis_C5,BG$322) * (BG$32 - INDEX(BENG1_eis_C6,BG$322) ))))</f>
        <v/>
      </c>
      <c r="BH324" s="210"/>
    </row>
    <row r="325" spans="1:60">
      <c r="A325" s="1040"/>
      <c r="B325" s="1109" t="s">
        <v>1223</v>
      </c>
      <c r="C325" s="1107" t="s">
        <v>104</v>
      </c>
      <c r="D325" s="641"/>
      <c r="E325" s="203" t="s">
        <v>276</v>
      </c>
      <c r="F325" s="203"/>
      <c r="G325" s="203"/>
      <c r="H325" s="204" t="s">
        <v>267</v>
      </c>
      <c r="I325" s="205"/>
      <c r="J325" s="206"/>
      <c r="K325" s="79"/>
      <c r="L325" s="79"/>
      <c r="M325" s="206"/>
      <c r="N325" s="205"/>
      <c r="O325" s="1155" t="str" cm="1">
        <f t="array" ref="O325">IF(O$322="","",INDEX(BENG2_eis,O$322))</f>
        <v/>
      </c>
      <c r="P325" s="1155" t="str" cm="1">
        <f t="array" ref="P325">IF(P$322="","",INDEX(BENG2_eis,P$322))</f>
        <v/>
      </c>
      <c r="Q325" s="1155" t="str" cm="1">
        <f t="array" ref="Q325">IF(Q$322="","",INDEX(BENG2_eis,Q$322))</f>
        <v/>
      </c>
      <c r="R325" s="1155" t="str" cm="1">
        <f t="array" ref="R325">IF(R$322="","",INDEX(BENG2_eis,R$322))</f>
        <v/>
      </c>
      <c r="S325" s="1155" t="str" cm="1">
        <f t="array" ref="S325">IF(S$322="","",INDEX(BENG2_eis,S$322))</f>
        <v/>
      </c>
      <c r="T325" s="1155" t="str" cm="1">
        <f t="array" ref="T325">IF(T$322="","",INDEX(BENG2_eis,T$322))</f>
        <v/>
      </c>
      <c r="U325" s="1155" t="str" cm="1">
        <f t="array" ref="U325">IF(U$322="","",INDEX(BENG2_eis,U$322))</f>
        <v/>
      </c>
      <c r="V325" s="1155" t="str" cm="1">
        <f t="array" ref="V325">IF(V$322="","",INDEX(BENG2_eis,V$322))</f>
        <v/>
      </c>
      <c r="W325" s="1155" t="str" cm="1">
        <f t="array" ref="W325">IF(W$322="","",INDEX(BENG2_eis,W$322))</f>
        <v/>
      </c>
      <c r="X325" s="108"/>
      <c r="Y325" s="206"/>
      <c r="Z325" s="1091"/>
      <c r="AA325" s="542" t="str" cm="1">
        <f t="array" ref="AA325">IF(AA$322="","",INDEX(BENG2_eis,AA$322))</f>
        <v/>
      </c>
      <c r="AB325" s="542" t="str" cm="1">
        <f t="array" ref="AB325">IF(AB$322="","",INDEX(BENG2_eis,AB$322))</f>
        <v/>
      </c>
      <c r="AC325" s="542" t="str" cm="1">
        <f t="array" ref="AC325">IF(AC$322="","",INDEX(BENG2_eis,AC$322))</f>
        <v/>
      </c>
      <c r="AD325" s="542" t="str" cm="1">
        <f t="array" ref="AD325">IF(AD$322="","",INDEX(BENG2_eis,AD$322))</f>
        <v/>
      </c>
      <c r="AE325" s="542" t="str" cm="1">
        <f t="array" ref="AE325">IF(AE$322="","",INDEX(BENG2_eis,AE$322))</f>
        <v/>
      </c>
      <c r="AF325" s="542" t="str" cm="1">
        <f t="array" ref="AF325">IF(AF$322="","",INDEX(BENG2_eis,AF$322))</f>
        <v/>
      </c>
      <c r="AG325" s="542" t="str" cm="1">
        <f t="array" ref="AG325">IF(AG$322="","",INDEX(BENG2_eis,AG$322))</f>
        <v/>
      </c>
      <c r="AH325" s="542" t="str" cm="1">
        <f t="array" ref="AH325">IF(AH$322="","",INDEX(BENG2_eis,AH$322))</f>
        <v/>
      </c>
      <c r="AI325" s="542" t="str" cm="1">
        <f t="array" ref="AI325">IF(AI$322="","",INDEX(BENG2_eis,AI$322))</f>
        <v/>
      </c>
      <c r="AJ325" s="108"/>
      <c r="AK325" s="206"/>
      <c r="AL325" s="1091"/>
      <c r="AM325" s="542" t="str" cm="1">
        <f t="array" ref="AM325">IF(AM$322="","",INDEX(BENG2_eis,AM$322))</f>
        <v/>
      </c>
      <c r="AN325" s="542" t="str" cm="1">
        <f t="array" ref="AN325">IF(AN$322="","",INDEX(BENG2_eis,AN$322))</f>
        <v/>
      </c>
      <c r="AO325" s="542" t="str" cm="1">
        <f t="array" ref="AO325">IF(AO$322="","",INDEX(BENG2_eis,AO$322))</f>
        <v/>
      </c>
      <c r="AP325" s="542" t="str" cm="1">
        <f t="array" ref="AP325">IF(AP$322="","",INDEX(BENG2_eis,AP$322))</f>
        <v/>
      </c>
      <c r="AQ325" s="542" t="str" cm="1">
        <f t="array" ref="AQ325">IF(AQ$322="","",INDEX(BENG2_eis,AQ$322))</f>
        <v/>
      </c>
      <c r="AR325" s="542" t="str" cm="1">
        <f t="array" ref="AR325">IF(AR$322="","",INDEX(BENG2_eis,AR$322))</f>
        <v/>
      </c>
      <c r="AS325" s="542" t="str" cm="1">
        <f t="array" ref="AS325">IF(AS$322="","",INDEX(BENG2_eis,AS$322))</f>
        <v/>
      </c>
      <c r="AT325" s="542" t="str" cm="1">
        <f t="array" ref="AT325">IF(AT$322="","",INDEX(BENG2_eis,AT$322))</f>
        <v/>
      </c>
      <c r="AU325" s="542" t="str" cm="1">
        <f t="array" ref="AU325">IF(AU$322="","",INDEX(BENG2_eis,AU$322))</f>
        <v/>
      </c>
      <c r="AV325" s="108"/>
      <c r="AW325" s="206"/>
      <c r="AX325" s="1091"/>
      <c r="AY325" s="542" t="str" cm="1">
        <f t="array" ref="AY325">IF(AY$322="","",INDEX(BENG2_eis,AY$322))</f>
        <v/>
      </c>
      <c r="AZ325" s="542" t="str" cm="1">
        <f t="array" ref="AZ325">IF(AZ$322="","",INDEX(BENG2_eis,AZ$322))</f>
        <v/>
      </c>
      <c r="BA325" s="542" t="str" cm="1">
        <f t="array" ref="BA325">IF(BA$322="","",INDEX(BENG2_eis,BA$322))</f>
        <v/>
      </c>
      <c r="BB325" s="542" t="str" cm="1">
        <f t="array" ref="BB325">IF(BB$322="","",INDEX(BENG2_eis,BB$322))</f>
        <v/>
      </c>
      <c r="BC325" s="542" t="str" cm="1">
        <f t="array" ref="BC325">IF(BC$322="","",INDEX(BENG2_eis,BC$322))</f>
        <v/>
      </c>
      <c r="BD325" s="542" t="str" cm="1">
        <f t="array" ref="BD325">IF(BD$322="","",INDEX(BENG2_eis,BD$322))</f>
        <v/>
      </c>
      <c r="BE325" s="542" t="str" cm="1">
        <f t="array" ref="BE325">IF(BE$322="","",INDEX(BENG2_eis,BE$322))</f>
        <v/>
      </c>
      <c r="BF325" s="542" t="str" cm="1">
        <f t="array" ref="BF325">IF(BF$322="","",INDEX(BENG2_eis,BF$322))</f>
        <v/>
      </c>
      <c r="BG325" s="542" t="str" cm="1">
        <f t="array" ref="BG325">IF(BG$322="","",INDEX(BENG2_eis,BG$322))</f>
        <v/>
      </c>
      <c r="BH325" s="210"/>
    </row>
    <row r="326" spans="1:60">
      <c r="A326" s="1040"/>
      <c r="B326" s="1109" t="s">
        <v>1223</v>
      </c>
      <c r="C326" s="1107" t="s">
        <v>104</v>
      </c>
      <c r="D326" s="641"/>
      <c r="E326" s="203" t="s">
        <v>277</v>
      </c>
      <c r="F326" s="203"/>
      <c r="G326" s="203"/>
      <c r="H326" s="204" t="s">
        <v>139</v>
      </c>
      <c r="I326" s="205"/>
      <c r="J326" s="206"/>
      <c r="K326" s="79"/>
      <c r="L326" s="79"/>
      <c r="M326" s="206"/>
      <c r="N326" s="205"/>
      <c r="O326" s="1155" t="str" cm="1">
        <f t="array" ref="O326">IF(O$322="","",INDEX(BENG3_eis,O$322))</f>
        <v/>
      </c>
      <c r="P326" s="1155" t="str" cm="1">
        <f t="array" ref="P326">IF(P$322="","",INDEX(BENG3_eis,P$322))</f>
        <v/>
      </c>
      <c r="Q326" s="1155" t="str" cm="1">
        <f t="array" ref="Q326">IF(Q$322="","",INDEX(BENG3_eis,Q$322))</f>
        <v/>
      </c>
      <c r="R326" s="1155" t="str" cm="1">
        <f t="array" ref="R326">IF(R$322="","",INDEX(BENG3_eis,R$322))</f>
        <v/>
      </c>
      <c r="S326" s="1155" t="str" cm="1">
        <f t="array" ref="S326">IF(S$322="","",INDEX(BENG3_eis,S$322))</f>
        <v/>
      </c>
      <c r="T326" s="1155" t="str" cm="1">
        <f t="array" ref="T326">IF(T$322="","",INDEX(BENG3_eis,T$322))</f>
        <v/>
      </c>
      <c r="U326" s="1155" t="str" cm="1">
        <f t="array" ref="U326">IF(U$322="","",INDEX(BENG3_eis,U$322))</f>
        <v/>
      </c>
      <c r="V326" s="1155" t="str" cm="1">
        <f t="array" ref="V326">IF(V$322="","",INDEX(BENG3_eis,V$322))</f>
        <v/>
      </c>
      <c r="W326" s="1155" t="str" cm="1">
        <f t="array" ref="W326">IF(W$322="","",INDEX(BENG3_eis,W$322))</f>
        <v/>
      </c>
      <c r="X326" s="108"/>
      <c r="Y326" s="206"/>
      <c r="Z326" s="1091"/>
      <c r="AA326" s="542" t="str" cm="1">
        <f t="array" ref="AA326">IF(AA$322="","",INDEX(BENG3_eis,AA$322))</f>
        <v/>
      </c>
      <c r="AB326" s="542" t="str" cm="1">
        <f t="array" ref="AB326">IF(AB$322="","",INDEX(BENG3_eis,AB$322))</f>
        <v/>
      </c>
      <c r="AC326" s="542" t="str" cm="1">
        <f t="array" ref="AC326">IF(AC$322="","",INDEX(BENG3_eis,AC$322))</f>
        <v/>
      </c>
      <c r="AD326" s="542" t="str" cm="1">
        <f t="array" ref="AD326">IF(AD$322="","",INDEX(BENG3_eis,AD$322))</f>
        <v/>
      </c>
      <c r="AE326" s="542" t="str" cm="1">
        <f t="array" ref="AE326">IF(AE$322="","",INDEX(BENG3_eis,AE$322))</f>
        <v/>
      </c>
      <c r="AF326" s="542" t="str" cm="1">
        <f t="array" ref="AF326">IF(AF$322="","",INDEX(BENG3_eis,AF$322))</f>
        <v/>
      </c>
      <c r="AG326" s="542" t="str" cm="1">
        <f t="array" ref="AG326">IF(AG$322="","",INDEX(BENG3_eis,AG$322))</f>
        <v/>
      </c>
      <c r="AH326" s="542" t="str" cm="1">
        <f t="array" ref="AH326">IF(AH$322="","",INDEX(BENG3_eis,AH$322))</f>
        <v/>
      </c>
      <c r="AI326" s="542" t="str" cm="1">
        <f t="array" ref="AI326">IF(AI$322="","",INDEX(BENG3_eis,AI$322))</f>
        <v/>
      </c>
      <c r="AJ326" s="108"/>
      <c r="AK326" s="206"/>
      <c r="AL326" s="1091"/>
      <c r="AM326" s="542" t="str" cm="1">
        <f t="array" ref="AM326">IF(AM$322="","",INDEX(BENG3_eis,AM$322))</f>
        <v/>
      </c>
      <c r="AN326" s="542" t="str" cm="1">
        <f t="array" ref="AN326">IF(AN$322="","",INDEX(BENG3_eis,AN$322))</f>
        <v/>
      </c>
      <c r="AO326" s="542" t="str" cm="1">
        <f t="array" ref="AO326">IF(AO$322="","",INDEX(BENG3_eis,AO$322))</f>
        <v/>
      </c>
      <c r="AP326" s="542" t="str" cm="1">
        <f t="array" ref="AP326">IF(AP$322="","",INDEX(BENG3_eis,AP$322))</f>
        <v/>
      </c>
      <c r="AQ326" s="542" t="str" cm="1">
        <f t="array" ref="AQ326">IF(AQ$322="","",INDEX(BENG3_eis,AQ$322))</f>
        <v/>
      </c>
      <c r="AR326" s="542" t="str" cm="1">
        <f t="array" ref="AR326">IF(AR$322="","",INDEX(BENG3_eis,AR$322))</f>
        <v/>
      </c>
      <c r="AS326" s="542" t="str" cm="1">
        <f t="array" ref="AS326">IF(AS$322="","",INDEX(BENG3_eis,AS$322))</f>
        <v/>
      </c>
      <c r="AT326" s="542" t="str" cm="1">
        <f t="array" ref="AT326">IF(AT$322="","",INDEX(BENG3_eis,AT$322))</f>
        <v/>
      </c>
      <c r="AU326" s="542" t="str" cm="1">
        <f t="array" ref="AU326">IF(AU$322="","",INDEX(BENG3_eis,AU$322))</f>
        <v/>
      </c>
      <c r="AV326" s="108"/>
      <c r="AW326" s="206"/>
      <c r="AX326" s="1091"/>
      <c r="AY326" s="542" t="str" cm="1">
        <f t="array" ref="AY326">IF(AY$322="","",INDEX(BENG3_eis,AY$322))</f>
        <v/>
      </c>
      <c r="AZ326" s="542" t="str" cm="1">
        <f t="array" ref="AZ326">IF(AZ$322="","",INDEX(BENG3_eis,AZ$322))</f>
        <v/>
      </c>
      <c r="BA326" s="542" t="str" cm="1">
        <f t="array" ref="BA326">IF(BA$322="","",INDEX(BENG3_eis,BA$322))</f>
        <v/>
      </c>
      <c r="BB326" s="542" t="str" cm="1">
        <f t="array" ref="BB326">IF(BB$322="","",INDEX(BENG3_eis,BB$322))</f>
        <v/>
      </c>
      <c r="BC326" s="542" t="str" cm="1">
        <f t="array" ref="BC326">IF(BC$322="","",INDEX(BENG3_eis,BC$322))</f>
        <v/>
      </c>
      <c r="BD326" s="542" t="str" cm="1">
        <f t="array" ref="BD326">IF(BD$322="","",INDEX(BENG3_eis,BD$322))</f>
        <v/>
      </c>
      <c r="BE326" s="542" t="str" cm="1">
        <f t="array" ref="BE326">IF(BE$322="","",INDEX(BENG3_eis,BE$322))</f>
        <v/>
      </c>
      <c r="BF326" s="542" t="str" cm="1">
        <f t="array" ref="BF326">IF(BF$322="","",INDEX(BENG3_eis,BF$322))</f>
        <v/>
      </c>
      <c r="BG326" s="542" t="str" cm="1">
        <f t="array" ref="BG326">IF(BG$322="","",INDEX(BENG3_eis,BG$322))</f>
        <v/>
      </c>
      <c r="BH326" s="210"/>
    </row>
    <row r="327" spans="1:60">
      <c r="A327" s="1040"/>
      <c r="B327" s="1109" t="s">
        <v>1223</v>
      </c>
      <c r="C327" s="1106" t="s">
        <v>96</v>
      </c>
      <c r="D327" s="640" t="s">
        <v>45</v>
      </c>
      <c r="E327" s="942" t="s">
        <v>278</v>
      </c>
      <c r="F327" s="942"/>
      <c r="G327" s="942"/>
      <c r="H327" s="942"/>
      <c r="I327" s="129"/>
      <c r="J327" s="943"/>
      <c r="K327" s="126"/>
      <c r="L327" s="126"/>
      <c r="M327" s="944"/>
      <c r="N327" s="195"/>
      <c r="O327" s="1154" t="str">
        <f>O$17</f>
        <v/>
      </c>
      <c r="P327" s="1154" t="str">
        <f t="shared" ref="P327:W327" si="402">P$17</f>
        <v/>
      </c>
      <c r="Q327" s="1154" t="str">
        <f t="shared" si="402"/>
        <v/>
      </c>
      <c r="R327" s="1154" t="str">
        <f t="shared" si="402"/>
        <v/>
      </c>
      <c r="S327" s="1154" t="str">
        <f t="shared" si="402"/>
        <v/>
      </c>
      <c r="T327" s="1154" t="str">
        <f t="shared" si="402"/>
        <v/>
      </c>
      <c r="U327" s="1154" t="str">
        <f t="shared" si="402"/>
        <v/>
      </c>
      <c r="V327" s="1154" t="str">
        <f t="shared" si="402"/>
        <v/>
      </c>
      <c r="W327" s="1154" t="str">
        <f t="shared" si="402"/>
        <v/>
      </c>
      <c r="X327" s="195"/>
      <c r="Y327" s="944"/>
      <c r="Z327" s="195"/>
      <c r="AA327" s="258" t="str">
        <f>AA$17</f>
        <v/>
      </c>
      <c r="AB327" s="258" t="str">
        <f t="shared" ref="AB327:AI327" si="403">AB$17</f>
        <v/>
      </c>
      <c r="AC327" s="258" t="str">
        <f t="shared" si="403"/>
        <v/>
      </c>
      <c r="AD327" s="258" t="str">
        <f t="shared" si="403"/>
        <v/>
      </c>
      <c r="AE327" s="258" t="str">
        <f t="shared" si="403"/>
        <v/>
      </c>
      <c r="AF327" s="258" t="str">
        <f t="shared" si="403"/>
        <v/>
      </c>
      <c r="AG327" s="258" t="str">
        <f t="shared" si="403"/>
        <v/>
      </c>
      <c r="AH327" s="258" t="str">
        <f t="shared" si="403"/>
        <v/>
      </c>
      <c r="AI327" s="258" t="str">
        <f t="shared" si="403"/>
        <v/>
      </c>
      <c r="AJ327" s="195"/>
      <c r="AK327" s="944"/>
      <c r="AL327" s="195"/>
      <c r="AM327" s="258" t="str">
        <f>AM$17</f>
        <v/>
      </c>
      <c r="AN327" s="258" t="str">
        <f t="shared" ref="AN327:AU327" si="404">AN$17</f>
        <v/>
      </c>
      <c r="AO327" s="258" t="str">
        <f t="shared" si="404"/>
        <v/>
      </c>
      <c r="AP327" s="258" t="str">
        <f t="shared" si="404"/>
        <v/>
      </c>
      <c r="AQ327" s="258" t="str">
        <f t="shared" si="404"/>
        <v/>
      </c>
      <c r="AR327" s="258" t="str">
        <f t="shared" si="404"/>
        <v/>
      </c>
      <c r="AS327" s="258" t="str">
        <f t="shared" si="404"/>
        <v/>
      </c>
      <c r="AT327" s="258" t="str">
        <f t="shared" si="404"/>
        <v/>
      </c>
      <c r="AU327" s="258" t="str">
        <f t="shared" si="404"/>
        <v/>
      </c>
      <c r="AV327" s="195"/>
      <c r="AW327" s="944"/>
      <c r="AX327" s="195"/>
      <c r="AY327" s="258" t="str">
        <f>AY$17</f>
        <v/>
      </c>
      <c r="AZ327" s="258" t="str">
        <f t="shared" ref="AZ327:BG327" si="405">AZ$17</f>
        <v/>
      </c>
      <c r="BA327" s="258" t="str">
        <f t="shared" si="405"/>
        <v/>
      </c>
      <c r="BB327" s="258" t="str">
        <f t="shared" si="405"/>
        <v/>
      </c>
      <c r="BC327" s="258" t="str">
        <f t="shared" si="405"/>
        <v/>
      </c>
      <c r="BD327" s="258" t="str">
        <f t="shared" si="405"/>
        <v/>
      </c>
      <c r="BE327" s="258" t="str">
        <f t="shared" si="405"/>
        <v/>
      </c>
      <c r="BF327" s="258" t="str">
        <f t="shared" si="405"/>
        <v/>
      </c>
      <c r="BG327" s="258" t="str">
        <f t="shared" si="405"/>
        <v/>
      </c>
      <c r="BH327" s="36"/>
    </row>
    <row r="328" spans="1:60" hidden="1">
      <c r="A328" s="1041"/>
      <c r="B328" s="1109" t="s">
        <v>1223</v>
      </c>
      <c r="C328" s="1106" t="s">
        <v>262</v>
      </c>
      <c r="D328" s="1183"/>
      <c r="E328" s="413" t="s">
        <v>1058</v>
      </c>
      <c r="F328" s="296"/>
      <c r="G328" s="894" t="str">
        <f ca="1">fitformule_Ehc_nd_EP</f>
        <v>Ehc;nd;EP</v>
      </c>
      <c r="H328" s="295" t="s">
        <v>65</v>
      </c>
      <c r="I328" s="259"/>
      <c r="J328" s="895"/>
      <c r="K328" s="896"/>
      <c r="L328" s="896"/>
      <c r="M328" s="895"/>
      <c r="N328" s="897" t="s">
        <v>84</v>
      </c>
      <c r="O328" s="1156" t="e">
        <f t="shared" ref="O328:W328" ca="1" si="406">$F$6
&amp;INDEX(gebruiksfuncties_fitcurve_NTA8800,MATCH(O$19,gebruiksfuncties_namen,0))
&amp;INDEX(ventilatiesystemen_code,MATCH(O$40,ventilatiesystemen_namen,0))
&amp;O$49
&amp;$G328</f>
        <v>#N/A</v>
      </c>
      <c r="P328" s="1157" t="e">
        <f t="shared" ca="1" si="406"/>
        <v>#N/A</v>
      </c>
      <c r="Q328" s="1157" t="e">
        <f t="shared" ca="1" si="406"/>
        <v>#N/A</v>
      </c>
      <c r="R328" s="1157" t="e">
        <f t="shared" ca="1" si="406"/>
        <v>#N/A</v>
      </c>
      <c r="S328" s="1157" t="e">
        <f t="shared" ca="1" si="406"/>
        <v>#N/A</v>
      </c>
      <c r="T328" s="1157" t="e">
        <f t="shared" ca="1" si="406"/>
        <v>#N/A</v>
      </c>
      <c r="U328" s="1157" t="e">
        <f t="shared" ca="1" si="406"/>
        <v>#N/A</v>
      </c>
      <c r="V328" s="1157" t="e">
        <f t="shared" ca="1" si="406"/>
        <v>#N/A</v>
      </c>
      <c r="W328" s="1157" t="e">
        <f t="shared" ca="1" si="406"/>
        <v>#N/A</v>
      </c>
      <c r="X328" s="896"/>
      <c r="Y328" s="895"/>
      <c r="Z328" s="897" t="s">
        <v>84</v>
      </c>
      <c r="AA328" s="880" t="e">
        <f t="shared" ref="AA328:AI328" ca="1" si="407">$F$6
&amp;INDEX(gebruiksfuncties_fitcurve_NTA8800,MATCH(AA$19,gebruiksfuncties_namen,0))
&amp;INDEX(ventilatiesystemen_code,MATCH(AA$40,ventilatiesystemen_namen,0))
&amp;AA$49
&amp;$G328</f>
        <v>#N/A</v>
      </c>
      <c r="AB328" s="880" t="e">
        <f t="shared" ca="1" si="407"/>
        <v>#N/A</v>
      </c>
      <c r="AC328" s="880" t="e">
        <f t="shared" ca="1" si="407"/>
        <v>#N/A</v>
      </c>
      <c r="AD328" s="880" t="e">
        <f t="shared" ca="1" si="407"/>
        <v>#N/A</v>
      </c>
      <c r="AE328" s="880" t="e">
        <f t="shared" ca="1" si="407"/>
        <v>#N/A</v>
      </c>
      <c r="AF328" s="880" t="e">
        <f t="shared" ca="1" si="407"/>
        <v>#N/A</v>
      </c>
      <c r="AG328" s="880" t="e">
        <f t="shared" ca="1" si="407"/>
        <v>#N/A</v>
      </c>
      <c r="AH328" s="880" t="e">
        <f t="shared" ca="1" si="407"/>
        <v>#N/A</v>
      </c>
      <c r="AI328" s="880" t="e">
        <f t="shared" ca="1" si="407"/>
        <v>#N/A</v>
      </c>
      <c r="AJ328" s="896"/>
      <c r="AK328" s="895"/>
      <c r="AL328" s="897" t="s">
        <v>84</v>
      </c>
      <c r="AM328" s="880" t="e">
        <f t="shared" ref="AM328:AU328" ca="1" si="408">$F$6
&amp;INDEX(gebruiksfuncties_fitcurve_NTA8800,MATCH(AM$19,gebruiksfuncties_namen,0))
&amp;INDEX(ventilatiesystemen_code,MATCH(AM$40,ventilatiesystemen_namen,0))
&amp;AM$49
&amp;$G328</f>
        <v>#N/A</v>
      </c>
      <c r="AN328" s="880" t="e">
        <f t="shared" ca="1" si="408"/>
        <v>#N/A</v>
      </c>
      <c r="AO328" s="880" t="e">
        <f t="shared" ca="1" si="408"/>
        <v>#N/A</v>
      </c>
      <c r="AP328" s="880" t="e">
        <f t="shared" ca="1" si="408"/>
        <v>#N/A</v>
      </c>
      <c r="AQ328" s="880" t="e">
        <f t="shared" ca="1" si="408"/>
        <v>#N/A</v>
      </c>
      <c r="AR328" s="880" t="e">
        <f t="shared" ca="1" si="408"/>
        <v>#N/A</v>
      </c>
      <c r="AS328" s="880" t="e">
        <f t="shared" ca="1" si="408"/>
        <v>#N/A</v>
      </c>
      <c r="AT328" s="880" t="e">
        <f t="shared" ca="1" si="408"/>
        <v>#N/A</v>
      </c>
      <c r="AU328" s="880" t="e">
        <f t="shared" ca="1" si="408"/>
        <v>#N/A</v>
      </c>
      <c r="AV328" s="896"/>
      <c r="AW328" s="895"/>
      <c r="AX328" s="897" t="s">
        <v>84</v>
      </c>
      <c r="AY328" s="880" t="e">
        <f t="shared" ref="AY328:BG328" ca="1" si="409">$F$6
&amp;INDEX(gebruiksfuncties_fitcurve_NTA8800,MATCH(AY$19,gebruiksfuncties_namen,0))
&amp;INDEX(ventilatiesystemen_code,MATCH(AY$40,ventilatiesystemen_namen,0))
&amp;AY$49
&amp;$G328</f>
        <v>#N/A</v>
      </c>
      <c r="AZ328" s="880" t="e">
        <f t="shared" ca="1" si="409"/>
        <v>#N/A</v>
      </c>
      <c r="BA328" s="880" t="e">
        <f t="shared" ca="1" si="409"/>
        <v>#N/A</v>
      </c>
      <c r="BB328" s="880" t="e">
        <f t="shared" ca="1" si="409"/>
        <v>#N/A</v>
      </c>
      <c r="BC328" s="880" t="e">
        <f t="shared" ca="1" si="409"/>
        <v>#N/A</v>
      </c>
      <c r="BD328" s="880" t="e">
        <f t="shared" ca="1" si="409"/>
        <v>#N/A</v>
      </c>
      <c r="BE328" s="880" t="e">
        <f t="shared" ca="1" si="409"/>
        <v>#N/A</v>
      </c>
      <c r="BF328" s="880" t="e">
        <f t="shared" ca="1" si="409"/>
        <v>#N/A</v>
      </c>
      <c r="BG328" s="880" t="e">
        <f t="shared" ca="1" si="409"/>
        <v>#N/A</v>
      </c>
      <c r="BH328" s="218"/>
    </row>
    <row r="329" spans="1:60">
      <c r="A329" s="1040"/>
      <c r="B329" s="1109" t="s">
        <v>1223</v>
      </c>
      <c r="C329" s="1107" t="s">
        <v>104</v>
      </c>
      <c r="D329" s="640" t="s">
        <v>45</v>
      </c>
      <c r="E329" s="203" t="s">
        <v>279</v>
      </c>
      <c r="F329" s="203"/>
      <c r="G329" s="203"/>
      <c r="H329" s="204" t="s">
        <v>154</v>
      </c>
      <c r="I329" s="205"/>
      <c r="J329" s="206"/>
      <c r="K329" s="79"/>
      <c r="L329" s="79"/>
      <c r="M329" s="206"/>
      <c r="N329" s="205"/>
      <c r="O329" s="1158" t="str">
        <f t="shared" ref="O329:W329" si="410">IFERROR(IF(OR(O$17="",O$38="",O$40=""),"",MAX(warmtebehoefte_verwarming_ondergrens,
HLOOKUP(O$328,fitcurves_NTA8800,MATCH(fit_a0,parameters_fitformule,0),FALSE)
+HLOOKUP(O$328,fitcurves_NTA8800,MATCH(fit_a1,parameters_fitformule,0),FALSE)
*O$54*O$32^HLOOKUP(O$328,fitcurves_NTA8800,MATCH(fit_n1,parameters_fitformule,0),FALSE)
)),0)</f>
        <v/>
      </c>
      <c r="P329" s="1158" t="str">
        <f t="shared" si="410"/>
        <v/>
      </c>
      <c r="Q329" s="1158" t="str">
        <f t="shared" si="410"/>
        <v/>
      </c>
      <c r="R329" s="1158" t="str">
        <f t="shared" si="410"/>
        <v/>
      </c>
      <c r="S329" s="1158" t="str">
        <f t="shared" si="410"/>
        <v/>
      </c>
      <c r="T329" s="1158" t="str">
        <f t="shared" si="410"/>
        <v/>
      </c>
      <c r="U329" s="1158" t="str">
        <f t="shared" si="410"/>
        <v/>
      </c>
      <c r="V329" s="1158" t="str">
        <f t="shared" si="410"/>
        <v/>
      </c>
      <c r="W329" s="1158" t="str">
        <f t="shared" si="410"/>
        <v/>
      </c>
      <c r="X329" s="108"/>
      <c r="Y329" s="206"/>
      <c r="Z329" s="205"/>
      <c r="AA329" s="1090" t="str">
        <f t="shared" ref="AA329:AI329" si="411">IFERROR(IF(OR(AA$17="",AA$38="",AA$40=""),"",MAX(warmtebehoefte_verwarming_ondergrens,
HLOOKUP(AA$328,fitcurves_NTA8800,MATCH(fit_a0,parameters_fitformule,0),FALSE)
+HLOOKUP(AA$328,fitcurves_NTA8800,MATCH(fit_a1,parameters_fitformule,0),FALSE)
*AA$54*AA$32^HLOOKUP(AA$328,fitcurves_NTA8800,MATCH(fit_n1,parameters_fitformule,0),FALSE)
)),0)</f>
        <v/>
      </c>
      <c r="AB329" s="1090" t="str">
        <f t="shared" si="411"/>
        <v/>
      </c>
      <c r="AC329" s="1090" t="str">
        <f t="shared" si="411"/>
        <v/>
      </c>
      <c r="AD329" s="1090" t="str">
        <f t="shared" si="411"/>
        <v/>
      </c>
      <c r="AE329" s="1090" t="str">
        <f t="shared" si="411"/>
        <v/>
      </c>
      <c r="AF329" s="1090" t="str">
        <f t="shared" si="411"/>
        <v/>
      </c>
      <c r="AG329" s="1090" t="str">
        <f t="shared" si="411"/>
        <v/>
      </c>
      <c r="AH329" s="1090" t="str">
        <f t="shared" si="411"/>
        <v/>
      </c>
      <c r="AI329" s="1090" t="str">
        <f t="shared" si="411"/>
        <v/>
      </c>
      <c r="AJ329" s="108"/>
      <c r="AK329" s="206"/>
      <c r="AL329" s="205"/>
      <c r="AM329" s="1090" t="str">
        <f t="shared" ref="AM329:AU329" si="412">IFERROR(IF(OR(AM$17="",AM$38="",AM$40=""),"",MAX(warmtebehoefte_verwarming_ondergrens,
HLOOKUP(AM$328,fitcurves_NTA8800,MATCH(fit_a0,parameters_fitformule,0),FALSE)
+HLOOKUP(AM$328,fitcurves_NTA8800,MATCH(fit_a1,parameters_fitformule,0),FALSE)
*AM$54*AM$32^HLOOKUP(AM$328,fitcurves_NTA8800,MATCH(fit_n1,parameters_fitformule,0),FALSE)
)),0)</f>
        <v/>
      </c>
      <c r="AN329" s="1090" t="str">
        <f t="shared" si="412"/>
        <v/>
      </c>
      <c r="AO329" s="1090" t="str">
        <f t="shared" si="412"/>
        <v/>
      </c>
      <c r="AP329" s="1090" t="str">
        <f t="shared" si="412"/>
        <v/>
      </c>
      <c r="AQ329" s="1090" t="str">
        <f t="shared" si="412"/>
        <v/>
      </c>
      <c r="AR329" s="1090" t="str">
        <f t="shared" si="412"/>
        <v/>
      </c>
      <c r="AS329" s="1090" t="str">
        <f t="shared" si="412"/>
        <v/>
      </c>
      <c r="AT329" s="1090" t="str">
        <f t="shared" si="412"/>
        <v/>
      </c>
      <c r="AU329" s="1090" t="str">
        <f t="shared" si="412"/>
        <v/>
      </c>
      <c r="AV329" s="108"/>
      <c r="AW329" s="206"/>
      <c r="AX329" s="205"/>
      <c r="AY329" s="1090" t="str">
        <f t="shared" ref="AY329:BG329" si="413">IFERROR(IF(OR(AY$17="",AY$38="",AY$40=""),"",MAX(warmtebehoefte_verwarming_ondergrens,
HLOOKUP(AY$328,fitcurves_NTA8800,MATCH(fit_a0,parameters_fitformule,0),FALSE)
+HLOOKUP(AY$328,fitcurves_NTA8800,MATCH(fit_a1,parameters_fitformule,0),FALSE)
*AY$54*AY$32^HLOOKUP(AY$328,fitcurves_NTA8800,MATCH(fit_n1,parameters_fitformule,0),FALSE)
)),0)</f>
        <v/>
      </c>
      <c r="AZ329" s="1090" t="str">
        <f t="shared" si="413"/>
        <v/>
      </c>
      <c r="BA329" s="1090" t="str">
        <f t="shared" si="413"/>
        <v/>
      </c>
      <c r="BB329" s="1090" t="str">
        <f t="shared" si="413"/>
        <v/>
      </c>
      <c r="BC329" s="1090" t="str">
        <f t="shared" si="413"/>
        <v/>
      </c>
      <c r="BD329" s="1090" t="str">
        <f t="shared" si="413"/>
        <v/>
      </c>
      <c r="BE329" s="1090" t="str">
        <f t="shared" si="413"/>
        <v/>
      </c>
      <c r="BF329" s="1090" t="str">
        <f t="shared" si="413"/>
        <v/>
      </c>
      <c r="BG329" s="1090" t="str">
        <f t="shared" si="413"/>
        <v/>
      </c>
      <c r="BH329" s="210"/>
    </row>
    <row r="330" spans="1:60">
      <c r="A330" s="1040"/>
      <c r="B330" s="1109" t="s">
        <v>1223</v>
      </c>
      <c r="C330" s="1107" t="s">
        <v>104</v>
      </c>
      <c r="D330" s="640" t="s">
        <v>45</v>
      </c>
      <c r="E330" s="203" t="s">
        <v>280</v>
      </c>
      <c r="F330" s="203"/>
      <c r="G330" s="203"/>
      <c r="H330" s="204" t="s">
        <v>267</v>
      </c>
      <c r="I330" s="205"/>
      <c r="J330" s="206"/>
      <c r="K330" s="79"/>
      <c r="L330" s="79"/>
      <c r="M330" s="206"/>
      <c r="N330" s="205"/>
      <c r="O330" s="1158" t="str">
        <f t="shared" ref="O330:W330" si="414">IF(OR(O$17="",O$22=0,O$29=0),"",ROUNDUP(O$298-O$287-O$288-O$289-IF(OR(O$19=woning,O$19=woongebouw),O285,0),2)-O$292)</f>
        <v/>
      </c>
      <c r="P330" s="1158" t="str">
        <f t="shared" si="414"/>
        <v/>
      </c>
      <c r="Q330" s="1158" t="str">
        <f t="shared" si="414"/>
        <v/>
      </c>
      <c r="R330" s="1158" t="str">
        <f t="shared" si="414"/>
        <v/>
      </c>
      <c r="S330" s="1158" t="str">
        <f t="shared" si="414"/>
        <v/>
      </c>
      <c r="T330" s="1158" t="str">
        <f t="shared" si="414"/>
        <v/>
      </c>
      <c r="U330" s="1158" t="str">
        <f t="shared" si="414"/>
        <v/>
      </c>
      <c r="V330" s="1158" t="str">
        <f t="shared" si="414"/>
        <v/>
      </c>
      <c r="W330" s="1158" t="str">
        <f t="shared" si="414"/>
        <v/>
      </c>
      <c r="X330" s="108"/>
      <c r="Y330" s="206"/>
      <c r="Z330" s="205"/>
      <c r="AA330" s="1090" t="str">
        <f t="shared" ref="AA330:AI330" si="415">IF(OR(AA$17="",AA$22=0,AA$29=0),"",ROUNDUP(AA$298-AA$287-AA$288-AA$289-IF(OR(AA$19=woning,AA$19=woongebouw),AA285,0),2)-AA$292)</f>
        <v/>
      </c>
      <c r="AB330" s="1090" t="str">
        <f t="shared" si="415"/>
        <v/>
      </c>
      <c r="AC330" s="1090" t="str">
        <f t="shared" si="415"/>
        <v/>
      </c>
      <c r="AD330" s="1090" t="str">
        <f t="shared" si="415"/>
        <v/>
      </c>
      <c r="AE330" s="1090" t="str">
        <f t="shared" si="415"/>
        <v/>
      </c>
      <c r="AF330" s="1090" t="str">
        <f t="shared" si="415"/>
        <v/>
      </c>
      <c r="AG330" s="1090" t="str">
        <f t="shared" si="415"/>
        <v/>
      </c>
      <c r="AH330" s="1090" t="str">
        <f t="shared" si="415"/>
        <v/>
      </c>
      <c r="AI330" s="1090" t="str">
        <f t="shared" si="415"/>
        <v/>
      </c>
      <c r="AJ330" s="108"/>
      <c r="AK330" s="206"/>
      <c r="AL330" s="205"/>
      <c r="AM330" s="1090" t="str">
        <f t="shared" ref="AM330:AU330" si="416">IF(OR(AM$17="",AM$22=0,AM$29=0),"",ROUNDUP(AM$298-AM$287-AM$288-AM$289-IF(OR(AM$19=woning,AM$19=woongebouw),AM285,0),2)-AM$292)</f>
        <v/>
      </c>
      <c r="AN330" s="1090" t="str">
        <f t="shared" si="416"/>
        <v/>
      </c>
      <c r="AO330" s="1090" t="str">
        <f t="shared" si="416"/>
        <v/>
      </c>
      <c r="AP330" s="1090" t="str">
        <f t="shared" si="416"/>
        <v/>
      </c>
      <c r="AQ330" s="1090" t="str">
        <f t="shared" si="416"/>
        <v/>
      </c>
      <c r="AR330" s="1090" t="str">
        <f t="shared" si="416"/>
        <v/>
      </c>
      <c r="AS330" s="1090" t="str">
        <f t="shared" si="416"/>
        <v/>
      </c>
      <c r="AT330" s="1090" t="str">
        <f t="shared" si="416"/>
        <v/>
      </c>
      <c r="AU330" s="1090" t="str">
        <f t="shared" si="416"/>
        <v/>
      </c>
      <c r="AV330" s="108"/>
      <c r="AW330" s="206"/>
      <c r="AX330" s="205"/>
      <c r="AY330" s="1090" t="str">
        <f t="shared" ref="AY330:BG330" si="417">IF(OR(AY$17="",AY$22=0,AY$29=0),"",ROUNDUP(AY$298-AY$287-AY$288-AY$289-IF(OR(AY$19=woning,AY$19=woongebouw),AY285,0),2)-AY$292)</f>
        <v/>
      </c>
      <c r="AZ330" s="1090" t="str">
        <f t="shared" si="417"/>
        <v/>
      </c>
      <c r="BA330" s="1090" t="str">
        <f t="shared" si="417"/>
        <v/>
      </c>
      <c r="BB330" s="1090" t="str">
        <f t="shared" si="417"/>
        <v/>
      </c>
      <c r="BC330" s="1090" t="str">
        <f t="shared" si="417"/>
        <v/>
      </c>
      <c r="BD330" s="1090" t="str">
        <f t="shared" si="417"/>
        <v/>
      </c>
      <c r="BE330" s="1090" t="str">
        <f t="shared" si="417"/>
        <v/>
      </c>
      <c r="BF330" s="1090" t="str">
        <f t="shared" si="417"/>
        <v/>
      </c>
      <c r="BG330" s="1090" t="str">
        <f t="shared" si="417"/>
        <v/>
      </c>
      <c r="BH330" s="210"/>
    </row>
    <row r="331" spans="1:60">
      <c r="A331" s="1040"/>
      <c r="B331" s="1109" t="s">
        <v>1223</v>
      </c>
      <c r="C331" s="1107" t="s">
        <v>104</v>
      </c>
      <c r="D331" s="641" t="s">
        <v>45</v>
      </c>
      <c r="E331" s="203" t="s">
        <v>281</v>
      </c>
      <c r="F331" s="203"/>
      <c r="G331" s="203"/>
      <c r="H331" s="204" t="s">
        <v>139</v>
      </c>
      <c r="I331" s="205"/>
      <c r="J331" s="206"/>
      <c r="K331" s="79"/>
      <c r="L331" s="79"/>
      <c r="M331" s="206"/>
      <c r="N331" s="205"/>
      <c r="O331" s="1160" t="str">
        <f t="shared" ref="O331:W331" si="418">IF(O$322="","",O317)</f>
        <v/>
      </c>
      <c r="P331" s="1089" t="str">
        <f t="shared" si="418"/>
        <v/>
      </c>
      <c r="Q331" s="1089" t="str">
        <f t="shared" si="418"/>
        <v/>
      </c>
      <c r="R331" s="1089" t="str">
        <f t="shared" si="418"/>
        <v/>
      </c>
      <c r="S331" s="1089" t="str">
        <f t="shared" si="418"/>
        <v/>
      </c>
      <c r="T331" s="1089" t="str">
        <f t="shared" si="418"/>
        <v/>
      </c>
      <c r="U331" s="1089" t="str">
        <f t="shared" si="418"/>
        <v/>
      </c>
      <c r="V331" s="1089" t="str">
        <f t="shared" si="418"/>
        <v/>
      </c>
      <c r="W331" s="1089" t="str">
        <f t="shared" si="418"/>
        <v/>
      </c>
      <c r="X331" s="597"/>
      <c r="Y331" s="598"/>
      <c r="Z331" s="599"/>
      <c r="AA331" s="1089" t="str">
        <f t="shared" ref="AA331:AI331" si="419">IF(AA$322="","",AA317)</f>
        <v/>
      </c>
      <c r="AB331" s="1089" t="str">
        <f t="shared" si="419"/>
        <v/>
      </c>
      <c r="AC331" s="1089" t="str">
        <f t="shared" si="419"/>
        <v/>
      </c>
      <c r="AD331" s="1089" t="str">
        <f t="shared" si="419"/>
        <v/>
      </c>
      <c r="AE331" s="1089" t="str">
        <f t="shared" si="419"/>
        <v/>
      </c>
      <c r="AF331" s="1089" t="str">
        <f t="shared" si="419"/>
        <v/>
      </c>
      <c r="AG331" s="1089" t="str">
        <f t="shared" si="419"/>
        <v/>
      </c>
      <c r="AH331" s="1089" t="str">
        <f t="shared" si="419"/>
        <v/>
      </c>
      <c r="AI331" s="1089" t="str">
        <f t="shared" si="419"/>
        <v/>
      </c>
      <c r="AJ331" s="597"/>
      <c r="AK331" s="598"/>
      <c r="AL331" s="599"/>
      <c r="AM331" s="1089" t="str">
        <f>IF(AM$322="","",AM317)</f>
        <v/>
      </c>
      <c r="AN331" s="1089" t="str">
        <f t="shared" ref="AN331:AU331" si="420">IF(AN$322="","",AN317)</f>
        <v/>
      </c>
      <c r="AO331" s="1089" t="str">
        <f t="shared" si="420"/>
        <v/>
      </c>
      <c r="AP331" s="1089" t="str">
        <f t="shared" si="420"/>
        <v/>
      </c>
      <c r="AQ331" s="1089" t="str">
        <f t="shared" si="420"/>
        <v/>
      </c>
      <c r="AR331" s="1089" t="str">
        <f t="shared" si="420"/>
        <v/>
      </c>
      <c r="AS331" s="1089" t="str">
        <f t="shared" si="420"/>
        <v/>
      </c>
      <c r="AT331" s="1089" t="str">
        <f t="shared" si="420"/>
        <v/>
      </c>
      <c r="AU331" s="1089" t="str">
        <f t="shared" si="420"/>
        <v/>
      </c>
      <c r="AV331" s="597"/>
      <c r="AW331" s="598"/>
      <c r="AX331" s="599"/>
      <c r="AY331" s="1089" t="str">
        <f>IF(AY$322="","",AY317)</f>
        <v/>
      </c>
      <c r="AZ331" s="1089" t="str">
        <f t="shared" ref="AZ331:BG331" si="421">IF(AZ$322="","",AZ317)</f>
        <v/>
      </c>
      <c r="BA331" s="1089" t="str">
        <f t="shared" si="421"/>
        <v/>
      </c>
      <c r="BB331" s="1089" t="str">
        <f t="shared" si="421"/>
        <v/>
      </c>
      <c r="BC331" s="1089" t="str">
        <f t="shared" si="421"/>
        <v/>
      </c>
      <c r="BD331" s="1089" t="str">
        <f t="shared" si="421"/>
        <v/>
      </c>
      <c r="BE331" s="1089" t="str">
        <f t="shared" si="421"/>
        <v/>
      </c>
      <c r="BF331" s="1089" t="str">
        <f t="shared" si="421"/>
        <v/>
      </c>
      <c r="BG331" s="1089" t="str">
        <f t="shared" si="421"/>
        <v/>
      </c>
      <c r="BH331" s="210"/>
    </row>
    <row r="332" spans="1:60">
      <c r="A332" s="1040"/>
      <c r="B332" s="1109" t="s">
        <v>1223</v>
      </c>
      <c r="C332" s="1106" t="s">
        <v>96</v>
      </c>
      <c r="D332" s="638"/>
      <c r="E332" s="942" t="s">
        <v>282</v>
      </c>
      <c r="F332" s="942"/>
      <c r="G332" s="942"/>
      <c r="H332" s="942"/>
      <c r="I332" s="129"/>
      <c r="J332" s="943"/>
      <c r="K332" s="126"/>
      <c r="L332" s="126"/>
      <c r="M332" s="944"/>
      <c r="N332" s="195"/>
      <c r="O332" s="258" t="str">
        <f>O$17</f>
        <v/>
      </c>
      <c r="P332" s="258" t="str">
        <f t="shared" ref="P332:W332" si="422">P$17</f>
        <v/>
      </c>
      <c r="Q332" s="258" t="str">
        <f t="shared" si="422"/>
        <v/>
      </c>
      <c r="R332" s="258" t="str">
        <f t="shared" si="422"/>
        <v/>
      </c>
      <c r="S332" s="258" t="str">
        <f t="shared" si="422"/>
        <v/>
      </c>
      <c r="T332" s="258" t="str">
        <f t="shared" si="422"/>
        <v/>
      </c>
      <c r="U332" s="258" t="str">
        <f t="shared" si="422"/>
        <v/>
      </c>
      <c r="V332" s="258" t="str">
        <f t="shared" si="422"/>
        <v/>
      </c>
      <c r="W332" s="258" t="str">
        <f t="shared" si="422"/>
        <v/>
      </c>
      <c r="X332" s="195"/>
      <c r="Y332" s="944"/>
      <c r="Z332" s="195"/>
      <c r="AA332" s="258" t="str">
        <f>AA$17</f>
        <v/>
      </c>
      <c r="AB332" s="258" t="str">
        <f t="shared" ref="AB332:AI332" si="423">AB$17</f>
        <v/>
      </c>
      <c r="AC332" s="258" t="str">
        <f t="shared" si="423"/>
        <v/>
      </c>
      <c r="AD332" s="258" t="str">
        <f t="shared" si="423"/>
        <v/>
      </c>
      <c r="AE332" s="258" t="str">
        <f t="shared" si="423"/>
        <v/>
      </c>
      <c r="AF332" s="258" t="str">
        <f t="shared" si="423"/>
        <v/>
      </c>
      <c r="AG332" s="258" t="str">
        <f t="shared" si="423"/>
        <v/>
      </c>
      <c r="AH332" s="258" t="str">
        <f t="shared" si="423"/>
        <v/>
      </c>
      <c r="AI332" s="258" t="str">
        <f t="shared" si="423"/>
        <v/>
      </c>
      <c r="AJ332" s="195"/>
      <c r="AK332" s="944"/>
      <c r="AL332" s="195"/>
      <c r="AM332" s="258" t="str">
        <f>AM$17</f>
        <v/>
      </c>
      <c r="AN332" s="258" t="str">
        <f t="shared" ref="AN332:AU332" si="424">AN$17</f>
        <v/>
      </c>
      <c r="AO332" s="258" t="str">
        <f t="shared" si="424"/>
        <v/>
      </c>
      <c r="AP332" s="258" t="str">
        <f t="shared" si="424"/>
        <v/>
      </c>
      <c r="AQ332" s="258" t="str">
        <f t="shared" si="424"/>
        <v/>
      </c>
      <c r="AR332" s="258" t="str">
        <f t="shared" si="424"/>
        <v/>
      </c>
      <c r="AS332" s="258" t="str">
        <f t="shared" si="424"/>
        <v/>
      </c>
      <c r="AT332" s="258" t="str">
        <f t="shared" si="424"/>
        <v/>
      </c>
      <c r="AU332" s="258" t="str">
        <f t="shared" si="424"/>
        <v/>
      </c>
      <c r="AV332" s="195"/>
      <c r="AW332" s="944"/>
      <c r="AX332" s="195"/>
      <c r="AY332" s="258" t="str">
        <f>AY$17</f>
        <v/>
      </c>
      <c r="AZ332" s="258" t="str">
        <f t="shared" ref="AZ332:BG332" si="425">AZ$17</f>
        <v/>
      </c>
      <c r="BA332" s="258" t="str">
        <f t="shared" si="425"/>
        <v/>
      </c>
      <c r="BB332" s="258" t="str">
        <f t="shared" si="425"/>
        <v/>
      </c>
      <c r="BC332" s="258" t="str">
        <f t="shared" si="425"/>
        <v/>
      </c>
      <c r="BD332" s="258" t="str">
        <f t="shared" si="425"/>
        <v/>
      </c>
      <c r="BE332" s="258" t="str">
        <f t="shared" si="425"/>
        <v/>
      </c>
      <c r="BF332" s="258" t="str">
        <f t="shared" si="425"/>
        <v/>
      </c>
      <c r="BG332" s="258" t="str">
        <f t="shared" si="425"/>
        <v/>
      </c>
      <c r="BH332" s="36"/>
    </row>
    <row r="333" spans="1:60">
      <c r="A333" s="1040"/>
      <c r="B333" s="1109" t="s">
        <v>1223</v>
      </c>
      <c r="C333" s="1107" t="s">
        <v>104</v>
      </c>
      <c r="D333" s="640" t="s">
        <v>45</v>
      </c>
      <c r="E333" s="1134" t="s">
        <v>282</v>
      </c>
      <c r="F333" s="203"/>
      <c r="G333" s="203"/>
      <c r="H333" s="204" t="s">
        <v>65</v>
      </c>
      <c r="I333" s="114"/>
      <c r="J333" s="202"/>
      <c r="K333" s="195"/>
      <c r="L333" s="195"/>
      <c r="M333" s="202"/>
      <c r="N333" s="114"/>
      <c r="O333" s="168" t="str">
        <f ca="1">IF(OR(O$22=0,$O$78=0),"",
INDEX(energielabels_labelnamen,MATCH(O330,OFFSET(bibliotheek!$H$488,0,MATCH(O$19,gebruiksfuncties_namen,0)-1,ROWS(energielabels_labelnamen),1),-1)))</f>
        <v/>
      </c>
      <c r="P333" s="168" t="str">
        <f ca="1">IF(OR(P$22=0,$O$78=0),"",
INDEX(energielabels_labelnamen,MATCH(P330,OFFSET(bibliotheek!$H$488,0,MATCH(P$19,gebruiksfuncties_namen,0)-1,ROWS(energielabels_labelnamen),1),-1)))</f>
        <v/>
      </c>
      <c r="Q333" s="168" t="str">
        <f ca="1">IF(OR(Q$22=0,$O$78=0),"",
INDEX(energielabels_labelnamen,MATCH(Q330,OFFSET(bibliotheek!$H$488,0,MATCH(Q$19,gebruiksfuncties_namen,0)-1,ROWS(energielabels_labelnamen),1),-1)))</f>
        <v/>
      </c>
      <c r="R333" s="168" t="str">
        <f ca="1">IF(OR(R$22=0,$O$78=0),"",
INDEX(energielabels_labelnamen,MATCH(R330,OFFSET(bibliotheek!$H$488,0,MATCH(R$19,gebruiksfuncties_namen,0)-1,ROWS(energielabels_labelnamen),1),-1)))</f>
        <v/>
      </c>
      <c r="S333" s="168" t="str">
        <f ca="1">IF(OR(S$22=0,$O$78=0),"",
INDEX(energielabels_labelnamen,MATCH(S330,OFFSET(bibliotheek!$H$488,0,MATCH(S$19,gebruiksfuncties_namen,0)-1,ROWS(energielabels_labelnamen),1),-1)))</f>
        <v/>
      </c>
      <c r="T333" s="168" t="str">
        <f ca="1">IF(OR(T$22=0,$O$78=0),"",
INDEX(energielabels_labelnamen,MATCH(T330,OFFSET(bibliotheek!$H$488,0,MATCH(T$19,gebruiksfuncties_namen,0)-1,ROWS(energielabels_labelnamen),1),-1)))</f>
        <v/>
      </c>
      <c r="U333" s="168" t="str">
        <f ca="1">IF(OR(U$22=0,$O$78=0),"",
INDEX(energielabels_labelnamen,MATCH(U330,OFFSET(bibliotheek!$H$488,0,MATCH(U$19,gebruiksfuncties_namen,0)-1,ROWS(energielabels_labelnamen),1),-1)))</f>
        <v/>
      </c>
      <c r="V333" s="168" t="str">
        <f ca="1">IF(OR(V$22=0,$O$78=0),"",
INDEX(energielabels_labelnamen,MATCH(V330,OFFSET(bibliotheek!$H$488,0,MATCH(V$19,gebruiksfuncties_namen,0)-1,ROWS(energielabels_labelnamen),1),-1)))</f>
        <v/>
      </c>
      <c r="W333" s="168" t="str">
        <f ca="1">IF(OR(W$22=0,$O$78=0),"",
INDEX(energielabels_labelnamen,MATCH(W330,OFFSET(bibliotheek!$H$488,0,MATCH(W$19,gebruiksfuncties_namen,0)-1,ROWS(energielabels_labelnamen),1),-1)))</f>
        <v/>
      </c>
      <c r="X333" s="113"/>
      <c r="Y333" s="202"/>
      <c r="Z333" s="114"/>
      <c r="AA333" s="168" t="str">
        <f ca="1">IF(OR(AA$22=0,$AA$78=0),"",
INDEX(energielabels_labelnamen,MATCH(AA330,OFFSET(bibliotheek!$H$488,0,MATCH(AA$19,gebruiksfuncties_namen,0)-1,ROWS(energielabels_labelnamen),1),-1)))</f>
        <v/>
      </c>
      <c r="AB333" s="168" t="str">
        <f ca="1">IF(OR(AB$22=0,$AA$78=0),"",
INDEX(energielabels_labelnamen,MATCH(AB330,OFFSET(bibliotheek!$H$488,0,MATCH(AB$19,gebruiksfuncties_namen,0)-1,ROWS(energielabels_labelnamen),1),-1)))</f>
        <v/>
      </c>
      <c r="AC333" s="168" t="str">
        <f ca="1">IF(OR(AC$22=0,$AA$78=0),"",
INDEX(energielabels_labelnamen,MATCH(AC330,OFFSET(bibliotheek!$H$488,0,MATCH(AC$19,gebruiksfuncties_namen,0)-1,ROWS(energielabels_labelnamen),1),-1)))</f>
        <v/>
      </c>
      <c r="AD333" s="168" t="str">
        <f ca="1">IF(OR(AD$22=0,$AA$78=0),"",
INDEX(energielabels_labelnamen,MATCH(AD330,OFFSET(bibliotheek!$H$488,0,MATCH(AD$19,gebruiksfuncties_namen,0)-1,ROWS(energielabels_labelnamen),1),-1)))</f>
        <v/>
      </c>
      <c r="AE333" s="168" t="str">
        <f ca="1">IF(OR(AE$22=0,$AA$78=0),"",
INDEX(energielabels_labelnamen,MATCH(AE330,OFFSET(bibliotheek!$H$488,0,MATCH(AE$19,gebruiksfuncties_namen,0)-1,ROWS(energielabels_labelnamen),1),-1)))</f>
        <v/>
      </c>
      <c r="AF333" s="168" t="str">
        <f ca="1">IF(OR(AF$22=0,$AA$78=0),"",
INDEX(energielabels_labelnamen,MATCH(AF330,OFFSET(bibliotheek!$H$488,0,MATCH(AF$19,gebruiksfuncties_namen,0)-1,ROWS(energielabels_labelnamen),1),-1)))</f>
        <v/>
      </c>
      <c r="AG333" s="168" t="str">
        <f ca="1">IF(OR(AG$22=0,$AA$78=0),"",
INDEX(energielabels_labelnamen,MATCH(AG330,OFFSET(bibliotheek!$H$488,0,MATCH(AG$19,gebruiksfuncties_namen,0)-1,ROWS(energielabels_labelnamen),1),-1)))</f>
        <v/>
      </c>
      <c r="AH333" s="168" t="str">
        <f ca="1">IF(OR(AH$22=0,$AA$78=0),"",
INDEX(energielabels_labelnamen,MATCH(AH330,OFFSET(bibliotheek!$H$488,0,MATCH(AH$19,gebruiksfuncties_namen,0)-1,ROWS(energielabels_labelnamen),1),-1)))</f>
        <v/>
      </c>
      <c r="AI333" s="168" t="str">
        <f ca="1">IF(OR(AI$22=0,$AA$78=0),"",
INDEX(energielabels_labelnamen,MATCH(AI330,OFFSET(bibliotheek!$H$488,0,MATCH(AI$19,gebruiksfuncties_namen,0)-1,ROWS(energielabels_labelnamen),1),-1)))</f>
        <v/>
      </c>
      <c r="AJ333" s="113"/>
      <c r="AK333" s="202"/>
      <c r="AL333" s="114"/>
      <c r="AM333" s="168" t="str">
        <f ca="1">IF(OR(AM$22=0,$AM$78=0),"",
INDEX(energielabels_labelnamen,MATCH(AM330,OFFSET(bibliotheek!$H$488,0,MATCH(AM$19,gebruiksfuncties_namen,0)-1,ROWS(energielabels_labelnamen),1),-1)))</f>
        <v/>
      </c>
      <c r="AN333" s="168" t="str">
        <f ca="1">IF(OR(AN$22=0,$AM$78=0),"",
INDEX(energielabels_labelnamen,MATCH(AN330,OFFSET(bibliotheek!$H$488,0,MATCH(AN$19,gebruiksfuncties_namen,0)-1,ROWS(energielabels_labelnamen),1),-1)))</f>
        <v/>
      </c>
      <c r="AO333" s="168" t="str">
        <f ca="1">IF(OR(AO$22=0,$AM$78=0),"",
INDEX(energielabels_labelnamen,MATCH(AO330,OFFSET(bibliotheek!$H$488,0,MATCH(AO$19,gebruiksfuncties_namen,0)-1,ROWS(energielabels_labelnamen),1),-1)))</f>
        <v/>
      </c>
      <c r="AP333" s="168" t="str">
        <f ca="1">IF(OR(AP$22=0,$AM$78=0),"",
INDEX(energielabels_labelnamen,MATCH(AP330,OFFSET(bibliotheek!$H$488,0,MATCH(AP$19,gebruiksfuncties_namen,0)-1,ROWS(energielabels_labelnamen),1),-1)))</f>
        <v/>
      </c>
      <c r="AQ333" s="168" t="str">
        <f ca="1">IF(OR(AQ$22=0,$AM$78=0),"",
INDEX(energielabels_labelnamen,MATCH(AQ330,OFFSET(bibliotheek!$H$488,0,MATCH(AQ$19,gebruiksfuncties_namen,0)-1,ROWS(energielabels_labelnamen),1),-1)))</f>
        <v/>
      </c>
      <c r="AR333" s="168" t="str">
        <f ca="1">IF(OR(AR$22=0,$AM$78=0),"",
INDEX(energielabels_labelnamen,MATCH(AR330,OFFSET(bibliotheek!$H$488,0,MATCH(AR$19,gebruiksfuncties_namen,0)-1,ROWS(energielabels_labelnamen),1),-1)))</f>
        <v/>
      </c>
      <c r="AS333" s="168" t="str">
        <f ca="1">IF(OR(AS$22=0,$AM$78=0),"",
INDEX(energielabels_labelnamen,MATCH(AS330,OFFSET(bibliotheek!$H$488,0,MATCH(AS$19,gebruiksfuncties_namen,0)-1,ROWS(energielabels_labelnamen),1),-1)))</f>
        <v/>
      </c>
      <c r="AT333" s="168" t="str">
        <f ca="1">IF(OR(AT$22=0,$AM$78=0),"",
INDEX(energielabels_labelnamen,MATCH(AT330,OFFSET(bibliotheek!$H$488,0,MATCH(AT$19,gebruiksfuncties_namen,0)-1,ROWS(energielabels_labelnamen),1),-1)))</f>
        <v/>
      </c>
      <c r="AU333" s="168" t="str">
        <f ca="1">IF(OR(AU$22=0,$AM$78=0),"",
INDEX(energielabels_labelnamen,MATCH(AU330,OFFSET(bibliotheek!$H$488,0,MATCH(AU$19,gebruiksfuncties_namen,0)-1,ROWS(energielabels_labelnamen),1),-1)))</f>
        <v/>
      </c>
      <c r="AV333" s="113"/>
      <c r="AW333" s="202"/>
      <c r="AX333" s="114"/>
      <c r="AY333" s="168" t="str">
        <f ca="1">IF(OR(AY$22=0,$AW$78=0),"",
INDEX(energielabels_labelnamen,MATCH(AY330,OFFSET(bibliotheek!$H$488,0,MATCH(AY$19,gebruiksfuncties_namen,0)-1,ROWS(energielabels_labelnamen),1),-1)))</f>
        <v/>
      </c>
      <c r="AZ333" s="168" t="str">
        <f ca="1">IF(OR(AZ$22=0,$AW$78=0),"",
INDEX(energielabels_labelnamen,MATCH(AZ330,OFFSET(bibliotheek!$H$488,0,MATCH(AZ$19,gebruiksfuncties_namen,0)-1,ROWS(energielabels_labelnamen),1),-1)))</f>
        <v/>
      </c>
      <c r="BA333" s="168" t="str">
        <f ca="1">IF(OR(BA$22=0,$AW$78=0),"",
INDEX(energielabels_labelnamen,MATCH(BA330,OFFSET(bibliotheek!$H$488,0,MATCH(BA$19,gebruiksfuncties_namen,0)-1,ROWS(energielabels_labelnamen),1),-1)))</f>
        <v/>
      </c>
      <c r="BB333" s="168" t="str">
        <f ca="1">IF(OR(BB$22=0,$AW$78=0),"",
INDEX(energielabels_labelnamen,MATCH(BB330,OFFSET(bibliotheek!$H$488,0,MATCH(BB$19,gebruiksfuncties_namen,0)-1,ROWS(energielabels_labelnamen),1),-1)))</f>
        <v/>
      </c>
      <c r="BC333" s="168" t="str">
        <f ca="1">IF(OR(BC$22=0,$AW$78=0),"",
INDEX(energielabels_labelnamen,MATCH(BC330,OFFSET(bibliotheek!$H$488,0,MATCH(BC$19,gebruiksfuncties_namen,0)-1,ROWS(energielabels_labelnamen),1),-1)))</f>
        <v/>
      </c>
      <c r="BD333" s="168" t="str">
        <f ca="1">IF(OR(BD$22=0,$AW$78=0),"",
INDEX(energielabels_labelnamen,MATCH(BD330,OFFSET(bibliotheek!$H$488,0,MATCH(BD$19,gebruiksfuncties_namen,0)-1,ROWS(energielabels_labelnamen),1),-1)))</f>
        <v/>
      </c>
      <c r="BE333" s="168" t="str">
        <f ca="1">IF(OR(BE$22=0,$AW$78=0),"",
INDEX(energielabels_labelnamen,MATCH(BE330,OFFSET(bibliotheek!$H$488,0,MATCH(BE$19,gebruiksfuncties_namen,0)-1,ROWS(energielabels_labelnamen),1),-1)))</f>
        <v/>
      </c>
      <c r="BF333" s="168" t="str">
        <f ca="1">IF(OR(BF$22=0,$AW$78=0),"",
INDEX(energielabels_labelnamen,MATCH(BF330,OFFSET(bibliotheek!$H$488,0,MATCH(BF$19,gebruiksfuncties_namen,0)-1,ROWS(energielabels_labelnamen),1),-1)))</f>
        <v/>
      </c>
      <c r="BG333" s="168" t="str">
        <f ca="1">IF(OR(BG$22=0,$AW$78=0),"",
INDEX(energielabels_labelnamen,MATCH(BG330,OFFSET(bibliotheek!$H$488,0,MATCH(BG$19,gebruiksfuncties_namen,0)-1,ROWS(energielabels_labelnamen),1),-1)))</f>
        <v/>
      </c>
      <c r="BH333" s="210"/>
    </row>
    <row r="334" spans="1:60">
      <c r="A334" s="1040"/>
      <c r="B334" s="1109" t="s">
        <v>1223</v>
      </c>
      <c r="C334" s="1107" t="s">
        <v>104</v>
      </c>
      <c r="D334" s="640" t="s">
        <v>45</v>
      </c>
      <c r="E334" s="203" t="s">
        <v>1015</v>
      </c>
      <c r="F334" s="862"/>
      <c r="G334" s="862"/>
      <c r="H334" s="204" t="s">
        <v>65</v>
      </c>
      <c r="I334" s="114"/>
      <c r="J334" s="202"/>
      <c r="K334" s="195"/>
      <c r="L334" s="195"/>
      <c r="M334" s="202"/>
      <c r="N334" s="114"/>
      <c r="O334" s="168" t="str">
        <f t="shared" ref="O334:W334" si="426">IF(O$26=0,"",INDEX(eindnorm_utiliteit_energielabel,MATCH(O$19,gebruiksfuncties_namen,0)))</f>
        <v/>
      </c>
      <c r="P334" s="168" t="str">
        <f>IF(P$26=0,"",INDEX(eindnorm_utiliteit_energielabel,MATCH(P$19,gebruiksfuncties_namen,0)))</f>
        <v/>
      </c>
      <c r="Q334" s="168" t="str">
        <f t="shared" si="426"/>
        <v/>
      </c>
      <c r="R334" s="168" t="str">
        <f t="shared" si="426"/>
        <v/>
      </c>
      <c r="S334" s="168" t="str">
        <f t="shared" si="426"/>
        <v/>
      </c>
      <c r="T334" s="168" t="str">
        <f t="shared" si="426"/>
        <v/>
      </c>
      <c r="U334" s="168" t="str">
        <f t="shared" si="426"/>
        <v/>
      </c>
      <c r="V334" s="168" t="str">
        <f t="shared" si="426"/>
        <v/>
      </c>
      <c r="W334" s="168" t="str">
        <f t="shared" si="426"/>
        <v/>
      </c>
      <c r="X334" s="113"/>
      <c r="Y334" s="202"/>
      <c r="Z334" s="114"/>
      <c r="AA334" s="168" t="str">
        <f t="shared" ref="AA334:AI334" si="427">IF(AA$26=0,"",INDEX(eindnorm_utiliteit_energielabel,MATCH(AA$19,gebruiksfuncties_namen,0)))</f>
        <v/>
      </c>
      <c r="AB334" s="168" t="str">
        <f t="shared" si="427"/>
        <v/>
      </c>
      <c r="AC334" s="168" t="str">
        <f t="shared" si="427"/>
        <v/>
      </c>
      <c r="AD334" s="168" t="str">
        <f t="shared" si="427"/>
        <v/>
      </c>
      <c r="AE334" s="168" t="str">
        <f t="shared" si="427"/>
        <v/>
      </c>
      <c r="AF334" s="168" t="str">
        <f t="shared" si="427"/>
        <v/>
      </c>
      <c r="AG334" s="168" t="str">
        <f t="shared" si="427"/>
        <v/>
      </c>
      <c r="AH334" s="168" t="str">
        <f t="shared" si="427"/>
        <v/>
      </c>
      <c r="AI334" s="168" t="str">
        <f t="shared" si="427"/>
        <v/>
      </c>
      <c r="AJ334" s="113"/>
      <c r="AK334" s="202"/>
      <c r="AL334" s="114"/>
      <c r="AM334" s="168" t="str">
        <f t="shared" ref="AM334:AU334" si="428">IF(AM$26=0,"",INDEX(eindnorm_utiliteit_energielabel,MATCH(AM$19,gebruiksfuncties_namen,0)))</f>
        <v/>
      </c>
      <c r="AN334" s="168" t="str">
        <f t="shared" si="428"/>
        <v/>
      </c>
      <c r="AO334" s="168" t="str">
        <f t="shared" si="428"/>
        <v/>
      </c>
      <c r="AP334" s="168" t="str">
        <f t="shared" si="428"/>
        <v/>
      </c>
      <c r="AQ334" s="168" t="str">
        <f t="shared" si="428"/>
        <v/>
      </c>
      <c r="AR334" s="168" t="str">
        <f t="shared" si="428"/>
        <v/>
      </c>
      <c r="AS334" s="168" t="str">
        <f t="shared" si="428"/>
        <v/>
      </c>
      <c r="AT334" s="168" t="str">
        <f t="shared" si="428"/>
        <v/>
      </c>
      <c r="AU334" s="168" t="str">
        <f t="shared" si="428"/>
        <v/>
      </c>
      <c r="AV334" s="113"/>
      <c r="AW334" s="202"/>
      <c r="AX334" s="114"/>
      <c r="AY334" s="168" t="str">
        <f t="shared" ref="AY334:BG334" si="429">IF(AY$26=0,"",INDEX(eindnorm_utiliteit_energielabel,MATCH(AY$19,gebruiksfuncties_namen,0)))</f>
        <v/>
      </c>
      <c r="AZ334" s="168" t="str">
        <f t="shared" si="429"/>
        <v/>
      </c>
      <c r="BA334" s="168" t="str">
        <f t="shared" si="429"/>
        <v/>
      </c>
      <c r="BB334" s="168" t="str">
        <f t="shared" si="429"/>
        <v/>
      </c>
      <c r="BC334" s="168" t="str">
        <f t="shared" si="429"/>
        <v/>
      </c>
      <c r="BD334" s="168" t="str">
        <f t="shared" si="429"/>
        <v/>
      </c>
      <c r="BE334" s="168" t="str">
        <f t="shared" si="429"/>
        <v/>
      </c>
      <c r="BF334" s="168" t="str">
        <f t="shared" si="429"/>
        <v/>
      </c>
      <c r="BG334" s="168" t="str">
        <f t="shared" si="429"/>
        <v/>
      </c>
      <c r="BH334" s="210"/>
    </row>
    <row r="335" spans="1:60">
      <c r="A335" s="1040"/>
      <c r="B335" s="1109" t="s">
        <v>1223</v>
      </c>
      <c r="C335" s="1106" t="s">
        <v>96</v>
      </c>
      <c r="D335" s="640" t="s">
        <v>45</v>
      </c>
      <c r="E335" s="942" t="s">
        <v>283</v>
      </c>
      <c r="F335" s="942"/>
      <c r="G335" s="942"/>
      <c r="H335" s="942"/>
      <c r="I335" s="129"/>
      <c r="J335" s="943"/>
      <c r="K335" s="126"/>
      <c r="L335" s="126"/>
      <c r="M335" s="944"/>
      <c r="N335" s="195"/>
      <c r="O335" s="258" t="str">
        <f>O$17</f>
        <v/>
      </c>
      <c r="P335" s="258" t="str">
        <f t="shared" ref="P335:W335" si="430">P$17</f>
        <v/>
      </c>
      <c r="Q335" s="258" t="str">
        <f t="shared" si="430"/>
        <v/>
      </c>
      <c r="R335" s="258" t="str">
        <f t="shared" si="430"/>
        <v/>
      </c>
      <c r="S335" s="258" t="str">
        <f t="shared" si="430"/>
        <v/>
      </c>
      <c r="T335" s="258" t="str">
        <f t="shared" si="430"/>
        <v/>
      </c>
      <c r="U335" s="258" t="str">
        <f t="shared" si="430"/>
        <v/>
      </c>
      <c r="V335" s="258" t="str">
        <f t="shared" si="430"/>
        <v/>
      </c>
      <c r="W335" s="258" t="str">
        <f t="shared" si="430"/>
        <v/>
      </c>
      <c r="X335" s="195"/>
      <c r="Y335" s="944"/>
      <c r="Z335" s="195"/>
      <c r="AA335" s="258" t="str">
        <f>AA$17</f>
        <v/>
      </c>
      <c r="AB335" s="258" t="str">
        <f t="shared" ref="AB335:AI335" si="431">AB$17</f>
        <v/>
      </c>
      <c r="AC335" s="258" t="str">
        <f t="shared" si="431"/>
        <v/>
      </c>
      <c r="AD335" s="258" t="str">
        <f t="shared" si="431"/>
        <v/>
      </c>
      <c r="AE335" s="258" t="str">
        <f t="shared" si="431"/>
        <v/>
      </c>
      <c r="AF335" s="258" t="str">
        <f t="shared" si="431"/>
        <v/>
      </c>
      <c r="AG335" s="258" t="str">
        <f t="shared" si="431"/>
        <v/>
      </c>
      <c r="AH335" s="258" t="str">
        <f t="shared" si="431"/>
        <v/>
      </c>
      <c r="AI335" s="258" t="str">
        <f t="shared" si="431"/>
        <v/>
      </c>
      <c r="AJ335" s="195"/>
      <c r="AK335" s="944"/>
      <c r="AL335" s="195"/>
      <c r="AM335" s="258" t="str">
        <f>AM$17</f>
        <v/>
      </c>
      <c r="AN335" s="258" t="str">
        <f t="shared" ref="AN335:AU335" si="432">AN$17</f>
        <v/>
      </c>
      <c r="AO335" s="258" t="str">
        <f t="shared" si="432"/>
        <v/>
      </c>
      <c r="AP335" s="258" t="str">
        <f t="shared" si="432"/>
        <v/>
      </c>
      <c r="AQ335" s="258" t="str">
        <f t="shared" si="432"/>
        <v/>
      </c>
      <c r="AR335" s="258" t="str">
        <f t="shared" si="432"/>
        <v/>
      </c>
      <c r="AS335" s="258" t="str">
        <f t="shared" si="432"/>
        <v/>
      </c>
      <c r="AT335" s="258" t="str">
        <f t="shared" si="432"/>
        <v/>
      </c>
      <c r="AU335" s="258" t="str">
        <f t="shared" si="432"/>
        <v/>
      </c>
      <c r="AV335" s="195"/>
      <c r="AW335" s="944"/>
      <c r="AX335" s="195"/>
      <c r="AY335" s="258" t="str">
        <f>AY$17</f>
        <v/>
      </c>
      <c r="AZ335" s="258" t="str">
        <f t="shared" ref="AZ335:BG335" si="433">AZ$17</f>
        <v/>
      </c>
      <c r="BA335" s="258" t="str">
        <f t="shared" si="433"/>
        <v/>
      </c>
      <c r="BB335" s="258" t="str">
        <f t="shared" si="433"/>
        <v/>
      </c>
      <c r="BC335" s="258" t="str">
        <f t="shared" si="433"/>
        <v/>
      </c>
      <c r="BD335" s="258" t="str">
        <f t="shared" si="433"/>
        <v/>
      </c>
      <c r="BE335" s="258" t="str">
        <f t="shared" si="433"/>
        <v/>
      </c>
      <c r="BF335" s="258" t="str">
        <f t="shared" si="433"/>
        <v/>
      </c>
      <c r="BG335" s="258" t="str">
        <f t="shared" si="433"/>
        <v/>
      </c>
      <c r="BH335" s="36"/>
    </row>
    <row r="336" spans="1:60">
      <c r="A336" s="1040"/>
      <c r="B336" s="1109" t="s">
        <v>1223</v>
      </c>
      <c r="C336" s="1107" t="s">
        <v>104</v>
      </c>
      <c r="D336" s="641"/>
      <c r="E336" s="203" t="s">
        <v>284</v>
      </c>
      <c r="F336" s="203"/>
      <c r="G336" s="203"/>
      <c r="H336" s="204" t="s">
        <v>154</v>
      </c>
      <c r="I336" s="205"/>
      <c r="J336" s="206"/>
      <c r="K336" s="79"/>
      <c r="L336" s="79"/>
      <c r="M336" s="206"/>
      <c r="N336" s="205"/>
      <c r="O336" s="542" t="str">
        <f t="shared" ref="O336:W336" si="434">IF(O$337="","",IF(O$337="nvt","nvt",
INDEX(standaardwaarde_basis,MATCH(O$19,standaardwaarden_gebruiksfuncties,0))+
MAX(0,O$32-1)*INDEX(standaardwaarde_extra_vraag_boven_grenswaarde_vormfactor,MATCH(O$19,standaardwaarden_gebruiksfuncties,0))))</f>
        <v/>
      </c>
      <c r="P336" s="542" t="str">
        <f t="shared" si="434"/>
        <v/>
      </c>
      <c r="Q336" s="542" t="str">
        <f t="shared" si="434"/>
        <v/>
      </c>
      <c r="R336" s="542" t="str">
        <f t="shared" si="434"/>
        <v/>
      </c>
      <c r="S336" s="542" t="str">
        <f t="shared" si="434"/>
        <v/>
      </c>
      <c r="T336" s="542" t="str">
        <f t="shared" si="434"/>
        <v/>
      </c>
      <c r="U336" s="542" t="str">
        <f t="shared" si="434"/>
        <v/>
      </c>
      <c r="V336" s="542" t="str">
        <f t="shared" si="434"/>
        <v/>
      </c>
      <c r="W336" s="542" t="str">
        <f t="shared" si="434"/>
        <v/>
      </c>
      <c r="X336" s="108"/>
      <c r="Y336" s="206"/>
      <c r="Z336" s="1091"/>
      <c r="AA336" s="542" t="str">
        <f t="shared" ref="AA336:AI336" si="435">IF(AA$337="","",IF(AA$337="nvt","nvt",
INDEX(standaardwaarde_basis,MATCH(AA$19,standaardwaarden_gebruiksfuncties,0))+
MAX(0,AA$32-1)*INDEX(standaardwaarde_extra_vraag_boven_grenswaarde_vormfactor,MATCH(AA$19,standaardwaarden_gebruiksfuncties,0))))</f>
        <v/>
      </c>
      <c r="AB336" s="542" t="str">
        <f t="shared" si="435"/>
        <v/>
      </c>
      <c r="AC336" s="542" t="str">
        <f t="shared" si="435"/>
        <v/>
      </c>
      <c r="AD336" s="542" t="str">
        <f t="shared" si="435"/>
        <v/>
      </c>
      <c r="AE336" s="542" t="str">
        <f t="shared" si="435"/>
        <v/>
      </c>
      <c r="AF336" s="542" t="str">
        <f t="shared" si="435"/>
        <v/>
      </c>
      <c r="AG336" s="542" t="str">
        <f t="shared" si="435"/>
        <v/>
      </c>
      <c r="AH336" s="542" t="str">
        <f t="shared" si="435"/>
        <v/>
      </c>
      <c r="AI336" s="542" t="str">
        <f t="shared" si="435"/>
        <v/>
      </c>
      <c r="AJ336" s="108"/>
      <c r="AK336" s="206"/>
      <c r="AL336" s="1091"/>
      <c r="AM336" s="542" t="str">
        <f t="shared" ref="AM336:AU336" si="436">IF(AM$337="","",IF(AM$337="nvt","nvt",
INDEX(standaardwaarde_basis,MATCH(AM$19,standaardwaarden_gebruiksfuncties,0))+
MAX(0,AM$32-1)*INDEX(standaardwaarde_extra_vraag_boven_grenswaarde_vormfactor,MATCH(AM$19,standaardwaarden_gebruiksfuncties,0))))</f>
        <v/>
      </c>
      <c r="AN336" s="542" t="str">
        <f t="shared" si="436"/>
        <v/>
      </c>
      <c r="AO336" s="542" t="str">
        <f t="shared" si="436"/>
        <v/>
      </c>
      <c r="AP336" s="542" t="str">
        <f t="shared" si="436"/>
        <v/>
      </c>
      <c r="AQ336" s="542" t="str">
        <f t="shared" si="436"/>
        <v/>
      </c>
      <c r="AR336" s="542" t="str">
        <f t="shared" si="436"/>
        <v/>
      </c>
      <c r="AS336" s="542" t="str">
        <f t="shared" si="436"/>
        <v/>
      </c>
      <c r="AT336" s="542" t="str">
        <f t="shared" si="436"/>
        <v/>
      </c>
      <c r="AU336" s="542" t="str">
        <f t="shared" si="436"/>
        <v/>
      </c>
      <c r="AV336" s="108"/>
      <c r="AW336" s="206"/>
      <c r="AX336" s="1091"/>
      <c r="AY336" s="542" t="str">
        <f t="shared" ref="AY336:BG336" si="437">IF(AY$337="","",IF(AY$337="nvt","nvt",
INDEX(standaardwaarde_basis,MATCH(AY$19,standaardwaarden_gebruiksfuncties,0))+
MAX(0,AY$32-1)*INDEX(standaardwaarde_extra_vraag_boven_grenswaarde_vormfactor,MATCH(AY$19,standaardwaarden_gebruiksfuncties,0))))</f>
        <v/>
      </c>
      <c r="AZ336" s="542" t="str">
        <f t="shared" si="437"/>
        <v/>
      </c>
      <c r="BA336" s="542" t="str">
        <f t="shared" si="437"/>
        <v/>
      </c>
      <c r="BB336" s="542" t="str">
        <f t="shared" si="437"/>
        <v/>
      </c>
      <c r="BC336" s="542" t="str">
        <f t="shared" si="437"/>
        <v/>
      </c>
      <c r="BD336" s="542" t="str">
        <f t="shared" si="437"/>
        <v/>
      </c>
      <c r="BE336" s="542" t="str">
        <f t="shared" si="437"/>
        <v/>
      </c>
      <c r="BF336" s="542" t="str">
        <f t="shared" si="437"/>
        <v/>
      </c>
      <c r="BG336" s="542" t="str">
        <f t="shared" si="437"/>
        <v/>
      </c>
      <c r="BH336" s="210"/>
    </row>
    <row r="337" spans="1:60">
      <c r="A337" s="1040"/>
      <c r="B337" s="1109" t="s">
        <v>1223</v>
      </c>
      <c r="C337" s="1107" t="s">
        <v>104</v>
      </c>
      <c r="D337" s="641"/>
      <c r="E337" s="203" t="s">
        <v>285</v>
      </c>
      <c r="F337" s="203"/>
      <c r="G337" s="203"/>
      <c r="H337" s="204" t="s">
        <v>154</v>
      </c>
      <c r="I337" s="205"/>
      <c r="J337" s="206"/>
      <c r="K337" s="79"/>
      <c r="L337" s="79"/>
      <c r="M337" s="206"/>
      <c r="N337" s="205"/>
      <c r="O337" s="542" t="str">
        <f t="shared" ref="O337:W337" si="438">IF(OR(O$17="",O$38="",O$40="",O$322=""),"",IF(OR(O$19=woning,O$19=woongebouw),O$269,"nvt"))</f>
        <v/>
      </c>
      <c r="P337" s="542" t="str">
        <f t="shared" si="438"/>
        <v/>
      </c>
      <c r="Q337" s="542" t="str">
        <f t="shared" si="438"/>
        <v/>
      </c>
      <c r="R337" s="542" t="str">
        <f t="shared" si="438"/>
        <v/>
      </c>
      <c r="S337" s="542" t="str">
        <f t="shared" si="438"/>
        <v/>
      </c>
      <c r="T337" s="542" t="str">
        <f t="shared" si="438"/>
        <v/>
      </c>
      <c r="U337" s="542" t="str">
        <f t="shared" si="438"/>
        <v/>
      </c>
      <c r="V337" s="542" t="str">
        <f t="shared" si="438"/>
        <v/>
      </c>
      <c r="W337" s="542" t="str">
        <f t="shared" si="438"/>
        <v/>
      </c>
      <c r="X337" s="108"/>
      <c r="Y337" s="206"/>
      <c r="Z337" s="1091"/>
      <c r="AA337" s="542" t="str">
        <f t="shared" ref="AA337:AI337" si="439">IF(OR(AA$17="",AA$38="",AA$40="",AA$322=""),"",IF(OR(AA$19=woning,AA$19=woongebouw),AA$269,"nvt"))</f>
        <v/>
      </c>
      <c r="AB337" s="542" t="str">
        <f t="shared" si="439"/>
        <v/>
      </c>
      <c r="AC337" s="542" t="str">
        <f t="shared" si="439"/>
        <v/>
      </c>
      <c r="AD337" s="542" t="str">
        <f t="shared" si="439"/>
        <v/>
      </c>
      <c r="AE337" s="542" t="str">
        <f t="shared" si="439"/>
        <v/>
      </c>
      <c r="AF337" s="542" t="str">
        <f t="shared" si="439"/>
        <v/>
      </c>
      <c r="AG337" s="542" t="str">
        <f t="shared" si="439"/>
        <v/>
      </c>
      <c r="AH337" s="542" t="str">
        <f t="shared" si="439"/>
        <v/>
      </c>
      <c r="AI337" s="542" t="str">
        <f t="shared" si="439"/>
        <v/>
      </c>
      <c r="AJ337" s="108"/>
      <c r="AK337" s="206"/>
      <c r="AL337" s="1091"/>
      <c r="AM337" s="542" t="str">
        <f t="shared" ref="AM337:AU337" si="440">IF(OR(AM$17="",AM$38="",AM$40="",AM$322=""),"",IF(OR(AM$19=woning,AM$19=woongebouw),AM$269,"nvt"))</f>
        <v/>
      </c>
      <c r="AN337" s="542" t="str">
        <f t="shared" si="440"/>
        <v/>
      </c>
      <c r="AO337" s="542" t="str">
        <f t="shared" si="440"/>
        <v/>
      </c>
      <c r="AP337" s="542" t="str">
        <f t="shared" si="440"/>
        <v/>
      </c>
      <c r="AQ337" s="542" t="str">
        <f t="shared" si="440"/>
        <v/>
      </c>
      <c r="AR337" s="542" t="str">
        <f t="shared" si="440"/>
        <v/>
      </c>
      <c r="AS337" s="542" t="str">
        <f t="shared" si="440"/>
        <v/>
      </c>
      <c r="AT337" s="542" t="str">
        <f t="shared" si="440"/>
        <v/>
      </c>
      <c r="AU337" s="542" t="str">
        <f t="shared" si="440"/>
        <v/>
      </c>
      <c r="AV337" s="108"/>
      <c r="AW337" s="206"/>
      <c r="AX337" s="1091"/>
      <c r="AY337" s="542" t="str">
        <f t="shared" ref="AY337:BG337" si="441">IF(OR(AY$17="",AY$38="",AY$40="",AY$322=""),"",IF(OR(AY$19=woning,AY$19=woongebouw),AY$269,"nvt"))</f>
        <v/>
      </c>
      <c r="AZ337" s="542" t="str">
        <f t="shared" si="441"/>
        <v/>
      </c>
      <c r="BA337" s="542" t="str">
        <f t="shared" si="441"/>
        <v/>
      </c>
      <c r="BB337" s="542" t="str">
        <f t="shared" si="441"/>
        <v/>
      </c>
      <c r="BC337" s="542" t="str">
        <f t="shared" si="441"/>
        <v/>
      </c>
      <c r="BD337" s="542" t="str">
        <f t="shared" si="441"/>
        <v/>
      </c>
      <c r="BE337" s="542" t="str">
        <f t="shared" si="441"/>
        <v/>
      </c>
      <c r="BF337" s="542" t="str">
        <f t="shared" si="441"/>
        <v/>
      </c>
      <c r="BG337" s="542" t="str">
        <f t="shared" si="441"/>
        <v/>
      </c>
      <c r="BH337" s="210"/>
    </row>
    <row r="338" spans="1:60">
      <c r="A338" s="1040"/>
      <c r="B338" s="1109" t="s">
        <v>1223</v>
      </c>
      <c r="C338" s="1106" t="s">
        <v>96</v>
      </c>
      <c r="D338" s="638"/>
      <c r="E338" s="942" t="s">
        <v>286</v>
      </c>
      <c r="F338" s="942"/>
      <c r="G338" s="942"/>
      <c r="H338" s="942"/>
      <c r="I338" s="129"/>
      <c r="J338" s="943"/>
      <c r="K338" s="126"/>
      <c r="L338" s="126"/>
      <c r="M338" s="944"/>
      <c r="N338" s="195"/>
      <c r="O338" s="258" t="str">
        <f>O$17</f>
        <v/>
      </c>
      <c r="P338" s="258" t="str">
        <f t="shared" ref="P338:W338" si="442">P$17</f>
        <v/>
      </c>
      <c r="Q338" s="258" t="str">
        <f t="shared" si="442"/>
        <v/>
      </c>
      <c r="R338" s="258" t="str">
        <f t="shared" si="442"/>
        <v/>
      </c>
      <c r="S338" s="258" t="str">
        <f t="shared" si="442"/>
        <v/>
      </c>
      <c r="T338" s="258" t="str">
        <f t="shared" si="442"/>
        <v/>
      </c>
      <c r="U338" s="258" t="str">
        <f t="shared" si="442"/>
        <v/>
      </c>
      <c r="V338" s="258" t="str">
        <f t="shared" si="442"/>
        <v/>
      </c>
      <c r="W338" s="258" t="str">
        <f t="shared" si="442"/>
        <v/>
      </c>
      <c r="X338" s="1092"/>
      <c r="Y338" s="944"/>
      <c r="Z338" s="1092"/>
      <c r="AA338" s="258" t="str">
        <f>AA$17</f>
        <v/>
      </c>
      <c r="AB338" s="258" t="str">
        <f t="shared" ref="AB338:AI338" si="443">AB$17</f>
        <v/>
      </c>
      <c r="AC338" s="258" t="str">
        <f t="shared" si="443"/>
        <v/>
      </c>
      <c r="AD338" s="258" t="str">
        <f t="shared" si="443"/>
        <v/>
      </c>
      <c r="AE338" s="258" t="str">
        <f t="shared" si="443"/>
        <v/>
      </c>
      <c r="AF338" s="258" t="str">
        <f t="shared" si="443"/>
        <v/>
      </c>
      <c r="AG338" s="258" t="str">
        <f t="shared" si="443"/>
        <v/>
      </c>
      <c r="AH338" s="258" t="str">
        <f t="shared" si="443"/>
        <v/>
      </c>
      <c r="AI338" s="258" t="str">
        <f t="shared" si="443"/>
        <v/>
      </c>
      <c r="AJ338" s="1092"/>
      <c r="AK338" s="944"/>
      <c r="AL338" s="1092"/>
      <c r="AM338" s="258" t="str">
        <f>AM$17</f>
        <v/>
      </c>
      <c r="AN338" s="258" t="str">
        <f t="shared" ref="AN338:AU338" si="444">AN$17</f>
        <v/>
      </c>
      <c r="AO338" s="258" t="str">
        <f t="shared" si="444"/>
        <v/>
      </c>
      <c r="AP338" s="258" t="str">
        <f t="shared" si="444"/>
        <v/>
      </c>
      <c r="AQ338" s="258" t="str">
        <f t="shared" si="444"/>
        <v/>
      </c>
      <c r="AR338" s="258" t="str">
        <f t="shared" si="444"/>
        <v/>
      </c>
      <c r="AS338" s="258" t="str">
        <f t="shared" si="444"/>
        <v/>
      </c>
      <c r="AT338" s="258" t="str">
        <f t="shared" si="444"/>
        <v/>
      </c>
      <c r="AU338" s="258" t="str">
        <f t="shared" si="444"/>
        <v/>
      </c>
      <c r="AV338" s="1092"/>
      <c r="AW338" s="944"/>
      <c r="AX338" s="1092"/>
      <c r="AY338" s="258" t="str">
        <f>AY$17</f>
        <v/>
      </c>
      <c r="AZ338" s="258" t="str">
        <f t="shared" ref="AZ338:BG338" si="445">AZ$17</f>
        <v/>
      </c>
      <c r="BA338" s="258" t="str">
        <f t="shared" si="445"/>
        <v/>
      </c>
      <c r="BB338" s="258" t="str">
        <f t="shared" si="445"/>
        <v/>
      </c>
      <c r="BC338" s="258" t="str">
        <f t="shared" si="445"/>
        <v/>
      </c>
      <c r="BD338" s="258" t="str">
        <f t="shared" si="445"/>
        <v/>
      </c>
      <c r="BE338" s="258" t="str">
        <f t="shared" si="445"/>
        <v/>
      </c>
      <c r="BF338" s="258" t="str">
        <f t="shared" si="445"/>
        <v/>
      </c>
      <c r="BG338" s="258" t="str">
        <f t="shared" si="445"/>
        <v/>
      </c>
      <c r="BH338" s="36"/>
    </row>
    <row r="339" spans="1:60">
      <c r="A339" s="1040"/>
      <c r="B339" s="1109" t="s">
        <v>1223</v>
      </c>
      <c r="C339" s="1107" t="s">
        <v>104</v>
      </c>
      <c r="D339" s="641"/>
      <c r="E339" s="203" t="s">
        <v>287</v>
      </c>
      <c r="F339" s="203"/>
      <c r="G339" s="203"/>
      <c r="H339" s="204" t="s">
        <v>154</v>
      </c>
      <c r="I339" s="205"/>
      <c r="J339" s="206"/>
      <c r="K339" s="79"/>
      <c r="L339" s="79"/>
      <c r="M339" s="206"/>
      <c r="N339" s="205"/>
      <c r="O339" s="542" t="str" cm="1">
        <f t="array" ref="O339">IF(O$337="","",IF(O$337="nvt","nvt",
INDEX(standaardwaarde_basis,MATCH(O$19,standaardwaarden_gebruiksfuncties,0)+1)+
MAX(0,O$32-1)*INDEX(standaardwaarde_extra_vraag_boven_grenswaarde_vormfactor,MATCH(O$19,standaardwaarden_gebruiksfuncties,0)+1)))</f>
        <v/>
      </c>
      <c r="P339" s="542" t="str" cm="1">
        <f t="array" ref="P339">IF(P$337="","",IF(P$337="nvt","nvt",
INDEX(standaardwaarde_basis,MATCH(P$19,standaardwaarden_gebruiksfuncties,0)+1)+
MAX(0,P$32-1)*INDEX(standaardwaarde_extra_vraag_boven_grenswaarde_vormfactor,MATCH(P$19,standaardwaarden_gebruiksfuncties,0)+1)))</f>
        <v/>
      </c>
      <c r="Q339" s="542" t="str" cm="1">
        <f t="array" ref="Q339">IF(Q$337="","",IF(Q$337="nvt","nvt",
INDEX(standaardwaarde_basis,MATCH(Q$19,standaardwaarden_gebruiksfuncties,0)+1)+
MAX(0,Q$32-1)*INDEX(standaardwaarde_extra_vraag_boven_grenswaarde_vormfactor,MATCH(Q$19,standaardwaarden_gebruiksfuncties,0)+1)))</f>
        <v/>
      </c>
      <c r="R339" s="542" t="str" cm="1">
        <f t="array" ref="R339">IF(R$337="","",IF(R$337="nvt","nvt",
INDEX(standaardwaarde_basis,MATCH(R$19,standaardwaarden_gebruiksfuncties,0)+1)+
MAX(0,R$32-1)*INDEX(standaardwaarde_extra_vraag_boven_grenswaarde_vormfactor,MATCH(R$19,standaardwaarden_gebruiksfuncties,0)+1)))</f>
        <v/>
      </c>
      <c r="S339" s="542" t="str" cm="1">
        <f t="array" ref="S339">IF(S$337="","",IF(S$337="nvt","nvt",
INDEX(standaardwaarde_basis,MATCH(S$19,standaardwaarden_gebruiksfuncties,0)+1)+
MAX(0,S$32-1)*INDEX(standaardwaarde_extra_vraag_boven_grenswaarde_vormfactor,MATCH(S$19,standaardwaarden_gebruiksfuncties,0)+1)))</f>
        <v/>
      </c>
      <c r="T339" s="542" t="str" cm="1">
        <f t="array" ref="T339">IF(T$337="","",IF(T$337="nvt","nvt",
INDEX(standaardwaarde_basis,MATCH(T$19,standaardwaarden_gebruiksfuncties,0)+1)+
MAX(0,T$32-1)*INDEX(standaardwaarde_extra_vraag_boven_grenswaarde_vormfactor,MATCH(T$19,standaardwaarden_gebruiksfuncties,0)+1)))</f>
        <v/>
      </c>
      <c r="U339" s="542" t="str" cm="1">
        <f t="array" ref="U339">IF(U$337="","",IF(U$337="nvt","nvt",
INDEX(standaardwaarde_basis,MATCH(U$19,standaardwaarden_gebruiksfuncties,0)+1)+
MAX(0,U$32-1)*INDEX(standaardwaarde_extra_vraag_boven_grenswaarde_vormfactor,MATCH(U$19,standaardwaarden_gebruiksfuncties,0)+1)))</f>
        <v/>
      </c>
      <c r="V339" s="542" t="str" cm="1">
        <f t="array" ref="V339">IF(V$337="","",IF(V$337="nvt","nvt",
INDEX(standaardwaarde_basis,MATCH(V$19,standaardwaarden_gebruiksfuncties,0)+1)+
MAX(0,V$32-1)*INDEX(standaardwaarde_extra_vraag_boven_grenswaarde_vormfactor,MATCH(V$19,standaardwaarden_gebruiksfuncties,0)+1)))</f>
        <v/>
      </c>
      <c r="W339" s="542" t="str" cm="1">
        <f t="array" ref="W339">IF(W$337="","",IF(W$337="nvt","nvt",
INDEX(standaardwaarde_basis,MATCH(W$19,standaardwaarden_gebruiksfuncties,0)+1)+
MAX(0,W$32-1)*INDEX(standaardwaarde_extra_vraag_boven_grenswaarde_vormfactor,MATCH(W$19,standaardwaarden_gebruiksfuncties,0)+1)))</f>
        <v/>
      </c>
      <c r="X339" s="108"/>
      <c r="Y339" s="206"/>
      <c r="Z339" s="1091"/>
      <c r="AA339" s="542" t="str" cm="1">
        <f t="array" ref="AA339">IF(AA$337="","",IF(AA$337="nvt","nvt",
INDEX(standaardwaarde_basis,MATCH(AA$19,standaardwaarden_gebruiksfuncties,0)+1)+
MAX(0,AA$32-1)*INDEX(standaardwaarde_extra_vraag_boven_grenswaarde_vormfactor,MATCH(AA$19,standaardwaarden_gebruiksfuncties,0)+1)))</f>
        <v/>
      </c>
      <c r="AB339" s="542" t="str" cm="1">
        <f t="array" ref="AB339">IF(AB$337="","",IF(AB$337="nvt","nvt",
INDEX(standaardwaarde_basis,MATCH(AB$19,standaardwaarden_gebruiksfuncties,0)+1)+
MAX(0,AB$32-1)*INDEX(standaardwaarde_extra_vraag_boven_grenswaarde_vormfactor,MATCH(AB$19,standaardwaarden_gebruiksfuncties,0)+1)))</f>
        <v/>
      </c>
      <c r="AC339" s="542" t="str" cm="1">
        <f t="array" ref="AC339">IF(AC$337="","",IF(AC$337="nvt","nvt",
INDEX(standaardwaarde_basis,MATCH(AC$19,standaardwaarden_gebruiksfuncties,0)+1)+
MAX(0,AC$32-1)*INDEX(standaardwaarde_extra_vraag_boven_grenswaarde_vormfactor,MATCH(AC$19,standaardwaarden_gebruiksfuncties,0)+1)))</f>
        <v/>
      </c>
      <c r="AD339" s="542" t="str" cm="1">
        <f t="array" ref="AD339">IF(AD$337="","",IF(AD$337="nvt","nvt",
INDEX(standaardwaarde_basis,MATCH(AD$19,standaardwaarden_gebruiksfuncties,0)+1)+
MAX(0,AD$32-1)*INDEX(standaardwaarde_extra_vraag_boven_grenswaarde_vormfactor,MATCH(AD$19,standaardwaarden_gebruiksfuncties,0)+1)))</f>
        <v/>
      </c>
      <c r="AE339" s="542" t="str" cm="1">
        <f t="array" ref="AE339">IF(AE$337="","",IF(AE$337="nvt","nvt",
INDEX(standaardwaarde_basis,MATCH(AE$19,standaardwaarden_gebruiksfuncties,0)+1)+
MAX(0,AE$32-1)*INDEX(standaardwaarde_extra_vraag_boven_grenswaarde_vormfactor,MATCH(AE$19,standaardwaarden_gebruiksfuncties,0)+1)))</f>
        <v/>
      </c>
      <c r="AF339" s="542" t="str" cm="1">
        <f t="array" ref="AF339">IF(AF$337="","",IF(AF$337="nvt","nvt",
INDEX(standaardwaarde_basis,MATCH(AF$19,standaardwaarden_gebruiksfuncties,0)+1)+
MAX(0,AF$32-1)*INDEX(standaardwaarde_extra_vraag_boven_grenswaarde_vormfactor,MATCH(AF$19,standaardwaarden_gebruiksfuncties,0)+1)))</f>
        <v/>
      </c>
      <c r="AG339" s="542" t="str" cm="1">
        <f t="array" ref="AG339">IF(AG$337="","",IF(AG$337="nvt","nvt",
INDEX(standaardwaarde_basis,MATCH(AG$19,standaardwaarden_gebruiksfuncties,0)+1)+
MAX(0,AG$32-1)*INDEX(standaardwaarde_extra_vraag_boven_grenswaarde_vormfactor,MATCH(AG$19,standaardwaarden_gebruiksfuncties,0)+1)))</f>
        <v/>
      </c>
      <c r="AH339" s="542" t="str" cm="1">
        <f t="array" ref="AH339">IF(AH$337="","",IF(AH$337="nvt","nvt",
INDEX(standaardwaarde_basis,MATCH(AH$19,standaardwaarden_gebruiksfuncties,0)+1)+
MAX(0,AH$32-1)*INDEX(standaardwaarde_extra_vraag_boven_grenswaarde_vormfactor,MATCH(AH$19,standaardwaarden_gebruiksfuncties,0)+1)))</f>
        <v/>
      </c>
      <c r="AI339" s="542" t="str" cm="1">
        <f t="array" ref="AI339">IF(AI$337="","",IF(AI$337="nvt","nvt",
INDEX(standaardwaarde_basis,MATCH(AI$19,standaardwaarden_gebruiksfuncties,0)+1)+
MAX(0,AI$32-1)*INDEX(standaardwaarde_extra_vraag_boven_grenswaarde_vormfactor,MATCH(AI$19,standaardwaarden_gebruiksfuncties,0)+1)))</f>
        <v/>
      </c>
      <c r="AJ339" s="108"/>
      <c r="AK339" s="206"/>
      <c r="AL339" s="1091"/>
      <c r="AM339" s="542" t="str" cm="1">
        <f t="array" ref="AM339">IF(AM$337="","",IF(AM$337="nvt","nvt",
INDEX(standaardwaarde_basis,MATCH(AM$19,standaardwaarden_gebruiksfuncties,0)+1)+
MAX(0,AM$32-1)*INDEX(standaardwaarde_extra_vraag_boven_grenswaarde_vormfactor,MATCH(AM$19,standaardwaarden_gebruiksfuncties,0)+1)))</f>
        <v/>
      </c>
      <c r="AN339" s="542" t="str" cm="1">
        <f t="array" ref="AN339">IF(AN$337="","",IF(AN$337="nvt","nvt",
INDEX(standaardwaarde_basis,MATCH(AN$19,standaardwaarden_gebruiksfuncties,0)+1)+
MAX(0,AN$32-1)*INDEX(standaardwaarde_extra_vraag_boven_grenswaarde_vormfactor,MATCH(AN$19,standaardwaarden_gebruiksfuncties,0)+1)))</f>
        <v/>
      </c>
      <c r="AO339" s="542" t="str" cm="1">
        <f t="array" ref="AO339">IF(AO$337="","",IF(AO$337="nvt","nvt",
INDEX(standaardwaarde_basis,MATCH(AO$19,standaardwaarden_gebruiksfuncties,0)+1)+
MAX(0,AO$32-1)*INDEX(standaardwaarde_extra_vraag_boven_grenswaarde_vormfactor,MATCH(AO$19,standaardwaarden_gebruiksfuncties,0)+1)))</f>
        <v/>
      </c>
      <c r="AP339" s="542" t="str" cm="1">
        <f t="array" ref="AP339">IF(AP$337="","",IF(AP$337="nvt","nvt",
INDEX(standaardwaarde_basis,MATCH(AP$19,standaardwaarden_gebruiksfuncties,0)+1)+
MAX(0,AP$32-1)*INDEX(standaardwaarde_extra_vraag_boven_grenswaarde_vormfactor,MATCH(AP$19,standaardwaarden_gebruiksfuncties,0)+1)))</f>
        <v/>
      </c>
      <c r="AQ339" s="542" t="str" cm="1">
        <f t="array" ref="AQ339">IF(AQ$337="","",IF(AQ$337="nvt","nvt",
INDEX(standaardwaarde_basis,MATCH(AQ$19,standaardwaarden_gebruiksfuncties,0)+1)+
MAX(0,AQ$32-1)*INDEX(standaardwaarde_extra_vraag_boven_grenswaarde_vormfactor,MATCH(AQ$19,standaardwaarden_gebruiksfuncties,0)+1)))</f>
        <v/>
      </c>
      <c r="AR339" s="542" t="str" cm="1">
        <f t="array" ref="AR339">IF(AR$337="","",IF(AR$337="nvt","nvt",
INDEX(standaardwaarde_basis,MATCH(AR$19,standaardwaarden_gebruiksfuncties,0)+1)+
MAX(0,AR$32-1)*INDEX(standaardwaarde_extra_vraag_boven_grenswaarde_vormfactor,MATCH(AR$19,standaardwaarden_gebruiksfuncties,0)+1)))</f>
        <v/>
      </c>
      <c r="AS339" s="542" t="str" cm="1">
        <f t="array" ref="AS339">IF(AS$337="","",IF(AS$337="nvt","nvt",
INDEX(standaardwaarde_basis,MATCH(AS$19,standaardwaarden_gebruiksfuncties,0)+1)+
MAX(0,AS$32-1)*INDEX(standaardwaarde_extra_vraag_boven_grenswaarde_vormfactor,MATCH(AS$19,standaardwaarden_gebruiksfuncties,0)+1)))</f>
        <v/>
      </c>
      <c r="AT339" s="542" t="str" cm="1">
        <f t="array" ref="AT339">IF(AT$337="","",IF(AT$337="nvt","nvt",
INDEX(standaardwaarde_basis,MATCH(AT$19,standaardwaarden_gebruiksfuncties,0)+1)+
MAX(0,AT$32-1)*INDEX(standaardwaarde_extra_vraag_boven_grenswaarde_vormfactor,MATCH(AT$19,standaardwaarden_gebruiksfuncties,0)+1)))</f>
        <v/>
      </c>
      <c r="AU339" s="542" t="str" cm="1">
        <f t="array" ref="AU339">IF(AU$337="","",IF(AU$337="nvt","nvt",
INDEX(standaardwaarde_basis,MATCH(AU$19,standaardwaarden_gebruiksfuncties,0)+1)+
MAX(0,AU$32-1)*INDEX(standaardwaarde_extra_vraag_boven_grenswaarde_vormfactor,MATCH(AU$19,standaardwaarden_gebruiksfuncties,0)+1)))</f>
        <v/>
      </c>
      <c r="AV339" s="108"/>
      <c r="AW339" s="206"/>
      <c r="AX339" s="1091"/>
      <c r="AY339" s="542" t="str" cm="1">
        <f t="array" ref="AY339">IF(AY$337="","",IF(AY$337="nvt","nvt",
INDEX(standaardwaarde_basis,MATCH(AY$19,standaardwaarden_gebruiksfuncties,0)+1)+
MAX(0,AY$32-1)*INDEX(standaardwaarde_extra_vraag_boven_grenswaarde_vormfactor,MATCH(AY$19,standaardwaarden_gebruiksfuncties,0)+1)))</f>
        <v/>
      </c>
      <c r="AZ339" s="542" t="str" cm="1">
        <f t="array" ref="AZ339">IF(AZ$337="","",IF(AZ$337="nvt","nvt",
INDEX(standaardwaarde_basis,MATCH(AZ$19,standaardwaarden_gebruiksfuncties,0)+1)+
MAX(0,AZ$32-1)*INDEX(standaardwaarde_extra_vraag_boven_grenswaarde_vormfactor,MATCH(AZ$19,standaardwaarden_gebruiksfuncties,0)+1)))</f>
        <v/>
      </c>
      <c r="BA339" s="542" t="str" cm="1">
        <f t="array" ref="BA339">IF(BA$337="","",IF(BA$337="nvt","nvt",
INDEX(standaardwaarde_basis,MATCH(BA$19,standaardwaarden_gebruiksfuncties,0)+1)+
MAX(0,BA$32-1)*INDEX(standaardwaarde_extra_vraag_boven_grenswaarde_vormfactor,MATCH(BA$19,standaardwaarden_gebruiksfuncties,0)+1)))</f>
        <v/>
      </c>
      <c r="BB339" s="542" t="str" cm="1">
        <f t="array" ref="BB339">IF(BB$337="","",IF(BB$337="nvt","nvt",
INDEX(standaardwaarde_basis,MATCH(BB$19,standaardwaarden_gebruiksfuncties,0)+1)+
MAX(0,BB$32-1)*INDEX(standaardwaarde_extra_vraag_boven_grenswaarde_vormfactor,MATCH(BB$19,standaardwaarden_gebruiksfuncties,0)+1)))</f>
        <v/>
      </c>
      <c r="BC339" s="542" t="str" cm="1">
        <f t="array" ref="BC339">IF(BC$337="","",IF(BC$337="nvt","nvt",
INDEX(standaardwaarde_basis,MATCH(BC$19,standaardwaarden_gebruiksfuncties,0)+1)+
MAX(0,BC$32-1)*INDEX(standaardwaarde_extra_vraag_boven_grenswaarde_vormfactor,MATCH(BC$19,standaardwaarden_gebruiksfuncties,0)+1)))</f>
        <v/>
      </c>
      <c r="BD339" s="542" t="str" cm="1">
        <f t="array" ref="BD339">IF(BD$337="","",IF(BD$337="nvt","nvt",
INDEX(standaardwaarde_basis,MATCH(BD$19,standaardwaarden_gebruiksfuncties,0)+1)+
MAX(0,BD$32-1)*INDEX(standaardwaarde_extra_vraag_boven_grenswaarde_vormfactor,MATCH(BD$19,standaardwaarden_gebruiksfuncties,0)+1)))</f>
        <v/>
      </c>
      <c r="BE339" s="542" t="str" cm="1">
        <f t="array" ref="BE339">IF(BE$337="","",IF(BE$337="nvt","nvt",
INDEX(standaardwaarde_basis,MATCH(BE$19,standaardwaarden_gebruiksfuncties,0)+1)+
MAX(0,BE$32-1)*INDEX(standaardwaarde_extra_vraag_boven_grenswaarde_vormfactor,MATCH(BE$19,standaardwaarden_gebruiksfuncties,0)+1)))</f>
        <v/>
      </c>
      <c r="BF339" s="542" t="str" cm="1">
        <f t="array" ref="BF339">IF(BF$337="","",IF(BF$337="nvt","nvt",
INDEX(standaardwaarde_basis,MATCH(BF$19,standaardwaarden_gebruiksfuncties,0)+1)+
MAX(0,BF$32-1)*INDEX(standaardwaarde_extra_vraag_boven_grenswaarde_vormfactor,MATCH(BF$19,standaardwaarden_gebruiksfuncties,0)+1)))</f>
        <v/>
      </c>
      <c r="BG339" s="542" t="str" cm="1">
        <f t="array" ref="BG339">IF(BG$337="","",IF(BG$337="nvt","nvt",
INDEX(standaardwaarde_basis,MATCH(BG$19,standaardwaarden_gebruiksfuncties,0)+1)+
MAX(0,BG$32-1)*INDEX(standaardwaarde_extra_vraag_boven_grenswaarde_vormfactor,MATCH(BG$19,standaardwaarden_gebruiksfuncties,0)+1)))</f>
        <v/>
      </c>
      <c r="BH339" s="210"/>
    </row>
    <row r="340" spans="1:60">
      <c r="A340" s="1040"/>
      <c r="B340" s="1109" t="s">
        <v>1223</v>
      </c>
      <c r="C340" s="1107" t="s">
        <v>104</v>
      </c>
      <c r="D340" s="641"/>
      <c r="E340" s="203" t="s">
        <v>285</v>
      </c>
      <c r="F340" s="203"/>
      <c r="G340" s="203"/>
      <c r="H340" s="204" t="s">
        <v>154</v>
      </c>
      <c r="I340" s="205"/>
      <c r="J340" s="206"/>
      <c r="K340" s="79"/>
      <c r="L340" s="79"/>
      <c r="M340" s="206"/>
      <c r="N340" s="205"/>
      <c r="O340" s="542" t="str">
        <f t="shared" ref="O340:W340" si="446">IF(OR(O$17="",O$38="",O$40="",O$322=""),"",IF(OR(O$19=woning,O$19=woongebouw),O$269,"nvt"))</f>
        <v/>
      </c>
      <c r="P340" s="542" t="str">
        <f t="shared" si="446"/>
        <v/>
      </c>
      <c r="Q340" s="542" t="str">
        <f t="shared" si="446"/>
        <v/>
      </c>
      <c r="R340" s="542" t="str">
        <f t="shared" si="446"/>
        <v/>
      </c>
      <c r="S340" s="542" t="str">
        <f t="shared" si="446"/>
        <v/>
      </c>
      <c r="T340" s="542" t="str">
        <f t="shared" si="446"/>
        <v/>
      </c>
      <c r="U340" s="542" t="str">
        <f t="shared" si="446"/>
        <v/>
      </c>
      <c r="V340" s="542" t="str">
        <f t="shared" si="446"/>
        <v/>
      </c>
      <c r="W340" s="542" t="str">
        <f t="shared" si="446"/>
        <v/>
      </c>
      <c r="X340" s="108"/>
      <c r="Y340" s="206"/>
      <c r="Z340" s="1091"/>
      <c r="AA340" s="542" t="str">
        <f t="shared" ref="AA340:AI340" si="447">IF(OR(AA$17="",AA$38="",AA$40="",AA$322=""),"",IF(OR(AA$19=woning,AA$19=woongebouw),AA$269,"nvt"))</f>
        <v/>
      </c>
      <c r="AB340" s="542" t="str">
        <f t="shared" si="447"/>
        <v/>
      </c>
      <c r="AC340" s="542" t="str">
        <f t="shared" si="447"/>
        <v/>
      </c>
      <c r="AD340" s="542" t="str">
        <f t="shared" si="447"/>
        <v/>
      </c>
      <c r="AE340" s="542" t="str">
        <f t="shared" si="447"/>
        <v/>
      </c>
      <c r="AF340" s="542" t="str">
        <f t="shared" si="447"/>
        <v/>
      </c>
      <c r="AG340" s="542" t="str">
        <f t="shared" si="447"/>
        <v/>
      </c>
      <c r="AH340" s="542" t="str">
        <f t="shared" si="447"/>
        <v/>
      </c>
      <c r="AI340" s="542" t="str">
        <f t="shared" si="447"/>
        <v/>
      </c>
      <c r="AJ340" s="108"/>
      <c r="AK340" s="206"/>
      <c r="AL340" s="1091"/>
      <c r="AM340" s="542" t="str">
        <f t="shared" ref="AM340:AU340" si="448">IF(OR(AM$17="",AM$38="",AM$40="",AM$322=""),"",IF(OR(AM$19=woning,AM$19=woongebouw),AM$269,"nvt"))</f>
        <v/>
      </c>
      <c r="AN340" s="542" t="str">
        <f t="shared" si="448"/>
        <v/>
      </c>
      <c r="AO340" s="542" t="str">
        <f t="shared" si="448"/>
        <v/>
      </c>
      <c r="AP340" s="542" t="str">
        <f t="shared" si="448"/>
        <v/>
      </c>
      <c r="AQ340" s="542" t="str">
        <f t="shared" si="448"/>
        <v/>
      </c>
      <c r="AR340" s="542" t="str">
        <f t="shared" si="448"/>
        <v/>
      </c>
      <c r="AS340" s="542" t="str">
        <f t="shared" si="448"/>
        <v/>
      </c>
      <c r="AT340" s="542" t="str">
        <f t="shared" si="448"/>
        <v/>
      </c>
      <c r="AU340" s="542" t="str">
        <f t="shared" si="448"/>
        <v/>
      </c>
      <c r="AV340" s="108"/>
      <c r="AW340" s="206"/>
      <c r="AX340" s="1091"/>
      <c r="AY340" s="542" t="str">
        <f t="shared" ref="AY340:BG340" si="449">IF(OR(AY$17="",AY$38="",AY$40="",AY$322=""),"",IF(OR(AY$19=woning,AY$19=woongebouw),AY$269,"nvt"))</f>
        <v/>
      </c>
      <c r="AZ340" s="542" t="str">
        <f t="shared" si="449"/>
        <v/>
      </c>
      <c r="BA340" s="542" t="str">
        <f t="shared" si="449"/>
        <v/>
      </c>
      <c r="BB340" s="542" t="str">
        <f t="shared" si="449"/>
        <v/>
      </c>
      <c r="BC340" s="542" t="str">
        <f t="shared" si="449"/>
        <v/>
      </c>
      <c r="BD340" s="542" t="str">
        <f t="shared" si="449"/>
        <v/>
      </c>
      <c r="BE340" s="542" t="str">
        <f t="shared" si="449"/>
        <v/>
      </c>
      <c r="BF340" s="542" t="str">
        <f t="shared" si="449"/>
        <v/>
      </c>
      <c r="BG340" s="542" t="str">
        <f t="shared" si="449"/>
        <v/>
      </c>
      <c r="BH340" s="210"/>
    </row>
    <row r="341" spans="1:60">
      <c r="A341" s="1040"/>
      <c r="B341" s="1109" t="s">
        <v>1223</v>
      </c>
      <c r="C341" s="1106" t="s">
        <v>96</v>
      </c>
      <c r="D341" s="638"/>
      <c r="E341" s="79"/>
      <c r="F341" s="79"/>
      <c r="G341" s="79"/>
      <c r="H341" s="85"/>
      <c r="I341" s="79"/>
      <c r="J341" s="82"/>
      <c r="K341" s="79"/>
      <c r="L341" s="79"/>
      <c r="M341" s="82"/>
      <c r="N341" s="79"/>
      <c r="O341" s="108"/>
      <c r="P341" s="108"/>
      <c r="Q341" s="108"/>
      <c r="R341" s="108"/>
      <c r="S341" s="108"/>
      <c r="T341" s="108"/>
      <c r="U341" s="108"/>
      <c r="V341" s="108"/>
      <c r="W341" s="108"/>
      <c r="X341" s="82"/>
      <c r="Y341" s="82"/>
      <c r="Z341" s="79"/>
      <c r="AA341" s="108"/>
      <c r="AB341" s="108"/>
      <c r="AC341" s="108"/>
      <c r="AD341" s="108"/>
      <c r="AE341" s="108"/>
      <c r="AF341" s="108"/>
      <c r="AG341" s="108"/>
      <c r="AH341" s="108"/>
      <c r="AI341" s="108"/>
      <c r="AJ341" s="82"/>
      <c r="AK341" s="82"/>
      <c r="AL341" s="79"/>
      <c r="AM341" s="108"/>
      <c r="AN341" s="108"/>
      <c r="AO341" s="108"/>
      <c r="AP341" s="108"/>
      <c r="AQ341" s="108"/>
      <c r="AR341" s="108"/>
      <c r="AS341" s="108"/>
      <c r="AT341" s="108"/>
      <c r="AU341" s="108"/>
      <c r="AV341" s="82"/>
      <c r="AW341" s="82"/>
      <c r="AX341" s="79"/>
      <c r="AY341" s="108"/>
      <c r="AZ341" s="108"/>
      <c r="BA341" s="108"/>
      <c r="BB341" s="108"/>
      <c r="BC341" s="108"/>
      <c r="BD341" s="108"/>
      <c r="BE341" s="108"/>
      <c r="BF341" s="108"/>
      <c r="BG341" s="108"/>
      <c r="BH341" s="1"/>
    </row>
    <row r="342" spans="1:60">
      <c r="A342" s="1040"/>
      <c r="B342" s="1109" t="s">
        <v>1224</v>
      </c>
      <c r="C342" s="1107" t="s">
        <v>96</v>
      </c>
      <c r="D342" s="638"/>
      <c r="E342" s="79"/>
      <c r="F342" s="79"/>
      <c r="G342" s="79"/>
      <c r="H342" s="85"/>
      <c r="I342" s="79"/>
      <c r="J342" s="82"/>
      <c r="K342" s="79"/>
      <c r="L342" s="79"/>
      <c r="M342" s="82"/>
      <c r="N342" s="79"/>
      <c r="O342" s="82"/>
      <c r="P342" s="82"/>
      <c r="Q342" s="82"/>
      <c r="R342" s="82"/>
      <c r="S342" s="82"/>
      <c r="T342" s="82"/>
      <c r="U342" s="82"/>
      <c r="V342" s="82"/>
      <c r="W342" s="82"/>
      <c r="X342" s="82"/>
      <c r="Y342" s="82"/>
      <c r="Z342" s="79"/>
      <c r="AA342" s="82"/>
      <c r="AB342" s="82"/>
      <c r="AC342" s="82"/>
      <c r="AD342" s="82"/>
      <c r="AE342" s="82"/>
      <c r="AF342" s="82"/>
      <c r="AG342" s="82"/>
      <c r="AH342" s="82"/>
      <c r="AI342" s="82"/>
      <c r="AJ342" s="82"/>
      <c r="AK342" s="82"/>
      <c r="AL342" s="79"/>
      <c r="AM342" s="82"/>
      <c r="AN342" s="82"/>
      <c r="AO342" s="82"/>
      <c r="AP342" s="82"/>
      <c r="AQ342" s="82"/>
      <c r="AR342" s="82"/>
      <c r="AS342" s="82"/>
      <c r="AT342" s="82"/>
      <c r="AU342" s="82"/>
      <c r="AV342" s="82"/>
      <c r="AW342" s="82"/>
      <c r="AX342" s="79"/>
      <c r="AY342" s="82"/>
      <c r="AZ342" s="82"/>
      <c r="BA342" s="82"/>
      <c r="BB342" s="82"/>
      <c r="BC342" s="82"/>
      <c r="BD342" s="82"/>
      <c r="BE342" s="82"/>
      <c r="BF342" s="82"/>
      <c r="BG342" s="82"/>
      <c r="BH342" s="1"/>
    </row>
    <row r="343" spans="1:60" s="2" customFormat="1" ht="21">
      <c r="A343" s="1038"/>
      <c r="B343" s="1109" t="s">
        <v>1224</v>
      </c>
      <c r="C343" s="1106" t="s">
        <v>96</v>
      </c>
      <c r="D343" s="640" t="s">
        <v>45</v>
      </c>
      <c r="E343" s="209" t="s">
        <v>1361</v>
      </c>
      <c r="F343" s="209"/>
      <c r="G343" s="209"/>
      <c r="H343" s="209"/>
      <c r="I343" s="129"/>
      <c r="J343" s="256" t="str">
        <f>"ton CO2 "&amp;J$8</f>
        <v>ton CO2 alle locaties</v>
      </c>
      <c r="K343" s="126"/>
      <c r="L343" s="126"/>
      <c r="M343" s="256" t="str">
        <f>"ton CO2 "&amp;M$8</f>
        <v>ton CO2 locatie 1</v>
      </c>
      <c r="N343" s="182"/>
      <c r="O343" s="955" t="str">
        <f>$E343&amp;" per woning-/gebouwtype"</f>
        <v>CO2 emissie indicatie op basis van berekening fossiel per woning-/gebouwtype</v>
      </c>
      <c r="P343" s="945"/>
      <c r="Q343" s="945"/>
      <c r="R343" s="945"/>
      <c r="S343" s="945"/>
      <c r="T343" s="945"/>
      <c r="U343" s="945"/>
      <c r="V343" s="945"/>
      <c r="W343" s="257"/>
      <c r="X343" s="174"/>
      <c r="Y343" s="256" t="str">
        <f>"ton CO2 "&amp;Y$8</f>
        <v>ton CO2 locatie 2</v>
      </c>
      <c r="Z343" s="182"/>
      <c r="AA343" s="955" t="str">
        <f>$E343&amp;" per woning-/gebouwtype"</f>
        <v>CO2 emissie indicatie op basis van berekening fossiel per woning-/gebouwtype</v>
      </c>
      <c r="AB343" s="945"/>
      <c r="AC343" s="945"/>
      <c r="AD343" s="945"/>
      <c r="AE343" s="945"/>
      <c r="AF343" s="945"/>
      <c r="AG343" s="945"/>
      <c r="AH343" s="945"/>
      <c r="AI343" s="257"/>
      <c r="AJ343" s="174"/>
      <c r="AK343" s="256" t="str">
        <f>"ton CO2 "&amp;AK$8</f>
        <v>ton CO2 locatie 3</v>
      </c>
      <c r="AL343" s="182"/>
      <c r="AM343" s="955" t="str">
        <f>$E343&amp;" per woning-/gebouwtype"</f>
        <v>CO2 emissie indicatie op basis van berekening fossiel per woning-/gebouwtype</v>
      </c>
      <c r="AN343" s="945"/>
      <c r="AO343" s="945"/>
      <c r="AP343" s="945"/>
      <c r="AQ343" s="945"/>
      <c r="AR343" s="945"/>
      <c r="AS343" s="945"/>
      <c r="AT343" s="945"/>
      <c r="AU343" s="257"/>
      <c r="AV343" s="174"/>
      <c r="AW343" s="256" t="str">
        <f>"ton CO2 "&amp;AW$8</f>
        <v>ton CO2 locatie 4</v>
      </c>
      <c r="AX343" s="182"/>
      <c r="AY343" s="955" t="str">
        <f>$E343&amp;" per woning-/gebouwtype"</f>
        <v>CO2 emissie indicatie op basis van berekening fossiel per woning-/gebouwtype</v>
      </c>
      <c r="AZ343" s="945"/>
      <c r="BA343" s="945"/>
      <c r="BB343" s="945"/>
      <c r="BC343" s="945"/>
      <c r="BD343" s="945"/>
      <c r="BE343" s="945"/>
      <c r="BF343" s="945"/>
      <c r="BG343" s="257"/>
      <c r="BH343" s="1"/>
    </row>
    <row r="344" spans="1:60">
      <c r="A344" s="1040"/>
      <c r="B344" s="1109" t="s">
        <v>1224</v>
      </c>
      <c r="C344" s="1106" t="s">
        <v>96</v>
      </c>
      <c r="D344" s="638"/>
      <c r="E344" s="942" t="s">
        <v>288</v>
      </c>
      <c r="F344" s="942"/>
      <c r="G344" s="942"/>
      <c r="H344" s="942"/>
      <c r="I344" s="129"/>
      <c r="J344" s="943"/>
      <c r="K344" s="126"/>
      <c r="L344" s="126"/>
      <c r="M344" s="944"/>
      <c r="N344" s="195"/>
      <c r="O344" s="258" t="str">
        <f>O$17</f>
        <v/>
      </c>
      <c r="P344" s="258" t="str">
        <f t="shared" ref="P344:W344" si="450">P$17</f>
        <v/>
      </c>
      <c r="Q344" s="258" t="str">
        <f t="shared" si="450"/>
        <v/>
      </c>
      <c r="R344" s="258" t="str">
        <f t="shared" si="450"/>
        <v/>
      </c>
      <c r="S344" s="258" t="str">
        <f t="shared" si="450"/>
        <v/>
      </c>
      <c r="T344" s="258" t="str">
        <f t="shared" si="450"/>
        <v/>
      </c>
      <c r="U344" s="258" t="str">
        <f t="shared" si="450"/>
        <v/>
      </c>
      <c r="V344" s="258" t="str">
        <f t="shared" si="450"/>
        <v/>
      </c>
      <c r="W344" s="258" t="str">
        <f t="shared" si="450"/>
        <v/>
      </c>
      <c r="X344" s="195"/>
      <c r="Y344" s="944"/>
      <c r="Z344" s="195"/>
      <c r="AA344" s="258" t="str">
        <f>AA$17</f>
        <v/>
      </c>
      <c r="AB344" s="258" t="str">
        <f t="shared" ref="AB344:AI344" si="451">AB$17</f>
        <v/>
      </c>
      <c r="AC344" s="258" t="str">
        <f t="shared" si="451"/>
        <v/>
      </c>
      <c r="AD344" s="258" t="str">
        <f t="shared" si="451"/>
        <v/>
      </c>
      <c r="AE344" s="258" t="str">
        <f t="shared" si="451"/>
        <v/>
      </c>
      <c r="AF344" s="258" t="str">
        <f t="shared" si="451"/>
        <v/>
      </c>
      <c r="AG344" s="258" t="str">
        <f t="shared" si="451"/>
        <v/>
      </c>
      <c r="AH344" s="258" t="str">
        <f t="shared" si="451"/>
        <v/>
      </c>
      <c r="AI344" s="258" t="str">
        <f t="shared" si="451"/>
        <v/>
      </c>
      <c r="AJ344" s="195"/>
      <c r="AK344" s="944"/>
      <c r="AL344" s="195"/>
      <c r="AM344" s="258" t="str">
        <f>AM$17</f>
        <v/>
      </c>
      <c r="AN344" s="258" t="str">
        <f t="shared" ref="AN344:AU344" si="452">AN$17</f>
        <v/>
      </c>
      <c r="AO344" s="258" t="str">
        <f t="shared" si="452"/>
        <v/>
      </c>
      <c r="AP344" s="258" t="str">
        <f t="shared" si="452"/>
        <v/>
      </c>
      <c r="AQ344" s="258" t="str">
        <f t="shared" si="452"/>
        <v/>
      </c>
      <c r="AR344" s="258" t="str">
        <f t="shared" si="452"/>
        <v/>
      </c>
      <c r="AS344" s="258" t="str">
        <f t="shared" si="452"/>
        <v/>
      </c>
      <c r="AT344" s="258" t="str">
        <f t="shared" si="452"/>
        <v/>
      </c>
      <c r="AU344" s="258" t="str">
        <f t="shared" si="452"/>
        <v/>
      </c>
      <c r="AV344" s="195"/>
      <c r="AW344" s="944"/>
      <c r="AX344" s="195"/>
      <c r="AY344" s="258" t="str">
        <f>AY$17</f>
        <v/>
      </c>
      <c r="AZ344" s="258" t="str">
        <f t="shared" ref="AZ344:BG344" si="453">AZ$17</f>
        <v/>
      </c>
      <c r="BA344" s="258" t="str">
        <f t="shared" si="453"/>
        <v/>
      </c>
      <c r="BB344" s="258" t="str">
        <f t="shared" si="453"/>
        <v/>
      </c>
      <c r="BC344" s="258" t="str">
        <f t="shared" si="453"/>
        <v/>
      </c>
      <c r="BD344" s="258" t="str">
        <f t="shared" si="453"/>
        <v/>
      </c>
      <c r="BE344" s="258" t="str">
        <f t="shared" si="453"/>
        <v/>
      </c>
      <c r="BF344" s="258" t="str">
        <f t="shared" si="453"/>
        <v/>
      </c>
      <c r="BG344" s="258" t="str">
        <f t="shared" si="453"/>
        <v/>
      </c>
      <c r="BH344" s="36"/>
    </row>
    <row r="345" spans="1:60" s="2" customFormat="1">
      <c r="A345" s="1038"/>
      <c r="B345" s="1110" t="s">
        <v>1224</v>
      </c>
      <c r="C345" s="1106" t="s">
        <v>104</v>
      </c>
      <c r="D345" s="645"/>
      <c r="E345" s="304" t="str">
        <f>$O$10</f>
        <v>verwarming</v>
      </c>
      <c r="F345" s="203"/>
      <c r="G345" s="203"/>
      <c r="H345" s="204" t="s">
        <v>289</v>
      </c>
      <c r="I345" s="205"/>
      <c r="J345" s="206">
        <f t="shared" ref="J345:J353" si="454">M345+Y345+AK345+AW345</f>
        <v>0</v>
      </c>
      <c r="K345" s="220"/>
      <c r="L345" s="220"/>
      <c r="M345" s="206">
        <f t="shared" ref="M345:M352" si="455">SUMPRODUCT(N345:X345,N$22:X$22,N$29:X$29)/1000</f>
        <v>0</v>
      </c>
      <c r="N345" s="220"/>
      <c r="O345" s="1093">
        <f t="shared" ref="O345:W345" si="456">IF($O$78=0,0,
($O$130+$O$161+$O$181)/$O$78*O62)</f>
        <v>0</v>
      </c>
      <c r="P345" s="1093">
        <f t="shared" si="456"/>
        <v>0</v>
      </c>
      <c r="Q345" s="1093">
        <f t="shared" si="456"/>
        <v>0</v>
      </c>
      <c r="R345" s="1093">
        <f t="shared" si="456"/>
        <v>0</v>
      </c>
      <c r="S345" s="1093">
        <f t="shared" si="456"/>
        <v>0</v>
      </c>
      <c r="T345" s="1093">
        <f t="shared" si="456"/>
        <v>0</v>
      </c>
      <c r="U345" s="1093">
        <f t="shared" si="456"/>
        <v>0</v>
      </c>
      <c r="V345" s="1093">
        <f t="shared" si="456"/>
        <v>0</v>
      </c>
      <c r="W345" s="1093">
        <f t="shared" si="456"/>
        <v>0</v>
      </c>
      <c r="X345" s="174"/>
      <c r="Y345" s="206">
        <f t="shared" ref="Y345:Y352" si="457">SUMPRODUCT(Z345:AJ345,Z$22:AJ$22,Z$29:AJ$29)/1000</f>
        <v>0</v>
      </c>
      <c r="Z345" s="220"/>
      <c r="AA345" s="1093">
        <f t="shared" ref="AA345:AI345" si="458">IF($AA$78=0,0,
($AA$130+$AA$161+$AA$181)/$AA$78*AA62)</f>
        <v>0</v>
      </c>
      <c r="AB345" s="1093">
        <f t="shared" si="458"/>
        <v>0</v>
      </c>
      <c r="AC345" s="1093">
        <f t="shared" si="458"/>
        <v>0</v>
      </c>
      <c r="AD345" s="1093">
        <f t="shared" si="458"/>
        <v>0</v>
      </c>
      <c r="AE345" s="1093">
        <f t="shared" si="458"/>
        <v>0</v>
      </c>
      <c r="AF345" s="1093">
        <f t="shared" si="458"/>
        <v>0</v>
      </c>
      <c r="AG345" s="1093">
        <f t="shared" si="458"/>
        <v>0</v>
      </c>
      <c r="AH345" s="1093">
        <f t="shared" si="458"/>
        <v>0</v>
      </c>
      <c r="AI345" s="1093">
        <f t="shared" si="458"/>
        <v>0</v>
      </c>
      <c r="AJ345" s="174"/>
      <c r="AK345" s="206">
        <f t="shared" ref="AK345:AK352" si="459">SUMPRODUCT(AL345:AV345,AL$22:AV$22,AL$29:AV$29)/1000</f>
        <v>0</v>
      </c>
      <c r="AL345" s="1091"/>
      <c r="AM345" s="1093">
        <f t="shared" ref="AM345:AU345" si="460">IF($AM$78=0,0,
($AM$130+$AM$161+$AM$181)/$AM$78*AM62)</f>
        <v>0</v>
      </c>
      <c r="AN345" s="1093">
        <f t="shared" si="460"/>
        <v>0</v>
      </c>
      <c r="AO345" s="1093">
        <f t="shared" si="460"/>
        <v>0</v>
      </c>
      <c r="AP345" s="1093">
        <f t="shared" si="460"/>
        <v>0</v>
      </c>
      <c r="AQ345" s="1093">
        <f t="shared" si="460"/>
        <v>0</v>
      </c>
      <c r="AR345" s="1093">
        <f t="shared" si="460"/>
        <v>0</v>
      </c>
      <c r="AS345" s="1093">
        <f t="shared" si="460"/>
        <v>0</v>
      </c>
      <c r="AT345" s="1093">
        <f t="shared" si="460"/>
        <v>0</v>
      </c>
      <c r="AU345" s="1093">
        <f t="shared" si="460"/>
        <v>0</v>
      </c>
      <c r="AV345" s="174"/>
      <c r="AW345" s="206">
        <f t="shared" ref="AW345:AW352" si="461">SUMPRODUCT(AX345:BH345,AX$22:BH$22,AX$29:BH$29)/1000</f>
        <v>0</v>
      </c>
      <c r="AX345" s="1091"/>
      <c r="AY345" s="1093">
        <f t="shared" ref="AY345:BG345" si="462">IF($AY$78=0,0,
($AY$130+$AY$161+$AY$181)/$AY$78*AY62)</f>
        <v>0</v>
      </c>
      <c r="AZ345" s="1093">
        <f t="shared" si="462"/>
        <v>0</v>
      </c>
      <c r="BA345" s="1093">
        <f t="shared" si="462"/>
        <v>0</v>
      </c>
      <c r="BB345" s="1093">
        <f t="shared" si="462"/>
        <v>0</v>
      </c>
      <c r="BC345" s="1093">
        <f t="shared" si="462"/>
        <v>0</v>
      </c>
      <c r="BD345" s="1093">
        <f t="shared" si="462"/>
        <v>0</v>
      </c>
      <c r="BE345" s="1093">
        <f t="shared" si="462"/>
        <v>0</v>
      </c>
      <c r="BF345" s="1093">
        <f t="shared" si="462"/>
        <v>0</v>
      </c>
      <c r="BG345" s="1093">
        <f t="shared" si="462"/>
        <v>0</v>
      </c>
      <c r="BH345" s="210"/>
    </row>
    <row r="346" spans="1:60" s="2" customFormat="1">
      <c r="A346" s="1038"/>
      <c r="B346" s="1110" t="s">
        <v>1224</v>
      </c>
      <c r="C346" s="1106" t="s">
        <v>104</v>
      </c>
      <c r="D346" s="645"/>
      <c r="E346" s="304" t="str">
        <f>$P$10</f>
        <v>koeling</v>
      </c>
      <c r="F346" s="203"/>
      <c r="G346" s="203"/>
      <c r="H346" s="204" t="s">
        <v>289</v>
      </c>
      <c r="I346" s="205"/>
      <c r="J346" s="206">
        <f t="shared" si="454"/>
        <v>0</v>
      </c>
      <c r="K346" s="220"/>
      <c r="L346" s="220"/>
      <c r="M346" s="206">
        <f t="shared" si="455"/>
        <v>0</v>
      </c>
      <c r="N346" s="220"/>
      <c r="O346" s="1093">
        <f t="shared" ref="O346:W346" si="463">IF($P$78=0,0,
($P$130+$P$161+$P$181)/$P$78*O64)</f>
        <v>0</v>
      </c>
      <c r="P346" s="1093">
        <f t="shared" si="463"/>
        <v>0</v>
      </c>
      <c r="Q346" s="1093">
        <f t="shared" si="463"/>
        <v>0</v>
      </c>
      <c r="R346" s="1093">
        <f t="shared" si="463"/>
        <v>0</v>
      </c>
      <c r="S346" s="1093">
        <f t="shared" si="463"/>
        <v>0</v>
      </c>
      <c r="T346" s="1093">
        <f t="shared" si="463"/>
        <v>0</v>
      </c>
      <c r="U346" s="1093">
        <f t="shared" si="463"/>
        <v>0</v>
      </c>
      <c r="V346" s="1093">
        <f t="shared" si="463"/>
        <v>0</v>
      </c>
      <c r="W346" s="1093">
        <f t="shared" si="463"/>
        <v>0</v>
      </c>
      <c r="X346" s="174"/>
      <c r="Y346" s="206">
        <f t="shared" si="457"/>
        <v>0</v>
      </c>
      <c r="Z346" s="220"/>
      <c r="AA346" s="1093">
        <f t="shared" ref="AA346:AI346" si="464">IF($AB$78=0,0,
($AB$130+$AB$161+$AB$181)/$AB$78*AA64)</f>
        <v>0</v>
      </c>
      <c r="AB346" s="1093">
        <f t="shared" si="464"/>
        <v>0</v>
      </c>
      <c r="AC346" s="1093">
        <f t="shared" si="464"/>
        <v>0</v>
      </c>
      <c r="AD346" s="1093">
        <f t="shared" si="464"/>
        <v>0</v>
      </c>
      <c r="AE346" s="1093">
        <f t="shared" si="464"/>
        <v>0</v>
      </c>
      <c r="AF346" s="1093">
        <f t="shared" si="464"/>
        <v>0</v>
      </c>
      <c r="AG346" s="1093">
        <f t="shared" si="464"/>
        <v>0</v>
      </c>
      <c r="AH346" s="1093">
        <f t="shared" si="464"/>
        <v>0</v>
      </c>
      <c r="AI346" s="1093">
        <f t="shared" si="464"/>
        <v>0</v>
      </c>
      <c r="AJ346" s="174"/>
      <c r="AK346" s="206">
        <f t="shared" si="459"/>
        <v>0</v>
      </c>
      <c r="AL346" s="1091"/>
      <c r="AM346" s="1093">
        <f t="shared" ref="AM346:AU346" si="465">IF($AN$78=0,0,
($AN$130+$AN$161+$AN$181)/$AN$78*AM64)</f>
        <v>0</v>
      </c>
      <c r="AN346" s="1093">
        <f t="shared" si="465"/>
        <v>0</v>
      </c>
      <c r="AO346" s="1093">
        <f t="shared" si="465"/>
        <v>0</v>
      </c>
      <c r="AP346" s="1093">
        <f t="shared" si="465"/>
        <v>0</v>
      </c>
      <c r="AQ346" s="1093">
        <f t="shared" si="465"/>
        <v>0</v>
      </c>
      <c r="AR346" s="1093">
        <f t="shared" si="465"/>
        <v>0</v>
      </c>
      <c r="AS346" s="1093">
        <f t="shared" si="465"/>
        <v>0</v>
      </c>
      <c r="AT346" s="1093">
        <f t="shared" si="465"/>
        <v>0</v>
      </c>
      <c r="AU346" s="1093">
        <f t="shared" si="465"/>
        <v>0</v>
      </c>
      <c r="AV346" s="174"/>
      <c r="AW346" s="206">
        <f t="shared" si="461"/>
        <v>0</v>
      </c>
      <c r="AX346" s="1091"/>
      <c r="AY346" s="1093">
        <f t="shared" ref="AY346:BG346" si="466">IF($AZ$78=0,0,
($AZ$130+$AZ$161+$AZ$181)/$AZ$78*AY64)</f>
        <v>0</v>
      </c>
      <c r="AZ346" s="1093">
        <f t="shared" si="466"/>
        <v>0</v>
      </c>
      <c r="BA346" s="1093">
        <f t="shared" si="466"/>
        <v>0</v>
      </c>
      <c r="BB346" s="1093">
        <f t="shared" si="466"/>
        <v>0</v>
      </c>
      <c r="BC346" s="1093">
        <f t="shared" si="466"/>
        <v>0</v>
      </c>
      <c r="BD346" s="1093">
        <f t="shared" si="466"/>
        <v>0</v>
      </c>
      <c r="BE346" s="1093">
        <f t="shared" si="466"/>
        <v>0</v>
      </c>
      <c r="BF346" s="1093">
        <f t="shared" si="466"/>
        <v>0</v>
      </c>
      <c r="BG346" s="1093">
        <f t="shared" si="466"/>
        <v>0</v>
      </c>
      <c r="BH346" s="210"/>
    </row>
    <row r="347" spans="1:60" s="2" customFormat="1">
      <c r="A347" s="1038"/>
      <c r="B347" s="1110" t="s">
        <v>1224</v>
      </c>
      <c r="C347" s="1106" t="s">
        <v>104</v>
      </c>
      <c r="D347" s="645"/>
      <c r="E347" s="304" t="str">
        <f>$Q$10</f>
        <v>tapwater</v>
      </c>
      <c r="F347" s="203"/>
      <c r="G347" s="203"/>
      <c r="H347" s="204" t="s">
        <v>289</v>
      </c>
      <c r="I347" s="205"/>
      <c r="J347" s="206">
        <f t="shared" si="454"/>
        <v>0</v>
      </c>
      <c r="K347" s="220"/>
      <c r="L347" s="220"/>
      <c r="M347" s="206">
        <f t="shared" si="455"/>
        <v>0</v>
      </c>
      <c r="N347" s="220"/>
      <c r="O347" s="1093">
        <f t="shared" ref="O347:W347" si="467">IF($Q$78=0,0,
($Q$130+$Q$161+$Q$181)/$Q$78*O65)</f>
        <v>0</v>
      </c>
      <c r="P347" s="1093">
        <f t="shared" si="467"/>
        <v>0</v>
      </c>
      <c r="Q347" s="1093">
        <f t="shared" si="467"/>
        <v>0</v>
      </c>
      <c r="R347" s="1093">
        <f t="shared" si="467"/>
        <v>0</v>
      </c>
      <c r="S347" s="1093">
        <f t="shared" si="467"/>
        <v>0</v>
      </c>
      <c r="T347" s="1093">
        <f t="shared" si="467"/>
        <v>0</v>
      </c>
      <c r="U347" s="1093">
        <f t="shared" si="467"/>
        <v>0</v>
      </c>
      <c r="V347" s="1093">
        <f t="shared" si="467"/>
        <v>0</v>
      </c>
      <c r="W347" s="1093">
        <f t="shared" si="467"/>
        <v>0</v>
      </c>
      <c r="X347" s="174"/>
      <c r="Y347" s="206">
        <f t="shared" si="457"/>
        <v>0</v>
      </c>
      <c r="Z347" s="220"/>
      <c r="AA347" s="1093">
        <f t="shared" ref="AA347:AI347" si="468">IF($AC$78=0,0,
($AC$130+$AC$161+$AC$181)/$AC$78*AA65)</f>
        <v>0</v>
      </c>
      <c r="AB347" s="1093">
        <f t="shared" si="468"/>
        <v>0</v>
      </c>
      <c r="AC347" s="1093">
        <f t="shared" si="468"/>
        <v>0</v>
      </c>
      <c r="AD347" s="1093">
        <f t="shared" si="468"/>
        <v>0</v>
      </c>
      <c r="AE347" s="1093">
        <f t="shared" si="468"/>
        <v>0</v>
      </c>
      <c r="AF347" s="1093">
        <f t="shared" si="468"/>
        <v>0</v>
      </c>
      <c r="AG347" s="1093">
        <f t="shared" si="468"/>
        <v>0</v>
      </c>
      <c r="AH347" s="1093">
        <f t="shared" si="468"/>
        <v>0</v>
      </c>
      <c r="AI347" s="1093">
        <f t="shared" si="468"/>
        <v>0</v>
      </c>
      <c r="AJ347" s="174"/>
      <c r="AK347" s="206">
        <f t="shared" si="459"/>
        <v>0</v>
      </c>
      <c r="AL347" s="1091"/>
      <c r="AM347" s="1093">
        <f t="shared" ref="AM347:AU347" si="469">IF($AO$78=0,0,
($AO$130+$AO$161+$AO$181)/$AO$78*AM65)</f>
        <v>0</v>
      </c>
      <c r="AN347" s="1093">
        <f t="shared" si="469"/>
        <v>0</v>
      </c>
      <c r="AO347" s="1093">
        <f t="shared" si="469"/>
        <v>0</v>
      </c>
      <c r="AP347" s="1093">
        <f t="shared" si="469"/>
        <v>0</v>
      </c>
      <c r="AQ347" s="1093">
        <f t="shared" si="469"/>
        <v>0</v>
      </c>
      <c r="AR347" s="1093">
        <f t="shared" si="469"/>
        <v>0</v>
      </c>
      <c r="AS347" s="1093">
        <f t="shared" si="469"/>
        <v>0</v>
      </c>
      <c r="AT347" s="1093">
        <f t="shared" si="469"/>
        <v>0</v>
      </c>
      <c r="AU347" s="1093">
        <f t="shared" si="469"/>
        <v>0</v>
      </c>
      <c r="AV347" s="174"/>
      <c r="AW347" s="206">
        <f t="shared" si="461"/>
        <v>0</v>
      </c>
      <c r="AX347" s="1091"/>
      <c r="AY347" s="1093">
        <f t="shared" ref="AY347:BG347" si="470">IF($BA$78=0,0,
($BA$130+$BA$161+$BA$181)/$BA$78*AY65)</f>
        <v>0</v>
      </c>
      <c r="AZ347" s="1093">
        <f t="shared" si="470"/>
        <v>0</v>
      </c>
      <c r="BA347" s="1093">
        <f t="shared" si="470"/>
        <v>0</v>
      </c>
      <c r="BB347" s="1093">
        <f t="shared" si="470"/>
        <v>0</v>
      </c>
      <c r="BC347" s="1093">
        <f t="shared" si="470"/>
        <v>0</v>
      </c>
      <c r="BD347" s="1093">
        <f t="shared" si="470"/>
        <v>0</v>
      </c>
      <c r="BE347" s="1093">
        <f t="shared" si="470"/>
        <v>0</v>
      </c>
      <c r="BF347" s="1093">
        <f t="shared" si="470"/>
        <v>0</v>
      </c>
      <c r="BG347" s="1093">
        <f t="shared" si="470"/>
        <v>0</v>
      </c>
      <c r="BH347" s="210"/>
    </row>
    <row r="348" spans="1:60" s="2" customFormat="1">
      <c r="A348" s="1038"/>
      <c r="B348" s="1110" t="s">
        <v>1224</v>
      </c>
      <c r="C348" s="1106" t="s">
        <v>104</v>
      </c>
      <c r="D348" s="645"/>
      <c r="E348" s="304" t="str">
        <f>$R$10</f>
        <v>verlichting</v>
      </c>
      <c r="F348" s="203"/>
      <c r="G348" s="203"/>
      <c r="H348" s="204" t="s">
        <v>289</v>
      </c>
      <c r="I348" s="205"/>
      <c r="J348" s="206">
        <f t="shared" si="454"/>
        <v>0</v>
      </c>
      <c r="K348" s="220"/>
      <c r="L348" s="220"/>
      <c r="M348" s="206">
        <f t="shared" si="455"/>
        <v>0</v>
      </c>
      <c r="N348" s="220"/>
      <c r="O348" s="1093">
        <f t="shared" ref="O348:W348" si="471">IF($R$78=0,0,$R$181/$R$78*O66)</f>
        <v>0</v>
      </c>
      <c r="P348" s="1093">
        <f t="shared" si="471"/>
        <v>0</v>
      </c>
      <c r="Q348" s="1093">
        <f t="shared" si="471"/>
        <v>0</v>
      </c>
      <c r="R348" s="1093">
        <f t="shared" si="471"/>
        <v>0</v>
      </c>
      <c r="S348" s="1093">
        <f t="shared" si="471"/>
        <v>0</v>
      </c>
      <c r="T348" s="1093">
        <f t="shared" si="471"/>
        <v>0</v>
      </c>
      <c r="U348" s="1093">
        <f t="shared" si="471"/>
        <v>0</v>
      </c>
      <c r="V348" s="1093">
        <f t="shared" si="471"/>
        <v>0</v>
      </c>
      <c r="W348" s="1093">
        <f t="shared" si="471"/>
        <v>0</v>
      </c>
      <c r="X348" s="174"/>
      <c r="Y348" s="206">
        <f t="shared" si="457"/>
        <v>0</v>
      </c>
      <c r="Z348" s="220"/>
      <c r="AA348" s="1093">
        <f t="shared" ref="AA348:AI348" si="472">IF($AD$78=0,0,$AD$181/$AD$78*AA66)</f>
        <v>0</v>
      </c>
      <c r="AB348" s="1093">
        <f t="shared" si="472"/>
        <v>0</v>
      </c>
      <c r="AC348" s="1093">
        <f t="shared" si="472"/>
        <v>0</v>
      </c>
      <c r="AD348" s="1093">
        <f t="shared" si="472"/>
        <v>0</v>
      </c>
      <c r="AE348" s="1093">
        <f t="shared" si="472"/>
        <v>0</v>
      </c>
      <c r="AF348" s="1093">
        <f t="shared" si="472"/>
        <v>0</v>
      </c>
      <c r="AG348" s="1093">
        <f t="shared" si="472"/>
        <v>0</v>
      </c>
      <c r="AH348" s="1093">
        <f t="shared" si="472"/>
        <v>0</v>
      </c>
      <c r="AI348" s="1093">
        <f t="shared" si="472"/>
        <v>0</v>
      </c>
      <c r="AJ348" s="174"/>
      <c r="AK348" s="206">
        <f t="shared" si="459"/>
        <v>0</v>
      </c>
      <c r="AL348" s="1091"/>
      <c r="AM348" s="1093">
        <f t="shared" ref="AM348:AU348" si="473">IF($AP$78=0,0,$AP$181/$AP$78*AM66)</f>
        <v>0</v>
      </c>
      <c r="AN348" s="1093">
        <f t="shared" si="473"/>
        <v>0</v>
      </c>
      <c r="AO348" s="1093">
        <f t="shared" si="473"/>
        <v>0</v>
      </c>
      <c r="AP348" s="1093">
        <f t="shared" si="473"/>
        <v>0</v>
      </c>
      <c r="AQ348" s="1093">
        <f t="shared" si="473"/>
        <v>0</v>
      </c>
      <c r="AR348" s="1093">
        <f t="shared" si="473"/>
        <v>0</v>
      </c>
      <c r="AS348" s="1093">
        <f t="shared" si="473"/>
        <v>0</v>
      </c>
      <c r="AT348" s="1093">
        <f t="shared" si="473"/>
        <v>0</v>
      </c>
      <c r="AU348" s="1093">
        <f t="shared" si="473"/>
        <v>0</v>
      </c>
      <c r="AV348" s="174"/>
      <c r="AW348" s="206">
        <f t="shared" si="461"/>
        <v>0</v>
      </c>
      <c r="AX348" s="1091"/>
      <c r="AY348" s="1093">
        <f t="shared" ref="AY348:BG348" si="474">IF($BB$78=0,0,$BB$181/$BB$78*AY66)</f>
        <v>0</v>
      </c>
      <c r="AZ348" s="1093">
        <f t="shared" si="474"/>
        <v>0</v>
      </c>
      <c r="BA348" s="1093">
        <f t="shared" si="474"/>
        <v>0</v>
      </c>
      <c r="BB348" s="1093">
        <f t="shared" si="474"/>
        <v>0</v>
      </c>
      <c r="BC348" s="1093">
        <f t="shared" si="474"/>
        <v>0</v>
      </c>
      <c r="BD348" s="1093">
        <f t="shared" si="474"/>
        <v>0</v>
      </c>
      <c r="BE348" s="1093">
        <f t="shared" si="474"/>
        <v>0</v>
      </c>
      <c r="BF348" s="1093">
        <f t="shared" si="474"/>
        <v>0</v>
      </c>
      <c r="BG348" s="1093">
        <f t="shared" si="474"/>
        <v>0</v>
      </c>
      <c r="BH348" s="210"/>
    </row>
    <row r="349" spans="1:60" s="2" customFormat="1">
      <c r="A349" s="1038"/>
      <c r="B349" s="1110" t="s">
        <v>1224</v>
      </c>
      <c r="C349" s="1106" t="s">
        <v>104</v>
      </c>
      <c r="D349" s="645"/>
      <c r="E349" s="304" t="str">
        <f>$S$10</f>
        <v>ventilatoren</v>
      </c>
      <c r="F349" s="203"/>
      <c r="G349" s="203"/>
      <c r="H349" s="204" t="s">
        <v>289</v>
      </c>
      <c r="I349" s="205"/>
      <c r="J349" s="206">
        <f t="shared" si="454"/>
        <v>0</v>
      </c>
      <c r="K349" s="220"/>
      <c r="L349" s="220"/>
      <c r="M349" s="206">
        <f t="shared" si="455"/>
        <v>0</v>
      </c>
      <c r="N349" s="220"/>
      <c r="O349" s="1093">
        <f t="shared" ref="O349:W349" si="475">IF($S$78=0,0,$S$181/$S$78*O67)</f>
        <v>0</v>
      </c>
      <c r="P349" s="1093">
        <f t="shared" si="475"/>
        <v>0</v>
      </c>
      <c r="Q349" s="1093">
        <f t="shared" si="475"/>
        <v>0</v>
      </c>
      <c r="R349" s="1093">
        <f t="shared" si="475"/>
        <v>0</v>
      </c>
      <c r="S349" s="1093">
        <f t="shared" si="475"/>
        <v>0</v>
      </c>
      <c r="T349" s="1093">
        <f t="shared" si="475"/>
        <v>0</v>
      </c>
      <c r="U349" s="1093">
        <f t="shared" si="475"/>
        <v>0</v>
      </c>
      <c r="V349" s="1093">
        <f t="shared" si="475"/>
        <v>0</v>
      </c>
      <c r="W349" s="1093">
        <f t="shared" si="475"/>
        <v>0</v>
      </c>
      <c r="X349" s="174"/>
      <c r="Y349" s="206">
        <f t="shared" si="457"/>
        <v>0</v>
      </c>
      <c r="Z349" s="220"/>
      <c r="AA349" s="1093">
        <f t="shared" ref="AA349:AI349" si="476">IF($AE$78=0,0,$AE$181/$AE$78*AA67)</f>
        <v>0</v>
      </c>
      <c r="AB349" s="1093">
        <f t="shared" si="476"/>
        <v>0</v>
      </c>
      <c r="AC349" s="1093">
        <f t="shared" si="476"/>
        <v>0</v>
      </c>
      <c r="AD349" s="1093">
        <f t="shared" si="476"/>
        <v>0</v>
      </c>
      <c r="AE349" s="1093">
        <f t="shared" si="476"/>
        <v>0</v>
      </c>
      <c r="AF349" s="1093">
        <f t="shared" si="476"/>
        <v>0</v>
      </c>
      <c r="AG349" s="1093">
        <f t="shared" si="476"/>
        <v>0</v>
      </c>
      <c r="AH349" s="1093">
        <f t="shared" si="476"/>
        <v>0</v>
      </c>
      <c r="AI349" s="1093">
        <f t="shared" si="476"/>
        <v>0</v>
      </c>
      <c r="AJ349" s="174"/>
      <c r="AK349" s="206">
        <f t="shared" si="459"/>
        <v>0</v>
      </c>
      <c r="AL349" s="1091"/>
      <c r="AM349" s="1093">
        <f t="shared" ref="AM349:AU349" si="477">IF($AQ$78=0,0,$AQ$181/$AQ$78*AM67)</f>
        <v>0</v>
      </c>
      <c r="AN349" s="1093">
        <f t="shared" si="477"/>
        <v>0</v>
      </c>
      <c r="AO349" s="1093">
        <f t="shared" si="477"/>
        <v>0</v>
      </c>
      <c r="AP349" s="1093">
        <f t="shared" si="477"/>
        <v>0</v>
      </c>
      <c r="AQ349" s="1093">
        <f t="shared" si="477"/>
        <v>0</v>
      </c>
      <c r="AR349" s="1093">
        <f t="shared" si="477"/>
        <v>0</v>
      </c>
      <c r="AS349" s="1093">
        <f t="shared" si="477"/>
        <v>0</v>
      </c>
      <c r="AT349" s="1093">
        <f t="shared" si="477"/>
        <v>0</v>
      </c>
      <c r="AU349" s="1093">
        <f t="shared" si="477"/>
        <v>0</v>
      </c>
      <c r="AV349" s="174"/>
      <c r="AW349" s="206">
        <f t="shared" si="461"/>
        <v>0</v>
      </c>
      <c r="AX349" s="1091"/>
      <c r="AY349" s="1093">
        <f t="shared" ref="AY349:BG349" si="478">IF($BC$78=0,0,$BC$181/$BC$78*AY67)</f>
        <v>0</v>
      </c>
      <c r="AZ349" s="1093">
        <f t="shared" si="478"/>
        <v>0</v>
      </c>
      <c r="BA349" s="1093">
        <f t="shared" si="478"/>
        <v>0</v>
      </c>
      <c r="BB349" s="1093">
        <f t="shared" si="478"/>
        <v>0</v>
      </c>
      <c r="BC349" s="1093">
        <f t="shared" si="478"/>
        <v>0</v>
      </c>
      <c r="BD349" s="1093">
        <f t="shared" si="478"/>
        <v>0</v>
      </c>
      <c r="BE349" s="1093">
        <f t="shared" si="478"/>
        <v>0</v>
      </c>
      <c r="BF349" s="1093">
        <f t="shared" si="478"/>
        <v>0</v>
      </c>
      <c r="BG349" s="1093">
        <f t="shared" si="478"/>
        <v>0</v>
      </c>
      <c r="BH349" s="210"/>
    </row>
    <row r="350" spans="1:60" s="2" customFormat="1">
      <c r="A350" s="1038"/>
      <c r="B350" s="1110" t="s">
        <v>1224</v>
      </c>
      <c r="C350" s="1106" t="s">
        <v>104</v>
      </c>
      <c r="D350" s="645"/>
      <c r="E350" s="304" t="str">
        <f>$T$10</f>
        <v>kookgas</v>
      </c>
      <c r="F350" s="203"/>
      <c r="G350" s="203"/>
      <c r="H350" s="204" t="s">
        <v>289</v>
      </c>
      <c r="I350" s="205"/>
      <c r="J350" s="206">
        <f t="shared" si="454"/>
        <v>0</v>
      </c>
      <c r="K350" s="220"/>
      <c r="L350" s="220"/>
      <c r="M350" s="206">
        <f t="shared" si="455"/>
        <v>0</v>
      </c>
      <c r="N350" s="220"/>
      <c r="O350" s="1093">
        <f t="shared" ref="O350:W350" si="479">IF($T$78=0,0,$T$181/$T$78*O68)</f>
        <v>0</v>
      </c>
      <c r="P350" s="1093">
        <f t="shared" si="479"/>
        <v>0</v>
      </c>
      <c r="Q350" s="1093">
        <f t="shared" si="479"/>
        <v>0</v>
      </c>
      <c r="R350" s="1093">
        <f t="shared" si="479"/>
        <v>0</v>
      </c>
      <c r="S350" s="1093">
        <f t="shared" si="479"/>
        <v>0</v>
      </c>
      <c r="T350" s="1093">
        <f t="shared" si="479"/>
        <v>0</v>
      </c>
      <c r="U350" s="1093">
        <f t="shared" si="479"/>
        <v>0</v>
      </c>
      <c r="V350" s="1093">
        <f t="shared" si="479"/>
        <v>0</v>
      </c>
      <c r="W350" s="1093">
        <f t="shared" si="479"/>
        <v>0</v>
      </c>
      <c r="X350" s="174"/>
      <c r="Y350" s="206">
        <f t="shared" si="457"/>
        <v>0</v>
      </c>
      <c r="Z350" s="220"/>
      <c r="AA350" s="1093">
        <f t="shared" ref="AA350:AI350" si="480">IF($AF$78=0,0,$AF$181/$AF$78*AA68)</f>
        <v>0</v>
      </c>
      <c r="AB350" s="1093">
        <f t="shared" si="480"/>
        <v>0</v>
      </c>
      <c r="AC350" s="1093">
        <f t="shared" si="480"/>
        <v>0</v>
      </c>
      <c r="AD350" s="1093">
        <f t="shared" si="480"/>
        <v>0</v>
      </c>
      <c r="AE350" s="1093">
        <f t="shared" si="480"/>
        <v>0</v>
      </c>
      <c r="AF350" s="1093">
        <f t="shared" si="480"/>
        <v>0</v>
      </c>
      <c r="AG350" s="1093">
        <f t="shared" si="480"/>
        <v>0</v>
      </c>
      <c r="AH350" s="1093">
        <f t="shared" si="480"/>
        <v>0</v>
      </c>
      <c r="AI350" s="1093">
        <f t="shared" si="480"/>
        <v>0</v>
      </c>
      <c r="AJ350" s="174"/>
      <c r="AK350" s="206">
        <f t="shared" si="459"/>
        <v>0</v>
      </c>
      <c r="AL350" s="1091"/>
      <c r="AM350" s="1093">
        <f t="shared" ref="AM350:AU350" si="481">IF($AR$78=0,0,$AR$181/$AR$78*AM68)</f>
        <v>0</v>
      </c>
      <c r="AN350" s="1093">
        <f t="shared" si="481"/>
        <v>0</v>
      </c>
      <c r="AO350" s="1093">
        <f t="shared" si="481"/>
        <v>0</v>
      </c>
      <c r="AP350" s="1093">
        <f t="shared" si="481"/>
        <v>0</v>
      </c>
      <c r="AQ350" s="1093">
        <f t="shared" si="481"/>
        <v>0</v>
      </c>
      <c r="AR350" s="1093">
        <f t="shared" si="481"/>
        <v>0</v>
      </c>
      <c r="AS350" s="1093">
        <f t="shared" si="481"/>
        <v>0</v>
      </c>
      <c r="AT350" s="1093">
        <f t="shared" si="481"/>
        <v>0</v>
      </c>
      <c r="AU350" s="1093">
        <f t="shared" si="481"/>
        <v>0</v>
      </c>
      <c r="AV350" s="174"/>
      <c r="AW350" s="206">
        <f t="shared" si="461"/>
        <v>0</v>
      </c>
      <c r="AX350" s="1091"/>
      <c r="AY350" s="1093">
        <f t="shared" ref="AY350:BG350" si="482">IF($BD$78=0,0,$BD$181/$BD$78*AY68)</f>
        <v>0</v>
      </c>
      <c r="AZ350" s="1093">
        <f t="shared" si="482"/>
        <v>0</v>
      </c>
      <c r="BA350" s="1093">
        <f t="shared" si="482"/>
        <v>0</v>
      </c>
      <c r="BB350" s="1093">
        <f t="shared" si="482"/>
        <v>0</v>
      </c>
      <c r="BC350" s="1093">
        <f t="shared" si="482"/>
        <v>0</v>
      </c>
      <c r="BD350" s="1093">
        <f t="shared" si="482"/>
        <v>0</v>
      </c>
      <c r="BE350" s="1093">
        <f t="shared" si="482"/>
        <v>0</v>
      </c>
      <c r="BF350" s="1093">
        <f t="shared" si="482"/>
        <v>0</v>
      </c>
      <c r="BG350" s="1093">
        <f t="shared" si="482"/>
        <v>0</v>
      </c>
      <c r="BH350" s="210"/>
    </row>
    <row r="351" spans="1:60" s="2" customFormat="1">
      <c r="A351" s="1038"/>
      <c r="B351" s="1110" t="s">
        <v>1224</v>
      </c>
      <c r="C351" s="1106" t="s">
        <v>104</v>
      </c>
      <c r="D351" s="645"/>
      <c r="E351" s="304" t="str">
        <f>$U$10</f>
        <v>overig elektra</v>
      </c>
      <c r="F351" s="203"/>
      <c r="G351" s="203"/>
      <c r="H351" s="204" t="s">
        <v>289</v>
      </c>
      <c r="I351" s="205"/>
      <c r="J351" s="206">
        <f t="shared" si="454"/>
        <v>0</v>
      </c>
      <c r="K351" s="220"/>
      <c r="L351" s="220"/>
      <c r="M351" s="206">
        <f t="shared" si="455"/>
        <v>0</v>
      </c>
      <c r="N351" s="220"/>
      <c r="O351" s="1093">
        <f t="shared" ref="O351:W351" si="483">IF($U$78=0,0,$U$181/$U$78*O69)</f>
        <v>0</v>
      </c>
      <c r="P351" s="1093">
        <f t="shared" si="483"/>
        <v>0</v>
      </c>
      <c r="Q351" s="1093">
        <f t="shared" si="483"/>
        <v>0</v>
      </c>
      <c r="R351" s="1093">
        <f t="shared" si="483"/>
        <v>0</v>
      </c>
      <c r="S351" s="1093">
        <f t="shared" si="483"/>
        <v>0</v>
      </c>
      <c r="T351" s="1093">
        <f t="shared" si="483"/>
        <v>0</v>
      </c>
      <c r="U351" s="1093">
        <f t="shared" si="483"/>
        <v>0</v>
      </c>
      <c r="V351" s="1093">
        <f t="shared" si="483"/>
        <v>0</v>
      </c>
      <c r="W351" s="1093">
        <f t="shared" si="483"/>
        <v>0</v>
      </c>
      <c r="X351" s="174"/>
      <c r="Y351" s="206">
        <f t="shared" si="457"/>
        <v>0</v>
      </c>
      <c r="Z351" s="220"/>
      <c r="AA351" s="1093">
        <f t="shared" ref="AA351:AI351" si="484">IF($AG$78=0,0,$AG$181/$AG$78*AA69)</f>
        <v>0</v>
      </c>
      <c r="AB351" s="1093">
        <f t="shared" si="484"/>
        <v>0</v>
      </c>
      <c r="AC351" s="1093">
        <f t="shared" si="484"/>
        <v>0</v>
      </c>
      <c r="AD351" s="1093">
        <f t="shared" si="484"/>
        <v>0</v>
      </c>
      <c r="AE351" s="1093">
        <f t="shared" si="484"/>
        <v>0</v>
      </c>
      <c r="AF351" s="1093">
        <f t="shared" si="484"/>
        <v>0</v>
      </c>
      <c r="AG351" s="1093">
        <f t="shared" si="484"/>
        <v>0</v>
      </c>
      <c r="AH351" s="1093">
        <f t="shared" si="484"/>
        <v>0</v>
      </c>
      <c r="AI351" s="1093">
        <f t="shared" si="484"/>
        <v>0</v>
      </c>
      <c r="AJ351" s="174"/>
      <c r="AK351" s="206">
        <f t="shared" si="459"/>
        <v>0</v>
      </c>
      <c r="AL351" s="1091"/>
      <c r="AM351" s="1093">
        <f t="shared" ref="AM351:AU351" si="485">IF($AS$78=0,0,$AS$181/$AS$78*AM69)</f>
        <v>0</v>
      </c>
      <c r="AN351" s="1093">
        <f t="shared" si="485"/>
        <v>0</v>
      </c>
      <c r="AO351" s="1093">
        <f t="shared" si="485"/>
        <v>0</v>
      </c>
      <c r="AP351" s="1093">
        <f t="shared" si="485"/>
        <v>0</v>
      </c>
      <c r="AQ351" s="1093">
        <f t="shared" si="485"/>
        <v>0</v>
      </c>
      <c r="AR351" s="1093">
        <f t="shared" si="485"/>
        <v>0</v>
      </c>
      <c r="AS351" s="1093">
        <f t="shared" si="485"/>
        <v>0</v>
      </c>
      <c r="AT351" s="1093">
        <f t="shared" si="485"/>
        <v>0</v>
      </c>
      <c r="AU351" s="1093">
        <f t="shared" si="485"/>
        <v>0</v>
      </c>
      <c r="AV351" s="174"/>
      <c r="AW351" s="206">
        <f t="shared" si="461"/>
        <v>0</v>
      </c>
      <c r="AX351" s="1091"/>
      <c r="AY351" s="1093">
        <f t="shared" ref="AY351:BG351" si="486">IF($BE$78=0,0,$BE$181/$BE$78*AY69)</f>
        <v>0</v>
      </c>
      <c r="AZ351" s="1093">
        <f t="shared" si="486"/>
        <v>0</v>
      </c>
      <c r="BA351" s="1093">
        <f t="shared" si="486"/>
        <v>0</v>
      </c>
      <c r="BB351" s="1093">
        <f t="shared" si="486"/>
        <v>0</v>
      </c>
      <c r="BC351" s="1093">
        <f t="shared" si="486"/>
        <v>0</v>
      </c>
      <c r="BD351" s="1093">
        <f t="shared" si="486"/>
        <v>0</v>
      </c>
      <c r="BE351" s="1093">
        <f t="shared" si="486"/>
        <v>0</v>
      </c>
      <c r="BF351" s="1093">
        <f t="shared" si="486"/>
        <v>0</v>
      </c>
      <c r="BG351" s="1093">
        <f t="shared" si="486"/>
        <v>0</v>
      </c>
      <c r="BH351" s="210"/>
    </row>
    <row r="352" spans="1:60" s="2" customFormat="1">
      <c r="A352" s="1038"/>
      <c r="B352" s="1110" t="s">
        <v>1224</v>
      </c>
      <c r="C352" s="1106" t="s">
        <v>104</v>
      </c>
      <c r="D352" s="645"/>
      <c r="E352" s="304" t="str">
        <f>$V$10</f>
        <v>mobiliteit</v>
      </c>
      <c r="F352" s="203"/>
      <c r="G352" s="203"/>
      <c r="H352" s="204" t="s">
        <v>289</v>
      </c>
      <c r="I352" s="205"/>
      <c r="J352" s="206">
        <f t="shared" si="454"/>
        <v>0</v>
      </c>
      <c r="K352" s="220"/>
      <c r="L352" s="220"/>
      <c r="M352" s="206">
        <f t="shared" si="455"/>
        <v>0</v>
      </c>
      <c r="N352" s="220"/>
      <c r="O352" s="1093">
        <f t="shared" ref="O352:W352" si="487">IF(OR($V$169=0,O$29=0),0,$V$181/$V$169*O$71/O$29)</f>
        <v>0</v>
      </c>
      <c r="P352" s="1093">
        <f t="shared" si="487"/>
        <v>0</v>
      </c>
      <c r="Q352" s="1093">
        <f t="shared" si="487"/>
        <v>0</v>
      </c>
      <c r="R352" s="1093">
        <f t="shared" si="487"/>
        <v>0</v>
      </c>
      <c r="S352" s="1093">
        <f t="shared" si="487"/>
        <v>0</v>
      </c>
      <c r="T352" s="1093">
        <f t="shared" si="487"/>
        <v>0</v>
      </c>
      <c r="U352" s="1093">
        <f t="shared" si="487"/>
        <v>0</v>
      </c>
      <c r="V352" s="1093">
        <f t="shared" si="487"/>
        <v>0</v>
      </c>
      <c r="W352" s="1093">
        <f t="shared" si="487"/>
        <v>0</v>
      </c>
      <c r="X352" s="174"/>
      <c r="Y352" s="206">
        <f t="shared" si="457"/>
        <v>0</v>
      </c>
      <c r="Z352" s="220"/>
      <c r="AA352" s="1093">
        <f t="shared" ref="AA352:AI352" si="488">IF(OR($AH$169=0,AA$29=0),0,$AH$181/$AH$169*AA$71/AA$29)</f>
        <v>0</v>
      </c>
      <c r="AB352" s="1093">
        <f t="shared" si="488"/>
        <v>0</v>
      </c>
      <c r="AC352" s="1093">
        <f t="shared" si="488"/>
        <v>0</v>
      </c>
      <c r="AD352" s="1093">
        <f t="shared" si="488"/>
        <v>0</v>
      </c>
      <c r="AE352" s="1093">
        <f t="shared" si="488"/>
        <v>0</v>
      </c>
      <c r="AF352" s="1093">
        <f t="shared" si="488"/>
        <v>0</v>
      </c>
      <c r="AG352" s="1093">
        <f t="shared" si="488"/>
        <v>0</v>
      </c>
      <c r="AH352" s="1093">
        <f t="shared" si="488"/>
        <v>0</v>
      </c>
      <c r="AI352" s="1093">
        <f t="shared" si="488"/>
        <v>0</v>
      </c>
      <c r="AJ352" s="174"/>
      <c r="AK352" s="206">
        <f t="shared" si="459"/>
        <v>0</v>
      </c>
      <c r="AL352" s="1091"/>
      <c r="AM352" s="1093">
        <f t="shared" ref="AM352:AU352" si="489">IF(OR($AT$169=0,AM$29=0),0,$AT$181/$AT$169*AM$71/AM$29)</f>
        <v>0</v>
      </c>
      <c r="AN352" s="1093">
        <f t="shared" si="489"/>
        <v>0</v>
      </c>
      <c r="AO352" s="1093">
        <f t="shared" si="489"/>
        <v>0</v>
      </c>
      <c r="AP352" s="1093">
        <f t="shared" si="489"/>
        <v>0</v>
      </c>
      <c r="AQ352" s="1093">
        <f t="shared" si="489"/>
        <v>0</v>
      </c>
      <c r="AR352" s="1093">
        <f t="shared" si="489"/>
        <v>0</v>
      </c>
      <c r="AS352" s="1093">
        <f t="shared" si="489"/>
        <v>0</v>
      </c>
      <c r="AT352" s="1093">
        <f t="shared" si="489"/>
        <v>0</v>
      </c>
      <c r="AU352" s="1093">
        <f t="shared" si="489"/>
        <v>0</v>
      </c>
      <c r="AV352" s="174"/>
      <c r="AW352" s="206">
        <f t="shared" si="461"/>
        <v>0</v>
      </c>
      <c r="AX352" s="1091"/>
      <c r="AY352" s="1093">
        <f t="shared" ref="AY352:BG352" si="490">IF(OR($BF$169=0,AY$29=0),0,$BF$181/$BF$169*AY$71/AY$29)</f>
        <v>0</v>
      </c>
      <c r="AZ352" s="1093">
        <f t="shared" si="490"/>
        <v>0</v>
      </c>
      <c r="BA352" s="1093">
        <f t="shared" si="490"/>
        <v>0</v>
      </c>
      <c r="BB352" s="1093">
        <f t="shared" si="490"/>
        <v>0</v>
      </c>
      <c r="BC352" s="1093">
        <f t="shared" si="490"/>
        <v>0</v>
      </c>
      <c r="BD352" s="1093">
        <f t="shared" si="490"/>
        <v>0</v>
      </c>
      <c r="BE352" s="1093">
        <f t="shared" si="490"/>
        <v>0</v>
      </c>
      <c r="BF352" s="1093">
        <f t="shared" si="490"/>
        <v>0</v>
      </c>
      <c r="BG352" s="1093">
        <f t="shared" si="490"/>
        <v>0</v>
      </c>
      <c r="BH352" s="210"/>
    </row>
    <row r="353" spans="1:60" s="2" customFormat="1">
      <c r="A353" s="1038"/>
      <c r="B353" s="1110" t="s">
        <v>1224</v>
      </c>
      <c r="C353" s="1106" t="s">
        <v>104</v>
      </c>
      <c r="D353" s="645"/>
      <c r="E353" s="203" t="s">
        <v>1278</v>
      </c>
      <c r="F353" s="203"/>
      <c r="G353" s="203"/>
      <c r="H353" s="204" t="s">
        <v>289</v>
      </c>
      <c r="I353" s="205"/>
      <c r="J353" s="206">
        <f t="shared" si="454"/>
        <v>0</v>
      </c>
      <c r="K353" s="220"/>
      <c r="L353" s="220"/>
      <c r="M353" s="206">
        <f>SUM(M345:M352)</f>
        <v>0</v>
      </c>
      <c r="N353" s="220"/>
      <c r="O353" s="1093">
        <f t="shared" ref="O353:W353" si="491">SUM(O345:O352)</f>
        <v>0</v>
      </c>
      <c r="P353" s="1093">
        <f t="shared" si="491"/>
        <v>0</v>
      </c>
      <c r="Q353" s="1093">
        <f t="shared" si="491"/>
        <v>0</v>
      </c>
      <c r="R353" s="1093">
        <f t="shared" si="491"/>
        <v>0</v>
      </c>
      <c r="S353" s="1093">
        <f t="shared" si="491"/>
        <v>0</v>
      </c>
      <c r="T353" s="1093">
        <f t="shared" si="491"/>
        <v>0</v>
      </c>
      <c r="U353" s="1093">
        <f t="shared" si="491"/>
        <v>0</v>
      </c>
      <c r="V353" s="1093">
        <f t="shared" si="491"/>
        <v>0</v>
      </c>
      <c r="W353" s="1093">
        <f t="shared" si="491"/>
        <v>0</v>
      </c>
      <c r="X353" s="174"/>
      <c r="Y353" s="206">
        <f>SUM(Y345:Y352)</f>
        <v>0</v>
      </c>
      <c r="Z353" s="220"/>
      <c r="AA353" s="1093">
        <f t="shared" ref="AA353:AI353" si="492">SUM(AA345:AA352)</f>
        <v>0</v>
      </c>
      <c r="AB353" s="1093">
        <f t="shared" si="492"/>
        <v>0</v>
      </c>
      <c r="AC353" s="1093">
        <f t="shared" si="492"/>
        <v>0</v>
      </c>
      <c r="AD353" s="1093">
        <f t="shared" si="492"/>
        <v>0</v>
      </c>
      <c r="AE353" s="1093">
        <f t="shared" si="492"/>
        <v>0</v>
      </c>
      <c r="AF353" s="1093">
        <f t="shared" si="492"/>
        <v>0</v>
      </c>
      <c r="AG353" s="1093">
        <f t="shared" si="492"/>
        <v>0</v>
      </c>
      <c r="AH353" s="1093">
        <f t="shared" si="492"/>
        <v>0</v>
      </c>
      <c r="AI353" s="1093">
        <f t="shared" si="492"/>
        <v>0</v>
      </c>
      <c r="AJ353" s="174"/>
      <c r="AK353" s="206">
        <f>SUM(AK345:AK352)</f>
        <v>0</v>
      </c>
      <c r="AL353" s="1091"/>
      <c r="AM353" s="1093">
        <f t="shared" ref="AM353:AU353" si="493">SUM(AM345:AM352)</f>
        <v>0</v>
      </c>
      <c r="AN353" s="1093">
        <f t="shared" si="493"/>
        <v>0</v>
      </c>
      <c r="AO353" s="1093">
        <f t="shared" si="493"/>
        <v>0</v>
      </c>
      <c r="AP353" s="1093">
        <f t="shared" si="493"/>
        <v>0</v>
      </c>
      <c r="AQ353" s="1093">
        <f t="shared" si="493"/>
        <v>0</v>
      </c>
      <c r="AR353" s="1093">
        <f t="shared" si="493"/>
        <v>0</v>
      </c>
      <c r="AS353" s="1093">
        <f t="shared" si="493"/>
        <v>0</v>
      </c>
      <c r="AT353" s="1093">
        <f t="shared" si="493"/>
        <v>0</v>
      </c>
      <c r="AU353" s="1093">
        <f t="shared" si="493"/>
        <v>0</v>
      </c>
      <c r="AV353" s="174"/>
      <c r="AW353" s="206">
        <f>SUM(AW345:AW352)</f>
        <v>0</v>
      </c>
      <c r="AX353" s="1091"/>
      <c r="AY353" s="1093">
        <f t="shared" ref="AY353:BG353" si="494">SUM(AY345:AY352)</f>
        <v>0</v>
      </c>
      <c r="AZ353" s="1093">
        <f t="shared" si="494"/>
        <v>0</v>
      </c>
      <c r="BA353" s="1093">
        <f t="shared" si="494"/>
        <v>0</v>
      </c>
      <c r="BB353" s="1093">
        <f t="shared" si="494"/>
        <v>0</v>
      </c>
      <c r="BC353" s="1093">
        <f t="shared" si="494"/>
        <v>0</v>
      </c>
      <c r="BD353" s="1093">
        <f t="shared" si="494"/>
        <v>0</v>
      </c>
      <c r="BE353" s="1093">
        <f t="shared" si="494"/>
        <v>0</v>
      </c>
      <c r="BF353" s="1093">
        <f t="shared" si="494"/>
        <v>0</v>
      </c>
      <c r="BG353" s="1093">
        <f t="shared" si="494"/>
        <v>0</v>
      </c>
      <c r="BH353" s="210"/>
    </row>
    <row r="354" spans="1:60" s="2" customFormat="1">
      <c r="A354" s="1038"/>
      <c r="B354" s="1110" t="s">
        <v>1224</v>
      </c>
      <c r="C354" s="1106" t="s">
        <v>96</v>
      </c>
      <c r="D354" s="644"/>
      <c r="E354" s="942" t="s">
        <v>290</v>
      </c>
      <c r="F354" s="942"/>
      <c r="G354" s="942"/>
      <c r="H354" s="942"/>
      <c r="I354" s="129"/>
      <c r="J354" s="943"/>
      <c r="K354" s="1094"/>
      <c r="L354" s="1094"/>
      <c r="M354" s="944"/>
      <c r="N354" s="1095"/>
      <c r="O354" s="258" t="str">
        <f>O$17</f>
        <v/>
      </c>
      <c r="P354" s="258" t="str">
        <f t="shared" ref="P354:W354" si="495">P$17</f>
        <v/>
      </c>
      <c r="Q354" s="258" t="str">
        <f t="shared" si="495"/>
        <v/>
      </c>
      <c r="R354" s="258" t="str">
        <f t="shared" si="495"/>
        <v/>
      </c>
      <c r="S354" s="258" t="str">
        <f t="shared" si="495"/>
        <v/>
      </c>
      <c r="T354" s="258" t="str">
        <f t="shared" si="495"/>
        <v/>
      </c>
      <c r="U354" s="258" t="str">
        <f t="shared" si="495"/>
        <v/>
      </c>
      <c r="V354" s="258" t="str">
        <f t="shared" si="495"/>
        <v/>
      </c>
      <c r="W354" s="258" t="str">
        <f t="shared" si="495"/>
        <v/>
      </c>
      <c r="X354" s="1095"/>
      <c r="Y354" s="944"/>
      <c r="Z354" s="1095"/>
      <c r="AA354" s="258" t="str">
        <f>AA$17</f>
        <v/>
      </c>
      <c r="AB354" s="258" t="str">
        <f t="shared" ref="AB354:AI354" si="496">AB$17</f>
        <v/>
      </c>
      <c r="AC354" s="258" t="str">
        <f t="shared" si="496"/>
        <v/>
      </c>
      <c r="AD354" s="258" t="str">
        <f t="shared" si="496"/>
        <v/>
      </c>
      <c r="AE354" s="258" t="str">
        <f t="shared" si="496"/>
        <v/>
      </c>
      <c r="AF354" s="258" t="str">
        <f t="shared" si="496"/>
        <v/>
      </c>
      <c r="AG354" s="258" t="str">
        <f t="shared" si="496"/>
        <v/>
      </c>
      <c r="AH354" s="258" t="str">
        <f t="shared" si="496"/>
        <v/>
      </c>
      <c r="AI354" s="258" t="str">
        <f t="shared" si="496"/>
        <v/>
      </c>
      <c r="AJ354" s="1095"/>
      <c r="AK354" s="944"/>
      <c r="AL354" s="1095"/>
      <c r="AM354" s="258" t="str">
        <f>AM$17</f>
        <v/>
      </c>
      <c r="AN354" s="258" t="str">
        <f t="shared" ref="AN354:AU354" si="497">AN$17</f>
        <v/>
      </c>
      <c r="AO354" s="258" t="str">
        <f t="shared" si="497"/>
        <v/>
      </c>
      <c r="AP354" s="258" t="str">
        <f t="shared" si="497"/>
        <v/>
      </c>
      <c r="AQ354" s="258" t="str">
        <f t="shared" si="497"/>
        <v/>
      </c>
      <c r="AR354" s="258" t="str">
        <f t="shared" si="497"/>
        <v/>
      </c>
      <c r="AS354" s="258" t="str">
        <f t="shared" si="497"/>
        <v/>
      </c>
      <c r="AT354" s="258" t="str">
        <f t="shared" si="497"/>
        <v/>
      </c>
      <c r="AU354" s="258" t="str">
        <f t="shared" si="497"/>
        <v/>
      </c>
      <c r="AV354" s="1095"/>
      <c r="AW354" s="944"/>
      <c r="AX354" s="1095"/>
      <c r="AY354" s="258" t="str">
        <f>AY$17</f>
        <v/>
      </c>
      <c r="AZ354" s="258" t="str">
        <f t="shared" ref="AZ354:BG354" si="498">AZ$17</f>
        <v/>
      </c>
      <c r="BA354" s="258" t="str">
        <f t="shared" si="498"/>
        <v/>
      </c>
      <c r="BB354" s="258" t="str">
        <f t="shared" si="498"/>
        <v/>
      </c>
      <c r="BC354" s="258" t="str">
        <f t="shared" si="498"/>
        <v/>
      </c>
      <c r="BD354" s="258" t="str">
        <f t="shared" si="498"/>
        <v/>
      </c>
      <c r="BE354" s="258" t="str">
        <f t="shared" si="498"/>
        <v/>
      </c>
      <c r="BF354" s="258" t="str">
        <f t="shared" si="498"/>
        <v/>
      </c>
      <c r="BG354" s="258" t="str">
        <f t="shared" si="498"/>
        <v/>
      </c>
    </row>
    <row r="355" spans="1:60" s="2" customFormat="1">
      <c r="A355" s="1038"/>
      <c r="B355" s="1110" t="s">
        <v>1224</v>
      </c>
      <c r="C355" s="1106" t="s">
        <v>104</v>
      </c>
      <c r="D355" s="645"/>
      <c r="E355" s="180" t="s">
        <v>291</v>
      </c>
      <c r="F355" s="203"/>
      <c r="G355" s="203"/>
      <c r="H355" s="204" t="s">
        <v>289</v>
      </c>
      <c r="I355" s="205"/>
      <c r="J355" s="206">
        <f>M355+Y355+AK355+AW355</f>
        <v>0</v>
      </c>
      <c r="K355" s="220"/>
      <c r="L355" s="220"/>
      <c r="M355" s="206">
        <f>SUMPRODUCT(N355:X355,N$22:X$22,N$29:X$29)/1000</f>
        <v>0</v>
      </c>
      <c r="N355" s="220"/>
      <c r="O355" s="1093">
        <f t="shared" ref="O355:W355" si="499">IF(OR(O$22=0,O$29=0,($M$187+$M$186)=0),0,
-(O275*$M$187/($M$187+$M$186)*$M$224*1000)/(O22*O29))</f>
        <v>0</v>
      </c>
      <c r="P355" s="1093">
        <f t="shared" si="499"/>
        <v>0</v>
      </c>
      <c r="Q355" s="1093">
        <f t="shared" si="499"/>
        <v>0</v>
      </c>
      <c r="R355" s="1093">
        <f t="shared" si="499"/>
        <v>0</v>
      </c>
      <c r="S355" s="1093">
        <f t="shared" si="499"/>
        <v>0</v>
      </c>
      <c r="T355" s="1093">
        <f t="shared" si="499"/>
        <v>0</v>
      </c>
      <c r="U355" s="1093">
        <f t="shared" si="499"/>
        <v>0</v>
      </c>
      <c r="V355" s="1093">
        <f t="shared" si="499"/>
        <v>0</v>
      </c>
      <c r="W355" s="1093">
        <f t="shared" si="499"/>
        <v>0</v>
      </c>
      <c r="X355" s="174"/>
      <c r="Y355" s="206">
        <f>SUMPRODUCT(Z355:AJ355,Z$22:AJ$22,Z$29:AJ$29)/1000</f>
        <v>0</v>
      </c>
      <c r="Z355" s="220"/>
      <c r="AA355" s="1093">
        <f t="shared" ref="AA355:AI355" si="500">IF(OR(AA$22=0,AA$29=0,($Y$187+$Y$186)=0),0,
-(AA275*$Y$187/($Y$187+$Y$186)*$Y$224*1000)/(AA22*AA29))</f>
        <v>0</v>
      </c>
      <c r="AB355" s="1093">
        <f t="shared" si="500"/>
        <v>0</v>
      </c>
      <c r="AC355" s="1093">
        <f t="shared" si="500"/>
        <v>0</v>
      </c>
      <c r="AD355" s="1093">
        <f t="shared" si="500"/>
        <v>0</v>
      </c>
      <c r="AE355" s="1093">
        <f t="shared" si="500"/>
        <v>0</v>
      </c>
      <c r="AF355" s="1093">
        <f t="shared" si="500"/>
        <v>0</v>
      </c>
      <c r="AG355" s="1093">
        <f t="shared" si="500"/>
        <v>0</v>
      </c>
      <c r="AH355" s="1093">
        <f t="shared" si="500"/>
        <v>0</v>
      </c>
      <c r="AI355" s="1093">
        <f t="shared" si="500"/>
        <v>0</v>
      </c>
      <c r="AJ355" s="174"/>
      <c r="AK355" s="206">
        <f>SUMPRODUCT(AL355:AV355,AL$22:AV$22,AL$29:AV$29)/1000</f>
        <v>0</v>
      </c>
      <c r="AL355" s="1091"/>
      <c r="AM355" s="1093">
        <f t="shared" ref="AM355:AU355" si="501">IF(OR(AM$22=0,AM$29=0,($AK$187+$AK$186)=0),0,
-(AM275*$AK$187/($AK$187+$AK$186)*$AK$224*1000)/(AM22*AM29))</f>
        <v>0</v>
      </c>
      <c r="AN355" s="1093">
        <f t="shared" si="501"/>
        <v>0</v>
      </c>
      <c r="AO355" s="1093">
        <f t="shared" si="501"/>
        <v>0</v>
      </c>
      <c r="AP355" s="1093">
        <f t="shared" si="501"/>
        <v>0</v>
      </c>
      <c r="AQ355" s="1093">
        <f t="shared" si="501"/>
        <v>0</v>
      </c>
      <c r="AR355" s="1093">
        <f t="shared" si="501"/>
        <v>0</v>
      </c>
      <c r="AS355" s="1093">
        <f t="shared" si="501"/>
        <v>0</v>
      </c>
      <c r="AT355" s="1093">
        <f t="shared" si="501"/>
        <v>0</v>
      </c>
      <c r="AU355" s="1093">
        <f t="shared" si="501"/>
        <v>0</v>
      </c>
      <c r="AV355" s="174"/>
      <c r="AW355" s="206">
        <f>SUMPRODUCT(AX355:BH355,AX$22:BH$22,AX$29:BH$29)/1000</f>
        <v>0</v>
      </c>
      <c r="AX355" s="1091"/>
      <c r="AY355" s="1093">
        <f t="shared" ref="AY355:BG355" si="502">IF(OR(AY$22=0,AY$29=0,($AW$187+$AW$186)=0),0,
-(AY275*$AW$187/($AW$187+$AW$186)*$AW$224*1000)/(AY22*AY29))</f>
        <v>0</v>
      </c>
      <c r="AZ355" s="1093">
        <f t="shared" si="502"/>
        <v>0</v>
      </c>
      <c r="BA355" s="1093">
        <f t="shared" si="502"/>
        <v>0</v>
      </c>
      <c r="BB355" s="1093">
        <f t="shared" si="502"/>
        <v>0</v>
      </c>
      <c r="BC355" s="1093">
        <f t="shared" si="502"/>
        <v>0</v>
      </c>
      <c r="BD355" s="1093">
        <f t="shared" si="502"/>
        <v>0</v>
      </c>
      <c r="BE355" s="1093">
        <f t="shared" si="502"/>
        <v>0</v>
      </c>
      <c r="BF355" s="1093">
        <f t="shared" si="502"/>
        <v>0</v>
      </c>
      <c r="BG355" s="1093">
        <f t="shared" si="502"/>
        <v>0</v>
      </c>
      <c r="BH355" s="210"/>
    </row>
    <row r="356" spans="1:60" s="2" customFormat="1">
      <c r="A356" s="1038"/>
      <c r="B356" s="1110" t="s">
        <v>1224</v>
      </c>
      <c r="C356" s="1106" t="s">
        <v>104</v>
      </c>
      <c r="D356" s="645"/>
      <c r="E356" s="180" t="s">
        <v>292</v>
      </c>
      <c r="F356" s="203"/>
      <c r="G356" s="203"/>
      <c r="H356" s="204" t="s">
        <v>289</v>
      </c>
      <c r="I356" s="205"/>
      <c r="J356" s="206">
        <f>M356+Y356+AK356+AW356</f>
        <v>0</v>
      </c>
      <c r="K356" s="220"/>
      <c r="L356" s="220"/>
      <c r="M356" s="206">
        <f>SUMPRODUCT(N356:X356,N$22:X$22,N$29:X$29)/1000</f>
        <v>0</v>
      </c>
      <c r="N356" s="220"/>
      <c r="O356" s="1093">
        <f t="shared" ref="O356:W356" si="503">IF(OR(O$22=0,O$29=0,($M$187+$M$186)=0),0,
-O73*$M$224/($M$187+$M$186)/O29)</f>
        <v>0</v>
      </c>
      <c r="P356" s="1093">
        <f t="shared" si="503"/>
        <v>0</v>
      </c>
      <c r="Q356" s="1093">
        <f t="shared" si="503"/>
        <v>0</v>
      </c>
      <c r="R356" s="1093">
        <f t="shared" si="503"/>
        <v>0</v>
      </c>
      <c r="S356" s="1093">
        <f t="shared" si="503"/>
        <v>0</v>
      </c>
      <c r="T356" s="1093">
        <f t="shared" si="503"/>
        <v>0</v>
      </c>
      <c r="U356" s="1093">
        <f t="shared" si="503"/>
        <v>0</v>
      </c>
      <c r="V356" s="1093">
        <f t="shared" si="503"/>
        <v>0</v>
      </c>
      <c r="W356" s="1093">
        <f t="shared" si="503"/>
        <v>0</v>
      </c>
      <c r="X356" s="174"/>
      <c r="Y356" s="206">
        <f>SUMPRODUCT(Z356:AJ356,Z$22:AJ$22,Z$29:AJ$29)/1000</f>
        <v>0</v>
      </c>
      <c r="Z356" s="220"/>
      <c r="AA356" s="1093">
        <f t="shared" ref="AA356:AI356" si="504">IF(OR(AA$22=0,AA$29=0,($Y$187+$Y$186)=0),0,
-AA73*$Y$224/($Y$187+$Y$186)/AA29)</f>
        <v>0</v>
      </c>
      <c r="AB356" s="1093">
        <f t="shared" si="504"/>
        <v>0</v>
      </c>
      <c r="AC356" s="1093">
        <f t="shared" si="504"/>
        <v>0</v>
      </c>
      <c r="AD356" s="1093">
        <f t="shared" si="504"/>
        <v>0</v>
      </c>
      <c r="AE356" s="1093">
        <f t="shared" si="504"/>
        <v>0</v>
      </c>
      <c r="AF356" s="1093">
        <f t="shared" si="504"/>
        <v>0</v>
      </c>
      <c r="AG356" s="1093">
        <f t="shared" si="504"/>
        <v>0</v>
      </c>
      <c r="AH356" s="1093">
        <f t="shared" si="504"/>
        <v>0</v>
      </c>
      <c r="AI356" s="1093">
        <f t="shared" si="504"/>
        <v>0</v>
      </c>
      <c r="AJ356" s="174"/>
      <c r="AK356" s="206">
        <f>SUMPRODUCT(AL356:AV356,AL$22:AV$22,AL$29:AV$29)/1000</f>
        <v>0</v>
      </c>
      <c r="AL356" s="1091"/>
      <c r="AM356" s="1093">
        <f t="shared" ref="AM356:AU356" si="505">IF(OR(AM$22=0,AM$29=0,($AK$187+$AK$186)=0),0,
-AM73*$AK$224/($AK$187+$AK$186)/AM29)</f>
        <v>0</v>
      </c>
      <c r="AN356" s="1093">
        <f t="shared" si="505"/>
        <v>0</v>
      </c>
      <c r="AO356" s="1093">
        <f t="shared" si="505"/>
        <v>0</v>
      </c>
      <c r="AP356" s="1093">
        <f t="shared" si="505"/>
        <v>0</v>
      </c>
      <c r="AQ356" s="1093">
        <f t="shared" si="505"/>
        <v>0</v>
      </c>
      <c r="AR356" s="1093">
        <f t="shared" si="505"/>
        <v>0</v>
      </c>
      <c r="AS356" s="1093">
        <f t="shared" si="505"/>
        <v>0</v>
      </c>
      <c r="AT356" s="1093">
        <f t="shared" si="505"/>
        <v>0</v>
      </c>
      <c r="AU356" s="1093">
        <f t="shared" si="505"/>
        <v>0</v>
      </c>
      <c r="AV356" s="174"/>
      <c r="AW356" s="206">
        <f>SUMPRODUCT(AX356:BH356,AX$22:BH$22,AX$29:BH$29)/1000</f>
        <v>0</v>
      </c>
      <c r="AX356" s="1091"/>
      <c r="AY356" s="1093">
        <f t="shared" ref="AY356:BG356" si="506">IF(OR(AY$22=0,AY$29=0,($AW$187+$AW$186)=0),0,
-AY73*$AW$224/($AW$187+$AW$186)/AY29)</f>
        <v>0</v>
      </c>
      <c r="AZ356" s="1093">
        <f t="shared" si="506"/>
        <v>0</v>
      </c>
      <c r="BA356" s="1093">
        <f t="shared" si="506"/>
        <v>0</v>
      </c>
      <c r="BB356" s="1093">
        <f t="shared" si="506"/>
        <v>0</v>
      </c>
      <c r="BC356" s="1093">
        <f t="shared" si="506"/>
        <v>0</v>
      </c>
      <c r="BD356" s="1093">
        <f t="shared" si="506"/>
        <v>0</v>
      </c>
      <c r="BE356" s="1093">
        <f t="shared" si="506"/>
        <v>0</v>
      </c>
      <c r="BF356" s="1093">
        <f t="shared" si="506"/>
        <v>0</v>
      </c>
      <c r="BG356" s="1093">
        <f t="shared" si="506"/>
        <v>0</v>
      </c>
      <c r="BH356" s="210"/>
    </row>
    <row r="357" spans="1:60" s="2" customFormat="1">
      <c r="A357" s="1038"/>
      <c r="B357" s="1110" t="s">
        <v>1224</v>
      </c>
      <c r="C357" s="1106" t="s">
        <v>104</v>
      </c>
      <c r="D357" s="645"/>
      <c r="E357" s="203" t="s">
        <v>293</v>
      </c>
      <c r="F357" s="203"/>
      <c r="G357" s="203"/>
      <c r="H357" s="204" t="s">
        <v>289</v>
      </c>
      <c r="I357" s="205"/>
      <c r="J357" s="206">
        <f>M357+Y357+AK357+AW357</f>
        <v>0</v>
      </c>
      <c r="K357" s="220"/>
      <c r="L357" s="220"/>
      <c r="M357" s="206">
        <f>M355+M356</f>
        <v>0</v>
      </c>
      <c r="N357" s="220"/>
      <c r="O357" s="1093">
        <f t="shared" ref="O357:W357" si="507">O355+O356</f>
        <v>0</v>
      </c>
      <c r="P357" s="1093">
        <f t="shared" si="507"/>
        <v>0</v>
      </c>
      <c r="Q357" s="1093">
        <f t="shared" si="507"/>
        <v>0</v>
      </c>
      <c r="R357" s="1093">
        <f t="shared" si="507"/>
        <v>0</v>
      </c>
      <c r="S357" s="1093">
        <f t="shared" si="507"/>
        <v>0</v>
      </c>
      <c r="T357" s="1093">
        <f>T355+T356</f>
        <v>0</v>
      </c>
      <c r="U357" s="1093">
        <f t="shared" si="507"/>
        <v>0</v>
      </c>
      <c r="V357" s="1093">
        <f t="shared" si="507"/>
        <v>0</v>
      </c>
      <c r="W357" s="1093">
        <f t="shared" si="507"/>
        <v>0</v>
      </c>
      <c r="X357" s="174"/>
      <c r="Y357" s="206">
        <f>Y355+Y356</f>
        <v>0</v>
      </c>
      <c r="Z357" s="220"/>
      <c r="AA357" s="1093">
        <f t="shared" ref="AA357:AI357" si="508">AA355+AA356</f>
        <v>0</v>
      </c>
      <c r="AB357" s="1093">
        <f t="shared" si="508"/>
        <v>0</v>
      </c>
      <c r="AC357" s="1093">
        <f t="shared" si="508"/>
        <v>0</v>
      </c>
      <c r="AD357" s="1093">
        <f t="shared" si="508"/>
        <v>0</v>
      </c>
      <c r="AE357" s="1093">
        <f t="shared" si="508"/>
        <v>0</v>
      </c>
      <c r="AF357" s="1093">
        <f>AF355+AF356</f>
        <v>0</v>
      </c>
      <c r="AG357" s="1093">
        <f t="shared" si="508"/>
        <v>0</v>
      </c>
      <c r="AH357" s="1093">
        <f t="shared" si="508"/>
        <v>0</v>
      </c>
      <c r="AI357" s="1093">
        <f t="shared" si="508"/>
        <v>0</v>
      </c>
      <c r="AJ357" s="174"/>
      <c r="AK357" s="206">
        <f>AK355+AK356</f>
        <v>0</v>
      </c>
      <c r="AL357" s="1091"/>
      <c r="AM357" s="1093">
        <f t="shared" ref="AM357:AU357" si="509">AM355+AM356</f>
        <v>0</v>
      </c>
      <c r="AN357" s="1093">
        <f t="shared" si="509"/>
        <v>0</v>
      </c>
      <c r="AO357" s="1093">
        <f t="shared" si="509"/>
        <v>0</v>
      </c>
      <c r="AP357" s="1093">
        <f t="shared" si="509"/>
        <v>0</v>
      </c>
      <c r="AQ357" s="1093">
        <f t="shared" si="509"/>
        <v>0</v>
      </c>
      <c r="AR357" s="1093">
        <f>AR355+AR356</f>
        <v>0</v>
      </c>
      <c r="AS357" s="1093">
        <f t="shared" si="509"/>
        <v>0</v>
      </c>
      <c r="AT357" s="1093">
        <f t="shared" si="509"/>
        <v>0</v>
      </c>
      <c r="AU357" s="1093">
        <f t="shared" si="509"/>
        <v>0</v>
      </c>
      <c r="AV357" s="174"/>
      <c r="AW357" s="206">
        <f>AW355+AW356</f>
        <v>0</v>
      </c>
      <c r="AX357" s="1091"/>
      <c r="AY357" s="1093">
        <f t="shared" ref="AY357:BG357" si="510">AY355+AY356</f>
        <v>0</v>
      </c>
      <c r="AZ357" s="1093">
        <f t="shared" si="510"/>
        <v>0</v>
      </c>
      <c r="BA357" s="1093">
        <f t="shared" si="510"/>
        <v>0</v>
      </c>
      <c r="BB357" s="1093">
        <f t="shared" si="510"/>
        <v>0</v>
      </c>
      <c r="BC357" s="1093">
        <f t="shared" si="510"/>
        <v>0</v>
      </c>
      <c r="BD357" s="1093">
        <f>BD355+BD356</f>
        <v>0</v>
      </c>
      <c r="BE357" s="1093">
        <f t="shared" si="510"/>
        <v>0</v>
      </c>
      <c r="BF357" s="1093">
        <f t="shared" si="510"/>
        <v>0</v>
      </c>
      <c r="BG357" s="1093">
        <f t="shared" si="510"/>
        <v>0</v>
      </c>
      <c r="BH357" s="210"/>
    </row>
    <row r="358" spans="1:60" s="2" customFormat="1">
      <c r="A358" s="1038"/>
      <c r="B358" s="1110" t="s">
        <v>1224</v>
      </c>
      <c r="C358" s="1106" t="s">
        <v>96</v>
      </c>
      <c r="D358" s="644"/>
      <c r="E358" s="942" t="s">
        <v>107</v>
      </c>
      <c r="F358" s="942"/>
      <c r="G358" s="942"/>
      <c r="H358" s="942"/>
      <c r="I358" s="129"/>
      <c r="J358" s="943"/>
      <c r="K358" s="1094"/>
      <c r="L358" s="1094"/>
      <c r="M358" s="944"/>
      <c r="N358" s="1095"/>
      <c r="O358" s="258" t="str">
        <f>O$17</f>
        <v/>
      </c>
      <c r="P358" s="258" t="str">
        <f t="shared" ref="P358:W358" si="511">P$17</f>
        <v/>
      </c>
      <c r="Q358" s="258" t="str">
        <f t="shared" si="511"/>
        <v/>
      </c>
      <c r="R358" s="258" t="str">
        <f t="shared" si="511"/>
        <v/>
      </c>
      <c r="S358" s="258" t="str">
        <f t="shared" si="511"/>
        <v/>
      </c>
      <c r="T358" s="258" t="str">
        <f t="shared" si="511"/>
        <v/>
      </c>
      <c r="U358" s="258" t="str">
        <f t="shared" si="511"/>
        <v/>
      </c>
      <c r="V358" s="258" t="str">
        <f t="shared" si="511"/>
        <v/>
      </c>
      <c r="W358" s="258" t="str">
        <f t="shared" si="511"/>
        <v/>
      </c>
      <c r="X358" s="1095"/>
      <c r="Y358" s="944"/>
      <c r="Z358" s="1095"/>
      <c r="AA358" s="258" t="str">
        <f>AA$17</f>
        <v/>
      </c>
      <c r="AB358" s="258" t="str">
        <f t="shared" ref="AB358:AI358" si="512">AB$17</f>
        <v/>
      </c>
      <c r="AC358" s="258" t="str">
        <f t="shared" si="512"/>
        <v/>
      </c>
      <c r="AD358" s="258" t="str">
        <f t="shared" si="512"/>
        <v/>
      </c>
      <c r="AE358" s="258" t="str">
        <f t="shared" si="512"/>
        <v/>
      </c>
      <c r="AF358" s="258" t="str">
        <f t="shared" si="512"/>
        <v/>
      </c>
      <c r="AG358" s="258" t="str">
        <f t="shared" si="512"/>
        <v/>
      </c>
      <c r="AH358" s="258" t="str">
        <f t="shared" si="512"/>
        <v/>
      </c>
      <c r="AI358" s="258" t="str">
        <f t="shared" si="512"/>
        <v/>
      </c>
      <c r="AJ358" s="1095"/>
      <c r="AK358" s="944"/>
      <c r="AL358" s="1095"/>
      <c r="AM358" s="258" t="str">
        <f>AM$17</f>
        <v/>
      </c>
      <c r="AN358" s="258" t="str">
        <f t="shared" ref="AN358:AU358" si="513">AN$17</f>
        <v/>
      </c>
      <c r="AO358" s="258" t="str">
        <f t="shared" si="513"/>
        <v/>
      </c>
      <c r="AP358" s="258" t="str">
        <f t="shared" si="513"/>
        <v/>
      </c>
      <c r="AQ358" s="258" t="str">
        <f t="shared" si="513"/>
        <v/>
      </c>
      <c r="AR358" s="258" t="str">
        <f t="shared" si="513"/>
        <v/>
      </c>
      <c r="AS358" s="258" t="str">
        <f t="shared" si="513"/>
        <v/>
      </c>
      <c r="AT358" s="258" t="str">
        <f t="shared" si="513"/>
        <v/>
      </c>
      <c r="AU358" s="258" t="str">
        <f t="shared" si="513"/>
        <v/>
      </c>
      <c r="AV358" s="1095"/>
      <c r="AW358" s="944"/>
      <c r="AX358" s="1095"/>
      <c r="AY358" s="258" t="str">
        <f>AY$17</f>
        <v/>
      </c>
      <c r="AZ358" s="258" t="str">
        <f t="shared" ref="AZ358:BG358" si="514">AZ$17</f>
        <v/>
      </c>
      <c r="BA358" s="258" t="str">
        <f t="shared" si="514"/>
        <v/>
      </c>
      <c r="BB358" s="258" t="str">
        <f t="shared" si="514"/>
        <v/>
      </c>
      <c r="BC358" s="258" t="str">
        <f t="shared" si="514"/>
        <v/>
      </c>
      <c r="BD358" s="258" t="str">
        <f t="shared" si="514"/>
        <v/>
      </c>
      <c r="BE358" s="258" t="str">
        <f t="shared" si="514"/>
        <v/>
      </c>
      <c r="BF358" s="258" t="str">
        <f t="shared" si="514"/>
        <v/>
      </c>
      <c r="BG358" s="258" t="str">
        <f t="shared" si="514"/>
        <v/>
      </c>
    </row>
    <row r="359" spans="1:60" s="2" customFormat="1">
      <c r="A359" s="1038"/>
      <c r="B359" s="1110" t="s">
        <v>1224</v>
      </c>
      <c r="C359" s="1106" t="s">
        <v>104</v>
      </c>
      <c r="D359" s="645"/>
      <c r="E359" s="203" t="s">
        <v>1340</v>
      </c>
      <c r="F359" s="203"/>
      <c r="G359" s="203"/>
      <c r="H359" s="204" t="s">
        <v>289</v>
      </c>
      <c r="I359" s="205"/>
      <c r="J359" s="206">
        <f>M359+Y359+AK359+AW359</f>
        <v>0</v>
      </c>
      <c r="K359" s="220"/>
      <c r="L359" s="220"/>
      <c r="M359" s="206">
        <f>SUMPRODUCT(N359:X359,N$22:X$22,N$29:X$29)/1000</f>
        <v>0</v>
      </c>
      <c r="N359" s="220"/>
      <c r="O359" s="1093">
        <f t="shared" ref="O359:W359" si="515">O353+O357</f>
        <v>0</v>
      </c>
      <c r="P359" s="1093">
        <f t="shared" si="515"/>
        <v>0</v>
      </c>
      <c r="Q359" s="1093">
        <f t="shared" si="515"/>
        <v>0</v>
      </c>
      <c r="R359" s="1093">
        <f t="shared" si="515"/>
        <v>0</v>
      </c>
      <c r="S359" s="1093">
        <f t="shared" si="515"/>
        <v>0</v>
      </c>
      <c r="T359" s="1093">
        <f>T353+T357</f>
        <v>0</v>
      </c>
      <c r="U359" s="1093">
        <f t="shared" si="515"/>
        <v>0</v>
      </c>
      <c r="V359" s="1093">
        <f t="shared" si="515"/>
        <v>0</v>
      </c>
      <c r="W359" s="1093">
        <f t="shared" si="515"/>
        <v>0</v>
      </c>
      <c r="X359" s="174"/>
      <c r="Y359" s="206">
        <f>SUMPRODUCT(Z359:AJ359,Z$22:AJ$22,Z$29:AJ$29)/1000</f>
        <v>0</v>
      </c>
      <c r="Z359" s="220"/>
      <c r="AA359" s="1093">
        <f t="shared" ref="AA359:AE359" si="516">AA353+AA357</f>
        <v>0</v>
      </c>
      <c r="AB359" s="1093">
        <f t="shared" si="516"/>
        <v>0</v>
      </c>
      <c r="AC359" s="1093">
        <f t="shared" si="516"/>
        <v>0</v>
      </c>
      <c r="AD359" s="1093">
        <f t="shared" si="516"/>
        <v>0</v>
      </c>
      <c r="AE359" s="1093">
        <f t="shared" si="516"/>
        <v>0</v>
      </c>
      <c r="AF359" s="1093">
        <f>AF353+AF357</f>
        <v>0</v>
      </c>
      <c r="AG359" s="1093">
        <f t="shared" ref="AG359:AI359" si="517">AG353+AG357</f>
        <v>0</v>
      </c>
      <c r="AH359" s="1093">
        <f t="shared" si="517"/>
        <v>0</v>
      </c>
      <c r="AI359" s="1093">
        <f t="shared" si="517"/>
        <v>0</v>
      </c>
      <c r="AJ359" s="174"/>
      <c r="AK359" s="206">
        <f>SUMPRODUCT(AL359:AV359,AL$22:AV$22,AL$29:AV$29)/1000</f>
        <v>0</v>
      </c>
      <c r="AL359" s="1091"/>
      <c r="AM359" s="1093">
        <f t="shared" ref="AM359:AQ359" si="518">AM353+AM357</f>
        <v>0</v>
      </c>
      <c r="AN359" s="1093">
        <f t="shared" si="518"/>
        <v>0</v>
      </c>
      <c r="AO359" s="1093">
        <f t="shared" si="518"/>
        <v>0</v>
      </c>
      <c r="AP359" s="1093">
        <f t="shared" si="518"/>
        <v>0</v>
      </c>
      <c r="AQ359" s="1093">
        <f t="shared" si="518"/>
        <v>0</v>
      </c>
      <c r="AR359" s="1093">
        <f>AR353+AR357</f>
        <v>0</v>
      </c>
      <c r="AS359" s="1093">
        <f t="shared" ref="AS359:AU359" si="519">AS353+AS357</f>
        <v>0</v>
      </c>
      <c r="AT359" s="1093">
        <f t="shared" si="519"/>
        <v>0</v>
      </c>
      <c r="AU359" s="1093">
        <f t="shared" si="519"/>
        <v>0</v>
      </c>
      <c r="AV359" s="174"/>
      <c r="AW359" s="206">
        <f>SUMPRODUCT(AX359:BH359,AX$22:BH$22,AX$29:BH$29)/1000</f>
        <v>0</v>
      </c>
      <c r="AX359" s="1091"/>
      <c r="AY359" s="1093">
        <f t="shared" ref="AY359:BC359" si="520">AY353+AY357</f>
        <v>0</v>
      </c>
      <c r="AZ359" s="1093">
        <f t="shared" si="520"/>
        <v>0</v>
      </c>
      <c r="BA359" s="1093">
        <f t="shared" si="520"/>
        <v>0</v>
      </c>
      <c r="BB359" s="1093">
        <f t="shared" si="520"/>
        <v>0</v>
      </c>
      <c r="BC359" s="1093">
        <f t="shared" si="520"/>
        <v>0</v>
      </c>
      <c r="BD359" s="1093">
        <f>BD353+BD357</f>
        <v>0</v>
      </c>
      <c r="BE359" s="1093">
        <f t="shared" ref="BE359:BG359" si="521">BE353+BE357</f>
        <v>0</v>
      </c>
      <c r="BF359" s="1093">
        <f t="shared" si="521"/>
        <v>0</v>
      </c>
      <c r="BG359" s="1093">
        <f t="shared" si="521"/>
        <v>0</v>
      </c>
      <c r="BH359" s="210"/>
    </row>
    <row r="360" spans="1:60" s="2" customFormat="1">
      <c r="A360" s="1038"/>
      <c r="B360" s="1110" t="s">
        <v>1224</v>
      </c>
      <c r="C360" s="1106" t="s">
        <v>104</v>
      </c>
      <c r="D360" s="645"/>
      <c r="E360" s="203" t="s">
        <v>1341</v>
      </c>
      <c r="F360" s="203"/>
      <c r="G360" s="203"/>
      <c r="H360" s="204" t="s">
        <v>289</v>
      </c>
      <c r="I360" s="205"/>
      <c r="J360" s="206">
        <f>M360+Y360+AK360+AW360</f>
        <v>0</v>
      </c>
      <c r="K360" s="220"/>
      <c r="L360" s="220"/>
      <c r="M360" s="206">
        <f>SUMPRODUCT(N360:X360,N$22:X$22,N$29:X$29)/1000</f>
        <v>0</v>
      </c>
      <c r="N360" s="220"/>
      <c r="O360" s="1093">
        <f t="shared" ref="O360:W360" si="522">O$345+O$346+O$347+IF(OR(O$19=woning,O$19=woongebouw),0,O$348)+O$349+O$357</f>
        <v>0</v>
      </c>
      <c r="P360" s="1093">
        <f t="shared" si="522"/>
        <v>0</v>
      </c>
      <c r="Q360" s="1093">
        <f t="shared" si="522"/>
        <v>0</v>
      </c>
      <c r="R360" s="1093">
        <f t="shared" si="522"/>
        <v>0</v>
      </c>
      <c r="S360" s="1093">
        <f t="shared" si="522"/>
        <v>0</v>
      </c>
      <c r="T360" s="1093">
        <f t="shared" si="522"/>
        <v>0</v>
      </c>
      <c r="U360" s="1093">
        <f t="shared" si="522"/>
        <v>0</v>
      </c>
      <c r="V360" s="1093">
        <f t="shared" si="522"/>
        <v>0</v>
      </c>
      <c r="W360" s="1093">
        <f t="shared" si="522"/>
        <v>0</v>
      </c>
      <c r="X360" s="174"/>
      <c r="Y360" s="206">
        <f>SUMPRODUCT(Z360:AJ360,Z$22:AJ$22,Z$29:AJ$29)/1000</f>
        <v>0</v>
      </c>
      <c r="Z360" s="220"/>
      <c r="AA360" s="1093">
        <f t="shared" ref="AA360:AI360" si="523">AA$345+AA$346+AA$347+IF(OR(AA$19=woning,AA$19=woongebouw),0,AA$348)+AA$349+AA$357</f>
        <v>0</v>
      </c>
      <c r="AB360" s="1093">
        <f t="shared" si="523"/>
        <v>0</v>
      </c>
      <c r="AC360" s="1093">
        <f t="shared" si="523"/>
        <v>0</v>
      </c>
      <c r="AD360" s="1093">
        <f t="shared" si="523"/>
        <v>0</v>
      </c>
      <c r="AE360" s="1093">
        <f t="shared" si="523"/>
        <v>0</v>
      </c>
      <c r="AF360" s="1093">
        <f t="shared" si="523"/>
        <v>0</v>
      </c>
      <c r="AG360" s="1093">
        <f t="shared" si="523"/>
        <v>0</v>
      </c>
      <c r="AH360" s="1093">
        <f t="shared" si="523"/>
        <v>0</v>
      </c>
      <c r="AI360" s="1093">
        <f t="shared" si="523"/>
        <v>0</v>
      </c>
      <c r="AJ360" s="174"/>
      <c r="AK360" s="206">
        <f>SUMPRODUCT(AL360:AV360,AL$22:AV$22,AL$29:AV$29)/1000</f>
        <v>0</v>
      </c>
      <c r="AL360" s="1091"/>
      <c r="AM360" s="1093">
        <f t="shared" ref="AM360:AU360" si="524">AM$345+AM$346+AM$347+IF(OR(AM$19=woning,AM$19=woongebouw),0,AM$348)+AM$349+AM$357</f>
        <v>0</v>
      </c>
      <c r="AN360" s="1093">
        <f t="shared" si="524"/>
        <v>0</v>
      </c>
      <c r="AO360" s="1093">
        <f t="shared" si="524"/>
        <v>0</v>
      </c>
      <c r="AP360" s="1093">
        <f t="shared" si="524"/>
        <v>0</v>
      </c>
      <c r="AQ360" s="1093">
        <f t="shared" si="524"/>
        <v>0</v>
      </c>
      <c r="AR360" s="1093">
        <f t="shared" si="524"/>
        <v>0</v>
      </c>
      <c r="AS360" s="1093">
        <f t="shared" si="524"/>
        <v>0</v>
      </c>
      <c r="AT360" s="1093">
        <f t="shared" si="524"/>
        <v>0</v>
      </c>
      <c r="AU360" s="1093">
        <f t="shared" si="524"/>
        <v>0</v>
      </c>
      <c r="AV360" s="174"/>
      <c r="AW360" s="206">
        <f>SUMPRODUCT(AX360:BH360,AX$22:BH$22,AX$29:BH$29)/1000</f>
        <v>0</v>
      </c>
      <c r="AX360" s="1091"/>
      <c r="AY360" s="1093">
        <f t="shared" ref="AY360:BG360" si="525">AY$345+AY$346+AY$347+IF(OR(AY$19=woning,AY$19=woongebouw),0,AY$348)+AY$349+AY$357</f>
        <v>0</v>
      </c>
      <c r="AZ360" s="1093">
        <f t="shared" si="525"/>
        <v>0</v>
      </c>
      <c r="BA360" s="1093">
        <f t="shared" si="525"/>
        <v>0</v>
      </c>
      <c r="BB360" s="1093">
        <f t="shared" si="525"/>
        <v>0</v>
      </c>
      <c r="BC360" s="1093">
        <f t="shared" si="525"/>
        <v>0</v>
      </c>
      <c r="BD360" s="1093">
        <f t="shared" si="525"/>
        <v>0</v>
      </c>
      <c r="BE360" s="1093">
        <f t="shared" si="525"/>
        <v>0</v>
      </c>
      <c r="BF360" s="1093">
        <f t="shared" si="525"/>
        <v>0</v>
      </c>
      <c r="BG360" s="1093">
        <f t="shared" si="525"/>
        <v>0</v>
      </c>
      <c r="BH360" s="210"/>
    </row>
    <row r="361" spans="1:60">
      <c r="A361" s="1040"/>
      <c r="B361" s="1109" t="s">
        <v>1219</v>
      </c>
      <c r="C361" s="1106" t="s">
        <v>96</v>
      </c>
      <c r="D361" s="638"/>
      <c r="E361" s="79"/>
      <c r="F361" s="79"/>
      <c r="G361" s="79"/>
      <c r="H361" s="85"/>
      <c r="I361" s="79"/>
      <c r="J361" s="113"/>
      <c r="K361" s="79"/>
      <c r="L361" s="79"/>
      <c r="M361" s="113"/>
      <c r="N361" s="79"/>
      <c r="O361" s="81"/>
      <c r="P361" s="1163"/>
      <c r="Q361" s="81"/>
      <c r="R361" s="81"/>
      <c r="S361" s="81"/>
      <c r="T361" s="81"/>
      <c r="U361" s="81"/>
      <c r="V361" s="81"/>
      <c r="W361" s="81"/>
      <c r="X361" s="82"/>
      <c r="Y361" s="82"/>
      <c r="Z361" s="79"/>
      <c r="AA361" s="79"/>
      <c r="AB361" s="79"/>
      <c r="AC361" s="79"/>
      <c r="AD361" s="79"/>
      <c r="AE361" s="79"/>
      <c r="AF361" s="79"/>
      <c r="AG361" s="79"/>
      <c r="AH361" s="79"/>
      <c r="AI361" s="79"/>
      <c r="AJ361" s="79"/>
      <c r="AK361" s="113"/>
      <c r="AL361" s="79"/>
      <c r="AM361" s="82"/>
      <c r="AN361" s="82"/>
      <c r="AO361" s="82"/>
      <c r="AP361" s="82"/>
      <c r="AQ361" s="82"/>
      <c r="AR361" s="82"/>
      <c r="AS361" s="82"/>
      <c r="AT361" s="82"/>
      <c r="AU361" s="82"/>
      <c r="AV361" s="82"/>
      <c r="AW361" s="82"/>
      <c r="AX361" s="79"/>
      <c r="AY361" s="82"/>
      <c r="AZ361" s="82"/>
      <c r="BA361" s="82"/>
      <c r="BB361" s="82"/>
      <c r="BC361" s="82"/>
      <c r="BD361" s="82"/>
      <c r="BE361" s="82"/>
      <c r="BF361" s="82"/>
      <c r="BG361" s="82"/>
      <c r="BH361" s="1"/>
    </row>
    <row r="362" spans="1:60">
      <c r="A362" s="1040"/>
      <c r="B362" s="1109" t="s">
        <v>1221</v>
      </c>
      <c r="C362" s="1106" t="s">
        <v>96</v>
      </c>
      <c r="D362" s="638"/>
      <c r="E362" s="1184"/>
      <c r="F362" s="79"/>
      <c r="G362" s="79"/>
      <c r="H362" s="85"/>
      <c r="I362" s="79"/>
      <c r="J362" s="1088"/>
      <c r="K362" s="79"/>
      <c r="L362" s="79"/>
      <c r="M362" s="113"/>
      <c r="N362" s="79"/>
      <c r="O362" s="1087"/>
      <c r="P362" s="1087"/>
      <c r="Q362" s="1087"/>
      <c r="R362" s="1087"/>
      <c r="S362" s="1087"/>
      <c r="T362" s="1087"/>
      <c r="U362" s="1087"/>
      <c r="V362" s="1087"/>
      <c r="W362" s="1087"/>
      <c r="X362" s="82"/>
      <c r="Y362" s="82"/>
      <c r="Z362" s="79"/>
      <c r="AA362" s="79"/>
      <c r="AB362" s="79"/>
      <c r="AC362" s="79"/>
      <c r="AD362" s="79"/>
      <c r="AE362" s="79"/>
      <c r="AF362" s="79"/>
      <c r="AG362" s="79"/>
      <c r="AH362" s="79"/>
      <c r="AI362" s="79"/>
      <c r="AJ362" s="79"/>
      <c r="AK362" s="113"/>
      <c r="AL362" s="79"/>
      <c r="AM362" s="82"/>
      <c r="AN362" s="82"/>
      <c r="AO362" s="82"/>
      <c r="AP362" s="82"/>
      <c r="AQ362" s="82"/>
      <c r="AR362" s="82"/>
      <c r="AS362" s="82"/>
      <c r="AT362" s="82"/>
      <c r="AU362" s="82"/>
      <c r="AV362" s="82"/>
      <c r="AW362" s="82"/>
      <c r="AX362" s="79"/>
      <c r="AY362" s="82"/>
      <c r="AZ362" s="82"/>
      <c r="BA362" s="82"/>
      <c r="BB362" s="82"/>
      <c r="BC362" s="82"/>
      <c r="BD362" s="82"/>
      <c r="BE362" s="82"/>
      <c r="BF362" s="82"/>
      <c r="BG362" s="82"/>
      <c r="BH362" s="1"/>
    </row>
    <row r="363" spans="1:60" ht="21">
      <c r="A363" s="1040"/>
      <c r="B363" s="1109" t="s">
        <v>1221</v>
      </c>
      <c r="C363" s="1106" t="s">
        <v>96</v>
      </c>
      <c r="D363" s="645" t="s">
        <v>45</v>
      </c>
      <c r="E363" s="209" t="s">
        <v>1362</v>
      </c>
      <c r="F363" s="209"/>
      <c r="G363" s="209"/>
      <c r="H363" s="1188" t="str">
        <f>IF(OR($F$5&lt;&gt;"NTA8800:2026",$F$6&lt;&gt;"EP"),"Voor correcte EP: Kies linksboven 'NTA8800:2026' en 'EP'","")</f>
        <v/>
      </c>
      <c r="I363" s="129"/>
      <c r="J363" s="256"/>
      <c r="K363" s="126"/>
      <c r="L363" s="126"/>
      <c r="M363" s="256" t="str">
        <f>"MWh "&amp;M$8</f>
        <v>MWh locatie 1</v>
      </c>
      <c r="N363" s="182"/>
      <c r="O363" s="955" t="str">
        <f>$E363&amp;" per woning-/gebouwtype"</f>
        <v>primair totaal energiegebruik ZEB per woning-/gebouwtype</v>
      </c>
      <c r="P363" s="945"/>
      <c r="Q363" s="945"/>
      <c r="R363" s="945"/>
      <c r="S363" s="945"/>
      <c r="T363" s="945"/>
      <c r="U363" s="945"/>
      <c r="V363" s="945"/>
      <c r="W363" s="257"/>
      <c r="X363" s="82"/>
      <c r="Y363" s="256" t="str">
        <f>"MWh "&amp;Y$8</f>
        <v>MWh locatie 2</v>
      </c>
      <c r="Z363" s="182"/>
      <c r="AA363" s="955" t="str">
        <f>$E363&amp;" per woning-/gebouwtype"</f>
        <v>primair totaal energiegebruik ZEB per woning-/gebouwtype</v>
      </c>
      <c r="AB363" s="945"/>
      <c r="AC363" s="945"/>
      <c r="AD363" s="945"/>
      <c r="AE363" s="945"/>
      <c r="AF363" s="945"/>
      <c r="AG363" s="945"/>
      <c r="AH363" s="945"/>
      <c r="AI363" s="257"/>
      <c r="AJ363" s="79"/>
      <c r="AK363" s="256" t="str">
        <f>"MWh "&amp;AK$8</f>
        <v>MWh locatie 3</v>
      </c>
      <c r="AL363" s="182"/>
      <c r="AM363" s="955" t="str">
        <f>$E363&amp;" per woning-/gebouwtype"</f>
        <v>primair totaal energiegebruik ZEB per woning-/gebouwtype</v>
      </c>
      <c r="AN363" s="945"/>
      <c r="AO363" s="945"/>
      <c r="AP363" s="945"/>
      <c r="AQ363" s="945"/>
      <c r="AR363" s="945"/>
      <c r="AS363" s="945"/>
      <c r="AT363" s="945"/>
      <c r="AU363" s="257"/>
      <c r="AV363" s="82"/>
      <c r="AW363" s="256" t="str">
        <f>"MWh "&amp;AW$8</f>
        <v>MWh locatie 4</v>
      </c>
      <c r="AX363" s="182"/>
      <c r="AY363" s="955" t="str">
        <f>$E363&amp;" per woning-/gebouwtype"</f>
        <v>primair totaal energiegebruik ZEB per woning-/gebouwtype</v>
      </c>
      <c r="AZ363" s="945"/>
      <c r="BA363" s="945"/>
      <c r="BB363" s="945"/>
      <c r="BC363" s="945"/>
      <c r="BD363" s="945"/>
      <c r="BE363" s="945"/>
      <c r="BF363" s="945"/>
      <c r="BG363" s="257"/>
      <c r="BH363" s="1"/>
    </row>
    <row r="364" spans="1:60">
      <c r="A364" s="1040"/>
      <c r="B364" s="1109" t="s">
        <v>1221</v>
      </c>
      <c r="C364" s="1106" t="s">
        <v>96</v>
      </c>
      <c r="D364" s="645"/>
      <c r="E364" s="942" t="s">
        <v>1330</v>
      </c>
      <c r="F364" s="942"/>
      <c r="G364" s="942"/>
      <c r="H364" s="942"/>
      <c r="I364" s="129"/>
      <c r="J364" s="943"/>
      <c r="K364" s="126"/>
      <c r="L364" s="126"/>
      <c r="M364" s="944"/>
      <c r="N364" s="195"/>
      <c r="O364" s="258" t="str">
        <f>O$17</f>
        <v/>
      </c>
      <c r="P364" s="258" t="str">
        <f t="shared" ref="P364:W364" si="526">P$17</f>
        <v/>
      </c>
      <c r="Q364" s="258" t="str">
        <f t="shared" si="526"/>
        <v/>
      </c>
      <c r="R364" s="258" t="str">
        <f t="shared" si="526"/>
        <v/>
      </c>
      <c r="S364" s="258" t="str">
        <f t="shared" si="526"/>
        <v/>
      </c>
      <c r="T364" s="258" t="str">
        <f t="shared" si="526"/>
        <v/>
      </c>
      <c r="U364" s="258" t="str">
        <f t="shared" si="526"/>
        <v/>
      </c>
      <c r="V364" s="258" t="str">
        <f t="shared" si="526"/>
        <v/>
      </c>
      <c r="W364" s="258" t="str">
        <f t="shared" si="526"/>
        <v/>
      </c>
      <c r="X364" s="82"/>
      <c r="Y364" s="944"/>
      <c r="Z364" s="195"/>
      <c r="AA364" s="258" t="str">
        <f>AA$17</f>
        <v/>
      </c>
      <c r="AB364" s="258" t="str">
        <f t="shared" ref="AB364:AI364" si="527">AB$17</f>
        <v/>
      </c>
      <c r="AC364" s="258" t="str">
        <f t="shared" si="527"/>
        <v/>
      </c>
      <c r="AD364" s="258" t="str">
        <f t="shared" si="527"/>
        <v/>
      </c>
      <c r="AE364" s="258" t="str">
        <f t="shared" si="527"/>
        <v/>
      </c>
      <c r="AF364" s="258" t="str">
        <f t="shared" si="527"/>
        <v/>
      </c>
      <c r="AG364" s="258" t="str">
        <f t="shared" si="527"/>
        <v/>
      </c>
      <c r="AH364" s="258" t="str">
        <f t="shared" si="527"/>
        <v/>
      </c>
      <c r="AI364" s="258" t="str">
        <f t="shared" si="527"/>
        <v/>
      </c>
      <c r="AJ364" s="79"/>
      <c r="AK364" s="944"/>
      <c r="AL364" s="195"/>
      <c r="AM364" s="258" t="str">
        <f>AM$17</f>
        <v/>
      </c>
      <c r="AN364" s="258" t="str">
        <f t="shared" ref="AN364:AU364" si="528">AN$17</f>
        <v/>
      </c>
      <c r="AO364" s="258" t="str">
        <f t="shared" si="528"/>
        <v/>
      </c>
      <c r="AP364" s="258" t="str">
        <f t="shared" si="528"/>
        <v/>
      </c>
      <c r="AQ364" s="258" t="str">
        <f t="shared" si="528"/>
        <v/>
      </c>
      <c r="AR364" s="258" t="str">
        <f t="shared" si="528"/>
        <v/>
      </c>
      <c r="AS364" s="258" t="str">
        <f t="shared" si="528"/>
        <v/>
      </c>
      <c r="AT364" s="258" t="str">
        <f t="shared" si="528"/>
        <v/>
      </c>
      <c r="AU364" s="258" t="str">
        <f t="shared" si="528"/>
        <v/>
      </c>
      <c r="AV364" s="82"/>
      <c r="AW364" s="944"/>
      <c r="AX364" s="195"/>
      <c r="AY364" s="258" t="str">
        <f>AY$17</f>
        <v/>
      </c>
      <c r="AZ364" s="258" t="str">
        <f t="shared" ref="AZ364:BG364" si="529">AZ$17</f>
        <v/>
      </c>
      <c r="BA364" s="258" t="str">
        <f t="shared" si="529"/>
        <v/>
      </c>
      <c r="BB364" s="258" t="str">
        <f t="shared" si="529"/>
        <v/>
      </c>
      <c r="BC364" s="258" t="str">
        <f t="shared" si="529"/>
        <v/>
      </c>
      <c r="BD364" s="258" t="str">
        <f t="shared" si="529"/>
        <v/>
      </c>
      <c r="BE364" s="258" t="str">
        <f t="shared" si="529"/>
        <v/>
      </c>
      <c r="BF364" s="258" t="str">
        <f t="shared" si="529"/>
        <v/>
      </c>
      <c r="BG364" s="258" t="str">
        <f t="shared" si="529"/>
        <v/>
      </c>
      <c r="BH364" s="1"/>
    </row>
    <row r="365" spans="1:60">
      <c r="A365" s="1040"/>
      <c r="B365" s="1109" t="s">
        <v>1221</v>
      </c>
      <c r="C365" s="1107" t="s">
        <v>104</v>
      </c>
      <c r="D365" s="645"/>
      <c r="E365" s="304" t="str">
        <f>$O$10</f>
        <v>verwarming</v>
      </c>
      <c r="F365" s="180"/>
      <c r="G365" s="180"/>
      <c r="H365" s="201" t="s">
        <v>1207</v>
      </c>
      <c r="I365" s="114"/>
      <c r="J365" s="190"/>
      <c r="K365" s="1092"/>
      <c r="L365" s="1092"/>
      <c r="M365" s="190">
        <f>SUMPRODUCT(N365:X365,N$22:X$22,N$29:X$29)/1000</f>
        <v>0</v>
      </c>
      <c r="N365" s="119"/>
      <c r="O365" s="183">
        <f>IF(OR(O$22=0,$O$78=0),0,
(($O$126+$O$157+$O$178)/$O$78)*O$62)</f>
        <v>0</v>
      </c>
      <c r="P365" s="183">
        <f t="shared" ref="P365:W365" si="530">IF(OR(P$22=0,$O$78=0),0,
(($O$126+$O$157+$O$178)/$O$78)*P$62)</f>
        <v>0</v>
      </c>
      <c r="Q365" s="183">
        <f t="shared" si="530"/>
        <v>0</v>
      </c>
      <c r="R365" s="183">
        <f t="shared" si="530"/>
        <v>0</v>
      </c>
      <c r="S365" s="183">
        <f t="shared" si="530"/>
        <v>0</v>
      </c>
      <c r="T365" s="183">
        <f t="shared" si="530"/>
        <v>0</v>
      </c>
      <c r="U365" s="183">
        <f t="shared" si="530"/>
        <v>0</v>
      </c>
      <c r="V365" s="183">
        <f t="shared" si="530"/>
        <v>0</v>
      </c>
      <c r="W365" s="183">
        <f t="shared" si="530"/>
        <v>0</v>
      </c>
      <c r="X365" s="108"/>
      <c r="Y365" s="190">
        <f>SUMPRODUCT(Z365:AJ365,Z$22:AJ$22,Z$29:AJ$29)/1000</f>
        <v>0</v>
      </c>
      <c r="Z365" s="119"/>
      <c r="AA365" s="183">
        <f>IF(OR(AA$22=0,$AA$78=0),0,
(($AA$126+$AA$157+$AA$178)/$AA$78)*AA$62)</f>
        <v>0</v>
      </c>
      <c r="AB365" s="183">
        <f t="shared" ref="AB365:AI365" si="531">IF(OR(AB$22=0,$AA$78=0),0,
(($AA$126+$AA$157+$AA$178)/$AA$78)*AB$62)</f>
        <v>0</v>
      </c>
      <c r="AC365" s="183">
        <f t="shared" si="531"/>
        <v>0</v>
      </c>
      <c r="AD365" s="183">
        <f t="shared" si="531"/>
        <v>0</v>
      </c>
      <c r="AE365" s="183">
        <f t="shared" si="531"/>
        <v>0</v>
      </c>
      <c r="AF365" s="183">
        <f t="shared" si="531"/>
        <v>0</v>
      </c>
      <c r="AG365" s="183">
        <f t="shared" si="531"/>
        <v>0</v>
      </c>
      <c r="AH365" s="183">
        <f t="shared" si="531"/>
        <v>0</v>
      </c>
      <c r="AI365" s="183">
        <f t="shared" si="531"/>
        <v>0</v>
      </c>
      <c r="AJ365" s="1051"/>
      <c r="AK365" s="190">
        <f>SUMPRODUCT(AL365:AV365,AL$22:AV$22,AL$29:AV$29)/1000</f>
        <v>0</v>
      </c>
      <c r="AL365" s="119"/>
      <c r="AM365" s="183">
        <f>IF(OR(AM$22=0,$AM$78=0),0,
(($AM$126+$AM$157+$AM$178)/$AM$78)*AM$62)</f>
        <v>0</v>
      </c>
      <c r="AN365" s="183">
        <f t="shared" ref="AN365:AU365" si="532">IF(OR(AN$22=0,$AM$78=0),0,
(($AM$126+$AM$157+$AM$178)/$AM$78)*AN$62)</f>
        <v>0</v>
      </c>
      <c r="AO365" s="183">
        <f t="shared" si="532"/>
        <v>0</v>
      </c>
      <c r="AP365" s="183">
        <f t="shared" si="532"/>
        <v>0</v>
      </c>
      <c r="AQ365" s="183">
        <f t="shared" si="532"/>
        <v>0</v>
      </c>
      <c r="AR365" s="183">
        <f t="shared" si="532"/>
        <v>0</v>
      </c>
      <c r="AS365" s="183">
        <f t="shared" si="532"/>
        <v>0</v>
      </c>
      <c r="AT365" s="183">
        <f t="shared" si="532"/>
        <v>0</v>
      </c>
      <c r="AU365" s="183">
        <f t="shared" si="532"/>
        <v>0</v>
      </c>
      <c r="AV365" s="108"/>
      <c r="AW365" s="190">
        <f>SUMPRODUCT(AX365:BH365,AX$22:BH$22,AX$29:BH$29)/1000</f>
        <v>0</v>
      </c>
      <c r="AX365" s="119"/>
      <c r="AY365" s="183">
        <f>IF(OR(AY$22=0,$AY$78=0),0,
(($AY$126+$AY$157+$AY$178)/$AY$78)*AY$62)</f>
        <v>0</v>
      </c>
      <c r="AZ365" s="183">
        <f t="shared" ref="AZ365:BG365" si="533">IF(OR(AZ$22=0,$AY$78=0),0,
(($AY$126+$AY$157+$AY$178)/$AY$78)*AZ$62)</f>
        <v>0</v>
      </c>
      <c r="BA365" s="183">
        <f t="shared" si="533"/>
        <v>0</v>
      </c>
      <c r="BB365" s="183">
        <f t="shared" si="533"/>
        <v>0</v>
      </c>
      <c r="BC365" s="183">
        <f t="shared" si="533"/>
        <v>0</v>
      </c>
      <c r="BD365" s="183">
        <f t="shared" si="533"/>
        <v>0</v>
      </c>
      <c r="BE365" s="183">
        <f t="shared" si="533"/>
        <v>0</v>
      </c>
      <c r="BF365" s="183">
        <f t="shared" si="533"/>
        <v>0</v>
      </c>
      <c r="BG365" s="183">
        <f t="shared" si="533"/>
        <v>0</v>
      </c>
      <c r="BH365" s="1"/>
    </row>
    <row r="366" spans="1:60">
      <c r="A366" s="1040"/>
      <c r="B366" s="1109" t="s">
        <v>1221</v>
      </c>
      <c r="C366" s="1107" t="s">
        <v>104</v>
      </c>
      <c r="D366" s="645"/>
      <c r="E366" s="304" t="str">
        <f>$P$10</f>
        <v>koeling</v>
      </c>
      <c r="F366" s="180"/>
      <c r="G366" s="180"/>
      <c r="H366" s="201" t="s">
        <v>1207</v>
      </c>
      <c r="I366" s="114"/>
      <c r="J366" s="190"/>
      <c r="K366" s="1092"/>
      <c r="L366" s="1092"/>
      <c r="M366" s="190">
        <f t="shared" ref="M366:M374" si="534">SUMPRODUCT(N366:X366,N$22:X$22,N$29:X$29)/1000</f>
        <v>0</v>
      </c>
      <c r="N366" s="119"/>
      <c r="O366" s="183">
        <f t="shared" ref="O366:W366" si="535">IF(OR(O$22=0,$P$78=0),0,
(($P$126+$P$157+$P$178)/$P$78)*O64)</f>
        <v>0</v>
      </c>
      <c r="P366" s="183">
        <f t="shared" si="535"/>
        <v>0</v>
      </c>
      <c r="Q366" s="183">
        <f t="shared" si="535"/>
        <v>0</v>
      </c>
      <c r="R366" s="183">
        <f t="shared" si="535"/>
        <v>0</v>
      </c>
      <c r="S366" s="183">
        <f t="shared" si="535"/>
        <v>0</v>
      </c>
      <c r="T366" s="183">
        <f t="shared" si="535"/>
        <v>0</v>
      </c>
      <c r="U366" s="183">
        <f t="shared" si="535"/>
        <v>0</v>
      </c>
      <c r="V366" s="183">
        <f t="shared" si="535"/>
        <v>0</v>
      </c>
      <c r="W366" s="183">
        <f t="shared" si="535"/>
        <v>0</v>
      </c>
      <c r="X366" s="108"/>
      <c r="Y366" s="190">
        <f t="shared" ref="Y366:Y374" si="536">SUMPRODUCT(Z366:AJ366,Z$22:AJ$22,Z$29:AJ$29)/1000</f>
        <v>0</v>
      </c>
      <c r="Z366" s="119"/>
      <c r="AA366" s="183">
        <f t="shared" ref="AA366:AI366" si="537">IF(OR(AA$22=0,$AB$78=0),0,
(($AB$126+$AB$157+$AB$178)/$AB$78)*AA64)</f>
        <v>0</v>
      </c>
      <c r="AB366" s="183">
        <f t="shared" si="537"/>
        <v>0</v>
      </c>
      <c r="AC366" s="183">
        <f t="shared" si="537"/>
        <v>0</v>
      </c>
      <c r="AD366" s="183">
        <f t="shared" si="537"/>
        <v>0</v>
      </c>
      <c r="AE366" s="183">
        <f t="shared" si="537"/>
        <v>0</v>
      </c>
      <c r="AF366" s="183">
        <f t="shared" si="537"/>
        <v>0</v>
      </c>
      <c r="AG366" s="183">
        <f t="shared" si="537"/>
        <v>0</v>
      </c>
      <c r="AH366" s="183">
        <f t="shared" si="537"/>
        <v>0</v>
      </c>
      <c r="AI366" s="183">
        <f t="shared" si="537"/>
        <v>0</v>
      </c>
      <c r="AJ366" s="1051"/>
      <c r="AK366" s="190">
        <f t="shared" ref="AK366:AK374" si="538">SUMPRODUCT(AL366:AV366,AL$22:AV$22,AL$29:AV$29)/1000</f>
        <v>0</v>
      </c>
      <c r="AL366" s="119"/>
      <c r="AM366" s="183">
        <f t="shared" ref="AM366:AU366" si="539">IF(OR(AM$22=0,$AN$78=0),0,
(($AN$126+$AN$157+$AN$178)/$AN$78)*AM64)</f>
        <v>0</v>
      </c>
      <c r="AN366" s="183">
        <f t="shared" si="539"/>
        <v>0</v>
      </c>
      <c r="AO366" s="183">
        <f t="shared" si="539"/>
        <v>0</v>
      </c>
      <c r="AP366" s="183">
        <f t="shared" si="539"/>
        <v>0</v>
      </c>
      <c r="AQ366" s="183">
        <f t="shared" si="539"/>
        <v>0</v>
      </c>
      <c r="AR366" s="183">
        <f t="shared" si="539"/>
        <v>0</v>
      </c>
      <c r="AS366" s="183">
        <f t="shared" si="539"/>
        <v>0</v>
      </c>
      <c r="AT366" s="183">
        <f t="shared" si="539"/>
        <v>0</v>
      </c>
      <c r="AU366" s="183">
        <f t="shared" si="539"/>
        <v>0</v>
      </c>
      <c r="AV366" s="108"/>
      <c r="AW366" s="190">
        <f t="shared" ref="AW366:AW374" si="540">SUMPRODUCT(AX366:BH366,AX$22:BH$22,AX$29:BH$29)/1000</f>
        <v>0</v>
      </c>
      <c r="AX366" s="119"/>
      <c r="AY366" s="183">
        <f t="shared" ref="AY366:BG366" si="541">IF(OR(AY$22=0,$AZ$78=0),0,
(($AZ$126+$AZ$157+$AZ$178)/$AZ$78)*AY64)</f>
        <v>0</v>
      </c>
      <c r="AZ366" s="183">
        <f t="shared" si="541"/>
        <v>0</v>
      </c>
      <c r="BA366" s="183">
        <f t="shared" si="541"/>
        <v>0</v>
      </c>
      <c r="BB366" s="183">
        <f t="shared" si="541"/>
        <v>0</v>
      </c>
      <c r="BC366" s="183">
        <f t="shared" si="541"/>
        <v>0</v>
      </c>
      <c r="BD366" s="183">
        <f t="shared" si="541"/>
        <v>0</v>
      </c>
      <c r="BE366" s="183">
        <f t="shared" si="541"/>
        <v>0</v>
      </c>
      <c r="BF366" s="183">
        <f t="shared" si="541"/>
        <v>0</v>
      </c>
      <c r="BG366" s="183">
        <f t="shared" si="541"/>
        <v>0</v>
      </c>
      <c r="BH366" s="1"/>
    </row>
    <row r="367" spans="1:60">
      <c r="A367" s="1040"/>
      <c r="B367" s="1109" t="s">
        <v>1221</v>
      </c>
      <c r="C367" s="1107" t="s">
        <v>104</v>
      </c>
      <c r="D367" s="645"/>
      <c r="E367" s="304" t="str">
        <f>$Q$10</f>
        <v>tapwater</v>
      </c>
      <c r="F367" s="180"/>
      <c r="G367" s="180"/>
      <c r="H367" s="201" t="s">
        <v>1207</v>
      </c>
      <c r="I367" s="114"/>
      <c r="J367" s="190"/>
      <c r="K367" s="1092"/>
      <c r="L367" s="1092"/>
      <c r="M367" s="190">
        <f t="shared" si="534"/>
        <v>0</v>
      </c>
      <c r="N367" s="119"/>
      <c r="O367" s="183">
        <f>IF(O$22=0,0,
(($Q$126+$Q$157+$Q$178)/$Q$78)*O$65)</f>
        <v>0</v>
      </c>
      <c r="P367" s="183">
        <f t="shared" ref="P367:W367" si="542">IF(P$22=0,0,
(($Q$126+$Q$157+$Q$178)/$Q$78)*P$65)</f>
        <v>0</v>
      </c>
      <c r="Q367" s="183">
        <f t="shared" si="542"/>
        <v>0</v>
      </c>
      <c r="R367" s="183">
        <f t="shared" si="542"/>
        <v>0</v>
      </c>
      <c r="S367" s="183">
        <f t="shared" si="542"/>
        <v>0</v>
      </c>
      <c r="T367" s="183">
        <f t="shared" si="542"/>
        <v>0</v>
      </c>
      <c r="U367" s="183">
        <f t="shared" si="542"/>
        <v>0</v>
      </c>
      <c r="V367" s="183">
        <f t="shared" si="542"/>
        <v>0</v>
      </c>
      <c r="W367" s="183">
        <f t="shared" si="542"/>
        <v>0</v>
      </c>
      <c r="X367" s="108"/>
      <c r="Y367" s="190">
        <f t="shared" si="536"/>
        <v>0</v>
      </c>
      <c r="Z367" s="119"/>
      <c r="AA367" s="183">
        <f>IF(AA$22=0,0,
(($AC$126+$AC$157+$AC$178)/$AC$78)*AA$65)</f>
        <v>0</v>
      </c>
      <c r="AB367" s="183">
        <f t="shared" ref="AB367:AI367" si="543">IF(AB$22=0,0,
(($AC$126+$AC$157+$AC$178)/$AC$78)*AB$65)</f>
        <v>0</v>
      </c>
      <c r="AC367" s="183">
        <f t="shared" si="543"/>
        <v>0</v>
      </c>
      <c r="AD367" s="183">
        <f t="shared" si="543"/>
        <v>0</v>
      </c>
      <c r="AE367" s="183">
        <f t="shared" si="543"/>
        <v>0</v>
      </c>
      <c r="AF367" s="183">
        <f t="shared" si="543"/>
        <v>0</v>
      </c>
      <c r="AG367" s="183">
        <f t="shared" si="543"/>
        <v>0</v>
      </c>
      <c r="AH367" s="183">
        <f t="shared" si="543"/>
        <v>0</v>
      </c>
      <c r="AI367" s="183">
        <f t="shared" si="543"/>
        <v>0</v>
      </c>
      <c r="AJ367" s="1051"/>
      <c r="AK367" s="190">
        <f t="shared" si="538"/>
        <v>0</v>
      </c>
      <c r="AL367" s="119"/>
      <c r="AM367" s="183">
        <f>IF(AM$22=0,0,
(($AO$126+$AO$157+$AO$178)/$AO$78)*AM$65)</f>
        <v>0</v>
      </c>
      <c r="AN367" s="183">
        <f t="shared" ref="AN367:AU367" si="544">IF(AN$22=0,0,
(($AO$126+$AO$157+$AO$178)/$AO$78)*AN$65)</f>
        <v>0</v>
      </c>
      <c r="AO367" s="183">
        <f t="shared" si="544"/>
        <v>0</v>
      </c>
      <c r="AP367" s="183">
        <f t="shared" si="544"/>
        <v>0</v>
      </c>
      <c r="AQ367" s="183">
        <f t="shared" si="544"/>
        <v>0</v>
      </c>
      <c r="AR367" s="183">
        <f t="shared" si="544"/>
        <v>0</v>
      </c>
      <c r="AS367" s="183">
        <f t="shared" si="544"/>
        <v>0</v>
      </c>
      <c r="AT367" s="183">
        <f t="shared" si="544"/>
        <v>0</v>
      </c>
      <c r="AU367" s="183">
        <f t="shared" si="544"/>
        <v>0</v>
      </c>
      <c r="AV367" s="108"/>
      <c r="AW367" s="190">
        <f t="shared" si="540"/>
        <v>0</v>
      </c>
      <c r="AX367" s="119"/>
      <c r="AY367" s="183">
        <f>IF(AY$22=0,0,
(($BA$126+$BA$157+$BA$178)/$BA$78)*AY$65)</f>
        <v>0</v>
      </c>
      <c r="AZ367" s="183">
        <f t="shared" ref="AZ367:BF367" si="545">IF(AZ$22=0,0,
(($BA$126+$BA$157+$BA$178)/$BA$78)*AZ$65)</f>
        <v>0</v>
      </c>
      <c r="BA367" s="183">
        <f t="shared" si="545"/>
        <v>0</v>
      </c>
      <c r="BB367" s="183">
        <f t="shared" si="545"/>
        <v>0</v>
      </c>
      <c r="BC367" s="183">
        <f t="shared" si="545"/>
        <v>0</v>
      </c>
      <c r="BD367" s="183">
        <f t="shared" si="545"/>
        <v>0</v>
      </c>
      <c r="BE367" s="183">
        <f t="shared" si="545"/>
        <v>0</v>
      </c>
      <c r="BF367" s="183">
        <f t="shared" si="545"/>
        <v>0</v>
      </c>
      <c r="BG367" s="183">
        <f>IF(BG$22=0,0,
(($BA$126+$BA$157+$BA$178)/$BA$78)*BG$65)</f>
        <v>0</v>
      </c>
      <c r="BH367" s="1"/>
    </row>
    <row r="368" spans="1:60">
      <c r="A368" s="1040"/>
      <c r="B368" s="1109" t="s">
        <v>1221</v>
      </c>
      <c r="C368" s="1107" t="s">
        <v>104</v>
      </c>
      <c r="D368" s="645"/>
      <c r="E368" s="304" t="str">
        <f>$R$10</f>
        <v>verlichting</v>
      </c>
      <c r="F368" s="180"/>
      <c r="G368" s="180"/>
      <c r="H368" s="201" t="s">
        <v>1207</v>
      </c>
      <c r="I368" s="114"/>
      <c r="J368" s="190"/>
      <c r="K368" s="1092"/>
      <c r="L368" s="1092"/>
      <c r="M368" s="190">
        <f t="shared" si="534"/>
        <v>0</v>
      </c>
      <c r="N368" s="119"/>
      <c r="O368" s="183">
        <f>IF(OR(O$19=woning,O$19=woongebouw,O$22=0),0,O66*bibliotheek!$I$307)</f>
        <v>0</v>
      </c>
      <c r="P368" s="183">
        <f>IF(OR(P$19=woning,P$19=woongebouw,P$22=0),0,P66*bibliotheek!$I$307)</f>
        <v>0</v>
      </c>
      <c r="Q368" s="183">
        <f>IF(OR(Q$19=woning,Q$19=woongebouw,Q$22=0),0,Q66*bibliotheek!$I$307)</f>
        <v>0</v>
      </c>
      <c r="R368" s="183">
        <f>IF(OR(R$19=woning,R$19=woongebouw,R$22=0),0,R66*bibliotheek!$I$307)</f>
        <v>0</v>
      </c>
      <c r="S368" s="183">
        <f>IF(OR(S$19=woning,S$19=woongebouw,S$22=0),0,S66*bibliotheek!$I$307)</f>
        <v>0</v>
      </c>
      <c r="T368" s="183">
        <f>IF(OR(T$19=woning,T$19=woongebouw,T$22=0),0,T66*bibliotheek!$I$307)</f>
        <v>0</v>
      </c>
      <c r="U368" s="183">
        <f>IF(OR(U$19=woning,U$19=woongebouw,U$22=0),0,U66*bibliotheek!$I$307)</f>
        <v>0</v>
      </c>
      <c r="V368" s="183">
        <f>IF(OR(V$19=woning,V$19=woongebouw,V$22=0),0,V66*bibliotheek!$I$307)</f>
        <v>0</v>
      </c>
      <c r="W368" s="183">
        <f>IF(OR(W$19=woning,W$19=woongebouw,W$22=0),0,W66*bibliotheek!$I$307)</f>
        <v>0</v>
      </c>
      <c r="X368" s="108"/>
      <c r="Y368" s="190">
        <f t="shared" si="536"/>
        <v>0</v>
      </c>
      <c r="Z368" s="119"/>
      <c r="AA368" s="183">
        <f>IF(OR(AA$19=woning,AA$19=woongebouw,AA$22=0),0,AA66*bibliotheek!$I$307)</f>
        <v>0</v>
      </c>
      <c r="AB368" s="183">
        <f>IF(OR(AB$19=woning,AB$19=woongebouw,AB$22=0),0,AB66*bibliotheek!$I$307)</f>
        <v>0</v>
      </c>
      <c r="AC368" s="183">
        <f>IF(OR(AC$19=woning,AC$19=woongebouw,AC$22=0),0,AC66*bibliotheek!$I$307)</f>
        <v>0</v>
      </c>
      <c r="AD368" s="183">
        <f>IF(OR(AD$19=woning,AD$19=woongebouw,AD$22=0),0,AD66*bibliotheek!$I$307)</f>
        <v>0</v>
      </c>
      <c r="AE368" s="183">
        <f>IF(OR(AE$19=woning,AE$19=woongebouw,AE$22=0),0,AE66*bibliotheek!$I$307)</f>
        <v>0</v>
      </c>
      <c r="AF368" s="183">
        <f>IF(OR(AF$19=woning,AF$19=woongebouw,AF$22=0),0,AF66*bibliotheek!$I$307)</f>
        <v>0</v>
      </c>
      <c r="AG368" s="183">
        <f>IF(OR(AG$19=woning,AG$19=woongebouw,AG$22=0),0,AG66*bibliotheek!$I$307)</f>
        <v>0</v>
      </c>
      <c r="AH368" s="183">
        <f>IF(OR(AH$19=woning,AH$19=woongebouw,AH$22=0),0,AH66*bibliotheek!$I$307)</f>
        <v>0</v>
      </c>
      <c r="AI368" s="183">
        <f>IF(OR(AI$19=woning,AI$19=woongebouw,AI$22=0),0,AI66*bibliotheek!$I$307)</f>
        <v>0</v>
      </c>
      <c r="AJ368" s="1051"/>
      <c r="AK368" s="190">
        <f t="shared" si="538"/>
        <v>0</v>
      </c>
      <c r="AL368" s="119"/>
      <c r="AM368" s="183">
        <f>IF(OR(AM$19=woning,AM$19=woongebouw,AM$22=0),0,AM66*bibliotheek!$I$307)</f>
        <v>0</v>
      </c>
      <c r="AN368" s="183">
        <f>IF(OR(AN$19=woning,AN$19=woongebouw,AN$22=0),0,AN66*bibliotheek!$I$307)</f>
        <v>0</v>
      </c>
      <c r="AO368" s="183">
        <f>IF(OR(AO$19=woning,AO$19=woongebouw,AO$22=0),0,AO66*bibliotheek!$I$307)</f>
        <v>0</v>
      </c>
      <c r="AP368" s="183">
        <f>IF(OR(AP$19=woning,AP$19=woongebouw,AP$22=0),0,AP66*bibliotheek!$I$307)</f>
        <v>0</v>
      </c>
      <c r="AQ368" s="183">
        <f>IF(OR(AQ$19=woning,AQ$19=woongebouw,AQ$22=0),0,AQ66*bibliotheek!$I$307)</f>
        <v>0</v>
      </c>
      <c r="AR368" s="183">
        <f>IF(OR(AR$19=woning,AR$19=woongebouw,AR$22=0),0,AR66*bibliotheek!$I$307)</f>
        <v>0</v>
      </c>
      <c r="AS368" s="183">
        <f>IF(OR(AS$19=woning,AS$19=woongebouw,AS$22=0),0,AS66*bibliotheek!$I$307)</f>
        <v>0</v>
      </c>
      <c r="AT368" s="183">
        <f>IF(OR(AT$19=woning,AT$19=woongebouw,AT$22=0),0,AT66*bibliotheek!$I$307)</f>
        <v>0</v>
      </c>
      <c r="AU368" s="183">
        <f>IF(OR(AU$19=woning,AU$19=woongebouw,AU$22=0),0,AU66*bibliotheek!$I$307)</f>
        <v>0</v>
      </c>
      <c r="AV368" s="108"/>
      <c r="AW368" s="190">
        <f t="shared" si="540"/>
        <v>0</v>
      </c>
      <c r="AX368" s="119"/>
      <c r="AY368" s="183">
        <f>IF(OR(AY$19=woning,AY$19=woongebouw,AY$22=0),0,AY66*bibliotheek!$I$307)</f>
        <v>0</v>
      </c>
      <c r="AZ368" s="183">
        <f>IF(OR(AZ$19=woning,AZ$19=woongebouw,AZ$22=0),0,AZ66*bibliotheek!$I$307)</f>
        <v>0</v>
      </c>
      <c r="BA368" s="183">
        <f>IF(OR(BA$19=woning,BA$19=woongebouw,BA$22=0),0,BA66*bibliotheek!$I$307)</f>
        <v>0</v>
      </c>
      <c r="BB368" s="183">
        <f>IF(OR(BB$19=woning,BB$19=woongebouw,BB$22=0),0,BB66*bibliotheek!$I$307)</f>
        <v>0</v>
      </c>
      <c r="BC368" s="183">
        <f>IF(OR(BC$19=woning,BC$19=woongebouw,BC$22=0),0,BC66*bibliotheek!$I$307)</f>
        <v>0</v>
      </c>
      <c r="BD368" s="183">
        <f>IF(OR(BD$19=woning,BD$19=woongebouw,BD$22=0),0,BD66*bibliotheek!$I$307)</f>
        <v>0</v>
      </c>
      <c r="BE368" s="183">
        <f>IF(OR(BE$19=woning,BE$19=woongebouw,BE$22=0),0,BE66*bibliotheek!$I$307)</f>
        <v>0</v>
      </c>
      <c r="BF368" s="183">
        <f>IF(OR(BF$19=woning,BF$19=woongebouw,BF$22=0),0,BF66*bibliotheek!$I$307)</f>
        <v>0</v>
      </c>
      <c r="BG368" s="183">
        <f>IF(OR(BG$19=woning,BG$19=woongebouw,BG$22=0),0,BG66*bibliotheek!$I$307)</f>
        <v>0</v>
      </c>
      <c r="BH368" s="1"/>
    </row>
    <row r="369" spans="1:60">
      <c r="A369" s="1040"/>
      <c r="B369" s="1109" t="s">
        <v>1221</v>
      </c>
      <c r="C369" s="1107" t="s">
        <v>104</v>
      </c>
      <c r="D369" s="645"/>
      <c r="E369" s="304" t="str">
        <f>$S$10</f>
        <v>ventilatoren</v>
      </c>
      <c r="F369" s="180"/>
      <c r="G369" s="180"/>
      <c r="H369" s="201" t="s">
        <v>1207</v>
      </c>
      <c r="I369" s="114"/>
      <c r="J369" s="190"/>
      <c r="K369" s="1092"/>
      <c r="L369" s="1092"/>
      <c r="M369" s="190">
        <f t="shared" si="534"/>
        <v>0</v>
      </c>
      <c r="N369" s="119"/>
      <c r="O369" s="183">
        <f>IF(OR(O$22=0,$S$78=0),0,$S$178/$S$78*O$67)</f>
        <v>0</v>
      </c>
      <c r="P369" s="183">
        <f t="shared" ref="P369:W369" si="546">IF(OR(P$22=0,$S$78=0),0,$S$178/$S$78*P$67)</f>
        <v>0</v>
      </c>
      <c r="Q369" s="183">
        <f t="shared" si="546"/>
        <v>0</v>
      </c>
      <c r="R369" s="183">
        <f t="shared" si="546"/>
        <v>0</v>
      </c>
      <c r="S369" s="183">
        <f t="shared" si="546"/>
        <v>0</v>
      </c>
      <c r="T369" s="183">
        <f t="shared" si="546"/>
        <v>0</v>
      </c>
      <c r="U369" s="183">
        <f t="shared" si="546"/>
        <v>0</v>
      </c>
      <c r="V369" s="183">
        <f t="shared" si="546"/>
        <v>0</v>
      </c>
      <c r="W369" s="183">
        <f t="shared" si="546"/>
        <v>0</v>
      </c>
      <c r="X369" s="108"/>
      <c r="Y369" s="190">
        <f t="shared" si="536"/>
        <v>0</v>
      </c>
      <c r="Z369" s="119"/>
      <c r="AA369" s="183">
        <f>IF(OR(AA$22=0,$AE$78=0),0,$AE$178/$AE$78*AA$67)</f>
        <v>0</v>
      </c>
      <c r="AB369" s="183">
        <f t="shared" ref="AB369:AI369" si="547">IF(OR(AB$22=0,$AE$78=0),0,$AE$178/$AE$78*AB$67)</f>
        <v>0</v>
      </c>
      <c r="AC369" s="183">
        <f t="shared" si="547"/>
        <v>0</v>
      </c>
      <c r="AD369" s="183">
        <f t="shared" si="547"/>
        <v>0</v>
      </c>
      <c r="AE369" s="183">
        <f t="shared" si="547"/>
        <v>0</v>
      </c>
      <c r="AF369" s="183">
        <f t="shared" si="547"/>
        <v>0</v>
      </c>
      <c r="AG369" s="183">
        <f t="shared" si="547"/>
        <v>0</v>
      </c>
      <c r="AH369" s="183">
        <f t="shared" si="547"/>
        <v>0</v>
      </c>
      <c r="AI369" s="183">
        <f t="shared" si="547"/>
        <v>0</v>
      </c>
      <c r="AJ369" s="1051"/>
      <c r="AK369" s="190">
        <f t="shared" si="538"/>
        <v>0</v>
      </c>
      <c r="AL369" s="119"/>
      <c r="AM369" s="183">
        <f>IF(OR(AM$22=0,$AQ$78=0),0,$AQ$178/$AQ$78*AM$67)</f>
        <v>0</v>
      </c>
      <c r="AN369" s="183">
        <f t="shared" ref="AN369:AU369" si="548">IF(OR(AN$22=0,$AQ$78=0),0,$AQ$178/$AQ$78*AN$67)</f>
        <v>0</v>
      </c>
      <c r="AO369" s="183">
        <f t="shared" si="548"/>
        <v>0</v>
      </c>
      <c r="AP369" s="183">
        <f t="shared" si="548"/>
        <v>0</v>
      </c>
      <c r="AQ369" s="183">
        <f t="shared" si="548"/>
        <v>0</v>
      </c>
      <c r="AR369" s="183">
        <f t="shared" si="548"/>
        <v>0</v>
      </c>
      <c r="AS369" s="183">
        <f t="shared" si="548"/>
        <v>0</v>
      </c>
      <c r="AT369" s="183">
        <f t="shared" si="548"/>
        <v>0</v>
      </c>
      <c r="AU369" s="183">
        <f t="shared" si="548"/>
        <v>0</v>
      </c>
      <c r="AV369" s="108"/>
      <c r="AW369" s="190">
        <f t="shared" si="540"/>
        <v>0</v>
      </c>
      <c r="AX369" s="119"/>
      <c r="AY369" s="183">
        <f>IF(OR(AY$22=0,$BC$78=0),0,$BC$178/$BC$78*AY$67)</f>
        <v>0</v>
      </c>
      <c r="AZ369" s="183">
        <f t="shared" ref="AZ369:BF369" si="549">IF(OR(AZ$22=0,$BC$78=0),0,$BC$178/$BC$78*AZ$67)</f>
        <v>0</v>
      </c>
      <c r="BA369" s="183">
        <f t="shared" si="549"/>
        <v>0</v>
      </c>
      <c r="BB369" s="183">
        <f t="shared" si="549"/>
        <v>0</v>
      </c>
      <c r="BC369" s="183">
        <f t="shared" si="549"/>
        <v>0</v>
      </c>
      <c r="BD369" s="183">
        <f t="shared" si="549"/>
        <v>0</v>
      </c>
      <c r="BE369" s="183">
        <f t="shared" si="549"/>
        <v>0</v>
      </c>
      <c r="BF369" s="183">
        <f t="shared" si="549"/>
        <v>0</v>
      </c>
      <c r="BG369" s="183">
        <f>IF(OR(BG$22=0,$BC$78=0),0,$BC$178/$BC$78*BG$67)</f>
        <v>0</v>
      </c>
      <c r="BH369" s="1"/>
    </row>
    <row r="370" spans="1:60">
      <c r="A370" s="1040"/>
      <c r="B370" s="1109" t="s">
        <v>1221</v>
      </c>
      <c r="C370" s="1107" t="s">
        <v>104</v>
      </c>
      <c r="D370" s="645"/>
      <c r="E370" s="203" t="s">
        <v>232</v>
      </c>
      <c r="F370" s="203"/>
      <c r="G370" s="180"/>
      <c r="H370" s="201" t="s">
        <v>1207</v>
      </c>
      <c r="I370" s="114"/>
      <c r="J370" s="190"/>
      <c r="K370" s="1092"/>
      <c r="L370" s="1092"/>
      <c r="M370" s="190">
        <f t="shared" si="534"/>
        <v>0</v>
      </c>
      <c r="N370" s="119"/>
      <c r="O370" s="183">
        <f t="shared" ref="O370:W370" si="550">SUM(O365:O369)</f>
        <v>0</v>
      </c>
      <c r="P370" s="183">
        <f t="shared" si="550"/>
        <v>0</v>
      </c>
      <c r="Q370" s="183">
        <f t="shared" si="550"/>
        <v>0</v>
      </c>
      <c r="R370" s="183">
        <f t="shared" si="550"/>
        <v>0</v>
      </c>
      <c r="S370" s="183">
        <f t="shared" si="550"/>
        <v>0</v>
      </c>
      <c r="T370" s="183">
        <f t="shared" si="550"/>
        <v>0</v>
      </c>
      <c r="U370" s="183">
        <f t="shared" si="550"/>
        <v>0</v>
      </c>
      <c r="V370" s="183">
        <f t="shared" si="550"/>
        <v>0</v>
      </c>
      <c r="W370" s="183">
        <f t="shared" si="550"/>
        <v>0</v>
      </c>
      <c r="X370" s="108"/>
      <c r="Y370" s="190">
        <f t="shared" si="536"/>
        <v>0</v>
      </c>
      <c r="Z370" s="119"/>
      <c r="AA370" s="183">
        <f t="shared" ref="AA370:AI370" si="551">SUM(AA365:AA369)</f>
        <v>0</v>
      </c>
      <c r="AB370" s="183">
        <f t="shared" si="551"/>
        <v>0</v>
      </c>
      <c r="AC370" s="183">
        <f t="shared" si="551"/>
        <v>0</v>
      </c>
      <c r="AD370" s="183">
        <f t="shared" si="551"/>
        <v>0</v>
      </c>
      <c r="AE370" s="183">
        <f t="shared" si="551"/>
        <v>0</v>
      </c>
      <c r="AF370" s="183">
        <f t="shared" si="551"/>
        <v>0</v>
      </c>
      <c r="AG370" s="183">
        <f t="shared" si="551"/>
        <v>0</v>
      </c>
      <c r="AH370" s="183">
        <f t="shared" si="551"/>
        <v>0</v>
      </c>
      <c r="AI370" s="183">
        <f t="shared" si="551"/>
        <v>0</v>
      </c>
      <c r="AJ370" s="1051"/>
      <c r="AK370" s="190">
        <f t="shared" si="538"/>
        <v>0</v>
      </c>
      <c r="AL370" s="119"/>
      <c r="AM370" s="183">
        <f t="shared" ref="AM370:AU370" si="552">SUM(AM365:AM369)</f>
        <v>0</v>
      </c>
      <c r="AN370" s="183">
        <f t="shared" si="552"/>
        <v>0</v>
      </c>
      <c r="AO370" s="183">
        <f t="shared" si="552"/>
        <v>0</v>
      </c>
      <c r="AP370" s="183">
        <f t="shared" si="552"/>
        <v>0</v>
      </c>
      <c r="AQ370" s="183">
        <f t="shared" si="552"/>
        <v>0</v>
      </c>
      <c r="AR370" s="183">
        <f t="shared" si="552"/>
        <v>0</v>
      </c>
      <c r="AS370" s="183">
        <f t="shared" si="552"/>
        <v>0</v>
      </c>
      <c r="AT370" s="183">
        <f t="shared" si="552"/>
        <v>0</v>
      </c>
      <c r="AU370" s="183">
        <f t="shared" si="552"/>
        <v>0</v>
      </c>
      <c r="AV370" s="108"/>
      <c r="AW370" s="190">
        <f t="shared" si="540"/>
        <v>0</v>
      </c>
      <c r="AX370" s="119"/>
      <c r="AY370" s="183">
        <f t="shared" ref="AY370:BG370" si="553">SUM(AY365:AY369)</f>
        <v>0</v>
      </c>
      <c r="AZ370" s="183">
        <f t="shared" si="553"/>
        <v>0</v>
      </c>
      <c r="BA370" s="183">
        <f t="shared" si="553"/>
        <v>0</v>
      </c>
      <c r="BB370" s="183">
        <f t="shared" si="553"/>
        <v>0</v>
      </c>
      <c r="BC370" s="183">
        <f t="shared" si="553"/>
        <v>0</v>
      </c>
      <c r="BD370" s="183">
        <f t="shared" si="553"/>
        <v>0</v>
      </c>
      <c r="BE370" s="183">
        <f t="shared" si="553"/>
        <v>0</v>
      </c>
      <c r="BF370" s="183">
        <f t="shared" si="553"/>
        <v>0</v>
      </c>
      <c r="BG370" s="183">
        <f t="shared" si="553"/>
        <v>0</v>
      </c>
      <c r="BH370" s="1"/>
    </row>
    <row r="371" spans="1:60">
      <c r="A371" s="1040"/>
      <c r="B371" s="1109" t="s">
        <v>1221</v>
      </c>
      <c r="C371" s="1106" t="s">
        <v>96</v>
      </c>
      <c r="D371" s="645"/>
      <c r="E371" s="942" t="s">
        <v>1331</v>
      </c>
      <c r="F371" s="942"/>
      <c r="G371" s="942"/>
      <c r="H371" s="942"/>
      <c r="I371" s="129"/>
      <c r="J371" s="943"/>
      <c r="K371" s="126"/>
      <c r="L371" s="126"/>
      <c r="M371" s="944"/>
      <c r="N371" s="195"/>
      <c r="O371" s="258"/>
      <c r="P371" s="258"/>
      <c r="Q371" s="258"/>
      <c r="R371" s="258"/>
      <c r="S371" s="258"/>
      <c r="T371" s="258"/>
      <c r="U371" s="258"/>
      <c r="V371" s="258"/>
      <c r="W371" s="258"/>
      <c r="X371" s="82"/>
      <c r="Y371" s="944"/>
      <c r="Z371" s="195"/>
      <c r="AA371" s="258"/>
      <c r="AB371" s="258"/>
      <c r="AC371" s="258"/>
      <c r="AD371" s="258"/>
      <c r="AE371" s="258"/>
      <c r="AF371" s="258"/>
      <c r="AG371" s="258"/>
      <c r="AH371" s="258"/>
      <c r="AI371" s="258"/>
      <c r="AJ371" s="79"/>
      <c r="AK371" s="944"/>
      <c r="AL371" s="195"/>
      <c r="AM371" s="258"/>
      <c r="AN371" s="258"/>
      <c r="AO371" s="258"/>
      <c r="AP371" s="258"/>
      <c r="AQ371" s="258"/>
      <c r="AR371" s="258"/>
      <c r="AS371" s="258"/>
      <c r="AT371" s="258"/>
      <c r="AU371" s="258"/>
      <c r="AV371" s="82"/>
      <c r="AW371" s="944"/>
      <c r="AX371" s="195"/>
      <c r="AY371" s="258"/>
      <c r="AZ371" s="258"/>
      <c r="BA371" s="258"/>
      <c r="BB371" s="258"/>
      <c r="BC371" s="258"/>
      <c r="BD371" s="258"/>
      <c r="BE371" s="258"/>
      <c r="BF371" s="258"/>
      <c r="BG371" s="258"/>
      <c r="BH371" s="1"/>
    </row>
    <row r="372" spans="1:60">
      <c r="A372" s="1040"/>
      <c r="B372" s="1109" t="s">
        <v>1221</v>
      </c>
      <c r="C372" s="1107" t="s">
        <v>104</v>
      </c>
      <c r="D372" s="645"/>
      <c r="E372" s="203" t="s">
        <v>232</v>
      </c>
      <c r="F372" s="203"/>
      <c r="G372" s="180"/>
      <c r="H372" s="201" t="s">
        <v>1207</v>
      </c>
      <c r="I372" s="114"/>
      <c r="J372" s="190"/>
      <c r="K372" s="1092"/>
      <c r="L372" s="1092"/>
      <c r="M372" s="190" t="e">
        <f t="shared" si="534"/>
        <v>#DIV/0!</v>
      </c>
      <c r="N372" s="119"/>
      <c r="O372" s="183" t="e">
        <f>-$M$220*1000/O$31</f>
        <v>#DIV/0!</v>
      </c>
      <c r="P372" s="183" t="e">
        <f t="shared" ref="P372:W372" si="554">-$M$220*1000/P$31</f>
        <v>#DIV/0!</v>
      </c>
      <c r="Q372" s="183" t="e">
        <f t="shared" si="554"/>
        <v>#DIV/0!</v>
      </c>
      <c r="R372" s="183" t="e">
        <f t="shared" si="554"/>
        <v>#DIV/0!</v>
      </c>
      <c r="S372" s="183" t="e">
        <f t="shared" si="554"/>
        <v>#DIV/0!</v>
      </c>
      <c r="T372" s="183" t="e">
        <f t="shared" si="554"/>
        <v>#DIV/0!</v>
      </c>
      <c r="U372" s="183" t="e">
        <f t="shared" si="554"/>
        <v>#DIV/0!</v>
      </c>
      <c r="V372" s="183" t="e">
        <f t="shared" si="554"/>
        <v>#DIV/0!</v>
      </c>
      <c r="W372" s="183" t="e">
        <f t="shared" si="554"/>
        <v>#DIV/0!</v>
      </c>
      <c r="X372" s="108"/>
      <c r="Y372" s="190" t="e">
        <f t="shared" si="536"/>
        <v>#DIV/0!</v>
      </c>
      <c r="Z372" s="119"/>
      <c r="AA372" s="183" t="e">
        <f t="shared" ref="AA372:AI372" si="555">-$Y$220*1000/AA$31</f>
        <v>#DIV/0!</v>
      </c>
      <c r="AB372" s="183" t="e">
        <f t="shared" si="555"/>
        <v>#DIV/0!</v>
      </c>
      <c r="AC372" s="183" t="e">
        <f t="shared" si="555"/>
        <v>#DIV/0!</v>
      </c>
      <c r="AD372" s="183" t="e">
        <f t="shared" si="555"/>
        <v>#DIV/0!</v>
      </c>
      <c r="AE372" s="183" t="e">
        <f t="shared" si="555"/>
        <v>#DIV/0!</v>
      </c>
      <c r="AF372" s="183" t="e">
        <f t="shared" si="555"/>
        <v>#DIV/0!</v>
      </c>
      <c r="AG372" s="183" t="e">
        <f t="shared" si="555"/>
        <v>#DIV/0!</v>
      </c>
      <c r="AH372" s="183" t="e">
        <f t="shared" si="555"/>
        <v>#DIV/0!</v>
      </c>
      <c r="AI372" s="183" t="e">
        <f t="shared" si="555"/>
        <v>#DIV/0!</v>
      </c>
      <c r="AJ372" s="1051"/>
      <c r="AK372" s="190" t="e">
        <f t="shared" si="538"/>
        <v>#DIV/0!</v>
      </c>
      <c r="AL372" s="119"/>
      <c r="AM372" s="183" t="e">
        <f t="shared" ref="AM372:AU372" si="556">-$AK$220*1000/AM$31</f>
        <v>#DIV/0!</v>
      </c>
      <c r="AN372" s="183" t="e">
        <f t="shared" si="556"/>
        <v>#DIV/0!</v>
      </c>
      <c r="AO372" s="183" t="e">
        <f t="shared" si="556"/>
        <v>#DIV/0!</v>
      </c>
      <c r="AP372" s="183" t="e">
        <f t="shared" si="556"/>
        <v>#DIV/0!</v>
      </c>
      <c r="AQ372" s="183" t="e">
        <f t="shared" si="556"/>
        <v>#DIV/0!</v>
      </c>
      <c r="AR372" s="183" t="e">
        <f t="shared" si="556"/>
        <v>#DIV/0!</v>
      </c>
      <c r="AS372" s="183" t="e">
        <f t="shared" si="556"/>
        <v>#DIV/0!</v>
      </c>
      <c r="AT372" s="183" t="e">
        <f t="shared" si="556"/>
        <v>#DIV/0!</v>
      </c>
      <c r="AU372" s="183" t="e">
        <f t="shared" si="556"/>
        <v>#DIV/0!</v>
      </c>
      <c r="AV372" s="108"/>
      <c r="AW372" s="190" t="e">
        <f t="shared" si="540"/>
        <v>#DIV/0!</v>
      </c>
      <c r="AX372" s="119"/>
      <c r="AY372" s="183" t="e">
        <f t="shared" ref="AY372:BG372" si="557">-$AW$220*1000/AY$31</f>
        <v>#DIV/0!</v>
      </c>
      <c r="AZ372" s="183" t="e">
        <f t="shared" si="557"/>
        <v>#DIV/0!</v>
      </c>
      <c r="BA372" s="183" t="e">
        <f t="shared" si="557"/>
        <v>#DIV/0!</v>
      </c>
      <c r="BB372" s="183" t="e">
        <f t="shared" si="557"/>
        <v>#DIV/0!</v>
      </c>
      <c r="BC372" s="183" t="e">
        <f t="shared" si="557"/>
        <v>#DIV/0!</v>
      </c>
      <c r="BD372" s="183" t="e">
        <f t="shared" si="557"/>
        <v>#DIV/0!</v>
      </c>
      <c r="BE372" s="183" t="e">
        <f t="shared" si="557"/>
        <v>#DIV/0!</v>
      </c>
      <c r="BF372" s="183" t="e">
        <f t="shared" si="557"/>
        <v>#DIV/0!</v>
      </c>
      <c r="BG372" s="183" t="e">
        <f t="shared" si="557"/>
        <v>#DIV/0!</v>
      </c>
    </row>
    <row r="373" spans="1:60">
      <c r="A373" s="1040"/>
      <c r="B373" s="1109" t="s">
        <v>1221</v>
      </c>
      <c r="C373" s="1106" t="s">
        <v>96</v>
      </c>
      <c r="D373" s="645"/>
      <c r="E373" s="942" t="s">
        <v>1200</v>
      </c>
      <c r="F373" s="942"/>
      <c r="G373" s="942"/>
      <c r="H373" s="942"/>
      <c r="I373" s="129"/>
      <c r="J373" s="943"/>
      <c r="K373" s="126"/>
      <c r="L373" s="126"/>
      <c r="M373" s="944"/>
      <c r="N373" s="195"/>
      <c r="O373" s="258"/>
      <c r="P373" s="258"/>
      <c r="Q373" s="258"/>
      <c r="R373" s="258"/>
      <c r="S373" s="258"/>
      <c r="T373" s="258"/>
      <c r="U373" s="258"/>
      <c r="V373" s="258"/>
      <c r="W373" s="258"/>
      <c r="X373" s="82"/>
      <c r="Y373" s="944"/>
      <c r="Z373" s="195"/>
      <c r="AA373" s="258"/>
      <c r="AB373" s="258"/>
      <c r="AC373" s="258"/>
      <c r="AD373" s="258"/>
      <c r="AE373" s="258"/>
      <c r="AF373" s="258"/>
      <c r="AG373" s="258"/>
      <c r="AH373" s="258"/>
      <c r="AI373" s="258"/>
      <c r="AJ373" s="79"/>
      <c r="AK373" s="944"/>
      <c r="AL373" s="195"/>
      <c r="AM373" s="258"/>
      <c r="AN373" s="258"/>
      <c r="AO373" s="258"/>
      <c r="AP373" s="258"/>
      <c r="AQ373" s="258"/>
      <c r="AR373" s="258"/>
      <c r="AS373" s="258"/>
      <c r="AT373" s="258"/>
      <c r="AU373" s="258"/>
      <c r="AV373" s="82"/>
      <c r="AW373" s="944"/>
      <c r="AX373" s="195"/>
      <c r="AY373" s="258"/>
      <c r="AZ373" s="258"/>
      <c r="BA373" s="258"/>
      <c r="BB373" s="258"/>
      <c r="BC373" s="258"/>
      <c r="BD373" s="258"/>
      <c r="BE373" s="258"/>
      <c r="BF373" s="258"/>
      <c r="BG373" s="258"/>
      <c r="BH373" s="1"/>
    </row>
    <row r="374" spans="1:60">
      <c r="A374" s="1040"/>
      <c r="B374" s="1109" t="s">
        <v>1221</v>
      </c>
      <c r="C374" s="1107" t="s">
        <v>104</v>
      </c>
      <c r="D374" s="645"/>
      <c r="E374" s="203" t="s">
        <v>232</v>
      </c>
      <c r="F374" s="203"/>
      <c r="G374" s="180"/>
      <c r="H374" s="201" t="s">
        <v>1207</v>
      </c>
      <c r="I374" s="114"/>
      <c r="J374" s="190"/>
      <c r="K374" s="1092"/>
      <c r="L374" s="1092"/>
      <c r="M374" s="190" t="e">
        <f t="shared" si="534"/>
        <v>#DIV/0!</v>
      </c>
      <c r="N374" s="119"/>
      <c r="O374" s="183" t="e">
        <f>O370+O372</f>
        <v>#DIV/0!</v>
      </c>
      <c r="P374" s="183" t="e">
        <f t="shared" ref="P374:W374" si="558">P370+P372</f>
        <v>#DIV/0!</v>
      </c>
      <c r="Q374" s="183" t="e">
        <f t="shared" si="558"/>
        <v>#DIV/0!</v>
      </c>
      <c r="R374" s="183" t="e">
        <f t="shared" si="558"/>
        <v>#DIV/0!</v>
      </c>
      <c r="S374" s="183" t="e">
        <f t="shared" si="558"/>
        <v>#DIV/0!</v>
      </c>
      <c r="T374" s="183" t="e">
        <f t="shared" si="558"/>
        <v>#DIV/0!</v>
      </c>
      <c r="U374" s="183" t="e">
        <f t="shared" si="558"/>
        <v>#DIV/0!</v>
      </c>
      <c r="V374" s="183" t="e">
        <f t="shared" si="558"/>
        <v>#DIV/0!</v>
      </c>
      <c r="W374" s="183" t="e">
        <f t="shared" si="558"/>
        <v>#DIV/0!</v>
      </c>
      <c r="X374" s="108"/>
      <c r="Y374" s="190" t="e">
        <f t="shared" si="536"/>
        <v>#DIV/0!</v>
      </c>
      <c r="Z374" s="119"/>
      <c r="AA374" s="183" t="e">
        <f t="shared" ref="AA374:AI374" si="559">AA370+AA372</f>
        <v>#DIV/0!</v>
      </c>
      <c r="AB374" s="183" t="e">
        <f t="shared" si="559"/>
        <v>#DIV/0!</v>
      </c>
      <c r="AC374" s="183" t="e">
        <f t="shared" si="559"/>
        <v>#DIV/0!</v>
      </c>
      <c r="AD374" s="183" t="e">
        <f t="shared" si="559"/>
        <v>#DIV/0!</v>
      </c>
      <c r="AE374" s="183" t="e">
        <f t="shared" si="559"/>
        <v>#DIV/0!</v>
      </c>
      <c r="AF374" s="183" t="e">
        <f t="shared" si="559"/>
        <v>#DIV/0!</v>
      </c>
      <c r="AG374" s="183" t="e">
        <f t="shared" si="559"/>
        <v>#DIV/0!</v>
      </c>
      <c r="AH374" s="183" t="e">
        <f t="shared" si="559"/>
        <v>#DIV/0!</v>
      </c>
      <c r="AI374" s="183" t="e">
        <f t="shared" si="559"/>
        <v>#DIV/0!</v>
      </c>
      <c r="AJ374" s="1051"/>
      <c r="AK374" s="190" t="e">
        <f t="shared" si="538"/>
        <v>#DIV/0!</v>
      </c>
      <c r="AL374" s="119"/>
      <c r="AM374" s="183" t="e">
        <f t="shared" ref="AM374:AU374" si="560">AM370+AM372</f>
        <v>#DIV/0!</v>
      </c>
      <c r="AN374" s="183" t="e">
        <f t="shared" si="560"/>
        <v>#DIV/0!</v>
      </c>
      <c r="AO374" s="183" t="e">
        <f t="shared" si="560"/>
        <v>#DIV/0!</v>
      </c>
      <c r="AP374" s="183" t="e">
        <f t="shared" si="560"/>
        <v>#DIV/0!</v>
      </c>
      <c r="AQ374" s="183" t="e">
        <f t="shared" si="560"/>
        <v>#DIV/0!</v>
      </c>
      <c r="AR374" s="183" t="e">
        <f t="shared" si="560"/>
        <v>#DIV/0!</v>
      </c>
      <c r="AS374" s="183" t="e">
        <f t="shared" si="560"/>
        <v>#DIV/0!</v>
      </c>
      <c r="AT374" s="183" t="e">
        <f t="shared" si="560"/>
        <v>#DIV/0!</v>
      </c>
      <c r="AU374" s="183" t="e">
        <f t="shared" si="560"/>
        <v>#DIV/0!</v>
      </c>
      <c r="AV374" s="108"/>
      <c r="AW374" s="190" t="e">
        <f t="shared" si="540"/>
        <v>#DIV/0!</v>
      </c>
      <c r="AX374" s="119"/>
      <c r="AY374" s="183" t="e">
        <f t="shared" ref="AY374:BG374" si="561">AY370+AY372</f>
        <v>#DIV/0!</v>
      </c>
      <c r="AZ374" s="183" t="e">
        <f t="shared" si="561"/>
        <v>#DIV/0!</v>
      </c>
      <c r="BA374" s="183" t="e">
        <f t="shared" si="561"/>
        <v>#DIV/0!</v>
      </c>
      <c r="BB374" s="183" t="e">
        <f t="shared" si="561"/>
        <v>#DIV/0!</v>
      </c>
      <c r="BC374" s="183" t="e">
        <f t="shared" si="561"/>
        <v>#DIV/0!</v>
      </c>
      <c r="BD374" s="183" t="e">
        <f t="shared" si="561"/>
        <v>#DIV/0!</v>
      </c>
      <c r="BE374" s="183" t="e">
        <f t="shared" si="561"/>
        <v>#DIV/0!</v>
      </c>
      <c r="BF374" s="183" t="e">
        <f t="shared" si="561"/>
        <v>#DIV/0!</v>
      </c>
      <c r="BG374" s="183" t="e">
        <f t="shared" si="561"/>
        <v>#DIV/0!</v>
      </c>
      <c r="BH374" s="1"/>
    </row>
    <row r="375" spans="1:60">
      <c r="A375" s="1040"/>
      <c r="B375" s="1109" t="s">
        <v>1224</v>
      </c>
      <c r="C375" s="1106" t="s">
        <v>96</v>
      </c>
      <c r="D375" s="638"/>
      <c r="E375" s="79"/>
      <c r="F375" s="79"/>
      <c r="G375" s="79"/>
      <c r="H375" s="85"/>
      <c r="I375" s="79"/>
      <c r="J375" s="82"/>
      <c r="K375" s="79"/>
      <c r="L375" s="79"/>
      <c r="M375" s="108"/>
      <c r="N375" s="79"/>
      <c r="O375" s="108"/>
      <c r="P375" s="356"/>
      <c r="Q375" s="108"/>
      <c r="R375" s="108"/>
      <c r="S375" s="108"/>
      <c r="T375" s="108"/>
      <c r="U375" s="108"/>
      <c r="V375" s="108"/>
      <c r="W375" s="108"/>
      <c r="X375" s="82"/>
      <c r="Y375" s="82"/>
      <c r="Z375" s="79"/>
      <c r="AA375" s="82"/>
      <c r="AB375" s="82"/>
      <c r="AC375" s="82"/>
      <c r="AD375" s="82"/>
      <c r="AE375" s="82"/>
      <c r="AF375" s="82"/>
      <c r="AG375" s="82"/>
      <c r="AH375" s="82"/>
      <c r="AI375" s="82"/>
      <c r="AJ375" s="82"/>
      <c r="AK375" s="82"/>
      <c r="AL375" s="79"/>
      <c r="AM375" s="82"/>
      <c r="AN375" s="82"/>
      <c r="AO375" s="82"/>
      <c r="AP375" s="82"/>
      <c r="AQ375" s="82"/>
      <c r="AR375" s="82"/>
      <c r="AS375" s="82"/>
      <c r="AT375" s="82"/>
      <c r="AU375" s="82"/>
      <c r="AV375" s="82"/>
      <c r="AW375" s="82"/>
      <c r="AX375" s="79"/>
      <c r="AY375" s="82"/>
      <c r="AZ375" s="82"/>
      <c r="BA375" s="82"/>
      <c r="BB375" s="82"/>
      <c r="BC375" s="82"/>
      <c r="BD375" s="82"/>
      <c r="BE375" s="82"/>
      <c r="BF375" s="82"/>
      <c r="BG375" s="82"/>
      <c r="BH375" s="1"/>
    </row>
    <row r="376" spans="1:60" ht="21">
      <c r="A376" s="1040"/>
      <c r="B376" s="1109" t="s">
        <v>294</v>
      </c>
      <c r="C376" s="1107" t="s">
        <v>96</v>
      </c>
      <c r="D376" s="643" t="s">
        <v>84</v>
      </c>
      <c r="E376" s="1219" t="s">
        <v>82</v>
      </c>
      <c r="F376" s="480"/>
      <c r="G376" s="480"/>
      <c r="H376" s="481"/>
      <c r="I376" s="481"/>
      <c r="J376" s="482"/>
      <c r="K376" s="691"/>
      <c r="L376" s="691"/>
      <c r="M376" s="482"/>
      <c r="N376" s="482"/>
      <c r="O376" s="1167"/>
      <c r="P376" s="482"/>
      <c r="Q376" s="482"/>
      <c r="R376" s="482"/>
      <c r="S376" s="482"/>
      <c r="T376" s="482"/>
      <c r="U376" s="482"/>
      <c r="V376" s="482"/>
      <c r="W376" s="482"/>
      <c r="X376" s="482"/>
      <c r="Y376" s="482"/>
      <c r="Z376" s="482"/>
      <c r="AA376" s="482"/>
      <c r="AB376" s="482"/>
      <c r="AC376" s="482"/>
      <c r="AD376" s="482"/>
      <c r="AE376" s="482"/>
      <c r="AF376" s="482"/>
      <c r="AG376" s="482"/>
      <c r="AH376" s="482"/>
      <c r="AI376" s="482"/>
      <c r="AJ376" s="482"/>
      <c r="AK376" s="482"/>
      <c r="AL376" s="482"/>
      <c r="AM376" s="482"/>
      <c r="AN376" s="482"/>
      <c r="AO376" s="482"/>
      <c r="AP376" s="482"/>
      <c r="AQ376" s="482"/>
      <c r="AR376" s="482"/>
      <c r="AS376" s="482"/>
      <c r="AT376" s="482"/>
      <c r="AU376" s="482"/>
      <c r="AV376" s="482"/>
      <c r="AW376" s="482"/>
      <c r="AX376" s="482"/>
      <c r="AY376" s="483"/>
      <c r="AZ376" s="483"/>
      <c r="BA376" s="483"/>
      <c r="BB376" s="483"/>
      <c r="BC376" s="483"/>
      <c r="BD376" s="483"/>
      <c r="BE376" s="483"/>
      <c r="BF376" s="483"/>
      <c r="BG376" s="483"/>
      <c r="BH376" s="225"/>
    </row>
  </sheetData>
  <sheetProtection algorithmName="SHA-512" hashValue="JTc2DGM9G0XnLLwfBksGwfKhlWhcj9vixZTWdruknDZhPa/3ddr6wyegPpfv+1b6lJnDOv+00rJNgEHEAT0jaQ==" saltValue="4OKCkWFCR+B/nXhmlSdCOA==" spinCount="100000" sheet="1" objects="1" scenarios="1" formatColumns="0" autoFilter="0"/>
  <autoFilter ref="B8:C376" xr:uid="{41D3E58C-B86B-4AE1-8380-FDD6F14E9537}">
    <filterColumn colId="1">
      <filters>
        <filter val="00. kop"/>
        <filter val="01. invoer"/>
        <filter val="04. resultaat"/>
      </filters>
    </filterColumn>
  </autoFilter>
  <dataConsolidate/>
  <mergeCells count="5">
    <mergeCell ref="E3:F3"/>
    <mergeCell ref="F4:H4"/>
    <mergeCell ref="B5:B7"/>
    <mergeCell ref="C5:C7"/>
    <mergeCell ref="E40:G40"/>
  </mergeCells>
  <conditionalFormatting sqref="C10:C24 B15:B24 B25:C42 B44:C360 B363:C376">
    <cfRule type="expression" dxfId="1447" priority="167">
      <formula>B10=""</formula>
    </cfRule>
  </conditionalFormatting>
  <conditionalFormatting sqref="E56">
    <cfRule type="expression" dxfId="1446" priority="121">
      <formula>$G$6=FALSE</formula>
    </cfRule>
  </conditionalFormatting>
  <conditionalFormatting sqref="F4:F6 H3">
    <cfRule type="expression" dxfId="1445" priority="213">
      <formula>F3=""</formula>
    </cfRule>
  </conditionalFormatting>
  <conditionalFormatting sqref="F5">
    <cfRule type="expression" dxfId="1444" priority="211">
      <formula>OR($F$5="",ISERROR(MATCH(F5,opwekking_elektriciteit,0))=TRUE)</formula>
    </cfRule>
  </conditionalFormatting>
  <conditionalFormatting sqref="F6">
    <cfRule type="expression" dxfId="1443" priority="103">
      <formula>OR($F$5="",ISERROR(MATCH(F6,rekenmethode_EP_MWA,0))=TRUE)</formula>
    </cfRule>
  </conditionalFormatting>
  <conditionalFormatting sqref="F2:H2">
    <cfRule type="expression" dxfId="1442" priority="219">
      <formula>$F$2&lt;&gt;""</formula>
    </cfRule>
  </conditionalFormatting>
  <conditionalFormatting sqref="F44:H44">
    <cfRule type="expression" dxfId="1441" priority="85">
      <formula>$F$6=EP</formula>
    </cfRule>
  </conditionalFormatting>
  <conditionalFormatting sqref="G61">
    <cfRule type="expression" dxfId="1440" priority="116">
      <formula>OR(G61="",ISERROR(MATCH(G61,beschikbare_fitformules_NTA8800,0))=TRUE)</formula>
    </cfRule>
  </conditionalFormatting>
  <conditionalFormatting sqref="G63">
    <cfRule type="expression" dxfId="1439" priority="113">
      <formula>OR(G63="",ISERROR(MATCH(G63,beschikbare_fitformules_NTA8800,0))=TRUE)</formula>
    </cfRule>
  </conditionalFormatting>
  <conditionalFormatting sqref="G328">
    <cfRule type="expression" dxfId="1438" priority="110">
      <formula>OR(G328="",ISERROR(MATCH(G328,beschikbare_fitformules_NTA8800,0))=TRUE)</formula>
    </cfRule>
  </conditionalFormatting>
  <conditionalFormatting sqref="H320:J320">
    <cfRule type="expression" dxfId="1437" priority="109">
      <formula>OR($F$5&lt;&gt;"NTA8800:2026",$F$6=MWA)</formula>
    </cfRule>
  </conditionalFormatting>
  <conditionalFormatting sqref="H363:J363">
    <cfRule type="expression" dxfId="1436" priority="1">
      <formula>OR($F$5&lt;&gt;"NTA8800:2026",$F$6=MWA)</formula>
    </cfRule>
  </conditionalFormatting>
  <conditionalFormatting sqref="J30:J31">
    <cfRule type="cellIs" dxfId="1435" priority="198" operator="greaterThan">
      <formula>0</formula>
    </cfRule>
  </conditionalFormatting>
  <conditionalFormatting sqref="J38:J40">
    <cfRule type="expression" dxfId="1434" priority="166">
      <formula>J38="OK"</formula>
    </cfRule>
  </conditionalFormatting>
  <conditionalFormatting sqref="J46:J47">
    <cfRule type="expression" dxfId="1433" priority="165">
      <formula>J46="OK"</formula>
    </cfRule>
  </conditionalFormatting>
  <conditionalFormatting sqref="J50">
    <cfRule type="expression" dxfId="1432" priority="20">
      <formula>J50="OK"</formula>
    </cfRule>
  </conditionalFormatting>
  <conditionalFormatting sqref="J52">
    <cfRule type="cellIs" dxfId="1431" priority="163" operator="equal">
      <formula>"nee"</formula>
    </cfRule>
  </conditionalFormatting>
  <conditionalFormatting sqref="J83">
    <cfRule type="cellIs" dxfId="1430" priority="199" operator="equal">
      <formula>"nee"</formula>
    </cfRule>
  </conditionalFormatting>
  <conditionalFormatting sqref="J144">
    <cfRule type="cellIs" dxfId="1429" priority="154" operator="equal">
      <formula>0</formula>
    </cfRule>
  </conditionalFormatting>
  <conditionalFormatting sqref="M30:M31">
    <cfRule type="cellIs" dxfId="1428" priority="197" operator="greaterThan">
      <formula>0</formula>
    </cfRule>
  </conditionalFormatting>
  <conditionalFormatting sqref="M50">
    <cfRule type="expression" dxfId="1427" priority="19">
      <formula>AND(M$22&gt;0,M50&lt;&gt;"ja",M50&lt;&gt;"nee")</formula>
    </cfRule>
    <cfRule type="expression" dxfId="1426" priority="18">
      <formula>M$22=0</formula>
    </cfRule>
  </conditionalFormatting>
  <conditionalFormatting sqref="M52">
    <cfRule type="cellIs" dxfId="1425" priority="84" operator="equal">
      <formula>"nee"</formula>
    </cfRule>
  </conditionalFormatting>
  <conditionalFormatting sqref="M83">
    <cfRule type="cellIs" dxfId="1424" priority="80" operator="equal">
      <formula>"nee"</formula>
    </cfRule>
  </conditionalFormatting>
  <conditionalFormatting sqref="M140:M147 Y140:Y147 AK140:AK147 AW140:AW147 M149:M157 Y149:Y157 AK149:AK157 AW149:AW157 M159:M161 Y159:Y161 AK159:AK161 AW159:AW161">
    <cfRule type="expression" dxfId="1423" priority="216">
      <formula>SUM(M$140:M$161)=0</formula>
    </cfRule>
  </conditionalFormatting>
  <conditionalFormatting sqref="M144 Y144 AK144 AW144 J147 M147 Y147 AK147 AW147 J151:J153 M151:M153 Y151:Y153 AK151:AK153 AW151:AW153 J155 M155 Y155 AK155 AW155 J157 M157 Y157 AK157 AW157 J161 M161 Y161 AK161 AW161">
    <cfRule type="cellIs" dxfId="1422" priority="158" operator="equal">
      <formula>0</formula>
    </cfRule>
  </conditionalFormatting>
  <conditionalFormatting sqref="M317 O317:X317 AJ317 AV317 BH317">
    <cfRule type="expression" dxfId="1421" priority="221">
      <formula>#REF!&gt;M317</formula>
    </cfRule>
  </conditionalFormatting>
  <conditionalFormatting sqref="O83 AA83 AM83 AY83">
    <cfRule type="expression" dxfId="1420" priority="162">
      <formula>OR(AND(O83="",O$22&gt;0),ISERROR(MATCH(O83,toestellen_RV_invoer,0)))</formula>
    </cfRule>
  </conditionalFormatting>
  <conditionalFormatting sqref="O90 Q90 AA90 AC90 AM90 AO90 AY90 BA90">
    <cfRule type="expression" dxfId="1419" priority="212">
      <formula>OR(AND(O$78&gt;0,O90=""),AND(O90&lt;&gt;"ja",O90&lt;&gt;"nee",O90&lt;&gt;""))</formula>
    </cfRule>
  </conditionalFormatting>
  <conditionalFormatting sqref="O135 Q135 AA135 AC135 AM135 AO135 AY135 BA135">
    <cfRule type="expression" dxfId="1418" priority="226">
      <formula>O$134=0</formula>
    </cfRule>
  </conditionalFormatting>
  <conditionalFormatting sqref="O90:Q91 AA90:AC91 AM90:AO91 AY90:BA91 O86:Q88 AA86:AC88 AM86:AO88 AY86:BA88 O93:Q95 AA93:AC95 AM93:AO95 AY93:BA95 O83:Q84 AA83:AC84 AM83:AO84 AY83:BA84 O97:Q99 AA97:AC99 AM97:AO99 AY97:BA99">
    <cfRule type="expression" dxfId="1417" priority="241">
      <formula>O$27=0</formula>
    </cfRule>
    <cfRule type="expression" dxfId="1416" priority="242">
      <formula>O$78=0</formula>
    </cfRule>
  </conditionalFormatting>
  <conditionalFormatting sqref="O104:Q104 AA104:AC104 AM104:AO104 AY104:BA104 AA140:AC140 AM140:AO140 AY140:BA140">
    <cfRule type="expression" dxfId="1415" priority="208">
      <formula>O$78=0</formula>
    </cfRule>
  </conditionalFormatting>
  <conditionalFormatting sqref="O109:Q109 AA109:AC109 AM109:AO109 O112:Q112 AA112:AC112 AM112:AO112 AY112:BA112 O119:Q119 AA119:AC119 AM119:AO119 AY119:BA119 O129:Q129 AA129:AC129 AM129:AO129 AY129:BA129 O135:Q135 AA135:AC135 AM135:AO135 AY135:BA135 O87 Q87 AA87 AC87 AM87 AO87 AY87 BA87 O94 Q94 AA94 AC94 AM94 AO94 AY94 BA94">
    <cfRule type="expression" dxfId="1414" priority="202">
      <formula>AND(O$78&gt;0,O87="")</formula>
    </cfRule>
  </conditionalFormatting>
  <conditionalFormatting sqref="O122:Q125 AA122:AC125 AM122:AO125 AY122:BA125 AA104:AC106 AM104:AO106 AY104:BA106 O105:Q106 O108:Q116 AA108:AC116 AM108:AO116 AY108:BA116 O118:Q119 AA118:AC120 AM118:AO120 AY118:BA120 P120:Q120 O128:Q130 AA128:AC130 AM128:AO130 AY128:BA130 O132:Q135 AA132:AC135 AM132:AO135 AY132:BA135">
    <cfRule type="expression" dxfId="1413" priority="155">
      <formula>OR(O$78=0,O$104="geen")</formula>
    </cfRule>
  </conditionalFormatting>
  <conditionalFormatting sqref="O123:Q123">
    <cfRule type="expression" dxfId="1412" priority="73">
      <formula>AND(O$78&gt;0,O123="")</formula>
    </cfRule>
  </conditionalFormatting>
  <conditionalFormatting sqref="O125:Q125">
    <cfRule type="expression" dxfId="1411" priority="76">
      <formula>AND(O$78&gt;0,O125="")</formula>
    </cfRule>
  </conditionalFormatting>
  <conditionalFormatting sqref="O140:Q140">
    <cfRule type="expression" dxfId="1410" priority="205">
      <formula>O$78=0</formula>
    </cfRule>
  </conditionalFormatting>
  <conditionalFormatting sqref="O146:Q146 AA146:AC146 AM146:AO146 AY146:BA146 O150:Q150 AA150:AC150 AM150:AO150 AY150:BA150 O160:Q160 AA160:AC160 AM160:AO160 AY160:BA160">
    <cfRule type="expression" dxfId="1409" priority="237">
      <formula>AND(O$78&gt;0,O$140&lt;&gt;"geen",O146="")</formula>
    </cfRule>
  </conditionalFormatting>
  <conditionalFormatting sqref="O153:Q157 AA153:AC157 AM153:AO157 AY153:BA157 O141:Q147 AA141:AC147 AM141:AO147 AY141:BA147 O149:Q151 AA149:AC151 AM149:AO151 AY149:BA151 O159:Q161 AA159:AC161 AM159:AO161 AY159:BA161">
    <cfRule type="expression" dxfId="1408" priority="153">
      <formula>OR(O$78=0,O$140="geen")</formula>
    </cfRule>
  </conditionalFormatting>
  <conditionalFormatting sqref="O154:Q154">
    <cfRule type="expression" dxfId="1407" priority="75">
      <formula>AND(O$78&gt;0,O$140&lt;&gt;"geen",O154="")</formula>
    </cfRule>
  </conditionalFormatting>
  <conditionalFormatting sqref="O156:Q156">
    <cfRule type="expression" dxfId="1406" priority="74">
      <formula>AND(O$78&gt;0,O$140&lt;&gt;"geen",O156="")</formula>
    </cfRule>
  </conditionalFormatting>
  <conditionalFormatting sqref="O166:Q168 AA166:AC168 AM166:AO168 AY166:BA168">
    <cfRule type="expression" dxfId="1405" priority="243">
      <formula>OR(O$27=0,O$132=0)</formula>
    </cfRule>
  </conditionalFormatting>
  <conditionalFormatting sqref="O167:Q167 AA167:AC167 AM167:AO167 AY167:BA167">
    <cfRule type="expression" dxfId="1404" priority="207">
      <formula>AND(O$132&gt;0,O167="")</formula>
    </cfRule>
  </conditionalFormatting>
  <conditionalFormatting sqref="O186:T188 T229:W231 AF229:AF231 AR229:AR231 BD229:BD231 AA230 AM230 AY230 O251:T258">
    <cfRule type="expression" dxfId="1403" priority="188">
      <formula>O$27=0</formula>
    </cfRule>
  </conditionalFormatting>
  <conditionalFormatting sqref="O17:W17">
    <cfRule type="expression" dxfId="1402" priority="101">
      <formula>AND(O17&lt;&gt;"",ISERROR(MATCH(O17,woningen_gebouwen_namen,0))=TRUE)</formula>
    </cfRule>
  </conditionalFormatting>
  <conditionalFormatting sqref="O20:W20">
    <cfRule type="expression" dxfId="1401" priority="196">
      <formula>OR(O$17="",AND(O$19&lt;&gt;woning,O$19&lt;&gt;woongebouw))</formula>
    </cfRule>
  </conditionalFormatting>
  <conditionalFormatting sqref="O21:W21">
    <cfRule type="expression" dxfId="1400" priority="102">
      <formula>AND(O21&lt;&gt;"",ISERROR(MATCH(O21,woningen_gebouwen_namen,0))=TRUE)</formula>
    </cfRule>
  </conditionalFormatting>
  <conditionalFormatting sqref="O22:W23 AA22:BG23">
    <cfRule type="expression" dxfId="1399" priority="184">
      <formula>O$17=""</formula>
    </cfRule>
  </conditionalFormatting>
  <conditionalFormatting sqref="O23:W23 AM23:AU23 AY23:BG23">
    <cfRule type="expression" dxfId="1398" priority="222">
      <formula>AND(O$17="",O23&gt;0)</formula>
    </cfRule>
    <cfRule type="expression" dxfId="1397" priority="223">
      <formula>AND(O$17&lt;&gt;"",O23="")</formula>
    </cfRule>
  </conditionalFormatting>
  <conditionalFormatting sqref="O28:W28">
    <cfRule type="expression" dxfId="1396" priority="100">
      <formula>AND(O28&lt;&gt;"",ISERROR(MATCH(O28,woningen_gebouwen_namen,0))=TRUE)</formula>
    </cfRule>
  </conditionalFormatting>
  <conditionalFormatting sqref="O37:W37">
    <cfRule type="expression" dxfId="1395" priority="91">
      <formula>AND(O37&lt;&gt;"",ISERROR(MATCH(O37,woningen_gebouwen_namen,0))=TRUE)</formula>
    </cfRule>
  </conditionalFormatting>
  <conditionalFormatting sqref="O38:W43">
    <cfRule type="expression" dxfId="1394" priority="11">
      <formula>OR(O$17="",O$22=0)</formula>
    </cfRule>
  </conditionalFormatting>
  <conditionalFormatting sqref="O40:W40 AA40:AI40 AM40:AU40 AY40:BG40">
    <cfRule type="expression" dxfId="1393" priority="224">
      <formula>OR(AND(O$17&lt;&gt;"",O$22&gt;0,O40=""),ISERROR(MATCH(O40,ventilatiesystemen_namen,0))=TRUE)</formula>
    </cfRule>
  </conditionalFormatting>
  <conditionalFormatting sqref="O41:W41 AA41:AI41 AM41:AU41 AY41:BG41">
    <cfRule type="expression" dxfId="1392" priority="240">
      <formula>OR(O$17="",O$22=0,LEFT(INDEX(ventilatiesystemen_code,MATCH(O$40,ventilatiesystemen_namen,0)),1)="A")</formula>
    </cfRule>
    <cfRule type="expression" dxfId="1391" priority="225">
      <formula>OR(AND(O$17&lt;&gt;"",O$22&gt;0,O41=""),ISERROR(MATCH(O41,ventilatoren_typen,0))=TRUE)</formula>
    </cfRule>
  </conditionalFormatting>
  <conditionalFormatting sqref="O42:W42 AA42:AI42 AM42:AU42 AY42:BG42">
    <cfRule type="expression" dxfId="1390" priority="156">
      <formula>OR(AND(O$17&lt;&gt;"",O$22&gt;0,O42=""),ISERROR(MATCH(O42,DWTW_namen,0))=TRUE)</formula>
    </cfRule>
  </conditionalFormatting>
  <conditionalFormatting sqref="O44:W44 AA44:AI44 AM44:AU44 AY44:BG44">
    <cfRule type="expression" dxfId="1389" priority="86">
      <formula>$F$6=EP</formula>
    </cfRule>
  </conditionalFormatting>
  <conditionalFormatting sqref="O44:W49 AY44:BG49 O24:W27 AM24:AU27 AY24:BG27 O29:W33 AA29:AI33 AM29:AU33 AY29:BG33 O52:W52 O54:W56 AM61:AU69 AY61:BG69 O71:W71 AM71:AU71 AY71:BG71 O73:W73 AM328:AU328 AY328:BG328">
    <cfRule type="expression" dxfId="1388" priority="104">
      <formula>OR(O$17="",O$22=0)</formula>
    </cfRule>
  </conditionalFormatting>
  <conditionalFormatting sqref="O45:W46 AA45:AI46 AM45:AU46 AY45:BG46">
    <cfRule type="expression" dxfId="1387" priority="164">
      <formula>OR(O$17="",O$26=0)</formula>
    </cfRule>
    <cfRule type="expression" dxfId="1386" priority="229">
      <formula>AND(O$17&lt;&gt;"",O$26&gt;0,O45="")</formula>
    </cfRule>
  </conditionalFormatting>
  <conditionalFormatting sqref="O46:W46 AA46:AI46 AM46:AU46 AY46:BG46">
    <cfRule type="expression" dxfId="1385" priority="231">
      <formula>AND(O46&lt;&gt;"",ISERROR(MATCH(O46,verlichtingsregeling_namen,0))=TRUE)</formula>
    </cfRule>
  </conditionalFormatting>
  <conditionalFormatting sqref="O47:W47 AA47:AI47 AM47:AU47 AY47:BG47">
    <cfRule type="expression" dxfId="1384" priority="174">
      <formula>OR(O$17="",O$24+O$25=0,AND(O$19&lt;&gt;woning,O$19&lt;&gt;woongebouw))</formula>
    </cfRule>
    <cfRule type="expression" dxfId="1383" priority="232">
      <formula>OR(AND(O$17&lt;&gt;"",O$22&gt;0,O47=""),AND(O47&lt;&gt;elektriciteit,O47&lt;&gt;aardgas))</formula>
    </cfRule>
  </conditionalFormatting>
  <conditionalFormatting sqref="O49:W49">
    <cfRule type="expression" dxfId="1382" priority="118">
      <formula>IF(AND($O$36&lt;&gt;"",$O$49=""),TRUE,FALSE)</formula>
    </cfRule>
  </conditionalFormatting>
  <conditionalFormatting sqref="O51:W51 O53:W53">
    <cfRule type="expression" dxfId="1381" priority="99">
      <formula>AND(O51&lt;&gt;"",ISERROR(MATCH(O51,woningen_gebouwen_namen,0))=TRUE)</formula>
    </cfRule>
  </conditionalFormatting>
  <conditionalFormatting sqref="O52:W52 AA52:AI52 AM52:AU52 AY52:BG52">
    <cfRule type="expression" dxfId="1380" priority="173">
      <formula>$O17=""</formula>
    </cfRule>
    <cfRule type="cellIs" dxfId="1379" priority="236" operator="equal">
      <formula>"nee"</formula>
    </cfRule>
  </conditionalFormatting>
  <conditionalFormatting sqref="O55:W55 AA55:AI55 AM55:AU55 AY55:BG55">
    <cfRule type="cellIs" dxfId="1378" priority="127" operator="equal">
      <formula>0</formula>
    </cfRule>
  </conditionalFormatting>
  <conditionalFormatting sqref="O56:W56 AA56:AI56 AM56:AU56 AY56:BG56">
    <cfRule type="expression" dxfId="1377" priority="246">
      <formula>AND(O$22&gt;0,O56="",$F$6=MWA)</formula>
    </cfRule>
    <cfRule type="expression" dxfId="1376" priority="247">
      <formula>AND(O$22&gt;0,O$56&gt;0,$F$6=MWA)</formula>
    </cfRule>
    <cfRule type="expression" dxfId="1375" priority="245">
      <formula>O$22=0</formula>
    </cfRule>
  </conditionalFormatting>
  <conditionalFormatting sqref="O60:W60">
    <cfRule type="expression" dxfId="1374" priority="98">
      <formula>AND(O60&lt;&gt;"",ISERROR(MATCH(O60,woningen_gebouwen_namen,0))=TRUE)</formula>
    </cfRule>
  </conditionalFormatting>
  <conditionalFormatting sqref="O61:W69">
    <cfRule type="expression" dxfId="1373" priority="114">
      <formula>OR(O$17="",O$22=0)</formula>
    </cfRule>
  </conditionalFormatting>
  <conditionalFormatting sqref="O70:W70">
    <cfRule type="expression" dxfId="1372" priority="97">
      <formula>AND(O70&lt;&gt;"",ISERROR(MATCH(O70,woningen_gebouwen_namen,0))=TRUE)</formula>
    </cfRule>
  </conditionalFormatting>
  <conditionalFormatting sqref="O71:W71 AM71:AU71 AY71:BG71 O73:W73">
    <cfRule type="expression" dxfId="1371" priority="157">
      <formula>AND(O$17&lt;&gt;"",O71="")</formula>
    </cfRule>
  </conditionalFormatting>
  <conditionalFormatting sqref="O72:W72">
    <cfRule type="expression" dxfId="1370" priority="96">
      <formula>AND(O72&lt;&gt;"",ISERROR(MATCH(O72,woningen_gebouwen_namen,0))=TRUE)</formula>
    </cfRule>
  </conditionalFormatting>
  <conditionalFormatting sqref="O78:W78">
    <cfRule type="expression" dxfId="1369" priority="206">
      <formula>O$27=0</formula>
    </cfRule>
  </conditionalFormatting>
  <conditionalFormatting sqref="O268:W268">
    <cfRule type="expression" dxfId="1368" priority="90">
      <formula>AND(O268&lt;&gt;"",ISERROR(MATCH(O268,woningen_gebouwen_namen,0))=TRUE)</formula>
    </cfRule>
  </conditionalFormatting>
  <conditionalFormatting sqref="O274:W274 O281:W281">
    <cfRule type="expression" dxfId="1367" priority="89">
      <formula>AND(O274&lt;&gt;"",ISERROR(MATCH(O274,woningen_gebouwen_namen,0))=TRUE)</formula>
    </cfRule>
  </conditionalFormatting>
  <conditionalFormatting sqref="O291:W291">
    <cfRule type="expression" dxfId="1366" priority="7">
      <formula>AND(O291&lt;&gt;"",ISERROR(MATCH(O291,woningen_gebouwen_namen,0))=TRUE)</formula>
    </cfRule>
  </conditionalFormatting>
  <conditionalFormatting sqref="O292:W292 AA292:AI292 AM292:AU292 AY292:BG292 AM364:AU372 O364:W374 AA364:AI374">
    <cfRule type="expression" dxfId="1365" priority="6">
      <formula>O$22=0</formula>
    </cfRule>
  </conditionalFormatting>
  <conditionalFormatting sqref="O293:W293 O297:W297">
    <cfRule type="expression" dxfId="1364" priority="95">
      <formula>AND(O293&lt;&gt;"",ISERROR(MATCH(O293,woningen_gebouwen_namen,0))=TRUE)</formula>
    </cfRule>
  </conditionalFormatting>
  <conditionalFormatting sqref="O305:W305 O312:W312 O314:W314 O316:W316">
    <cfRule type="expression" dxfId="1363" priority="94">
      <formula>AND(O305&lt;&gt;"",ISERROR(MATCH(O305,woningen_gebouwen_namen,0))=TRUE)</formula>
    </cfRule>
  </conditionalFormatting>
  <conditionalFormatting sqref="O321:W321">
    <cfRule type="expression" dxfId="1362" priority="88">
      <formula>AND(O321&lt;&gt;"",ISERROR(MATCH(O321,woningen_gebouwen_namen,0))=TRUE)</formula>
    </cfRule>
  </conditionalFormatting>
  <conditionalFormatting sqref="O323:W323 O327:W327 O332:W332 O335:W335 O338:W338">
    <cfRule type="expression" dxfId="1361" priority="93">
      <formula>AND(O323&lt;&gt;"",ISERROR(MATCH(O323,woningen_gebouwen_namen,0))=TRUE)</formula>
    </cfRule>
  </conditionalFormatting>
  <conditionalFormatting sqref="O328:W328">
    <cfRule type="expression" dxfId="1360" priority="111">
      <formula>OR(O$17="",O$22=0)</formula>
    </cfRule>
  </conditionalFormatting>
  <conditionalFormatting sqref="O329:W330">
    <cfRule type="expression" dxfId="1359" priority="217">
      <formula>O329&gt;O324</formula>
    </cfRule>
  </conditionalFormatting>
  <conditionalFormatting sqref="O331:W331 AA331:AI331 AM331:AU331 AY331:BG331">
    <cfRule type="expression" dxfId="1358" priority="119">
      <formula>$O$331&lt;$O$326</formula>
    </cfRule>
  </conditionalFormatting>
  <conditionalFormatting sqref="O333:W334 AA333:AI334 O317:W317 O329:W331 O339:W340 AY339:BG340 O269:W270 AA269:AI270 AA275:AI277 AM275:AU277 AY275:BG277 O282:W290 AA282:AI290 AK282:AK290 AM282:AU290 AW282:AW290 AY282:BG290 O298:W299 AA298:AI299 AM298:AU299 AY298:BG299 O304:W304 AA304:AI304 AY304:BG304 O306:W311 AA306:AI311 AY306:BG311 O313:W313 AA313:AI313 AY313:BG313 O315:W315 AA315:AI315 AY315:BG315 AA317:AI317 AY317:BG317 AA322:AI322 AY322:BG322 O324:W326 AA324:AI326 AY324:BG326 O345:W353 AY345:BG353 O355:W357 AA355:AI357 AM355:AU357">
    <cfRule type="expression" dxfId="1357" priority="239">
      <formula>O$22=0</formula>
    </cfRule>
  </conditionalFormatting>
  <conditionalFormatting sqref="O336:W337">
    <cfRule type="expression" dxfId="1356" priority="176">
      <formula>O$22=0</formula>
    </cfRule>
  </conditionalFormatting>
  <conditionalFormatting sqref="O337:W337">
    <cfRule type="expression" dxfId="1355" priority="143">
      <formula>AND(O337&lt;&gt;"nvt",O337&gt;O336)</formula>
    </cfRule>
    <cfRule type="expression" dxfId="1354" priority="144">
      <formula>AND(O337&lt;&gt;"nvt",O337&lt;=O336)</formula>
    </cfRule>
  </conditionalFormatting>
  <conditionalFormatting sqref="O340:W340">
    <cfRule type="expression" dxfId="1353" priority="141">
      <formula>AND(O340&lt;&gt;"nvt",O340&gt;O339)</formula>
    </cfRule>
    <cfRule type="expression" dxfId="1352" priority="142">
      <formula>AND(O340&lt;&gt;"nvt",O340&lt;=O339)</formula>
    </cfRule>
  </conditionalFormatting>
  <conditionalFormatting sqref="O344:W344">
    <cfRule type="expression" dxfId="1351" priority="87">
      <formula>AND(O344&lt;&gt;"",ISERROR(MATCH(O344,woningen_gebouwen_namen,0))=TRUE)</formula>
    </cfRule>
  </conditionalFormatting>
  <conditionalFormatting sqref="O354:W354 O358:W358">
    <cfRule type="expression" dxfId="1350" priority="92">
      <formula>AND(O354&lt;&gt;"",ISERROR(MATCH(O354,woningen_gebouwen_namen,0))=TRUE)</formula>
    </cfRule>
  </conditionalFormatting>
  <conditionalFormatting sqref="O364:W364">
    <cfRule type="expression" dxfId="1349" priority="70">
      <formula>AND(O364&lt;&gt;"",ISERROR(MATCH(O364,woningen_gebouwen_namen,0))=TRUE)</formula>
    </cfRule>
  </conditionalFormatting>
  <conditionalFormatting sqref="O371:W371 O373:W373">
    <cfRule type="expression" dxfId="1348" priority="71">
      <formula>AND(O371&lt;&gt;"",ISERROR(MATCH(O371,woningen_gebouwen_namen,0))=TRUE)</formula>
    </cfRule>
  </conditionalFormatting>
  <conditionalFormatting sqref="P83 AB83 AN83 AZ83">
    <cfRule type="expression" dxfId="1347" priority="200">
      <formula>OR(AND(P83="",P$22&gt;0),ISERROR(MATCH(P83,toestellen_KOEL_invoer,0)))</formula>
    </cfRule>
  </conditionalFormatting>
  <conditionalFormatting sqref="P84 AB84 AN84 AZ84 P86:P88 AB86:AB88 AN86:AN88 AZ86:AZ88 P90:P91 AB90:AB91 AN90:AN91 AZ90:AZ91 P93:P95 AB93:AB95 AN93:AN95 AZ93:AZ95 P97:P99 AB97:AB99 AN97:AN99 AZ97:AZ99">
    <cfRule type="expression" dxfId="1346" priority="148">
      <formula>P$83="geen"</formula>
    </cfRule>
  </conditionalFormatting>
  <conditionalFormatting sqref="Q83 AC83 AO83 BA83">
    <cfRule type="expression" dxfId="1345" priority="201">
      <formula>OR(AND(Q83="",Q$22&gt;0),ISERROR(MATCH(Q83,toestellen_TAP_invoer,0)))</formula>
    </cfRule>
  </conditionalFormatting>
  <conditionalFormatting sqref="Q90 AC90 AO90 BA90">
    <cfRule type="expression" dxfId="1344" priority="244">
      <formula>OR(AND(Q$22&gt;0,Q$78&gt;0,Q90=""),AND(Q90&lt;&gt;"ja",Q90&lt;&gt;"nee",Q90&lt;&gt;""))</formula>
    </cfRule>
  </conditionalFormatting>
  <conditionalFormatting sqref="T170:T171">
    <cfRule type="expression" dxfId="1343" priority="170">
      <formula>T$27=0</formula>
    </cfRule>
  </conditionalFormatting>
  <conditionalFormatting sqref="T173:T174">
    <cfRule type="expression" dxfId="1342" priority="169">
      <formula>T$27=0</formula>
    </cfRule>
  </conditionalFormatting>
  <conditionalFormatting sqref="T180">
    <cfRule type="expression" dxfId="1341" priority="168">
      <formula>T$27=0</formula>
    </cfRule>
  </conditionalFormatting>
  <conditionalFormatting sqref="T233">
    <cfRule type="expression" dxfId="1340" priority="171">
      <formula>T$27=0</formula>
    </cfRule>
  </conditionalFormatting>
  <conditionalFormatting sqref="T246">
    <cfRule type="expression" dxfId="1339" priority="192">
      <formula>T$27=0</formula>
    </cfRule>
  </conditionalFormatting>
  <conditionalFormatting sqref="T263:T264">
    <cfRule type="expression" dxfId="1338" priority="189">
      <formula>T$27=0</formula>
    </cfRule>
  </conditionalFormatting>
  <conditionalFormatting sqref="U169:W171">
    <cfRule type="expression" dxfId="1337" priority="204">
      <formula>U$27=0</formula>
    </cfRule>
  </conditionalFormatting>
  <conditionalFormatting sqref="Y50">
    <cfRule type="expression" dxfId="1336" priority="16">
      <formula>Y$22=0</formula>
    </cfRule>
    <cfRule type="expression" dxfId="1335" priority="17">
      <formula>AND(Y$22&gt;0,Y50&lt;&gt;"ja",Y50&lt;&gt;"nee")</formula>
    </cfRule>
  </conditionalFormatting>
  <conditionalFormatting sqref="Y52">
    <cfRule type="cellIs" dxfId="1334" priority="83" operator="equal">
      <formula>"nee"</formula>
    </cfRule>
  </conditionalFormatting>
  <conditionalFormatting sqref="Y83">
    <cfRule type="cellIs" dxfId="1333" priority="79" operator="equal">
      <formula>"nee"</formula>
    </cfRule>
  </conditionalFormatting>
  <conditionalFormatting sqref="Z38:AI39">
    <cfRule type="expression" dxfId="1332" priority="120">
      <formula>OR(Z$17="",Z$22=0)</formula>
    </cfRule>
  </conditionalFormatting>
  <conditionalFormatting sqref="AA49:AB49">
    <cfRule type="expression" dxfId="1331" priority="105">
      <formula>IF(AND($O$36&lt;&gt;"",$O$49=""),TRUE,FALSE)</formula>
    </cfRule>
  </conditionalFormatting>
  <conditionalFormatting sqref="AA123:AC123">
    <cfRule type="expression" dxfId="1330" priority="64">
      <formula>AND(AA$78&gt;0,AA123="")</formula>
    </cfRule>
  </conditionalFormatting>
  <conditionalFormatting sqref="AA125:AC125">
    <cfRule type="expression" dxfId="1329" priority="65">
      <formula>AND(AA$78&gt;0,AA125="")</formula>
    </cfRule>
  </conditionalFormatting>
  <conditionalFormatting sqref="AA154:AC154">
    <cfRule type="expression" dxfId="1328" priority="27">
      <formula>AND(AA$78&gt;0,AA$140&lt;&gt;"geen",AA154="")</formula>
    </cfRule>
  </conditionalFormatting>
  <conditionalFormatting sqref="AA156:AC156">
    <cfRule type="expression" dxfId="1327" priority="26">
      <formula>AND(AA$78&gt;0,AA$140&lt;&gt;"geen",AA156="")</formula>
    </cfRule>
  </conditionalFormatting>
  <conditionalFormatting sqref="AA251:AC251">
    <cfRule type="expression" dxfId="1326" priority="147">
      <formula>AA$27=0</formula>
    </cfRule>
  </conditionalFormatting>
  <conditionalFormatting sqref="AA229:AE229">
    <cfRule type="expression" dxfId="1325" priority="195">
      <formula>AA$27=0</formula>
    </cfRule>
  </conditionalFormatting>
  <conditionalFormatting sqref="AA258:AE258">
    <cfRule type="expression" dxfId="1324" priority="193">
      <formula>AA$27=0</formula>
    </cfRule>
  </conditionalFormatting>
  <conditionalFormatting sqref="AA17:AI17">
    <cfRule type="expression" dxfId="1323" priority="59">
      <formula>AND(AA17&lt;&gt;"",ISERROR(MATCH(AA17,woningen_gebouwen_namen,0))=TRUE)</formula>
    </cfRule>
  </conditionalFormatting>
  <conditionalFormatting sqref="AA20:AI20">
    <cfRule type="expression" dxfId="1322" priority="161">
      <formula>OR(AA$17="",AND(AA$19&lt;&gt;woning,AA$19&lt;&gt;woongebouw))</formula>
    </cfRule>
  </conditionalFormatting>
  <conditionalFormatting sqref="AA21:AI21">
    <cfRule type="expression" dxfId="1321" priority="56">
      <formula>AND(AA21&lt;&gt;"",ISERROR(MATCH(AA21,woningen_gebouwen_namen,0))=TRUE)</formula>
    </cfRule>
  </conditionalFormatting>
  <conditionalFormatting sqref="AA23:AI23">
    <cfRule type="expression" dxfId="1320" priority="235">
      <formula>AND(AA$17&lt;&gt;"",AA23="")</formula>
    </cfRule>
    <cfRule type="expression" dxfId="1319" priority="234">
      <formula>AND(AA$17="",AA23&gt;0)</formula>
    </cfRule>
  </conditionalFormatting>
  <conditionalFormatting sqref="AA24:AI27">
    <cfRule type="expression" dxfId="1318" priority="220">
      <formula>OR(AA$17="",AA$22=0)</formula>
    </cfRule>
  </conditionalFormatting>
  <conditionalFormatting sqref="AA28:AI28">
    <cfRule type="expression" dxfId="1317" priority="55">
      <formula>AND(AA28&lt;&gt;"",ISERROR(MATCH(AA28,woningen_gebouwen_namen,0))=TRUE)</formula>
    </cfRule>
  </conditionalFormatting>
  <conditionalFormatting sqref="AA37:AI37">
    <cfRule type="expression" dxfId="1316" priority="50">
      <formula>AND(AA37&lt;&gt;"",ISERROR(MATCH(AA37,woningen_gebouwen_namen,0))=TRUE)</formula>
    </cfRule>
  </conditionalFormatting>
  <conditionalFormatting sqref="AA39:AI39 O39:W39 AM39:AU39 AY39:BG39">
    <cfRule type="expression" dxfId="1315" priority="123">
      <formula>AND(O$17&lt;&gt;"",O$22&gt;0,O39&lt;&gt;"",ISERROR(MATCH(O39,isolatiepakketten_gebouwschil_namen,0))=TRUE)</formula>
    </cfRule>
  </conditionalFormatting>
  <conditionalFormatting sqref="AA40:AI43">
    <cfRule type="expression" dxfId="1314" priority="10">
      <formula>OR(AA$17="",AA$22=0)</formula>
    </cfRule>
  </conditionalFormatting>
  <conditionalFormatting sqref="AA44:AI49">
    <cfRule type="expression" dxfId="1313" priority="106">
      <formula>OR(AA$17="",AA$22=0)</formula>
    </cfRule>
  </conditionalFormatting>
  <conditionalFormatting sqref="AA49:AI49">
    <cfRule type="expression" dxfId="1312" priority="108">
      <formula>IF(AND($AA$36&lt;&gt;"",$AA$49=""),TRUE,FALSE)</formula>
    </cfRule>
  </conditionalFormatting>
  <conditionalFormatting sqref="AA51:AI51">
    <cfRule type="expression" dxfId="1311" priority="49">
      <formula>AND(AA51&lt;&gt;"",ISERROR(MATCH(AA51,woningen_gebouwen_namen,0))=TRUE)</formula>
    </cfRule>
  </conditionalFormatting>
  <conditionalFormatting sqref="AA53:AI53">
    <cfRule type="expression" dxfId="1310" priority="48">
      <formula>AND(AA53&lt;&gt;"",ISERROR(MATCH(AA53,woningen_gebouwen_namen,0))=TRUE)</formula>
    </cfRule>
  </conditionalFormatting>
  <conditionalFormatting sqref="AA60:AI60">
    <cfRule type="expression" dxfId="1309" priority="41">
      <formula>AND(AA60&lt;&gt;"",ISERROR(MATCH(AA60,woningen_gebouwen_namen,0))=TRUE)</formula>
    </cfRule>
  </conditionalFormatting>
  <conditionalFormatting sqref="AA61:AI69">
    <cfRule type="expression" dxfId="1308" priority="115">
      <formula>OR(AA$17="",AA$22=0)</formula>
    </cfRule>
  </conditionalFormatting>
  <conditionalFormatting sqref="AA70:AI70 AM70:AU70 AY70:BG70 AA72:AI72 AM72:AU72 AY72:BG72">
    <cfRule type="expression" dxfId="1307" priority="38">
      <formula>AND(AA70&lt;&gt;"",ISERROR(MATCH(AA70,woningen_gebouwen_namen,0))=TRUE)</formula>
    </cfRule>
  </conditionalFormatting>
  <conditionalFormatting sqref="AA71:AI71">
    <cfRule type="expression" dxfId="1306" priority="209">
      <formula>OR(AA$17="",AA$22=0)</formula>
    </cfRule>
    <cfRule type="expression" dxfId="1305" priority="210">
      <formula>AND(AA$17&lt;&gt;"",AA71="")</formula>
    </cfRule>
  </conditionalFormatting>
  <conditionalFormatting sqref="AA73:AI73">
    <cfRule type="expression" dxfId="1304" priority="2">
      <formula>OR(AA$17="",AA$22=0)</formula>
    </cfRule>
    <cfRule type="expression" dxfId="1303" priority="3">
      <formula>AND(AA$17&lt;&gt;"",AA73="")</formula>
    </cfRule>
  </conditionalFormatting>
  <conditionalFormatting sqref="AA78:AI78">
    <cfRule type="expression" dxfId="1302" priority="191">
      <formula>AA$27=0</formula>
    </cfRule>
  </conditionalFormatting>
  <conditionalFormatting sqref="AA268:AI268 AM268:AU268 AY268:BG268">
    <cfRule type="expression" dxfId="1301" priority="29">
      <formula>AND(AA268&lt;&gt;"",ISERROR(MATCH(AA268,woningen_gebouwen_namen,0))=TRUE)</formula>
    </cfRule>
  </conditionalFormatting>
  <conditionalFormatting sqref="AA274:AI274 AM274:AU274 AY274:BG274">
    <cfRule type="expression" dxfId="1300" priority="28">
      <formula>AND(AA274&lt;&gt;"",ISERROR(MATCH(AA274,woningen_gebouwen_namen,0))=TRUE)</formula>
    </cfRule>
  </conditionalFormatting>
  <conditionalFormatting sqref="AA281:AI281 AM281:AU281 AY281:BG281">
    <cfRule type="expression" dxfId="1299" priority="37">
      <formula>AND(AA281&lt;&gt;"",ISERROR(MATCH(AA281,woningen_gebouwen_namen,0))=TRUE)</formula>
    </cfRule>
  </conditionalFormatting>
  <conditionalFormatting sqref="AA291:AI291 AM291:AU291 AY291:BG291">
    <cfRule type="expression" dxfId="1298" priority="5">
      <formula>AND(AA291&lt;&gt;"",ISERROR(MATCH(AA291,woningen_gebouwen_namen,0))=TRUE)</formula>
    </cfRule>
  </conditionalFormatting>
  <conditionalFormatting sqref="AA293:AI293 AM293:AU293 AY293:BG293 AA297:AI297 AM297:AU297 AY297:BG297">
    <cfRule type="expression" dxfId="1297" priority="30">
      <formula>AND(AA293&lt;&gt;"",ISERROR(MATCH(AA293,woningen_gebouwen_namen,0))=TRUE)</formula>
    </cfRule>
  </conditionalFormatting>
  <conditionalFormatting sqref="AA305:AI305 AM305:AU305 AY305:BG305 AA312:AI312 AM312:AU312 AY312:BG312 AA314:AI314 AM314:AU314 AY314:BG314 AA316:AI316 AM316:AU316 AY316:BG316">
    <cfRule type="expression" dxfId="1296" priority="35">
      <formula>AND(AA305&lt;&gt;"",ISERROR(MATCH(AA305,woningen_gebouwen_namen,0))=TRUE)</formula>
    </cfRule>
  </conditionalFormatting>
  <conditionalFormatting sqref="AA321:AI321 AM321:AU321 AY321:BG321">
    <cfRule type="expression" dxfId="1295" priority="34">
      <formula>AND(AA321&lt;&gt;"",ISERROR(MATCH(AA321,woningen_gebouwen_namen,0))=TRUE)</formula>
    </cfRule>
  </conditionalFormatting>
  <conditionalFormatting sqref="AA323:AI323 AM323:AU323 AY323:BG323 AA327:AI327 AM327:AU327 AY327:BG327 AA332:AI332 AM332:AU332 AY332:BG332 AA335:AI335 AM335:AU335 AY335:BG335 AA338:AI338 AM338:AU338 AY338:BG338">
    <cfRule type="expression" dxfId="1294" priority="33">
      <formula>AND(AA323&lt;&gt;"",ISERROR(MATCH(AA323,woningen_gebouwen_namen,0))=TRUE)</formula>
    </cfRule>
  </conditionalFormatting>
  <conditionalFormatting sqref="AA328:AI328">
    <cfRule type="expression" dxfId="1293" priority="112">
      <formula>OR(AA$17="",AA$22=0)</formula>
    </cfRule>
  </conditionalFormatting>
  <conditionalFormatting sqref="AA329:AI331 AM329:AU331">
    <cfRule type="expression" dxfId="1292" priority="126">
      <formula>AA$22=0</formula>
    </cfRule>
  </conditionalFormatting>
  <conditionalFormatting sqref="AA337:AI337">
    <cfRule type="expression" dxfId="1291" priority="140">
      <formula>AND(AA337&lt;&gt;"nvt",AA337&lt;=AA336)</formula>
    </cfRule>
    <cfRule type="expression" dxfId="1290" priority="139">
      <formula>AND(AA337&lt;&gt;"nvt",AA337&gt;AA336)</formula>
    </cfRule>
  </conditionalFormatting>
  <conditionalFormatting sqref="AA340:AI340">
    <cfRule type="expression" dxfId="1289" priority="138">
      <formula>AND(AA340&lt;&gt;"nvt",AA340&lt;=AA339)</formula>
    </cfRule>
    <cfRule type="expression" dxfId="1288" priority="137">
      <formula>AND(AA340&lt;&gt;"nvt",AA340&gt;AA339)</formula>
    </cfRule>
  </conditionalFormatting>
  <conditionalFormatting sqref="AA344:AI344 AM344:AU344 AY344:BG344">
    <cfRule type="expression" dxfId="1287" priority="32">
      <formula>AND(AA344&lt;&gt;"",ISERROR(MATCH(AA344,woningen_gebouwen_namen,0))=TRUE)</formula>
    </cfRule>
  </conditionalFormatting>
  <conditionalFormatting sqref="AA345:AI353">
    <cfRule type="expression" dxfId="1286" priority="178">
      <formula>AA$22=0</formula>
    </cfRule>
  </conditionalFormatting>
  <conditionalFormatting sqref="AA354:AI354 AM354:AU354 AY354:BG354 AA358:AI358 AM358:AU358 AY358:BG358">
    <cfRule type="expression" dxfId="1285" priority="31">
      <formula>AND(AA354&lt;&gt;"",ISERROR(MATCH(AA354,woningen_gebouwen_namen,0))=TRUE)</formula>
    </cfRule>
  </conditionalFormatting>
  <conditionalFormatting sqref="AA359:AI360">
    <cfRule type="expression" dxfId="1284" priority="69">
      <formula>AA$22=0</formula>
    </cfRule>
  </conditionalFormatting>
  <conditionalFormatting sqref="AA364:AI364 AM364:AU364 AY364:BG364 O303:W303 AA303:AI303 AM303:AU303 AY303:BG303">
    <cfRule type="expression" dxfId="1283" priority="36">
      <formula>AND(O303&lt;&gt;"",ISERROR(MATCH(O303,woningen_gebouwen_namen,0))=TRUE)</formula>
    </cfRule>
  </conditionalFormatting>
  <conditionalFormatting sqref="AA371:AI371 AA373:AI373">
    <cfRule type="expression" dxfId="1282" priority="68">
      <formula>AND(AA371&lt;&gt;"",ISERROR(MATCH(AA371,woningen_gebouwen_namen,0))=TRUE)</formula>
    </cfRule>
  </conditionalFormatting>
  <conditionalFormatting sqref="AA329:AU330">
    <cfRule type="expression" dxfId="1281" priority="215">
      <formula>AA329&gt;AA324</formula>
    </cfRule>
  </conditionalFormatting>
  <conditionalFormatting sqref="AF263:AF264">
    <cfRule type="expression" dxfId="1280" priority="187">
      <formula>AF$27=0</formula>
    </cfRule>
  </conditionalFormatting>
  <conditionalFormatting sqref="AF251:AK258">
    <cfRule type="expression" dxfId="1279" priority="180">
      <formula>AF$27=0</formula>
    </cfRule>
  </conditionalFormatting>
  <conditionalFormatting sqref="AJ338 AV338">
    <cfRule type="expression" dxfId="1278" priority="132">
      <formula>AJ338&lt;AJ333</formula>
    </cfRule>
  </conditionalFormatting>
  <conditionalFormatting sqref="AK50">
    <cfRule type="expression" dxfId="1277" priority="14">
      <formula>AK$22=0</formula>
    </cfRule>
    <cfRule type="expression" dxfId="1276" priority="15">
      <formula>AND(AK$22&gt;0,AK50&lt;&gt;"ja",AK50&lt;&gt;"nee")</formula>
    </cfRule>
  </conditionalFormatting>
  <conditionalFormatting sqref="AK52">
    <cfRule type="cellIs" dxfId="1275" priority="82" operator="equal">
      <formula>"nee"</formula>
    </cfRule>
  </conditionalFormatting>
  <conditionalFormatting sqref="AK83">
    <cfRule type="cellIs" dxfId="1274" priority="78" operator="equal">
      <formula>"nee"</formula>
    </cfRule>
  </conditionalFormatting>
  <conditionalFormatting sqref="AM123:AO123">
    <cfRule type="expression" dxfId="1273" priority="62">
      <formula>AND(AM$78&gt;0,AM123="")</formula>
    </cfRule>
  </conditionalFormatting>
  <conditionalFormatting sqref="AM125:AO125">
    <cfRule type="expression" dxfId="1272" priority="63">
      <formula>AND(AM$78&gt;0,AM125="")</formula>
    </cfRule>
  </conditionalFormatting>
  <conditionalFormatting sqref="AM154:AO154">
    <cfRule type="expression" dxfId="1271" priority="25">
      <formula>AND(AM$78&gt;0,AM$140&lt;&gt;"geen",AM154="")</formula>
    </cfRule>
  </conditionalFormatting>
  <conditionalFormatting sqref="AM156:AO156">
    <cfRule type="expression" dxfId="1270" priority="24">
      <formula>AND(AM$78&gt;0,AM$140&lt;&gt;"geen",AM156="")</formula>
    </cfRule>
  </conditionalFormatting>
  <conditionalFormatting sqref="AM251:AO251">
    <cfRule type="expression" dxfId="1269" priority="146">
      <formula>AM$27=0</formula>
    </cfRule>
  </conditionalFormatting>
  <conditionalFormatting sqref="AM17:AU17">
    <cfRule type="expression" dxfId="1268" priority="58">
      <formula>AND(AM17&lt;&gt;"",ISERROR(MATCH(AM17,woningen_gebouwen_namen,0))=TRUE)</formula>
    </cfRule>
  </conditionalFormatting>
  <conditionalFormatting sqref="AM20:AU20">
    <cfRule type="expression" dxfId="1267" priority="160">
      <formula>OR(AM$17="",AND(AM$19&lt;&gt;woning,AM$19&lt;&gt;woongebouw))</formula>
    </cfRule>
  </conditionalFormatting>
  <conditionalFormatting sqref="AM21:AU21">
    <cfRule type="expression" dxfId="1266" priority="53">
      <formula>AND(AM21&lt;&gt;"",ISERROR(MATCH(AM21,woningen_gebouwen_namen,0))=TRUE)</formula>
    </cfRule>
  </conditionalFormatting>
  <conditionalFormatting sqref="AM28:AU28">
    <cfRule type="expression" dxfId="1265" priority="54">
      <formula>AND(AM28&lt;&gt;"",ISERROR(MATCH(AM28,woningen_gebouwen_namen,0))=TRUE)</formula>
    </cfRule>
  </conditionalFormatting>
  <conditionalFormatting sqref="AM37:AU37">
    <cfRule type="expression" dxfId="1264" priority="45">
      <formula>AND(AM37&lt;&gt;"",ISERROR(MATCH(AM37,woningen_gebouwen_namen,0))=TRUE)</formula>
    </cfRule>
  </conditionalFormatting>
  <conditionalFormatting sqref="AM38:AU43">
    <cfRule type="expression" dxfId="1263" priority="9">
      <formula>OR(AM$17="",AM$22=0)</formula>
    </cfRule>
  </conditionalFormatting>
  <conditionalFormatting sqref="AM44:AU44 AA44:AI44 O44:W44 AY44:BG44">
    <cfRule type="expression" dxfId="1262" priority="227">
      <formula>OR(O44&lt;0.5,O44&gt;2,AND(O$17&lt;&gt;"",O44=""))</formula>
    </cfRule>
  </conditionalFormatting>
  <conditionalFormatting sqref="AM44:AU49">
    <cfRule type="expression" dxfId="1261" priority="122">
      <formula>OR(AM$17="",AM$22=0)</formula>
    </cfRule>
  </conditionalFormatting>
  <conditionalFormatting sqref="AM48:AU48 AA48:AI48 O48:W48 AY48:BG48">
    <cfRule type="expression" dxfId="1260" priority="233">
      <formula>OR(O48&lt;0,O48&gt;1,AND(O$17&lt;&gt;"",O48=""))</formula>
    </cfRule>
  </conditionalFormatting>
  <conditionalFormatting sqref="AM49:AU49">
    <cfRule type="expression" dxfId="1259" priority="117">
      <formula>IF(AND($AM$36&lt;&gt;"",$AM$49=""),TRUE,FALSE)</formula>
    </cfRule>
  </conditionalFormatting>
  <conditionalFormatting sqref="AM51:AU51">
    <cfRule type="expression" dxfId="1258" priority="47">
      <formula>AND(AM51&lt;&gt;"",ISERROR(MATCH(AM51,woningen_gebouwen_namen,0))=TRUE)</formula>
    </cfRule>
  </conditionalFormatting>
  <conditionalFormatting sqref="AM53:AU53">
    <cfRule type="expression" dxfId="1257" priority="46">
      <formula>AND(AM53&lt;&gt;"",ISERROR(MATCH(AM53,woningen_gebouwen_namen,0))=TRUE)</formula>
    </cfRule>
  </conditionalFormatting>
  <conditionalFormatting sqref="AM60:AU60">
    <cfRule type="expression" dxfId="1256" priority="40">
      <formula>AND(AM60&lt;&gt;"",ISERROR(MATCH(AM60,woningen_gebouwen_namen,0))=TRUE)</formula>
    </cfRule>
  </conditionalFormatting>
  <conditionalFormatting sqref="AM73:AU73">
    <cfRule type="expression" dxfId="1255" priority="151">
      <formula>OR(AM$17="",AM$22=0)</formula>
    </cfRule>
    <cfRule type="expression" dxfId="1254" priority="152">
      <formula>AND(AM$17&lt;&gt;"",AM73="")</formula>
    </cfRule>
  </conditionalFormatting>
  <conditionalFormatting sqref="AM78:AU78 AY78:BG78 O240:T245 AM251:AU258 AW251:AW258 AY251:BD258">
    <cfRule type="expression" dxfId="1253" priority="190">
      <formula>O$27=0</formula>
    </cfRule>
  </conditionalFormatting>
  <conditionalFormatting sqref="AM269:AU270">
    <cfRule type="expression" dxfId="1252" priority="185">
      <formula>AM$22=0</formula>
    </cfRule>
  </conditionalFormatting>
  <conditionalFormatting sqref="AM333:AU334">
    <cfRule type="expression" dxfId="1251" priority="125">
      <formula>AM$22=0</formula>
    </cfRule>
  </conditionalFormatting>
  <conditionalFormatting sqref="AM334:AU334 AY334:BG334 O334:W334 AA334:AI334">
    <cfRule type="expression" dxfId="1250" priority="238">
      <formula>#REF!&lt;O$330</formula>
    </cfRule>
  </conditionalFormatting>
  <conditionalFormatting sqref="AM337:AU337">
    <cfRule type="expression" dxfId="1249" priority="136">
      <formula>AND(AM337&lt;&gt;"nvt",AM337&lt;=AM336)</formula>
    </cfRule>
    <cfRule type="expression" dxfId="1248" priority="135">
      <formula>AND(AM337&lt;&gt;"nvt",AM337&gt;AM336)</formula>
    </cfRule>
  </conditionalFormatting>
  <conditionalFormatting sqref="AM340:AU340">
    <cfRule type="expression" dxfId="1247" priority="134">
      <formula>AND(AM340&lt;&gt;"nvt",AM340&lt;=AM339)</formula>
    </cfRule>
    <cfRule type="expression" dxfId="1246" priority="133">
      <formula>AND(AM340&lt;&gt;"nvt",AM340&gt;AM339)</formula>
    </cfRule>
  </conditionalFormatting>
  <conditionalFormatting sqref="AM345:AU353">
    <cfRule type="expression" dxfId="1245" priority="177">
      <formula>AM$22=0</formula>
    </cfRule>
  </conditionalFormatting>
  <conditionalFormatting sqref="AM371:AU371 AM373:AU373">
    <cfRule type="expression" dxfId="1244" priority="67">
      <formula>AND(AM371&lt;&gt;"",ISERROR(MATCH(AM371,woningen_gebouwen_namen,0))=TRUE)</formula>
    </cfRule>
  </conditionalFormatting>
  <conditionalFormatting sqref="AM373:AU374 O294:W296 AA294:AI296 AM294:AU296 AY294:BG296 O359:W360 AM359:AU360 AY359:BG360">
    <cfRule type="expression" dxfId="1243" priority="72">
      <formula>O$22=0</formula>
    </cfRule>
  </conditionalFormatting>
  <conditionalFormatting sqref="AM374:AU374">
    <cfRule type="expression" dxfId="1242" priority="21">
      <formula>AM$22=0</formula>
    </cfRule>
  </conditionalFormatting>
  <conditionalFormatting sqref="AR263:AR264">
    <cfRule type="expression" dxfId="1241" priority="186">
      <formula>AR$27=0</formula>
    </cfRule>
  </conditionalFormatting>
  <conditionalFormatting sqref="AW50">
    <cfRule type="expression" dxfId="1240" priority="12">
      <formula>AW$22=0</formula>
    </cfRule>
    <cfRule type="expression" dxfId="1239" priority="13">
      <formula>AND(AW$22&gt;0,AW50&lt;&gt;"ja",AW50&lt;&gt;"nee")</formula>
    </cfRule>
  </conditionalFormatting>
  <conditionalFormatting sqref="AW52">
    <cfRule type="cellIs" dxfId="1238" priority="81" operator="equal">
      <formula>"nee"</formula>
    </cfRule>
  </conditionalFormatting>
  <conditionalFormatting sqref="AW83">
    <cfRule type="cellIs" dxfId="1237" priority="77" operator="equal">
      <formula>"nee"</formula>
    </cfRule>
  </conditionalFormatting>
  <conditionalFormatting sqref="AY109:BA109">
    <cfRule type="expression" dxfId="1236" priority="230">
      <formula>AND(AY$78&gt;0,AY109="")</formula>
    </cfRule>
  </conditionalFormatting>
  <conditionalFormatting sqref="AY123:BA123">
    <cfRule type="expression" dxfId="1235" priority="60">
      <formula>AND(AY$78&gt;0,AY123="")</formula>
    </cfRule>
  </conditionalFormatting>
  <conditionalFormatting sqref="AY125:BA125">
    <cfRule type="expression" dxfId="1234" priority="61">
      <formula>AND(AY$78&gt;0,AY125="")</formula>
    </cfRule>
  </conditionalFormatting>
  <conditionalFormatting sqref="AY154:BA154">
    <cfRule type="expression" dxfId="1233" priority="23">
      <formula>AND(AY$78&gt;0,AY$140&lt;&gt;"geen",AY154="")</formula>
    </cfRule>
  </conditionalFormatting>
  <conditionalFormatting sqref="AY156:BA156">
    <cfRule type="expression" dxfId="1232" priority="22">
      <formula>AND(AY$78&gt;0,AY$140&lt;&gt;"geen",AY156="")</formula>
    </cfRule>
  </conditionalFormatting>
  <conditionalFormatting sqref="AY251:BA251">
    <cfRule type="expression" dxfId="1231" priority="145">
      <formula>AY$27=0</formula>
    </cfRule>
  </conditionalFormatting>
  <conditionalFormatting sqref="AY229:BC229">
    <cfRule type="expression" dxfId="1230" priority="194">
      <formula>AY$27=0</formula>
    </cfRule>
  </conditionalFormatting>
  <conditionalFormatting sqref="AY17:BG17">
    <cfRule type="expression" dxfId="1229" priority="57">
      <formula>AND(AY17&lt;&gt;"",ISERROR(MATCH(AY17,woningen_gebouwen_namen,0))=TRUE)</formula>
    </cfRule>
  </conditionalFormatting>
  <conditionalFormatting sqref="AY20:BG20">
    <cfRule type="expression" dxfId="1228" priority="159">
      <formula>OR(AY$17="",AND(AY$19&lt;&gt;woning,AY$19&lt;&gt;woongebouw))</formula>
    </cfRule>
  </conditionalFormatting>
  <conditionalFormatting sqref="AY21:BG21">
    <cfRule type="expression" dxfId="1227" priority="52">
      <formula>AND(AY21&lt;&gt;"",ISERROR(MATCH(AY21,woningen_gebouwen_namen,0))=TRUE)</formula>
    </cfRule>
  </conditionalFormatting>
  <conditionalFormatting sqref="AY28:BG28">
    <cfRule type="expression" dxfId="1226" priority="51">
      <formula>AND(AY28&lt;&gt;"",ISERROR(MATCH(AY28,woningen_gebouwen_namen,0))=TRUE)</formula>
    </cfRule>
  </conditionalFormatting>
  <conditionalFormatting sqref="AY37:BG37">
    <cfRule type="expression" dxfId="1225" priority="44">
      <formula>AND(AY37&lt;&gt;"",ISERROR(MATCH(AY37,woningen_gebouwen_namen,0))=TRUE)</formula>
    </cfRule>
  </conditionalFormatting>
  <conditionalFormatting sqref="AY38:BG43">
    <cfRule type="expression" dxfId="1224" priority="8">
      <formula>OR(AY$17="",AY$22=0)</formula>
    </cfRule>
  </conditionalFormatting>
  <conditionalFormatting sqref="AY49:BG49">
    <cfRule type="expression" dxfId="1223" priority="107">
      <formula>IF(AND($AY$36&lt;&gt;"",$AY$49=""),TRUE,FALSE)</formula>
    </cfRule>
  </conditionalFormatting>
  <conditionalFormatting sqref="AY51:BG51">
    <cfRule type="expression" dxfId="1222" priority="43">
      <formula>AND(AY51&lt;&gt;"",ISERROR(MATCH(AY51,woningen_gebouwen_namen,0))=TRUE)</formula>
    </cfRule>
  </conditionalFormatting>
  <conditionalFormatting sqref="AY53:BG53">
    <cfRule type="expression" dxfId="1221" priority="42">
      <formula>AND(AY53&lt;&gt;"",ISERROR(MATCH(AY53,woningen_gebouwen_namen,0))=TRUE)</formula>
    </cfRule>
  </conditionalFormatting>
  <conditionalFormatting sqref="AY60:BG60">
    <cfRule type="expression" dxfId="1220" priority="39">
      <formula>AND(AY60&lt;&gt;"",ISERROR(MATCH(AY60,woningen_gebouwen_namen,0))=TRUE)</formula>
    </cfRule>
  </conditionalFormatting>
  <conditionalFormatting sqref="AY73:BG73">
    <cfRule type="expression" dxfId="1219" priority="149">
      <formula>OR(AY$17="",AY$22=0)</formula>
    </cfRule>
    <cfRule type="expression" dxfId="1218" priority="150">
      <formula>AND(AY$17&lt;&gt;"",AY73="")</formula>
    </cfRule>
  </conditionalFormatting>
  <conditionalFormatting sqref="AY269:BG270">
    <cfRule type="expression" dxfId="1217" priority="179">
      <formula>AY$22=0</formula>
    </cfRule>
  </conditionalFormatting>
  <conditionalFormatting sqref="AY329:BG330">
    <cfRule type="expression" dxfId="1216" priority="214">
      <formula>AY329&gt;AY324</formula>
    </cfRule>
  </conditionalFormatting>
  <conditionalFormatting sqref="AY329:BG331">
    <cfRule type="expression" dxfId="1215" priority="203">
      <formula>AY$22=0</formula>
    </cfRule>
  </conditionalFormatting>
  <conditionalFormatting sqref="AY333:BG334">
    <cfRule type="expression" dxfId="1214" priority="124">
      <formula>AY$22=0</formula>
    </cfRule>
  </conditionalFormatting>
  <conditionalFormatting sqref="AY336:BG337">
    <cfRule type="expression" dxfId="1213" priority="175">
      <formula>AY$22=0</formula>
    </cfRule>
  </conditionalFormatting>
  <conditionalFormatting sqref="AY337:BG337">
    <cfRule type="expression" dxfId="1212" priority="130">
      <formula>AND(AY337&lt;&gt;"nvt",AY337&gt;AY336)</formula>
    </cfRule>
    <cfRule type="expression" dxfId="1211" priority="131">
      <formula>AND(AY337&lt;&gt;"nvt",AY337&lt;=AY336)</formula>
    </cfRule>
  </conditionalFormatting>
  <conditionalFormatting sqref="AY340:BG340">
    <cfRule type="expression" dxfId="1210" priority="128">
      <formula>AND(AY340&lt;&gt;"nvt",AY340&gt;AY339)</formula>
    </cfRule>
    <cfRule type="expression" dxfId="1209" priority="129">
      <formula>AND(AY340&lt;&gt;"nvt",AY340&lt;=AY339)</formula>
    </cfRule>
  </conditionalFormatting>
  <conditionalFormatting sqref="AY355:BG357">
    <cfRule type="expression" dxfId="1208" priority="181">
      <formula>AY$22=0</formula>
    </cfRule>
  </conditionalFormatting>
  <conditionalFormatting sqref="AY364:BG374">
    <cfRule type="expression" dxfId="1207" priority="4">
      <formula>AY$22=0</formula>
    </cfRule>
  </conditionalFormatting>
  <conditionalFormatting sqref="AY371:BG371 AY373:BG373">
    <cfRule type="expression" dxfId="1206" priority="66">
      <formula>AND(AY371&lt;&gt;"",ISERROR(MATCH(AY371,woningen_gebouwen_namen,0))=TRUE)</formula>
    </cfRule>
  </conditionalFormatting>
  <conditionalFormatting sqref="BD180:BD181">
    <cfRule type="expression" dxfId="1205" priority="172">
      <formula>BD$27=0</formula>
    </cfRule>
  </conditionalFormatting>
  <conditionalFormatting sqref="BD263:BD264">
    <cfRule type="expression" dxfId="1204" priority="182">
      <formula>BD$27=0</formula>
    </cfRule>
  </conditionalFormatting>
  <conditionalFormatting sqref="BD331">
    <cfRule type="expression" dxfId="1203" priority="183">
      <formula>BD331&lt;BD326</formula>
    </cfRule>
  </conditionalFormatting>
  <conditionalFormatting sqref="BH229 BH233">
    <cfRule type="expression" dxfId="1202" priority="249">
      <formula>AND(BH229&lt;&gt;"-",BH229&gt;#REF!)</formula>
    </cfRule>
  </conditionalFormatting>
  <conditionalFormatting sqref="BH230 BH234">
    <cfRule type="expression" dxfId="1201" priority="248">
      <formula>AND(BH230&lt;&gt;"-",BH230&gt;BH232)</formula>
    </cfRule>
  </conditionalFormatting>
  <conditionalFormatting sqref="BH231 BH235">
    <cfRule type="expression" dxfId="1200" priority="218">
      <formula>AND(BH231&lt;&gt;"-",BH231&gt;BH232)</formula>
    </cfRule>
  </conditionalFormatting>
  <conditionalFormatting sqref="BH269">
    <cfRule type="expression" dxfId="1199" priority="228">
      <formula>AND(BH269&lt;&gt;"-",BH269&gt;#REF!)</formula>
    </cfRule>
  </conditionalFormatting>
  <dataValidations count="111">
    <dataValidation showInputMessage="1" showErrorMessage="1" sqref="G328" xr:uid="{97E396AC-EB6D-4EA9-ADB9-BA14534043BE}"/>
    <dataValidation allowBlank="1" showInputMessage="1" showErrorMessage="1" promptTitle="Batterij aanwezig?" prompt="Per locatie moet worden aangegeven of er een batterij aanwezig is voor de opslag van door PV opgewekte zonnestroom. Let op: voor de batterijcapaciteit is een ondergrens van minimaal 5kWh van toepassing om meegerekend te kunnen worden in de UMGO." sqref="D50" xr:uid="{578C5725-811E-41C7-83BB-7C35BBC94828}"/>
    <dataValidation allowBlank="1" showInputMessage="1" showErrorMessage="1" promptTitle="vermeden fossiel zonder batterij" prompt="De bijdrage van de batterij wordt verrekend bij het primaire fossiele energiegebruik." sqref="D214" xr:uid="{4B0A5C42-3A15-4539-80AE-37560EE16A81}"/>
    <dataValidation type="decimal" allowBlank="1" showInputMessage="1" showErrorMessage="1" errorTitle="Bereik 50%-200%" error="De ingevoerde waarde valt buiten het bereik." sqref="O44:W44 AA44:AI44 AM44:AU44 AY44:BG44" xr:uid="{A3A86845-6E43-43E1-86E9-75B70EC194C2}">
      <formula1>0.5</formula1>
      <formula2>2</formula2>
    </dataValidation>
    <dataValidation allowBlank="1" showInputMessage="1" showErrorMessage="1" promptTitle="Primair fossiel energiegebruik" prompt="Het primair fossiel energiegebruik in kWh_prim/m2.jaar per woningtype/gebouw, per energiepost en voor het totaal._x000a__x000a_Alleen het gebouwgebonden deel van de primaire fossiele energiegebruiken wordt meegenomen voor BENG 2." sqref="D280" xr:uid="{063D77C4-9CCE-4E37-9DF5-C36D94FDFC0A}"/>
    <dataValidation allowBlank="1" showInputMessage="1" showErrorMessage="1" promptTitle="geëxporteerde elektriciteit" prompt="geproducreede elektriciteit MIN geproduceerde elektriciteit die gebruikt wordt ter dekking van het gebruik op eigen perceel_x000a__x000a_Volgens formule 5.26 in paragraaf 5.5.4 uit NTA 8800 2026." sqref="D202" xr:uid="{2F9E96CE-928C-4C67-B69B-385DECBFD9D1}"/>
    <dataValidation allowBlank="1" showInputMessage="1" showErrorMessage="1" promptTitle="correctiepost waardering opslag" prompt="Correctiepost voor de (beleidsmatige) waardering van opslagsystemen voor hernieuwbare elektriciteit in kWh._x000a__x000a_Deze wordt zonder primaire energiefactor meegenomen in het primair energiegbruik._x000a__x000a_Volgens formule 5.14a in paragraaf 5.5.2 uit NTA 8800 2026." sqref="D201" xr:uid="{140208E0-16B5-4089-B294-A2F4C9E8C4CC}"/>
    <dataValidation type="list" allowBlank="1" showInputMessage="1" showErrorMessage="1" promptTitle="Energiepakket / energiebehoefte" sqref="M50 Y50 AK50 AW50" xr:uid="{1EC66AE3-A034-4638-AEF5-FA507570D3CC}">
      <formula1>"ja,nee"</formula1>
    </dataValidation>
    <dataValidation allowBlank="1" showInputMessage="1" showErrorMessage="1" promptTitle="direct gebruik elektriciteit PV" prompt="Volgens formule AB.65 in paragraaf AB.2.3.2. uit NTA 8800 2026." sqref="D205" xr:uid="{149B7DD8-68EE-43C6-8D3D-9605DF962B60}"/>
    <dataValidation allowBlank="1" showInputMessage="1" showErrorMessage="1" promptTitle="direct gebruik elektriciteit wkk" prompt="Volgens formule AB.66 in paragraaf AB.2.3.2. uit NTA 8800 2026." sqref="D208" xr:uid="{E784B49D-D579-4E23-ADB8-9FC76885AB53}"/>
    <dataValidation allowBlank="1" showInputMessage="1" showErrorMessage="1" promptTitle="Primair energiegebruik" prompt="De Uniforme Maatlat rekent op onderwaarde. De EPG rekent echter op bovenwaarde. De berekende primaire energiebruiken in de EPG zijn daarom hoger." sqref="D174" xr:uid="{3AAA4870-714A-4EE6-8CEC-CDBBD0F2FA8C}"/>
    <dataValidation type="decimal" allowBlank="1" showInputMessage="1" showErrorMessage="1" sqref="O153:P153 AA153:AB153 AM153:AN153 AY153:AZ153" xr:uid="{5DBB15CB-A6C9-48C1-82BB-6220153370B0}">
      <formula1>0</formula1>
      <formula2>2</formula2>
    </dataValidation>
    <dataValidation type="list" allowBlank="1" showInputMessage="1" showErrorMessage="1" sqref="F6" xr:uid="{FEA1E161-1755-4D8D-A994-275AF1D56F42}">
      <formula1>rekenmethode_EP_MWA</formula1>
    </dataValidation>
    <dataValidation type="list" allowBlank="1" showInputMessage="1" showErrorMessage="1" sqref="AA42:AI42 AM42:AU42 AY42:BG42 O42:W42" xr:uid="{41E8F7E2-E37A-43AB-87CB-A02F1D1CD166}">
      <formula1>DWTW_namen</formula1>
    </dataValidation>
    <dataValidation type="list" showInputMessage="1" showErrorMessage="1" sqref="G61 G63" xr:uid="{F1C76509-7213-4EBD-9EC7-7BA89DDBE2EE}">
      <formula1>beschikbare_fitformules_NTA8800</formula1>
    </dataValidation>
    <dataValidation allowBlank="1" showInputMessage="1" showErrorMessage="1" promptTitle="Specifieke interne warmtecapacit" prompt="450 kJ/m2K is een waarde die hoort bij zware gebouwen (steen, beton)_x000a__x000a_055 kJ/m2K hoort bij lichte gebouwen (hout-, staalskeletbouw) met gesloten plafonds." sqref="D49" xr:uid="{B486634A-0D2C-44E6-BCA6-18C520E557E1}"/>
    <dataValidation type="list" allowBlank="1" showInputMessage="1" showErrorMessage="1" sqref="AA49:AI49 AY49:BG49 O49:W49 AM49:AU49" xr:uid="{58C11D81-2541-4121-A4C8-C8DDA511B047}">
      <formula1>specifieke_interne_warmtecapaciteit</formula1>
    </dataValidation>
    <dataValidation allowBlank="1" showInputMessage="1" showErrorMessage="1" promptTitle="Renocatiestandaard utiliteit" prompt="De renovatiestandaard is een vrijwillige richtlijn voor de energieprestatie van utiliteitsgebouwen. Na 2030 wordt er een verplichte eindnorm bepaald waaraan de energieprestaties van alle gebouwen moeten voldoen in 2050." sqref="D334" xr:uid="{5DA03C52-34FC-4956-B652-86F005F5805B}"/>
    <dataValidation allowBlank="1" showInputMessage="1" showErrorMessage="1" promptTitle="Energiepakket / energiebehoefte" sqref="O38:W38 Y38:AI38 AY38:BG38 AW38 AK38 AM38:AU38" xr:uid="{E965FF91-83F0-439C-A578-E2660149754E}"/>
    <dataValidation type="list" allowBlank="1" showInputMessage="1" showErrorMessage="1" promptTitle="Energiepakket / energiebehoefte" sqref="AY39:BG39 AA39:AI39 AM39:AU39 O39:W39" xr:uid="{82214FAF-6D29-4E34-AFD7-5BFD617642BB}">
      <formula1>isolatiepakketten_gebouwschil_namen</formula1>
    </dataValidation>
    <dataValidation allowBlank="1" showInputMessage="1" showErrorMessage="1" promptTitle="Correctie warmtebehoefte RV" prompt="In slecht geïsoleerde gebouwen berekent NTA8800 gemiddeld té hoge energiegebruiken voor ruimteverwarming._x000a_De correctie corrigeert de NTA berekening op basis van de gemiddelde U-waarde._x000a__x000a_&gt;&gt; energieprestatie-indicatoren zijn alleen geldig ZONDER correctie." sqref="D6" xr:uid="{6D170102-87E4-4596-91FB-BF11BCF94170}"/>
    <dataValidation type="whole" allowBlank="1" showInputMessage="1" showErrorMessage="1" errorTitle="Invoer valt buiten bereik" error="De ingevoerde waarde valt buiten het bereik." sqref="AY56:BG56 O56:W56 AA56:AI56 AM56:AU56" xr:uid="{72E76844-A09D-48C5-BDC1-682EC624498E}">
      <formula1>0</formula1>
      <formula2>1000</formula2>
    </dataValidation>
    <dataValidation allowBlank="1" showInputMessage="1" showErrorMessage="1" promptTitle="Indicatie warmtebehoefte RV" prompt="Indicatie warmtebehoefte ruimteverwarming (RV) NTA8800 cf. energieprestatie (EP) of cf. maatwerkadvies (MWA). Berekend met benaderingsformules op basis van bouwmassa, ventilatiesysteem, gebruiksfunctie, Ugemiddeld en de vormfactor." sqref="D55" xr:uid="{391C29B7-2EF6-4EA7-9401-AD5EF5CCF60D}"/>
    <dataValidation allowBlank="1" showInputMessage="1" showErrorMessage="1" promptTitle="Standaardwaarde" prompt="Deze standaard geeft aan wanneer een woning goed genoeg is geïsoleerd om aardgasvrij te worden. Hij is ontstaan uit het Klimaatakkoord._x000a_" sqref="D335" xr:uid="{DDC16410-AC06-4A92-98D2-72F46130BD06}"/>
    <dataValidation allowBlank="1" showInputMessage="1" showErrorMessage="1" promptTitle="CO2 emissiecoëfficiënt" prompt="CO2 emissiecoëfficiënt energiedrager._x000a__x000a_Bij collectieve WKK met/zonder derving, geothermie, etc wordt de CO2 emissiecoëfficiënt uitgerekend cf. NEN7125_2017 paragraaf 7.3.4.5/6/9._x000a__x000a_Bij een EMG-verklaring wordt de waarde voor K_CO2 del overgenomen." sqref="D128" xr:uid="{35FB6B4D-00FE-40B2-8800-8470E7C80DB9}"/>
    <dataValidation allowBlank="1" showInputMessage="1" showErrorMessage="1" promptTitle="Elektriciteitsderving bij WKK" prompt="Bij WKK's waarbij de elektriciteitsproductie afneemt bij onttrekking van warmte, wordt de primaire energiefactor uitgerekend met de verhouding tussen elektriciteitsderving en thermische omzettingsgetal (Δε;chp;el / ε;chp;th)._x000a__x000a_NEN7125_2017 par 7.3.4.6" sqref="D113" xr:uid="{9720E894-6EC4-4DA2-99F4-07F2D75A7D45}"/>
    <dataValidation allowBlank="1" showInputMessage="1" showErrorMessage="1" promptTitle="Primaire energiefactor" prompt="Primaire energiefactor energiedrager._x000a__x000a_Bij collectieve WKK met/zonder derving, geothermie, etc wordt de primaire energiefactor uitgerekend cf. NEN7125_2017 paragraaf 7.3.4.5/6/9._x000a__x000a_Bij een EMG-verklaring wordt de waarde voor fPdel overgenomen." sqref="D118" xr:uid="{FDD32AD7-4D93-4B41-9A73-442DB926241C}"/>
    <dataValidation type="textLength" allowBlank="1" showInputMessage="1" showErrorMessage="1" errorTitle="Maximaal 65 karakters" error="Maximaal 65 karakters." sqref="F4" xr:uid="{51632A99-FFB7-4EDF-A410-F93B85988B4B}">
      <formula1>0</formula1>
      <formula2>65</formula2>
    </dataValidation>
    <dataValidation type="textLength" errorStyle="warning" allowBlank="1" showInputMessage="1" showErrorMessage="1" errorTitle="Maximaal 30 karakters" error="Maximaal 30 karakters" sqref="H3" xr:uid="{C7F9884F-CEF5-44B8-8351-98A90542175F}">
      <formula1>0</formula1>
      <formula2>40</formula2>
    </dataValidation>
    <dataValidation type="textLength" errorStyle="warning" allowBlank="1" showInputMessage="1" showErrorMessage="1" errorTitle="Maximaal 30 karakters" error="Maximaal 30 karakters" sqref="E3 F4" xr:uid="{8939F86B-7062-465A-86AF-B58703C8DBBD}">
      <formula1>0</formula1>
      <formula2>30</formula2>
    </dataValidation>
    <dataValidation allowBlank="1" showInputMessage="1" showErrorMessage="1" promptTitle="Elektriciteit 'overig'" prompt="Elektriciteit 'overig' is het elektriciteitsgebruik voor hulpenergie installaties, verlichting, ventilatoren, apparatuur, mobiliteit, elektrisch koken, etcetera." sqref="D169" xr:uid="{A2580F5E-D7F7-4DED-A1A1-156C7271F19F}"/>
    <dataValidation allowBlank="1" showInputMessage="1" showErrorMessage="1" promptTitle="Indicatie geïnstalleerd vermogen" prompt="Forfaitaire, conservatieve, waarden in NTA8800, par. 14.3, in W/m2:_x000a_- winkels: 30_x000a_- gezondheid met bed, logies, cellen: 17_x000a_- overige functies: 16_x000a__x000a_Gebruikelijk is 30% lager._x000a_Energiezuinig 50%-60% lager." sqref="D45" xr:uid="{A59E5900-D070-4E11-BA58-B695F5D5979C}"/>
    <dataValidation allowBlank="1" showInputMessage="1" showErrorMessage="1" promptTitle="Bijdrage zonthermisch MWh" prompt="Bijdrage zonthermisch = %bijdrage zonthermisch * (energiebehoefte + intern distributieverlies)_x000a__x000a_Het % bijdrage zonthermisch is verschillend voor RV en TAP en staat in de bibliotheek." sqref="D91" xr:uid="{B8A28FE5-EE18-4940-8DB9-972C276BC066}"/>
    <dataValidation allowBlank="1" showInputMessage="1" showErrorMessage="1" promptTitle="Aandeel hernieuwbare energie" prompt="Let op: Groen = voldoet aan eis BENG3_x000a__x000a_Aandeel hernieuwbare energie._x000a__x000a_RERPrenTOT = EPrenTot / (EPTot + EPrenTot) * 100%_x000a__x000a_Cf. NTA8800 par. 5.3.1.3, formule 5.3" sqref="D331" xr:uid="{91F360D2-5F2A-4650-8B93-7E0AF7ECC8C1}"/>
    <dataValidation type="list" allowBlank="1" showInputMessage="1" showErrorMessage="1" sqref="O47:W47 AA47:AI47 AY47:BG47 AM47:AU47" xr:uid="{B9EF14B6-AD7A-498B-9386-15628322125C}">
      <formula1>"elektriciteit,aardgas"</formula1>
    </dataValidation>
    <dataValidation allowBlank="1" showInputMessage="1" showErrorMessage="1" promptTitle="Kookgas" prompt="Gasverbruik voor kookgas." sqref="D68" xr:uid="{9E51311C-9A1B-4B0C-8756-DFB2A6FD3CBF}"/>
    <dataValidation allowBlank="1" showInputMessage="1" showErrorMessage="1" promptTitle="Hernieuwbare 'primaire' energie" prompt="De totale hernieuwbare 'primaire' energie voor GEBOUWGEBONDEN energiegebruik is berekend cf. NTA8800._x000a__x000a_NTA8800 par. 5.6." sqref="D302" xr:uid="{7B197E50-B4E4-4946-A211-D5863E08FE22}"/>
    <dataValidation allowBlank="1" showInputMessage="1" showErrorMessage="1" promptTitle="Energieprestatie indicatoren" prompt="De energieprestatie indicatoren gaan alleen over GEBOUWGEBONDEN energiegebruik en zijn bepaald cf. paragraaf 5.3.1 van NTA 8800._x000a__x000a_" sqref="D320" xr:uid="{5E8B8C16-DAF8-41C0-8FA4-A9F9EA3D7270}"/>
    <dataValidation allowBlank="1" showInputMessage="1" showErrorMessage="1" promptTitle="Energielabel" prompt="Het energielabel wordt bepaald op basis van het gebouwgebonden primair energiegebruik in kWh/m2._x000a__x000a_Zie 'Regeling energieprestatie gebouwen', https://wetten.overheid.nl/BWBR0020921/2021-07-01" sqref="D333" xr:uid="{1843BC36-913D-4949-8E7C-DB111459DC88}"/>
    <dataValidation allowBlank="1" showInputMessage="1" showErrorMessage="1" promptTitle="Besparing warmtevraag TAP (MWA)" prompt="Reductie (of toename) van de warmtevraag voor warmtapwater t.o.v. van de berekende warmtevraag cf. NTA 8800._x000a__x000a_Te denken valt aan waterbesparende kranen, lagere bezetting, bewust energiezuinig gedrag, et cetera." sqref="D44" xr:uid="{AADF109B-EAD5-4F25-A33B-51880DEE515F}"/>
    <dataValidation allowBlank="1" showInputMessage="1" showErrorMessage="1" promptTitle="Woningen|utiliteitsgebouwen" prompt="De tabel geeft een terugkoppeling van de ingevoerde woningen en utileitsgebouwen in" sqref="D16" xr:uid="{3E53609D-12FB-486B-9238-5B8A19804916}"/>
    <dataValidation allowBlank="1" showInputMessage="1" showErrorMessage="1" promptTitle="Resultaten" prompt="De tabel geeft een samenvatting van het primair energiegebruik, de CO2 emissie en het gasverbruik van de locatie(s) als gevolg van energetische keuzes in deze variant." sqref="D10" xr:uid="{41543745-9E56-4777-8FCE-798AA01D3932}"/>
    <dataValidation allowBlank="1" showInputMessage="1" showErrorMessage="1" promptTitle="Niet preferent toestel" prompt="Kenmerken wijzigen van het niet preferente toestel (niet preferent toestel bepaald door type installatie)._x000a_De kenmerken bepalen de te leveren warmte|koude door het niet preferente toestel, het finaal/primair energiegebruik en de CO2 emissie." sqref="D138" xr:uid="{5352447F-3A56-4164-8549-17706D083D09}"/>
    <dataValidation allowBlank="1" showInputMessage="1" showErrorMessage="1" promptTitle="Preferent toestel" prompt="Hier kunnen de kenmerken van het al eerder gekozen preferente toestel worden gewijzigd._x000a_De kenmerken bepalen welk deel van de te leveren warmte|koude door het preferente toestel geleverd wordt en hoeveel primair energiegebruik en CO2 emissie dat kost." sqref="D102" xr:uid="{F1D042A9-0062-45AB-940B-989BBB3BA42B}"/>
    <dataValidation allowBlank="1" showInputMessage="1" showErrorMessage="1" promptTitle="Te leveren warmte en koude" prompt="Aan het distributiesysteem te leveren warmte|koude wordt berekend op basis van de warmte- en koudevraag van woningen en utiliteitsgebouwen (energiebehoefte per energiepost), de verliezen door warmte-/koudedistributie en gebruik van thermische zonnewarmte." sqref="D96" xr:uid="{1AB77112-F15D-42F8-8D4D-3F3302FCA104}"/>
    <dataValidation allowBlank="1" showInputMessage="1" showErrorMessage="1" promptTitle="Keuze preferent toestel" prompt="De keuze van het preferente toestel bepaalt welke forfaitaire waarden voor warmtedistributie, energiedragers en rendementen uit de bibliotheek worden opgehaald." sqref="D82" xr:uid="{38E723C7-5EEE-4B9D-AC9E-0D44D1613F64}"/>
    <dataValidation allowBlank="1" showInputMessage="1" showErrorMessage="1" promptTitle="Installatie" prompt="De installatie voor verwarming, koeling en warmtapwater wordt vastgelegd door keuze voor het type preferent toestel, de warmteverliezen door interen en externe warmtedistributie en gebruik van thermische zonne-energie." sqref="D81" xr:uid="{1B8681DF-D6CD-4767-A188-E9CD42C78D16}"/>
    <dataValidation allowBlank="1" showInputMessage="1" showErrorMessage="1" promptTitle="Thermische zonne-energie" prompt="Het thermisch zonne-energiesysteem levert een % van de warmtevraag inclusief intern distributieverlies._x000a__x000a_In de UMGO worden de volgende forfaitaire waarden aangehouden:_x000a_- ruimteverwarming: 15%;_x000a_- warmtapwater: 50%." sqref="D89" xr:uid="{2ACA4A12-50D4-45B9-8041-0A8CEE754BC6}"/>
    <dataValidation allowBlank="1" showInputMessage="1" showErrorMessage="1" promptTitle="Energie niet voor verwarmen/koel" prompt="Elektra en gas NIET voor verwarmen/koelen._x000a_- gebouwgebonden (hulpenergie_x000a_   toestellen, verlichting,_x000a_   ventilatoren);_x000a_- niet gebouwgebonden (apparatuur_x000a_   (tv, computer, elektrisch koken,_x000a_   klusapparatuur, etc), mobiliteit);_x000a_-  kookgas" sqref="D164" xr:uid="{363C6DE4-4633-4B66-B5F1-A835A826988B}"/>
    <dataValidation type="decimal" allowBlank="1" showInputMessage="1" showErrorMessage="1" errorTitle="Bereik 0,0-0,5" error="De ingevoerde waarde valt buiten het bereik." sqref="O135:Q135 AA135:AC135 AY135:BA135 AM135:AO135" xr:uid="{3A4E3A97-A255-4740-8DDE-C9D4408FD8DF}">
      <formula1>0</formula1>
      <formula2>0.5</formula2>
    </dataValidation>
    <dataValidation type="decimal" allowBlank="1" showInputMessage="1" showErrorMessage="1" errorTitle="Bereik 0,0-1,0" error="De ingevoerde waarde valt buiten het bereik." sqref="AY167:BA167 AA129:AC129 AY129:BA129 O160:Q160 AA160:AC160 AY160:BA160 O167:Q167 AA167:AC167 P129:Q129 AM167:AO167 AM160:AO160 AM129:AO129" xr:uid="{17A5F0AE-FD54-4DC5-8831-8A4D4A1C960F}">
      <formula1>0</formula1>
      <formula2>1</formula2>
    </dataValidation>
    <dataValidation type="decimal" allowBlank="1" showInputMessage="1" showErrorMessage="1" errorTitle="Bereik 0,0-2,0" error="De ingevoerde waarde valt buiten het bereik." sqref="O119:Q119 AA119:AC119 AY119:BA119 O150:Q150 AA150:AC150 AY150:BA150 O129 AM150:AO150 AM119:AO119 O125:Q125 O123:Q123 O156:Q156 O154:Q154 AA125:AC125 AA123:AC123 AM125:AO125 AM123:AO123 AY125:BA125 AY123:BA123 AA156:AC156 AA154:AC154 AM156:AO156 AM154:AO154 AY156:BA156 AY154:BA154" xr:uid="{02486EEC-CAA2-4F6C-879A-7C63B6878AC9}">
      <formula1>0</formula1>
      <formula2>2</formula2>
    </dataValidation>
    <dataValidation type="decimal" allowBlank="1" showInputMessage="1" showErrorMessage="1" errorTitle="Bereik 0,10-1,00" error="De ingevoerde waarde valt buiten het bereik." sqref="O87 Q87 AA87 AC87 AY87 BA87 AM87 AO87" xr:uid="{51E6350C-C72D-4E96-9E98-E4789F196FD8}">
      <formula1>0.1</formula1>
      <formula2>1</formula2>
    </dataValidation>
    <dataValidation type="decimal" operator="greaterThanOrEqual" allowBlank="1" showInputMessage="1" showErrorMessage="1" errorTitle="Bereik ≥0" error="De ingevoerde waarde valt buiten het bereik." promptTitle="Energiepakket / energiebehoefte" sqref="O73:W73 AM73:AU73 AY73:BG73 AA73:AI73" xr:uid="{A06A78BD-EED5-47AE-B745-15D22F3C5D19}">
      <formula1>0</formula1>
    </dataValidation>
    <dataValidation type="decimal" operator="greaterThanOrEqual" allowBlank="1" showInputMessage="1" showErrorMessage="1" errorTitle="Bereik ≥0" error="De ingevoerde waarde valt buiten het bereik." sqref="BA94 O71:W71 AA71:AI71 O94 Q94 AA94 AC94 AM94 AO94 AY94 AY71:BG71 AM71:AU71" xr:uid="{2B058CD5-2532-4083-9D55-C08CE0495AB7}">
      <formula1>0</formula1>
    </dataValidation>
    <dataValidation type="decimal" allowBlank="1" showInputMessage="1" showErrorMessage="1" errorTitle="Bereik 0-30" error="De ingevoerde waarde valt buiten het bereik." sqref="O45:W45 AA45:AI45 AY45:BG45 AM45:AU45 O50:W50 AA50:AI50 AM50:AU50 AY50:BG50" xr:uid="{73C1CAC0-96B3-475C-AF1B-E9065114D854}">
      <formula1>0</formula1>
      <formula2>30</formula2>
    </dataValidation>
    <dataValidation type="decimal" operator="greaterThanOrEqual" allowBlank="1" showInputMessage="1" showErrorMessage="1" errorTitle="Bereik ≥0" error="De ingevulde waarde valt buiten het bereik." sqref="O23:W23 AA23:AI23 AY23:BG23 AM23:AU23" xr:uid="{FD26CC65-61D3-429E-8E97-227144653276}">
      <formula1>0</formula1>
    </dataValidation>
    <dataValidation type="decimal" allowBlank="1" showInputMessage="1" showErrorMessage="1" errorTitle="Bereik 0%-100%" error="De ingevoerde waarde valt buiten het bereik." sqref="AA48:AI48 O48:W48 AM48:AU48 AY48:BG48" xr:uid="{75EC54CC-9F13-49C9-8606-25B2F3ED49A8}">
      <formula1>0</formula1>
      <formula2>1</formula2>
    </dataValidation>
    <dataValidation type="decimal" allowBlank="1" showInputMessage="1" showErrorMessage="1" errorTitle="Bereik 0,1-15,0" error="De ingevoerde waarde valt buiten het bereik." sqref="AA112:AC112 AY112:BA112 AY146:BA146 O146:Q146 AA146:AC146 O112:Q112 AM146:AO146 AM112:AO112" xr:uid="{322D48A4-C9D6-418C-9CAB-FCBFD850D2DC}">
      <formula1>0.1</formula1>
      <formula2>15</formula2>
    </dataValidation>
    <dataValidation type="decimal" allowBlank="1" showInputMessage="1" showErrorMessage="1" errorTitle="Bereik 0%-100%" error="De ingevoerde waarde is buiten het bereik." sqref="AY109:BA109 AA109:AC109 O109:Q109 AM109:AO109" xr:uid="{8D69311E-8C0E-4F76-894D-4032C6FEFE64}">
      <formula1>0</formula1>
      <formula2>1</formula2>
    </dataValidation>
    <dataValidation allowBlank="1" showInputMessage="1" showErrorMessage="1" promptTitle="Hernieuwbaar ext. warmte/koude" prompt="Ingezette hernieuwbare energie door externe warmte-/koudelevering._x000a__x000a_EPren;gen;out = Q[HCW];gen;out * fPren;d[hcw]X_x000a__x000a_X staat voor 'kwal' (kwalteitsverklaring) of 'forf' (forfaitair)._x000a__x000a_Cf. NTA8800 par. 5.6.2." sqref="D254" xr:uid="{9A3488A4-A0D3-4E3E-9CE1-43979412737A}"/>
    <dataValidation allowBlank="1" showInputMessage="1" showErrorMessage="1" promptTitle="primaire energie indicator" prompt="Let op: groen = voldoet aan eis BENG 2._x000a__x000a_Het totale gebouwgebonden primaire (vermeden) energiegebruik (voor woningen ZONDER verlichting) in kWh/m2._x000a__x000a_NTA8800, par. 5.3.1.2_x000a__x000a_" sqref="D330" xr:uid="{05DBDBDE-FD23-4449-A222-B18634E1F476}"/>
    <dataValidation allowBlank="1" showInputMessage="1" showErrorMessage="1" promptTitle="energiebehoefte-indicator" prompt="Let op: groen = voldoet aan eis BENG 1_x000a__x000a_Warmtebehoefte ruimteverwarming + koudebehoefte voor koeling, berekend met ventilatiesysteem C1, in kWh/m2._x000a__x000a_NTA8800, par. 5.3.1.1_x000a__x000a_" sqref="D329" xr:uid="{72CB3B45-A5BF-4706-9F45-B656E9D7588A}"/>
    <dataValidation allowBlank="1" showInputMessage="1" showErrorMessage="1" promptTitle="Energieprestaties" prompt="De berekende energieprestatie (bestaande bouw EN nieuwbouw) is afgezet tegen de BENG eisen voor NIEUWBOUW._x000a__x000a_GROEN: berekende waarde voldoet WEL aan de eis_x000a_ROOD: berekende waarde voldoet NIET aan de eis_x000a__x000a_" sqref="D327" xr:uid="{01EEEB01-8E62-4D84-A2A9-2C4096870109}"/>
    <dataValidation allowBlank="1" showInputMessage="1" showErrorMessage="1" promptTitle="BENG eisen 2021" prompt="De BENG eisen zijn overgenomen van:_x000a__x000a_https://zoek.officielebekendmakingen.nl/stb-2019-501.html_x000a__x000a_" sqref="D323" xr:uid="{603CA125-C2BA-4423-B9D8-8333FFC69C12}"/>
    <dataValidation allowBlank="1" showInputMessage="1" showErrorMessage="1" promptTitle="Energiegebruik per energiepost" prompt="Per deellocatie is de energiebehoefte van alle woningen en gebouwen per energiepost gesommeerd." sqref="D78" xr:uid="{93632486-9E24-4C19-BBF3-008DB90232CF}"/>
    <dataValidation allowBlank="1" showInputMessage="1" showErrorMessage="1" promptTitle="Besparing elektr. apparatuur" prompt="Reductie van het niet gebouwgebonden elektriciteitsgebruik zoals dat in de onderstaande tabel is berekend._x000a__x000a_Een reductie van 100% betekent dat in de UMGO het niet gebouwgebonden elektriciteitsgebruik niet in de berekening wordt meegenomen." sqref="D48" xr:uid="{67620E80-3013-4ECA-B4A3-5CDC7B05FA67}"/>
    <dataValidation allowBlank="1" showInputMessage="1" showErrorMessage="1" promptTitle="Elektriciteitsgebruik overig" prompt="Het elektriciteitsgebruik binnen het gebouw, niet gerelateerd aan gebouwinstallaties (computers, printers, elektrisch koken, klusapparatuur et cetera)._x000a__x000a_Voor woningen zijn CBS cijfers gebruikt. Voor utiliteitsgebouwen tabel 7.3 uit NTA8800." sqref="D69" xr:uid="{BE19BF82-2E0B-436B-BAE9-C3E0C8734A53}"/>
    <dataValidation allowBlank="1" showInputMessage="1" showErrorMessage="1" promptTitle="Elektriciteitsvraag ventilatoren" prompt="De elektriciteitsvraag voor ventilatoren is afgeleid met gebouwen uit de energielabeldatabase (UT) en Voorbeeldgebouwen 2020. Na (her)berekenen met NTA8800 wordt de elektricitetsvraag berekend obv:_x000a_- ventilatiesysteem_x000a_- wissel-gelijkstroom/installatiejaar" sqref="D67" xr:uid="{C3374005-0E45-4526-80BD-FAFAEB42A8C6}"/>
    <dataValidation allowBlank="1" showInputMessage="1" showErrorMessage="1" promptTitle="Elektriciteitsvraag verlichting" prompt="De elektriciteitsvraag voor verlichting is afgeleid met gebouwen uit de energielabeldatabase (UT) en Voorbeeldgebouwen 2020. Na (her)berekenen met NTA8800 wordt de elektricitetsvraag berekend obv:_x000a_- geïnstalleerd vermogen in W/m2_x000a_- verlichtingsregeling" sqref="D66" xr:uid="{B9E5DE9C-8D86-4648-9C44-37387684EC4D}"/>
    <dataValidation allowBlank="1" showInputMessage="1" showErrorMessage="1" promptTitle="Koudebehoefte koeling" prompt="De koudebehoefte voor koeling is afgeleid met data van gebouwen uit de energielabeldatabase (UT) en Voorbeeldgebouwen 2020. Na (her)berekenen met NTA8800 is een verband afgeleid tussen koudebehoefte en:_x000a_- Als/Ag_x000a_- U gem_x000a_- vent.sys." sqref="D64" xr:uid="{A9278C39-932C-4707-8912-C365EA1D58C2}"/>
    <dataValidation allowBlank="1" showInputMessage="1" showErrorMessage="1" promptTitle="Warmtebehoefte ruimteverwarming" prompt="De warmtebehoefte voor verwarming is afgeleid met data van gebouwen uit de energielabeldatabase (UT) en Voorbeeldgebouwen 2020. Na (her)berekenen met NTA8800 is een verband afgeleid tussen warmtebehoefte en:_x000a_- Als/Ag_x000a_- U gem_x000a_- vent.sys." sqref="D62" xr:uid="{9F081CA1-9CF6-47C6-9B89-78950DFCAC6A}"/>
    <dataValidation allowBlank="1" showInputMessage="1" showErrorMessage="1" promptTitle="Hernieuwbaar door vrije koeling" prompt="Geleverde energie door vrije koeling. Mits EER &gt;= 8 (anders EPren;gen;out = 0)_x000a__x000a_EPren;gen;out = QC;gen;out * fPren;rencold_x000a__x000a_Cf. NTA8800 par. 5.6.2.2_x000a_" sqref="D307 D252" xr:uid="{C395487E-E624-41B4-A6E4-727CF0A68029}"/>
    <dataValidation allowBlank="1" showInputMessage="1" showErrorMessage="1" promptTitle="Aandeel hernieuwb. prim energie" prompt="Aandeel hernieuwbare energie._x000a__x000a_RERPrenTOT = EPrenTot / (EPTot + EPrenTot) * 100%_x000a__x000a_Cf. NTA8800 par. 5.3.1.3, formule 5.3" sqref="D317" xr:uid="{2CA72461-1BCB-4D2C-90C5-17904CA7887A}"/>
    <dataValidation allowBlank="1" showInputMessage="1" showErrorMessage="1" promptTitle="Hernieuwb. abs. koel ext. warmte" prompt="Geleverde energie door absorptiekoeling op externe warmtelevering._x000a__x000a_EPren;gen;out = QC;gen;out * fPren;dhX_x000a__x000a_Waarbij de X in fPren;dhX staat voor 'kwal' (met) of 'forf' (zonder kwalteitsverklaring)._x000a__x000a_Cf. NTA8800 par. 5.6.2." sqref="D310 D255" xr:uid="{F8890909-C6FD-4F31-BD94-DE61BE12EA08}"/>
    <dataValidation allowBlank="1" showInputMessage="1" showErrorMessage="1" promptTitle="Totaal hernieuwbare prim energie" prompt="Hernieuwbare 'primaire' energie van de woning of het gebouw." sqref="D315" xr:uid="{4E2FCD5A-C0FB-4862-B572-E585C5AEC946}"/>
    <dataValidation allowBlank="1" showInputMessage="1" showErrorMessage="1" promptTitle="Hernieuwbaar opgewekte elek." prompt="Op het eigen perceel opgewekte primaire hernieuwbare elektriciteit._x000a__x000a_EPren;el = Eel;PV/PVT/wind * fPren;renelect_x000a__x000a_Cf. NTA8800 par. 5.6.2.4." sqref="D313 D257" xr:uid="{6CC891BB-9472-44B8-90FB-7BABA18E33D6}"/>
    <dataValidation allowBlank="1" showInputMessage="1" showErrorMessage="1" promptTitle="Hernieuwbaar zonne-energie therm" prompt="Onder praktijkomstandigheden aangeleverde hoeveelheid hernieuwbare energie, door thermische zonne-energiesystemen (zonneboiler(combi)s op eigen perceel._x000a__x000a_EPren;sol;prac = QHW;sol;prac * fPren;renheat_x000a__x000a_Cf. NTA8800 par. 5.6.2._x000a_" sqref="D311 D256" xr:uid="{D5B05BED-C7E2-4CA4-8DFE-8A7013E0AF04}"/>
    <dataValidation allowBlank="1" showInputMessage="1" showErrorMessage="1" promptTitle="Hernieuwbaar ext. warmte/koude" prompt="Ingezette hernieuwbare energie door externe warmte-/koudelevering. Waarbij de X in fPren;d[hcw]X staat voor 'kwal' (met) of 'forf' (zonder kwalteitsverklaring)._x000a__x000a_EPren;gen;out = Q[HCW];gen;out * fPren;d[hcw]X_x000a__x000a_Cf. NTA8800 par. 5.6.2._x000a_" sqref="D309" xr:uid="{75AF9124-CFAE-4E64-BED8-5C2ED5AD1750}"/>
    <dataValidation allowBlank="1" showInputMessage="1" showErrorMessage="1" promptTitle="Hernieuwbare energie biomassa" prompt="Ingezette hernieuwbare energie door biomassatoestel._x000a__x000a_EPren;gen;out = QHW;gen;out * fPren;bmX_x000a__x000a_Waarbij de X in fPren;bmX staat voor A, B of C afhankelijk van het type biomassa._x000a__x000a_Cf. NTA8800 par. 5.6.2._x000a_" sqref="D308 D253" xr:uid="{D2F1D010-AC4F-47D3-9F91-E0D2E0AC9931}"/>
    <dataValidation allowBlank="1" showInputMessage="1" showErrorMessage="1" promptTitle="Hernieuwbare energie warmtepomp" prompt="Ingezette hernieuwbare energie door warmtepompen. Mits EN:_x000a_- COP (of eta) &gt;=1,0;_x000a_- bron is GEEN ventilatieretourlucht_x000a_- warmtepomp GEEN booster-wp._x000a__x000a_EPren;hp = QHW;gen;hp;out * (1-1/COP) * fPren;renheat_x000a__x000a_Cf. NTA8800 par. 5.6.2." sqref="D306 D251" xr:uid="{AD123AD9-2E6D-4106-B0F0-4C9E1558B207}"/>
    <dataValidation allowBlank="1" showInputMessage="1" showErrorMessage="1" promptTitle="Aantal toestellen" prompt="Voor toestellen met geografisch niveau:_x000a_- 'gebouw': aantal woningen en gebouwen in deellocatie._x000a_- 'gebied': totale gebruiksoppervlakte in deelgebied delen door gemiddeld maximaal te verwarmen/koelen oppervlak._x000a_- 'centraal': 1." sqref="D98" xr:uid="{8DC6F674-285C-4207-8C35-F244EB57EE91}"/>
    <dataValidation allowBlank="1" showInputMessage="1" showErrorMessage="1" promptTitle="Vermogen verwarming &amp; koeling" prompt="Een indicatie van het verwarmings- en koelvermogen op basis van formules NTA8800. Zie 'bibliotheek' voor meer details." sqref="D99" xr:uid="{F1C0B9A9-0957-424D-A69F-611BA1BD1B2F}"/>
    <dataValidation type="list" allowBlank="1" showInputMessage="1" showErrorMessage="1" sqref="AM46:AU46 AA46:AI46 AY46:BG46 O46:W46" xr:uid="{F8A5BB7D-E1B5-490E-9C11-4F2F5D792898}">
      <formula1>verlichtingsregeling_namen</formula1>
    </dataValidation>
    <dataValidation type="list" allowBlank="1" showInputMessage="1" showErrorMessage="1" sqref="AM41:AU41 AA41:AI41 AY41:BG41 O41:W41" xr:uid="{16581841-2A0A-47D6-9E15-9E09A783BD3A}">
      <formula1>ventilatoren_typen</formula1>
    </dataValidation>
    <dataValidation type="list" allowBlank="1" showInputMessage="1" showErrorMessage="1" sqref="O40:W40 AY40:BG40 AA40:AI40 AM40:AU40" xr:uid="{FB9527CF-2F04-44E5-8F5B-1DCC6288D87C}">
      <formula1>ventilatiesystemen_namen</formula1>
    </dataValidation>
    <dataValidation allowBlank="1" showErrorMessage="1" promptTitle="Correctiefactor ruimteverwarming" prompt="Werkelijk energiegebruik voor ruimteverwarming wijkt vaak af van energiegebruik cf. EPG._x000a__x000a_Slecht geïsoleerde woningen verbruiken gemiddeld minder en goed geïsoleerde woningen verbruiken gemiddeld meer dan berekend._x000a__x000a_Deze correctiefactor verrekent dat." sqref="D56" xr:uid="{5E3A8AA3-A3C9-453F-AFAC-D0F87783F734}"/>
    <dataValidation type="list" allowBlank="1" showInputMessage="1" showErrorMessage="1" errorTitle="Toestel RV" error="Kies een beschikbaar toestel." sqref="Q90 AA90 AC90 AM90 AO90 AY90 BA90 O90" xr:uid="{FD359FB4-AFEA-411D-901F-844955DAC447}">
      <formula1>"ja,nee"</formula1>
    </dataValidation>
    <dataValidation allowBlank="1" showInputMessage="1" showErrorMessage="1" promptTitle="Isolatiepakket gebouwschil" prompt="De aangeboden isolatiepakketten voor de gebouwschil bepalen de gemiddelde warmtedoorgangscoëfficiënt van de gebouwschil. In de bibliotheek zijn de Rc- en U-waarden per pakket en per bouwdeel aangegeven._x000a__x000a_Eigen pakketten zijn daaraan toe te voegen." sqref="D38" xr:uid="{2D66F59B-E528-48F8-BC17-8E2B4AF231CD}"/>
    <dataValidation allowBlank="1" showInputMessage="1" showErrorMessage="1" promptTitle="Warmtebehoefte warmtapwater" prompt="De energiebehoefte voor warmtapwatergebruik wordt berekend op basis van rekenregels in NTA8800 (paragraaf 13.2)." sqref="D65" xr:uid="{B1E67632-BA02-4323-A34D-A02E6EAFBF5B}"/>
    <dataValidation allowBlank="1" showInputMessage="1" showErrorMessage="1" promptTitle="Gegevensfilter en navigatie" prompt="&lt;-_x000a_Het gegevensfilter biedt de mogelijkheid om (delen van) tabellen in de UMGO te filteren._x000a__x000a_-&gt;_x000a_Navigatieknoppen naar andere tabbladen." sqref="D8" xr:uid="{BEAC95E5-B8B3-44BA-B233-1EF74A097895}"/>
    <dataValidation allowBlank="1" showInputMessage="1" showErrorMessage="1" promptTitle="Distributieverlies binnen gebouw" prompt="Warmtedistributieverlies binnen woning|gebouw voor ruimteverwarming en warmtapwater, en afgifteverlies (radiator, vloerverwarming) voor ruimteverwarming._x000a_(Afgifteverlies voor warmtapwater zit verwerkt in het kengetal voor energiebehoefte warmtapwater.)" sqref="D85" xr:uid="{647C997E-064B-4DCE-9B36-6BB2ED868E33}"/>
    <dataValidation type="list" allowBlank="1" showInputMessage="1" showErrorMessage="1" sqref="Q83 AC83 AO83 BA83" xr:uid="{BA432E69-78C2-42EB-8D61-AAFD9B5FC9FC}">
      <formula1>toestellen_TAP_invoer</formula1>
    </dataValidation>
    <dataValidation type="list" allowBlank="1" showInputMessage="1" showErrorMessage="1" sqref="P83 AN83 AB83 AZ83" xr:uid="{65578E90-E3F2-47DA-91A0-5E099B24BDC9}">
      <formula1>toestellen_KOEL_invoer</formula1>
    </dataValidation>
    <dataValidation type="list" allowBlank="1" showInputMessage="1" showErrorMessage="1" sqref="F5" xr:uid="{65A34274-0228-4A6B-BD8A-4874293739A8}">
      <formula1>opwekking_elektriciteit</formula1>
    </dataValidation>
    <dataValidation allowBlank="1" showInputMessage="1" showErrorMessage="1" promptTitle="BENG-eisen" prompt="Als er meer dan één gebruiksfunctie is, dan is de eis gelijk aan het naar gebruiksoppervlakte gewogen gemiddelde over de verschillende functies." sqref="A315" xr:uid="{9B6063A8-8C66-4154-A892-1330C75A94FB}"/>
    <dataValidation allowBlank="1" showInputMessage="1" showErrorMessage="1" promptTitle="Regerenatie WKO" prompt="Indien regeneratie van de WKO wordt voorzien wordt het elektriciteitsverbruik voor regeneratie bepaald als volgt:_x000a_Elektriciteitsverbruik regeneratie = abs (hoeveelheid warmte uit aquifer – hoeveelheid koude uit aquifer) * specifiek vermogen regeneratie_x000a_" sqref="D132" xr:uid="{62B7B700-A610-472A-8DEB-4F3D962EC888}"/>
    <dataValidation type="whole" allowBlank="1" showInputMessage="1" showErrorMessage="1" sqref="AB151:AC151 AZ151:BA151 P151:Q151 AN151:AO151" xr:uid="{DB367492-6B9B-4B93-87E3-66CD4778E3BC}">
      <formula1>0</formula1>
      <formula2>1</formula2>
    </dataValidation>
    <dataValidation type="decimal" allowBlank="1" showInputMessage="1" showErrorMessage="1" sqref="AA151 O151 O155:Q155 AA155:AC155 AM155:AO155 AM151 AY151 AY155:BA155" xr:uid="{D52866FA-220A-480D-8A2F-8E75A8945ACF}">
      <formula1>0</formula1>
      <formula2>1</formula2>
    </dataValidation>
    <dataValidation allowBlank="1" showInputMessage="1" showErrorMessage="1" promptTitle="Primaire energiefactor" prompt="Het is mogelijk een eigen primaire energiefactor in te voeren. _x000a_Let op: Het verrekenen van aftapwarmte gaat via 'gederfde elektriciteit'." sqref="D149" xr:uid="{7CD6CB30-71A2-49B0-8C13-F0172DDD42B2}"/>
    <dataValidation allowBlank="1" showInputMessage="1" showErrorMessage="1" promptTitle="Opwekkingsrendement" prompt="Binnen de Uniforme Maatlat wordt het opwekkingsrendement op bovenwaarde gebruikt." sqref="D111" xr:uid="{CC953415-281B-40F3-853E-450BFB6B8C0B}"/>
    <dataValidation allowBlank="1" showInputMessage="1" showErrorMessage="1" promptTitle="Forfaitaire waarden PV" prompt="Forfaitaire waarde voor opbrengst van PV: 875 kWh/kWp._x000a_" sqref="D186" xr:uid="{72E03220-25D3-4C55-B7B1-EE58CF02831E}"/>
    <dataValidation allowBlank="1" showInputMessage="1" showErrorMessage="1" promptTitle="Distributieverlies extern" prompt="Het warmteverlies bij warmtedistributie buiten het gebouw in MWh per woning en/of utiliteitsgebouw._x000a__x000a_Als hiervoor waarden beschikbaar zijn, kunnen de forfaitaire waarden uit het model worden overschreven." sqref="D92" xr:uid="{910140DB-0F7E-4D8D-9CF7-97D5CDFB8C28}"/>
    <dataValidation allowBlank="1" showInputMessage="1" showErrorMessage="1" promptTitle="Relatieve bijdrage per type" prompt="De relatieve bijdrage per energiepost (verwarming, warmtapwater, ..) wordt per type woning, woongebouw, utiliteitsgebouw bepaald op basis van de primaire energiegebruiken conform EPG/BENG." sqref="D275" xr:uid="{4760554B-27CE-4D59-964F-1EF485F975F1}"/>
    <dataValidation allowBlank="1" showInputMessage="1" showErrorMessage="1" promptTitle="Karakteristiek energiegebruik" prompt="Totaal naar primaire energie omgerekend fossiele brandstoffen voor gebouwgebonden energiegebruik (voor woningen ZONDER verlichting), verminderd met primair energiegebruik op eigen perceel geproduceerde energie._x000a__x000a_Cf. NTA8800 par. 5.5." sqref="D304" xr:uid="{9896EE2D-989C-4FB6-A98E-CEABE4BBF428}"/>
    <dataValidation allowBlank="1" showInputMessage="1" showErrorMessage="1" promptTitle="PV" prompt="Opbrengst PV op gevel en dak in kWh per woning | utiliteitsgebouw." sqref="D73" xr:uid="{6B091A3E-A1E8-476B-8637-A63AA9E6C99F}"/>
    <dataValidation allowBlank="1" showInputMessage="1" showErrorMessage="1" promptTitle="Mobiliteit" prompt="Het geschatte elektriciteitsgebruik voor mobiliteit, bijvoorbeeld door elektrische auto's, kan worden ingevuld in kWh per woning of per utiliteitsgebouw." sqref="D71" xr:uid="{82050B60-4581-4A12-8298-CF4ED9CFF15B}"/>
    <dataValidation allowBlank="1" showInputMessage="1" showErrorMessage="1" promptTitle="Warmte-/koudebehoefte" prompt="De warmte- en koudebehoefte van de woning of het utiliteitsgebouw is gegeven in kWh/m2._x000a__x000a_Het is geen maat voor BENG 1, omdat het ventilatiesysteem voor BENG 1 per definitie C1 moet zijn. En dat is hier niet het geval." sqref="D267" xr:uid="{EA00E757-8329-406D-A8CA-A0293A92E2D2}"/>
    <dataValidation allowBlank="1" showInputMessage="1" showErrorMessage="1" promptTitle="Primair totaal energiegebruik" prompt="Het primair totaal energiegebruik in kWh_prim/m2.jaar per woningtype, per energiepost en voor het totaal." sqref="D363" xr:uid="{9FEB42D5-C444-4C00-A8A2-FF6BDFD33FD4}"/>
    <dataValidation type="list" allowBlank="1" showInputMessage="1" showErrorMessage="1" errorTitle="Toestel RV" error="Kies een beschikbaar toestel." sqref="AA83 O83 AM83 AY83" xr:uid="{0F806588-6EE8-45CF-9D2E-CBE0DB90597E}">
      <formula1>toestellen_RV_invoer</formula1>
    </dataValidation>
    <dataValidation allowBlank="1" showInputMessage="1" showErrorMessage="1" promptTitle="CO2 emisse" prompt="De CO2 emissie in kg/m2.jaar per woningtype, per energiepost en voor het totaal._x000a__x000a_De CO2 emissie in ton/jaar per (deel)locatie, per energiepost en voor het totaal._x000a__x000a_" sqref="D343" xr:uid="{F68BE2F6-7ABE-4790-89CD-5C42E0484BB0}"/>
  </dataValidations>
  <hyperlinks>
    <hyperlink ref="D323" r:id="rId1" tooltip="verwijzing naar Staatsblad 2019, 501 met BENG-eisen" xr:uid="{AED7AE00-3D47-420F-86CA-D75EC74E1EEA}"/>
  </hyperlinks>
  <pageMargins left="0.23622047244094491" right="0.23622047244094491" top="0.74803149606299213" bottom="0.74803149606299213" header="0.31496062992125984" footer="0.31496062992125984"/>
  <pageSetup paperSize="9" scale="25" fitToHeight="0" orientation="landscape" r:id="rId2"/>
  <headerFooter alignWithMargins="0">
    <oddFooter>&amp;L_x000D_&amp;1#&amp;"Aptos"&amp;10&amp;K000000 Intern gebruik</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be19b62-68c7-4655-aba9-9acaa5e8cb61">
      <Terms xmlns="http://schemas.microsoft.com/office/infopath/2007/PartnerControls"/>
    </lcf76f155ced4ddcb4097134ff3c332f>
    <TaxCatchAll xmlns="e19a53a9-189d-455a-97ba-4819232fb8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FB3230D92F349AB686CC7D19A67F0" ma:contentTypeVersion="10" ma:contentTypeDescription="Een nieuw document maken." ma:contentTypeScope="" ma:versionID="1e226bd2e2d2b0c9b69ac4eb771d61f1">
  <xsd:schema xmlns:xsd="http://www.w3.org/2001/XMLSchema" xmlns:xs="http://www.w3.org/2001/XMLSchema" xmlns:p="http://schemas.microsoft.com/office/2006/metadata/properties" xmlns:ns2="4be19b62-68c7-4655-aba9-9acaa5e8cb61" xmlns:ns3="e19a53a9-189d-455a-97ba-4819232fb87e" targetNamespace="http://schemas.microsoft.com/office/2006/metadata/properties" ma:root="true" ma:fieldsID="7a1e379d29b5fe446e68167dd55a301a" ns2:_="" ns3:_="">
    <xsd:import namespace="4be19b62-68c7-4655-aba9-9acaa5e8cb61"/>
    <xsd:import namespace="e19a53a9-189d-455a-97ba-4819232fb8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e19b62-68c7-4655-aba9-9acaa5e8c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9a53a9-189d-455a-97ba-4819232fb87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9b734f8-98f0-4cfa-8405-56f1f3914a7d}" ma:internalName="TaxCatchAll" ma:showField="CatchAllData" ma:web="e19a53a9-189d-455a-97ba-4819232fb8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3BE224CA-4CAB-45D4-BC85-B82B067F4C87}">
  <ds:schemaRef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44012b7d-02f8-43e6-8cac-d569919209ad"/>
    <ds:schemaRef ds:uri="http://schemas.microsoft.com/office/2006/documentManagement/types"/>
    <ds:schemaRef ds:uri="0e89882f-b914-43a4-b7a7-3a7891b2d616"/>
    <ds:schemaRef ds:uri="http://www.w3.org/XML/1998/namespace"/>
    <ds:schemaRef ds:uri="http://purl.org/dc/dcmitype/"/>
  </ds:schemaRefs>
</ds:datastoreItem>
</file>

<file path=customXml/itemProps2.xml><?xml version="1.0" encoding="utf-8"?>
<ds:datastoreItem xmlns:ds="http://schemas.openxmlformats.org/officeDocument/2006/customXml" ds:itemID="{E78EBBA5-ACF5-425F-B7D1-18FA57CEA823}">
  <ds:schemaRefs>
    <ds:schemaRef ds:uri="http://schemas.microsoft.com/sharepoint/v3/contenttype/forms"/>
  </ds:schemaRefs>
</ds:datastoreItem>
</file>

<file path=customXml/itemProps3.xml><?xml version="1.0" encoding="utf-8"?>
<ds:datastoreItem xmlns:ds="http://schemas.openxmlformats.org/officeDocument/2006/customXml" ds:itemID="{39A7C65E-BFB6-4FE4-B99E-CD0D432FD7FF}"/>
</file>

<file path=customXml/itemProps4.xml><?xml version="1.0" encoding="utf-8"?>
<ds:datastoreItem xmlns:ds="http://schemas.openxmlformats.org/officeDocument/2006/customXml" ds:itemID="{B0341734-D860-4056-91A4-E648D6BFDAFF}">
  <ds:schemaRefs>
    <ds:schemaRef ds:uri="http://www.w3.org/2001/XMLSchema"/>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181</vt:i4>
      </vt:variant>
    </vt:vector>
  </HeadingPairs>
  <TitlesOfParts>
    <vt:vector size="193" baseType="lpstr">
      <vt:lpstr>disclaimer</vt:lpstr>
      <vt:lpstr>handleiding</vt:lpstr>
      <vt:lpstr>woningen|utiliteit</vt:lpstr>
      <vt:lpstr>variant 1</vt:lpstr>
      <vt:lpstr>variant 2</vt:lpstr>
      <vt:lpstr>variant 3</vt:lpstr>
      <vt:lpstr>variant 4</vt:lpstr>
      <vt:lpstr>variant 5</vt:lpstr>
      <vt:lpstr>variant 6</vt:lpstr>
      <vt:lpstr>resultaten</vt:lpstr>
      <vt:lpstr>bibliotheek</vt:lpstr>
      <vt:lpstr>Energiebehoefte algemeen</vt:lpstr>
      <vt:lpstr>aardgas</vt:lpstr>
      <vt:lpstr>bibliotheek!Afdrukbereik</vt:lpstr>
      <vt:lpstr>disclaimer!Afdrukbereik</vt:lpstr>
      <vt:lpstr>handleiding!Afdrukbereik</vt:lpstr>
      <vt:lpstr>resultaten!Afdrukbereik</vt:lpstr>
      <vt:lpstr>'variant 1'!Afdrukbereik</vt:lpstr>
      <vt:lpstr>'variant 2'!Afdrukbereik</vt:lpstr>
      <vt:lpstr>'variant 3'!Afdrukbereik</vt:lpstr>
      <vt:lpstr>'variant 4'!Afdrukbereik</vt:lpstr>
      <vt:lpstr>'variant 5'!Afdrukbereik</vt:lpstr>
      <vt:lpstr>'variant 6'!Afdrukbereik</vt:lpstr>
      <vt:lpstr>bibliotheek!Afdruktitels</vt:lpstr>
      <vt:lpstr>handleiding!Afdruktitels</vt:lpstr>
      <vt:lpstr>aftapwarmte</vt:lpstr>
      <vt:lpstr>BACS_keuzes</vt:lpstr>
      <vt:lpstr>BACS_waarden_f_BACS</vt:lpstr>
      <vt:lpstr>BENG_gebruiksfuncties</vt:lpstr>
      <vt:lpstr>BENG1_eis_Als_deeldoor_Ag_kleiner_dan_grenswaarde_1</vt:lpstr>
      <vt:lpstr>BENG1_eis_C1</vt:lpstr>
      <vt:lpstr>BENG1_eis_C2</vt:lpstr>
      <vt:lpstr>BENG1_eis_C3</vt:lpstr>
      <vt:lpstr>BENG1_eis_C4</vt:lpstr>
      <vt:lpstr>BENG1_eis_C5</vt:lpstr>
      <vt:lpstr>BENG1_eis_C6</vt:lpstr>
      <vt:lpstr>BENG1_eis_grenswaarde_1</vt:lpstr>
      <vt:lpstr>BENG1_eis_grenswaarde_2</vt:lpstr>
      <vt:lpstr>BENG2_eis</vt:lpstr>
      <vt:lpstr>BENG3_eis</vt:lpstr>
      <vt:lpstr>beschikbare_fitformules_NTA8800</vt:lpstr>
      <vt:lpstr>bestaand</vt:lpstr>
      <vt:lpstr>bestaand_nieuw</vt:lpstr>
      <vt:lpstr>bijdrage_thermische_zonne_energie_RV</vt:lpstr>
      <vt:lpstr>bijdrage_thermische_zonne_energie_TAP</vt:lpstr>
      <vt:lpstr>biomassa</vt:lpstr>
      <vt:lpstr>bioolie</vt:lpstr>
      <vt:lpstr>centraal</vt:lpstr>
      <vt:lpstr>correctiefactor_C1</vt:lpstr>
      <vt:lpstr>correctiefactor_C2</vt:lpstr>
      <vt:lpstr>Correctiefactoren</vt:lpstr>
      <vt:lpstr>DWTW_C_W_sh_rcd_T</vt:lpstr>
      <vt:lpstr>DWTW_correctiefactor_manier_aansluiten</vt:lpstr>
      <vt:lpstr>DWTW_fprac</vt:lpstr>
      <vt:lpstr>DWTW_namen</vt:lpstr>
      <vt:lpstr>DWTW_thermisch_rendement</vt:lpstr>
      <vt:lpstr>eindnorm_utiliteit_energielabel</vt:lpstr>
      <vt:lpstr>elektriciteit</vt:lpstr>
      <vt:lpstr>elektriciteit_primaire_energiefactor</vt:lpstr>
      <vt:lpstr>energiedrager_elektriciteit_CO2_emissiecoëfficiënt</vt:lpstr>
      <vt:lpstr>energiedrager_elektriciteit_CO2_emissiecoëfficiënt_export</vt:lpstr>
      <vt:lpstr>energiedrager_elektriciteit_kopregel</vt:lpstr>
      <vt:lpstr>ENERGIEDRAGERS</vt:lpstr>
      <vt:lpstr>energiedragers_CO2_emissiefactor</vt:lpstr>
      <vt:lpstr>energiedragers_fPren</vt:lpstr>
      <vt:lpstr>energiedragers_gebouwaansluiting</vt:lpstr>
      <vt:lpstr>energiedragers_geschikt_voor_KOEL</vt:lpstr>
      <vt:lpstr>energiedragers_geschikt_voor_RV</vt:lpstr>
      <vt:lpstr>energiedragers_geschikt_voor_TAP</vt:lpstr>
      <vt:lpstr>energiedragers_index_fPren</vt:lpstr>
      <vt:lpstr>energiedragers_kopregel</vt:lpstr>
      <vt:lpstr>energiedragers_namen</vt:lpstr>
      <vt:lpstr>energiedragers_primaire_energiefactor</vt:lpstr>
      <vt:lpstr>energielabels_grenswaarden</vt:lpstr>
      <vt:lpstr>energielabels_grenswaarden_gebruiksfuncties</vt:lpstr>
      <vt:lpstr>energielabels_labelnamen</vt:lpstr>
      <vt:lpstr>energieprestatie_werkelijk</vt:lpstr>
      <vt:lpstr>EP</vt:lpstr>
      <vt:lpstr>eta_BAT</vt:lpstr>
      <vt:lpstr>f_P_rencold</vt:lpstr>
      <vt:lpstr>f_P_renelect</vt:lpstr>
      <vt:lpstr>f_P_renheat</vt:lpstr>
      <vt:lpstr>factor_warmtapwaterbehoefte_MWA</vt:lpstr>
      <vt:lpstr>fdu_el_nren</vt:lpstr>
      <vt:lpstr>fdu_el_ren_onderwijs</vt:lpstr>
      <vt:lpstr>fdu_el_ren_utiliteit_overig</vt:lpstr>
      <vt:lpstr>fdu_el_ren_woning</vt:lpstr>
      <vt:lpstr>fit_a0</vt:lpstr>
      <vt:lpstr>fit_a1</vt:lpstr>
      <vt:lpstr>fit_a2</vt:lpstr>
      <vt:lpstr>fit_a3</vt:lpstr>
      <vt:lpstr>fit_a4</vt:lpstr>
      <vt:lpstr>fit_n1</vt:lpstr>
      <vt:lpstr>fit_n2</vt:lpstr>
      <vt:lpstr>fit_n3</vt:lpstr>
      <vt:lpstr>fit_n4</vt:lpstr>
      <vt:lpstr>fitcurves_NTA8800</vt:lpstr>
      <vt:lpstr>fitformule_Ehc_nd_EP</vt:lpstr>
      <vt:lpstr>fitformule_QC_nd</vt:lpstr>
      <vt:lpstr>fitformule_QH_nd</vt:lpstr>
      <vt:lpstr>gebied</vt:lpstr>
      <vt:lpstr>gebouw</vt:lpstr>
      <vt:lpstr>gebruiksfunctie_aandeel_doucheverbruik</vt:lpstr>
      <vt:lpstr>gebruiksfunctie_naam_doucheverbruik</vt:lpstr>
      <vt:lpstr>gebruiksfuncties_fitcurve_NTA8800</vt:lpstr>
      <vt:lpstr>gebruiksfuncties_namen</vt:lpstr>
      <vt:lpstr>gebruiksfuncties_namen_MWA_warmtapwater</vt:lpstr>
      <vt:lpstr>gederfde_elektriciteit</vt:lpstr>
      <vt:lpstr>geen</vt:lpstr>
      <vt:lpstr>geografische_niveaus_installaties</vt:lpstr>
      <vt:lpstr>GJ</vt:lpstr>
      <vt:lpstr>hernieuwbare_energiebron_getalswaarde</vt:lpstr>
      <vt:lpstr>hernieuwbare_energiebron_getalswaarde_bij_toestellen</vt:lpstr>
      <vt:lpstr>hernieuwbare_energiebron_index</vt:lpstr>
      <vt:lpstr>hernieuwbare_energiebron_namen</vt:lpstr>
      <vt:lpstr>hoog_laag</vt:lpstr>
      <vt:lpstr>installaties_RV_verlies_elek_prod_aftapwarmte</vt:lpstr>
      <vt:lpstr>installaties_TAP_verlies_elek_prod_aftapwarmte</vt:lpstr>
      <vt:lpstr>isolatiepakketten_gebouwschil_namen</vt:lpstr>
      <vt:lpstr>koken_aardgas_per_m2</vt:lpstr>
      <vt:lpstr>koken_elektriciteit</vt:lpstr>
      <vt:lpstr>koken_elektriciteit_per_m2</vt:lpstr>
      <vt:lpstr>koken_gas</vt:lpstr>
      <vt:lpstr>koudebehoefte_koeling_ondergrens</vt:lpstr>
      <vt:lpstr>kWh</vt:lpstr>
      <vt:lpstr>m3gas</vt:lpstr>
      <vt:lpstr>MWA</vt:lpstr>
      <vt:lpstr>niet_gebouwgebonden_elektriciteitgebruik_woningen_per_m2</vt:lpstr>
      <vt:lpstr>nieuw</vt:lpstr>
      <vt:lpstr>NTA_8800</vt:lpstr>
      <vt:lpstr>NulEen</vt:lpstr>
      <vt:lpstr>nvt</vt:lpstr>
      <vt:lpstr>onderwijs</vt:lpstr>
      <vt:lpstr>opwekking_elektriciteit</vt:lpstr>
      <vt:lpstr>parameters_fitformule</vt:lpstr>
      <vt:lpstr>primaire_totale_energiefactor</vt:lpstr>
      <vt:lpstr>referentie_koeling</vt:lpstr>
      <vt:lpstr>referentie_verwarming</vt:lpstr>
      <vt:lpstr>referentie_warmtapwater</vt:lpstr>
      <vt:lpstr>referentiepakketten_bij_gebouwen</vt:lpstr>
      <vt:lpstr>rekenmethode_EP_MWA</vt:lpstr>
      <vt:lpstr>restwarmte</vt:lpstr>
      <vt:lpstr>specifiek_niet_gebouwgebonden_elektriciteitsgebruik_gebruiksfuncties</vt:lpstr>
      <vt:lpstr>specifiek_niet_gebouwgebonden_elektriciteitsgebruik_waarden</vt:lpstr>
      <vt:lpstr>specifieke_interne_warmtecapaciteit</vt:lpstr>
      <vt:lpstr>standaardwaarde_basis</vt:lpstr>
      <vt:lpstr>standaardwaarde_extra_vraag_boven_grenswaarde_vormfactor</vt:lpstr>
      <vt:lpstr>standaardwaarde_grens_vormfactor</vt:lpstr>
      <vt:lpstr>standaardwaarden_gebruiksfuncties</vt:lpstr>
      <vt:lpstr>toestellen_KOEL</vt:lpstr>
      <vt:lpstr>toestellen_KOEL_invoer</vt:lpstr>
      <vt:lpstr>toestellen_KOEL_kopregel</vt:lpstr>
      <vt:lpstr>toestellen_RV</vt:lpstr>
      <vt:lpstr>toestellen_RV_invoer</vt:lpstr>
      <vt:lpstr>toestellen_RV_kopregel</vt:lpstr>
      <vt:lpstr>toestellen_TAP</vt:lpstr>
      <vt:lpstr>toestellen_TAP_invoer</vt:lpstr>
      <vt:lpstr>toestellen_TAP_kopregel</vt:lpstr>
      <vt:lpstr>ventilatie_A</vt:lpstr>
      <vt:lpstr>ventilatiesystemen_code</vt:lpstr>
      <vt:lpstr>ventilatiesystemen_kenmerken</vt:lpstr>
      <vt:lpstr>ventilatiesystemen_kenmerken_kopregel</vt:lpstr>
      <vt:lpstr>ventilatiesystemen_namen</vt:lpstr>
      <vt:lpstr>ventilatoren_typen</vt:lpstr>
      <vt:lpstr>ventilatorenergie_ventilatiesysteem_B_C</vt:lpstr>
      <vt:lpstr>ventilatorenergie_ventilatiesysteem_B_C_kopregel</vt:lpstr>
      <vt:lpstr>ventilatorenergie_ventilatiesysteem_D</vt:lpstr>
      <vt:lpstr>ventilatorenergie_ventilatiesysteem_D_kopregel</vt:lpstr>
      <vt:lpstr>verlichting_parameters_a</vt:lpstr>
      <vt:lpstr>verlichting_parameters_b</vt:lpstr>
      <vt:lpstr>verlichting_parameters_gebruiksfuncties</vt:lpstr>
      <vt:lpstr>verlichting_vermogen_forfaitair</vt:lpstr>
      <vt:lpstr>verlichtingsregeling_kopregel</vt:lpstr>
      <vt:lpstr>verlichtingsregeling_namen</vt:lpstr>
      <vt:lpstr>verlichtingsregeling_waarden</vt:lpstr>
      <vt:lpstr>waardering_opslag_hernieuwbaar</vt:lpstr>
      <vt:lpstr>WaarOnwaar</vt:lpstr>
      <vt:lpstr>warmtapwater_specifieke_warmtebehoefte_gebruiksfuncties</vt:lpstr>
      <vt:lpstr>warmtapwater_specifieke_warmtebehoefte_waarden</vt:lpstr>
      <vt:lpstr>warmtebehoefte_verwarming_ondergrens</vt:lpstr>
      <vt:lpstr>warmtenetten_NL_CO2_emissiecoefficient</vt:lpstr>
      <vt:lpstr>warmtenetten_NL_codes</vt:lpstr>
      <vt:lpstr>warmtenetten_NL_fp_del</vt:lpstr>
      <vt:lpstr>warmtenetten_NL_fp_ren</vt:lpstr>
      <vt:lpstr>warmtenetten_NL_namen</vt:lpstr>
      <vt:lpstr>warmtenetten_NL_voor_KOEL</vt:lpstr>
      <vt:lpstr>warmtenetten_NL_voor_RV</vt:lpstr>
      <vt:lpstr>warmtenetten_NL_voor_TAP</vt:lpstr>
      <vt:lpstr>weegfactor_primaire_totale_energiefactor</vt:lpstr>
      <vt:lpstr>woning</vt:lpstr>
      <vt:lpstr>woningen_gebouwen_gegevens</vt:lpstr>
      <vt:lpstr>woningen_gebouwen_namen</vt:lpstr>
      <vt:lpstr>woongebouw</vt:lpstr>
    </vt:vector>
  </TitlesOfParts>
  <Manager/>
  <Company>W/E adviseurs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Uniforme Maatlat Rekenmodel 5.1</dc:title>
  <dc:subject/>
  <dc:creator>W/E Adviseurs</dc:creator>
  <cp:keywords/>
  <dc:description>Versie 24 mei 2013</dc:description>
  <cp:lastModifiedBy>Rijksdienst voor Ondernemend Nederland</cp:lastModifiedBy>
  <cp:revision/>
  <dcterms:created xsi:type="dcterms:W3CDTF">2010-01-26T11:04:21Z</dcterms:created>
  <dcterms:modified xsi:type="dcterms:W3CDTF">2026-08-26T12:15:58Z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0x010100F30FB3230D92F349AB686CC7D19A67F0</vt:lpwstr>
  </property>
  <property fmtid="{D5CDD505-2E9C-101B-9397-08002B2CF9AE}" pid="3" name="MediaServiceImageTags">
    <vt:lpwstr/>
  </property>
  <property fmtid="{D5CDD505-2E9C-101B-9397-08002B2CF9AE}" pid="4" name="PlanSwiftJobName">
    <vt:lpwstr/>
  </property>
  <property fmtid="{D5CDD505-2E9C-101B-9397-08002B2CF9AE}" pid="5" name="PlanSwiftJobGuid">
    <vt:lpwstr/>
  </property>
  <property fmtid="{D5CDD505-2E9C-101B-9397-08002B2CF9AE}" pid="6" name="LinkedDataId">
    <vt:lpwstr>{B0341734-D860-4056-91A4-E648D6BFDAFF}</vt:lpwstr>
  </property>
</Properties>
</file>